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trlProps/ctrlProp26.xml" ContentType="application/vnd.ms-excel.controlproperties+xml"/>
  <Override PartName="/xl/comments6.xml" ContentType="application/vnd.openxmlformats-officedocument.spreadsheetml.comments+xml"/>
  <Override PartName="/xl/drawings/drawing11.xml" ContentType="application/vnd.openxmlformats-officedocument.drawing+xml"/>
  <Override PartName="/xl/ctrlProps/ctrlProp27.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2.xml" ContentType="application/vnd.openxmlformats-officedocument.spreadsheetml.comments+xml"/>
  <Override PartName="/xl/drawings/drawing22.xml" ContentType="application/vnd.openxmlformats-officedocument.drawing+xml"/>
  <Override PartName="/xl/comments13.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trlProps/ctrlProp28.xml" ContentType="application/vnd.ms-excel.controlproperties+xml"/>
  <Override PartName="/xl/ctrlProps/ctrlProp29.xml" ContentType="application/vnd.ms-excel.controlproperties+xml"/>
  <Override PartName="/xl/comments14.xml" ContentType="application/vnd.openxmlformats-officedocument.spreadsheetml.comments+xml"/>
  <Override PartName="/xl/drawings/drawing25.xml" ContentType="application/vnd.openxmlformats-officedocument.drawing+xml"/>
  <Override PartName="/xl/ctrlProps/ctrlProp30.xml" ContentType="application/vnd.ms-excel.controlproperties+xml"/>
  <Override PartName="/xl/ctrlProps/ctrlProp31.xml" ContentType="application/vnd.ms-excel.controlproperties+xml"/>
  <Override PartName="/xl/drawings/drawing26.xml" ContentType="application/vnd.openxmlformats-officedocument.drawing+xml"/>
  <Override PartName="/xl/ctrlProps/ctrlProp32.xml" ContentType="application/vnd.ms-excel.controlproperties+xml"/>
  <Override PartName="/xl/ctrlProps/ctrlProp33.xml" ContentType="application/vnd.ms-excel.controlproperties+xml"/>
  <Override PartName="/xl/drawings/drawing27.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28.xml" ContentType="application/vnd.openxmlformats-officedocument.drawing+xml"/>
  <Override PartName="/xl/ctrlProps/ctrlProp36.xml" ContentType="application/vnd.ms-excel.controlproperties+xml"/>
  <Override PartName="/xl/ctrlProps/ctrlProp37.xml" ContentType="application/vnd.ms-excel.controlproperties+xml"/>
  <Override PartName="/xl/drawings/drawing29.xml" ContentType="application/vnd.openxmlformats-officedocument.drawing+xml"/>
  <Override PartName="/xl/ctrlProps/ctrlProp38.xml" ContentType="application/vnd.ms-excel.controlproperties+xml"/>
  <Override PartName="/xl/ctrlProps/ctrlProp39.xml" ContentType="application/vnd.ms-excel.controlproperties+xml"/>
  <Override PartName="/xl/drawings/drawing30.xml" ContentType="application/vnd.openxmlformats-officedocument.drawing+xml"/>
  <Override PartName="/xl/ctrlProps/ctrlProp40.xml" ContentType="application/vnd.ms-excel.controlproperties+xml"/>
  <Override PartName="/xl/ctrlProps/ctrlProp41.xml" ContentType="application/vnd.ms-excel.controlproperties+xml"/>
  <Override PartName="/xl/drawings/drawing31.xml" ContentType="application/vnd.openxmlformats-officedocument.drawing+xml"/>
  <Override PartName="/xl/ctrlProps/ctrlProp42.xml" ContentType="application/vnd.ms-excel.controlproperties+xml"/>
  <Override PartName="/xl/ctrlProps/ctrlProp43.xml" ContentType="application/vnd.ms-excel.controlproperties+xml"/>
  <Override PartName="/xl/drawings/drawing32.xml" ContentType="application/vnd.openxmlformats-officedocument.drawing+xml"/>
  <Override PartName="/xl/ctrlProps/ctrlProp44.xml" ContentType="application/vnd.ms-excel.controlproperties+xml"/>
  <Override PartName="/xl/ctrlProps/ctrlProp45.xml" ContentType="application/vnd.ms-excel.controlproperties+xml"/>
  <Override PartName="/xl/drawings/drawing33.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34.xml" ContentType="application/vnd.openxmlformats-officedocument.drawing+xml"/>
  <Override PartName="/xl/ctrlProps/ctrlProp48.xml" ContentType="application/vnd.ms-excel.controlproperties+xml"/>
  <Override PartName="/xl/ctrlProps/ctrlProp49.xml" ContentType="application/vnd.ms-excel.controlpropertie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5.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16.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comments17.xml" ContentType="application/vnd.openxmlformats-officedocument.spreadsheetml.comments+xml"/>
  <Override PartName="/xl/drawings/drawing42.xml" ContentType="application/vnd.openxmlformats-officedocument.drawing+xml"/>
  <Override PartName="/xl/comments18.xml" ContentType="application/vnd.openxmlformats-officedocument.spreadsheetml.comments+xml"/>
  <Override PartName="/xl/drawings/drawing43.xml" ContentType="application/vnd.openxmlformats-officedocument.drawing+xml"/>
  <Override PartName="/xl/comments19.xml" ContentType="application/vnd.openxmlformats-officedocument.spreadsheetml.comments+xml"/>
  <Override PartName="/xl/drawings/drawing44.xml" ContentType="application/vnd.openxmlformats-officedocument.drawing+xml"/>
  <Override PartName="/xl/comments20.xml" ContentType="application/vnd.openxmlformats-officedocument.spreadsheetml.comments+xml"/>
  <Override PartName="/xl/drawings/drawing45.xml" ContentType="application/vnd.openxmlformats-officedocument.drawing+xml"/>
  <Override PartName="/xl/comments21.xml" ContentType="application/vnd.openxmlformats-officedocument.spreadsheetml.comments+xml"/>
  <Override PartName="/xl/drawings/drawing46.xml" ContentType="application/vnd.openxmlformats-officedocument.drawing+xml"/>
  <Override PartName="/xl/comments22.xml" ContentType="application/vnd.openxmlformats-officedocument.spreadsheetml.comments+xml"/>
  <Override PartName="/xl/drawings/drawing47.xml" ContentType="application/vnd.openxmlformats-officedocument.drawing+xml"/>
  <Override PartName="/xl/comments23.xml" ContentType="application/vnd.openxmlformats-officedocument.spreadsheetml.comments+xml"/>
  <Override PartName="/xl/drawings/drawing48.xml" ContentType="application/vnd.openxmlformats-officedocument.drawing+xml"/>
  <Override PartName="/xl/drawings/drawing49.xml" ContentType="application/vnd.openxmlformats-officedocument.drawing+xml"/>
  <Override PartName="/xl/ctrlProps/ctrlProp50.xml" ContentType="application/vnd.ms-excel.controlproperties+xml"/>
  <Override PartName="/xl/ctrlProps/ctrlProp51.xml" ContentType="application/vnd.ms-excel.controlproperties+xml"/>
  <Override PartName="/xl/drawings/drawing50.xml" ContentType="application/vnd.openxmlformats-officedocument.drawing+xml"/>
  <Override PartName="/xl/ctrlProps/ctrlProp52.xml" ContentType="application/vnd.ms-excel.controlproperties+xml"/>
  <Override PartName="/xl/ctrlProps/ctrlProp53.xml" ContentType="application/vnd.ms-excel.controlproperties+xml"/>
  <Override PartName="/xl/drawings/drawing51.xml" ContentType="application/vnd.openxmlformats-officedocument.drawing+xml"/>
  <Override PartName="/xl/drawings/drawing52.xml" ContentType="application/vnd.openxmlformats-officedocument.drawing+xml"/>
  <Override PartName="/xl/comments24.xml" ContentType="application/vnd.openxmlformats-officedocument.spreadsheetml.comments+xml"/>
  <Override PartName="/xl/drawings/drawing53.xml" ContentType="application/vnd.openxmlformats-officedocument.drawing+xml"/>
  <Override PartName="/xl/comments25.xml" ContentType="application/vnd.openxmlformats-officedocument.spreadsheetml.comments+xml"/>
  <Override PartName="/xl/drawings/drawing54.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55.xml" ContentType="application/vnd.openxmlformats-officedocument.drawing+xml"/>
  <Override PartName="/xl/comments26.xml" ContentType="application/vnd.openxmlformats-officedocument.spreadsheetml.comments+xml"/>
  <Override PartName="/xl/drawings/drawing56.xml" ContentType="application/vnd.openxmlformats-officedocument.drawing+xml"/>
  <Override PartName="/xl/comments27.xml" ContentType="application/vnd.openxmlformats-officedocument.spreadsheetml.comments+xml"/>
  <Override PartName="/xl/drawings/drawing57.xml" ContentType="application/vnd.openxmlformats-officedocument.drawing+xml"/>
  <Override PartName="/xl/comments28.xml" ContentType="application/vnd.openxmlformats-officedocument.spreadsheetml.comments+xml"/>
  <Override PartName="/xl/drawings/drawing58.xml" ContentType="application/vnd.openxmlformats-officedocument.drawing+xml"/>
  <Override PartName="/xl/comments29.xml" ContentType="application/vnd.openxmlformats-officedocument.spreadsheetml.comments+xml"/>
  <Override PartName="/xl/drawings/drawing59.xml" ContentType="application/vnd.openxmlformats-officedocument.drawing+xml"/>
  <Override PartName="/xl/ctrlProps/ctrlProp56.xml" ContentType="application/vnd.ms-excel.controlproperties+xml"/>
  <Override PartName="/xl/ctrlProps/ctrlProp57.xml" ContentType="application/vnd.ms-excel.controlproperties+xml"/>
  <Override PartName="/xl/drawings/drawing60.xml" ContentType="application/vnd.openxmlformats-officedocument.drawing+xml"/>
  <Override PartName="/xl/ctrlProps/ctrlProp58.xml" ContentType="application/vnd.ms-excel.controlproperties+xml"/>
  <Override PartName="/xl/ctrlProps/ctrlProp59.xml" ContentType="application/vnd.ms-excel.controlproperties+xml"/>
  <Override PartName="/xl/drawings/drawing61.xml" ContentType="application/vnd.openxmlformats-officedocument.drawing+xml"/>
  <Override PartName="/xl/ctrlProps/ctrlProp60.xml" ContentType="application/vnd.ms-excel.controlproperties+xml"/>
  <Override PartName="/xl/ctrlProps/ctrlProp61.xml" ContentType="application/vnd.ms-excel.controlproperties+xml"/>
  <Override PartName="/xl/drawings/drawing62.xml" ContentType="application/vnd.openxmlformats-officedocument.drawing+xml"/>
  <Override PartName="/xl/ctrlProps/ctrlProp62.xml" ContentType="application/vnd.ms-excel.controlproperties+xml"/>
  <Override PartName="/xl/ctrlProps/ctrlProp63.xml" ContentType="application/vnd.ms-excel.controlproperties+xml"/>
  <Override PartName="/xl/drawings/drawing63.xml" ContentType="application/vnd.openxmlformats-officedocument.drawing+xml"/>
  <Override PartName="/xl/ctrlProps/ctrlProp64.xml" ContentType="application/vnd.ms-excel.controlproperties+xml"/>
  <Override PartName="/xl/ctrlProps/ctrlProp65.xml" ContentType="application/vnd.ms-excel.controlproperties+xml"/>
  <Override PartName="/xl/drawings/drawing64.xml" ContentType="application/vnd.openxmlformats-officedocument.drawing+xml"/>
  <Override PartName="/xl/ctrlProps/ctrlProp66.xml" ContentType="application/vnd.ms-excel.controlproperties+xml"/>
  <Override PartName="/xl/ctrlProps/ctrlProp67.xml" ContentType="application/vnd.ms-excel.controlproperties+xml"/>
  <Override PartName="/xl/drawings/drawing65.xml" ContentType="application/vnd.openxmlformats-officedocument.drawing+xml"/>
  <Override PartName="/xl/ctrlProps/ctrlProp68.xml" ContentType="application/vnd.ms-excel.controlproperties+xml"/>
  <Override PartName="/xl/ctrlProps/ctrlProp69.xml" ContentType="application/vnd.ms-excel.controlproperties+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omments30.xml" ContentType="application/vnd.openxmlformats-officedocument.spreadsheetml.comments+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trlProps/ctrlProp70.xml" ContentType="application/vnd.ms-excel.controlproperties+xml"/>
  <Override PartName="/xl/ctrlProps/ctrlProp71.xml" ContentType="application/vnd.ms-excel.controlproperties+xml"/>
  <Override PartName="/xl/drawings/drawing75.xml" ContentType="application/vnd.openxmlformats-officedocument.drawing+xml"/>
  <Override PartName="/xl/charts/chart6.xml" ContentType="application/vnd.openxmlformats-officedocument.drawingml.chart+xml"/>
  <Override PartName="/xl/drawings/drawing76.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77.xml" ContentType="application/vnd.openxmlformats-officedocument.drawing+xml"/>
  <Override PartName="/xl/ctrlProps/ctrlProp72.xml" ContentType="application/vnd.ms-excel.controlproperties+xml"/>
  <Override PartName="/xl/ctrlProps/ctrlProp73.xml" ContentType="application/vnd.ms-excel.controlproperties+xml"/>
  <Override PartName="/xl/drawings/drawing78.xml" ContentType="application/vnd.openxmlformats-officedocument.drawing+xml"/>
  <Override PartName="/xl/drawings/drawing79.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omments31.xml" ContentType="application/vnd.openxmlformats-officedocument.spreadsheetml.comments+xml"/>
  <Override PartName="/xl/drawings/drawing80.xml" ContentType="application/vnd.openxmlformats-officedocument.drawing+xml"/>
  <Override PartName="/xl/drawings/drawing81.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omments32.xml" ContentType="application/vnd.openxmlformats-officedocument.spreadsheetml.comments+xml"/>
  <Override PartName="/xl/drawings/drawing82.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omments33.xml" ContentType="application/vnd.openxmlformats-officedocument.spreadsheetml.comments+xml"/>
  <Override PartName="/xl/drawings/drawing83.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omments34.xml" ContentType="application/vnd.openxmlformats-officedocument.spreadsheetml.comments+xml"/>
  <Override PartName="/xl/drawings/drawing84.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omments35.xml" ContentType="application/vnd.openxmlformats-officedocument.spreadsheetml.comments+xml"/>
  <Override PartName="/xl/drawings/drawing85.xml" ContentType="application/vnd.openxmlformats-officedocument.drawing+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omments3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showInkAnnotation="0" codeName="DieseArbeitsmappe" defaultThemeVersion="124226"/>
  <mc:AlternateContent xmlns:mc="http://schemas.openxmlformats.org/markup-compatibility/2006">
    <mc:Choice Requires="x15">
      <x15ac:absPath xmlns:x15ac="http://schemas.microsoft.com/office/spreadsheetml/2010/11/ac" url="L:\Abteilung2\PRODUKTE\Kalkulationsdaten\Pflanzenbau\Marktfrüchte\2025\Infodienst Version\"/>
    </mc:Choice>
  </mc:AlternateContent>
  <xr:revisionPtr revIDLastSave="0" documentId="13_ncr:1_{8FC377A1-A0E1-4C64-AC41-F1301BFCE0C5}" xr6:coauthVersionLast="47" xr6:coauthVersionMax="47" xr10:uidLastSave="{00000000-0000-0000-0000-000000000000}"/>
  <workbookProtection lockStructure="1"/>
  <bookViews>
    <workbookView xWindow="57480" yWindow="-120" windowWidth="29040" windowHeight="15720" tabRatio="865" xr2:uid="{00000000-000D-0000-FFFF-FFFF00000000}"/>
  </bookViews>
  <sheets>
    <sheet name="Inhalt" sheetId="1" r:id="rId1"/>
    <sheet name="Erträge_2-J" sheetId="10" state="hidden" r:id="rId2"/>
    <sheet name="Erträge_3-J" sheetId="11" state="hidden" r:id="rId3"/>
    <sheet name="Erträge_4-J" sheetId="12" state="hidden" r:id="rId4"/>
    <sheet name="Erträge_5-J" sheetId="13" state="hidden" r:id="rId5"/>
    <sheet name="Preiskalkulation_Biomasse" sheetId="14" state="hidden" r:id="rId6"/>
    <sheet name="Maschinenauslastung" sheetId="15" state="hidden" r:id="rId7"/>
    <sheet name="Betriebsübersicht" sheetId="27" state="hidden" r:id="rId8"/>
    <sheet name="Daten" sheetId="29" state="hidden" r:id="rId9"/>
    <sheet name="Hinw" sheetId="2" r:id="rId10"/>
    <sheet name="E1" sheetId="3" r:id="rId11"/>
    <sheet name="E2" sheetId="4" r:id="rId12"/>
    <sheet name="EK1" sheetId="5" r:id="rId13"/>
    <sheet name="EÖ1" sheetId="7" r:id="rId14"/>
    <sheet name="SDK1" sheetId="9" r:id="rId15"/>
    <sheet name="SDÖ1" sheetId="16" r:id="rId16"/>
    <sheet name="SD2" sheetId="17" r:id="rId17"/>
    <sheet name="SD3" sheetId="18" r:id="rId18"/>
    <sheet name="SDK4" sheetId="20" r:id="rId19"/>
    <sheet name="SDÖ4" sheetId="21" r:id="rId20"/>
    <sheet name="SDK5" sheetId="22" r:id="rId21"/>
    <sheet name="SDÖ5" sheetId="23" r:id="rId22"/>
    <sheet name="SD6" sheetId="24" r:id="rId23"/>
    <sheet name="SDK7" sheetId="26" r:id="rId24"/>
    <sheet name="SDÖ7" sheetId="25" r:id="rId25"/>
    <sheet name="SD8" sheetId="28" r:id="rId26"/>
    <sheet name="Kostenrechnung" sheetId="30" r:id="rId27"/>
    <sheet name="WW1" sheetId="31" r:id="rId28"/>
    <sheet name="WW2" sheetId="33" r:id="rId29"/>
    <sheet name="WRo" sheetId="34" r:id="rId30"/>
    <sheet name="Tr" sheetId="35" r:id="rId31"/>
    <sheet name="WG" sheetId="36" r:id="rId32"/>
    <sheet name="SW" sheetId="38" r:id="rId33"/>
    <sheet name="Di" sheetId="37" r:id="rId34"/>
    <sheet name="SG-Fu" sheetId="39" r:id="rId35"/>
    <sheet name="BG" sheetId="40" r:id="rId36"/>
    <sheet name="Ha" sheetId="41" r:id="rId37"/>
    <sheet name="Du" sheetId="42" r:id="rId38"/>
    <sheet name="KöM" sheetId="44" r:id="rId39"/>
    <sheet name="KH" sheetId="43" r:id="rId40"/>
    <sheet name="WR" sheetId="45" r:id="rId41"/>
    <sheet name="SR" sheetId="46" r:id="rId42"/>
    <sheet name="Soja" sheetId="47" r:id="rId43"/>
    <sheet name="Öl" sheetId="48" r:id="rId44"/>
    <sheet name="FE" sheetId="49" r:id="rId45"/>
    <sheet name="AB" sheetId="50" r:id="rId46"/>
    <sheet name="Lu" sheetId="51" r:id="rId47"/>
    <sheet name="FrühKa" sheetId="53" r:id="rId48"/>
    <sheet name="FrühKaFolieBer" sheetId="54" r:id="rId49"/>
    <sheet name="SpKa" sheetId="55" r:id="rId50"/>
    <sheet name="SpKaBer" sheetId="56" r:id="rId51"/>
    <sheet name="ZR" sheetId="52" r:id="rId52"/>
    <sheet name="WW-A" sheetId="57" r:id="rId53"/>
    <sheet name="WW-E" sheetId="58" r:id="rId54"/>
    <sheet name="SoBl" sheetId="59" r:id="rId55"/>
    <sheet name="FAKT-Brachebegrünung" sheetId="60" r:id="rId56"/>
    <sheet name="Begr" sheetId="61" r:id="rId57"/>
    <sheet name="Vorlage" sheetId="62" r:id="rId58"/>
    <sheet name="Öko-KG1" sheetId="64" r:id="rId59"/>
    <sheet name="Öko-KG2" sheetId="66" r:id="rId60"/>
    <sheet name="Öko-LU1" sheetId="71" r:id="rId61"/>
    <sheet name="Öko-LU2" sheetId="65" r:id="rId62"/>
    <sheet name="Öko-WW-Brot" sheetId="72" r:id="rId63"/>
    <sheet name="Öko-WW-Futter" sheetId="73" r:id="rId64"/>
    <sheet name="Öko-Di" sheetId="74" r:id="rId65"/>
    <sheet name="Öko-Ro" sheetId="76" r:id="rId66"/>
    <sheet name="Öko-Ha" sheetId="77" r:id="rId67"/>
    <sheet name="Öko-Wg" sheetId="78" r:id="rId68"/>
    <sheet name="Öko-Bg" sheetId="79" r:id="rId69"/>
    <sheet name="Öko-KöM" sheetId="80" r:id="rId70"/>
    <sheet name="Öko-Ab" sheetId="81" r:id="rId71"/>
    <sheet name="Öko-Lu" sheetId="82" r:id="rId72"/>
    <sheet name="Öko-FE" sheetId="83" r:id="rId73"/>
    <sheet name="Öko-Soja" sheetId="84" r:id="rId74"/>
    <sheet name="Öko-Ka" sheetId="86" r:id="rId75"/>
    <sheet name="Blühm." sheetId="90" r:id="rId76"/>
    <sheet name="Begrün." sheetId="91" r:id="rId77"/>
    <sheet name="Vorlage I" sheetId="89" r:id="rId78"/>
    <sheet name="Grafik1-DB" sheetId="63" state="hidden" r:id="rId79"/>
    <sheet name="Öko-Dinkel,gegerbt" sheetId="75" state="hidden" r:id="rId80"/>
    <sheet name="Öko-Soblu" sheetId="85" state="hidden" r:id="rId81"/>
    <sheet name="Linsen" sheetId="87" state="hidden" r:id="rId82"/>
    <sheet name="Öko-Raps" sheetId="88" state="hidden" r:id="rId83"/>
    <sheet name="Leerblatt II" sheetId="92" state="hidden" r:id="rId84"/>
    <sheet name="TE6" sheetId="93" state="hidden" r:id="rId85"/>
    <sheet name="TE7" sheetId="94" state="hidden" r:id="rId86"/>
    <sheet name="TE8" sheetId="95" state="hidden" r:id="rId87"/>
    <sheet name="TE9" sheetId="96" state="hidden" r:id="rId88"/>
  </sheets>
  <definedNames>
    <definedName name="_xlnm._FilterDatabase" localSheetId="10" hidden="1">'E1'!$B$12:$B$64</definedName>
    <definedName name="_xlnm._FilterDatabase" localSheetId="20" hidden="1">'SDK5'!$B$4:$AC$104</definedName>
    <definedName name="_xlnm._FilterDatabase" localSheetId="21" hidden="1">SDÖ5!$B$5:$U$19</definedName>
    <definedName name="_xlnm.Print_Area" localSheetId="45">AB!$B$2:$P$75</definedName>
    <definedName name="_xlnm.Print_Area" localSheetId="56">Begr!$B$2:$P$75</definedName>
    <definedName name="_xlnm.Print_Area" localSheetId="76">Begrün.!$B$2:$P$71</definedName>
    <definedName name="_xlnm.Print_Area" localSheetId="35">BG!$B$2:$P$75</definedName>
    <definedName name="_xlnm.Print_Area" localSheetId="75">Blühm.!$B$2:$P$71</definedName>
    <definedName name="_xlnm.Print_Area" localSheetId="8">Daten!$B$2:$CR$61</definedName>
    <definedName name="_xlnm.Print_Area" localSheetId="33">Di!$B$2:$P$75</definedName>
    <definedName name="_xlnm.Print_Area" localSheetId="37">Du!$B$2:$P$75</definedName>
    <definedName name="_xlnm.Print_Area" localSheetId="10">'E1'!$C$2:$K$43</definedName>
    <definedName name="_xlnm.Print_Area" localSheetId="11">'E2'!$B$2:$L$41</definedName>
    <definedName name="_xlnm.Print_Area" localSheetId="12">'EK1'!$B$2:$J$24</definedName>
    <definedName name="_xlnm.Print_Area" localSheetId="55">'FAKT-Brachebegrünung'!$B$2:$P$75</definedName>
    <definedName name="_xlnm.Print_Area" localSheetId="44">FE!$B$2:$P$75</definedName>
    <definedName name="_xlnm.Print_Area" localSheetId="47">FrühKa!$B$2:$P$75</definedName>
    <definedName name="_xlnm.Print_Area" localSheetId="48">FrühKaFolieBer!$B$2:$P$75</definedName>
    <definedName name="_xlnm.Print_Area" localSheetId="78">'Grafik1-DB'!$B$2:$L$79</definedName>
    <definedName name="_xlnm.Print_Area" localSheetId="36">Ha!$B$2:$P$75</definedName>
    <definedName name="_xlnm.Print_Area" localSheetId="9">Hinw!$B$1:$Q$73</definedName>
    <definedName name="_xlnm.Print_Area" localSheetId="0">Inhalt!$B$2:$F$94</definedName>
    <definedName name="_xlnm.Print_Area" localSheetId="39">KH!$B$2:$P$75</definedName>
    <definedName name="_xlnm.Print_Area" localSheetId="38">KöM!$B$2:$P$75</definedName>
    <definedName name="_xlnm.Print_Area" localSheetId="26">Kostenrechnung!$B$2:$N$78,Kostenrechnung!$B$113:$N$137,Kostenrechnung!$B$139:$N$184</definedName>
    <definedName name="_xlnm.Print_Area" localSheetId="83">'Leerblatt II'!$B$2:$P$76</definedName>
    <definedName name="_xlnm.Print_Area" localSheetId="81">Linsen!$B$2:$P$76</definedName>
    <definedName name="_xlnm.Print_Area" localSheetId="46">Lu!$B$2:$P$75</definedName>
    <definedName name="_xlnm.Print_Area" localSheetId="70">'Öko-Ab'!$B$2:$P$71</definedName>
    <definedName name="_xlnm.Print_Area" localSheetId="68">'Öko-Bg'!$B$2:$P$71</definedName>
    <definedName name="_xlnm.Print_Area" localSheetId="64">'Öko-Di'!$B$2:$P$71</definedName>
    <definedName name="_xlnm.Print_Area" localSheetId="79">'Öko-Dinkel,gegerbt'!$B$2:$P$71</definedName>
    <definedName name="_xlnm.Print_Area" localSheetId="72">'Öko-FE'!$B$2:$P$71</definedName>
    <definedName name="_xlnm.Print_Area" localSheetId="66">'Öko-Ha'!$B$2:$P$71</definedName>
    <definedName name="_xlnm.Print_Area" localSheetId="74">'Öko-Ka'!$B$2:$P$71</definedName>
    <definedName name="_xlnm.Print_Area" localSheetId="58">'Öko-KG1'!$B$2:$P$72</definedName>
    <definedName name="_xlnm.Print_Area" localSheetId="59">'Öko-KG2'!$B$2:$P$71</definedName>
    <definedName name="_xlnm.Print_Area" localSheetId="69">'Öko-KöM'!$B$2:$P$71</definedName>
    <definedName name="_xlnm.Print_Area" localSheetId="71">'Öko-Lu'!$B$2:$P$75</definedName>
    <definedName name="_xlnm.Print_Area" localSheetId="60">'Öko-LU1'!$B$2:$P$71</definedName>
    <definedName name="_xlnm.Print_Area" localSheetId="61">'Öko-LU2'!$B$2:$P$71</definedName>
    <definedName name="_xlnm.Print_Area" localSheetId="82">'Öko-Raps'!$B$2:$P$71</definedName>
    <definedName name="_xlnm.Print_Area" localSheetId="65">'Öko-Ro'!$B$2:$P$71</definedName>
    <definedName name="_xlnm.Print_Area" localSheetId="80">'Öko-Soblu'!$B$2:$P$71</definedName>
    <definedName name="_xlnm.Print_Area" localSheetId="73">'Öko-Soja'!$B$2:$P$71</definedName>
    <definedName name="_xlnm.Print_Area" localSheetId="67">'Öko-Wg'!$B$2:$P$71</definedName>
    <definedName name="_xlnm.Print_Area" localSheetId="62">'Öko-WW-Brot'!$B$2:$P$71</definedName>
    <definedName name="_xlnm.Print_Area" localSheetId="63">'Öko-WW-Futter'!$B$2:$P$72</definedName>
    <definedName name="_xlnm.Print_Area" localSheetId="43">Öl!$B$2:$P$75</definedName>
    <definedName name="_xlnm.Print_Area" localSheetId="5">Preiskalkulation_Biomasse!$A$1:$U$111</definedName>
    <definedName name="_xlnm.Print_Area" localSheetId="16">'SD2'!$A$1:$O$80</definedName>
    <definedName name="_xlnm.Print_Area" localSheetId="17">'SD3'!$B$5:$O$85,'SD3'!$B$87:$O$108</definedName>
    <definedName name="_xlnm.Print_Area" localSheetId="22">'SD6'!$B$2:$N$87</definedName>
    <definedName name="_xlnm.Print_Area" localSheetId="25">'SD8'!$B$2:$I$60</definedName>
    <definedName name="_xlnm.Print_Area" localSheetId="14">'SDK1'!$B$2:$P$65</definedName>
    <definedName name="_xlnm.Print_Area" localSheetId="18">'SDK4'!$B$2:$N$55</definedName>
    <definedName name="_xlnm.Print_Area" localSheetId="20">'SDK5'!$AP$2:$BC$55</definedName>
    <definedName name="_xlnm.Print_Area" localSheetId="23">'SDK7'!$C$2:$O$189</definedName>
    <definedName name="_xlnm.Print_Area" localSheetId="15">SDÖ1!$B$1:$AE$82</definedName>
    <definedName name="_xlnm.Print_Area" localSheetId="19">SDÖ4!$B$2:$Q$60</definedName>
    <definedName name="_xlnm.Print_Area" localSheetId="21">SDÖ5!$C$3:$O$43</definedName>
    <definedName name="_xlnm.Print_Area" localSheetId="24">SDÖ7!$C$2:$O$145</definedName>
    <definedName name="_xlnm.Print_Area" localSheetId="34">'SG-Fu'!$B$2:$P$75</definedName>
    <definedName name="_xlnm.Print_Area" localSheetId="54">SoBl!$B$2:$P$75</definedName>
    <definedName name="_xlnm.Print_Area" localSheetId="42">Soja!$B$2:$P$75</definedName>
    <definedName name="_xlnm.Print_Area" localSheetId="49">SpKa!$B$2:$P$75</definedName>
    <definedName name="_xlnm.Print_Area" localSheetId="50">SpKaBer!$B$2:$P$75</definedName>
    <definedName name="_xlnm.Print_Area" localSheetId="41">SR!$B$2:$P$75</definedName>
    <definedName name="_xlnm.Print_Area" localSheetId="32">SW!$B$2:$P$75</definedName>
    <definedName name="_xlnm.Print_Area" localSheetId="84">'TE6'!$B$2:$P$76</definedName>
    <definedName name="_xlnm.Print_Area" localSheetId="85">'TE7'!$B$2:$P$76</definedName>
    <definedName name="_xlnm.Print_Area" localSheetId="86">'TE8'!$B$2:$P$76</definedName>
    <definedName name="_xlnm.Print_Area" localSheetId="87">'TE9'!$B$2:$P$76</definedName>
    <definedName name="_xlnm.Print_Area" localSheetId="30">Tr!$B$2:$P$75</definedName>
    <definedName name="_xlnm.Print_Area" localSheetId="57">Vorlage!$B$2:$P$75</definedName>
    <definedName name="_xlnm.Print_Area" localSheetId="77">'Vorlage I'!$B$2:$P$71</definedName>
    <definedName name="_xlnm.Print_Area" localSheetId="31">WG!$B$2:$P$75</definedName>
    <definedName name="_xlnm.Print_Area" localSheetId="40">WR!$B$2:$P$75</definedName>
    <definedName name="_xlnm.Print_Area" localSheetId="29">WRo!$B$2:$P$75</definedName>
    <definedName name="_xlnm.Print_Area" localSheetId="27">'WW1'!$B$2:$P$76</definedName>
    <definedName name="_xlnm.Print_Area" localSheetId="28">'WW2'!$B$2:$P$75</definedName>
    <definedName name="_xlnm.Print_Area" localSheetId="52">'WW-A'!$B$2:$P$75</definedName>
    <definedName name="_xlnm.Print_Area" localSheetId="53">'WW-E'!$B$2:$P$75</definedName>
    <definedName name="_xlnm.Print_Area" localSheetId="51">ZR!$B$2:$P$75</definedName>
    <definedName name="_xlnm.Print_Titles" localSheetId="8">Daten!$B:$C,Daten!$2:$4</definedName>
    <definedName name="_xlnm.Print_Titles" localSheetId="5">Preiskalkulation_Biomasse!$1:$22</definedName>
    <definedName name="_xlnm.Print_Titles" localSheetId="16">'SD2'!$2:$3</definedName>
    <definedName name="_xlnm.Print_Titles" localSheetId="17">'SD3'!$2:$4</definedName>
    <definedName name="_xlnm.Print_Titles" localSheetId="22">'SD6'!$2:$7</definedName>
    <definedName name="_xlnm.Print_Titles" localSheetId="23">'SDK7'!$2:$2</definedName>
    <definedName name="_xlnm.Print_Titles" localSheetId="24">SDÖ7!$2:$2</definedName>
    <definedName name="Öko__Lupine">'Öko-Lu'!$L$2:$P$2</definedName>
    <definedName name="Saatbettkombination_4_5_m">'Öko-KG1'!$C$47</definedName>
    <definedName name="Wintergetreide" localSheetId="15">'Öko-KG1'!$E$67</definedName>
    <definedName name="Winterroggen___Brot">EÖ1!$I$8</definedName>
    <definedName name="Z_166CD656_4839_4ED4_9CB3_D994CFB3310C_.wvu.Cols" localSheetId="10" hidden="1">'E1'!$F:$F,'E1'!$I:$I</definedName>
    <definedName name="Z_166CD656_4839_4ED4_9CB3_D994CFB3310C_.wvu.Cols" localSheetId="0" hidden="1">Inhalt!$H:$I</definedName>
    <definedName name="Z_166CD656_4839_4ED4_9CB3_D994CFB3310C_.wvu.Cols" localSheetId="5" hidden="1">Preiskalkulation_Biomasse!$AB:$AB</definedName>
    <definedName name="Z_166CD656_4839_4ED4_9CB3_D994CFB3310C_.wvu.Cols" localSheetId="17" hidden="1">'SD3'!$R:$R</definedName>
    <definedName name="Z_166CD656_4839_4ED4_9CB3_D994CFB3310C_.wvu.Cols" localSheetId="22" hidden="1">'SD6'!#REF!</definedName>
    <definedName name="Z_166CD656_4839_4ED4_9CB3_D994CFB3310C_.wvu.Cols" localSheetId="25" hidden="1">'SD8'!$C:$C</definedName>
    <definedName name="Z_166CD656_4839_4ED4_9CB3_D994CFB3310C_.wvu.Cols" localSheetId="20" hidden="1">'SDK5'!$P:$P</definedName>
    <definedName name="Z_166CD656_4839_4ED4_9CB3_D994CFB3310C_.wvu.FilterData" localSheetId="10" hidden="1">'E1'!$B$12:$B$43</definedName>
    <definedName name="Z_166CD656_4839_4ED4_9CB3_D994CFB3310C_.wvu.FilterData" localSheetId="20" hidden="1">'SDK5'!$B$4:$AC$86</definedName>
    <definedName name="Z_166CD656_4839_4ED4_9CB3_D994CFB3310C_.wvu.PrintArea" localSheetId="45" hidden="1">AB!$B$2:$P$75</definedName>
    <definedName name="Z_166CD656_4839_4ED4_9CB3_D994CFB3310C_.wvu.PrintArea" localSheetId="56" hidden="1">Begr!$B$2:$P$75</definedName>
    <definedName name="Z_166CD656_4839_4ED4_9CB3_D994CFB3310C_.wvu.PrintArea" localSheetId="35" hidden="1">BG!$B$2:$P$75</definedName>
    <definedName name="Z_166CD656_4839_4ED4_9CB3_D994CFB3310C_.wvu.PrintArea" localSheetId="33" hidden="1">Di!$B$2:$P$75</definedName>
    <definedName name="Z_166CD656_4839_4ED4_9CB3_D994CFB3310C_.wvu.PrintArea" localSheetId="37" hidden="1">Du!$B$2:$P$75</definedName>
    <definedName name="Z_166CD656_4839_4ED4_9CB3_D994CFB3310C_.wvu.PrintArea" localSheetId="10" hidden="1">'E1'!$C$2:$K$43</definedName>
    <definedName name="Z_166CD656_4839_4ED4_9CB3_D994CFB3310C_.wvu.PrintArea" localSheetId="11" hidden="1">'E2'!$B$2:$L$41</definedName>
    <definedName name="Z_166CD656_4839_4ED4_9CB3_D994CFB3310C_.wvu.PrintArea" localSheetId="12" hidden="1">'EK1'!$B$2:$J$24</definedName>
    <definedName name="Z_166CD656_4839_4ED4_9CB3_D994CFB3310C_.wvu.PrintArea" localSheetId="55" hidden="1">'FAKT-Brachebegrünung'!$B$2:$P$75</definedName>
    <definedName name="Z_166CD656_4839_4ED4_9CB3_D994CFB3310C_.wvu.PrintArea" localSheetId="44" hidden="1">FE!$B$2:$P$75</definedName>
    <definedName name="Z_166CD656_4839_4ED4_9CB3_D994CFB3310C_.wvu.PrintArea" localSheetId="47" hidden="1">FrühKa!$B$2:$P$75</definedName>
    <definedName name="Z_166CD656_4839_4ED4_9CB3_D994CFB3310C_.wvu.PrintArea" localSheetId="48" hidden="1">FrühKaFolieBer!$B$2:$P$75</definedName>
    <definedName name="Z_166CD656_4839_4ED4_9CB3_D994CFB3310C_.wvu.PrintArea" localSheetId="36" hidden="1">Ha!$B$2:$P$75</definedName>
    <definedName name="Z_166CD656_4839_4ED4_9CB3_D994CFB3310C_.wvu.PrintArea" localSheetId="9" hidden="1">Hinw!$B$1:$Q$73</definedName>
    <definedName name="Z_166CD656_4839_4ED4_9CB3_D994CFB3310C_.wvu.PrintArea" localSheetId="0" hidden="1">Inhalt!$B$2:$F$94</definedName>
    <definedName name="Z_166CD656_4839_4ED4_9CB3_D994CFB3310C_.wvu.PrintArea" localSheetId="39" hidden="1">KH!$B$2:$P$75</definedName>
    <definedName name="Z_166CD656_4839_4ED4_9CB3_D994CFB3310C_.wvu.PrintArea" localSheetId="38" hidden="1">KöM!$B$2:$P$75</definedName>
    <definedName name="Z_166CD656_4839_4ED4_9CB3_D994CFB3310C_.wvu.PrintArea" localSheetId="46" hidden="1">Lu!$B$2:$P$75</definedName>
    <definedName name="Z_166CD656_4839_4ED4_9CB3_D994CFB3310C_.wvu.PrintArea" localSheetId="71" hidden="1">'Öko-Lu'!$B$2:$P$75</definedName>
    <definedName name="Z_166CD656_4839_4ED4_9CB3_D994CFB3310C_.wvu.PrintArea" localSheetId="43" hidden="1">Öl!$B$2:$P$75</definedName>
    <definedName name="Z_166CD656_4839_4ED4_9CB3_D994CFB3310C_.wvu.PrintArea" localSheetId="5" hidden="1">Preiskalkulation_Biomasse!$A$1:$U$111</definedName>
    <definedName name="Z_166CD656_4839_4ED4_9CB3_D994CFB3310C_.wvu.PrintArea" localSheetId="16" hidden="1">'SD2'!$A$1:$O$80</definedName>
    <definedName name="Z_166CD656_4839_4ED4_9CB3_D994CFB3310C_.wvu.PrintArea" localSheetId="17" hidden="1">'SD3'!$B$5:$O$85,'SD3'!$B$87:$O$108</definedName>
    <definedName name="Z_166CD656_4839_4ED4_9CB3_D994CFB3310C_.wvu.PrintArea" localSheetId="22" hidden="1">'SD6'!$B$2:$N$87</definedName>
    <definedName name="Z_166CD656_4839_4ED4_9CB3_D994CFB3310C_.wvu.PrintArea" localSheetId="25" hidden="1">'SD8'!$B$2:$I$60</definedName>
    <definedName name="Z_166CD656_4839_4ED4_9CB3_D994CFB3310C_.wvu.PrintArea" localSheetId="14" hidden="1">'SDK1'!$B$2:$P$65</definedName>
    <definedName name="Z_166CD656_4839_4ED4_9CB3_D994CFB3310C_.wvu.PrintArea" localSheetId="18" hidden="1">'SDK4'!$B$2:$N$55</definedName>
    <definedName name="Z_166CD656_4839_4ED4_9CB3_D994CFB3310C_.wvu.PrintArea" localSheetId="20" hidden="1">'SDK5'!$AP$2:$BC$55</definedName>
    <definedName name="Z_166CD656_4839_4ED4_9CB3_D994CFB3310C_.wvu.PrintArea" localSheetId="23" hidden="1">'SDK7'!$C$2:$O$189</definedName>
    <definedName name="Z_166CD656_4839_4ED4_9CB3_D994CFB3310C_.wvu.PrintArea" localSheetId="34" hidden="1">'SG-Fu'!$B$2:$P$75</definedName>
    <definedName name="Z_166CD656_4839_4ED4_9CB3_D994CFB3310C_.wvu.PrintArea" localSheetId="54" hidden="1">SoBl!$B$2:$P$75</definedName>
    <definedName name="Z_166CD656_4839_4ED4_9CB3_D994CFB3310C_.wvu.PrintArea" localSheetId="42" hidden="1">Soja!$B$2:$P$75</definedName>
    <definedName name="Z_166CD656_4839_4ED4_9CB3_D994CFB3310C_.wvu.PrintArea" localSheetId="49" hidden="1">SpKa!$B$2:$P$75</definedName>
    <definedName name="Z_166CD656_4839_4ED4_9CB3_D994CFB3310C_.wvu.PrintArea" localSheetId="50" hidden="1">SpKaBer!$B$2:$P$75</definedName>
    <definedName name="Z_166CD656_4839_4ED4_9CB3_D994CFB3310C_.wvu.PrintArea" localSheetId="41" hidden="1">SR!$B$2:$P$75</definedName>
    <definedName name="Z_166CD656_4839_4ED4_9CB3_D994CFB3310C_.wvu.PrintArea" localSheetId="32" hidden="1">SW!$B$2:$P$75</definedName>
    <definedName name="Z_166CD656_4839_4ED4_9CB3_D994CFB3310C_.wvu.PrintArea" localSheetId="30" hidden="1">Tr!$B$2:$P$75</definedName>
    <definedName name="Z_166CD656_4839_4ED4_9CB3_D994CFB3310C_.wvu.PrintArea" localSheetId="57" hidden="1">Vorlage!$B$2:$P$75</definedName>
    <definedName name="Z_166CD656_4839_4ED4_9CB3_D994CFB3310C_.wvu.PrintArea" localSheetId="31" hidden="1">WG!$B$2:$P$75</definedName>
    <definedName name="Z_166CD656_4839_4ED4_9CB3_D994CFB3310C_.wvu.PrintArea" localSheetId="40" hidden="1">WR!$B$2:$P$75</definedName>
    <definedName name="Z_166CD656_4839_4ED4_9CB3_D994CFB3310C_.wvu.PrintArea" localSheetId="29" hidden="1">WRo!$B$2:$P$75</definedName>
    <definedName name="Z_166CD656_4839_4ED4_9CB3_D994CFB3310C_.wvu.PrintArea" localSheetId="27" hidden="1">'WW1'!$B$2:$P$76</definedName>
    <definedName name="Z_166CD656_4839_4ED4_9CB3_D994CFB3310C_.wvu.PrintArea" localSheetId="28" hidden="1">'WW2'!$B$2:$P$75</definedName>
    <definedName name="Z_166CD656_4839_4ED4_9CB3_D994CFB3310C_.wvu.PrintArea" localSheetId="52" hidden="1">'WW-A'!$B$2:$P$75</definedName>
    <definedName name="Z_166CD656_4839_4ED4_9CB3_D994CFB3310C_.wvu.PrintArea" localSheetId="53" hidden="1">'WW-E'!$B$2:$P$75</definedName>
    <definedName name="Z_166CD656_4839_4ED4_9CB3_D994CFB3310C_.wvu.PrintArea" localSheetId="51" hidden="1">ZR!$B$2:$P$75</definedName>
    <definedName name="Z_166CD656_4839_4ED4_9CB3_D994CFB3310C_.wvu.PrintTitles" localSheetId="5" hidden="1">Preiskalkulation_Biomasse!$1:$22</definedName>
    <definedName name="Z_166CD656_4839_4ED4_9CB3_D994CFB3310C_.wvu.PrintTitles" localSheetId="16" hidden="1">'SD2'!$2:$3</definedName>
    <definedName name="Z_166CD656_4839_4ED4_9CB3_D994CFB3310C_.wvu.PrintTitles" localSheetId="17" hidden="1">'SD3'!$2:$4</definedName>
    <definedName name="Z_166CD656_4839_4ED4_9CB3_D994CFB3310C_.wvu.PrintTitles" localSheetId="22" hidden="1">'SD6'!$2:$7</definedName>
    <definedName name="Z_166CD656_4839_4ED4_9CB3_D994CFB3310C_.wvu.PrintTitles" localSheetId="23" hidden="1">'SDK7'!$2:$2</definedName>
    <definedName name="Z_166CD656_4839_4ED4_9CB3_D994CFB3310C_.wvu.Rows" localSheetId="45" hidden="1">AB!#REF!</definedName>
    <definedName name="Z_166CD656_4839_4ED4_9CB3_D994CFB3310C_.wvu.Rows" localSheetId="56" hidden="1">Begr!$11:$12,Begr!#REF!</definedName>
    <definedName name="Z_166CD656_4839_4ED4_9CB3_D994CFB3310C_.wvu.Rows" localSheetId="35" hidden="1">BG!#REF!</definedName>
    <definedName name="Z_166CD656_4839_4ED4_9CB3_D994CFB3310C_.wvu.Rows" localSheetId="33" hidden="1">Di!#REF!</definedName>
    <definedName name="Z_166CD656_4839_4ED4_9CB3_D994CFB3310C_.wvu.Rows" localSheetId="37" hidden="1">Du!#REF!</definedName>
    <definedName name="Z_166CD656_4839_4ED4_9CB3_D994CFB3310C_.wvu.Rows" localSheetId="12" hidden="1">'EK1'!$23:$24</definedName>
    <definedName name="Z_166CD656_4839_4ED4_9CB3_D994CFB3310C_.wvu.Rows" localSheetId="1" hidden="1">'Erträge_2-J'!$11:$12,'Erträge_2-J'!$18:$19,'Erträge_2-J'!$25:$28,'Erträge_2-J'!$33:$33,'Erträge_2-J'!$38:$40,'Erträge_2-J'!$45:$70</definedName>
    <definedName name="Z_166CD656_4839_4ED4_9CB3_D994CFB3310C_.wvu.Rows" localSheetId="2" hidden="1">'Erträge_3-J'!$11:$12,'Erträge_3-J'!$18:$19,'Erträge_3-J'!$25:$28,'Erträge_3-J'!$33:$33,'Erträge_3-J'!$38:$40,'Erträge_3-J'!$45:$70</definedName>
    <definedName name="Z_166CD656_4839_4ED4_9CB3_D994CFB3310C_.wvu.Rows" localSheetId="3" hidden="1">'Erträge_4-J'!$11:$12,'Erträge_4-J'!$18:$19,'Erträge_4-J'!$25:$28,'Erträge_4-J'!$33:$33,'Erträge_4-J'!$38:$40,'Erträge_4-J'!$45:$70</definedName>
    <definedName name="Z_166CD656_4839_4ED4_9CB3_D994CFB3310C_.wvu.Rows" localSheetId="4" hidden="1">'Erträge_5-J'!$11:$12,'Erträge_5-J'!$18:$19,'Erträge_5-J'!$33:$33,'Erträge_5-J'!$38:$40,'Erträge_5-J'!$45:$70</definedName>
    <definedName name="Z_166CD656_4839_4ED4_9CB3_D994CFB3310C_.wvu.Rows" localSheetId="55" hidden="1">'FAKT-Brachebegrünung'!$11:$12,'FAKT-Brachebegrünung'!#REF!</definedName>
    <definedName name="Z_166CD656_4839_4ED4_9CB3_D994CFB3310C_.wvu.Rows" localSheetId="44" hidden="1">FE!$11:$12,FE!#REF!</definedName>
    <definedName name="Z_166CD656_4839_4ED4_9CB3_D994CFB3310C_.wvu.Rows" localSheetId="47" hidden="1">FrühKa!$11:$12,FrühKa!#REF!</definedName>
    <definedName name="Z_166CD656_4839_4ED4_9CB3_D994CFB3310C_.wvu.Rows" localSheetId="48" hidden="1">FrühKaFolieBer!$11:$12,FrühKaFolieBer!#REF!</definedName>
    <definedName name="Z_166CD656_4839_4ED4_9CB3_D994CFB3310C_.wvu.Rows" localSheetId="36" hidden="1">Ha!#REF!</definedName>
    <definedName name="Z_166CD656_4839_4ED4_9CB3_D994CFB3310C_.wvu.Rows" localSheetId="0" hidden="1">Inhalt!$60:$60,Inhalt!$67:$68,Inhalt!$74:$87,Inhalt!$91:$91</definedName>
    <definedName name="Z_166CD656_4839_4ED4_9CB3_D994CFB3310C_.wvu.Rows" localSheetId="39" hidden="1">KH!$11:$12,KH!#REF!</definedName>
    <definedName name="Z_166CD656_4839_4ED4_9CB3_D994CFB3310C_.wvu.Rows" localSheetId="38" hidden="1">KöM!$11:$12,KöM!#REF!</definedName>
    <definedName name="Z_166CD656_4839_4ED4_9CB3_D994CFB3310C_.wvu.Rows" localSheetId="46" hidden="1">Lu!$11:$12,Lu!#REF!</definedName>
    <definedName name="Z_166CD656_4839_4ED4_9CB3_D994CFB3310C_.wvu.Rows" localSheetId="71" hidden="1">'Öko-Lu'!$11:$12,'Öko-Lu'!#REF!</definedName>
    <definedName name="Z_166CD656_4839_4ED4_9CB3_D994CFB3310C_.wvu.Rows" localSheetId="43" hidden="1">Öl!$11:$12,Öl!#REF!</definedName>
    <definedName name="Z_166CD656_4839_4ED4_9CB3_D994CFB3310C_.wvu.Rows" localSheetId="16" hidden="1">'SD2'!$89:$92</definedName>
    <definedName name="Z_166CD656_4839_4ED4_9CB3_D994CFB3310C_.wvu.Rows" localSheetId="17" hidden="1">'SD3'!#REF!,'SD3'!$98:$100</definedName>
    <definedName name="Z_166CD656_4839_4ED4_9CB3_D994CFB3310C_.wvu.Rows" localSheetId="25" hidden="1">'SD8'!$8:$8,'SD8'!$57:$57</definedName>
    <definedName name="Z_166CD656_4839_4ED4_9CB3_D994CFB3310C_.wvu.Rows" localSheetId="14" hidden="1">'SDK1'!#REF!,'SDK1'!#REF!,'SDK1'!#REF!,'SDK1'!$43:$44,'SDK1'!$62:$62</definedName>
    <definedName name="Z_166CD656_4839_4ED4_9CB3_D994CFB3310C_.wvu.Rows" localSheetId="18" hidden="1">'SDK4'!$19:$32</definedName>
    <definedName name="Z_166CD656_4839_4ED4_9CB3_D994CFB3310C_.wvu.Rows" localSheetId="23" hidden="1">'SDK7'!$116:$174,'SDK7'!$245:$252</definedName>
    <definedName name="Z_166CD656_4839_4ED4_9CB3_D994CFB3310C_.wvu.Rows" localSheetId="34" hidden="1">'SG-Fu'!#REF!</definedName>
    <definedName name="Z_166CD656_4839_4ED4_9CB3_D994CFB3310C_.wvu.Rows" localSheetId="54" hidden="1">SoBl!$11:$12,SoBl!#REF!</definedName>
    <definedName name="Z_166CD656_4839_4ED4_9CB3_D994CFB3310C_.wvu.Rows" localSheetId="42" hidden="1">Soja!$11:$12,Soja!#REF!</definedName>
    <definedName name="Z_166CD656_4839_4ED4_9CB3_D994CFB3310C_.wvu.Rows" localSheetId="49" hidden="1">SpKa!$11:$12,SpKa!#REF!</definedName>
    <definedName name="Z_166CD656_4839_4ED4_9CB3_D994CFB3310C_.wvu.Rows" localSheetId="50" hidden="1">SpKaBer!$11:$12,SpKaBer!#REF!</definedName>
    <definedName name="Z_166CD656_4839_4ED4_9CB3_D994CFB3310C_.wvu.Rows" localSheetId="41" hidden="1">SR!$11:$12,SR!#REF!</definedName>
    <definedName name="Z_166CD656_4839_4ED4_9CB3_D994CFB3310C_.wvu.Rows" localSheetId="32" hidden="1">SW!#REF!</definedName>
    <definedName name="Z_166CD656_4839_4ED4_9CB3_D994CFB3310C_.wvu.Rows" localSheetId="30" hidden="1">Tr!#REF!</definedName>
    <definedName name="Z_166CD656_4839_4ED4_9CB3_D994CFB3310C_.wvu.Rows" localSheetId="57" hidden="1">Vorlage!#REF!</definedName>
    <definedName name="Z_166CD656_4839_4ED4_9CB3_D994CFB3310C_.wvu.Rows" localSheetId="31" hidden="1">WG!#REF!</definedName>
    <definedName name="Z_166CD656_4839_4ED4_9CB3_D994CFB3310C_.wvu.Rows" localSheetId="40" hidden="1">WR!$11:$12,WR!#REF!</definedName>
    <definedName name="Z_166CD656_4839_4ED4_9CB3_D994CFB3310C_.wvu.Rows" localSheetId="29" hidden="1">WRo!#REF!</definedName>
    <definedName name="Z_166CD656_4839_4ED4_9CB3_D994CFB3310C_.wvu.Rows" localSheetId="27" hidden="1">'WW1'!#REF!</definedName>
    <definedName name="Z_166CD656_4839_4ED4_9CB3_D994CFB3310C_.wvu.Rows" localSheetId="28" hidden="1">'WW2'!#REF!</definedName>
    <definedName name="Z_166CD656_4839_4ED4_9CB3_D994CFB3310C_.wvu.Rows" localSheetId="52" hidden="1">'WW-A'!#REF!</definedName>
    <definedName name="Z_166CD656_4839_4ED4_9CB3_D994CFB3310C_.wvu.Rows" localSheetId="53" hidden="1">'WW-E'!#REF!</definedName>
    <definedName name="Z_166CD656_4839_4ED4_9CB3_D994CFB3310C_.wvu.Rows" localSheetId="51" hidden="1">ZR!$11:$12,ZR!#REF!</definedName>
    <definedName name="Z_22A73C4F_9004_4CEF_8499_B1F91BE1B569_.wvu.Cols" localSheetId="45" hidden="1">AB!$Q:$Z</definedName>
    <definedName name="Z_22A73C4F_9004_4CEF_8499_B1F91BE1B569_.wvu.Cols" localSheetId="56" hidden="1">Begr!$Q:$AB</definedName>
    <definedName name="Z_22A73C4F_9004_4CEF_8499_B1F91BE1B569_.wvu.Cols" localSheetId="76" hidden="1">Begrün.!$Q:$AA</definedName>
    <definedName name="Z_22A73C4F_9004_4CEF_8499_B1F91BE1B569_.wvu.Cols" localSheetId="35" hidden="1">BG!$Q:$AA</definedName>
    <definedName name="Z_22A73C4F_9004_4CEF_8499_B1F91BE1B569_.wvu.Cols" localSheetId="75" hidden="1">Blühm.!$Q:$AA</definedName>
    <definedName name="Z_22A73C4F_9004_4CEF_8499_B1F91BE1B569_.wvu.Cols" localSheetId="33" hidden="1">Di!$Q:$AC</definedName>
    <definedName name="Z_22A73C4F_9004_4CEF_8499_B1F91BE1B569_.wvu.Cols" localSheetId="37" hidden="1">Du!$Q:$AA</definedName>
    <definedName name="Z_22A73C4F_9004_4CEF_8499_B1F91BE1B569_.wvu.Cols" localSheetId="10" hidden="1">'E1'!$F:$F,'E1'!$I:$I</definedName>
    <definedName name="Z_22A73C4F_9004_4CEF_8499_B1F91BE1B569_.wvu.Cols" localSheetId="11" hidden="1">'E2'!$O:$Q</definedName>
    <definedName name="Z_22A73C4F_9004_4CEF_8499_B1F91BE1B569_.wvu.Cols" localSheetId="12" hidden="1">'EK1'!$L:$L</definedName>
    <definedName name="Z_22A73C4F_9004_4CEF_8499_B1F91BE1B569_.wvu.Cols" localSheetId="13" hidden="1">EÖ1!$U:$U</definedName>
    <definedName name="Z_22A73C4F_9004_4CEF_8499_B1F91BE1B569_.wvu.Cols" localSheetId="55" hidden="1">'FAKT-Brachebegrünung'!$Q:$Z</definedName>
    <definedName name="Z_22A73C4F_9004_4CEF_8499_B1F91BE1B569_.wvu.Cols" localSheetId="44" hidden="1">FE!$Q:$Z</definedName>
    <definedName name="Z_22A73C4F_9004_4CEF_8499_B1F91BE1B569_.wvu.Cols" localSheetId="47" hidden="1">FrühKa!$Q:$Z</definedName>
    <definedName name="Z_22A73C4F_9004_4CEF_8499_B1F91BE1B569_.wvu.Cols" localSheetId="48" hidden="1">FrühKaFolieBer!$Q:$AF</definedName>
    <definedName name="Z_22A73C4F_9004_4CEF_8499_B1F91BE1B569_.wvu.Cols" localSheetId="36" hidden="1">Ha!$Q:$AA</definedName>
    <definedName name="Z_22A73C4F_9004_4CEF_8499_B1F91BE1B569_.wvu.Cols" localSheetId="0" hidden="1">Inhalt!$H:$I</definedName>
    <definedName name="Z_22A73C4F_9004_4CEF_8499_B1F91BE1B569_.wvu.Cols" localSheetId="39" hidden="1">KH!$Q:$AF</definedName>
    <definedName name="Z_22A73C4F_9004_4CEF_8499_B1F91BE1B569_.wvu.Cols" localSheetId="38" hidden="1">KöM!$Q:$AA</definedName>
    <definedName name="Z_22A73C4F_9004_4CEF_8499_B1F91BE1B569_.wvu.Cols" localSheetId="83" hidden="1">'Leerblatt II'!$Q:$AD</definedName>
    <definedName name="Z_22A73C4F_9004_4CEF_8499_B1F91BE1B569_.wvu.Cols" localSheetId="81" hidden="1">Linsen!$Q:$AB</definedName>
    <definedName name="Z_22A73C4F_9004_4CEF_8499_B1F91BE1B569_.wvu.Cols" localSheetId="46" hidden="1">Lu!$Q:$Z</definedName>
    <definedName name="Z_22A73C4F_9004_4CEF_8499_B1F91BE1B569_.wvu.Cols" localSheetId="70" hidden="1">'Öko-Ab'!$Q:$Z</definedName>
    <definedName name="Z_22A73C4F_9004_4CEF_8499_B1F91BE1B569_.wvu.Cols" localSheetId="68" hidden="1">'Öko-Bg'!$Q:$AB</definedName>
    <definedName name="Z_22A73C4F_9004_4CEF_8499_B1F91BE1B569_.wvu.Cols" localSheetId="64" hidden="1">'Öko-Di'!$Q:$AB</definedName>
    <definedName name="Z_22A73C4F_9004_4CEF_8499_B1F91BE1B569_.wvu.Cols" localSheetId="79" hidden="1">'Öko-Dinkel,gegerbt'!$R:$AA</definedName>
    <definedName name="Z_22A73C4F_9004_4CEF_8499_B1F91BE1B569_.wvu.Cols" localSheetId="72" hidden="1">'Öko-FE'!$Q:$Z</definedName>
    <definedName name="Z_22A73C4F_9004_4CEF_8499_B1F91BE1B569_.wvu.Cols" localSheetId="66" hidden="1">'Öko-Ha'!$Q:$AB</definedName>
    <definedName name="Z_22A73C4F_9004_4CEF_8499_B1F91BE1B569_.wvu.Cols" localSheetId="74" hidden="1">'Öko-Ka'!$Q:$AA</definedName>
    <definedName name="Z_22A73C4F_9004_4CEF_8499_B1F91BE1B569_.wvu.Cols" localSheetId="58" hidden="1">'Öko-KG1'!$Q:$AH</definedName>
    <definedName name="Z_22A73C4F_9004_4CEF_8499_B1F91BE1B569_.wvu.Cols" localSheetId="59" hidden="1">'Öko-KG2'!$Q:$AD</definedName>
    <definedName name="Z_22A73C4F_9004_4CEF_8499_B1F91BE1B569_.wvu.Cols" localSheetId="69" hidden="1">'Öko-KöM'!$Q:$AA</definedName>
    <definedName name="Z_22A73C4F_9004_4CEF_8499_B1F91BE1B569_.wvu.Cols" localSheetId="71" hidden="1">'Öko-Lu'!$Q:$Z</definedName>
    <definedName name="Z_22A73C4F_9004_4CEF_8499_B1F91BE1B569_.wvu.Cols" localSheetId="60" hidden="1">'Öko-LU1'!$Q:$AI</definedName>
    <definedName name="Z_22A73C4F_9004_4CEF_8499_B1F91BE1B569_.wvu.Cols" localSheetId="61" hidden="1">'Öko-LU2'!$Q:$AF</definedName>
    <definedName name="Z_22A73C4F_9004_4CEF_8499_B1F91BE1B569_.wvu.Cols" localSheetId="82" hidden="1">'Öko-Raps'!$Q:$Z</definedName>
    <definedName name="Z_22A73C4F_9004_4CEF_8499_B1F91BE1B569_.wvu.Cols" localSheetId="65" hidden="1">'Öko-Ro'!$Q:$AB</definedName>
    <definedName name="Z_22A73C4F_9004_4CEF_8499_B1F91BE1B569_.wvu.Cols" localSheetId="80" hidden="1">'Öko-Soblu'!$R:$X</definedName>
    <definedName name="Z_22A73C4F_9004_4CEF_8499_B1F91BE1B569_.wvu.Cols" localSheetId="73" hidden="1">'Öko-Soja'!$Q:$Z</definedName>
    <definedName name="Z_22A73C4F_9004_4CEF_8499_B1F91BE1B569_.wvu.Cols" localSheetId="67" hidden="1">'Öko-Wg'!$Q:$AB</definedName>
    <definedName name="Z_22A73C4F_9004_4CEF_8499_B1F91BE1B569_.wvu.Cols" localSheetId="62" hidden="1">'Öko-WW-Brot'!$Q:$AD</definedName>
    <definedName name="Z_22A73C4F_9004_4CEF_8499_B1F91BE1B569_.wvu.Cols" localSheetId="63" hidden="1">'Öko-WW-Futter'!$Q:$AD</definedName>
    <definedName name="Z_22A73C4F_9004_4CEF_8499_B1F91BE1B569_.wvu.Cols" localSheetId="43" hidden="1">Öl!$Q:$AB</definedName>
    <definedName name="Z_22A73C4F_9004_4CEF_8499_B1F91BE1B569_.wvu.Cols" localSheetId="5" hidden="1">Preiskalkulation_Biomasse!$AB:$AB</definedName>
    <definedName name="Z_22A73C4F_9004_4CEF_8499_B1F91BE1B569_.wvu.Cols" localSheetId="16" hidden="1">'SD2'!$T:$AH</definedName>
    <definedName name="Z_22A73C4F_9004_4CEF_8499_B1F91BE1B569_.wvu.Cols" localSheetId="17" hidden="1">'SD3'!$Q:$V</definedName>
    <definedName name="Z_22A73C4F_9004_4CEF_8499_B1F91BE1B569_.wvu.Cols" localSheetId="25" hidden="1">'SD8'!$C:$C</definedName>
    <definedName name="Z_22A73C4F_9004_4CEF_8499_B1F91BE1B569_.wvu.Cols" localSheetId="14" hidden="1">'SDK1'!$S:$AA</definedName>
    <definedName name="Z_22A73C4F_9004_4CEF_8499_B1F91BE1B569_.wvu.Cols" localSheetId="18" hidden="1">'SDK4'!$U:$AB</definedName>
    <definedName name="Z_22A73C4F_9004_4CEF_8499_B1F91BE1B569_.wvu.Cols" localSheetId="20" hidden="1">'SDK5'!$P:$P,'SDK5'!$AG:$BE</definedName>
    <definedName name="Z_22A73C4F_9004_4CEF_8499_B1F91BE1B569_.wvu.Cols" localSheetId="15" hidden="1">SDÖ1!$R:$AT</definedName>
    <definedName name="Z_22A73C4F_9004_4CEF_8499_B1F91BE1B569_.wvu.Cols" localSheetId="19" hidden="1">SDÖ4!$R:$W,SDÖ4!$Y:$AD</definedName>
    <definedName name="Z_22A73C4F_9004_4CEF_8499_B1F91BE1B569_.wvu.Cols" localSheetId="21" hidden="1">SDÖ5!$P:$P</definedName>
    <definedName name="Z_22A73C4F_9004_4CEF_8499_B1F91BE1B569_.wvu.Cols" localSheetId="24" hidden="1">SDÖ7!$S:$W,SDÖ7!$AA:$AA</definedName>
    <definedName name="Z_22A73C4F_9004_4CEF_8499_B1F91BE1B569_.wvu.Cols" localSheetId="34" hidden="1">'SG-Fu'!$Q:$AA</definedName>
    <definedName name="Z_22A73C4F_9004_4CEF_8499_B1F91BE1B569_.wvu.Cols" localSheetId="54" hidden="1">SoBl!$Q:$Z</definedName>
    <definedName name="Z_22A73C4F_9004_4CEF_8499_B1F91BE1B569_.wvu.Cols" localSheetId="42" hidden="1">Soja!$Q:$Z</definedName>
    <definedName name="Z_22A73C4F_9004_4CEF_8499_B1F91BE1B569_.wvu.Cols" localSheetId="49" hidden="1">SpKa!$Q:$Z</definedName>
    <definedName name="Z_22A73C4F_9004_4CEF_8499_B1F91BE1B569_.wvu.Cols" localSheetId="50" hidden="1">SpKaBer!$Q:$Z</definedName>
    <definedName name="Z_22A73C4F_9004_4CEF_8499_B1F91BE1B569_.wvu.Cols" localSheetId="41" hidden="1">SR!$Q:$Z</definedName>
    <definedName name="Z_22A73C4F_9004_4CEF_8499_B1F91BE1B569_.wvu.Cols" localSheetId="32" hidden="1">SW!$Q:$AA</definedName>
    <definedName name="Z_22A73C4F_9004_4CEF_8499_B1F91BE1B569_.wvu.Cols" localSheetId="30" hidden="1">Tr!$Q:$AI</definedName>
    <definedName name="Z_22A73C4F_9004_4CEF_8499_B1F91BE1B569_.wvu.Cols" localSheetId="57" hidden="1">Vorlage!$Q:$AC</definedName>
    <definedName name="Z_22A73C4F_9004_4CEF_8499_B1F91BE1B569_.wvu.Cols" localSheetId="77" hidden="1">'Vorlage I'!$Q:$AB</definedName>
    <definedName name="Z_22A73C4F_9004_4CEF_8499_B1F91BE1B569_.wvu.Cols" localSheetId="31" hidden="1">WG!$Q:$AF</definedName>
    <definedName name="Z_22A73C4F_9004_4CEF_8499_B1F91BE1B569_.wvu.Cols" localSheetId="40" hidden="1">WR!$Q:$Z</definedName>
    <definedName name="Z_22A73C4F_9004_4CEF_8499_B1F91BE1B569_.wvu.Cols" localSheetId="29" hidden="1">WRo!$Q:$AG</definedName>
    <definedName name="Z_22A73C4F_9004_4CEF_8499_B1F91BE1B569_.wvu.Cols" localSheetId="27" hidden="1">'WW1'!$Q:$AA</definedName>
    <definedName name="Z_22A73C4F_9004_4CEF_8499_B1F91BE1B569_.wvu.Cols" localSheetId="28" hidden="1">'WW2'!$Q:$AK</definedName>
    <definedName name="Z_22A73C4F_9004_4CEF_8499_B1F91BE1B569_.wvu.Cols" localSheetId="53" hidden="1">'WW-E'!$Q:$Z</definedName>
    <definedName name="Z_22A73C4F_9004_4CEF_8499_B1F91BE1B569_.wvu.Cols" localSheetId="51" hidden="1">ZR!$Q:$Z</definedName>
    <definedName name="Z_22A73C4F_9004_4CEF_8499_B1F91BE1B569_.wvu.FilterData" localSheetId="10" hidden="1">'E1'!$B$12:$B$64</definedName>
    <definedName name="Z_22A73C4F_9004_4CEF_8499_B1F91BE1B569_.wvu.FilterData" localSheetId="20" hidden="1">'SDK5'!$B$4:$AC$104</definedName>
    <definedName name="Z_22A73C4F_9004_4CEF_8499_B1F91BE1B569_.wvu.FilterData" localSheetId="21" hidden="1">SDÖ5!$B$5:$U$19</definedName>
    <definedName name="Z_22A73C4F_9004_4CEF_8499_B1F91BE1B569_.wvu.PrintArea" localSheetId="45" hidden="1">AB!$B$2:$P$75</definedName>
    <definedName name="Z_22A73C4F_9004_4CEF_8499_B1F91BE1B569_.wvu.PrintArea" localSheetId="56" hidden="1">Begr!$B$2:$P$75</definedName>
    <definedName name="Z_22A73C4F_9004_4CEF_8499_B1F91BE1B569_.wvu.PrintArea" localSheetId="76" hidden="1">Begrün.!$B$2:$P$71</definedName>
    <definedName name="Z_22A73C4F_9004_4CEF_8499_B1F91BE1B569_.wvu.PrintArea" localSheetId="35" hidden="1">BG!$B$2:$P$75</definedName>
    <definedName name="Z_22A73C4F_9004_4CEF_8499_B1F91BE1B569_.wvu.PrintArea" localSheetId="75" hidden="1">Blühm.!$B$2:$P$71</definedName>
    <definedName name="Z_22A73C4F_9004_4CEF_8499_B1F91BE1B569_.wvu.PrintArea" localSheetId="8" hidden="1">Daten!$B$2:$CR$61</definedName>
    <definedName name="Z_22A73C4F_9004_4CEF_8499_B1F91BE1B569_.wvu.PrintArea" localSheetId="33" hidden="1">Di!$B$2:$P$75</definedName>
    <definedName name="Z_22A73C4F_9004_4CEF_8499_B1F91BE1B569_.wvu.PrintArea" localSheetId="37" hidden="1">Du!$B$2:$P$75</definedName>
    <definedName name="Z_22A73C4F_9004_4CEF_8499_B1F91BE1B569_.wvu.PrintArea" localSheetId="10" hidden="1">'E1'!$C$2:$K$43</definedName>
    <definedName name="Z_22A73C4F_9004_4CEF_8499_B1F91BE1B569_.wvu.PrintArea" localSheetId="11" hidden="1">'E2'!$B$2:$L$41</definedName>
    <definedName name="Z_22A73C4F_9004_4CEF_8499_B1F91BE1B569_.wvu.PrintArea" localSheetId="12" hidden="1">'EK1'!$B$2:$J$24</definedName>
    <definedName name="Z_22A73C4F_9004_4CEF_8499_B1F91BE1B569_.wvu.PrintArea" localSheetId="55" hidden="1">'FAKT-Brachebegrünung'!$B$2:$P$75</definedName>
    <definedName name="Z_22A73C4F_9004_4CEF_8499_B1F91BE1B569_.wvu.PrintArea" localSheetId="44" hidden="1">FE!$B$2:$P$75</definedName>
    <definedName name="Z_22A73C4F_9004_4CEF_8499_B1F91BE1B569_.wvu.PrintArea" localSheetId="47" hidden="1">FrühKa!$B$2:$P$75</definedName>
    <definedName name="Z_22A73C4F_9004_4CEF_8499_B1F91BE1B569_.wvu.PrintArea" localSheetId="48" hidden="1">FrühKaFolieBer!$B$2:$P$75</definedName>
    <definedName name="Z_22A73C4F_9004_4CEF_8499_B1F91BE1B569_.wvu.PrintArea" localSheetId="78" hidden="1">'Grafik1-DB'!$B$2:$L$79</definedName>
    <definedName name="Z_22A73C4F_9004_4CEF_8499_B1F91BE1B569_.wvu.PrintArea" localSheetId="36" hidden="1">Ha!$B$2:$P$75</definedName>
    <definedName name="Z_22A73C4F_9004_4CEF_8499_B1F91BE1B569_.wvu.PrintArea" localSheetId="9" hidden="1">Hinw!$B$1:$Q$73</definedName>
    <definedName name="Z_22A73C4F_9004_4CEF_8499_B1F91BE1B569_.wvu.PrintArea" localSheetId="0" hidden="1">Inhalt!$B$2:$F$94</definedName>
    <definedName name="Z_22A73C4F_9004_4CEF_8499_B1F91BE1B569_.wvu.PrintArea" localSheetId="39" hidden="1">KH!$B$2:$P$75</definedName>
    <definedName name="Z_22A73C4F_9004_4CEF_8499_B1F91BE1B569_.wvu.PrintArea" localSheetId="38" hidden="1">KöM!$B$2:$P$75</definedName>
    <definedName name="Z_22A73C4F_9004_4CEF_8499_B1F91BE1B569_.wvu.PrintArea" localSheetId="26" hidden="1">Kostenrechnung!$B$2:$N$78,Kostenrechnung!$B$113:$N$137,Kostenrechnung!$B$139:$N$184</definedName>
    <definedName name="Z_22A73C4F_9004_4CEF_8499_B1F91BE1B569_.wvu.PrintArea" localSheetId="83" hidden="1">'Leerblatt II'!$B$2:$P$76</definedName>
    <definedName name="Z_22A73C4F_9004_4CEF_8499_B1F91BE1B569_.wvu.PrintArea" localSheetId="81" hidden="1">Linsen!$B$2:$P$76</definedName>
    <definedName name="Z_22A73C4F_9004_4CEF_8499_B1F91BE1B569_.wvu.PrintArea" localSheetId="46" hidden="1">Lu!$B$2:$P$75</definedName>
    <definedName name="Z_22A73C4F_9004_4CEF_8499_B1F91BE1B569_.wvu.PrintArea" localSheetId="70" hidden="1">'Öko-Ab'!$B$2:$P$71</definedName>
    <definedName name="Z_22A73C4F_9004_4CEF_8499_B1F91BE1B569_.wvu.PrintArea" localSheetId="68" hidden="1">'Öko-Bg'!$B$2:$P$71</definedName>
    <definedName name="Z_22A73C4F_9004_4CEF_8499_B1F91BE1B569_.wvu.PrintArea" localSheetId="64" hidden="1">'Öko-Di'!$B$2:$P$71</definedName>
    <definedName name="Z_22A73C4F_9004_4CEF_8499_B1F91BE1B569_.wvu.PrintArea" localSheetId="79" hidden="1">'Öko-Dinkel,gegerbt'!$B$2:$P$71</definedName>
    <definedName name="Z_22A73C4F_9004_4CEF_8499_B1F91BE1B569_.wvu.PrintArea" localSheetId="72" hidden="1">'Öko-FE'!$B$2:$P$71</definedName>
    <definedName name="Z_22A73C4F_9004_4CEF_8499_B1F91BE1B569_.wvu.PrintArea" localSheetId="66" hidden="1">'Öko-Ha'!$B$2:$P$71</definedName>
    <definedName name="Z_22A73C4F_9004_4CEF_8499_B1F91BE1B569_.wvu.PrintArea" localSheetId="74" hidden="1">'Öko-Ka'!$B$2:$P$71</definedName>
    <definedName name="Z_22A73C4F_9004_4CEF_8499_B1F91BE1B569_.wvu.PrintArea" localSheetId="58" hidden="1">'Öko-KG1'!$B$2:$P$72</definedName>
    <definedName name="Z_22A73C4F_9004_4CEF_8499_B1F91BE1B569_.wvu.PrintArea" localSheetId="59" hidden="1">'Öko-KG2'!$B$2:$P$71</definedName>
    <definedName name="Z_22A73C4F_9004_4CEF_8499_B1F91BE1B569_.wvu.PrintArea" localSheetId="69" hidden="1">'Öko-KöM'!$B$2:$P$71</definedName>
    <definedName name="Z_22A73C4F_9004_4CEF_8499_B1F91BE1B569_.wvu.PrintArea" localSheetId="71" hidden="1">'Öko-Lu'!$B$2:$P$75</definedName>
    <definedName name="Z_22A73C4F_9004_4CEF_8499_B1F91BE1B569_.wvu.PrintArea" localSheetId="60" hidden="1">'Öko-LU1'!$B$2:$P$71</definedName>
    <definedName name="Z_22A73C4F_9004_4CEF_8499_B1F91BE1B569_.wvu.PrintArea" localSheetId="61" hidden="1">'Öko-LU2'!$B$2:$P$71</definedName>
    <definedName name="Z_22A73C4F_9004_4CEF_8499_B1F91BE1B569_.wvu.PrintArea" localSheetId="82" hidden="1">'Öko-Raps'!$B$2:$P$71</definedName>
    <definedName name="Z_22A73C4F_9004_4CEF_8499_B1F91BE1B569_.wvu.PrintArea" localSheetId="65" hidden="1">'Öko-Ro'!$B$2:$P$71</definedName>
    <definedName name="Z_22A73C4F_9004_4CEF_8499_B1F91BE1B569_.wvu.PrintArea" localSheetId="80" hidden="1">'Öko-Soblu'!$B$2:$P$71</definedName>
    <definedName name="Z_22A73C4F_9004_4CEF_8499_B1F91BE1B569_.wvu.PrintArea" localSheetId="73" hidden="1">'Öko-Soja'!$B$2:$P$71</definedName>
    <definedName name="Z_22A73C4F_9004_4CEF_8499_B1F91BE1B569_.wvu.PrintArea" localSheetId="67" hidden="1">'Öko-Wg'!$B$2:$P$71</definedName>
    <definedName name="Z_22A73C4F_9004_4CEF_8499_B1F91BE1B569_.wvu.PrintArea" localSheetId="62" hidden="1">'Öko-WW-Brot'!$B$2:$P$71</definedName>
    <definedName name="Z_22A73C4F_9004_4CEF_8499_B1F91BE1B569_.wvu.PrintArea" localSheetId="63" hidden="1">'Öko-WW-Futter'!$B$2:$P$72</definedName>
    <definedName name="Z_22A73C4F_9004_4CEF_8499_B1F91BE1B569_.wvu.PrintArea" localSheetId="43" hidden="1">Öl!$B$2:$P$75</definedName>
    <definedName name="Z_22A73C4F_9004_4CEF_8499_B1F91BE1B569_.wvu.PrintArea" localSheetId="5" hidden="1">Preiskalkulation_Biomasse!$A$1:$U$111</definedName>
    <definedName name="Z_22A73C4F_9004_4CEF_8499_B1F91BE1B569_.wvu.PrintArea" localSheetId="16" hidden="1">'SD2'!$A$1:$O$80</definedName>
    <definedName name="Z_22A73C4F_9004_4CEF_8499_B1F91BE1B569_.wvu.PrintArea" localSheetId="17" hidden="1">'SD3'!$B$5:$O$85,'SD3'!$B$87:$O$108</definedName>
    <definedName name="Z_22A73C4F_9004_4CEF_8499_B1F91BE1B569_.wvu.PrintArea" localSheetId="22" hidden="1">'SD6'!$B$2:$N$87</definedName>
    <definedName name="Z_22A73C4F_9004_4CEF_8499_B1F91BE1B569_.wvu.PrintArea" localSheetId="25" hidden="1">'SD8'!$B$2:$I$60</definedName>
    <definedName name="Z_22A73C4F_9004_4CEF_8499_B1F91BE1B569_.wvu.PrintArea" localSheetId="14" hidden="1">'SDK1'!$B$2:$P$65</definedName>
    <definedName name="Z_22A73C4F_9004_4CEF_8499_B1F91BE1B569_.wvu.PrintArea" localSheetId="18" hidden="1">'SDK4'!$B$2:$N$55</definedName>
    <definedName name="Z_22A73C4F_9004_4CEF_8499_B1F91BE1B569_.wvu.PrintArea" localSheetId="20" hidden="1">'SDK5'!$AP$2:$BC$55</definedName>
    <definedName name="Z_22A73C4F_9004_4CEF_8499_B1F91BE1B569_.wvu.PrintArea" localSheetId="23" hidden="1">'SDK7'!$C$2:$O$189</definedName>
    <definedName name="Z_22A73C4F_9004_4CEF_8499_B1F91BE1B569_.wvu.PrintArea" localSheetId="15" hidden="1">SDÖ1!$B$1:$AE$82</definedName>
    <definedName name="Z_22A73C4F_9004_4CEF_8499_B1F91BE1B569_.wvu.PrintArea" localSheetId="19" hidden="1">SDÖ4!$B$2:$Q$60</definedName>
    <definedName name="Z_22A73C4F_9004_4CEF_8499_B1F91BE1B569_.wvu.PrintArea" localSheetId="21" hidden="1">SDÖ5!$C$3:$O$43</definedName>
    <definedName name="Z_22A73C4F_9004_4CEF_8499_B1F91BE1B569_.wvu.PrintArea" localSheetId="24" hidden="1">SDÖ7!$C$2:$O$145</definedName>
    <definedName name="Z_22A73C4F_9004_4CEF_8499_B1F91BE1B569_.wvu.PrintArea" localSheetId="34" hidden="1">'SG-Fu'!$B$2:$P$75</definedName>
    <definedName name="Z_22A73C4F_9004_4CEF_8499_B1F91BE1B569_.wvu.PrintArea" localSheetId="54" hidden="1">SoBl!$B$2:$P$75</definedName>
    <definedName name="Z_22A73C4F_9004_4CEF_8499_B1F91BE1B569_.wvu.PrintArea" localSheetId="42" hidden="1">Soja!$B$2:$P$75</definedName>
    <definedName name="Z_22A73C4F_9004_4CEF_8499_B1F91BE1B569_.wvu.PrintArea" localSheetId="49" hidden="1">SpKa!$B$2:$P$75</definedName>
    <definedName name="Z_22A73C4F_9004_4CEF_8499_B1F91BE1B569_.wvu.PrintArea" localSheetId="50" hidden="1">SpKaBer!$B$2:$P$75</definedName>
    <definedName name="Z_22A73C4F_9004_4CEF_8499_B1F91BE1B569_.wvu.PrintArea" localSheetId="41" hidden="1">SR!$B$2:$P$75</definedName>
    <definedName name="Z_22A73C4F_9004_4CEF_8499_B1F91BE1B569_.wvu.PrintArea" localSheetId="32" hidden="1">SW!$B$2:$P$75</definedName>
    <definedName name="Z_22A73C4F_9004_4CEF_8499_B1F91BE1B569_.wvu.PrintArea" localSheetId="84" hidden="1">'TE6'!$B$2:$P$76</definedName>
    <definedName name="Z_22A73C4F_9004_4CEF_8499_B1F91BE1B569_.wvu.PrintArea" localSheetId="85" hidden="1">'TE7'!$B$2:$P$76</definedName>
    <definedName name="Z_22A73C4F_9004_4CEF_8499_B1F91BE1B569_.wvu.PrintArea" localSheetId="86" hidden="1">'TE8'!$B$2:$P$76</definedName>
    <definedName name="Z_22A73C4F_9004_4CEF_8499_B1F91BE1B569_.wvu.PrintArea" localSheetId="87" hidden="1">'TE9'!$B$2:$P$76</definedName>
    <definedName name="Z_22A73C4F_9004_4CEF_8499_B1F91BE1B569_.wvu.PrintArea" localSheetId="30" hidden="1">Tr!$B$2:$P$75</definedName>
    <definedName name="Z_22A73C4F_9004_4CEF_8499_B1F91BE1B569_.wvu.PrintArea" localSheetId="57" hidden="1">Vorlage!$B$2:$P$75</definedName>
    <definedName name="Z_22A73C4F_9004_4CEF_8499_B1F91BE1B569_.wvu.PrintArea" localSheetId="77" hidden="1">'Vorlage I'!$B$2:$P$71</definedName>
    <definedName name="Z_22A73C4F_9004_4CEF_8499_B1F91BE1B569_.wvu.PrintArea" localSheetId="31" hidden="1">WG!$B$2:$P$75</definedName>
    <definedName name="Z_22A73C4F_9004_4CEF_8499_B1F91BE1B569_.wvu.PrintArea" localSheetId="40" hidden="1">WR!$B$2:$P$75</definedName>
    <definedName name="Z_22A73C4F_9004_4CEF_8499_B1F91BE1B569_.wvu.PrintArea" localSheetId="29" hidden="1">WRo!$B$2:$P$75</definedName>
    <definedName name="Z_22A73C4F_9004_4CEF_8499_B1F91BE1B569_.wvu.PrintArea" localSheetId="27" hidden="1">'WW1'!$B$2:$P$76</definedName>
    <definedName name="Z_22A73C4F_9004_4CEF_8499_B1F91BE1B569_.wvu.PrintArea" localSheetId="28" hidden="1">'WW2'!$B$2:$P$75</definedName>
    <definedName name="Z_22A73C4F_9004_4CEF_8499_B1F91BE1B569_.wvu.PrintArea" localSheetId="52" hidden="1">'WW-A'!$B$2:$P$75</definedName>
    <definedName name="Z_22A73C4F_9004_4CEF_8499_B1F91BE1B569_.wvu.PrintArea" localSheetId="53" hidden="1">'WW-E'!$B$2:$P$75</definedName>
    <definedName name="Z_22A73C4F_9004_4CEF_8499_B1F91BE1B569_.wvu.PrintArea" localSheetId="51" hidden="1">ZR!$B$2:$P$75</definedName>
    <definedName name="Z_22A73C4F_9004_4CEF_8499_B1F91BE1B569_.wvu.PrintTitles" localSheetId="8" hidden="1">Daten!$B:$C,Daten!$2:$4</definedName>
    <definedName name="Z_22A73C4F_9004_4CEF_8499_B1F91BE1B569_.wvu.PrintTitles" localSheetId="5" hidden="1">Preiskalkulation_Biomasse!$1:$22</definedName>
    <definedName name="Z_22A73C4F_9004_4CEF_8499_B1F91BE1B569_.wvu.PrintTitles" localSheetId="16" hidden="1">'SD2'!$2:$3</definedName>
    <definedName name="Z_22A73C4F_9004_4CEF_8499_B1F91BE1B569_.wvu.PrintTitles" localSheetId="17" hidden="1">'SD3'!$2:$4</definedName>
    <definedName name="Z_22A73C4F_9004_4CEF_8499_B1F91BE1B569_.wvu.PrintTitles" localSheetId="22" hidden="1">'SD6'!$2:$7</definedName>
    <definedName name="Z_22A73C4F_9004_4CEF_8499_B1F91BE1B569_.wvu.PrintTitles" localSheetId="23" hidden="1">'SDK7'!$2:$2</definedName>
    <definedName name="Z_22A73C4F_9004_4CEF_8499_B1F91BE1B569_.wvu.PrintTitles" localSheetId="24" hidden="1">SDÖ7!$2:$2</definedName>
    <definedName name="Z_22A73C4F_9004_4CEF_8499_B1F91BE1B569_.wvu.Rows" localSheetId="56" hidden="1">Begr!$11:$12</definedName>
    <definedName name="Z_22A73C4F_9004_4CEF_8499_B1F91BE1B569_.wvu.Rows" localSheetId="76" hidden="1">Begrün.!$38:$41</definedName>
    <definedName name="Z_22A73C4F_9004_4CEF_8499_B1F91BE1B569_.wvu.Rows" localSheetId="35" hidden="1">BG!$12:$12</definedName>
    <definedName name="Z_22A73C4F_9004_4CEF_8499_B1F91BE1B569_.wvu.Rows" localSheetId="75" hidden="1">Blühm.!$38:$41</definedName>
    <definedName name="Z_22A73C4F_9004_4CEF_8499_B1F91BE1B569_.wvu.Rows" localSheetId="33" hidden="1">Di!$12:$12</definedName>
    <definedName name="Z_22A73C4F_9004_4CEF_8499_B1F91BE1B569_.wvu.Rows" localSheetId="37" hidden="1">Du!$12:$12</definedName>
    <definedName name="Z_22A73C4F_9004_4CEF_8499_B1F91BE1B569_.wvu.Rows" localSheetId="12" hidden="1">'EK1'!$1:$1,'EK1'!$23:$24,'EK1'!$27:$58</definedName>
    <definedName name="Z_22A73C4F_9004_4CEF_8499_B1F91BE1B569_.wvu.Rows" localSheetId="13" hidden="1">EÖ1!$1:$2</definedName>
    <definedName name="Z_22A73C4F_9004_4CEF_8499_B1F91BE1B569_.wvu.Rows" localSheetId="1" hidden="1">'Erträge_2-J'!$11:$12,'Erträge_2-J'!$18:$19,'Erträge_2-J'!$25:$28,'Erträge_2-J'!$33:$33,'Erträge_2-J'!$38:$40,'Erträge_2-J'!$45:$70</definedName>
    <definedName name="Z_22A73C4F_9004_4CEF_8499_B1F91BE1B569_.wvu.Rows" localSheetId="2" hidden="1">'Erträge_3-J'!$11:$12,'Erträge_3-J'!$18:$19,'Erträge_3-J'!$25:$28,'Erträge_3-J'!$33:$33,'Erträge_3-J'!$38:$40,'Erträge_3-J'!$45:$70</definedName>
    <definedName name="Z_22A73C4F_9004_4CEF_8499_B1F91BE1B569_.wvu.Rows" localSheetId="3" hidden="1">'Erträge_4-J'!$11:$12,'Erträge_4-J'!$18:$19,'Erträge_4-J'!$25:$28,'Erträge_4-J'!$33:$33,'Erträge_4-J'!$38:$40,'Erträge_4-J'!$45:$70</definedName>
    <definedName name="Z_22A73C4F_9004_4CEF_8499_B1F91BE1B569_.wvu.Rows" localSheetId="4" hidden="1">'Erträge_5-J'!$11:$12,'Erträge_5-J'!$18:$19,'Erträge_5-J'!$33:$33,'Erträge_5-J'!$38:$40,'Erträge_5-J'!$45:$70</definedName>
    <definedName name="Z_22A73C4F_9004_4CEF_8499_B1F91BE1B569_.wvu.Rows" localSheetId="55" hidden="1">'FAKT-Brachebegrünung'!$11:$12</definedName>
    <definedName name="Z_22A73C4F_9004_4CEF_8499_B1F91BE1B569_.wvu.Rows" localSheetId="44" hidden="1">FE!$11:$12</definedName>
    <definedName name="Z_22A73C4F_9004_4CEF_8499_B1F91BE1B569_.wvu.Rows" localSheetId="47" hidden="1">FrühKa!$11:$12</definedName>
    <definedName name="Z_22A73C4F_9004_4CEF_8499_B1F91BE1B569_.wvu.Rows" localSheetId="48" hidden="1">FrühKaFolieBer!$11:$12</definedName>
    <definedName name="Z_22A73C4F_9004_4CEF_8499_B1F91BE1B569_.wvu.Rows" localSheetId="36" hidden="1">Ha!$12:$12</definedName>
    <definedName name="Z_22A73C4F_9004_4CEF_8499_B1F91BE1B569_.wvu.Rows" localSheetId="0" hidden="1">Inhalt!$60:$60,Inhalt!$66:$68,Inhalt!$74:$75,Inhalt!$82:$97,Inhalt!$119:$119,Inhalt!$130:$140</definedName>
    <definedName name="Z_22A73C4F_9004_4CEF_8499_B1F91BE1B569_.wvu.Rows" localSheetId="39" hidden="1">KH!$11:$12</definedName>
    <definedName name="Z_22A73C4F_9004_4CEF_8499_B1F91BE1B569_.wvu.Rows" localSheetId="38" hidden="1">KöM!$11:$12</definedName>
    <definedName name="Z_22A73C4F_9004_4CEF_8499_B1F91BE1B569_.wvu.Rows" localSheetId="26" hidden="1">Kostenrechnung!$6:$6,Kostenrechnung!$33:$33,Kostenrechnung!$60:$60,Kostenrechnung!$91:$110</definedName>
    <definedName name="Z_22A73C4F_9004_4CEF_8499_B1F91BE1B569_.wvu.Rows" localSheetId="83" hidden="1">'Leerblatt II'!$39:$42</definedName>
    <definedName name="Z_22A73C4F_9004_4CEF_8499_B1F91BE1B569_.wvu.Rows" localSheetId="81" hidden="1">Linsen!$19:$19,Linsen!$38:$41</definedName>
    <definedName name="Z_22A73C4F_9004_4CEF_8499_B1F91BE1B569_.wvu.Rows" localSheetId="46" hidden="1">Lu!$11:$12</definedName>
    <definedName name="Z_22A73C4F_9004_4CEF_8499_B1F91BE1B569_.wvu.Rows" localSheetId="70" hidden="1">'Öko-Ab'!$11:$12,'Öko-Ab'!$38:$41</definedName>
    <definedName name="Z_22A73C4F_9004_4CEF_8499_B1F91BE1B569_.wvu.Rows" localSheetId="68" hidden="1">'Öko-Bg'!$12:$12,'Öko-Bg'!$38:$41</definedName>
    <definedName name="Z_22A73C4F_9004_4CEF_8499_B1F91BE1B569_.wvu.Rows" localSheetId="64" hidden="1">'Öko-Di'!$12:$12,'Öko-Di'!$38:$41</definedName>
    <definedName name="Z_22A73C4F_9004_4CEF_8499_B1F91BE1B569_.wvu.Rows" localSheetId="79" hidden="1">'Öko-Dinkel,gegerbt'!$38:$41</definedName>
    <definedName name="Z_22A73C4F_9004_4CEF_8499_B1F91BE1B569_.wvu.Rows" localSheetId="72" hidden="1">'Öko-FE'!$11:$12,'Öko-FE'!$38:$41</definedName>
    <definedName name="Z_22A73C4F_9004_4CEF_8499_B1F91BE1B569_.wvu.Rows" localSheetId="66" hidden="1">'Öko-Ha'!$12:$12,'Öko-Ha'!$38:$41</definedName>
    <definedName name="Z_22A73C4F_9004_4CEF_8499_B1F91BE1B569_.wvu.Rows" localSheetId="74" hidden="1">'Öko-Ka'!$11:$12,'Öko-Ka'!$38:$41</definedName>
    <definedName name="Z_22A73C4F_9004_4CEF_8499_B1F91BE1B569_.wvu.Rows" localSheetId="58" hidden="1">'Öko-KG1'!$38:$41</definedName>
    <definedName name="Z_22A73C4F_9004_4CEF_8499_B1F91BE1B569_.wvu.Rows" localSheetId="59" hidden="1">'Öko-KG2'!$38:$41,'Öko-KG2'!$69:$70</definedName>
    <definedName name="Z_22A73C4F_9004_4CEF_8499_B1F91BE1B569_.wvu.Rows" localSheetId="69" hidden="1">'Öko-KöM'!$11:$12,'Öko-KöM'!$38:$41</definedName>
    <definedName name="Z_22A73C4F_9004_4CEF_8499_B1F91BE1B569_.wvu.Rows" localSheetId="71" hidden="1">'Öko-Lu'!$11:$12</definedName>
    <definedName name="Z_22A73C4F_9004_4CEF_8499_B1F91BE1B569_.wvu.Rows" localSheetId="60" hidden="1">'Öko-LU1'!$38:$41,'Öko-LU1'!$69:$70</definedName>
    <definedName name="Z_22A73C4F_9004_4CEF_8499_B1F91BE1B569_.wvu.Rows" localSheetId="61" hidden="1">'Öko-LU2'!$38:$41,'Öko-LU2'!$69:$70</definedName>
    <definedName name="Z_22A73C4F_9004_4CEF_8499_B1F91BE1B569_.wvu.Rows" localSheetId="82" hidden="1">'Öko-Raps'!$11:$12,'Öko-Raps'!$38:$41</definedName>
    <definedName name="Z_22A73C4F_9004_4CEF_8499_B1F91BE1B569_.wvu.Rows" localSheetId="65" hidden="1">'Öko-Ro'!$12:$12,'Öko-Ro'!$38:$41</definedName>
    <definedName name="Z_22A73C4F_9004_4CEF_8499_B1F91BE1B569_.wvu.Rows" localSheetId="80" hidden="1">'Öko-Soblu'!$11:$12,'Öko-Soblu'!$38:$41</definedName>
    <definedName name="Z_22A73C4F_9004_4CEF_8499_B1F91BE1B569_.wvu.Rows" localSheetId="73" hidden="1">'Öko-Soja'!$11:$12,'Öko-Soja'!$38:$41</definedName>
    <definedName name="Z_22A73C4F_9004_4CEF_8499_B1F91BE1B569_.wvu.Rows" localSheetId="67" hidden="1">'Öko-Wg'!$12:$12,'Öko-Wg'!$38:$41</definedName>
    <definedName name="Z_22A73C4F_9004_4CEF_8499_B1F91BE1B569_.wvu.Rows" localSheetId="62" hidden="1">'Öko-WW-Brot'!$12:$12,'Öko-WW-Brot'!$38:$41</definedName>
    <definedName name="Z_22A73C4F_9004_4CEF_8499_B1F91BE1B569_.wvu.Rows" localSheetId="63" hidden="1">'Öko-WW-Futter'!$12:$12,'Öko-WW-Futter'!$38:$41</definedName>
    <definedName name="Z_22A73C4F_9004_4CEF_8499_B1F91BE1B569_.wvu.Rows" localSheetId="43" hidden="1">Öl!$11:$12</definedName>
    <definedName name="Z_22A73C4F_9004_4CEF_8499_B1F91BE1B569_.wvu.Rows" localSheetId="17" hidden="1">'SD3'!#REF!,'SD3'!$50:$50,'SD3'!#REF!,'SD3'!$98:$100</definedName>
    <definedName name="Z_22A73C4F_9004_4CEF_8499_B1F91BE1B569_.wvu.Rows" localSheetId="25" hidden="1">'SD8'!$8:$8,'SD8'!$57:$57</definedName>
    <definedName name="Z_22A73C4F_9004_4CEF_8499_B1F91BE1B569_.wvu.Rows" localSheetId="14" hidden="1">'SDK1'!$43:$47,'SDK1'!$62:$62</definedName>
    <definedName name="Z_22A73C4F_9004_4CEF_8499_B1F91BE1B569_.wvu.Rows" localSheetId="18" hidden="1">'SDK4'!$17:$32,'SDK4'!$38:$38</definedName>
    <definedName name="Z_22A73C4F_9004_4CEF_8499_B1F91BE1B569_.wvu.Rows" localSheetId="23" hidden="1">'SDK7'!$116:$174,'SDK7'!$245:$252</definedName>
    <definedName name="Z_22A73C4F_9004_4CEF_8499_B1F91BE1B569_.wvu.Rows" localSheetId="15" hidden="1">SDÖ1!$28:$28,SDÖ1!$32:$42,SDÖ1!$45:$48,SDÖ1!$50:$51</definedName>
    <definedName name="Z_22A73C4F_9004_4CEF_8499_B1F91BE1B569_.wvu.Rows" localSheetId="19" hidden="1">SDÖ4!$25:$36,SDÖ4!$38:$42,SDÖ4!$61:$61</definedName>
    <definedName name="Z_22A73C4F_9004_4CEF_8499_B1F91BE1B569_.wvu.Rows" localSheetId="24" hidden="1">SDÖ7!$41:$41,SDÖ7!$80:$87,SDÖ7!$117:$118,SDÖ7!$141:$141,SDÖ7!$197:$204</definedName>
    <definedName name="Z_22A73C4F_9004_4CEF_8499_B1F91BE1B569_.wvu.Rows" localSheetId="34" hidden="1">'SG-Fu'!$12:$12</definedName>
    <definedName name="Z_22A73C4F_9004_4CEF_8499_B1F91BE1B569_.wvu.Rows" localSheetId="54" hidden="1">SoBl!$11:$12</definedName>
    <definedName name="Z_22A73C4F_9004_4CEF_8499_B1F91BE1B569_.wvu.Rows" localSheetId="42" hidden="1">Soja!$11:$12</definedName>
    <definedName name="Z_22A73C4F_9004_4CEF_8499_B1F91BE1B569_.wvu.Rows" localSheetId="49" hidden="1">SpKa!$11:$12</definedName>
    <definedName name="Z_22A73C4F_9004_4CEF_8499_B1F91BE1B569_.wvu.Rows" localSheetId="50" hidden="1">SpKaBer!$11:$12</definedName>
    <definedName name="Z_22A73C4F_9004_4CEF_8499_B1F91BE1B569_.wvu.Rows" localSheetId="41" hidden="1">SR!$11:$12</definedName>
    <definedName name="Z_22A73C4F_9004_4CEF_8499_B1F91BE1B569_.wvu.Rows" localSheetId="32" hidden="1">SW!$12:$12</definedName>
    <definedName name="Z_22A73C4F_9004_4CEF_8499_B1F91BE1B569_.wvu.Rows" localSheetId="84" hidden="1">'TE6'!$39:$42</definedName>
    <definedName name="Z_22A73C4F_9004_4CEF_8499_B1F91BE1B569_.wvu.Rows" localSheetId="85" hidden="1">'TE7'!$39:$42</definedName>
    <definedName name="Z_22A73C4F_9004_4CEF_8499_B1F91BE1B569_.wvu.Rows" localSheetId="86" hidden="1">'TE8'!$39:$42</definedName>
    <definedName name="Z_22A73C4F_9004_4CEF_8499_B1F91BE1B569_.wvu.Rows" localSheetId="87" hidden="1">'TE9'!$39:$42</definedName>
    <definedName name="Z_22A73C4F_9004_4CEF_8499_B1F91BE1B569_.wvu.Rows" localSheetId="30" hidden="1">Tr!$12:$12</definedName>
    <definedName name="Z_22A73C4F_9004_4CEF_8499_B1F91BE1B569_.wvu.Rows" localSheetId="77" hidden="1">'Vorlage I'!$38:$41</definedName>
    <definedName name="Z_22A73C4F_9004_4CEF_8499_B1F91BE1B569_.wvu.Rows" localSheetId="31" hidden="1">WG!$12:$12</definedName>
    <definedName name="Z_22A73C4F_9004_4CEF_8499_B1F91BE1B569_.wvu.Rows" localSheetId="40" hidden="1">WR!$11:$12</definedName>
    <definedName name="Z_22A73C4F_9004_4CEF_8499_B1F91BE1B569_.wvu.Rows" localSheetId="29" hidden="1">WRo!$12:$12</definedName>
    <definedName name="Z_22A73C4F_9004_4CEF_8499_B1F91BE1B569_.wvu.Rows" localSheetId="27" hidden="1">'WW1'!$12:$12</definedName>
    <definedName name="Z_22A73C4F_9004_4CEF_8499_B1F91BE1B569_.wvu.Rows" localSheetId="28" hidden="1">'WW2'!$12:$12</definedName>
    <definedName name="Z_22A73C4F_9004_4CEF_8499_B1F91BE1B569_.wvu.Rows" localSheetId="52" hidden="1">'WW-A'!$12:$12</definedName>
    <definedName name="Z_22A73C4F_9004_4CEF_8499_B1F91BE1B569_.wvu.Rows" localSheetId="53" hidden="1">'WW-E'!$12:$12</definedName>
    <definedName name="Z_22A73C4F_9004_4CEF_8499_B1F91BE1B569_.wvu.Rows" localSheetId="51" hidden="1">ZR!$11:$12</definedName>
    <definedName name="Z_5D5C9B61_9ABD_4513_AAEB_8333A9D6196C_.wvu.Cols" localSheetId="45" hidden="1">AB!$Q:$Z</definedName>
    <definedName name="Z_5D5C9B61_9ABD_4513_AAEB_8333A9D6196C_.wvu.Cols" localSheetId="56" hidden="1">Begr!$Q:$AB</definedName>
    <definedName name="Z_5D5C9B61_9ABD_4513_AAEB_8333A9D6196C_.wvu.Cols" localSheetId="76" hidden="1">Begrün.!$Q:$AA</definedName>
    <definedName name="Z_5D5C9B61_9ABD_4513_AAEB_8333A9D6196C_.wvu.Cols" localSheetId="35" hidden="1">BG!$Q:$AA</definedName>
    <definedName name="Z_5D5C9B61_9ABD_4513_AAEB_8333A9D6196C_.wvu.Cols" localSheetId="75" hidden="1">Blühm.!$Q:$AA</definedName>
    <definedName name="Z_5D5C9B61_9ABD_4513_AAEB_8333A9D6196C_.wvu.Cols" localSheetId="33" hidden="1">Di!$Q:$AC</definedName>
    <definedName name="Z_5D5C9B61_9ABD_4513_AAEB_8333A9D6196C_.wvu.Cols" localSheetId="37" hidden="1">Du!$Q:$AA</definedName>
    <definedName name="Z_5D5C9B61_9ABD_4513_AAEB_8333A9D6196C_.wvu.Cols" localSheetId="10" hidden="1">'E1'!$F:$F,'E1'!$I:$I</definedName>
    <definedName name="Z_5D5C9B61_9ABD_4513_AAEB_8333A9D6196C_.wvu.Cols" localSheetId="11" hidden="1">'E2'!$O:$Q</definedName>
    <definedName name="Z_5D5C9B61_9ABD_4513_AAEB_8333A9D6196C_.wvu.Cols" localSheetId="12" hidden="1">'EK1'!$L:$L</definedName>
    <definedName name="Z_5D5C9B61_9ABD_4513_AAEB_8333A9D6196C_.wvu.Cols" localSheetId="13" hidden="1">EÖ1!$U:$U</definedName>
    <definedName name="Z_5D5C9B61_9ABD_4513_AAEB_8333A9D6196C_.wvu.Cols" localSheetId="55" hidden="1">'FAKT-Brachebegrünung'!$Q:$Z</definedName>
    <definedName name="Z_5D5C9B61_9ABD_4513_AAEB_8333A9D6196C_.wvu.Cols" localSheetId="44" hidden="1">FE!$Q:$Z</definedName>
    <definedName name="Z_5D5C9B61_9ABD_4513_AAEB_8333A9D6196C_.wvu.Cols" localSheetId="47" hidden="1">FrühKa!$Q:$Z</definedName>
    <definedName name="Z_5D5C9B61_9ABD_4513_AAEB_8333A9D6196C_.wvu.Cols" localSheetId="48" hidden="1">FrühKaFolieBer!$Q:$AF</definedName>
    <definedName name="Z_5D5C9B61_9ABD_4513_AAEB_8333A9D6196C_.wvu.Cols" localSheetId="36" hidden="1">Ha!$Q:$AA</definedName>
    <definedName name="Z_5D5C9B61_9ABD_4513_AAEB_8333A9D6196C_.wvu.Cols" localSheetId="0" hidden="1">Inhalt!$H:$I</definedName>
    <definedName name="Z_5D5C9B61_9ABD_4513_AAEB_8333A9D6196C_.wvu.Cols" localSheetId="39" hidden="1">KH!$Q:$AF</definedName>
    <definedName name="Z_5D5C9B61_9ABD_4513_AAEB_8333A9D6196C_.wvu.Cols" localSheetId="38" hidden="1">KöM!$Q:$AA</definedName>
    <definedName name="Z_5D5C9B61_9ABD_4513_AAEB_8333A9D6196C_.wvu.Cols" localSheetId="83" hidden="1">'Leerblatt II'!$Q:$AD</definedName>
    <definedName name="Z_5D5C9B61_9ABD_4513_AAEB_8333A9D6196C_.wvu.Cols" localSheetId="81" hidden="1">Linsen!$Q:$AB</definedName>
    <definedName name="Z_5D5C9B61_9ABD_4513_AAEB_8333A9D6196C_.wvu.Cols" localSheetId="46" hidden="1">Lu!$Q:$Z</definedName>
    <definedName name="Z_5D5C9B61_9ABD_4513_AAEB_8333A9D6196C_.wvu.Cols" localSheetId="70" hidden="1">'Öko-Ab'!$R:$Z</definedName>
    <definedName name="Z_5D5C9B61_9ABD_4513_AAEB_8333A9D6196C_.wvu.Cols" localSheetId="68" hidden="1">'Öko-Bg'!$Q:$Z</definedName>
    <definedName name="Z_5D5C9B61_9ABD_4513_AAEB_8333A9D6196C_.wvu.Cols" localSheetId="64" hidden="1">'Öko-Di'!$Q:$Z</definedName>
    <definedName name="Z_5D5C9B61_9ABD_4513_AAEB_8333A9D6196C_.wvu.Cols" localSheetId="79" hidden="1">'Öko-Dinkel,gegerbt'!$R:$AA</definedName>
    <definedName name="Z_5D5C9B61_9ABD_4513_AAEB_8333A9D6196C_.wvu.Cols" localSheetId="72" hidden="1">'Öko-FE'!$R:$Z</definedName>
    <definedName name="Z_5D5C9B61_9ABD_4513_AAEB_8333A9D6196C_.wvu.Cols" localSheetId="66" hidden="1">'Öko-Ha'!$Q:$Z</definedName>
    <definedName name="Z_5D5C9B61_9ABD_4513_AAEB_8333A9D6196C_.wvu.Cols" localSheetId="74" hidden="1">'Öko-Ka'!$Q:$AA</definedName>
    <definedName name="Z_5D5C9B61_9ABD_4513_AAEB_8333A9D6196C_.wvu.Cols" localSheetId="58" hidden="1">'Öko-KG1'!$Q:$AH</definedName>
    <definedName name="Z_5D5C9B61_9ABD_4513_AAEB_8333A9D6196C_.wvu.Cols" localSheetId="59" hidden="1">'Öko-KG2'!$Q:$AD</definedName>
    <definedName name="Z_5D5C9B61_9ABD_4513_AAEB_8333A9D6196C_.wvu.Cols" localSheetId="69" hidden="1">'Öko-KöM'!$R:$AA</definedName>
    <definedName name="Z_5D5C9B61_9ABD_4513_AAEB_8333A9D6196C_.wvu.Cols" localSheetId="71" hidden="1">'Öko-Lu'!$Q:$Z</definedName>
    <definedName name="Z_5D5C9B61_9ABD_4513_AAEB_8333A9D6196C_.wvu.Cols" localSheetId="60" hidden="1">'Öko-LU1'!$Q:$AI</definedName>
    <definedName name="Z_5D5C9B61_9ABD_4513_AAEB_8333A9D6196C_.wvu.Cols" localSheetId="61" hidden="1">'Öko-LU2'!$Q:$AF</definedName>
    <definedName name="Z_5D5C9B61_9ABD_4513_AAEB_8333A9D6196C_.wvu.Cols" localSheetId="82" hidden="1">'Öko-Raps'!$R:$Z</definedName>
    <definedName name="Z_5D5C9B61_9ABD_4513_AAEB_8333A9D6196C_.wvu.Cols" localSheetId="65" hidden="1">'Öko-Ro'!$Q:$Z</definedName>
    <definedName name="Z_5D5C9B61_9ABD_4513_AAEB_8333A9D6196C_.wvu.Cols" localSheetId="80" hidden="1">'Öko-Soblu'!$R:$X</definedName>
    <definedName name="Z_5D5C9B61_9ABD_4513_AAEB_8333A9D6196C_.wvu.Cols" localSheetId="73" hidden="1">'Öko-Soja'!$R:$Z</definedName>
    <definedName name="Z_5D5C9B61_9ABD_4513_AAEB_8333A9D6196C_.wvu.Cols" localSheetId="67" hidden="1">'Öko-Wg'!$Q:$Z</definedName>
    <definedName name="Z_5D5C9B61_9ABD_4513_AAEB_8333A9D6196C_.wvu.Cols" localSheetId="62" hidden="1">'Öko-WW-Brot'!$Q:$Z</definedName>
    <definedName name="Z_5D5C9B61_9ABD_4513_AAEB_8333A9D6196C_.wvu.Cols" localSheetId="63" hidden="1">'Öko-WW-Futter'!$Q:$Z</definedName>
    <definedName name="Z_5D5C9B61_9ABD_4513_AAEB_8333A9D6196C_.wvu.Cols" localSheetId="43" hidden="1">Öl!$Q:$AB</definedName>
    <definedName name="Z_5D5C9B61_9ABD_4513_AAEB_8333A9D6196C_.wvu.Cols" localSheetId="5" hidden="1">Preiskalkulation_Biomasse!$AB:$AB</definedName>
    <definedName name="Z_5D5C9B61_9ABD_4513_AAEB_8333A9D6196C_.wvu.Cols" localSheetId="16" hidden="1">'SD2'!$T:$AH</definedName>
    <definedName name="Z_5D5C9B61_9ABD_4513_AAEB_8333A9D6196C_.wvu.Cols" localSheetId="17" hidden="1">'SD3'!$Q:$V</definedName>
    <definedName name="Z_5D5C9B61_9ABD_4513_AAEB_8333A9D6196C_.wvu.Cols" localSheetId="25" hidden="1">'SD8'!$C:$C</definedName>
    <definedName name="Z_5D5C9B61_9ABD_4513_AAEB_8333A9D6196C_.wvu.Cols" localSheetId="18" hidden="1">'SDK4'!$U:$AB</definedName>
    <definedName name="Z_5D5C9B61_9ABD_4513_AAEB_8333A9D6196C_.wvu.Cols" localSheetId="20" hidden="1">'SDK5'!$P:$P,'SDK5'!$AG:$BE</definedName>
    <definedName name="Z_5D5C9B61_9ABD_4513_AAEB_8333A9D6196C_.wvu.Cols" localSheetId="19" hidden="1">SDÖ4!$R:$W,SDÖ4!$Y:$AD</definedName>
    <definedName name="Z_5D5C9B61_9ABD_4513_AAEB_8333A9D6196C_.wvu.Cols" localSheetId="21" hidden="1">SDÖ5!$P:$P</definedName>
    <definedName name="Z_5D5C9B61_9ABD_4513_AAEB_8333A9D6196C_.wvu.Cols" localSheetId="24" hidden="1">SDÖ7!$S:$W,SDÖ7!$AA:$AA</definedName>
    <definedName name="Z_5D5C9B61_9ABD_4513_AAEB_8333A9D6196C_.wvu.Cols" localSheetId="34" hidden="1">'SG-Fu'!$Q:$AA</definedName>
    <definedName name="Z_5D5C9B61_9ABD_4513_AAEB_8333A9D6196C_.wvu.Cols" localSheetId="54" hidden="1">SoBl!$Q:$Z</definedName>
    <definedName name="Z_5D5C9B61_9ABD_4513_AAEB_8333A9D6196C_.wvu.Cols" localSheetId="42" hidden="1">Soja!$Q:$Z</definedName>
    <definedName name="Z_5D5C9B61_9ABD_4513_AAEB_8333A9D6196C_.wvu.Cols" localSheetId="49" hidden="1">SpKa!$Q:$Z</definedName>
    <definedName name="Z_5D5C9B61_9ABD_4513_AAEB_8333A9D6196C_.wvu.Cols" localSheetId="50" hidden="1">SpKaBer!$Q:$Z</definedName>
    <definedName name="Z_5D5C9B61_9ABD_4513_AAEB_8333A9D6196C_.wvu.Cols" localSheetId="41" hidden="1">SR!$Q:$Z</definedName>
    <definedName name="Z_5D5C9B61_9ABD_4513_AAEB_8333A9D6196C_.wvu.Cols" localSheetId="32" hidden="1">SW!$Q:$AA</definedName>
    <definedName name="Z_5D5C9B61_9ABD_4513_AAEB_8333A9D6196C_.wvu.Cols" localSheetId="30" hidden="1">Tr!$Q:$AI</definedName>
    <definedName name="Z_5D5C9B61_9ABD_4513_AAEB_8333A9D6196C_.wvu.Cols" localSheetId="57" hidden="1">Vorlage!$Q:$AC</definedName>
    <definedName name="Z_5D5C9B61_9ABD_4513_AAEB_8333A9D6196C_.wvu.Cols" localSheetId="77" hidden="1">'Vorlage I'!$Q:$AB</definedName>
    <definedName name="Z_5D5C9B61_9ABD_4513_AAEB_8333A9D6196C_.wvu.Cols" localSheetId="31" hidden="1">WG!$Q:$AF</definedName>
    <definedName name="Z_5D5C9B61_9ABD_4513_AAEB_8333A9D6196C_.wvu.Cols" localSheetId="40" hidden="1">WR!$Q:$Z</definedName>
    <definedName name="Z_5D5C9B61_9ABD_4513_AAEB_8333A9D6196C_.wvu.Cols" localSheetId="29" hidden="1">WRo!$Q:$AG</definedName>
    <definedName name="Z_5D5C9B61_9ABD_4513_AAEB_8333A9D6196C_.wvu.Cols" localSheetId="27" hidden="1">'WW1'!$Q:$AA</definedName>
    <definedName name="Z_5D5C9B61_9ABD_4513_AAEB_8333A9D6196C_.wvu.Cols" localSheetId="28" hidden="1">'WW2'!$Q:$AK</definedName>
    <definedName name="Z_5D5C9B61_9ABD_4513_AAEB_8333A9D6196C_.wvu.Cols" localSheetId="52" hidden="1">'WW-A'!$Q:$Z</definedName>
    <definedName name="Z_5D5C9B61_9ABD_4513_AAEB_8333A9D6196C_.wvu.Cols" localSheetId="53" hidden="1">'WW-E'!$Q:$Z</definedName>
    <definedName name="Z_5D5C9B61_9ABD_4513_AAEB_8333A9D6196C_.wvu.Cols" localSheetId="51" hidden="1">ZR!$Q:$Z</definedName>
    <definedName name="Z_5D5C9B61_9ABD_4513_AAEB_8333A9D6196C_.wvu.FilterData" localSheetId="10" hidden="1">'E1'!$B$12:$B$64</definedName>
    <definedName name="Z_5D5C9B61_9ABD_4513_AAEB_8333A9D6196C_.wvu.FilterData" localSheetId="20" hidden="1">'SDK5'!$B$4:$AC$104</definedName>
    <definedName name="Z_5D5C9B61_9ABD_4513_AAEB_8333A9D6196C_.wvu.FilterData" localSheetId="21" hidden="1">SDÖ5!$B$5:$U$19</definedName>
    <definedName name="Z_5D5C9B61_9ABD_4513_AAEB_8333A9D6196C_.wvu.PrintArea" localSheetId="45" hidden="1">AB!$B$2:$P$75</definedName>
    <definedName name="Z_5D5C9B61_9ABD_4513_AAEB_8333A9D6196C_.wvu.PrintArea" localSheetId="56" hidden="1">Begr!$B$2:$P$75</definedName>
    <definedName name="Z_5D5C9B61_9ABD_4513_AAEB_8333A9D6196C_.wvu.PrintArea" localSheetId="76" hidden="1">Begrün.!$B$2:$P$71</definedName>
    <definedName name="Z_5D5C9B61_9ABD_4513_AAEB_8333A9D6196C_.wvu.PrintArea" localSheetId="35" hidden="1">BG!$B$2:$P$75</definedName>
    <definedName name="Z_5D5C9B61_9ABD_4513_AAEB_8333A9D6196C_.wvu.PrintArea" localSheetId="75" hidden="1">Blühm.!$B$2:$P$71</definedName>
    <definedName name="Z_5D5C9B61_9ABD_4513_AAEB_8333A9D6196C_.wvu.PrintArea" localSheetId="8" hidden="1">Daten!$B$2:$CR$61</definedName>
    <definedName name="Z_5D5C9B61_9ABD_4513_AAEB_8333A9D6196C_.wvu.PrintArea" localSheetId="33" hidden="1">Di!$B$2:$P$75</definedName>
    <definedName name="Z_5D5C9B61_9ABD_4513_AAEB_8333A9D6196C_.wvu.PrintArea" localSheetId="37" hidden="1">Du!$B$2:$P$75</definedName>
    <definedName name="Z_5D5C9B61_9ABD_4513_AAEB_8333A9D6196C_.wvu.PrintArea" localSheetId="10" hidden="1">'E1'!$C$2:$K$43</definedName>
    <definedName name="Z_5D5C9B61_9ABD_4513_AAEB_8333A9D6196C_.wvu.PrintArea" localSheetId="11" hidden="1">'E2'!$B$2:$L$41</definedName>
    <definedName name="Z_5D5C9B61_9ABD_4513_AAEB_8333A9D6196C_.wvu.PrintArea" localSheetId="12" hidden="1">'EK1'!$B$2:$J$24</definedName>
    <definedName name="Z_5D5C9B61_9ABD_4513_AAEB_8333A9D6196C_.wvu.PrintArea" localSheetId="55" hidden="1">'FAKT-Brachebegrünung'!$B$2:$P$75</definedName>
    <definedName name="Z_5D5C9B61_9ABD_4513_AAEB_8333A9D6196C_.wvu.PrintArea" localSheetId="44" hidden="1">FE!$B$2:$P$75</definedName>
    <definedName name="Z_5D5C9B61_9ABD_4513_AAEB_8333A9D6196C_.wvu.PrintArea" localSheetId="47" hidden="1">FrühKa!$B$2:$P$75</definedName>
    <definedName name="Z_5D5C9B61_9ABD_4513_AAEB_8333A9D6196C_.wvu.PrintArea" localSheetId="48" hidden="1">FrühKaFolieBer!$B$2:$P$75</definedName>
    <definedName name="Z_5D5C9B61_9ABD_4513_AAEB_8333A9D6196C_.wvu.PrintArea" localSheetId="78" hidden="1">'Grafik1-DB'!$B$2:$L$79</definedName>
    <definedName name="Z_5D5C9B61_9ABD_4513_AAEB_8333A9D6196C_.wvu.PrintArea" localSheetId="36" hidden="1">Ha!$B$2:$P$75</definedName>
    <definedName name="Z_5D5C9B61_9ABD_4513_AAEB_8333A9D6196C_.wvu.PrintArea" localSheetId="9" hidden="1">Hinw!$B$1:$Q$73</definedName>
    <definedName name="Z_5D5C9B61_9ABD_4513_AAEB_8333A9D6196C_.wvu.PrintArea" localSheetId="0" hidden="1">Inhalt!$B$2:$F$94</definedName>
    <definedName name="Z_5D5C9B61_9ABD_4513_AAEB_8333A9D6196C_.wvu.PrintArea" localSheetId="39" hidden="1">KH!$B$2:$P$75</definedName>
    <definedName name="Z_5D5C9B61_9ABD_4513_AAEB_8333A9D6196C_.wvu.PrintArea" localSheetId="38" hidden="1">KöM!$B$2:$P$75</definedName>
    <definedName name="Z_5D5C9B61_9ABD_4513_AAEB_8333A9D6196C_.wvu.PrintArea" localSheetId="26" hidden="1">Kostenrechnung!$B$2:$N$78,Kostenrechnung!$B$113:$N$137,Kostenrechnung!$B$139:$N$184</definedName>
    <definedName name="Z_5D5C9B61_9ABD_4513_AAEB_8333A9D6196C_.wvu.PrintArea" localSheetId="83" hidden="1">'Leerblatt II'!$B$2:$P$76</definedName>
    <definedName name="Z_5D5C9B61_9ABD_4513_AAEB_8333A9D6196C_.wvu.PrintArea" localSheetId="81" hidden="1">Linsen!$B$2:$P$76</definedName>
    <definedName name="Z_5D5C9B61_9ABD_4513_AAEB_8333A9D6196C_.wvu.PrintArea" localSheetId="46" hidden="1">Lu!$B$2:$P$75</definedName>
    <definedName name="Z_5D5C9B61_9ABD_4513_AAEB_8333A9D6196C_.wvu.PrintArea" localSheetId="70" hidden="1">'Öko-Ab'!$B$2:$P$71</definedName>
    <definedName name="Z_5D5C9B61_9ABD_4513_AAEB_8333A9D6196C_.wvu.PrintArea" localSheetId="68" hidden="1">'Öko-Bg'!$B$2:$P$71</definedName>
    <definedName name="Z_5D5C9B61_9ABD_4513_AAEB_8333A9D6196C_.wvu.PrintArea" localSheetId="64" hidden="1">'Öko-Di'!$B$2:$P$71</definedName>
    <definedName name="Z_5D5C9B61_9ABD_4513_AAEB_8333A9D6196C_.wvu.PrintArea" localSheetId="79" hidden="1">'Öko-Dinkel,gegerbt'!$B$2:$P$71</definedName>
    <definedName name="Z_5D5C9B61_9ABD_4513_AAEB_8333A9D6196C_.wvu.PrintArea" localSheetId="72" hidden="1">'Öko-FE'!$B$2:$P$71</definedName>
    <definedName name="Z_5D5C9B61_9ABD_4513_AAEB_8333A9D6196C_.wvu.PrintArea" localSheetId="66" hidden="1">'Öko-Ha'!$B$2:$P$71</definedName>
    <definedName name="Z_5D5C9B61_9ABD_4513_AAEB_8333A9D6196C_.wvu.PrintArea" localSheetId="74" hidden="1">'Öko-Ka'!$B$2:$P$71</definedName>
    <definedName name="Z_5D5C9B61_9ABD_4513_AAEB_8333A9D6196C_.wvu.PrintArea" localSheetId="58" hidden="1">'Öko-KG1'!$B$2:$P$72</definedName>
    <definedName name="Z_5D5C9B61_9ABD_4513_AAEB_8333A9D6196C_.wvu.PrintArea" localSheetId="59" hidden="1">'Öko-KG2'!$B$2:$P$71</definedName>
    <definedName name="Z_5D5C9B61_9ABD_4513_AAEB_8333A9D6196C_.wvu.PrintArea" localSheetId="69" hidden="1">'Öko-KöM'!$B$2:$P$71</definedName>
    <definedName name="Z_5D5C9B61_9ABD_4513_AAEB_8333A9D6196C_.wvu.PrintArea" localSheetId="71" hidden="1">'Öko-Lu'!$B$2:$P$75</definedName>
    <definedName name="Z_5D5C9B61_9ABD_4513_AAEB_8333A9D6196C_.wvu.PrintArea" localSheetId="60" hidden="1">'Öko-LU1'!$B$2:$P$71</definedName>
    <definedName name="Z_5D5C9B61_9ABD_4513_AAEB_8333A9D6196C_.wvu.PrintArea" localSheetId="61" hidden="1">'Öko-LU2'!$B$2:$P$71</definedName>
    <definedName name="Z_5D5C9B61_9ABD_4513_AAEB_8333A9D6196C_.wvu.PrintArea" localSheetId="82" hidden="1">'Öko-Raps'!$B$2:$P$71</definedName>
    <definedName name="Z_5D5C9B61_9ABD_4513_AAEB_8333A9D6196C_.wvu.PrintArea" localSheetId="65" hidden="1">'Öko-Ro'!$B$2:$P$71</definedName>
    <definedName name="Z_5D5C9B61_9ABD_4513_AAEB_8333A9D6196C_.wvu.PrintArea" localSheetId="80" hidden="1">'Öko-Soblu'!$B$2:$P$71</definedName>
    <definedName name="Z_5D5C9B61_9ABD_4513_AAEB_8333A9D6196C_.wvu.PrintArea" localSheetId="73" hidden="1">'Öko-Soja'!$B$2:$P$71</definedName>
    <definedName name="Z_5D5C9B61_9ABD_4513_AAEB_8333A9D6196C_.wvu.PrintArea" localSheetId="67" hidden="1">'Öko-Wg'!$B$2:$P$71</definedName>
    <definedName name="Z_5D5C9B61_9ABD_4513_AAEB_8333A9D6196C_.wvu.PrintArea" localSheetId="62" hidden="1">'Öko-WW-Brot'!$B$2:$P$71</definedName>
    <definedName name="Z_5D5C9B61_9ABD_4513_AAEB_8333A9D6196C_.wvu.PrintArea" localSheetId="63" hidden="1">'Öko-WW-Futter'!$B$2:$P$72</definedName>
    <definedName name="Z_5D5C9B61_9ABD_4513_AAEB_8333A9D6196C_.wvu.PrintArea" localSheetId="43" hidden="1">Öl!$B$2:$P$75</definedName>
    <definedName name="Z_5D5C9B61_9ABD_4513_AAEB_8333A9D6196C_.wvu.PrintArea" localSheetId="5" hidden="1">Preiskalkulation_Biomasse!$A$1:$U$111</definedName>
    <definedName name="Z_5D5C9B61_9ABD_4513_AAEB_8333A9D6196C_.wvu.PrintArea" localSheetId="16" hidden="1">'SD2'!$A$1:$O$80</definedName>
    <definedName name="Z_5D5C9B61_9ABD_4513_AAEB_8333A9D6196C_.wvu.PrintArea" localSheetId="17" hidden="1">'SD3'!$B$5:$O$85,'SD3'!$B$87:$O$108</definedName>
    <definedName name="Z_5D5C9B61_9ABD_4513_AAEB_8333A9D6196C_.wvu.PrintArea" localSheetId="22" hidden="1">'SD6'!$B$2:$N$87</definedName>
    <definedName name="Z_5D5C9B61_9ABD_4513_AAEB_8333A9D6196C_.wvu.PrintArea" localSheetId="25" hidden="1">'SD8'!$B$2:$I$60</definedName>
    <definedName name="Z_5D5C9B61_9ABD_4513_AAEB_8333A9D6196C_.wvu.PrintArea" localSheetId="14" hidden="1">'SDK1'!$B$2:$P$65</definedName>
    <definedName name="Z_5D5C9B61_9ABD_4513_AAEB_8333A9D6196C_.wvu.PrintArea" localSheetId="18" hidden="1">'SDK4'!$B$2:$N$55</definedName>
    <definedName name="Z_5D5C9B61_9ABD_4513_AAEB_8333A9D6196C_.wvu.PrintArea" localSheetId="20" hidden="1">'SDK5'!$AP$2:$BC$55</definedName>
    <definedName name="Z_5D5C9B61_9ABD_4513_AAEB_8333A9D6196C_.wvu.PrintArea" localSheetId="23" hidden="1">'SDK7'!$C$2:$O$189</definedName>
    <definedName name="Z_5D5C9B61_9ABD_4513_AAEB_8333A9D6196C_.wvu.PrintArea" localSheetId="15" hidden="1">SDÖ1!$B$1:$AE$82</definedName>
    <definedName name="Z_5D5C9B61_9ABD_4513_AAEB_8333A9D6196C_.wvu.PrintArea" localSheetId="19" hidden="1">SDÖ4!$B$2:$Q$60</definedName>
    <definedName name="Z_5D5C9B61_9ABD_4513_AAEB_8333A9D6196C_.wvu.PrintArea" localSheetId="21" hidden="1">SDÖ5!$C$3:$O$43</definedName>
    <definedName name="Z_5D5C9B61_9ABD_4513_AAEB_8333A9D6196C_.wvu.PrintArea" localSheetId="24" hidden="1">SDÖ7!$C$2:$O$145</definedName>
    <definedName name="Z_5D5C9B61_9ABD_4513_AAEB_8333A9D6196C_.wvu.PrintArea" localSheetId="34" hidden="1">'SG-Fu'!$B$2:$P$75</definedName>
    <definedName name="Z_5D5C9B61_9ABD_4513_AAEB_8333A9D6196C_.wvu.PrintArea" localSheetId="54" hidden="1">SoBl!$B$2:$P$75</definedName>
    <definedName name="Z_5D5C9B61_9ABD_4513_AAEB_8333A9D6196C_.wvu.PrintArea" localSheetId="42" hidden="1">Soja!$B$2:$P$75</definedName>
    <definedName name="Z_5D5C9B61_9ABD_4513_AAEB_8333A9D6196C_.wvu.PrintArea" localSheetId="49" hidden="1">SpKa!$B$2:$P$75</definedName>
    <definedName name="Z_5D5C9B61_9ABD_4513_AAEB_8333A9D6196C_.wvu.PrintArea" localSheetId="50" hidden="1">SpKaBer!$B$2:$P$75</definedName>
    <definedName name="Z_5D5C9B61_9ABD_4513_AAEB_8333A9D6196C_.wvu.PrintArea" localSheetId="41" hidden="1">SR!$B$2:$P$75</definedName>
    <definedName name="Z_5D5C9B61_9ABD_4513_AAEB_8333A9D6196C_.wvu.PrintArea" localSheetId="32" hidden="1">SW!$B$2:$P$75</definedName>
    <definedName name="Z_5D5C9B61_9ABD_4513_AAEB_8333A9D6196C_.wvu.PrintArea" localSheetId="84" hidden="1">'TE6'!$B$2:$P$76</definedName>
    <definedName name="Z_5D5C9B61_9ABD_4513_AAEB_8333A9D6196C_.wvu.PrintArea" localSheetId="85" hidden="1">'TE7'!$B$2:$P$76</definedName>
    <definedName name="Z_5D5C9B61_9ABD_4513_AAEB_8333A9D6196C_.wvu.PrintArea" localSheetId="86" hidden="1">'TE8'!$B$2:$P$76</definedName>
    <definedName name="Z_5D5C9B61_9ABD_4513_AAEB_8333A9D6196C_.wvu.PrintArea" localSheetId="87" hidden="1">'TE9'!$B$2:$P$76</definedName>
    <definedName name="Z_5D5C9B61_9ABD_4513_AAEB_8333A9D6196C_.wvu.PrintArea" localSheetId="30" hidden="1">Tr!$B$2:$P$75</definedName>
    <definedName name="Z_5D5C9B61_9ABD_4513_AAEB_8333A9D6196C_.wvu.PrintArea" localSheetId="57" hidden="1">Vorlage!$B$2:$P$75</definedName>
    <definedName name="Z_5D5C9B61_9ABD_4513_AAEB_8333A9D6196C_.wvu.PrintArea" localSheetId="77" hidden="1">'Vorlage I'!$B$2:$P$71</definedName>
    <definedName name="Z_5D5C9B61_9ABD_4513_AAEB_8333A9D6196C_.wvu.PrintArea" localSheetId="31" hidden="1">WG!$B$2:$P$75</definedName>
    <definedName name="Z_5D5C9B61_9ABD_4513_AAEB_8333A9D6196C_.wvu.PrintArea" localSheetId="40" hidden="1">WR!$B$2:$P$75</definedName>
    <definedName name="Z_5D5C9B61_9ABD_4513_AAEB_8333A9D6196C_.wvu.PrintArea" localSheetId="29" hidden="1">WRo!$B$2:$P$75</definedName>
    <definedName name="Z_5D5C9B61_9ABD_4513_AAEB_8333A9D6196C_.wvu.PrintArea" localSheetId="27" hidden="1">'WW1'!$B$2:$P$76</definedName>
    <definedName name="Z_5D5C9B61_9ABD_4513_AAEB_8333A9D6196C_.wvu.PrintArea" localSheetId="28" hidden="1">'WW2'!$B$2:$P$75</definedName>
    <definedName name="Z_5D5C9B61_9ABD_4513_AAEB_8333A9D6196C_.wvu.PrintArea" localSheetId="52" hidden="1">'WW-A'!$B$2:$P$75</definedName>
    <definedName name="Z_5D5C9B61_9ABD_4513_AAEB_8333A9D6196C_.wvu.PrintArea" localSheetId="53" hidden="1">'WW-E'!$B$2:$P$75</definedName>
    <definedName name="Z_5D5C9B61_9ABD_4513_AAEB_8333A9D6196C_.wvu.PrintArea" localSheetId="51" hidden="1">ZR!$B$2:$P$75</definedName>
    <definedName name="Z_5D5C9B61_9ABD_4513_AAEB_8333A9D6196C_.wvu.PrintTitles" localSheetId="8" hidden="1">Daten!$B:$C,Daten!$2:$4</definedName>
    <definedName name="Z_5D5C9B61_9ABD_4513_AAEB_8333A9D6196C_.wvu.PrintTitles" localSheetId="5" hidden="1">Preiskalkulation_Biomasse!$1:$22</definedName>
    <definedName name="Z_5D5C9B61_9ABD_4513_AAEB_8333A9D6196C_.wvu.PrintTitles" localSheetId="16" hidden="1">'SD2'!$2:$3</definedName>
    <definedName name="Z_5D5C9B61_9ABD_4513_AAEB_8333A9D6196C_.wvu.PrintTitles" localSheetId="17" hidden="1">'SD3'!$2:$4</definedName>
    <definedName name="Z_5D5C9B61_9ABD_4513_AAEB_8333A9D6196C_.wvu.PrintTitles" localSheetId="22" hidden="1">'SD6'!$2:$7</definedName>
    <definedName name="Z_5D5C9B61_9ABD_4513_AAEB_8333A9D6196C_.wvu.PrintTitles" localSheetId="23" hidden="1">'SDK7'!$2:$2</definedName>
    <definedName name="Z_5D5C9B61_9ABD_4513_AAEB_8333A9D6196C_.wvu.PrintTitles" localSheetId="24" hidden="1">SDÖ7!$2:$2</definedName>
    <definedName name="Z_5D5C9B61_9ABD_4513_AAEB_8333A9D6196C_.wvu.Rows" localSheetId="56" hidden="1">Begr!$11:$12</definedName>
    <definedName name="Z_5D5C9B61_9ABD_4513_AAEB_8333A9D6196C_.wvu.Rows" localSheetId="76" hidden="1">Begrün.!$38:$41</definedName>
    <definedName name="Z_5D5C9B61_9ABD_4513_AAEB_8333A9D6196C_.wvu.Rows" localSheetId="35" hidden="1">BG!$12:$12</definedName>
    <definedName name="Z_5D5C9B61_9ABD_4513_AAEB_8333A9D6196C_.wvu.Rows" localSheetId="75" hidden="1">Blühm.!$38:$41</definedName>
    <definedName name="Z_5D5C9B61_9ABD_4513_AAEB_8333A9D6196C_.wvu.Rows" localSheetId="33" hidden="1">Di!$12:$12</definedName>
    <definedName name="Z_5D5C9B61_9ABD_4513_AAEB_8333A9D6196C_.wvu.Rows" localSheetId="37" hidden="1">Du!$12:$12</definedName>
    <definedName name="Z_5D5C9B61_9ABD_4513_AAEB_8333A9D6196C_.wvu.Rows" localSheetId="12" hidden="1">'EK1'!$1:$1,'EK1'!$23:$24,'EK1'!$27:$58</definedName>
    <definedName name="Z_5D5C9B61_9ABD_4513_AAEB_8333A9D6196C_.wvu.Rows" localSheetId="13" hidden="1">EÖ1!$1:$2</definedName>
    <definedName name="Z_5D5C9B61_9ABD_4513_AAEB_8333A9D6196C_.wvu.Rows" localSheetId="1" hidden="1">'Erträge_2-J'!$11:$12,'Erträge_2-J'!$18:$19,'Erträge_2-J'!$25:$28,'Erträge_2-J'!$33:$33,'Erträge_2-J'!$38:$40,'Erträge_2-J'!$45:$70</definedName>
    <definedName name="Z_5D5C9B61_9ABD_4513_AAEB_8333A9D6196C_.wvu.Rows" localSheetId="2" hidden="1">'Erträge_3-J'!$11:$12,'Erträge_3-J'!$18:$19,'Erträge_3-J'!$25:$28,'Erträge_3-J'!$33:$33,'Erträge_3-J'!$38:$40,'Erträge_3-J'!$45:$70</definedName>
    <definedName name="Z_5D5C9B61_9ABD_4513_AAEB_8333A9D6196C_.wvu.Rows" localSheetId="3" hidden="1">'Erträge_4-J'!$11:$12,'Erträge_4-J'!$18:$19,'Erträge_4-J'!$25:$28,'Erträge_4-J'!$33:$33,'Erträge_4-J'!$38:$40,'Erträge_4-J'!$45:$70</definedName>
    <definedName name="Z_5D5C9B61_9ABD_4513_AAEB_8333A9D6196C_.wvu.Rows" localSheetId="4" hidden="1">'Erträge_5-J'!$11:$12,'Erträge_5-J'!$18:$19,'Erträge_5-J'!$33:$33,'Erträge_5-J'!$38:$40,'Erträge_5-J'!$45:$70</definedName>
    <definedName name="Z_5D5C9B61_9ABD_4513_AAEB_8333A9D6196C_.wvu.Rows" localSheetId="55" hidden="1">'FAKT-Brachebegrünung'!$11:$12</definedName>
    <definedName name="Z_5D5C9B61_9ABD_4513_AAEB_8333A9D6196C_.wvu.Rows" localSheetId="44" hidden="1">FE!$11:$12</definedName>
    <definedName name="Z_5D5C9B61_9ABD_4513_AAEB_8333A9D6196C_.wvu.Rows" localSheetId="47" hidden="1">FrühKa!$11:$12</definedName>
    <definedName name="Z_5D5C9B61_9ABD_4513_AAEB_8333A9D6196C_.wvu.Rows" localSheetId="48" hidden="1">FrühKaFolieBer!$11:$12</definedName>
    <definedName name="Z_5D5C9B61_9ABD_4513_AAEB_8333A9D6196C_.wvu.Rows" localSheetId="36" hidden="1">Ha!$12:$12</definedName>
    <definedName name="Z_5D5C9B61_9ABD_4513_AAEB_8333A9D6196C_.wvu.Rows" localSheetId="0" hidden="1">Inhalt!$60:$60,Inhalt!$66:$68,Inhalt!$74:$75,Inhalt!$82:$97,Inhalt!$119:$119,Inhalt!$130:$140</definedName>
    <definedName name="Z_5D5C9B61_9ABD_4513_AAEB_8333A9D6196C_.wvu.Rows" localSheetId="39" hidden="1">KH!$11:$12</definedName>
    <definedName name="Z_5D5C9B61_9ABD_4513_AAEB_8333A9D6196C_.wvu.Rows" localSheetId="38" hidden="1">KöM!$11:$12</definedName>
    <definedName name="Z_5D5C9B61_9ABD_4513_AAEB_8333A9D6196C_.wvu.Rows" localSheetId="26" hidden="1">Kostenrechnung!$6:$6,Kostenrechnung!$33:$33,Kostenrechnung!$60:$60,Kostenrechnung!$91:$110</definedName>
    <definedName name="Z_5D5C9B61_9ABD_4513_AAEB_8333A9D6196C_.wvu.Rows" localSheetId="83" hidden="1">'Leerblatt II'!$39:$42</definedName>
    <definedName name="Z_5D5C9B61_9ABD_4513_AAEB_8333A9D6196C_.wvu.Rows" localSheetId="81" hidden="1">Linsen!$19:$19,Linsen!$38:$41</definedName>
    <definedName name="Z_5D5C9B61_9ABD_4513_AAEB_8333A9D6196C_.wvu.Rows" localSheetId="46" hidden="1">Lu!$11:$12</definedName>
    <definedName name="Z_5D5C9B61_9ABD_4513_AAEB_8333A9D6196C_.wvu.Rows" localSheetId="70" hidden="1">'Öko-Ab'!$11:$12,'Öko-Ab'!$38:$41</definedName>
    <definedName name="Z_5D5C9B61_9ABD_4513_AAEB_8333A9D6196C_.wvu.Rows" localSheetId="68" hidden="1">'Öko-Bg'!$12:$12,'Öko-Bg'!$38:$41</definedName>
    <definedName name="Z_5D5C9B61_9ABD_4513_AAEB_8333A9D6196C_.wvu.Rows" localSheetId="64" hidden="1">'Öko-Di'!$12:$12,'Öko-Di'!$38:$41</definedName>
    <definedName name="Z_5D5C9B61_9ABD_4513_AAEB_8333A9D6196C_.wvu.Rows" localSheetId="79" hidden="1">'Öko-Dinkel,gegerbt'!$38:$41</definedName>
    <definedName name="Z_5D5C9B61_9ABD_4513_AAEB_8333A9D6196C_.wvu.Rows" localSheetId="72" hidden="1">'Öko-FE'!$11:$12,'Öko-FE'!$38:$41</definedName>
    <definedName name="Z_5D5C9B61_9ABD_4513_AAEB_8333A9D6196C_.wvu.Rows" localSheetId="66" hidden="1">'Öko-Ha'!$12:$12,'Öko-Ha'!$38:$41</definedName>
    <definedName name="Z_5D5C9B61_9ABD_4513_AAEB_8333A9D6196C_.wvu.Rows" localSheetId="74" hidden="1">'Öko-Ka'!$11:$12,'Öko-Ka'!$38:$41</definedName>
    <definedName name="Z_5D5C9B61_9ABD_4513_AAEB_8333A9D6196C_.wvu.Rows" localSheetId="58" hidden="1">'Öko-KG1'!$38:$41</definedName>
    <definedName name="Z_5D5C9B61_9ABD_4513_AAEB_8333A9D6196C_.wvu.Rows" localSheetId="59" hidden="1">'Öko-KG2'!$38:$41,'Öko-KG2'!$69:$70</definedName>
    <definedName name="Z_5D5C9B61_9ABD_4513_AAEB_8333A9D6196C_.wvu.Rows" localSheetId="69" hidden="1">'Öko-KöM'!$11:$12,'Öko-KöM'!$38:$41</definedName>
    <definedName name="Z_5D5C9B61_9ABD_4513_AAEB_8333A9D6196C_.wvu.Rows" localSheetId="71" hidden="1">'Öko-Lu'!$11:$12</definedName>
    <definedName name="Z_5D5C9B61_9ABD_4513_AAEB_8333A9D6196C_.wvu.Rows" localSheetId="60" hidden="1">'Öko-LU1'!$38:$41,'Öko-LU1'!$69:$70</definedName>
    <definedName name="Z_5D5C9B61_9ABD_4513_AAEB_8333A9D6196C_.wvu.Rows" localSheetId="61" hidden="1">'Öko-LU2'!$38:$41,'Öko-LU2'!$69:$70</definedName>
    <definedName name="Z_5D5C9B61_9ABD_4513_AAEB_8333A9D6196C_.wvu.Rows" localSheetId="82" hidden="1">'Öko-Raps'!$11:$12,'Öko-Raps'!$38:$41</definedName>
    <definedName name="Z_5D5C9B61_9ABD_4513_AAEB_8333A9D6196C_.wvu.Rows" localSheetId="65" hidden="1">'Öko-Ro'!$12:$12,'Öko-Ro'!$38:$41</definedName>
    <definedName name="Z_5D5C9B61_9ABD_4513_AAEB_8333A9D6196C_.wvu.Rows" localSheetId="80" hidden="1">'Öko-Soblu'!$11:$12,'Öko-Soblu'!$38:$41</definedName>
    <definedName name="Z_5D5C9B61_9ABD_4513_AAEB_8333A9D6196C_.wvu.Rows" localSheetId="73" hidden="1">'Öko-Soja'!$11:$12,'Öko-Soja'!$38:$41</definedName>
    <definedName name="Z_5D5C9B61_9ABD_4513_AAEB_8333A9D6196C_.wvu.Rows" localSheetId="67" hidden="1">'Öko-Wg'!$12:$12,'Öko-Wg'!$38:$41</definedName>
    <definedName name="Z_5D5C9B61_9ABD_4513_AAEB_8333A9D6196C_.wvu.Rows" localSheetId="62" hidden="1">'Öko-WW-Brot'!$12:$12,'Öko-WW-Brot'!$38:$41</definedName>
    <definedName name="Z_5D5C9B61_9ABD_4513_AAEB_8333A9D6196C_.wvu.Rows" localSheetId="63" hidden="1">'Öko-WW-Futter'!$12:$12,'Öko-WW-Futter'!$38:$41</definedName>
    <definedName name="Z_5D5C9B61_9ABD_4513_AAEB_8333A9D6196C_.wvu.Rows" localSheetId="43" hidden="1">Öl!$11:$12</definedName>
    <definedName name="Z_5D5C9B61_9ABD_4513_AAEB_8333A9D6196C_.wvu.Rows" localSheetId="17" hidden="1">'SD3'!#REF!,'SD3'!$50:$50,'SD3'!#REF!,'SD3'!$98:$100</definedName>
    <definedName name="Z_5D5C9B61_9ABD_4513_AAEB_8333A9D6196C_.wvu.Rows" localSheetId="25" hidden="1">'SD8'!$8:$8,'SD8'!$57:$57</definedName>
    <definedName name="Z_5D5C9B61_9ABD_4513_AAEB_8333A9D6196C_.wvu.Rows" localSheetId="14" hidden="1">'SDK1'!$43:$47,'SDK1'!$62:$62</definedName>
    <definedName name="Z_5D5C9B61_9ABD_4513_AAEB_8333A9D6196C_.wvu.Rows" localSheetId="18" hidden="1">'SDK4'!$17:$32,'SDK4'!$38:$38</definedName>
    <definedName name="Z_5D5C9B61_9ABD_4513_AAEB_8333A9D6196C_.wvu.Rows" localSheetId="23" hidden="1">'SDK7'!$116:$174,'SDK7'!$245:$252</definedName>
    <definedName name="Z_5D5C9B61_9ABD_4513_AAEB_8333A9D6196C_.wvu.Rows" localSheetId="15" hidden="1">SDÖ1!$28:$28,SDÖ1!$32:$42,SDÖ1!$45:$48,SDÖ1!$50:$51</definedName>
    <definedName name="Z_5D5C9B61_9ABD_4513_AAEB_8333A9D6196C_.wvu.Rows" localSheetId="19" hidden="1">SDÖ4!$25:$36,SDÖ4!$38:$42,SDÖ4!$61:$61</definedName>
    <definedName name="Z_5D5C9B61_9ABD_4513_AAEB_8333A9D6196C_.wvu.Rows" localSheetId="24" hidden="1">SDÖ7!$41:$41,SDÖ7!$80:$87,SDÖ7!$117:$118,SDÖ7!$141:$141,SDÖ7!$197:$204</definedName>
    <definedName name="Z_5D5C9B61_9ABD_4513_AAEB_8333A9D6196C_.wvu.Rows" localSheetId="34" hidden="1">'SG-Fu'!$12:$12</definedName>
    <definedName name="Z_5D5C9B61_9ABD_4513_AAEB_8333A9D6196C_.wvu.Rows" localSheetId="54" hidden="1">SoBl!$11:$12</definedName>
    <definedName name="Z_5D5C9B61_9ABD_4513_AAEB_8333A9D6196C_.wvu.Rows" localSheetId="42" hidden="1">Soja!$11:$12</definedName>
    <definedName name="Z_5D5C9B61_9ABD_4513_AAEB_8333A9D6196C_.wvu.Rows" localSheetId="49" hidden="1">SpKa!$11:$12</definedName>
    <definedName name="Z_5D5C9B61_9ABD_4513_AAEB_8333A9D6196C_.wvu.Rows" localSheetId="50" hidden="1">SpKaBer!$11:$12</definedName>
    <definedName name="Z_5D5C9B61_9ABD_4513_AAEB_8333A9D6196C_.wvu.Rows" localSheetId="41" hidden="1">SR!$11:$12</definedName>
    <definedName name="Z_5D5C9B61_9ABD_4513_AAEB_8333A9D6196C_.wvu.Rows" localSheetId="32" hidden="1">SW!$12:$12</definedName>
    <definedName name="Z_5D5C9B61_9ABD_4513_AAEB_8333A9D6196C_.wvu.Rows" localSheetId="84" hidden="1">'TE6'!$39:$42</definedName>
    <definedName name="Z_5D5C9B61_9ABD_4513_AAEB_8333A9D6196C_.wvu.Rows" localSheetId="85" hidden="1">'TE7'!$39:$42</definedName>
    <definedName name="Z_5D5C9B61_9ABD_4513_AAEB_8333A9D6196C_.wvu.Rows" localSheetId="86" hidden="1">'TE8'!$39:$42</definedName>
    <definedName name="Z_5D5C9B61_9ABD_4513_AAEB_8333A9D6196C_.wvu.Rows" localSheetId="87" hidden="1">'TE9'!$39:$42</definedName>
    <definedName name="Z_5D5C9B61_9ABD_4513_AAEB_8333A9D6196C_.wvu.Rows" localSheetId="30" hidden="1">Tr!$12:$12</definedName>
    <definedName name="Z_5D5C9B61_9ABD_4513_AAEB_8333A9D6196C_.wvu.Rows" localSheetId="77" hidden="1">'Vorlage I'!$38:$41</definedName>
    <definedName name="Z_5D5C9B61_9ABD_4513_AAEB_8333A9D6196C_.wvu.Rows" localSheetId="31" hidden="1">WG!$12:$12</definedName>
    <definedName name="Z_5D5C9B61_9ABD_4513_AAEB_8333A9D6196C_.wvu.Rows" localSheetId="40" hidden="1">WR!$11:$12</definedName>
    <definedName name="Z_5D5C9B61_9ABD_4513_AAEB_8333A9D6196C_.wvu.Rows" localSheetId="29" hidden="1">WRo!$12:$12</definedName>
    <definedName name="Z_5D5C9B61_9ABD_4513_AAEB_8333A9D6196C_.wvu.Rows" localSheetId="27" hidden="1">'WW1'!$12:$12</definedName>
    <definedName name="Z_5D5C9B61_9ABD_4513_AAEB_8333A9D6196C_.wvu.Rows" localSheetId="28" hidden="1">'WW2'!$12:$12</definedName>
    <definedName name="Z_5D5C9B61_9ABD_4513_AAEB_8333A9D6196C_.wvu.Rows" localSheetId="52" hidden="1">'WW-A'!$12:$12</definedName>
    <definedName name="Z_5D5C9B61_9ABD_4513_AAEB_8333A9D6196C_.wvu.Rows" localSheetId="53" hidden="1">'WW-E'!$12:$12</definedName>
    <definedName name="Z_5D5C9B61_9ABD_4513_AAEB_8333A9D6196C_.wvu.Rows" localSheetId="51" hidden="1">ZR!$11:$12</definedName>
    <definedName name="Z_8063F48F_80B5_4ECD_B18A_51CBF126E780_.wvu.Cols" localSheetId="45" hidden="1">AB!$Q:$Z</definedName>
    <definedName name="Z_8063F48F_80B5_4ECD_B18A_51CBF126E780_.wvu.Cols" localSheetId="56" hidden="1">Begr!$Q:$AB</definedName>
    <definedName name="Z_8063F48F_80B5_4ECD_B18A_51CBF126E780_.wvu.Cols" localSheetId="76" hidden="1">Begrün.!$Q:$AA</definedName>
    <definedName name="Z_8063F48F_80B5_4ECD_B18A_51CBF126E780_.wvu.Cols" localSheetId="35" hidden="1">BG!$Q:$AA</definedName>
    <definedName name="Z_8063F48F_80B5_4ECD_B18A_51CBF126E780_.wvu.Cols" localSheetId="75" hidden="1">Blühm.!$Q:$AA</definedName>
    <definedName name="Z_8063F48F_80B5_4ECD_B18A_51CBF126E780_.wvu.Cols" localSheetId="33" hidden="1">Di!$Q:$AC</definedName>
    <definedName name="Z_8063F48F_80B5_4ECD_B18A_51CBF126E780_.wvu.Cols" localSheetId="37" hidden="1">Du!$Q:$AA</definedName>
    <definedName name="Z_8063F48F_80B5_4ECD_B18A_51CBF126E780_.wvu.Cols" localSheetId="10" hidden="1">'E1'!$F:$F,'E1'!$I:$I</definedName>
    <definedName name="Z_8063F48F_80B5_4ECD_B18A_51CBF126E780_.wvu.Cols" localSheetId="11" hidden="1">'E2'!$O:$Q</definedName>
    <definedName name="Z_8063F48F_80B5_4ECD_B18A_51CBF126E780_.wvu.Cols" localSheetId="12" hidden="1">'EK1'!$L:$L</definedName>
    <definedName name="Z_8063F48F_80B5_4ECD_B18A_51CBF126E780_.wvu.Cols" localSheetId="13" hidden="1">EÖ1!$U:$U</definedName>
    <definedName name="Z_8063F48F_80B5_4ECD_B18A_51CBF126E780_.wvu.Cols" localSheetId="55" hidden="1">'FAKT-Brachebegrünung'!$Q:$Z</definedName>
    <definedName name="Z_8063F48F_80B5_4ECD_B18A_51CBF126E780_.wvu.Cols" localSheetId="44" hidden="1">FE!$Q:$Z</definedName>
    <definedName name="Z_8063F48F_80B5_4ECD_B18A_51CBF126E780_.wvu.Cols" localSheetId="47" hidden="1">FrühKa!$Q:$Z</definedName>
    <definedName name="Z_8063F48F_80B5_4ECD_B18A_51CBF126E780_.wvu.Cols" localSheetId="48" hidden="1">FrühKaFolieBer!$Q:$AF</definedName>
    <definedName name="Z_8063F48F_80B5_4ECD_B18A_51CBF126E780_.wvu.Cols" localSheetId="36" hidden="1">Ha!$Q:$AA</definedName>
    <definedName name="Z_8063F48F_80B5_4ECD_B18A_51CBF126E780_.wvu.Cols" localSheetId="0" hidden="1">Inhalt!$H:$I</definedName>
    <definedName name="Z_8063F48F_80B5_4ECD_B18A_51CBF126E780_.wvu.Cols" localSheetId="39" hidden="1">KH!$Q:$AF</definedName>
    <definedName name="Z_8063F48F_80B5_4ECD_B18A_51CBF126E780_.wvu.Cols" localSheetId="38" hidden="1">KöM!$Q:$AA</definedName>
    <definedName name="Z_8063F48F_80B5_4ECD_B18A_51CBF126E780_.wvu.Cols" localSheetId="83" hidden="1">'Leerblatt II'!$Q:$AD</definedName>
    <definedName name="Z_8063F48F_80B5_4ECD_B18A_51CBF126E780_.wvu.Cols" localSheetId="81" hidden="1">Linsen!$Q:$AB</definedName>
    <definedName name="Z_8063F48F_80B5_4ECD_B18A_51CBF126E780_.wvu.Cols" localSheetId="46" hidden="1">Lu!$Q:$Z</definedName>
    <definedName name="Z_8063F48F_80B5_4ECD_B18A_51CBF126E780_.wvu.Cols" localSheetId="70" hidden="1">'Öko-Ab'!$Q:$Z</definedName>
    <definedName name="Z_8063F48F_80B5_4ECD_B18A_51CBF126E780_.wvu.Cols" localSheetId="68" hidden="1">'Öko-Bg'!$Q:$AB</definedName>
    <definedName name="Z_8063F48F_80B5_4ECD_B18A_51CBF126E780_.wvu.Cols" localSheetId="64" hidden="1">'Öko-Di'!$Q:$AB</definedName>
    <definedName name="Z_8063F48F_80B5_4ECD_B18A_51CBF126E780_.wvu.Cols" localSheetId="79" hidden="1">'Öko-Dinkel,gegerbt'!$R:$AA</definedName>
    <definedName name="Z_8063F48F_80B5_4ECD_B18A_51CBF126E780_.wvu.Cols" localSheetId="72" hidden="1">'Öko-FE'!$Q:$Z</definedName>
    <definedName name="Z_8063F48F_80B5_4ECD_B18A_51CBF126E780_.wvu.Cols" localSheetId="66" hidden="1">'Öko-Ha'!$Q:$AB</definedName>
    <definedName name="Z_8063F48F_80B5_4ECD_B18A_51CBF126E780_.wvu.Cols" localSheetId="74" hidden="1">'Öko-Ka'!$Q:$AA</definedName>
    <definedName name="Z_8063F48F_80B5_4ECD_B18A_51CBF126E780_.wvu.Cols" localSheetId="58" hidden="1">'Öko-KG1'!$Q:$AH</definedName>
    <definedName name="Z_8063F48F_80B5_4ECD_B18A_51CBF126E780_.wvu.Cols" localSheetId="59" hidden="1">'Öko-KG2'!$Q:$AD</definedName>
    <definedName name="Z_8063F48F_80B5_4ECD_B18A_51CBF126E780_.wvu.Cols" localSheetId="69" hidden="1">'Öko-KöM'!$Q:$AA</definedName>
    <definedName name="Z_8063F48F_80B5_4ECD_B18A_51CBF126E780_.wvu.Cols" localSheetId="71" hidden="1">'Öko-Lu'!$Q:$Z</definedName>
    <definedName name="Z_8063F48F_80B5_4ECD_B18A_51CBF126E780_.wvu.Cols" localSheetId="60" hidden="1">'Öko-LU1'!$Q:$AI</definedName>
    <definedName name="Z_8063F48F_80B5_4ECD_B18A_51CBF126E780_.wvu.Cols" localSheetId="61" hidden="1">'Öko-LU2'!$Q:$AF</definedName>
    <definedName name="Z_8063F48F_80B5_4ECD_B18A_51CBF126E780_.wvu.Cols" localSheetId="82" hidden="1">'Öko-Raps'!$Q:$Z</definedName>
    <definedName name="Z_8063F48F_80B5_4ECD_B18A_51CBF126E780_.wvu.Cols" localSheetId="65" hidden="1">'Öko-Ro'!$Q:$AB</definedName>
    <definedName name="Z_8063F48F_80B5_4ECD_B18A_51CBF126E780_.wvu.Cols" localSheetId="80" hidden="1">'Öko-Soblu'!$R:$X</definedName>
    <definedName name="Z_8063F48F_80B5_4ECD_B18A_51CBF126E780_.wvu.Cols" localSheetId="73" hidden="1">'Öko-Soja'!$Q:$Z</definedName>
    <definedName name="Z_8063F48F_80B5_4ECD_B18A_51CBF126E780_.wvu.Cols" localSheetId="67" hidden="1">'Öko-Wg'!$Q:$AB</definedName>
    <definedName name="Z_8063F48F_80B5_4ECD_B18A_51CBF126E780_.wvu.Cols" localSheetId="62" hidden="1">'Öko-WW-Brot'!$Q:$AD</definedName>
    <definedName name="Z_8063F48F_80B5_4ECD_B18A_51CBF126E780_.wvu.Cols" localSheetId="63" hidden="1">'Öko-WW-Futter'!$Q:$AD</definedName>
    <definedName name="Z_8063F48F_80B5_4ECD_B18A_51CBF126E780_.wvu.Cols" localSheetId="43" hidden="1">Öl!$Q:$AB</definedName>
    <definedName name="Z_8063F48F_80B5_4ECD_B18A_51CBF126E780_.wvu.Cols" localSheetId="5" hidden="1">Preiskalkulation_Biomasse!$AB:$AB</definedName>
    <definedName name="Z_8063F48F_80B5_4ECD_B18A_51CBF126E780_.wvu.Cols" localSheetId="16" hidden="1">'SD2'!$T:$AH</definedName>
    <definedName name="Z_8063F48F_80B5_4ECD_B18A_51CBF126E780_.wvu.Cols" localSheetId="17" hidden="1">'SD3'!$Q:$V</definedName>
    <definedName name="Z_8063F48F_80B5_4ECD_B18A_51CBF126E780_.wvu.Cols" localSheetId="25" hidden="1">'SD8'!$C:$C</definedName>
    <definedName name="Z_8063F48F_80B5_4ECD_B18A_51CBF126E780_.wvu.Cols" localSheetId="14" hidden="1">'SDK1'!$S:$AA</definedName>
    <definedName name="Z_8063F48F_80B5_4ECD_B18A_51CBF126E780_.wvu.Cols" localSheetId="18" hidden="1">'SDK4'!$U:$AB</definedName>
    <definedName name="Z_8063F48F_80B5_4ECD_B18A_51CBF126E780_.wvu.Cols" localSheetId="20" hidden="1">'SDK5'!$P:$P,'SDK5'!$AG:$BE</definedName>
    <definedName name="Z_8063F48F_80B5_4ECD_B18A_51CBF126E780_.wvu.Cols" localSheetId="15" hidden="1">SDÖ1!$R:$AT</definedName>
    <definedName name="Z_8063F48F_80B5_4ECD_B18A_51CBF126E780_.wvu.Cols" localSheetId="19" hidden="1">SDÖ4!$R:$W,SDÖ4!$Y:$AD</definedName>
    <definedName name="Z_8063F48F_80B5_4ECD_B18A_51CBF126E780_.wvu.Cols" localSheetId="21" hidden="1">SDÖ5!$P:$P</definedName>
    <definedName name="Z_8063F48F_80B5_4ECD_B18A_51CBF126E780_.wvu.Cols" localSheetId="24" hidden="1">SDÖ7!$S:$W,SDÖ7!$AA:$AA</definedName>
    <definedName name="Z_8063F48F_80B5_4ECD_B18A_51CBF126E780_.wvu.Cols" localSheetId="34" hidden="1">'SG-Fu'!$Q:$AA</definedName>
    <definedName name="Z_8063F48F_80B5_4ECD_B18A_51CBF126E780_.wvu.Cols" localSheetId="54" hidden="1">SoBl!$Q:$Z</definedName>
    <definedName name="Z_8063F48F_80B5_4ECD_B18A_51CBF126E780_.wvu.Cols" localSheetId="42" hidden="1">Soja!$Q:$Z</definedName>
    <definedName name="Z_8063F48F_80B5_4ECD_B18A_51CBF126E780_.wvu.Cols" localSheetId="49" hidden="1">SpKa!$Q:$Z</definedName>
    <definedName name="Z_8063F48F_80B5_4ECD_B18A_51CBF126E780_.wvu.Cols" localSheetId="50" hidden="1">SpKaBer!$Q:$Z</definedName>
    <definedName name="Z_8063F48F_80B5_4ECD_B18A_51CBF126E780_.wvu.Cols" localSheetId="41" hidden="1">SR!$Q:$Z</definedName>
    <definedName name="Z_8063F48F_80B5_4ECD_B18A_51CBF126E780_.wvu.Cols" localSheetId="32" hidden="1">SW!$Q:$AA</definedName>
    <definedName name="Z_8063F48F_80B5_4ECD_B18A_51CBF126E780_.wvu.Cols" localSheetId="30" hidden="1">Tr!$Q:$AI</definedName>
    <definedName name="Z_8063F48F_80B5_4ECD_B18A_51CBF126E780_.wvu.Cols" localSheetId="57" hidden="1">Vorlage!$Q:$AC</definedName>
    <definedName name="Z_8063F48F_80B5_4ECD_B18A_51CBF126E780_.wvu.Cols" localSheetId="77" hidden="1">'Vorlage I'!$Q:$AB</definedName>
    <definedName name="Z_8063F48F_80B5_4ECD_B18A_51CBF126E780_.wvu.Cols" localSheetId="31" hidden="1">WG!$Q:$AF</definedName>
    <definedName name="Z_8063F48F_80B5_4ECD_B18A_51CBF126E780_.wvu.Cols" localSheetId="40" hidden="1">WR!$Q:$Z</definedName>
    <definedName name="Z_8063F48F_80B5_4ECD_B18A_51CBF126E780_.wvu.Cols" localSheetId="29" hidden="1">WRo!$Q:$AG</definedName>
    <definedName name="Z_8063F48F_80B5_4ECD_B18A_51CBF126E780_.wvu.Cols" localSheetId="27" hidden="1">'WW1'!$Q:$AA</definedName>
    <definedName name="Z_8063F48F_80B5_4ECD_B18A_51CBF126E780_.wvu.Cols" localSheetId="28" hidden="1">'WW2'!$Q:$AK</definedName>
    <definedName name="Z_8063F48F_80B5_4ECD_B18A_51CBF126E780_.wvu.Cols" localSheetId="53" hidden="1">'WW-E'!$Q:$Z</definedName>
    <definedName name="Z_8063F48F_80B5_4ECD_B18A_51CBF126E780_.wvu.Cols" localSheetId="51" hidden="1">ZR!$Q:$Z</definedName>
    <definedName name="Z_8063F48F_80B5_4ECD_B18A_51CBF126E780_.wvu.FilterData" localSheetId="10" hidden="1">'E1'!$B$12:$B$64</definedName>
    <definedName name="Z_8063F48F_80B5_4ECD_B18A_51CBF126E780_.wvu.FilterData" localSheetId="20" hidden="1">'SDK5'!$B$4:$AC$104</definedName>
    <definedName name="Z_8063F48F_80B5_4ECD_B18A_51CBF126E780_.wvu.FilterData" localSheetId="21" hidden="1">SDÖ5!$B$5:$U$19</definedName>
    <definedName name="Z_8063F48F_80B5_4ECD_B18A_51CBF126E780_.wvu.PrintArea" localSheetId="45" hidden="1">AB!$B$2:$P$75</definedName>
    <definedName name="Z_8063F48F_80B5_4ECD_B18A_51CBF126E780_.wvu.PrintArea" localSheetId="56" hidden="1">Begr!$B$2:$P$75</definedName>
    <definedName name="Z_8063F48F_80B5_4ECD_B18A_51CBF126E780_.wvu.PrintArea" localSheetId="76" hidden="1">Begrün.!$B$2:$P$71</definedName>
    <definedName name="Z_8063F48F_80B5_4ECD_B18A_51CBF126E780_.wvu.PrintArea" localSheetId="35" hidden="1">BG!$B$2:$P$75</definedName>
    <definedName name="Z_8063F48F_80B5_4ECD_B18A_51CBF126E780_.wvu.PrintArea" localSheetId="75" hidden="1">Blühm.!$B$2:$P$71</definedName>
    <definedName name="Z_8063F48F_80B5_4ECD_B18A_51CBF126E780_.wvu.PrintArea" localSheetId="8" hidden="1">Daten!$B$2:$CR$61</definedName>
    <definedName name="Z_8063F48F_80B5_4ECD_B18A_51CBF126E780_.wvu.PrintArea" localSheetId="33" hidden="1">Di!$B$2:$P$75</definedName>
    <definedName name="Z_8063F48F_80B5_4ECD_B18A_51CBF126E780_.wvu.PrintArea" localSheetId="37" hidden="1">Du!$B$2:$P$75</definedName>
    <definedName name="Z_8063F48F_80B5_4ECD_B18A_51CBF126E780_.wvu.PrintArea" localSheetId="10" hidden="1">'E1'!$C$2:$K$43</definedName>
    <definedName name="Z_8063F48F_80B5_4ECD_B18A_51CBF126E780_.wvu.PrintArea" localSheetId="11" hidden="1">'E2'!$B$2:$L$41</definedName>
    <definedName name="Z_8063F48F_80B5_4ECD_B18A_51CBF126E780_.wvu.PrintArea" localSheetId="12" hidden="1">'EK1'!$B$2:$J$24</definedName>
    <definedName name="Z_8063F48F_80B5_4ECD_B18A_51CBF126E780_.wvu.PrintArea" localSheetId="55" hidden="1">'FAKT-Brachebegrünung'!$B$2:$P$75</definedName>
    <definedName name="Z_8063F48F_80B5_4ECD_B18A_51CBF126E780_.wvu.PrintArea" localSheetId="44" hidden="1">FE!$B$2:$P$75</definedName>
    <definedName name="Z_8063F48F_80B5_4ECD_B18A_51CBF126E780_.wvu.PrintArea" localSheetId="47" hidden="1">FrühKa!$B$2:$P$75</definedName>
    <definedName name="Z_8063F48F_80B5_4ECD_B18A_51CBF126E780_.wvu.PrintArea" localSheetId="48" hidden="1">FrühKaFolieBer!$B$2:$P$75</definedName>
    <definedName name="Z_8063F48F_80B5_4ECD_B18A_51CBF126E780_.wvu.PrintArea" localSheetId="78" hidden="1">'Grafik1-DB'!$B$2:$L$79</definedName>
    <definedName name="Z_8063F48F_80B5_4ECD_B18A_51CBF126E780_.wvu.PrintArea" localSheetId="36" hidden="1">Ha!$B$2:$P$75</definedName>
    <definedName name="Z_8063F48F_80B5_4ECD_B18A_51CBF126E780_.wvu.PrintArea" localSheetId="9" hidden="1">Hinw!$B$1:$Q$73</definedName>
    <definedName name="Z_8063F48F_80B5_4ECD_B18A_51CBF126E780_.wvu.PrintArea" localSheetId="0" hidden="1">Inhalt!$B$2:$F$94</definedName>
    <definedName name="Z_8063F48F_80B5_4ECD_B18A_51CBF126E780_.wvu.PrintArea" localSheetId="39" hidden="1">KH!$B$2:$P$75</definedName>
    <definedName name="Z_8063F48F_80B5_4ECD_B18A_51CBF126E780_.wvu.PrintArea" localSheetId="38" hidden="1">KöM!$B$2:$P$75</definedName>
    <definedName name="Z_8063F48F_80B5_4ECD_B18A_51CBF126E780_.wvu.PrintArea" localSheetId="26" hidden="1">Kostenrechnung!$B$2:$N$78,Kostenrechnung!$B$113:$N$137,Kostenrechnung!$B$139:$N$184</definedName>
    <definedName name="Z_8063F48F_80B5_4ECD_B18A_51CBF126E780_.wvu.PrintArea" localSheetId="83" hidden="1">'Leerblatt II'!$B$2:$P$76</definedName>
    <definedName name="Z_8063F48F_80B5_4ECD_B18A_51CBF126E780_.wvu.PrintArea" localSheetId="81" hidden="1">Linsen!$B$2:$P$76</definedName>
    <definedName name="Z_8063F48F_80B5_4ECD_B18A_51CBF126E780_.wvu.PrintArea" localSheetId="46" hidden="1">Lu!$B$2:$P$75</definedName>
    <definedName name="Z_8063F48F_80B5_4ECD_B18A_51CBF126E780_.wvu.PrintArea" localSheetId="70" hidden="1">'Öko-Ab'!$B$2:$P$71</definedName>
    <definedName name="Z_8063F48F_80B5_4ECD_B18A_51CBF126E780_.wvu.PrintArea" localSheetId="68" hidden="1">'Öko-Bg'!$B$2:$P$71</definedName>
    <definedName name="Z_8063F48F_80B5_4ECD_B18A_51CBF126E780_.wvu.PrintArea" localSheetId="64" hidden="1">'Öko-Di'!$B$2:$P$71</definedName>
    <definedName name="Z_8063F48F_80B5_4ECD_B18A_51CBF126E780_.wvu.PrintArea" localSheetId="79" hidden="1">'Öko-Dinkel,gegerbt'!$B$2:$P$71</definedName>
    <definedName name="Z_8063F48F_80B5_4ECD_B18A_51CBF126E780_.wvu.PrintArea" localSheetId="72" hidden="1">'Öko-FE'!$B$2:$P$71</definedName>
    <definedName name="Z_8063F48F_80B5_4ECD_B18A_51CBF126E780_.wvu.PrintArea" localSheetId="66" hidden="1">'Öko-Ha'!$B$2:$P$71</definedName>
    <definedName name="Z_8063F48F_80B5_4ECD_B18A_51CBF126E780_.wvu.PrintArea" localSheetId="74" hidden="1">'Öko-Ka'!$B$2:$P$71</definedName>
    <definedName name="Z_8063F48F_80B5_4ECD_B18A_51CBF126E780_.wvu.PrintArea" localSheetId="58" hidden="1">'Öko-KG1'!$B$2:$P$72</definedName>
    <definedName name="Z_8063F48F_80B5_4ECD_B18A_51CBF126E780_.wvu.PrintArea" localSheetId="59" hidden="1">'Öko-KG2'!$B$2:$P$71</definedName>
    <definedName name="Z_8063F48F_80B5_4ECD_B18A_51CBF126E780_.wvu.PrintArea" localSheetId="69" hidden="1">'Öko-KöM'!$B$2:$P$71</definedName>
    <definedName name="Z_8063F48F_80B5_4ECD_B18A_51CBF126E780_.wvu.PrintArea" localSheetId="71" hidden="1">'Öko-Lu'!$B$2:$P$75</definedName>
    <definedName name="Z_8063F48F_80B5_4ECD_B18A_51CBF126E780_.wvu.PrintArea" localSheetId="60" hidden="1">'Öko-LU1'!$B$2:$P$71</definedName>
    <definedName name="Z_8063F48F_80B5_4ECD_B18A_51CBF126E780_.wvu.PrintArea" localSheetId="61" hidden="1">'Öko-LU2'!$B$2:$P$71</definedName>
    <definedName name="Z_8063F48F_80B5_4ECD_B18A_51CBF126E780_.wvu.PrintArea" localSheetId="82" hidden="1">'Öko-Raps'!$B$2:$P$71</definedName>
    <definedName name="Z_8063F48F_80B5_4ECD_B18A_51CBF126E780_.wvu.PrintArea" localSheetId="65" hidden="1">'Öko-Ro'!$B$2:$P$71</definedName>
    <definedName name="Z_8063F48F_80B5_4ECD_B18A_51CBF126E780_.wvu.PrintArea" localSheetId="80" hidden="1">'Öko-Soblu'!$B$2:$P$71</definedName>
    <definedName name="Z_8063F48F_80B5_4ECD_B18A_51CBF126E780_.wvu.PrintArea" localSheetId="73" hidden="1">'Öko-Soja'!$B$2:$P$71</definedName>
    <definedName name="Z_8063F48F_80B5_4ECD_B18A_51CBF126E780_.wvu.PrintArea" localSheetId="67" hidden="1">'Öko-Wg'!$B$2:$P$71</definedName>
    <definedName name="Z_8063F48F_80B5_4ECD_B18A_51CBF126E780_.wvu.PrintArea" localSheetId="62" hidden="1">'Öko-WW-Brot'!$B$2:$P$71</definedName>
    <definedName name="Z_8063F48F_80B5_4ECD_B18A_51CBF126E780_.wvu.PrintArea" localSheetId="63" hidden="1">'Öko-WW-Futter'!$B$2:$P$72</definedName>
    <definedName name="Z_8063F48F_80B5_4ECD_B18A_51CBF126E780_.wvu.PrintArea" localSheetId="43" hidden="1">Öl!$B$2:$P$75</definedName>
    <definedName name="Z_8063F48F_80B5_4ECD_B18A_51CBF126E780_.wvu.PrintArea" localSheetId="5" hidden="1">Preiskalkulation_Biomasse!$A$1:$U$111</definedName>
    <definedName name="Z_8063F48F_80B5_4ECD_B18A_51CBF126E780_.wvu.PrintArea" localSheetId="16" hidden="1">'SD2'!$A$1:$O$80</definedName>
    <definedName name="Z_8063F48F_80B5_4ECD_B18A_51CBF126E780_.wvu.PrintArea" localSheetId="17" hidden="1">'SD3'!$B$5:$O$85,'SD3'!$B$87:$O$108</definedName>
    <definedName name="Z_8063F48F_80B5_4ECD_B18A_51CBF126E780_.wvu.PrintArea" localSheetId="22" hidden="1">'SD6'!$B$2:$N$87</definedName>
    <definedName name="Z_8063F48F_80B5_4ECD_B18A_51CBF126E780_.wvu.PrintArea" localSheetId="25" hidden="1">'SD8'!$B$2:$I$60</definedName>
    <definedName name="Z_8063F48F_80B5_4ECD_B18A_51CBF126E780_.wvu.PrintArea" localSheetId="14" hidden="1">'SDK1'!$B$2:$P$65</definedName>
    <definedName name="Z_8063F48F_80B5_4ECD_B18A_51CBF126E780_.wvu.PrintArea" localSheetId="18" hidden="1">'SDK4'!$B$2:$N$55</definedName>
    <definedName name="Z_8063F48F_80B5_4ECD_B18A_51CBF126E780_.wvu.PrintArea" localSheetId="20" hidden="1">'SDK5'!$AP$2:$BC$55</definedName>
    <definedName name="Z_8063F48F_80B5_4ECD_B18A_51CBF126E780_.wvu.PrintArea" localSheetId="23" hidden="1">'SDK7'!$C$2:$O$189</definedName>
    <definedName name="Z_8063F48F_80B5_4ECD_B18A_51CBF126E780_.wvu.PrintArea" localSheetId="15" hidden="1">SDÖ1!$B$1:$AE$82</definedName>
    <definedName name="Z_8063F48F_80B5_4ECD_B18A_51CBF126E780_.wvu.PrintArea" localSheetId="19" hidden="1">SDÖ4!$B$2:$Q$60</definedName>
    <definedName name="Z_8063F48F_80B5_4ECD_B18A_51CBF126E780_.wvu.PrintArea" localSheetId="21" hidden="1">SDÖ5!$C$3:$O$43</definedName>
    <definedName name="Z_8063F48F_80B5_4ECD_B18A_51CBF126E780_.wvu.PrintArea" localSheetId="24" hidden="1">SDÖ7!$C$2:$O$145</definedName>
    <definedName name="Z_8063F48F_80B5_4ECD_B18A_51CBF126E780_.wvu.PrintArea" localSheetId="34" hidden="1">'SG-Fu'!$B$2:$P$75</definedName>
    <definedName name="Z_8063F48F_80B5_4ECD_B18A_51CBF126E780_.wvu.PrintArea" localSheetId="54" hidden="1">SoBl!$B$2:$P$75</definedName>
    <definedName name="Z_8063F48F_80B5_4ECD_B18A_51CBF126E780_.wvu.PrintArea" localSheetId="42" hidden="1">Soja!$B$2:$P$75</definedName>
    <definedName name="Z_8063F48F_80B5_4ECD_B18A_51CBF126E780_.wvu.PrintArea" localSheetId="49" hidden="1">SpKa!$B$2:$P$75</definedName>
    <definedName name="Z_8063F48F_80B5_4ECD_B18A_51CBF126E780_.wvu.PrintArea" localSheetId="50" hidden="1">SpKaBer!$B$2:$P$75</definedName>
    <definedName name="Z_8063F48F_80B5_4ECD_B18A_51CBF126E780_.wvu.PrintArea" localSheetId="41" hidden="1">SR!$B$2:$P$75</definedName>
    <definedName name="Z_8063F48F_80B5_4ECD_B18A_51CBF126E780_.wvu.PrintArea" localSheetId="32" hidden="1">SW!$B$2:$P$75</definedName>
    <definedName name="Z_8063F48F_80B5_4ECD_B18A_51CBF126E780_.wvu.PrintArea" localSheetId="84" hidden="1">'TE6'!$B$2:$P$76</definedName>
    <definedName name="Z_8063F48F_80B5_4ECD_B18A_51CBF126E780_.wvu.PrintArea" localSheetId="85" hidden="1">'TE7'!$B$2:$P$76</definedName>
    <definedName name="Z_8063F48F_80B5_4ECD_B18A_51CBF126E780_.wvu.PrintArea" localSheetId="86" hidden="1">'TE8'!$B$2:$P$76</definedName>
    <definedName name="Z_8063F48F_80B5_4ECD_B18A_51CBF126E780_.wvu.PrintArea" localSheetId="87" hidden="1">'TE9'!$B$2:$P$76</definedName>
    <definedName name="Z_8063F48F_80B5_4ECD_B18A_51CBF126E780_.wvu.PrintArea" localSheetId="30" hidden="1">Tr!$B$2:$P$75</definedName>
    <definedName name="Z_8063F48F_80B5_4ECD_B18A_51CBF126E780_.wvu.PrintArea" localSheetId="57" hidden="1">Vorlage!$B$2:$P$75</definedName>
    <definedName name="Z_8063F48F_80B5_4ECD_B18A_51CBF126E780_.wvu.PrintArea" localSheetId="77" hidden="1">'Vorlage I'!$B$2:$P$71</definedName>
    <definedName name="Z_8063F48F_80B5_4ECD_B18A_51CBF126E780_.wvu.PrintArea" localSheetId="31" hidden="1">WG!$B$2:$P$75</definedName>
    <definedName name="Z_8063F48F_80B5_4ECD_B18A_51CBF126E780_.wvu.PrintArea" localSheetId="40" hidden="1">WR!$B$2:$P$75</definedName>
    <definedName name="Z_8063F48F_80B5_4ECD_B18A_51CBF126E780_.wvu.PrintArea" localSheetId="29" hidden="1">WRo!$B$2:$P$75</definedName>
    <definedName name="Z_8063F48F_80B5_4ECD_B18A_51CBF126E780_.wvu.PrintArea" localSheetId="27" hidden="1">'WW1'!$B$2:$P$76</definedName>
    <definedName name="Z_8063F48F_80B5_4ECD_B18A_51CBF126E780_.wvu.PrintArea" localSheetId="28" hidden="1">'WW2'!$B$2:$P$75</definedName>
    <definedName name="Z_8063F48F_80B5_4ECD_B18A_51CBF126E780_.wvu.PrintArea" localSheetId="52" hidden="1">'WW-A'!$B$2:$P$75</definedName>
    <definedName name="Z_8063F48F_80B5_4ECD_B18A_51CBF126E780_.wvu.PrintArea" localSheetId="53" hidden="1">'WW-E'!$B$2:$P$75</definedName>
    <definedName name="Z_8063F48F_80B5_4ECD_B18A_51CBF126E780_.wvu.PrintArea" localSheetId="51" hidden="1">ZR!$B$2:$P$75</definedName>
    <definedName name="Z_8063F48F_80B5_4ECD_B18A_51CBF126E780_.wvu.PrintTitles" localSheetId="8" hidden="1">Daten!$B:$C,Daten!$2:$4</definedName>
    <definedName name="Z_8063F48F_80B5_4ECD_B18A_51CBF126E780_.wvu.PrintTitles" localSheetId="5" hidden="1">Preiskalkulation_Biomasse!$1:$22</definedName>
    <definedName name="Z_8063F48F_80B5_4ECD_B18A_51CBF126E780_.wvu.PrintTitles" localSheetId="16" hidden="1">'SD2'!$2:$3</definedName>
    <definedName name="Z_8063F48F_80B5_4ECD_B18A_51CBF126E780_.wvu.PrintTitles" localSheetId="17" hidden="1">'SD3'!$2:$4</definedName>
    <definedName name="Z_8063F48F_80B5_4ECD_B18A_51CBF126E780_.wvu.PrintTitles" localSheetId="22" hidden="1">'SD6'!$2:$7</definedName>
    <definedName name="Z_8063F48F_80B5_4ECD_B18A_51CBF126E780_.wvu.PrintTitles" localSheetId="23" hidden="1">'SDK7'!$2:$2</definedName>
    <definedName name="Z_8063F48F_80B5_4ECD_B18A_51CBF126E780_.wvu.PrintTitles" localSheetId="24" hidden="1">SDÖ7!$2:$2</definedName>
    <definedName name="Z_8063F48F_80B5_4ECD_B18A_51CBF126E780_.wvu.Rows" localSheetId="56" hidden="1">Begr!$11:$12</definedName>
    <definedName name="Z_8063F48F_80B5_4ECD_B18A_51CBF126E780_.wvu.Rows" localSheetId="76" hidden="1">Begrün.!$38:$41</definedName>
    <definedName name="Z_8063F48F_80B5_4ECD_B18A_51CBF126E780_.wvu.Rows" localSheetId="35" hidden="1">BG!$12:$12</definedName>
    <definedName name="Z_8063F48F_80B5_4ECD_B18A_51CBF126E780_.wvu.Rows" localSheetId="75" hidden="1">Blühm.!$38:$41</definedName>
    <definedName name="Z_8063F48F_80B5_4ECD_B18A_51CBF126E780_.wvu.Rows" localSheetId="33" hidden="1">Di!$12:$12</definedName>
    <definedName name="Z_8063F48F_80B5_4ECD_B18A_51CBF126E780_.wvu.Rows" localSheetId="37" hidden="1">Du!$12:$12</definedName>
    <definedName name="Z_8063F48F_80B5_4ECD_B18A_51CBF126E780_.wvu.Rows" localSheetId="12" hidden="1">'EK1'!$1:$1,'EK1'!$23:$24,'EK1'!$27:$58</definedName>
    <definedName name="Z_8063F48F_80B5_4ECD_B18A_51CBF126E780_.wvu.Rows" localSheetId="13" hidden="1">EÖ1!$1:$2</definedName>
    <definedName name="Z_8063F48F_80B5_4ECD_B18A_51CBF126E780_.wvu.Rows" localSheetId="1" hidden="1">'Erträge_2-J'!$11:$12,'Erträge_2-J'!$18:$19,'Erträge_2-J'!$25:$28,'Erträge_2-J'!$33:$33,'Erträge_2-J'!$38:$40,'Erträge_2-J'!$45:$70</definedName>
    <definedName name="Z_8063F48F_80B5_4ECD_B18A_51CBF126E780_.wvu.Rows" localSheetId="2" hidden="1">'Erträge_3-J'!$11:$12,'Erträge_3-J'!$18:$19,'Erträge_3-J'!$25:$28,'Erträge_3-J'!$33:$33,'Erträge_3-J'!$38:$40,'Erträge_3-J'!$45:$70</definedName>
    <definedName name="Z_8063F48F_80B5_4ECD_B18A_51CBF126E780_.wvu.Rows" localSheetId="3" hidden="1">'Erträge_4-J'!$11:$12,'Erträge_4-J'!$18:$19,'Erträge_4-J'!$25:$28,'Erträge_4-J'!$33:$33,'Erträge_4-J'!$38:$40,'Erträge_4-J'!$45:$70</definedName>
    <definedName name="Z_8063F48F_80B5_4ECD_B18A_51CBF126E780_.wvu.Rows" localSheetId="4" hidden="1">'Erträge_5-J'!$11:$12,'Erträge_5-J'!$18:$19,'Erträge_5-J'!$33:$33,'Erträge_5-J'!$38:$40,'Erträge_5-J'!$45:$70</definedName>
    <definedName name="Z_8063F48F_80B5_4ECD_B18A_51CBF126E780_.wvu.Rows" localSheetId="55" hidden="1">'FAKT-Brachebegrünung'!$11:$12</definedName>
    <definedName name="Z_8063F48F_80B5_4ECD_B18A_51CBF126E780_.wvu.Rows" localSheetId="44" hidden="1">FE!$11:$12</definedName>
    <definedName name="Z_8063F48F_80B5_4ECD_B18A_51CBF126E780_.wvu.Rows" localSheetId="47" hidden="1">FrühKa!$11:$12</definedName>
    <definedName name="Z_8063F48F_80B5_4ECD_B18A_51CBF126E780_.wvu.Rows" localSheetId="48" hidden="1">FrühKaFolieBer!$11:$12</definedName>
    <definedName name="Z_8063F48F_80B5_4ECD_B18A_51CBF126E780_.wvu.Rows" localSheetId="36" hidden="1">Ha!$12:$12</definedName>
    <definedName name="Z_8063F48F_80B5_4ECD_B18A_51CBF126E780_.wvu.Rows" localSheetId="0" hidden="1">Inhalt!$60:$60,Inhalt!$66:$68,Inhalt!$74:$75,Inhalt!$82:$97,Inhalt!$119:$119,Inhalt!$130:$140</definedName>
    <definedName name="Z_8063F48F_80B5_4ECD_B18A_51CBF126E780_.wvu.Rows" localSheetId="39" hidden="1">KH!$11:$12</definedName>
    <definedName name="Z_8063F48F_80B5_4ECD_B18A_51CBF126E780_.wvu.Rows" localSheetId="38" hidden="1">KöM!$11:$12</definedName>
    <definedName name="Z_8063F48F_80B5_4ECD_B18A_51CBF126E780_.wvu.Rows" localSheetId="26" hidden="1">Kostenrechnung!$6:$6,Kostenrechnung!$33:$33,Kostenrechnung!$60:$60,Kostenrechnung!$91:$110</definedName>
    <definedName name="Z_8063F48F_80B5_4ECD_B18A_51CBF126E780_.wvu.Rows" localSheetId="83" hidden="1">'Leerblatt II'!$39:$42</definedName>
    <definedName name="Z_8063F48F_80B5_4ECD_B18A_51CBF126E780_.wvu.Rows" localSheetId="81" hidden="1">Linsen!$19:$19,Linsen!$38:$41</definedName>
    <definedName name="Z_8063F48F_80B5_4ECD_B18A_51CBF126E780_.wvu.Rows" localSheetId="46" hidden="1">Lu!$11:$12</definedName>
    <definedName name="Z_8063F48F_80B5_4ECD_B18A_51CBF126E780_.wvu.Rows" localSheetId="70" hidden="1">'Öko-Ab'!$11:$12,'Öko-Ab'!$38:$41</definedName>
    <definedName name="Z_8063F48F_80B5_4ECD_B18A_51CBF126E780_.wvu.Rows" localSheetId="68" hidden="1">'Öko-Bg'!$12:$12,'Öko-Bg'!$38:$41</definedName>
    <definedName name="Z_8063F48F_80B5_4ECD_B18A_51CBF126E780_.wvu.Rows" localSheetId="64" hidden="1">'Öko-Di'!$12:$12,'Öko-Di'!$38:$41</definedName>
    <definedName name="Z_8063F48F_80B5_4ECD_B18A_51CBF126E780_.wvu.Rows" localSheetId="79" hidden="1">'Öko-Dinkel,gegerbt'!$38:$41</definedName>
    <definedName name="Z_8063F48F_80B5_4ECD_B18A_51CBF126E780_.wvu.Rows" localSheetId="72" hidden="1">'Öko-FE'!$11:$12,'Öko-FE'!$38:$41</definedName>
    <definedName name="Z_8063F48F_80B5_4ECD_B18A_51CBF126E780_.wvu.Rows" localSheetId="66" hidden="1">'Öko-Ha'!$12:$12,'Öko-Ha'!$38:$41</definedName>
    <definedName name="Z_8063F48F_80B5_4ECD_B18A_51CBF126E780_.wvu.Rows" localSheetId="74" hidden="1">'Öko-Ka'!$11:$12,'Öko-Ka'!$38:$41</definedName>
    <definedName name="Z_8063F48F_80B5_4ECD_B18A_51CBF126E780_.wvu.Rows" localSheetId="58" hidden="1">'Öko-KG1'!$38:$41</definedName>
    <definedName name="Z_8063F48F_80B5_4ECD_B18A_51CBF126E780_.wvu.Rows" localSheetId="59" hidden="1">'Öko-KG2'!$38:$41,'Öko-KG2'!$69:$70</definedName>
    <definedName name="Z_8063F48F_80B5_4ECD_B18A_51CBF126E780_.wvu.Rows" localSheetId="69" hidden="1">'Öko-KöM'!$11:$12,'Öko-KöM'!$38:$41</definedName>
    <definedName name="Z_8063F48F_80B5_4ECD_B18A_51CBF126E780_.wvu.Rows" localSheetId="71" hidden="1">'Öko-Lu'!$11:$12</definedName>
    <definedName name="Z_8063F48F_80B5_4ECD_B18A_51CBF126E780_.wvu.Rows" localSheetId="60" hidden="1">'Öko-LU1'!$38:$41,'Öko-LU1'!$69:$70</definedName>
    <definedName name="Z_8063F48F_80B5_4ECD_B18A_51CBF126E780_.wvu.Rows" localSheetId="61" hidden="1">'Öko-LU2'!$38:$41,'Öko-LU2'!$69:$70</definedName>
    <definedName name="Z_8063F48F_80B5_4ECD_B18A_51CBF126E780_.wvu.Rows" localSheetId="82" hidden="1">'Öko-Raps'!$11:$12,'Öko-Raps'!$38:$41</definedName>
    <definedName name="Z_8063F48F_80B5_4ECD_B18A_51CBF126E780_.wvu.Rows" localSheetId="65" hidden="1">'Öko-Ro'!$12:$12,'Öko-Ro'!$38:$41</definedName>
    <definedName name="Z_8063F48F_80B5_4ECD_B18A_51CBF126E780_.wvu.Rows" localSheetId="80" hidden="1">'Öko-Soblu'!$11:$12,'Öko-Soblu'!$38:$41</definedName>
    <definedName name="Z_8063F48F_80B5_4ECD_B18A_51CBF126E780_.wvu.Rows" localSheetId="73" hidden="1">'Öko-Soja'!$11:$12,'Öko-Soja'!$38:$41</definedName>
    <definedName name="Z_8063F48F_80B5_4ECD_B18A_51CBF126E780_.wvu.Rows" localSheetId="67" hidden="1">'Öko-Wg'!$12:$12,'Öko-Wg'!$38:$41</definedName>
    <definedName name="Z_8063F48F_80B5_4ECD_B18A_51CBF126E780_.wvu.Rows" localSheetId="62" hidden="1">'Öko-WW-Brot'!$12:$12,'Öko-WW-Brot'!$38:$41</definedName>
    <definedName name="Z_8063F48F_80B5_4ECD_B18A_51CBF126E780_.wvu.Rows" localSheetId="63" hidden="1">'Öko-WW-Futter'!$12:$12,'Öko-WW-Futter'!$38:$41</definedName>
    <definedName name="Z_8063F48F_80B5_4ECD_B18A_51CBF126E780_.wvu.Rows" localSheetId="43" hidden="1">Öl!$11:$12</definedName>
    <definedName name="Z_8063F48F_80B5_4ECD_B18A_51CBF126E780_.wvu.Rows" localSheetId="17" hidden="1">'SD3'!#REF!,'SD3'!$50:$50,'SD3'!#REF!,'SD3'!$98:$100</definedName>
    <definedName name="Z_8063F48F_80B5_4ECD_B18A_51CBF126E780_.wvu.Rows" localSheetId="25" hidden="1">'SD8'!$8:$8,'SD8'!$57:$57</definedName>
    <definedName name="Z_8063F48F_80B5_4ECD_B18A_51CBF126E780_.wvu.Rows" localSheetId="14" hidden="1">'SDK1'!$43:$47,'SDK1'!$62:$62</definedName>
    <definedName name="Z_8063F48F_80B5_4ECD_B18A_51CBF126E780_.wvu.Rows" localSheetId="18" hidden="1">'SDK4'!$17:$32,'SDK4'!$38:$38</definedName>
    <definedName name="Z_8063F48F_80B5_4ECD_B18A_51CBF126E780_.wvu.Rows" localSheetId="23" hidden="1">'SDK7'!$116:$174,'SDK7'!$245:$252</definedName>
    <definedName name="Z_8063F48F_80B5_4ECD_B18A_51CBF126E780_.wvu.Rows" localSheetId="15" hidden="1">SDÖ1!$28:$28,SDÖ1!$32:$42,SDÖ1!$45:$48,SDÖ1!$50:$51</definedName>
    <definedName name="Z_8063F48F_80B5_4ECD_B18A_51CBF126E780_.wvu.Rows" localSheetId="19" hidden="1">SDÖ4!$25:$36,SDÖ4!$38:$42,SDÖ4!$61:$61</definedName>
    <definedName name="Z_8063F48F_80B5_4ECD_B18A_51CBF126E780_.wvu.Rows" localSheetId="24" hidden="1">SDÖ7!$41:$41,SDÖ7!$80:$87,SDÖ7!$117:$118,SDÖ7!$141:$141,SDÖ7!$197:$204</definedName>
    <definedName name="Z_8063F48F_80B5_4ECD_B18A_51CBF126E780_.wvu.Rows" localSheetId="34" hidden="1">'SG-Fu'!$12:$12</definedName>
    <definedName name="Z_8063F48F_80B5_4ECD_B18A_51CBF126E780_.wvu.Rows" localSheetId="54" hidden="1">SoBl!$11:$12</definedName>
    <definedName name="Z_8063F48F_80B5_4ECD_B18A_51CBF126E780_.wvu.Rows" localSheetId="42" hidden="1">Soja!$11:$12</definedName>
    <definedName name="Z_8063F48F_80B5_4ECD_B18A_51CBF126E780_.wvu.Rows" localSheetId="49" hidden="1">SpKa!$11:$12</definedName>
    <definedName name="Z_8063F48F_80B5_4ECD_B18A_51CBF126E780_.wvu.Rows" localSheetId="50" hidden="1">SpKaBer!$11:$12</definedName>
    <definedName name="Z_8063F48F_80B5_4ECD_B18A_51CBF126E780_.wvu.Rows" localSheetId="41" hidden="1">SR!$11:$12</definedName>
    <definedName name="Z_8063F48F_80B5_4ECD_B18A_51CBF126E780_.wvu.Rows" localSheetId="32" hidden="1">SW!$12:$12</definedName>
    <definedName name="Z_8063F48F_80B5_4ECD_B18A_51CBF126E780_.wvu.Rows" localSheetId="84" hidden="1">'TE6'!$39:$42</definedName>
    <definedName name="Z_8063F48F_80B5_4ECD_B18A_51CBF126E780_.wvu.Rows" localSheetId="85" hidden="1">'TE7'!$39:$42</definedName>
    <definedName name="Z_8063F48F_80B5_4ECD_B18A_51CBF126E780_.wvu.Rows" localSheetId="86" hidden="1">'TE8'!$39:$42</definedName>
    <definedName name="Z_8063F48F_80B5_4ECD_B18A_51CBF126E780_.wvu.Rows" localSheetId="87" hidden="1">'TE9'!$39:$42</definedName>
    <definedName name="Z_8063F48F_80B5_4ECD_B18A_51CBF126E780_.wvu.Rows" localSheetId="30" hidden="1">Tr!$12:$12</definedName>
    <definedName name="Z_8063F48F_80B5_4ECD_B18A_51CBF126E780_.wvu.Rows" localSheetId="77" hidden="1">'Vorlage I'!$38:$41</definedName>
    <definedName name="Z_8063F48F_80B5_4ECD_B18A_51CBF126E780_.wvu.Rows" localSheetId="31" hidden="1">WG!$12:$12</definedName>
    <definedName name="Z_8063F48F_80B5_4ECD_B18A_51CBF126E780_.wvu.Rows" localSheetId="40" hidden="1">WR!$11:$12</definedName>
    <definedName name="Z_8063F48F_80B5_4ECD_B18A_51CBF126E780_.wvu.Rows" localSheetId="29" hidden="1">WRo!$12:$12</definedName>
    <definedName name="Z_8063F48F_80B5_4ECD_B18A_51CBF126E780_.wvu.Rows" localSheetId="27" hidden="1">'WW1'!$12:$12</definedName>
    <definedName name="Z_8063F48F_80B5_4ECD_B18A_51CBF126E780_.wvu.Rows" localSheetId="28" hidden="1">'WW2'!$12:$12</definedName>
    <definedName name="Z_8063F48F_80B5_4ECD_B18A_51CBF126E780_.wvu.Rows" localSheetId="52" hidden="1">'WW-A'!$12:$12</definedName>
    <definedName name="Z_8063F48F_80B5_4ECD_B18A_51CBF126E780_.wvu.Rows" localSheetId="53" hidden="1">'WW-E'!$12:$12</definedName>
    <definedName name="Z_8063F48F_80B5_4ECD_B18A_51CBF126E780_.wvu.Rows" localSheetId="51" hidden="1">ZR!$11:$12</definedName>
    <definedName name="Z_93E81051_1F05_45AD_83CD_DAFA9258812A_.wvu.Cols" localSheetId="45" hidden="1">AB!$R:$T</definedName>
    <definedName name="Z_93E81051_1F05_45AD_83CD_DAFA9258812A_.wvu.Cols" localSheetId="56" hidden="1">Begr!$R:$T</definedName>
    <definedName name="Z_93E81051_1F05_45AD_83CD_DAFA9258812A_.wvu.Cols" localSheetId="76" hidden="1">Begrün.!$R:$T</definedName>
    <definedName name="Z_93E81051_1F05_45AD_83CD_DAFA9258812A_.wvu.Cols" localSheetId="35" hidden="1">BG!$R:$T</definedName>
    <definedName name="Z_93E81051_1F05_45AD_83CD_DAFA9258812A_.wvu.Cols" localSheetId="75" hidden="1">Blühm.!$R:$T</definedName>
    <definedName name="Z_93E81051_1F05_45AD_83CD_DAFA9258812A_.wvu.Cols" localSheetId="33" hidden="1">Di!$R:$T</definedName>
    <definedName name="Z_93E81051_1F05_45AD_83CD_DAFA9258812A_.wvu.Cols" localSheetId="37" hidden="1">Du!$R:$T</definedName>
    <definedName name="Z_93E81051_1F05_45AD_83CD_DAFA9258812A_.wvu.Cols" localSheetId="11" hidden="1">'E2'!$O:$Q</definedName>
    <definedName name="Z_93E81051_1F05_45AD_83CD_DAFA9258812A_.wvu.Cols" localSheetId="55" hidden="1">'FAKT-Brachebegrünung'!$R:$T</definedName>
    <definedName name="Z_93E81051_1F05_45AD_83CD_DAFA9258812A_.wvu.Cols" localSheetId="44" hidden="1">FE!$R:$T</definedName>
    <definedName name="Z_93E81051_1F05_45AD_83CD_DAFA9258812A_.wvu.Cols" localSheetId="47" hidden="1">FrühKa!$R:$T</definedName>
    <definedName name="Z_93E81051_1F05_45AD_83CD_DAFA9258812A_.wvu.Cols" localSheetId="48" hidden="1">FrühKaFolieBer!$R:$T</definedName>
    <definedName name="Z_93E81051_1F05_45AD_83CD_DAFA9258812A_.wvu.Cols" localSheetId="78" hidden="1">'Grafik1-DB'!$M:$M</definedName>
    <definedName name="Z_93E81051_1F05_45AD_83CD_DAFA9258812A_.wvu.Cols" localSheetId="36" hidden="1">Ha!$R:$T</definedName>
    <definedName name="Z_93E81051_1F05_45AD_83CD_DAFA9258812A_.wvu.Cols" localSheetId="0" hidden="1">Inhalt!$H:$I</definedName>
    <definedName name="Z_93E81051_1F05_45AD_83CD_DAFA9258812A_.wvu.Cols" localSheetId="39" hidden="1">KH!$R:$T</definedName>
    <definedName name="Z_93E81051_1F05_45AD_83CD_DAFA9258812A_.wvu.Cols" localSheetId="38" hidden="1">KöM!$R:$T</definedName>
    <definedName name="Z_93E81051_1F05_45AD_83CD_DAFA9258812A_.wvu.Cols" localSheetId="26" hidden="1">Kostenrechnung!$Q:$Q</definedName>
    <definedName name="Z_93E81051_1F05_45AD_83CD_DAFA9258812A_.wvu.Cols" localSheetId="83" hidden="1">'Leerblatt II'!$R:$T</definedName>
    <definedName name="Z_93E81051_1F05_45AD_83CD_DAFA9258812A_.wvu.Cols" localSheetId="81" hidden="1">Linsen!$R:$T</definedName>
    <definedName name="Z_93E81051_1F05_45AD_83CD_DAFA9258812A_.wvu.Cols" localSheetId="46" hidden="1">Lu!$R:$T</definedName>
    <definedName name="Z_93E81051_1F05_45AD_83CD_DAFA9258812A_.wvu.Cols" localSheetId="70" hidden="1">'Öko-Ab'!$R:$T</definedName>
    <definedName name="Z_93E81051_1F05_45AD_83CD_DAFA9258812A_.wvu.Cols" localSheetId="68" hidden="1">'Öko-Bg'!$R:$T</definedName>
    <definedName name="Z_93E81051_1F05_45AD_83CD_DAFA9258812A_.wvu.Cols" localSheetId="64" hidden="1">'Öko-Di'!$R:$T</definedName>
    <definedName name="Z_93E81051_1F05_45AD_83CD_DAFA9258812A_.wvu.Cols" localSheetId="79" hidden="1">'Öko-Dinkel,gegerbt'!$R:$T</definedName>
    <definedName name="Z_93E81051_1F05_45AD_83CD_DAFA9258812A_.wvu.Cols" localSheetId="72" hidden="1">'Öko-FE'!$R:$T</definedName>
    <definedName name="Z_93E81051_1F05_45AD_83CD_DAFA9258812A_.wvu.Cols" localSheetId="66" hidden="1">'Öko-Ha'!$R:$T</definedName>
    <definedName name="Z_93E81051_1F05_45AD_83CD_DAFA9258812A_.wvu.Cols" localSheetId="74" hidden="1">'Öko-Ka'!$R:$T</definedName>
    <definedName name="Z_93E81051_1F05_45AD_83CD_DAFA9258812A_.wvu.Cols" localSheetId="58" hidden="1">'Öko-KG1'!$R:$T</definedName>
    <definedName name="Z_93E81051_1F05_45AD_83CD_DAFA9258812A_.wvu.Cols" localSheetId="59" hidden="1">'Öko-KG2'!$R:$T</definedName>
    <definedName name="Z_93E81051_1F05_45AD_83CD_DAFA9258812A_.wvu.Cols" localSheetId="69" hidden="1">'Öko-KöM'!$R:$T</definedName>
    <definedName name="Z_93E81051_1F05_45AD_83CD_DAFA9258812A_.wvu.Cols" localSheetId="71" hidden="1">'Öko-Lu'!$R:$T</definedName>
    <definedName name="Z_93E81051_1F05_45AD_83CD_DAFA9258812A_.wvu.Cols" localSheetId="60" hidden="1">'Öko-LU1'!$R:$T</definedName>
    <definedName name="Z_93E81051_1F05_45AD_83CD_DAFA9258812A_.wvu.Cols" localSheetId="61" hidden="1">'Öko-LU2'!$R:$T</definedName>
    <definedName name="Z_93E81051_1F05_45AD_83CD_DAFA9258812A_.wvu.Cols" localSheetId="82" hidden="1">'Öko-Raps'!$R:$T</definedName>
    <definedName name="Z_93E81051_1F05_45AD_83CD_DAFA9258812A_.wvu.Cols" localSheetId="65" hidden="1">'Öko-Ro'!$R:$T</definedName>
    <definedName name="Z_93E81051_1F05_45AD_83CD_DAFA9258812A_.wvu.Cols" localSheetId="80" hidden="1">'Öko-Soblu'!$R:$T</definedName>
    <definedName name="Z_93E81051_1F05_45AD_83CD_DAFA9258812A_.wvu.Cols" localSheetId="73" hidden="1">'Öko-Soja'!$R:$T</definedName>
    <definedName name="Z_93E81051_1F05_45AD_83CD_DAFA9258812A_.wvu.Cols" localSheetId="67" hidden="1">'Öko-Wg'!$R:$T</definedName>
    <definedName name="Z_93E81051_1F05_45AD_83CD_DAFA9258812A_.wvu.Cols" localSheetId="62" hidden="1">'Öko-WW-Brot'!$R:$T</definedName>
    <definedName name="Z_93E81051_1F05_45AD_83CD_DAFA9258812A_.wvu.Cols" localSheetId="43" hidden="1">Öl!$R:$T</definedName>
    <definedName name="Z_93E81051_1F05_45AD_83CD_DAFA9258812A_.wvu.Cols" localSheetId="5" hidden="1">Preiskalkulation_Biomasse!$AB:$AB</definedName>
    <definedName name="Z_93E81051_1F05_45AD_83CD_DAFA9258812A_.wvu.Cols" localSheetId="34" hidden="1">'SG-Fu'!$R:$T</definedName>
    <definedName name="Z_93E81051_1F05_45AD_83CD_DAFA9258812A_.wvu.Cols" localSheetId="54" hidden="1">SoBl!$R:$T</definedName>
    <definedName name="Z_93E81051_1F05_45AD_83CD_DAFA9258812A_.wvu.Cols" localSheetId="42" hidden="1">Soja!$R:$T</definedName>
    <definedName name="Z_93E81051_1F05_45AD_83CD_DAFA9258812A_.wvu.Cols" localSheetId="49" hidden="1">SpKa!$R:$T</definedName>
    <definedName name="Z_93E81051_1F05_45AD_83CD_DAFA9258812A_.wvu.Cols" localSheetId="50" hidden="1">SpKaBer!$R:$T</definedName>
    <definedName name="Z_93E81051_1F05_45AD_83CD_DAFA9258812A_.wvu.Cols" localSheetId="41" hidden="1">SR!$R:$T</definedName>
    <definedName name="Z_93E81051_1F05_45AD_83CD_DAFA9258812A_.wvu.Cols" localSheetId="32" hidden="1">SW!$R:$T</definedName>
    <definedName name="Z_93E81051_1F05_45AD_83CD_DAFA9258812A_.wvu.Cols" localSheetId="84" hidden="1">'TE6'!$R:$T</definedName>
    <definedName name="Z_93E81051_1F05_45AD_83CD_DAFA9258812A_.wvu.Cols" localSheetId="85" hidden="1">'TE7'!$R:$T</definedName>
    <definedName name="Z_93E81051_1F05_45AD_83CD_DAFA9258812A_.wvu.Cols" localSheetId="86" hidden="1">'TE8'!$R:$T</definedName>
    <definedName name="Z_93E81051_1F05_45AD_83CD_DAFA9258812A_.wvu.Cols" localSheetId="87" hidden="1">'TE9'!$R:$T</definedName>
    <definedName name="Z_93E81051_1F05_45AD_83CD_DAFA9258812A_.wvu.Cols" localSheetId="30" hidden="1">Tr!$R:$T</definedName>
    <definedName name="Z_93E81051_1F05_45AD_83CD_DAFA9258812A_.wvu.Cols" localSheetId="57" hidden="1">Vorlage!$R:$T</definedName>
    <definedName name="Z_93E81051_1F05_45AD_83CD_DAFA9258812A_.wvu.Cols" localSheetId="77" hidden="1">'Vorlage I'!$R:$T</definedName>
    <definedName name="Z_93E81051_1F05_45AD_83CD_DAFA9258812A_.wvu.Cols" localSheetId="31" hidden="1">WG!$R:$T</definedName>
    <definedName name="Z_93E81051_1F05_45AD_83CD_DAFA9258812A_.wvu.Cols" localSheetId="40" hidden="1">WR!$R:$T</definedName>
    <definedName name="Z_93E81051_1F05_45AD_83CD_DAFA9258812A_.wvu.Cols" localSheetId="29" hidden="1">WRo!$R:$T</definedName>
    <definedName name="Z_93E81051_1F05_45AD_83CD_DAFA9258812A_.wvu.Cols" localSheetId="28" hidden="1">'WW2'!$R:$T</definedName>
    <definedName name="Z_93E81051_1F05_45AD_83CD_DAFA9258812A_.wvu.Cols" localSheetId="52" hidden="1">'WW-A'!$R:$T</definedName>
    <definedName name="Z_93E81051_1F05_45AD_83CD_DAFA9258812A_.wvu.Cols" localSheetId="53" hidden="1">'WW-E'!$R:$T</definedName>
    <definedName name="Z_93E81051_1F05_45AD_83CD_DAFA9258812A_.wvu.Cols" localSheetId="51" hidden="1">ZR!$R:$T</definedName>
    <definedName name="Z_93E81051_1F05_45AD_83CD_DAFA9258812A_.wvu.FilterData" localSheetId="10" hidden="1">'E1'!$B$12:$B$43</definedName>
    <definedName name="Z_93E81051_1F05_45AD_83CD_DAFA9258812A_.wvu.FilterData" localSheetId="20" hidden="1">'SDK5'!$C$4:$AF$85</definedName>
    <definedName name="Z_93E81051_1F05_45AD_83CD_DAFA9258812A_.wvu.FilterData" localSheetId="21" hidden="1">SDÖ5!$C$5:$W$19</definedName>
    <definedName name="Z_93E81051_1F05_45AD_83CD_DAFA9258812A_.wvu.PrintArea" localSheetId="45" hidden="1">AB!$B$2:$P$75</definedName>
    <definedName name="Z_93E81051_1F05_45AD_83CD_DAFA9258812A_.wvu.PrintArea" localSheetId="56" hidden="1">Begr!$B$2:$P$75</definedName>
    <definedName name="Z_93E81051_1F05_45AD_83CD_DAFA9258812A_.wvu.PrintArea" localSheetId="76" hidden="1">Begrün.!$B$2:$P$71</definedName>
    <definedName name="Z_93E81051_1F05_45AD_83CD_DAFA9258812A_.wvu.PrintArea" localSheetId="35" hidden="1">BG!$B$2:$P$75</definedName>
    <definedName name="Z_93E81051_1F05_45AD_83CD_DAFA9258812A_.wvu.PrintArea" localSheetId="75" hidden="1">Blühm.!$B$2:$P$71</definedName>
    <definedName name="Z_93E81051_1F05_45AD_83CD_DAFA9258812A_.wvu.PrintArea" localSheetId="8" hidden="1">Daten!$B$2:$CR$61</definedName>
    <definedName name="Z_93E81051_1F05_45AD_83CD_DAFA9258812A_.wvu.PrintArea" localSheetId="33" hidden="1">Di!$B$2:$P$75</definedName>
    <definedName name="Z_93E81051_1F05_45AD_83CD_DAFA9258812A_.wvu.PrintArea" localSheetId="37" hidden="1">Du!$B$2:$P$75</definedName>
    <definedName name="Z_93E81051_1F05_45AD_83CD_DAFA9258812A_.wvu.PrintArea" localSheetId="10" hidden="1">'E1'!$C$2:$K$43</definedName>
    <definedName name="Z_93E81051_1F05_45AD_83CD_DAFA9258812A_.wvu.PrintArea" localSheetId="11" hidden="1">'E2'!$B$2:$L$41</definedName>
    <definedName name="Z_93E81051_1F05_45AD_83CD_DAFA9258812A_.wvu.PrintArea" localSheetId="12" hidden="1">'EK1'!$B$2:$J$24</definedName>
    <definedName name="Z_93E81051_1F05_45AD_83CD_DAFA9258812A_.wvu.PrintArea" localSheetId="13" hidden="1">EÖ1!$B$3:$S$23</definedName>
    <definedName name="Z_93E81051_1F05_45AD_83CD_DAFA9258812A_.wvu.PrintArea" localSheetId="55" hidden="1">'FAKT-Brachebegrünung'!$B$2:$P$75</definedName>
    <definedName name="Z_93E81051_1F05_45AD_83CD_DAFA9258812A_.wvu.PrintArea" localSheetId="44" hidden="1">FE!$B$2:$P$75</definedName>
    <definedName name="Z_93E81051_1F05_45AD_83CD_DAFA9258812A_.wvu.PrintArea" localSheetId="47" hidden="1">FrühKa!$B$2:$P$75</definedName>
    <definedName name="Z_93E81051_1F05_45AD_83CD_DAFA9258812A_.wvu.PrintArea" localSheetId="48" hidden="1">FrühKaFolieBer!$B$2:$P$75</definedName>
    <definedName name="Z_93E81051_1F05_45AD_83CD_DAFA9258812A_.wvu.PrintArea" localSheetId="78" hidden="1">'Grafik1-DB'!$B$2:$L$79</definedName>
    <definedName name="Z_93E81051_1F05_45AD_83CD_DAFA9258812A_.wvu.PrintArea" localSheetId="36" hidden="1">Ha!$B$2:$P$75</definedName>
    <definedName name="Z_93E81051_1F05_45AD_83CD_DAFA9258812A_.wvu.PrintArea" localSheetId="9" hidden="1">Hinw!$B$1:$P$73</definedName>
    <definedName name="Z_93E81051_1F05_45AD_83CD_DAFA9258812A_.wvu.PrintArea" localSheetId="0" hidden="1">Inhalt!$B$2:$F$94</definedName>
    <definedName name="Z_93E81051_1F05_45AD_83CD_DAFA9258812A_.wvu.PrintArea" localSheetId="39" hidden="1">KH!$B$2:$P$75</definedName>
    <definedName name="Z_93E81051_1F05_45AD_83CD_DAFA9258812A_.wvu.PrintArea" localSheetId="38" hidden="1">KöM!$B$2:$P$75</definedName>
    <definedName name="Z_93E81051_1F05_45AD_83CD_DAFA9258812A_.wvu.PrintArea" localSheetId="26" hidden="1">Kostenrechnung!$B$2:$N$78</definedName>
    <definedName name="Z_93E81051_1F05_45AD_83CD_DAFA9258812A_.wvu.PrintArea" localSheetId="83" hidden="1">'Leerblatt II'!$B$2:$P$76</definedName>
    <definedName name="Z_93E81051_1F05_45AD_83CD_DAFA9258812A_.wvu.PrintArea" localSheetId="81" hidden="1">Linsen!$B$2:$P$76</definedName>
    <definedName name="Z_93E81051_1F05_45AD_83CD_DAFA9258812A_.wvu.PrintArea" localSheetId="46" hidden="1">Lu!$B$2:$P$75</definedName>
    <definedName name="Z_93E81051_1F05_45AD_83CD_DAFA9258812A_.wvu.PrintArea" localSheetId="70" hidden="1">'Öko-Ab'!$B$2:$P$71</definedName>
    <definedName name="Z_93E81051_1F05_45AD_83CD_DAFA9258812A_.wvu.PrintArea" localSheetId="68" hidden="1">'Öko-Bg'!$B$2:$P$71</definedName>
    <definedName name="Z_93E81051_1F05_45AD_83CD_DAFA9258812A_.wvu.PrintArea" localSheetId="64" hidden="1">'Öko-Di'!$B$2:$P$71</definedName>
    <definedName name="Z_93E81051_1F05_45AD_83CD_DAFA9258812A_.wvu.PrintArea" localSheetId="79" hidden="1">'Öko-Dinkel,gegerbt'!$B$2:$P$71</definedName>
    <definedName name="Z_93E81051_1F05_45AD_83CD_DAFA9258812A_.wvu.PrintArea" localSheetId="72" hidden="1">'Öko-FE'!$B$2:$P$71</definedName>
    <definedName name="Z_93E81051_1F05_45AD_83CD_DAFA9258812A_.wvu.PrintArea" localSheetId="66" hidden="1">'Öko-Ha'!$B$2:$P$71</definedName>
    <definedName name="Z_93E81051_1F05_45AD_83CD_DAFA9258812A_.wvu.PrintArea" localSheetId="74" hidden="1">'Öko-Ka'!$B$2:$P$71</definedName>
    <definedName name="Z_93E81051_1F05_45AD_83CD_DAFA9258812A_.wvu.PrintArea" localSheetId="58" hidden="1">'Öko-KG1'!$B$2:$P$72</definedName>
    <definedName name="Z_93E81051_1F05_45AD_83CD_DAFA9258812A_.wvu.PrintArea" localSheetId="59" hidden="1">'Öko-KG2'!$B$2:$P$71</definedName>
    <definedName name="Z_93E81051_1F05_45AD_83CD_DAFA9258812A_.wvu.PrintArea" localSheetId="69" hidden="1">'Öko-KöM'!$B$2:$P$71</definedName>
    <definedName name="Z_93E81051_1F05_45AD_83CD_DAFA9258812A_.wvu.PrintArea" localSheetId="71" hidden="1">'Öko-Lu'!$B$2:$P$75</definedName>
    <definedName name="Z_93E81051_1F05_45AD_83CD_DAFA9258812A_.wvu.PrintArea" localSheetId="60" hidden="1">'Öko-LU1'!$B$2:$P$71</definedName>
    <definedName name="Z_93E81051_1F05_45AD_83CD_DAFA9258812A_.wvu.PrintArea" localSheetId="61" hidden="1">'Öko-LU2'!$B$2:$P$71</definedName>
    <definedName name="Z_93E81051_1F05_45AD_83CD_DAFA9258812A_.wvu.PrintArea" localSheetId="82" hidden="1">'Öko-Raps'!$B$2:$P$71</definedName>
    <definedName name="Z_93E81051_1F05_45AD_83CD_DAFA9258812A_.wvu.PrintArea" localSheetId="65" hidden="1">'Öko-Ro'!$B$2:$P$71</definedName>
    <definedName name="Z_93E81051_1F05_45AD_83CD_DAFA9258812A_.wvu.PrintArea" localSheetId="80" hidden="1">'Öko-Soblu'!$B$2:$P$71</definedName>
    <definedName name="Z_93E81051_1F05_45AD_83CD_DAFA9258812A_.wvu.PrintArea" localSheetId="73" hidden="1">'Öko-Soja'!$B$2:$P$71</definedName>
    <definedName name="Z_93E81051_1F05_45AD_83CD_DAFA9258812A_.wvu.PrintArea" localSheetId="67" hidden="1">'Öko-Wg'!$B$2:$P$71</definedName>
    <definedName name="Z_93E81051_1F05_45AD_83CD_DAFA9258812A_.wvu.PrintArea" localSheetId="62" hidden="1">'Öko-WW-Brot'!$B$2:$P$71</definedName>
    <definedName name="Z_93E81051_1F05_45AD_83CD_DAFA9258812A_.wvu.PrintArea" localSheetId="63" hidden="1">'Öko-WW-Futter'!$B$2:$P$72</definedName>
    <definedName name="Z_93E81051_1F05_45AD_83CD_DAFA9258812A_.wvu.PrintArea" localSheetId="43" hidden="1">Öl!$B$2:$P$75</definedName>
    <definedName name="Z_93E81051_1F05_45AD_83CD_DAFA9258812A_.wvu.PrintArea" localSheetId="5" hidden="1">Preiskalkulation_Biomasse!$A$1:$U$111</definedName>
    <definedName name="Z_93E81051_1F05_45AD_83CD_DAFA9258812A_.wvu.PrintArea" localSheetId="16" hidden="1">'SD2'!$A$1:$O$93</definedName>
    <definedName name="Z_93E81051_1F05_45AD_83CD_DAFA9258812A_.wvu.PrintArea" localSheetId="17" hidden="1">'SD3'!$B$5:$O$85,'SD3'!$B$87:$O$108</definedName>
    <definedName name="Z_93E81051_1F05_45AD_83CD_DAFA9258812A_.wvu.PrintArea" localSheetId="22" hidden="1">'SD6'!$B$2:$N$87</definedName>
    <definedName name="Z_93E81051_1F05_45AD_83CD_DAFA9258812A_.wvu.PrintArea" localSheetId="25" hidden="1">'SD8'!$B$2:$I$60</definedName>
    <definedName name="Z_93E81051_1F05_45AD_83CD_DAFA9258812A_.wvu.PrintArea" localSheetId="14" hidden="1">'SDK1'!$B$2:$P$65</definedName>
    <definedName name="Z_93E81051_1F05_45AD_83CD_DAFA9258812A_.wvu.PrintArea" localSheetId="18" hidden="1">'SDK4'!$B$2:$N$54</definedName>
    <definedName name="Z_93E81051_1F05_45AD_83CD_DAFA9258812A_.wvu.PrintArea" localSheetId="20" hidden="1">'SDK5'!$B$2:$E$86</definedName>
    <definedName name="Z_93E81051_1F05_45AD_83CD_DAFA9258812A_.wvu.PrintArea" localSheetId="23" hidden="1">'SDK7'!$C$2:$O$248</definedName>
    <definedName name="Z_93E81051_1F05_45AD_83CD_DAFA9258812A_.wvu.PrintArea" localSheetId="15" hidden="1">SDÖ1!$B$2:$K$81</definedName>
    <definedName name="Z_93E81051_1F05_45AD_83CD_DAFA9258812A_.wvu.PrintArea" localSheetId="19" hidden="1">SDÖ4!$B$2:$Q$58</definedName>
    <definedName name="Z_93E81051_1F05_45AD_83CD_DAFA9258812A_.wvu.PrintArea" localSheetId="21" hidden="1">SDÖ5!$B$2:$E$16</definedName>
    <definedName name="Z_93E81051_1F05_45AD_83CD_DAFA9258812A_.wvu.PrintArea" localSheetId="24" hidden="1">SDÖ7!$C$2:$O$200</definedName>
    <definedName name="Z_93E81051_1F05_45AD_83CD_DAFA9258812A_.wvu.PrintArea" localSheetId="34" hidden="1">'SG-Fu'!$B$2:$P$75</definedName>
    <definedName name="Z_93E81051_1F05_45AD_83CD_DAFA9258812A_.wvu.PrintArea" localSheetId="54" hidden="1">SoBl!$B$2:$P$75</definedName>
    <definedName name="Z_93E81051_1F05_45AD_83CD_DAFA9258812A_.wvu.PrintArea" localSheetId="42" hidden="1">Soja!$B$2:$P$75</definedName>
    <definedName name="Z_93E81051_1F05_45AD_83CD_DAFA9258812A_.wvu.PrintArea" localSheetId="49" hidden="1">SpKa!$B$2:$P$75</definedName>
    <definedName name="Z_93E81051_1F05_45AD_83CD_DAFA9258812A_.wvu.PrintArea" localSheetId="50" hidden="1">SpKaBer!$B$2:$P$75</definedName>
    <definedName name="Z_93E81051_1F05_45AD_83CD_DAFA9258812A_.wvu.PrintArea" localSheetId="41" hidden="1">SR!$B$2:$P$75</definedName>
    <definedName name="Z_93E81051_1F05_45AD_83CD_DAFA9258812A_.wvu.PrintArea" localSheetId="32" hidden="1">SW!$B$2:$P$75</definedName>
    <definedName name="Z_93E81051_1F05_45AD_83CD_DAFA9258812A_.wvu.PrintArea" localSheetId="84" hidden="1">'TE6'!$B$2:$P$76</definedName>
    <definedName name="Z_93E81051_1F05_45AD_83CD_DAFA9258812A_.wvu.PrintArea" localSheetId="85" hidden="1">'TE7'!$B$2:$P$76</definedName>
    <definedName name="Z_93E81051_1F05_45AD_83CD_DAFA9258812A_.wvu.PrintArea" localSheetId="86" hidden="1">'TE8'!$B$2:$P$76</definedName>
    <definedName name="Z_93E81051_1F05_45AD_83CD_DAFA9258812A_.wvu.PrintArea" localSheetId="87" hidden="1">'TE9'!$B$2:$P$76</definedName>
    <definedName name="Z_93E81051_1F05_45AD_83CD_DAFA9258812A_.wvu.PrintArea" localSheetId="30" hidden="1">Tr!$B$2:$P$75</definedName>
    <definedName name="Z_93E81051_1F05_45AD_83CD_DAFA9258812A_.wvu.PrintArea" localSheetId="57" hidden="1">Vorlage!$B$2:$P$75</definedName>
    <definedName name="Z_93E81051_1F05_45AD_83CD_DAFA9258812A_.wvu.PrintArea" localSheetId="77" hidden="1">'Vorlage I'!$B$2:$P$71</definedName>
    <definedName name="Z_93E81051_1F05_45AD_83CD_DAFA9258812A_.wvu.PrintArea" localSheetId="31" hidden="1">WG!$B$2:$P$75</definedName>
    <definedName name="Z_93E81051_1F05_45AD_83CD_DAFA9258812A_.wvu.PrintArea" localSheetId="40" hidden="1">WR!$B$2:$P$75</definedName>
    <definedName name="Z_93E81051_1F05_45AD_83CD_DAFA9258812A_.wvu.PrintArea" localSheetId="29" hidden="1">WRo!$B$2:$P$75</definedName>
    <definedName name="Z_93E81051_1F05_45AD_83CD_DAFA9258812A_.wvu.PrintArea" localSheetId="27" hidden="1">'WW1'!$B$2:$P$76</definedName>
    <definedName name="Z_93E81051_1F05_45AD_83CD_DAFA9258812A_.wvu.PrintArea" localSheetId="28" hidden="1">'WW2'!$B$2:$P$75</definedName>
    <definedName name="Z_93E81051_1F05_45AD_83CD_DAFA9258812A_.wvu.PrintArea" localSheetId="52" hidden="1">'WW-A'!$B$2:$P$75</definedName>
    <definedName name="Z_93E81051_1F05_45AD_83CD_DAFA9258812A_.wvu.PrintArea" localSheetId="53" hidden="1">'WW-E'!$B$2:$P$75</definedName>
    <definedName name="Z_93E81051_1F05_45AD_83CD_DAFA9258812A_.wvu.PrintArea" localSheetId="51" hidden="1">ZR!$B$2:$P$75</definedName>
    <definedName name="Z_93E81051_1F05_45AD_83CD_DAFA9258812A_.wvu.PrintTitles" localSheetId="8" hidden="1">Daten!$B:$C,Daten!$2:$4</definedName>
    <definedName name="Z_93E81051_1F05_45AD_83CD_DAFA9258812A_.wvu.PrintTitles" localSheetId="26" hidden="1">Kostenrechnung!$1:$11</definedName>
    <definedName name="Z_93E81051_1F05_45AD_83CD_DAFA9258812A_.wvu.PrintTitles" localSheetId="5" hidden="1">Preiskalkulation_Biomasse!$1:$22</definedName>
    <definedName name="Z_93E81051_1F05_45AD_83CD_DAFA9258812A_.wvu.PrintTitles" localSheetId="16" hidden="1">'SD2'!$2:$3</definedName>
    <definedName name="Z_93E81051_1F05_45AD_83CD_DAFA9258812A_.wvu.PrintTitles" localSheetId="17" hidden="1">'SD3'!$2:$4</definedName>
    <definedName name="Z_93E81051_1F05_45AD_83CD_DAFA9258812A_.wvu.PrintTitles" localSheetId="22" hidden="1">'SD6'!$2:$7</definedName>
    <definedName name="Z_93E81051_1F05_45AD_83CD_DAFA9258812A_.wvu.PrintTitles" localSheetId="23" hidden="1">'SDK7'!$2:$2</definedName>
    <definedName name="Z_93E81051_1F05_45AD_83CD_DAFA9258812A_.wvu.PrintTitles" localSheetId="24" hidden="1">SDÖ7!$2:$2</definedName>
    <definedName name="Z_93E81051_1F05_45AD_83CD_DAFA9258812A_.wvu.Rows" localSheetId="45" hidden="1">AB!#REF!,AB!$78:$161</definedName>
    <definedName name="Z_93E81051_1F05_45AD_83CD_DAFA9258812A_.wvu.Rows" localSheetId="56" hidden="1">Begr!#REF!,Begr!$78:$149</definedName>
    <definedName name="Z_93E81051_1F05_45AD_83CD_DAFA9258812A_.wvu.Rows" localSheetId="76" hidden="1">Begrün.!#REF!,Begrün.!$80:$151</definedName>
    <definedName name="Z_93E81051_1F05_45AD_83CD_DAFA9258812A_.wvu.Rows" localSheetId="35" hidden="1">BG!#REF!,BG!$78:$157</definedName>
    <definedName name="Z_93E81051_1F05_45AD_83CD_DAFA9258812A_.wvu.Rows" localSheetId="75" hidden="1">Blühm.!#REF!</definedName>
    <definedName name="Z_93E81051_1F05_45AD_83CD_DAFA9258812A_.wvu.Rows" localSheetId="33" hidden="1">Di!#REF!,Di!$78:$158</definedName>
    <definedName name="Z_93E81051_1F05_45AD_83CD_DAFA9258812A_.wvu.Rows" localSheetId="37" hidden="1">Du!#REF!,Du!$78:$158</definedName>
    <definedName name="Z_93E81051_1F05_45AD_83CD_DAFA9258812A_.wvu.Rows" localSheetId="12" hidden="1">'EK1'!$23:$24</definedName>
    <definedName name="Z_93E81051_1F05_45AD_83CD_DAFA9258812A_.wvu.Rows" localSheetId="13" hidden="1">EÖ1!#REF!</definedName>
    <definedName name="Z_93E81051_1F05_45AD_83CD_DAFA9258812A_.wvu.Rows" localSheetId="55" hidden="1">'FAKT-Brachebegrünung'!#REF!,'FAKT-Brachebegrünung'!$78:$149</definedName>
    <definedName name="Z_93E81051_1F05_45AD_83CD_DAFA9258812A_.wvu.Rows" localSheetId="44" hidden="1">FE!#REF!,FE!$78:$161</definedName>
    <definedName name="Z_93E81051_1F05_45AD_83CD_DAFA9258812A_.wvu.Rows" localSheetId="47" hidden="1">FrühKa!#REF!,FrühKa!$78:$159</definedName>
    <definedName name="Z_93E81051_1F05_45AD_83CD_DAFA9258812A_.wvu.Rows" localSheetId="48" hidden="1">FrühKaFolieBer!#REF!,FrühKaFolieBer!$78:$159</definedName>
    <definedName name="Z_93E81051_1F05_45AD_83CD_DAFA9258812A_.wvu.Rows" localSheetId="36" hidden="1">Ha!#REF!,Ha!$78:$157</definedName>
    <definedName name="Z_93E81051_1F05_45AD_83CD_DAFA9258812A_.wvu.Rows" localSheetId="9" hidden="1">Hinw!#REF!,Hinw!#REF!</definedName>
    <definedName name="Z_93E81051_1F05_45AD_83CD_DAFA9258812A_.wvu.Rows" localSheetId="0" hidden="1">Inhalt!$75:$85,Inhalt!$87:$87,Inhalt!$91:$91</definedName>
    <definedName name="Z_93E81051_1F05_45AD_83CD_DAFA9258812A_.wvu.Rows" localSheetId="39" hidden="1">KH!#REF!,KH!$78:$157</definedName>
    <definedName name="Z_93E81051_1F05_45AD_83CD_DAFA9258812A_.wvu.Rows" localSheetId="38" hidden="1">KöM!#REF!,KöM!$78:$157</definedName>
    <definedName name="Z_93E81051_1F05_45AD_83CD_DAFA9258812A_.wvu.Rows" localSheetId="26" hidden="1">Kostenrechnung!$60:$60,Kostenrechnung!$103:$106</definedName>
    <definedName name="Z_93E81051_1F05_45AD_83CD_DAFA9258812A_.wvu.Rows" localSheetId="83" hidden="1">'Leerblatt II'!#REF!,'Leerblatt II'!$81:$162</definedName>
    <definedName name="Z_93E81051_1F05_45AD_83CD_DAFA9258812A_.wvu.Rows" localSheetId="81" hidden="1">Linsen!#REF!,Linsen!$81:$160</definedName>
    <definedName name="Z_93E81051_1F05_45AD_83CD_DAFA9258812A_.wvu.Rows" localSheetId="46" hidden="1">Lu!#REF!,Lu!$78:$156</definedName>
    <definedName name="Z_93E81051_1F05_45AD_83CD_DAFA9258812A_.wvu.Rows" localSheetId="70" hidden="1">'Öko-Ab'!#REF!,'Öko-Ab'!$80:$163</definedName>
    <definedName name="Z_93E81051_1F05_45AD_83CD_DAFA9258812A_.wvu.Rows" localSheetId="68" hidden="1">'Öko-Bg'!#REF!,'Öko-Bg'!$80:$159</definedName>
    <definedName name="Z_93E81051_1F05_45AD_83CD_DAFA9258812A_.wvu.Rows" localSheetId="64" hidden="1">'Öko-Di'!#REF!,'Öko-Di'!$80:$160</definedName>
    <definedName name="Z_93E81051_1F05_45AD_83CD_DAFA9258812A_.wvu.Rows" localSheetId="79" hidden="1">'Öko-Dinkel,gegerbt'!#REF!,'Öko-Dinkel,gegerbt'!$80:$160</definedName>
    <definedName name="Z_93E81051_1F05_45AD_83CD_DAFA9258812A_.wvu.Rows" localSheetId="72" hidden="1">'Öko-FE'!#REF!,'Öko-FE'!$80:$163</definedName>
    <definedName name="Z_93E81051_1F05_45AD_83CD_DAFA9258812A_.wvu.Rows" localSheetId="66" hidden="1">'Öko-Ha'!#REF!,'Öko-Ha'!$80:$159</definedName>
    <definedName name="Z_93E81051_1F05_45AD_83CD_DAFA9258812A_.wvu.Rows" localSheetId="74" hidden="1">'Öko-Ka'!#REF!,'Öko-Ka'!$80:$161</definedName>
    <definedName name="Z_93E81051_1F05_45AD_83CD_DAFA9258812A_.wvu.Rows" localSheetId="58" hidden="1">'Öko-KG1'!#REF!,'Öko-KG1'!$80:$159</definedName>
    <definedName name="Z_93E81051_1F05_45AD_83CD_DAFA9258812A_.wvu.Rows" localSheetId="59" hidden="1">'Öko-KG2'!#REF!,'Öko-KG2'!$80:$159</definedName>
    <definedName name="Z_93E81051_1F05_45AD_83CD_DAFA9258812A_.wvu.Rows" localSheetId="69" hidden="1">'Öko-KöM'!#REF!,'Öko-KöM'!$80:$159</definedName>
    <definedName name="Z_93E81051_1F05_45AD_83CD_DAFA9258812A_.wvu.Rows" localSheetId="71" hidden="1">'Öko-Lu'!#REF!,'Öko-Lu'!$78:$156</definedName>
    <definedName name="Z_93E81051_1F05_45AD_83CD_DAFA9258812A_.wvu.Rows" localSheetId="60" hidden="1">'Öko-LU1'!#REF!,'Öko-LU1'!$80:$159</definedName>
    <definedName name="Z_93E81051_1F05_45AD_83CD_DAFA9258812A_.wvu.Rows" localSheetId="61" hidden="1">'Öko-LU2'!#REF!,'Öko-LU2'!$80:$159</definedName>
    <definedName name="Z_93E81051_1F05_45AD_83CD_DAFA9258812A_.wvu.Rows" localSheetId="82" hidden="1">'Öko-Raps'!#REF!,'Öko-Raps'!$80:$158</definedName>
    <definedName name="Z_93E81051_1F05_45AD_83CD_DAFA9258812A_.wvu.Rows" localSheetId="65" hidden="1">'Öko-Ro'!#REF!</definedName>
    <definedName name="Z_93E81051_1F05_45AD_83CD_DAFA9258812A_.wvu.Rows" localSheetId="80" hidden="1">'Öko-Soblu'!#REF!</definedName>
    <definedName name="Z_93E81051_1F05_45AD_83CD_DAFA9258812A_.wvu.Rows" localSheetId="73" hidden="1">'Öko-Soja'!#REF!,'Öko-Soja'!$80:$161</definedName>
    <definedName name="Z_93E81051_1F05_45AD_83CD_DAFA9258812A_.wvu.Rows" localSheetId="67" hidden="1">'Öko-Wg'!#REF!</definedName>
    <definedName name="Z_93E81051_1F05_45AD_83CD_DAFA9258812A_.wvu.Rows" localSheetId="62" hidden="1">'Öko-WW-Brot'!#REF!</definedName>
    <definedName name="Z_93E81051_1F05_45AD_83CD_DAFA9258812A_.wvu.Rows" localSheetId="63" hidden="1">'Öko-WW-Futter'!#REF!</definedName>
    <definedName name="Z_93E81051_1F05_45AD_83CD_DAFA9258812A_.wvu.Rows" localSheetId="43" hidden="1">Öl!#REF!,Öl!$78:$163</definedName>
    <definedName name="Z_93E81051_1F05_45AD_83CD_DAFA9258812A_.wvu.Rows" localSheetId="16" hidden="1">'SD2'!$60:$60,'SD2'!#REF!,'SD2'!#REF!</definedName>
    <definedName name="Z_93E81051_1F05_45AD_83CD_DAFA9258812A_.wvu.Rows" localSheetId="23" hidden="1">'SDK7'!$249:$252</definedName>
    <definedName name="Z_93E81051_1F05_45AD_83CD_DAFA9258812A_.wvu.Rows" localSheetId="24" hidden="1">SDÖ7!$201:$204</definedName>
    <definedName name="Z_93E81051_1F05_45AD_83CD_DAFA9258812A_.wvu.Rows" localSheetId="34" hidden="1">'SG-Fu'!#REF!,'SG-Fu'!$78:$157</definedName>
    <definedName name="Z_93E81051_1F05_45AD_83CD_DAFA9258812A_.wvu.Rows" localSheetId="54" hidden="1">SoBl!#REF!,SoBl!$78:$157</definedName>
    <definedName name="Z_93E81051_1F05_45AD_83CD_DAFA9258812A_.wvu.Rows" localSheetId="42" hidden="1">Soja!#REF!,Soja!$78:$159</definedName>
    <definedName name="Z_93E81051_1F05_45AD_83CD_DAFA9258812A_.wvu.Rows" localSheetId="49" hidden="1">SpKa!#REF!,SpKa!$78:$159</definedName>
    <definedName name="Z_93E81051_1F05_45AD_83CD_DAFA9258812A_.wvu.Rows" localSheetId="50" hidden="1">SpKaBer!#REF!,SpKaBer!$78:$159</definedName>
    <definedName name="Z_93E81051_1F05_45AD_83CD_DAFA9258812A_.wvu.Rows" localSheetId="41" hidden="1">SR!#REF!,SR!$78:$157</definedName>
    <definedName name="Z_93E81051_1F05_45AD_83CD_DAFA9258812A_.wvu.Rows" localSheetId="32" hidden="1">SW!#REF!,SW!$78:$157</definedName>
    <definedName name="Z_93E81051_1F05_45AD_83CD_DAFA9258812A_.wvu.Rows" localSheetId="84" hidden="1">'TE6'!#REF!,'TE6'!$81:$162</definedName>
    <definedName name="Z_93E81051_1F05_45AD_83CD_DAFA9258812A_.wvu.Rows" localSheetId="85" hidden="1">'TE7'!#REF!,'TE7'!$81:$159</definedName>
    <definedName name="Z_93E81051_1F05_45AD_83CD_DAFA9258812A_.wvu.Rows" localSheetId="86" hidden="1">'TE8'!#REF!,'TE8'!$81:$159</definedName>
    <definedName name="Z_93E81051_1F05_45AD_83CD_DAFA9258812A_.wvu.Rows" localSheetId="87" hidden="1">'TE9'!#REF!,'TE9'!$81:$162</definedName>
    <definedName name="Z_93E81051_1F05_45AD_83CD_DAFA9258812A_.wvu.Rows" localSheetId="30" hidden="1">Tr!#REF!,Tr!$78:$157</definedName>
    <definedName name="Z_93E81051_1F05_45AD_83CD_DAFA9258812A_.wvu.Rows" localSheetId="57" hidden="1">Vorlage!#REF!</definedName>
    <definedName name="Z_93E81051_1F05_45AD_83CD_DAFA9258812A_.wvu.Rows" localSheetId="77" hidden="1">'Vorlage I'!#REF!</definedName>
    <definedName name="Z_93E81051_1F05_45AD_83CD_DAFA9258812A_.wvu.Rows" localSheetId="31" hidden="1">WG!#REF!,WG!$78:$155</definedName>
    <definedName name="Z_93E81051_1F05_45AD_83CD_DAFA9258812A_.wvu.Rows" localSheetId="40" hidden="1">WR!#REF!,WR!$78:$164</definedName>
    <definedName name="Z_93E81051_1F05_45AD_83CD_DAFA9258812A_.wvu.Rows" localSheetId="29" hidden="1">WRo!#REF!</definedName>
    <definedName name="Z_93E81051_1F05_45AD_83CD_DAFA9258812A_.wvu.Rows" localSheetId="27" hidden="1">'WW1'!#REF!</definedName>
    <definedName name="Z_93E81051_1F05_45AD_83CD_DAFA9258812A_.wvu.Rows" localSheetId="28" hidden="1">'WW2'!#REF!</definedName>
    <definedName name="Z_93E81051_1F05_45AD_83CD_DAFA9258812A_.wvu.Rows" localSheetId="52" hidden="1">'WW-A'!#REF!</definedName>
    <definedName name="Z_93E81051_1F05_45AD_83CD_DAFA9258812A_.wvu.Rows" localSheetId="53" hidden="1">'WW-E'!#REF!</definedName>
    <definedName name="Z_93E81051_1F05_45AD_83CD_DAFA9258812A_.wvu.Rows" localSheetId="51" hidden="1">ZR!#REF!,ZR!$78:$164</definedName>
    <definedName name="Z_B67A0BFB_4603_4093_A911_42348CD38486_.wvu.Cols" localSheetId="10" hidden="1">'E1'!$F:$F,'E1'!$I:$I</definedName>
    <definedName name="Z_B67A0BFB_4603_4093_A911_42348CD38486_.wvu.Cols" localSheetId="0" hidden="1">Inhalt!$H:$I</definedName>
    <definedName name="Z_B67A0BFB_4603_4093_A911_42348CD38486_.wvu.Cols" localSheetId="5" hidden="1">Preiskalkulation_Biomasse!$AB:$AB</definedName>
    <definedName name="Z_B67A0BFB_4603_4093_A911_42348CD38486_.wvu.Cols" localSheetId="22" hidden="1">'SD6'!#REF!</definedName>
    <definedName name="Z_B67A0BFB_4603_4093_A911_42348CD38486_.wvu.Cols" localSheetId="20" hidden="1">'SDK5'!$P:$P</definedName>
    <definedName name="Z_B67A0BFB_4603_4093_A911_42348CD38486_.wvu.FilterData" localSheetId="10" hidden="1">'E1'!$B$12:$B$43</definedName>
    <definedName name="Z_B67A0BFB_4603_4093_A911_42348CD38486_.wvu.FilterData" localSheetId="20" hidden="1">'SDK5'!$B$4:$AC$85</definedName>
    <definedName name="Z_B67A0BFB_4603_4093_A911_42348CD38486_.wvu.PrintArea" localSheetId="45" hidden="1">AB!$B$2:$P$75</definedName>
    <definedName name="Z_B67A0BFB_4603_4093_A911_42348CD38486_.wvu.PrintArea" localSheetId="56" hidden="1">Begr!$B$2:$P$75</definedName>
    <definedName name="Z_B67A0BFB_4603_4093_A911_42348CD38486_.wvu.PrintArea" localSheetId="35" hidden="1">BG!$B$2:$P$75</definedName>
    <definedName name="Z_B67A0BFB_4603_4093_A911_42348CD38486_.wvu.PrintArea" localSheetId="8" hidden="1">Daten!$B$2:$CR$61</definedName>
    <definedName name="Z_B67A0BFB_4603_4093_A911_42348CD38486_.wvu.PrintArea" localSheetId="33" hidden="1">Di!$B$2:$P$75</definedName>
    <definedName name="Z_B67A0BFB_4603_4093_A911_42348CD38486_.wvu.PrintArea" localSheetId="37" hidden="1">Du!$B$2:$P$75</definedName>
    <definedName name="Z_B67A0BFB_4603_4093_A911_42348CD38486_.wvu.PrintArea" localSheetId="10" hidden="1">'E1'!$C$2:$K$43</definedName>
    <definedName name="Z_B67A0BFB_4603_4093_A911_42348CD38486_.wvu.PrintArea" localSheetId="11" hidden="1">'E2'!$B$2:$L$41</definedName>
    <definedName name="Z_B67A0BFB_4603_4093_A911_42348CD38486_.wvu.PrintArea" localSheetId="12" hidden="1">'EK1'!$B$2:$J$24</definedName>
    <definedName name="Z_B67A0BFB_4603_4093_A911_42348CD38486_.wvu.PrintArea" localSheetId="55" hidden="1">'FAKT-Brachebegrünung'!$B$2:$P$75</definedName>
    <definedName name="Z_B67A0BFB_4603_4093_A911_42348CD38486_.wvu.PrintArea" localSheetId="44" hidden="1">FE!$B$2:$P$75</definedName>
    <definedName name="Z_B67A0BFB_4603_4093_A911_42348CD38486_.wvu.PrintArea" localSheetId="47" hidden="1">FrühKa!$B$2:$P$75</definedName>
    <definedName name="Z_B67A0BFB_4603_4093_A911_42348CD38486_.wvu.PrintArea" localSheetId="48" hidden="1">FrühKaFolieBer!$B$2:$P$75</definedName>
    <definedName name="Z_B67A0BFB_4603_4093_A911_42348CD38486_.wvu.PrintArea" localSheetId="36" hidden="1">Ha!$B$2:$P$75</definedName>
    <definedName name="Z_B67A0BFB_4603_4093_A911_42348CD38486_.wvu.PrintArea" localSheetId="9" hidden="1">Hinw!$B$1:$Q$73</definedName>
    <definedName name="Z_B67A0BFB_4603_4093_A911_42348CD38486_.wvu.PrintArea" localSheetId="0" hidden="1">Inhalt!$B$2:$F$94</definedName>
    <definedName name="Z_B67A0BFB_4603_4093_A911_42348CD38486_.wvu.PrintArea" localSheetId="39" hidden="1">KH!$B$2:$P$75</definedName>
    <definedName name="Z_B67A0BFB_4603_4093_A911_42348CD38486_.wvu.PrintArea" localSheetId="38" hidden="1">KöM!$B$2:$P$75</definedName>
    <definedName name="Z_B67A0BFB_4603_4093_A911_42348CD38486_.wvu.PrintArea" localSheetId="26" hidden="1">Kostenrechnung!$B$2:$N$78,Kostenrechnung!$B$113:$N$137,Kostenrechnung!$B$139:$N$184</definedName>
    <definedName name="Z_B67A0BFB_4603_4093_A911_42348CD38486_.wvu.PrintArea" localSheetId="46" hidden="1">Lu!$B$2:$P$75</definedName>
    <definedName name="Z_B67A0BFB_4603_4093_A911_42348CD38486_.wvu.PrintArea" localSheetId="71" hidden="1">'Öko-Lu'!$B$2:$P$75</definedName>
    <definedName name="Z_B67A0BFB_4603_4093_A911_42348CD38486_.wvu.PrintArea" localSheetId="43" hidden="1">Öl!$B$2:$P$75</definedName>
    <definedName name="Z_B67A0BFB_4603_4093_A911_42348CD38486_.wvu.PrintArea" localSheetId="5" hidden="1">Preiskalkulation_Biomasse!$A$1:$U$111</definedName>
    <definedName name="Z_B67A0BFB_4603_4093_A911_42348CD38486_.wvu.PrintArea" localSheetId="16" hidden="1">'SD2'!$A$1:$O$80</definedName>
    <definedName name="Z_B67A0BFB_4603_4093_A911_42348CD38486_.wvu.PrintArea" localSheetId="17" hidden="1">'SD3'!$B$5:$O$85,'SD3'!$B$87:$O$108</definedName>
    <definedName name="Z_B67A0BFB_4603_4093_A911_42348CD38486_.wvu.PrintArea" localSheetId="22" hidden="1">'SD6'!$B$2:$N$87</definedName>
    <definedName name="Z_B67A0BFB_4603_4093_A911_42348CD38486_.wvu.PrintArea" localSheetId="25" hidden="1">'SD8'!$B$2:$I$60</definedName>
    <definedName name="Z_B67A0BFB_4603_4093_A911_42348CD38486_.wvu.PrintArea" localSheetId="14" hidden="1">'SDK1'!$B$2:$P$65</definedName>
    <definedName name="Z_B67A0BFB_4603_4093_A911_42348CD38486_.wvu.PrintArea" localSheetId="18" hidden="1">'SDK4'!$B$2:$N$55</definedName>
    <definedName name="Z_B67A0BFB_4603_4093_A911_42348CD38486_.wvu.PrintArea" localSheetId="20" hidden="1">'SDK5'!$AP$2:$BC$55</definedName>
    <definedName name="Z_B67A0BFB_4603_4093_A911_42348CD38486_.wvu.PrintArea" localSheetId="23" hidden="1">'SDK7'!$C$2:$O$189</definedName>
    <definedName name="Z_B67A0BFB_4603_4093_A911_42348CD38486_.wvu.PrintArea" localSheetId="34" hidden="1">'SG-Fu'!$B$2:$P$75</definedName>
    <definedName name="Z_B67A0BFB_4603_4093_A911_42348CD38486_.wvu.PrintArea" localSheetId="54" hidden="1">SoBl!$B$2:$P$75</definedName>
    <definedName name="Z_B67A0BFB_4603_4093_A911_42348CD38486_.wvu.PrintArea" localSheetId="42" hidden="1">Soja!$B$2:$P$75</definedName>
    <definedName name="Z_B67A0BFB_4603_4093_A911_42348CD38486_.wvu.PrintArea" localSheetId="49" hidden="1">SpKa!$B$2:$P$75</definedName>
    <definedName name="Z_B67A0BFB_4603_4093_A911_42348CD38486_.wvu.PrintArea" localSheetId="50" hidden="1">SpKaBer!$B$2:$P$75</definedName>
    <definedName name="Z_B67A0BFB_4603_4093_A911_42348CD38486_.wvu.PrintArea" localSheetId="41" hidden="1">SR!$B$2:$P$75</definedName>
    <definedName name="Z_B67A0BFB_4603_4093_A911_42348CD38486_.wvu.PrintArea" localSheetId="32" hidden="1">SW!$B$2:$P$75</definedName>
    <definedName name="Z_B67A0BFB_4603_4093_A911_42348CD38486_.wvu.PrintArea" localSheetId="30" hidden="1">Tr!$B$2:$P$75</definedName>
    <definedName name="Z_B67A0BFB_4603_4093_A911_42348CD38486_.wvu.PrintArea" localSheetId="57" hidden="1">Vorlage!$B$2:$P$75</definedName>
    <definedName name="Z_B67A0BFB_4603_4093_A911_42348CD38486_.wvu.PrintArea" localSheetId="31" hidden="1">WG!$B$2:$P$75</definedName>
    <definedName name="Z_B67A0BFB_4603_4093_A911_42348CD38486_.wvu.PrintArea" localSheetId="40" hidden="1">WR!$B$2:$P$75</definedName>
    <definedName name="Z_B67A0BFB_4603_4093_A911_42348CD38486_.wvu.PrintArea" localSheetId="29" hidden="1">WRo!$B$2:$P$75</definedName>
    <definedName name="Z_B67A0BFB_4603_4093_A911_42348CD38486_.wvu.PrintArea" localSheetId="27" hidden="1">'WW1'!$B$2:$P$76</definedName>
    <definedName name="Z_B67A0BFB_4603_4093_A911_42348CD38486_.wvu.PrintArea" localSheetId="28" hidden="1">'WW2'!$B$2:$P$75</definedName>
    <definedName name="Z_B67A0BFB_4603_4093_A911_42348CD38486_.wvu.PrintArea" localSheetId="52" hidden="1">'WW-A'!$B$2:$P$75</definedName>
    <definedName name="Z_B67A0BFB_4603_4093_A911_42348CD38486_.wvu.PrintArea" localSheetId="53" hidden="1">'WW-E'!$B$2:$P$75</definedName>
    <definedName name="Z_B67A0BFB_4603_4093_A911_42348CD38486_.wvu.PrintArea" localSheetId="51" hidden="1">ZR!$B$2:$P$75</definedName>
    <definedName name="Z_B67A0BFB_4603_4093_A911_42348CD38486_.wvu.PrintTitles" localSheetId="8" hidden="1">Daten!$B:$C,Daten!$2:$4</definedName>
    <definedName name="Z_B67A0BFB_4603_4093_A911_42348CD38486_.wvu.PrintTitles" localSheetId="5" hidden="1">Preiskalkulation_Biomasse!$1:$22</definedName>
    <definedName name="Z_B67A0BFB_4603_4093_A911_42348CD38486_.wvu.PrintTitles" localSheetId="16" hidden="1">'SD2'!$2:$3</definedName>
    <definedName name="Z_B67A0BFB_4603_4093_A911_42348CD38486_.wvu.PrintTitles" localSheetId="17" hidden="1">'SD3'!$2:$4</definedName>
    <definedName name="Z_B67A0BFB_4603_4093_A911_42348CD38486_.wvu.PrintTitles" localSheetId="22" hidden="1">'SD6'!$2:$7</definedName>
    <definedName name="Z_B67A0BFB_4603_4093_A911_42348CD38486_.wvu.PrintTitles" localSheetId="23" hidden="1">'SDK7'!$2:$2</definedName>
    <definedName name="Z_B67A0BFB_4603_4093_A911_42348CD38486_.wvu.Rows" localSheetId="56" hidden="1">Begr!$11:$12</definedName>
    <definedName name="Z_B67A0BFB_4603_4093_A911_42348CD38486_.wvu.Rows" localSheetId="12" hidden="1">'EK1'!$23:$24</definedName>
    <definedName name="Z_B67A0BFB_4603_4093_A911_42348CD38486_.wvu.Rows" localSheetId="55" hidden="1">'FAKT-Brachebegrünung'!$11:$12</definedName>
    <definedName name="Z_B67A0BFB_4603_4093_A911_42348CD38486_.wvu.Rows" localSheetId="47" hidden="1">FrühKa!$11:$12</definedName>
    <definedName name="Z_B67A0BFB_4603_4093_A911_42348CD38486_.wvu.Rows" localSheetId="48" hidden="1">FrühKaFolieBer!$11:$12</definedName>
    <definedName name="Z_B67A0BFB_4603_4093_A911_42348CD38486_.wvu.Rows" localSheetId="0" hidden="1">Inhalt!$60:$60,Inhalt!$67:$68,Inhalt!$74:$87,Inhalt!$91:$91</definedName>
    <definedName name="Z_B67A0BFB_4603_4093_A911_42348CD38486_.wvu.Rows" localSheetId="38" hidden="1">KöM!$11:$12</definedName>
    <definedName name="Z_B67A0BFB_4603_4093_A911_42348CD38486_.wvu.Rows" localSheetId="26" hidden="1">Kostenrechnung!$33:$33,Kostenrechnung!$60:$60,Kostenrechnung!$91:$110</definedName>
    <definedName name="Z_B67A0BFB_4603_4093_A911_42348CD38486_.wvu.Rows" localSheetId="16" hidden="1">'SD2'!$89:$92</definedName>
    <definedName name="Z_B67A0BFB_4603_4093_A911_42348CD38486_.wvu.Rows" localSheetId="17" hidden="1">'SD3'!$68:$85,'SD3'!$98:$100</definedName>
    <definedName name="Z_B67A0BFB_4603_4093_A911_42348CD38486_.wvu.Rows" localSheetId="25" hidden="1">'SD8'!$37:$38,'SD8'!$57:$57</definedName>
    <definedName name="Z_B67A0BFB_4603_4093_A911_42348CD38486_.wvu.Rows" localSheetId="14" hidden="1">'SDK1'!$43:$44,'SDK1'!$62:$62</definedName>
    <definedName name="Z_B67A0BFB_4603_4093_A911_42348CD38486_.wvu.Rows" localSheetId="18" hidden="1">'SDK4'!$19:$32</definedName>
    <definedName name="Z_B67A0BFB_4603_4093_A911_42348CD38486_.wvu.Rows" localSheetId="20" hidden="1">'SDK5'!$94:$195</definedName>
    <definedName name="Z_B67A0BFB_4603_4093_A911_42348CD38486_.wvu.Rows" localSheetId="23" hidden="1">'SDK7'!$116:$174,'SDK7'!$245:$252</definedName>
    <definedName name="Z_B67A0BFB_4603_4093_A911_42348CD38486_.wvu.Rows" localSheetId="54" hidden="1">SoBl!$11:$12</definedName>
    <definedName name="Z_B67A0BFB_4603_4093_A911_42348CD38486_.wvu.Rows" localSheetId="49" hidden="1">SpKa!$11:$12</definedName>
    <definedName name="Z_B67A0BFB_4603_4093_A911_42348CD38486_.wvu.Rows" localSheetId="50" hidden="1">SpKaBer!$11:$12</definedName>
    <definedName name="Z_B67A0BFB_4603_4093_A911_42348CD38486_.wvu.Rows" localSheetId="27" hidden="1">'WW1'!#REF!</definedName>
    <definedName name="Z_B67A0BFB_4603_4093_A911_42348CD38486_.wvu.Rows" localSheetId="51" hidden="1">ZR!$11:$12</definedName>
  </definedNames>
  <calcPr calcId="191029"/>
  <customWorkbookViews>
    <customWorkbookView name="Dörr, Johanna (LEL-SG) - Persönliche Ansicht" guid="{8063F48F-80B5-4ECD-B18A-51CBF126E780}" mergeInterval="0" personalView="1" maximized="1" xWindow="4791" yWindow="-9" windowWidth="2418" windowHeight="1308" tabRatio="890" activeSheetId="79"/>
    <customWorkbookView name="Zoller, Heidrun (LEL-SG) - Persönliche Ansicht" guid="{5D5C9B61-9ABD-4513-AAEB-8333A9D6196C}" mergeInterval="0" personalView="1" maximized="1" xWindow="2391" yWindow="-9" windowWidth="2418" windowHeight="1308" tabRatio="890" activeSheetId="8"/>
    <customWorkbookView name="Bader, Achim (LEL-SG) - Persönliche Ansicht" guid="{22A73C4F-9004-4CEF-8499-B1F91BE1B569}" mergeInterval="0" personalView="1" maximized="1" xWindow="-8" yWindow="-8" windowWidth="1936" windowHeight="1048" tabRatio="890" activeSheetId="7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N53" i="83" l="1"/>
  <c r="K53" i="83"/>
  <c r="H53" i="83"/>
  <c r="N50" i="82"/>
  <c r="K50" i="82"/>
  <c r="H50" i="82"/>
  <c r="N54" i="84"/>
  <c r="N54" i="81"/>
  <c r="K54" i="84"/>
  <c r="K54" i="81"/>
  <c r="H54" i="84"/>
  <c r="H54" i="81"/>
  <c r="N55" i="80"/>
  <c r="K55" i="80"/>
  <c r="H55" i="80"/>
  <c r="N53" i="79"/>
  <c r="K53" i="79"/>
  <c r="H53" i="79"/>
  <c r="N54" i="76"/>
  <c r="N54" i="77"/>
  <c r="N54" i="78"/>
  <c r="K54" i="76"/>
  <c r="K54" i="77"/>
  <c r="K54" i="78"/>
  <c r="H54" i="76"/>
  <c r="H54" i="77"/>
  <c r="H54" i="78"/>
  <c r="N52" i="73"/>
  <c r="K52" i="73"/>
  <c r="H52" i="73"/>
  <c r="N53" i="72"/>
  <c r="N53" i="74"/>
  <c r="K53" i="72"/>
  <c r="K53" i="74"/>
  <c r="H53" i="72"/>
  <c r="H53" i="74"/>
  <c r="N51" i="59"/>
  <c r="K51" i="59"/>
  <c r="H51" i="59"/>
  <c r="N50" i="58"/>
  <c r="N50" i="57"/>
  <c r="K50" i="58"/>
  <c r="K50" i="57"/>
  <c r="N50" i="50"/>
  <c r="N50" i="51"/>
  <c r="N50" i="49"/>
  <c r="K50" i="50"/>
  <c r="K50" i="51"/>
  <c r="K50" i="49"/>
  <c r="H50" i="50"/>
  <c r="H50" i="51"/>
  <c r="H50" i="49"/>
  <c r="N52" i="48"/>
  <c r="K52" i="48"/>
  <c r="H52" i="48"/>
  <c r="N51" i="44"/>
  <c r="K51" i="44"/>
  <c r="H51" i="44"/>
  <c r="N50" i="43"/>
  <c r="N50" i="45"/>
  <c r="N50" i="46"/>
  <c r="N50" i="47"/>
  <c r="K50" i="43"/>
  <c r="K50" i="45"/>
  <c r="K50" i="46"/>
  <c r="K50" i="47"/>
  <c r="H50" i="43"/>
  <c r="H50" i="45"/>
  <c r="H50" i="46"/>
  <c r="H50" i="47"/>
  <c r="N51" i="42"/>
  <c r="K51" i="42"/>
  <c r="H51" i="42"/>
  <c r="N50" i="41"/>
  <c r="K50" i="41"/>
  <c r="H50" i="41"/>
  <c r="N51" i="40"/>
  <c r="K51" i="40"/>
  <c r="H51" i="40"/>
  <c r="N50" i="33"/>
  <c r="N50" i="34"/>
  <c r="N50" i="35"/>
  <c r="N50" i="36"/>
  <c r="N50" i="38"/>
  <c r="N50" i="37"/>
  <c r="N50" i="39"/>
  <c r="K50" i="33"/>
  <c r="K50" i="34"/>
  <c r="K50" i="35"/>
  <c r="K50" i="36"/>
  <c r="K50" i="38"/>
  <c r="K50" i="37"/>
  <c r="K50" i="39"/>
  <c r="H50" i="33"/>
  <c r="H50" i="34"/>
  <c r="H50" i="35"/>
  <c r="H50" i="36"/>
  <c r="H50" i="38"/>
  <c r="H50" i="37"/>
  <c r="H50" i="39"/>
  <c r="N50" i="31"/>
  <c r="K50" i="31"/>
  <c r="H50" i="31"/>
  <c r="F25" i="86"/>
  <c r="G9" i="86"/>
  <c r="H57" i="55"/>
  <c r="K57" i="55"/>
  <c r="N57" i="55"/>
  <c r="H57" i="54"/>
  <c r="K57" i="54"/>
  <c r="N57" i="54"/>
  <c r="O1" i="17"/>
  <c r="N19" i="16"/>
  <c r="N59" i="9"/>
  <c r="E30" i="72"/>
  <c r="E30" i="64"/>
  <c r="H30" i="64" s="1"/>
  <c r="N52" i="9"/>
  <c r="N55" i="86"/>
  <c r="K55" i="86"/>
  <c r="H55" i="86"/>
  <c r="H52" i="53"/>
  <c r="F266" i="30" l="1"/>
  <c r="Q14" i="31"/>
  <c r="I15" i="62"/>
  <c r="I15" i="61"/>
  <c r="I15" i="60"/>
  <c r="I15" i="59"/>
  <c r="I15" i="58"/>
  <c r="I15" i="57"/>
  <c r="I15" i="52"/>
  <c r="I15" i="56"/>
  <c r="I15" i="55"/>
  <c r="I15" i="54"/>
  <c r="I15" i="53"/>
  <c r="I15" i="51"/>
  <c r="I15" i="50"/>
  <c r="I15" i="48"/>
  <c r="I15" i="47"/>
  <c r="I15" i="46"/>
  <c r="I15" i="45"/>
  <c r="I15" i="44"/>
  <c r="I15" i="43"/>
  <c r="I15" i="42"/>
  <c r="I15" i="41"/>
  <c r="I15" i="40"/>
  <c r="I15" i="39"/>
  <c r="I15" i="38"/>
  <c r="I15" i="37"/>
  <c r="I15" i="36"/>
  <c r="I15" i="35"/>
  <c r="I15" i="34"/>
  <c r="I16" i="62"/>
  <c r="I17" i="62"/>
  <c r="I16" i="61"/>
  <c r="I17" i="61"/>
  <c r="I16" i="60"/>
  <c r="I17" i="60"/>
  <c r="I16" i="59"/>
  <c r="I17" i="59"/>
  <c r="I16" i="58"/>
  <c r="I17" i="58"/>
  <c r="I16" i="57"/>
  <c r="I17" i="57"/>
  <c r="I16" i="52"/>
  <c r="I17" i="52"/>
  <c r="I16" i="56"/>
  <c r="I17" i="56"/>
  <c r="I16" i="55"/>
  <c r="I17" i="55"/>
  <c r="I16" i="54"/>
  <c r="I17" i="54"/>
  <c r="I16" i="53"/>
  <c r="I17" i="53"/>
  <c r="I16" i="51"/>
  <c r="I17" i="51"/>
  <c r="I16" i="50"/>
  <c r="I17" i="50"/>
  <c r="I16" i="49"/>
  <c r="I17" i="49"/>
  <c r="I16" i="48"/>
  <c r="I17" i="48"/>
  <c r="I16" i="47"/>
  <c r="I17" i="47"/>
  <c r="I16" i="46"/>
  <c r="I17" i="46"/>
  <c r="I16" i="45"/>
  <c r="I17" i="45"/>
  <c r="I16" i="44"/>
  <c r="I17" i="44"/>
  <c r="I16" i="43"/>
  <c r="I17" i="43"/>
  <c r="I16" i="42"/>
  <c r="I17" i="42"/>
  <c r="I16" i="41"/>
  <c r="I17" i="41"/>
  <c r="I16" i="40"/>
  <c r="I17" i="40"/>
  <c r="I16" i="39"/>
  <c r="I17" i="39"/>
  <c r="I16" i="38"/>
  <c r="I17" i="38"/>
  <c r="I16" i="37"/>
  <c r="I17" i="37"/>
  <c r="I16" i="36"/>
  <c r="I17" i="36"/>
  <c r="I16" i="35"/>
  <c r="I17" i="35"/>
  <c r="I16" i="34"/>
  <c r="I17" i="34"/>
  <c r="I16" i="33"/>
  <c r="I17" i="33"/>
  <c r="L14" i="62"/>
  <c r="L14" i="44"/>
  <c r="L14" i="37"/>
  <c r="L15" i="62"/>
  <c r="L16" i="62"/>
  <c r="L17" i="62"/>
  <c r="L15" i="61"/>
  <c r="L16" i="61"/>
  <c r="L17" i="61"/>
  <c r="L15" i="60"/>
  <c r="L16" i="60"/>
  <c r="L17" i="60"/>
  <c r="L15" i="59"/>
  <c r="L16" i="59"/>
  <c r="L17" i="59"/>
  <c r="L15" i="58"/>
  <c r="L16" i="58"/>
  <c r="L17" i="58"/>
  <c r="L15" i="57"/>
  <c r="L16" i="57"/>
  <c r="L17" i="57"/>
  <c r="L15" i="52"/>
  <c r="L16" i="52"/>
  <c r="L17" i="52"/>
  <c r="L15" i="56"/>
  <c r="L16" i="56"/>
  <c r="L17" i="56"/>
  <c r="L15" i="55"/>
  <c r="L16" i="55"/>
  <c r="L17" i="55"/>
  <c r="L15" i="54"/>
  <c r="L16" i="54"/>
  <c r="L17" i="54"/>
  <c r="L15" i="53"/>
  <c r="L16" i="53"/>
  <c r="L17" i="53"/>
  <c r="L15" i="51"/>
  <c r="L16" i="51"/>
  <c r="L17" i="51"/>
  <c r="L15" i="50"/>
  <c r="L16" i="50"/>
  <c r="L17" i="50"/>
  <c r="L16" i="49"/>
  <c r="L17" i="49"/>
  <c r="L15" i="48"/>
  <c r="L16" i="48"/>
  <c r="L17" i="48"/>
  <c r="L15" i="47"/>
  <c r="L16" i="47"/>
  <c r="L17" i="47"/>
  <c r="L15" i="46"/>
  <c r="L16" i="46"/>
  <c r="L17" i="46"/>
  <c r="L15" i="45"/>
  <c r="L16" i="45"/>
  <c r="L17" i="45"/>
  <c r="L15" i="44"/>
  <c r="L16" i="44"/>
  <c r="L17" i="44"/>
  <c r="L15" i="43"/>
  <c r="L16" i="43"/>
  <c r="L17" i="43"/>
  <c r="L15" i="42"/>
  <c r="L16" i="42"/>
  <c r="L17" i="42"/>
  <c r="L15" i="41"/>
  <c r="L16" i="41"/>
  <c r="L17" i="41"/>
  <c r="L15" i="40"/>
  <c r="L16" i="40"/>
  <c r="L17" i="40"/>
  <c r="L15" i="39"/>
  <c r="L16" i="39"/>
  <c r="L17" i="39"/>
  <c r="L15" i="38"/>
  <c r="L16" i="38"/>
  <c r="L17" i="38"/>
  <c r="L15" i="37"/>
  <c r="L16" i="37"/>
  <c r="L17" i="37"/>
  <c r="L15" i="36"/>
  <c r="L16" i="36"/>
  <c r="L17" i="36"/>
  <c r="L15" i="35"/>
  <c r="L16" i="35"/>
  <c r="L17" i="35"/>
  <c r="L15" i="34"/>
  <c r="L16" i="34"/>
  <c r="L17" i="34"/>
  <c r="L16" i="33"/>
  <c r="L17" i="33"/>
  <c r="P27" i="62"/>
  <c r="M27" i="62"/>
  <c r="J27" i="62"/>
  <c r="F25" i="64"/>
  <c r="F25" i="71"/>
  <c r="F70" i="54" l="1"/>
  <c r="P53" i="21"/>
  <c r="P49" i="21"/>
  <c r="P50" i="21"/>
  <c r="P51" i="21"/>
  <c r="P48" i="21"/>
  <c r="P50" i="20"/>
  <c r="P48" i="20"/>
  <c r="P46" i="20"/>
  <c r="P47" i="20"/>
  <c r="P45" i="20"/>
  <c r="N73" i="16"/>
  <c r="N74" i="16"/>
  <c r="N72" i="16"/>
  <c r="N60" i="9"/>
  <c r="N61" i="9"/>
  <c r="N53" i="9"/>
  <c r="N64" i="9"/>
  <c r="O9" i="16" l="1"/>
  <c r="O16" i="16" s="1"/>
  <c r="O10" i="16"/>
  <c r="O11" i="16"/>
  <c r="O12" i="16"/>
  <c r="A7" i="16"/>
  <c r="N56" i="16" l="1"/>
  <c r="Q42" i="20"/>
  <c r="Q45" i="20" s="1"/>
  <c r="O10" i="9"/>
  <c r="O11" i="9"/>
  <c r="O12" i="9"/>
  <c r="O9" i="9"/>
  <c r="N30" i="9"/>
  <c r="N26" i="16"/>
  <c r="FK62" i="29" l="1"/>
  <c r="FK61" i="29"/>
  <c r="FK10" i="29"/>
  <c r="FK65" i="29"/>
  <c r="FK43" i="29"/>
  <c r="EN5" i="29"/>
  <c r="EN62" i="29"/>
  <c r="EN61" i="29"/>
  <c r="EN10" i="29"/>
  <c r="EN65" i="29"/>
  <c r="EN43" i="29"/>
  <c r="DQ62" i="29"/>
  <c r="DQ61" i="29"/>
  <c r="DQ10" i="29"/>
  <c r="DQ65" i="29"/>
  <c r="DQ43" i="29"/>
  <c r="CI64" i="29"/>
  <c r="CI62" i="29"/>
  <c r="CI10" i="29"/>
  <c r="CI5" i="29"/>
  <c r="CI43" i="29"/>
  <c r="CC62" i="29"/>
  <c r="CC10" i="29"/>
  <c r="CD5" i="29"/>
  <c r="CD10" i="29"/>
  <c r="CD43" i="29"/>
  <c r="CD62" i="29"/>
  <c r="CD64" i="29"/>
  <c r="BC5" i="29"/>
  <c r="BC64" i="29"/>
  <c r="BC62" i="29"/>
  <c r="BC10" i="29"/>
  <c r="BC43" i="29"/>
  <c r="AX5" i="29"/>
  <c r="AX64" i="29"/>
  <c r="AX62" i="29"/>
  <c r="AX10" i="29"/>
  <c r="AX43" i="29"/>
  <c r="W64" i="29"/>
  <c r="W61" i="29"/>
  <c r="W10" i="29"/>
  <c r="W5" i="29"/>
  <c r="W43" i="29"/>
  <c r="R64" i="29"/>
  <c r="Q61" i="29"/>
  <c r="R61" i="29"/>
  <c r="R43" i="29"/>
  <c r="R10" i="29"/>
  <c r="R5" i="29"/>
  <c r="FJ65" i="29"/>
  <c r="EM65" i="29"/>
  <c r="DP65" i="29"/>
  <c r="EX65" i="29"/>
  <c r="FG65" i="29"/>
  <c r="FF65" i="29"/>
  <c r="FE65" i="29"/>
  <c r="FD65" i="29"/>
  <c r="FC65" i="29"/>
  <c r="FB65" i="29"/>
  <c r="FA65" i="29"/>
  <c r="EZ65" i="29"/>
  <c r="EL65" i="29"/>
  <c r="EK65" i="29"/>
  <c r="EJ65" i="29"/>
  <c r="EI65" i="29"/>
  <c r="EH65" i="29"/>
  <c r="EG65" i="29"/>
  <c r="EF65" i="29"/>
  <c r="EE65" i="29"/>
  <c r="ED65" i="29"/>
  <c r="EC65" i="29"/>
  <c r="EB65" i="29"/>
  <c r="EA65" i="29"/>
  <c r="DM65" i="29"/>
  <c r="DL65" i="29"/>
  <c r="DK65" i="29"/>
  <c r="DJ65" i="29"/>
  <c r="DI65" i="29"/>
  <c r="DH65" i="29"/>
  <c r="DG65" i="29"/>
  <c r="DF65" i="29"/>
  <c r="DD65" i="29"/>
  <c r="EN4" i="29"/>
  <c r="FK4" i="29"/>
  <c r="DQ4" i="29"/>
  <c r="T68" i="43" l="1"/>
  <c r="S68" i="43"/>
  <c r="M45" i="21" l="1"/>
  <c r="F70" i="59" l="1"/>
  <c r="F70" i="86"/>
  <c r="F70" i="84"/>
  <c r="F70" i="83"/>
  <c r="F70" i="81"/>
  <c r="F70" i="80"/>
  <c r="F70" i="78"/>
  <c r="F70" i="79"/>
  <c r="F70" i="77"/>
  <c r="F70" i="73"/>
  <c r="F70" i="74"/>
  <c r="F70" i="76"/>
  <c r="F70" i="72"/>
  <c r="F70" i="58"/>
  <c r="F70" i="57"/>
  <c r="F70" i="55"/>
  <c r="F70" i="56"/>
  <c r="F70" i="53"/>
  <c r="F70" i="52"/>
  <c r="F70" i="50"/>
  <c r="F70" i="49"/>
  <c r="F70" i="48"/>
  <c r="F70" i="47"/>
  <c r="F70" i="46"/>
  <c r="F70" i="45"/>
  <c r="F70" i="44"/>
  <c r="F70" i="43"/>
  <c r="F70" i="39"/>
  <c r="F70" i="40"/>
  <c r="F70" i="41"/>
  <c r="F70" i="42"/>
  <c r="F70" i="38"/>
  <c r="F70" i="37"/>
  <c r="F70" i="34"/>
  <c r="F70" i="35"/>
  <c r="F70" i="36"/>
  <c r="F70" i="33"/>
  <c r="F70" i="31"/>
  <c r="M39" i="9" l="1"/>
  <c r="B6" i="22" l="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N58" i="16" l="1"/>
  <c r="Q45" i="21" l="1"/>
  <c r="Q48" i="21" s="1"/>
  <c r="I76" i="16" l="1"/>
  <c r="J76" i="16"/>
  <c r="K76" i="16"/>
  <c r="L76" i="16"/>
  <c r="M76" i="16"/>
  <c r="N76" i="16"/>
  <c r="P6" i="33" l="1"/>
  <c r="J6" i="33"/>
  <c r="P6" i="31"/>
  <c r="J6" i="31"/>
  <c r="P6" i="58"/>
  <c r="J6" i="58"/>
  <c r="P6" i="57"/>
  <c r="J6" i="57"/>
  <c r="P6" i="55"/>
  <c r="J6" i="55"/>
  <c r="P6" i="53"/>
  <c r="J6" i="53"/>
  <c r="P6" i="52"/>
  <c r="J6" i="52"/>
  <c r="P6" i="59"/>
  <c r="J6" i="59"/>
  <c r="P6" i="46"/>
  <c r="J6" i="46"/>
  <c r="P6" i="45"/>
  <c r="J6" i="45"/>
  <c r="P6" i="44"/>
  <c r="CC5" i="29" s="1"/>
  <c r="J6" i="44"/>
  <c r="P6" i="35"/>
  <c r="J6" i="35"/>
  <c r="P6" i="41"/>
  <c r="J6" i="41"/>
  <c r="P6" i="39"/>
  <c r="J6" i="39"/>
  <c r="P6" i="36"/>
  <c r="J6" i="36"/>
  <c r="P6" i="34"/>
  <c r="J6" i="34"/>
  <c r="P6" i="38"/>
  <c r="J6" i="38"/>
  <c r="P6" i="42"/>
  <c r="J6" i="42"/>
  <c r="P6" i="37"/>
  <c r="J6" i="37"/>
  <c r="N141" i="96" l="1"/>
  <c r="N140" i="96"/>
  <c r="N139" i="96"/>
  <c r="N138" i="96"/>
  <c r="N137" i="96"/>
  <c r="N136" i="96"/>
  <c r="N135" i="96"/>
  <c r="N134" i="96"/>
  <c r="N133" i="96"/>
  <c r="N132" i="96"/>
  <c r="N131" i="96"/>
  <c r="N130" i="96"/>
  <c r="N129" i="96"/>
  <c r="N128" i="96"/>
  <c r="N127" i="96"/>
  <c r="N126" i="96"/>
  <c r="N125" i="96"/>
  <c r="N124" i="96"/>
  <c r="N123" i="96"/>
  <c r="N122" i="96"/>
  <c r="N121" i="96"/>
  <c r="N120" i="96"/>
  <c r="N119" i="96"/>
  <c r="G119" i="96"/>
  <c r="N118" i="96"/>
  <c r="G118" i="96"/>
  <c r="N117" i="96"/>
  <c r="G117" i="96"/>
  <c r="N116" i="96"/>
  <c r="G116" i="96"/>
  <c r="N115" i="96"/>
  <c r="G115" i="96"/>
  <c r="N114" i="96"/>
  <c r="G114" i="96"/>
  <c r="N113" i="96"/>
  <c r="G113" i="96"/>
  <c r="N112" i="96"/>
  <c r="G112" i="96"/>
  <c r="N111" i="96"/>
  <c r="G111" i="96"/>
  <c r="N110" i="96"/>
  <c r="G110" i="96"/>
  <c r="N109" i="96"/>
  <c r="G109" i="96"/>
  <c r="N108" i="96"/>
  <c r="G108" i="96"/>
  <c r="N107" i="96"/>
  <c r="G107" i="96"/>
  <c r="N106" i="96"/>
  <c r="G106" i="96"/>
  <c r="N105" i="96"/>
  <c r="G105" i="96"/>
  <c r="N104" i="96"/>
  <c r="G104" i="96"/>
  <c r="N103" i="96"/>
  <c r="G103" i="96"/>
  <c r="N102" i="96"/>
  <c r="G102" i="96"/>
  <c r="N101" i="96"/>
  <c r="G101" i="96"/>
  <c r="N100" i="96"/>
  <c r="G100" i="96"/>
  <c r="N99" i="96"/>
  <c r="G99" i="96"/>
  <c r="N98" i="96"/>
  <c r="G98" i="96"/>
  <c r="N97" i="96"/>
  <c r="G97" i="96"/>
  <c r="N96" i="96"/>
  <c r="G96" i="96"/>
  <c r="N95" i="96"/>
  <c r="G95" i="96"/>
  <c r="N94" i="96"/>
  <c r="G94" i="96"/>
  <c r="N93" i="96"/>
  <c r="N92" i="96"/>
  <c r="N91" i="96"/>
  <c r="N90" i="96"/>
  <c r="N89" i="96"/>
  <c r="N88" i="96"/>
  <c r="N87" i="96"/>
  <c r="N86" i="96"/>
  <c r="N85" i="96"/>
  <c r="N84" i="96"/>
  <c r="N83" i="96"/>
  <c r="N82" i="96"/>
  <c r="F67" i="96"/>
  <c r="F66" i="96"/>
  <c r="F65" i="96"/>
  <c r="G57" i="96"/>
  <c r="F57" i="96"/>
  <c r="E57" i="96"/>
  <c r="G56" i="96"/>
  <c r="F56" i="96"/>
  <c r="E56" i="96"/>
  <c r="G55" i="96"/>
  <c r="F55" i="96"/>
  <c r="E55" i="96"/>
  <c r="G54" i="96"/>
  <c r="F54" i="96"/>
  <c r="E54" i="96"/>
  <c r="G53" i="96"/>
  <c r="F53" i="96"/>
  <c r="E53" i="96"/>
  <c r="G52" i="96"/>
  <c r="F52" i="96"/>
  <c r="E52" i="96"/>
  <c r="G51" i="96"/>
  <c r="F51" i="96"/>
  <c r="E51" i="96"/>
  <c r="G50" i="96"/>
  <c r="F50" i="96"/>
  <c r="E50" i="96"/>
  <c r="G49" i="96"/>
  <c r="F49" i="96"/>
  <c r="E49" i="96"/>
  <c r="G48" i="96"/>
  <c r="F48" i="96"/>
  <c r="E48" i="96"/>
  <c r="G47" i="96"/>
  <c r="F47" i="96"/>
  <c r="E47" i="96"/>
  <c r="G46" i="96"/>
  <c r="F46" i="96"/>
  <c r="E46" i="96"/>
  <c r="N141" i="95"/>
  <c r="N140" i="95"/>
  <c r="N139" i="95"/>
  <c r="N138" i="95"/>
  <c r="N137" i="95"/>
  <c r="N136" i="95"/>
  <c r="N135" i="95"/>
  <c r="N134" i="95"/>
  <c r="N133" i="95"/>
  <c r="N132" i="95"/>
  <c r="N131" i="95"/>
  <c r="N130" i="95"/>
  <c r="N129" i="95"/>
  <c r="N128" i="95"/>
  <c r="N127" i="95"/>
  <c r="N126" i="95"/>
  <c r="N125" i="95"/>
  <c r="N124" i="95"/>
  <c r="N123" i="95"/>
  <c r="N122" i="95"/>
  <c r="N121" i="95"/>
  <c r="N120" i="95"/>
  <c r="N119" i="95"/>
  <c r="G119" i="95"/>
  <c r="N118" i="95"/>
  <c r="G118" i="95"/>
  <c r="N117" i="95"/>
  <c r="G117" i="95"/>
  <c r="N116" i="95"/>
  <c r="G116" i="95"/>
  <c r="N115" i="95"/>
  <c r="G115" i="95"/>
  <c r="N114" i="95"/>
  <c r="G114" i="95"/>
  <c r="N113" i="95"/>
  <c r="G113" i="95"/>
  <c r="N112" i="95"/>
  <c r="G112" i="95"/>
  <c r="N111" i="95"/>
  <c r="G111" i="95"/>
  <c r="N110" i="95"/>
  <c r="G110" i="95"/>
  <c r="N109" i="95"/>
  <c r="G109" i="95"/>
  <c r="N108" i="95"/>
  <c r="G108" i="95"/>
  <c r="N107" i="95"/>
  <c r="G107" i="95"/>
  <c r="N106" i="95"/>
  <c r="G106" i="95"/>
  <c r="N105" i="95"/>
  <c r="G105" i="95"/>
  <c r="N104" i="95"/>
  <c r="G104" i="95"/>
  <c r="N103" i="95"/>
  <c r="G103" i="95"/>
  <c r="N102" i="95"/>
  <c r="G102" i="95"/>
  <c r="N101" i="95"/>
  <c r="G101" i="95"/>
  <c r="N100" i="95"/>
  <c r="G100" i="95"/>
  <c r="N99" i="95"/>
  <c r="G99" i="95"/>
  <c r="N98" i="95"/>
  <c r="G98" i="95"/>
  <c r="N97" i="95"/>
  <c r="G97" i="95"/>
  <c r="N96" i="95"/>
  <c r="G96" i="95"/>
  <c r="N95" i="95"/>
  <c r="G95" i="95"/>
  <c r="N94" i="95"/>
  <c r="G94" i="95"/>
  <c r="N93" i="95"/>
  <c r="N92" i="95"/>
  <c r="N91" i="95"/>
  <c r="N90" i="95"/>
  <c r="N89" i="95"/>
  <c r="N88" i="95"/>
  <c r="N87" i="95"/>
  <c r="N86" i="95"/>
  <c r="N85" i="95"/>
  <c r="N84" i="95"/>
  <c r="N83" i="95"/>
  <c r="N82" i="95"/>
  <c r="F67" i="95"/>
  <c r="F66" i="95"/>
  <c r="F65" i="95"/>
  <c r="G57" i="95"/>
  <c r="F57" i="95"/>
  <c r="E57" i="95"/>
  <c r="G56" i="95"/>
  <c r="F56" i="95"/>
  <c r="E56" i="95"/>
  <c r="G55" i="95"/>
  <c r="F55" i="95"/>
  <c r="E55" i="95"/>
  <c r="G54" i="95"/>
  <c r="F54" i="95"/>
  <c r="E54" i="95"/>
  <c r="G53" i="95"/>
  <c r="F53" i="95"/>
  <c r="E53" i="95"/>
  <c r="G52" i="95"/>
  <c r="F52" i="95"/>
  <c r="E52" i="95"/>
  <c r="G51" i="95"/>
  <c r="F51" i="95"/>
  <c r="E51" i="95"/>
  <c r="G50" i="95"/>
  <c r="F50" i="95"/>
  <c r="E50" i="95"/>
  <c r="G49" i="95"/>
  <c r="F49" i="95"/>
  <c r="E49" i="95"/>
  <c r="G48" i="95"/>
  <c r="F48" i="95"/>
  <c r="E48" i="95"/>
  <c r="G47" i="95"/>
  <c r="F47" i="95"/>
  <c r="E47" i="95"/>
  <c r="G46" i="95"/>
  <c r="F46" i="95"/>
  <c r="E46" i="95"/>
  <c r="N141" i="94"/>
  <c r="N140" i="94"/>
  <c r="N139" i="94"/>
  <c r="N138" i="94"/>
  <c r="N137" i="94"/>
  <c r="N136" i="94"/>
  <c r="N135" i="94"/>
  <c r="N134" i="94"/>
  <c r="N133" i="94"/>
  <c r="N132" i="94"/>
  <c r="N131" i="94"/>
  <c r="N130" i="94"/>
  <c r="N129" i="94"/>
  <c r="N128" i="94"/>
  <c r="N127" i="94"/>
  <c r="N126" i="94"/>
  <c r="N125" i="94"/>
  <c r="N124" i="94"/>
  <c r="N123" i="94"/>
  <c r="N122" i="94"/>
  <c r="N121" i="94"/>
  <c r="N120" i="94"/>
  <c r="N119" i="94"/>
  <c r="G119" i="94"/>
  <c r="N118" i="94"/>
  <c r="G118" i="94"/>
  <c r="N117" i="94"/>
  <c r="G117" i="94"/>
  <c r="N116" i="94"/>
  <c r="G116" i="94"/>
  <c r="N115" i="94"/>
  <c r="G115" i="94"/>
  <c r="N114" i="94"/>
  <c r="G114" i="94"/>
  <c r="N113" i="94"/>
  <c r="G113" i="94"/>
  <c r="N112" i="94"/>
  <c r="G112" i="94"/>
  <c r="N111" i="94"/>
  <c r="G111" i="94"/>
  <c r="N110" i="94"/>
  <c r="G110" i="94"/>
  <c r="N109" i="94"/>
  <c r="G109" i="94"/>
  <c r="N108" i="94"/>
  <c r="G108" i="94"/>
  <c r="N107" i="94"/>
  <c r="G107" i="94"/>
  <c r="N106" i="94"/>
  <c r="G106" i="94"/>
  <c r="N105" i="94"/>
  <c r="G105" i="94"/>
  <c r="N104" i="94"/>
  <c r="G104" i="94"/>
  <c r="N103" i="94"/>
  <c r="G103" i="94"/>
  <c r="N102" i="94"/>
  <c r="G102" i="94"/>
  <c r="N101" i="94"/>
  <c r="G101" i="94"/>
  <c r="N100" i="94"/>
  <c r="G100" i="94"/>
  <c r="N99" i="94"/>
  <c r="G99" i="94"/>
  <c r="N98" i="94"/>
  <c r="G98" i="94"/>
  <c r="N97" i="94"/>
  <c r="G97" i="94"/>
  <c r="N96" i="94"/>
  <c r="G96" i="94"/>
  <c r="N95" i="94"/>
  <c r="G95" i="94"/>
  <c r="N94" i="94"/>
  <c r="G94" i="94"/>
  <c r="N93" i="94"/>
  <c r="N92" i="94"/>
  <c r="N91" i="94"/>
  <c r="N90" i="94"/>
  <c r="N89" i="94"/>
  <c r="N88" i="94"/>
  <c r="N87" i="94"/>
  <c r="N86" i="94"/>
  <c r="N85" i="94"/>
  <c r="N84" i="94"/>
  <c r="N83" i="94"/>
  <c r="N82" i="94"/>
  <c r="F67" i="94"/>
  <c r="F66" i="94"/>
  <c r="F65" i="94"/>
  <c r="G57" i="94"/>
  <c r="F57" i="94"/>
  <c r="E57" i="94"/>
  <c r="G56" i="94"/>
  <c r="F56" i="94"/>
  <c r="E56" i="94"/>
  <c r="G55" i="94"/>
  <c r="F55" i="94"/>
  <c r="E55" i="94"/>
  <c r="G54" i="94"/>
  <c r="F54" i="94"/>
  <c r="E54" i="94"/>
  <c r="G53" i="94"/>
  <c r="F53" i="94"/>
  <c r="E53" i="94"/>
  <c r="G52" i="94"/>
  <c r="F52" i="94"/>
  <c r="E52" i="94"/>
  <c r="G51" i="94"/>
  <c r="F51" i="94"/>
  <c r="E51" i="94"/>
  <c r="G50" i="94"/>
  <c r="F50" i="94"/>
  <c r="E50" i="94"/>
  <c r="G49" i="94"/>
  <c r="F49" i="94"/>
  <c r="E49" i="94"/>
  <c r="G48" i="94"/>
  <c r="F48" i="94"/>
  <c r="E48" i="94"/>
  <c r="G47" i="94"/>
  <c r="F47" i="94"/>
  <c r="E47" i="94"/>
  <c r="G46" i="94"/>
  <c r="F46" i="94"/>
  <c r="E46" i="94"/>
  <c r="N141" i="93"/>
  <c r="N140" i="93"/>
  <c r="N139" i="93"/>
  <c r="N138" i="93"/>
  <c r="N137" i="93"/>
  <c r="N136" i="93"/>
  <c r="N135" i="93"/>
  <c r="N134" i="93"/>
  <c r="N133" i="93"/>
  <c r="N132" i="93"/>
  <c r="N131" i="93"/>
  <c r="N130" i="93"/>
  <c r="N129" i="93"/>
  <c r="N128" i="93"/>
  <c r="N127" i="93"/>
  <c r="N126" i="93"/>
  <c r="N125" i="93"/>
  <c r="N124" i="93"/>
  <c r="N123" i="93"/>
  <c r="N122" i="93"/>
  <c r="N121" i="93"/>
  <c r="N120" i="93"/>
  <c r="N119" i="93"/>
  <c r="G119" i="93"/>
  <c r="N118" i="93"/>
  <c r="G118" i="93"/>
  <c r="N117" i="93"/>
  <c r="G117" i="93"/>
  <c r="N116" i="93"/>
  <c r="G116" i="93"/>
  <c r="N115" i="93"/>
  <c r="G115" i="93"/>
  <c r="N114" i="93"/>
  <c r="G114" i="93"/>
  <c r="N113" i="93"/>
  <c r="G113" i="93"/>
  <c r="N112" i="93"/>
  <c r="G112" i="93"/>
  <c r="N111" i="93"/>
  <c r="G111" i="93"/>
  <c r="N110" i="93"/>
  <c r="G110" i="93"/>
  <c r="N109" i="93"/>
  <c r="G109" i="93"/>
  <c r="N108" i="93"/>
  <c r="G108" i="93"/>
  <c r="N107" i="93"/>
  <c r="G107" i="93"/>
  <c r="N106" i="93"/>
  <c r="G106" i="93"/>
  <c r="N105" i="93"/>
  <c r="G105" i="93"/>
  <c r="N104" i="93"/>
  <c r="G104" i="93"/>
  <c r="N103" i="93"/>
  <c r="G103" i="93"/>
  <c r="N102" i="93"/>
  <c r="G102" i="93"/>
  <c r="N101" i="93"/>
  <c r="G101" i="93"/>
  <c r="N100" i="93"/>
  <c r="G100" i="93"/>
  <c r="N99" i="93"/>
  <c r="G99" i="93"/>
  <c r="N98" i="93"/>
  <c r="G98" i="93"/>
  <c r="N97" i="93"/>
  <c r="G97" i="93"/>
  <c r="N96" i="93"/>
  <c r="G96" i="93"/>
  <c r="N95" i="93"/>
  <c r="G95" i="93"/>
  <c r="N94" i="93"/>
  <c r="G94" i="93"/>
  <c r="N93" i="93"/>
  <c r="N92" i="93"/>
  <c r="N91" i="93"/>
  <c r="N90" i="93"/>
  <c r="N89" i="93"/>
  <c r="N88" i="93"/>
  <c r="N87" i="93"/>
  <c r="N86" i="93"/>
  <c r="N85" i="93"/>
  <c r="N84" i="93"/>
  <c r="N83" i="93"/>
  <c r="N82" i="93"/>
  <c r="F67" i="93"/>
  <c r="F66" i="93"/>
  <c r="F65" i="93"/>
  <c r="G57" i="93"/>
  <c r="F57" i="93"/>
  <c r="E57" i="93"/>
  <c r="G56" i="93"/>
  <c r="F56" i="93"/>
  <c r="E56" i="93"/>
  <c r="G55" i="93"/>
  <c r="F55" i="93"/>
  <c r="E55" i="93"/>
  <c r="G54" i="93"/>
  <c r="F54" i="93"/>
  <c r="E54" i="93"/>
  <c r="G53" i="93"/>
  <c r="F53" i="93"/>
  <c r="E53" i="93"/>
  <c r="G52" i="93"/>
  <c r="F52" i="93"/>
  <c r="E52" i="93"/>
  <c r="G51" i="93"/>
  <c r="F51" i="93"/>
  <c r="E51" i="93"/>
  <c r="G50" i="93"/>
  <c r="F50" i="93"/>
  <c r="E50" i="93"/>
  <c r="G49" i="93"/>
  <c r="F49" i="93"/>
  <c r="E49" i="93"/>
  <c r="G48" i="93"/>
  <c r="F48" i="93"/>
  <c r="E48" i="93"/>
  <c r="G47" i="93"/>
  <c r="F47" i="93"/>
  <c r="E47" i="93"/>
  <c r="G46" i="93"/>
  <c r="F46" i="93"/>
  <c r="E46" i="93"/>
  <c r="N141" i="92"/>
  <c r="N140" i="92"/>
  <c r="N139" i="92"/>
  <c r="N138" i="92"/>
  <c r="N137" i="92"/>
  <c r="N136" i="92"/>
  <c r="N135" i="92"/>
  <c r="N134" i="92"/>
  <c r="N133" i="92"/>
  <c r="N132" i="92"/>
  <c r="N131" i="92"/>
  <c r="N130" i="92"/>
  <c r="N129" i="92"/>
  <c r="N128" i="92"/>
  <c r="N127" i="92"/>
  <c r="N126" i="92"/>
  <c r="N125" i="92"/>
  <c r="N124" i="92"/>
  <c r="N123" i="92"/>
  <c r="N122" i="92"/>
  <c r="N121" i="92"/>
  <c r="N120" i="92"/>
  <c r="N119" i="92"/>
  <c r="G119" i="92"/>
  <c r="N118" i="92"/>
  <c r="G118" i="92"/>
  <c r="N117" i="92"/>
  <c r="G117" i="92"/>
  <c r="N116" i="92"/>
  <c r="G116" i="92"/>
  <c r="N115" i="92"/>
  <c r="G115" i="92"/>
  <c r="N114" i="92"/>
  <c r="G114" i="92"/>
  <c r="N113" i="92"/>
  <c r="G113" i="92"/>
  <c r="N112" i="92"/>
  <c r="G112" i="92"/>
  <c r="N111" i="92"/>
  <c r="G111" i="92"/>
  <c r="N110" i="92"/>
  <c r="G110" i="92"/>
  <c r="N109" i="92"/>
  <c r="G109" i="92"/>
  <c r="N108" i="92"/>
  <c r="G108" i="92"/>
  <c r="N107" i="92"/>
  <c r="G107" i="92"/>
  <c r="N106" i="92"/>
  <c r="G106" i="92"/>
  <c r="N105" i="92"/>
  <c r="G105" i="92"/>
  <c r="N104" i="92"/>
  <c r="G104" i="92"/>
  <c r="N103" i="92"/>
  <c r="G103" i="92"/>
  <c r="N102" i="92"/>
  <c r="G102" i="92"/>
  <c r="N101" i="92"/>
  <c r="G101" i="92"/>
  <c r="N100" i="92"/>
  <c r="G100" i="92"/>
  <c r="N99" i="92"/>
  <c r="G99" i="92"/>
  <c r="N98" i="92"/>
  <c r="G98" i="92"/>
  <c r="N97" i="92"/>
  <c r="G97" i="92"/>
  <c r="N96" i="92"/>
  <c r="G96" i="92"/>
  <c r="N95" i="92"/>
  <c r="G95" i="92"/>
  <c r="N94" i="92"/>
  <c r="G94" i="92"/>
  <c r="N93" i="92"/>
  <c r="N92" i="92"/>
  <c r="N91" i="92"/>
  <c r="N90" i="92"/>
  <c r="N89" i="92"/>
  <c r="N88" i="92"/>
  <c r="N87" i="92"/>
  <c r="N86" i="92"/>
  <c r="N85" i="92"/>
  <c r="N84" i="92"/>
  <c r="N83" i="92"/>
  <c r="N82" i="92"/>
  <c r="F67" i="92"/>
  <c r="F66" i="92"/>
  <c r="F65" i="92"/>
  <c r="G57" i="92"/>
  <c r="F57" i="92"/>
  <c r="E57" i="92"/>
  <c r="G56" i="92"/>
  <c r="F56" i="92"/>
  <c r="E56" i="92"/>
  <c r="G55" i="92"/>
  <c r="F55" i="92"/>
  <c r="E55" i="92"/>
  <c r="G54" i="92"/>
  <c r="F54" i="92"/>
  <c r="E54" i="92"/>
  <c r="G53" i="92"/>
  <c r="F53" i="92"/>
  <c r="E53" i="92"/>
  <c r="G52" i="92"/>
  <c r="F52" i="92"/>
  <c r="E52" i="92"/>
  <c r="G51" i="92"/>
  <c r="F51" i="92"/>
  <c r="E51" i="92"/>
  <c r="G50" i="92"/>
  <c r="F50" i="92"/>
  <c r="E50" i="92"/>
  <c r="G49" i="92"/>
  <c r="F49" i="92"/>
  <c r="E49" i="92"/>
  <c r="G48" i="92"/>
  <c r="F48" i="92"/>
  <c r="E48" i="92"/>
  <c r="G47" i="92"/>
  <c r="F47" i="92"/>
  <c r="E47" i="92"/>
  <c r="G46" i="92"/>
  <c r="F46" i="92"/>
  <c r="E46" i="92"/>
  <c r="N140" i="87"/>
  <c r="N139" i="87"/>
  <c r="N138" i="87"/>
  <c r="N137" i="87"/>
  <c r="N136" i="87"/>
  <c r="N135" i="87"/>
  <c r="N134" i="87"/>
  <c r="N133" i="87"/>
  <c r="N132" i="87"/>
  <c r="N131" i="87"/>
  <c r="N130" i="87"/>
  <c r="N129" i="87"/>
  <c r="N128" i="87"/>
  <c r="N127" i="87"/>
  <c r="N126" i="87"/>
  <c r="N125" i="87"/>
  <c r="N124" i="87"/>
  <c r="N123" i="87"/>
  <c r="N122" i="87"/>
  <c r="N121" i="87"/>
  <c r="N120" i="87"/>
  <c r="N119" i="87"/>
  <c r="N118" i="87"/>
  <c r="G118" i="87"/>
  <c r="N117" i="87"/>
  <c r="G117" i="87"/>
  <c r="N116" i="87"/>
  <c r="G116" i="87"/>
  <c r="N115" i="87"/>
  <c r="G115" i="87"/>
  <c r="N114" i="87"/>
  <c r="G114" i="87"/>
  <c r="N113" i="87"/>
  <c r="G113" i="87"/>
  <c r="N112" i="87"/>
  <c r="G112" i="87"/>
  <c r="N111" i="87"/>
  <c r="G111" i="87"/>
  <c r="N110" i="87"/>
  <c r="G110" i="87"/>
  <c r="N109" i="87"/>
  <c r="G109" i="87"/>
  <c r="N108" i="87"/>
  <c r="G108" i="87"/>
  <c r="N107" i="87"/>
  <c r="G107" i="87"/>
  <c r="N106" i="87"/>
  <c r="G106" i="87"/>
  <c r="N105" i="87"/>
  <c r="G105" i="87"/>
  <c r="N104" i="87"/>
  <c r="G104" i="87"/>
  <c r="N103" i="87"/>
  <c r="G103" i="87"/>
  <c r="N102" i="87"/>
  <c r="G102" i="87"/>
  <c r="N101" i="87"/>
  <c r="G101" i="87"/>
  <c r="N100" i="87"/>
  <c r="G100" i="87"/>
  <c r="N99" i="87"/>
  <c r="G99" i="87"/>
  <c r="N98" i="87"/>
  <c r="G98" i="87"/>
  <c r="N97" i="87"/>
  <c r="G97" i="87"/>
  <c r="N96" i="87"/>
  <c r="G96" i="87"/>
  <c r="N95" i="87"/>
  <c r="G95" i="87"/>
  <c r="N94" i="87"/>
  <c r="G94" i="87"/>
  <c r="N93" i="87"/>
  <c r="G93" i="87"/>
  <c r="N92" i="87"/>
  <c r="N91" i="87"/>
  <c r="N90" i="87"/>
  <c r="N89" i="87"/>
  <c r="N88" i="87"/>
  <c r="N87" i="87"/>
  <c r="N86" i="87"/>
  <c r="N85" i="87"/>
  <c r="N84" i="87"/>
  <c r="N83" i="87"/>
  <c r="N82" i="87"/>
  <c r="N81" i="87"/>
  <c r="F66" i="87"/>
  <c r="F65" i="87"/>
  <c r="F64" i="87"/>
  <c r="G56" i="87"/>
  <c r="F56" i="87"/>
  <c r="E56" i="87"/>
  <c r="G55" i="87"/>
  <c r="F55" i="87"/>
  <c r="E55" i="87"/>
  <c r="G54" i="87"/>
  <c r="F54" i="87"/>
  <c r="E54" i="87"/>
  <c r="G53" i="87"/>
  <c r="F53" i="87"/>
  <c r="E53" i="87"/>
  <c r="G52" i="87"/>
  <c r="F52" i="87"/>
  <c r="E52" i="87"/>
  <c r="G51" i="87"/>
  <c r="F51" i="87"/>
  <c r="E51" i="87"/>
  <c r="G50" i="87"/>
  <c r="F50" i="87"/>
  <c r="E50" i="87"/>
  <c r="G49" i="87"/>
  <c r="F49" i="87"/>
  <c r="E49" i="87"/>
  <c r="G48" i="87"/>
  <c r="F48" i="87"/>
  <c r="E48" i="87"/>
  <c r="G47" i="87"/>
  <c r="F47" i="87"/>
  <c r="G46" i="87"/>
  <c r="F46" i="87"/>
  <c r="G45" i="87"/>
  <c r="F45" i="87"/>
  <c r="E45" i="87"/>
  <c r="G57" i="85"/>
  <c r="F57" i="85"/>
  <c r="E57" i="85"/>
  <c r="G56" i="85"/>
  <c r="F56" i="85"/>
  <c r="E56" i="85"/>
  <c r="F55" i="85"/>
  <c r="F54" i="85"/>
  <c r="G53" i="85"/>
  <c r="F53" i="85"/>
  <c r="E53" i="85"/>
  <c r="G52" i="85"/>
  <c r="F52" i="85"/>
  <c r="E52" i="85"/>
  <c r="F51" i="85"/>
  <c r="F50" i="85"/>
  <c r="G49" i="85"/>
  <c r="F49" i="85"/>
  <c r="E49" i="85"/>
  <c r="F48" i="85"/>
  <c r="F47" i="85"/>
  <c r="F46" i="85"/>
  <c r="F57" i="75"/>
  <c r="G56" i="75"/>
  <c r="F56" i="75"/>
  <c r="E56" i="75"/>
  <c r="G55" i="75"/>
  <c r="F55" i="75"/>
  <c r="E55" i="75"/>
  <c r="G54" i="75"/>
  <c r="F54" i="75"/>
  <c r="E54" i="75"/>
  <c r="G53" i="75"/>
  <c r="F53" i="75"/>
  <c r="E53" i="75"/>
  <c r="G52" i="75"/>
  <c r="F52" i="75"/>
  <c r="E52" i="75"/>
  <c r="F51" i="75"/>
  <c r="F50" i="75"/>
  <c r="F49" i="75"/>
  <c r="G48" i="75"/>
  <c r="F48" i="75"/>
  <c r="E48" i="75"/>
  <c r="G47" i="75"/>
  <c r="F47" i="75"/>
  <c r="E47" i="75"/>
  <c r="G46" i="75"/>
  <c r="F46" i="75"/>
  <c r="E46" i="75"/>
  <c r="G57" i="71"/>
  <c r="F57" i="71"/>
  <c r="E57" i="71"/>
  <c r="G56" i="71"/>
  <c r="F56" i="71"/>
  <c r="E56" i="71"/>
  <c r="G55" i="71"/>
  <c r="F55" i="71"/>
  <c r="E55" i="71"/>
  <c r="G54" i="71"/>
  <c r="F54" i="71"/>
  <c r="E54" i="71"/>
  <c r="G53" i="71"/>
  <c r="F53" i="71"/>
  <c r="E53" i="71"/>
  <c r="G52" i="71"/>
  <c r="F52" i="71"/>
  <c r="E52" i="71"/>
  <c r="F51" i="71"/>
  <c r="G50" i="71"/>
  <c r="F50" i="71"/>
  <c r="E50" i="71"/>
  <c r="F49" i="71"/>
  <c r="F48" i="71"/>
  <c r="F47" i="71"/>
  <c r="F46" i="71"/>
  <c r="G57" i="91"/>
  <c r="F57" i="91"/>
  <c r="E57" i="91"/>
  <c r="G56" i="91"/>
  <c r="F56" i="91"/>
  <c r="E56" i="91"/>
  <c r="G55" i="91"/>
  <c r="F55" i="91"/>
  <c r="E55" i="91"/>
  <c r="G54" i="91"/>
  <c r="F54" i="91"/>
  <c r="E54" i="91"/>
  <c r="G53" i="91"/>
  <c r="F53" i="91"/>
  <c r="E53" i="91"/>
  <c r="G52" i="91"/>
  <c r="F52" i="91"/>
  <c r="E52" i="91"/>
  <c r="G51" i="91"/>
  <c r="F51" i="91"/>
  <c r="E51" i="91"/>
  <c r="G50" i="91"/>
  <c r="F50" i="91"/>
  <c r="E50" i="91"/>
  <c r="G49" i="91"/>
  <c r="F49" i="91"/>
  <c r="E49" i="91"/>
  <c r="G48" i="91"/>
  <c r="F48" i="91"/>
  <c r="E48" i="91"/>
  <c r="F47" i="91"/>
  <c r="F46" i="91"/>
  <c r="G57" i="90"/>
  <c r="F57" i="90"/>
  <c r="E57" i="90"/>
  <c r="G56" i="90"/>
  <c r="F56" i="90"/>
  <c r="E56" i="90"/>
  <c r="G55" i="90"/>
  <c r="F55" i="90"/>
  <c r="E55" i="90"/>
  <c r="G54" i="90"/>
  <c r="F54" i="90"/>
  <c r="E54" i="90"/>
  <c r="G53" i="90"/>
  <c r="F53" i="90"/>
  <c r="E53" i="90"/>
  <c r="G52" i="90"/>
  <c r="F52" i="90"/>
  <c r="E52" i="90"/>
  <c r="G51" i="90"/>
  <c r="F51" i="90"/>
  <c r="E51" i="90"/>
  <c r="F50" i="90"/>
  <c r="F49" i="90"/>
  <c r="F48" i="90"/>
  <c r="G47" i="90"/>
  <c r="F47" i="90"/>
  <c r="E47" i="90"/>
  <c r="F46" i="90"/>
  <c r="G57" i="89"/>
  <c r="F57" i="89"/>
  <c r="E57" i="89"/>
  <c r="G56" i="89"/>
  <c r="F56" i="89"/>
  <c r="E56" i="89"/>
  <c r="G55" i="89"/>
  <c r="F55" i="89"/>
  <c r="E55" i="89"/>
  <c r="G54" i="89"/>
  <c r="F54" i="89"/>
  <c r="E54" i="89"/>
  <c r="G53" i="89"/>
  <c r="F53" i="89"/>
  <c r="E53" i="89"/>
  <c r="G52" i="89"/>
  <c r="F52" i="89"/>
  <c r="E52" i="89"/>
  <c r="G51" i="89"/>
  <c r="F51" i="89"/>
  <c r="E51" i="89"/>
  <c r="G50" i="89"/>
  <c r="F50" i="89"/>
  <c r="E50" i="89"/>
  <c r="G49" i="89"/>
  <c r="F49" i="89"/>
  <c r="E49" i="89"/>
  <c r="G48" i="89"/>
  <c r="F48" i="89"/>
  <c r="E48" i="89"/>
  <c r="G47" i="89"/>
  <c r="F47" i="89"/>
  <c r="E47" i="89"/>
  <c r="G46" i="89"/>
  <c r="F46" i="89"/>
  <c r="E46" i="89"/>
  <c r="G57" i="88"/>
  <c r="F57" i="88"/>
  <c r="E57" i="88"/>
  <c r="G56" i="88"/>
  <c r="F56" i="88"/>
  <c r="E56" i="88"/>
  <c r="F55" i="88"/>
  <c r="F54" i="88"/>
  <c r="F53" i="88"/>
  <c r="F52" i="88"/>
  <c r="F51" i="88"/>
  <c r="G50" i="88"/>
  <c r="F50" i="88"/>
  <c r="E50" i="88"/>
  <c r="F49" i="88"/>
  <c r="F48" i="88"/>
  <c r="F47" i="88"/>
  <c r="G46" i="88"/>
  <c r="F46" i="88"/>
  <c r="E46" i="88"/>
  <c r="G57" i="86"/>
  <c r="F57" i="86"/>
  <c r="E57" i="86"/>
  <c r="F56" i="86"/>
  <c r="F55" i="86"/>
  <c r="F54" i="86"/>
  <c r="E54" i="86"/>
  <c r="F53" i="86"/>
  <c r="F52" i="86"/>
  <c r="F51" i="86"/>
  <c r="F50" i="86"/>
  <c r="F49" i="86"/>
  <c r="F48" i="86"/>
  <c r="F47" i="86"/>
  <c r="G46" i="86"/>
  <c r="F46" i="86"/>
  <c r="E46" i="86"/>
  <c r="F57" i="84"/>
  <c r="G56" i="84"/>
  <c r="F56" i="84"/>
  <c r="E56" i="84"/>
  <c r="F55" i="84"/>
  <c r="F54" i="84"/>
  <c r="G53" i="84"/>
  <c r="F53" i="84"/>
  <c r="E53" i="84"/>
  <c r="F52" i="84"/>
  <c r="F51" i="84"/>
  <c r="F50" i="84"/>
  <c r="F49" i="84"/>
  <c r="G48" i="84"/>
  <c r="F48" i="84"/>
  <c r="E48" i="84"/>
  <c r="F47" i="84"/>
  <c r="G46" i="84"/>
  <c r="F46" i="84"/>
  <c r="E46" i="84"/>
  <c r="F57" i="83"/>
  <c r="G56" i="83"/>
  <c r="F56" i="83"/>
  <c r="E56" i="83"/>
  <c r="G55" i="83"/>
  <c r="F55" i="83"/>
  <c r="E55" i="83"/>
  <c r="F54" i="83"/>
  <c r="F53" i="83"/>
  <c r="G52" i="83"/>
  <c r="F52" i="83"/>
  <c r="E52" i="83"/>
  <c r="G51" i="83"/>
  <c r="F51" i="83"/>
  <c r="E51" i="83"/>
  <c r="F50" i="83"/>
  <c r="F49" i="83"/>
  <c r="F48" i="83"/>
  <c r="G47" i="83"/>
  <c r="F47" i="83"/>
  <c r="E47" i="83"/>
  <c r="F46" i="83"/>
  <c r="F57" i="81"/>
  <c r="G56" i="81"/>
  <c r="F56" i="81"/>
  <c r="E56" i="81"/>
  <c r="F55" i="81"/>
  <c r="F54" i="81"/>
  <c r="G53" i="81"/>
  <c r="F53" i="81"/>
  <c r="E53" i="81"/>
  <c r="F52" i="81"/>
  <c r="G51" i="81"/>
  <c r="F51" i="81"/>
  <c r="E51" i="81"/>
  <c r="F50" i="81"/>
  <c r="G49" i="81"/>
  <c r="F49" i="81"/>
  <c r="E49" i="81"/>
  <c r="F48" i="81"/>
  <c r="G47" i="81"/>
  <c r="F47" i="81"/>
  <c r="E47" i="81"/>
  <c r="F46" i="81"/>
  <c r="F57" i="80"/>
  <c r="F56" i="80"/>
  <c r="F55" i="80"/>
  <c r="G54" i="80"/>
  <c r="F54" i="80"/>
  <c r="E54" i="80"/>
  <c r="G53" i="80"/>
  <c r="F53" i="80"/>
  <c r="E53" i="80"/>
  <c r="F52" i="80"/>
  <c r="G51" i="80"/>
  <c r="F51" i="80"/>
  <c r="E51" i="80"/>
  <c r="F50" i="80"/>
  <c r="F49" i="80"/>
  <c r="G48" i="80"/>
  <c r="F48" i="80"/>
  <c r="E48" i="80"/>
  <c r="F47" i="80"/>
  <c r="G46" i="80"/>
  <c r="F46" i="80"/>
  <c r="E46" i="80"/>
  <c r="F57" i="79"/>
  <c r="G56" i="79"/>
  <c r="F56" i="79"/>
  <c r="E56" i="79"/>
  <c r="G55" i="79"/>
  <c r="F55" i="79"/>
  <c r="E55" i="79"/>
  <c r="F54" i="79"/>
  <c r="F53" i="79"/>
  <c r="G52" i="79"/>
  <c r="F52" i="79"/>
  <c r="E52" i="79"/>
  <c r="G51" i="79"/>
  <c r="F51" i="79"/>
  <c r="E51" i="79"/>
  <c r="F50" i="79"/>
  <c r="F49" i="79"/>
  <c r="G48" i="79"/>
  <c r="F48" i="79"/>
  <c r="E48" i="79"/>
  <c r="F47" i="79"/>
  <c r="G46" i="79"/>
  <c r="F46" i="79"/>
  <c r="E46" i="79"/>
  <c r="F57" i="78"/>
  <c r="G56" i="78"/>
  <c r="F56" i="78"/>
  <c r="E56" i="78"/>
  <c r="F55" i="78"/>
  <c r="F54" i="78"/>
  <c r="G53" i="78"/>
  <c r="F53" i="78"/>
  <c r="E53" i="78"/>
  <c r="G52" i="78"/>
  <c r="F52" i="78"/>
  <c r="E52" i="78"/>
  <c r="F51" i="78"/>
  <c r="G50" i="78"/>
  <c r="F50" i="78"/>
  <c r="E50" i="78"/>
  <c r="F49" i="78"/>
  <c r="G48" i="78"/>
  <c r="F48" i="78"/>
  <c r="E48" i="78"/>
  <c r="F47" i="78"/>
  <c r="G46" i="78"/>
  <c r="F46" i="78"/>
  <c r="E46" i="78"/>
  <c r="F57" i="77"/>
  <c r="G56" i="77"/>
  <c r="F56" i="77"/>
  <c r="E56" i="77"/>
  <c r="F55" i="77"/>
  <c r="F54" i="77"/>
  <c r="G53" i="77"/>
  <c r="F53" i="77"/>
  <c r="E53" i="77"/>
  <c r="G52" i="77"/>
  <c r="F52" i="77"/>
  <c r="E52" i="77"/>
  <c r="F51" i="77"/>
  <c r="G50" i="77"/>
  <c r="F50" i="77"/>
  <c r="E50" i="77"/>
  <c r="F49" i="77"/>
  <c r="G48" i="77"/>
  <c r="F48" i="77"/>
  <c r="E48" i="77"/>
  <c r="F47" i="77"/>
  <c r="G46" i="77"/>
  <c r="F46" i="77"/>
  <c r="E46" i="77"/>
  <c r="F57" i="76"/>
  <c r="G56" i="76"/>
  <c r="F56" i="76"/>
  <c r="E56" i="76"/>
  <c r="G55" i="76"/>
  <c r="F55" i="76"/>
  <c r="E55" i="76"/>
  <c r="F54" i="76"/>
  <c r="G53" i="76"/>
  <c r="F53" i="76"/>
  <c r="E53" i="76"/>
  <c r="F52" i="76"/>
  <c r="F51" i="76"/>
  <c r="G50" i="76"/>
  <c r="F50" i="76"/>
  <c r="E50" i="76"/>
  <c r="F49" i="76"/>
  <c r="G48" i="76"/>
  <c r="F48" i="76"/>
  <c r="E48" i="76"/>
  <c r="F47" i="76"/>
  <c r="G46" i="76"/>
  <c r="F46" i="76"/>
  <c r="E46" i="76"/>
  <c r="F57" i="74"/>
  <c r="G56" i="74"/>
  <c r="F56" i="74"/>
  <c r="E56" i="74"/>
  <c r="G55" i="74"/>
  <c r="F55" i="74"/>
  <c r="E55" i="74"/>
  <c r="G54" i="74"/>
  <c r="F54" i="74"/>
  <c r="E54" i="74"/>
  <c r="F53" i="74"/>
  <c r="G52" i="74"/>
  <c r="F52" i="74"/>
  <c r="E52" i="74"/>
  <c r="F51" i="74"/>
  <c r="F50" i="74"/>
  <c r="F49" i="74"/>
  <c r="G48" i="74"/>
  <c r="F48" i="74"/>
  <c r="E48" i="74"/>
  <c r="F47" i="74"/>
  <c r="G46" i="74"/>
  <c r="F46" i="74"/>
  <c r="E46" i="74"/>
  <c r="F57" i="73"/>
  <c r="G56" i="73"/>
  <c r="F56" i="73"/>
  <c r="E56" i="73"/>
  <c r="G55" i="73"/>
  <c r="F55" i="73"/>
  <c r="E55" i="73"/>
  <c r="G54" i="73"/>
  <c r="F54" i="73"/>
  <c r="E54" i="73"/>
  <c r="G53" i="73"/>
  <c r="F53" i="73"/>
  <c r="E53" i="73"/>
  <c r="F52" i="73"/>
  <c r="G51" i="73"/>
  <c r="F51" i="73"/>
  <c r="E51" i="73"/>
  <c r="F50" i="73"/>
  <c r="F49" i="73"/>
  <c r="F48" i="73"/>
  <c r="G47" i="73"/>
  <c r="F47" i="73"/>
  <c r="E47" i="73"/>
  <c r="F46" i="73"/>
  <c r="F57" i="72"/>
  <c r="G56" i="72"/>
  <c r="F56" i="72"/>
  <c r="E56" i="72"/>
  <c r="G55" i="72"/>
  <c r="F55" i="72"/>
  <c r="E55" i="72"/>
  <c r="G54" i="72"/>
  <c r="F54" i="72"/>
  <c r="E54" i="72"/>
  <c r="F53" i="72"/>
  <c r="G52" i="72"/>
  <c r="F52" i="72"/>
  <c r="E52" i="72"/>
  <c r="G51" i="72"/>
  <c r="F51" i="72"/>
  <c r="E51" i="72"/>
  <c r="F50" i="72"/>
  <c r="F49" i="72"/>
  <c r="F48" i="72"/>
  <c r="G47" i="72"/>
  <c r="F47" i="72"/>
  <c r="E47" i="72"/>
  <c r="F46" i="72"/>
  <c r="G57" i="66"/>
  <c r="F57" i="66"/>
  <c r="E57" i="66"/>
  <c r="G56" i="66"/>
  <c r="F56" i="66"/>
  <c r="E56" i="66"/>
  <c r="G55" i="66"/>
  <c r="F55" i="66"/>
  <c r="E55" i="66"/>
  <c r="G54" i="66"/>
  <c r="F54" i="66"/>
  <c r="E54" i="66"/>
  <c r="G53" i="66"/>
  <c r="F53" i="66"/>
  <c r="E53" i="66"/>
  <c r="G52" i="66"/>
  <c r="F52" i="66"/>
  <c r="E52" i="66"/>
  <c r="F51" i="66"/>
  <c r="G50" i="66"/>
  <c r="F50" i="66"/>
  <c r="E50" i="66"/>
  <c r="F49" i="66"/>
  <c r="F48" i="66"/>
  <c r="F47" i="66"/>
  <c r="F46" i="66"/>
  <c r="G57" i="65"/>
  <c r="F57" i="65"/>
  <c r="E57" i="65"/>
  <c r="G56" i="65"/>
  <c r="F56" i="65"/>
  <c r="E56" i="65"/>
  <c r="G55" i="65"/>
  <c r="F55" i="65"/>
  <c r="E55" i="65"/>
  <c r="G54" i="65"/>
  <c r="F54" i="65"/>
  <c r="E54" i="65"/>
  <c r="G53" i="65"/>
  <c r="F53" i="65"/>
  <c r="E53" i="65"/>
  <c r="G52" i="65"/>
  <c r="F52" i="65"/>
  <c r="E52" i="65"/>
  <c r="F51" i="65"/>
  <c r="F50" i="65"/>
  <c r="G49" i="65"/>
  <c r="F49" i="65"/>
  <c r="E49" i="65"/>
  <c r="F48" i="65"/>
  <c r="F47" i="65"/>
  <c r="F46" i="65"/>
  <c r="F63" i="64"/>
  <c r="F62" i="64"/>
  <c r="G57" i="64"/>
  <c r="F57" i="64"/>
  <c r="E57" i="64"/>
  <c r="G56" i="64"/>
  <c r="F56" i="64"/>
  <c r="E56" i="64"/>
  <c r="G55" i="64"/>
  <c r="F55" i="64"/>
  <c r="E55" i="64"/>
  <c r="G54" i="64"/>
  <c r="F54" i="64"/>
  <c r="E54" i="64"/>
  <c r="G53" i="64"/>
  <c r="F53" i="64"/>
  <c r="E53" i="64"/>
  <c r="G52" i="64"/>
  <c r="F52" i="64"/>
  <c r="E52" i="64"/>
  <c r="F51" i="64"/>
  <c r="G50" i="64"/>
  <c r="F50" i="64"/>
  <c r="E50" i="64"/>
  <c r="F49" i="64"/>
  <c r="F48" i="64"/>
  <c r="F47" i="64"/>
  <c r="F46" i="64"/>
  <c r="F57" i="62" l="1"/>
  <c r="G47" i="62"/>
  <c r="G48" i="62"/>
  <c r="G49" i="62"/>
  <c r="G50" i="62"/>
  <c r="G51" i="62"/>
  <c r="G52" i="62"/>
  <c r="G53" i="62"/>
  <c r="G54" i="62"/>
  <c r="G55" i="62"/>
  <c r="G56" i="62"/>
  <c r="G46" i="62"/>
  <c r="F47" i="62"/>
  <c r="F48" i="62"/>
  <c r="F49" i="62"/>
  <c r="F50" i="62"/>
  <c r="F51" i="62"/>
  <c r="F52" i="62"/>
  <c r="F53" i="62"/>
  <c r="F54" i="62"/>
  <c r="F55" i="62"/>
  <c r="F56" i="62"/>
  <c r="F46" i="62"/>
  <c r="E47" i="62"/>
  <c r="E48" i="62"/>
  <c r="E49" i="62"/>
  <c r="E50" i="62"/>
  <c r="E51" i="62"/>
  <c r="E52" i="62"/>
  <c r="E53" i="62"/>
  <c r="E54" i="62"/>
  <c r="E55" i="62"/>
  <c r="E56" i="62"/>
  <c r="E46" i="62"/>
  <c r="P4" i="62"/>
  <c r="J50" i="91"/>
  <c r="I51" i="91"/>
  <c r="J51" i="91"/>
  <c r="J52" i="91"/>
  <c r="I53" i="91"/>
  <c r="J53" i="91"/>
  <c r="I54" i="91"/>
  <c r="J54" i="91"/>
  <c r="I55" i="91"/>
  <c r="J55" i="91"/>
  <c r="I48" i="91"/>
  <c r="J48" i="91"/>
  <c r="I49" i="91"/>
  <c r="J49" i="91"/>
  <c r="I50" i="91"/>
  <c r="I52" i="91"/>
  <c r="I56" i="91"/>
  <c r="J56" i="91"/>
  <c r="I20" i="91"/>
  <c r="I21" i="91"/>
  <c r="F36" i="64" l="1"/>
  <c r="F36" i="88"/>
  <c r="F36" i="86"/>
  <c r="F36" i="84"/>
  <c r="F36" i="83"/>
  <c r="F36" i="82"/>
  <c r="F36" i="81"/>
  <c r="F36" i="80"/>
  <c r="F36" i="79"/>
  <c r="F36" i="78"/>
  <c r="F36" i="77"/>
  <c r="F36" i="76"/>
  <c r="F36" i="74"/>
  <c r="F36" i="73"/>
  <c r="F36" i="72"/>
  <c r="F36" i="66"/>
  <c r="F36" i="65"/>
  <c r="S8" i="7" l="1"/>
  <c r="O71" i="18" l="1"/>
  <c r="G54" i="86" s="1"/>
  <c r="X27" i="64" l="1"/>
  <c r="X28" i="64"/>
  <c r="N11" i="73" l="1"/>
  <c r="N11" i="74"/>
  <c r="N11" i="79"/>
  <c r="N11" i="72"/>
  <c r="K11" i="73"/>
  <c r="K11" i="74"/>
  <c r="K11" i="76"/>
  <c r="K11" i="77"/>
  <c r="K11" i="78"/>
  <c r="K11" i="79"/>
  <c r="K11" i="72"/>
  <c r="H11" i="73"/>
  <c r="K57" i="73" s="1"/>
  <c r="H11" i="79"/>
  <c r="H57" i="79" s="1"/>
  <c r="N57" i="79" l="1"/>
  <c r="K57" i="79"/>
  <c r="N57" i="73"/>
  <c r="H57" i="73"/>
  <c r="I12" i="57" l="1"/>
  <c r="O12" i="57"/>
  <c r="H11" i="34" l="1"/>
  <c r="H57" i="34" s="1"/>
  <c r="P11" i="62"/>
  <c r="K11" i="62"/>
  <c r="K57" i="62" s="1"/>
  <c r="H11" i="62"/>
  <c r="H57" i="62" s="1"/>
  <c r="N11" i="58"/>
  <c r="N57" i="58" s="1"/>
  <c r="N11" i="57"/>
  <c r="N57" i="57" s="1"/>
  <c r="K11" i="58"/>
  <c r="K57" i="58" s="1"/>
  <c r="K11" i="57"/>
  <c r="K57" i="57" s="1"/>
  <c r="H11" i="58"/>
  <c r="H57" i="58" s="1"/>
  <c r="H11" i="57"/>
  <c r="H57" i="57" s="1"/>
  <c r="N11" i="41"/>
  <c r="N57" i="41" s="1"/>
  <c r="N11" i="42"/>
  <c r="N57" i="42" s="1"/>
  <c r="N11" i="40"/>
  <c r="N57" i="40" s="1"/>
  <c r="K11" i="41"/>
  <c r="K57" i="41" s="1"/>
  <c r="K11" i="42"/>
  <c r="K57" i="42" s="1"/>
  <c r="K11" i="40"/>
  <c r="K57" i="40" s="1"/>
  <c r="H11" i="41"/>
  <c r="H57" i="41" s="1"/>
  <c r="H11" i="42"/>
  <c r="H57" i="42" s="1"/>
  <c r="H11" i="40"/>
  <c r="H57" i="40" s="1"/>
  <c r="H11" i="39"/>
  <c r="H57" i="39" s="1"/>
  <c r="N11" i="34"/>
  <c r="N57" i="34" s="1"/>
  <c r="N11" i="35"/>
  <c r="N57" i="35" s="1"/>
  <c r="N11" i="36"/>
  <c r="N57" i="36" s="1"/>
  <c r="N11" i="37"/>
  <c r="N57" i="37" s="1"/>
  <c r="N11" i="38"/>
  <c r="N57" i="38" s="1"/>
  <c r="N11" i="39"/>
  <c r="N57" i="39" s="1"/>
  <c r="N11" i="33"/>
  <c r="N57" i="33" s="1"/>
  <c r="K11" i="34"/>
  <c r="K57" i="34" s="1"/>
  <c r="K11" i="35"/>
  <c r="K57" i="35" s="1"/>
  <c r="K11" i="36"/>
  <c r="K57" i="36" s="1"/>
  <c r="K11" i="37"/>
  <c r="K57" i="37" s="1"/>
  <c r="K11" i="38"/>
  <c r="K57" i="38" s="1"/>
  <c r="K11" i="39"/>
  <c r="K57" i="39" s="1"/>
  <c r="K11" i="33"/>
  <c r="K57" i="33" s="1"/>
  <c r="H11" i="35"/>
  <c r="H57" i="35" s="1"/>
  <c r="H11" i="36"/>
  <c r="H57" i="36" s="1"/>
  <c r="H11" i="37"/>
  <c r="H57" i="37" s="1"/>
  <c r="H11" i="38"/>
  <c r="H57" i="38" s="1"/>
  <c r="H11" i="33"/>
  <c r="H57" i="33" s="1"/>
  <c r="N11" i="31"/>
  <c r="N57" i="31" s="1"/>
  <c r="K11" i="31"/>
  <c r="K57" i="31" s="1"/>
  <c r="H11" i="31"/>
  <c r="H57" i="31" s="1"/>
  <c r="F25" i="88" l="1"/>
  <c r="F25" i="43" l="1"/>
  <c r="F25" i="55" l="1"/>
  <c r="F25" i="48"/>
  <c r="F25" i="47"/>
  <c r="F25" i="46"/>
  <c r="F26" i="91"/>
  <c r="F25" i="90"/>
  <c r="F25" i="80"/>
  <c r="F25" i="84"/>
  <c r="F25" i="83"/>
  <c r="F25" i="81"/>
  <c r="F25" i="79"/>
  <c r="F25" i="78"/>
  <c r="F25" i="77"/>
  <c r="F25" i="76"/>
  <c r="F25" i="74"/>
  <c r="F25" i="73"/>
  <c r="F25" i="72"/>
  <c r="F25" i="66"/>
  <c r="F25" i="65"/>
  <c r="F70" i="82"/>
  <c r="F25" i="82" l="1"/>
  <c r="P6" i="82"/>
  <c r="FK5" i="29" s="1"/>
  <c r="J6" i="82"/>
  <c r="DQ5" i="29" s="1"/>
  <c r="N57" i="16" l="1"/>
  <c r="O59" i="16"/>
  <c r="N17" i="16"/>
  <c r="N18" i="16"/>
  <c r="N20" i="16"/>
  <c r="N21" i="16"/>
  <c r="N22" i="16"/>
  <c r="N23" i="16"/>
  <c r="N24" i="16"/>
  <c r="N25"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16" i="16"/>
  <c r="Q15" i="72" l="1"/>
  <c r="Q16" i="72"/>
  <c r="Q17" i="72"/>
  <c r="F33" i="82"/>
  <c r="F32" i="82"/>
  <c r="F31" i="82"/>
  <c r="E33" i="82"/>
  <c r="E32" i="82"/>
  <c r="E31" i="82"/>
  <c r="P65" i="82"/>
  <c r="FK17" i="29" s="1"/>
  <c r="M65" i="82"/>
  <c r="EN17" i="29" s="1"/>
  <c r="J65" i="82"/>
  <c r="DQ17" i="29" s="1"/>
  <c r="F64" i="82"/>
  <c r="F63" i="82"/>
  <c r="F62" i="82"/>
  <c r="F57" i="82"/>
  <c r="E57" i="82"/>
  <c r="G56" i="82"/>
  <c r="P56" i="82" s="1"/>
  <c r="F56" i="82"/>
  <c r="I56" i="82" s="1"/>
  <c r="E56" i="82"/>
  <c r="G55" i="82"/>
  <c r="P55" i="82" s="1"/>
  <c r="F55" i="82"/>
  <c r="O55" i="82" s="1"/>
  <c r="E55" i="82"/>
  <c r="G54" i="82"/>
  <c r="P54" i="82" s="1"/>
  <c r="F54" i="82"/>
  <c r="O54" i="82" s="1"/>
  <c r="E54" i="82"/>
  <c r="G53" i="82"/>
  <c r="M53" i="82" s="1"/>
  <c r="F53" i="82"/>
  <c r="L53" i="82" s="1"/>
  <c r="E53" i="82"/>
  <c r="G52" i="82"/>
  <c r="J52" i="82" s="1"/>
  <c r="F52" i="82"/>
  <c r="I52" i="82" s="1"/>
  <c r="E52" i="82"/>
  <c r="F51" i="82"/>
  <c r="O51" i="82" s="1"/>
  <c r="F50" i="82"/>
  <c r="O50" i="82" s="1"/>
  <c r="F49" i="82"/>
  <c r="O49" i="82" s="1"/>
  <c r="F48" i="82"/>
  <c r="L48" i="82" s="1"/>
  <c r="F47" i="82"/>
  <c r="O47" i="82" s="1"/>
  <c r="Q46" i="82"/>
  <c r="F46" i="82"/>
  <c r="O46" i="82" s="1"/>
  <c r="F42" i="82"/>
  <c r="F41" i="82"/>
  <c r="F40" i="82"/>
  <c r="F39" i="82"/>
  <c r="F38" i="82"/>
  <c r="F37" i="82"/>
  <c r="N26" i="82"/>
  <c r="K26" i="82"/>
  <c r="O21" i="82"/>
  <c r="L21" i="82"/>
  <c r="I21" i="82"/>
  <c r="O20" i="82"/>
  <c r="L20" i="82"/>
  <c r="I20" i="82"/>
  <c r="Q17" i="82"/>
  <c r="O17" i="82"/>
  <c r="L17" i="82"/>
  <c r="I17" i="82"/>
  <c r="Q16" i="82"/>
  <c r="O16" i="82"/>
  <c r="L16" i="82"/>
  <c r="I16" i="82"/>
  <c r="Q15" i="82"/>
  <c r="O15" i="82"/>
  <c r="L15" i="82"/>
  <c r="I15" i="82"/>
  <c r="Z13" i="82"/>
  <c r="Y13" i="82"/>
  <c r="X13" i="82"/>
  <c r="O12" i="82"/>
  <c r="M12" i="82"/>
  <c r="I12" i="82"/>
  <c r="N11" i="82"/>
  <c r="K11" i="82"/>
  <c r="K57" i="82" s="1"/>
  <c r="H11" i="82"/>
  <c r="H57" i="82" s="1"/>
  <c r="O10" i="82"/>
  <c r="L10" i="82"/>
  <c r="I10" i="82"/>
  <c r="N9" i="82"/>
  <c r="FK6" i="29" s="1"/>
  <c r="K9" i="82"/>
  <c r="EN6" i="29" s="1"/>
  <c r="H9" i="82"/>
  <c r="DQ6" i="29" s="1"/>
  <c r="P4" i="82"/>
  <c r="X17" i="82" l="1"/>
  <c r="H33" i="82" s="1"/>
  <c r="I57" i="82"/>
  <c r="Z15" i="82"/>
  <c r="Y16" i="82"/>
  <c r="K32" i="82" s="1"/>
  <c r="M52" i="82"/>
  <c r="O52" i="82"/>
  <c r="P52" i="82"/>
  <c r="L52" i="82"/>
  <c r="P53" i="82"/>
  <c r="I46" i="82"/>
  <c r="L46" i="82"/>
  <c r="O56" i="82"/>
  <c r="J54" i="82"/>
  <c r="O48" i="82"/>
  <c r="O53" i="82"/>
  <c r="J56" i="82"/>
  <c r="L56" i="82"/>
  <c r="I47" i="82"/>
  <c r="M56" i="82"/>
  <c r="L47" i="82"/>
  <c r="Z17" i="82"/>
  <c r="N33" i="82" s="1"/>
  <c r="Y17" i="82"/>
  <c r="K33" i="82" s="1"/>
  <c r="Y15" i="82"/>
  <c r="K31" i="82" s="1"/>
  <c r="X15" i="82"/>
  <c r="H31" i="82" s="1"/>
  <c r="Z16" i="82"/>
  <c r="N32" i="82" s="1"/>
  <c r="X16" i="82"/>
  <c r="H32" i="82" s="1"/>
  <c r="N31" i="82"/>
  <c r="L57" i="82"/>
  <c r="I51" i="82"/>
  <c r="I55" i="82"/>
  <c r="N57" i="82"/>
  <c r="I50" i="82"/>
  <c r="J55" i="82"/>
  <c r="L51" i="82"/>
  <c r="L55" i="82"/>
  <c r="I49" i="82"/>
  <c r="I54" i="82"/>
  <c r="M55" i="82"/>
  <c r="L50" i="82"/>
  <c r="L49" i="82"/>
  <c r="L54" i="82"/>
  <c r="I48" i="82"/>
  <c r="I53" i="82"/>
  <c r="M54" i="82"/>
  <c r="J53" i="82"/>
  <c r="L58" i="82" l="1"/>
  <c r="L59" i="82" s="1"/>
  <c r="EN27" i="29" s="1"/>
  <c r="I58" i="82"/>
  <c r="I59" i="82" s="1"/>
  <c r="DQ27" i="29" s="1"/>
  <c r="O57" i="82"/>
  <c r="O58" i="82" s="1"/>
  <c r="O59" i="82" s="1"/>
  <c r="FK27" i="29" s="1"/>
  <c r="N54" i="9" l="1"/>
  <c r="O55" i="9"/>
  <c r="N17" i="9"/>
  <c r="N22" i="9"/>
  <c r="N23" i="9"/>
  <c r="N24" i="9"/>
  <c r="N26" i="9"/>
  <c r="N27" i="9"/>
  <c r="N28" i="9"/>
  <c r="N29" i="9"/>
  <c r="N31" i="9"/>
  <c r="N32" i="9"/>
  <c r="N33" i="9"/>
  <c r="N34" i="9"/>
  <c r="N35" i="9"/>
  <c r="N36" i="9"/>
  <c r="N37" i="9"/>
  <c r="N38" i="9"/>
  <c r="N39" i="9"/>
  <c r="N40" i="9"/>
  <c r="N41" i="9"/>
  <c r="N42" i="9"/>
  <c r="N43" i="9"/>
  <c r="N44" i="9"/>
  <c r="N45" i="9"/>
  <c r="N46" i="9"/>
  <c r="N47" i="9"/>
  <c r="N48" i="9"/>
  <c r="A24" i="16" l="1"/>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4" i="16"/>
  <c r="A55" i="16"/>
  <c r="A56" i="16"/>
  <c r="A57" i="16"/>
  <c r="I37" i="28" l="1"/>
  <c r="H37" i="28"/>
  <c r="I36" i="28"/>
  <c r="H36" i="28"/>
  <c r="I35" i="28"/>
  <c r="H35" i="28"/>
  <c r="I34" i="28"/>
  <c r="H34" i="28"/>
  <c r="K33" i="28"/>
  <c r="J33" i="28"/>
  <c r="I33" i="28"/>
  <c r="H33" i="28"/>
  <c r="H32" i="28"/>
  <c r="F30" i="82" s="1"/>
  <c r="H31" i="28"/>
  <c r="K30" i="28"/>
  <c r="J30" i="28"/>
  <c r="I30" i="28"/>
  <c r="H30" i="28"/>
  <c r="K29" i="28"/>
  <c r="J29" i="28"/>
  <c r="I29" i="28"/>
  <c r="H29" i="28"/>
  <c r="K28" i="28"/>
  <c r="J28" i="28"/>
  <c r="I28" i="28"/>
  <c r="H28" i="28"/>
  <c r="K27" i="28"/>
  <c r="J27" i="28"/>
  <c r="I27" i="28"/>
  <c r="H27" i="28"/>
  <c r="K26" i="28"/>
  <c r="J26" i="28"/>
  <c r="I26" i="28"/>
  <c r="H26" i="28"/>
  <c r="K25" i="28"/>
  <c r="J25" i="28"/>
  <c r="I25" i="28"/>
  <c r="H25" i="28"/>
  <c r="K24" i="28"/>
  <c r="J24" i="28"/>
  <c r="I24" i="28"/>
  <c r="H24" i="28"/>
  <c r="K23" i="28"/>
  <c r="J23" i="28"/>
  <c r="I23" i="28"/>
  <c r="H23" i="28"/>
  <c r="K22" i="28"/>
  <c r="J22" i="28"/>
  <c r="I22" i="28"/>
  <c r="H22" i="28"/>
  <c r="K21" i="28"/>
  <c r="F33" i="77" s="1"/>
  <c r="J21" i="28"/>
  <c r="F32" i="77" s="1"/>
  <c r="I21" i="28"/>
  <c r="F31" i="77" s="1"/>
  <c r="H21" i="28"/>
  <c r="F30" i="77" s="1"/>
  <c r="K20" i="28"/>
  <c r="F33" i="79" s="1"/>
  <c r="J20" i="28"/>
  <c r="F32" i="79" s="1"/>
  <c r="I20" i="28"/>
  <c r="F31" i="79" s="1"/>
  <c r="H20" i="28"/>
  <c r="F30" i="79" s="1"/>
  <c r="K19" i="28"/>
  <c r="J19" i="28"/>
  <c r="I19" i="28"/>
  <c r="H19" i="28"/>
  <c r="K18" i="28"/>
  <c r="J18" i="28"/>
  <c r="I18" i="28"/>
  <c r="H18" i="28"/>
  <c r="K17" i="28"/>
  <c r="F33" i="74" s="1"/>
  <c r="J17" i="28"/>
  <c r="F32" i="74" s="1"/>
  <c r="I17" i="28"/>
  <c r="F31" i="74" s="1"/>
  <c r="H17" i="28"/>
  <c r="F30" i="74" s="1"/>
  <c r="K16" i="28"/>
  <c r="F33" i="78" s="1"/>
  <c r="J16" i="28"/>
  <c r="F32" i="78" s="1"/>
  <c r="I16" i="28"/>
  <c r="F31" i="78" s="1"/>
  <c r="H16" i="28"/>
  <c r="F30" i="78" s="1"/>
  <c r="K15" i="28"/>
  <c r="J15" i="28"/>
  <c r="I15" i="28"/>
  <c r="H15" i="28"/>
  <c r="K14" i="28"/>
  <c r="F33" i="76" s="1"/>
  <c r="J14" i="28"/>
  <c r="F32" i="76" s="1"/>
  <c r="I14" i="28"/>
  <c r="F31" i="76" s="1"/>
  <c r="H14" i="28"/>
  <c r="F30" i="76" s="1"/>
  <c r="K13" i="28"/>
  <c r="J13" i="28"/>
  <c r="I13" i="28"/>
  <c r="H13" i="28"/>
  <c r="K12" i="28"/>
  <c r="J12" i="28"/>
  <c r="I12" i="28"/>
  <c r="H12" i="28"/>
  <c r="K11" i="28"/>
  <c r="F33" i="72" s="1"/>
  <c r="J11" i="28"/>
  <c r="F32" i="72" s="1"/>
  <c r="I11" i="28"/>
  <c r="F31" i="72" s="1"/>
  <c r="H11" i="28"/>
  <c r="F30" i="72" s="1"/>
  <c r="K10" i="28"/>
  <c r="F33" i="73" s="1"/>
  <c r="J10" i="28"/>
  <c r="F32" i="73" s="1"/>
  <c r="I10" i="28"/>
  <c r="F31" i="73" s="1"/>
  <c r="H10" i="28"/>
  <c r="D32" i="28"/>
  <c r="E30" i="82" s="1"/>
  <c r="D31" i="28"/>
  <c r="D30" i="28"/>
  <c r="D28" i="28"/>
  <c r="F30" i="31" l="1"/>
  <c r="F30" i="73"/>
  <c r="Y14" i="82"/>
  <c r="K30" i="82" s="1"/>
  <c r="X14" i="82"/>
  <c r="H30" i="82" s="1"/>
  <c r="Z14" i="82"/>
  <c r="N30" i="82" s="1"/>
  <c r="F46" i="18"/>
  <c r="B12" i="17" l="1"/>
  <c r="B13" i="17" s="1"/>
  <c r="B14" i="17" s="1"/>
  <c r="B15" i="17" s="1"/>
  <c r="B16" i="17" s="1"/>
  <c r="B17" i="17" s="1"/>
  <c r="B19" i="17" s="1"/>
  <c r="B20" i="17" s="1"/>
  <c r="B21" i="17" s="1"/>
  <c r="B22" i="17" s="1"/>
  <c r="B23" i="17" s="1"/>
  <c r="B24" i="17" s="1"/>
  <c r="B25" i="17" s="1"/>
  <c r="B26" i="17" s="1"/>
  <c r="B27" i="17" s="1"/>
  <c r="B28" i="17" s="1"/>
  <c r="B29" i="17" s="1"/>
  <c r="B30" i="17" s="1"/>
  <c r="B31" i="17" s="1"/>
  <c r="AN5" i="16"/>
  <c r="C10" i="82" l="1"/>
  <c r="C9" i="82"/>
  <c r="N62" i="9"/>
  <c r="R4" i="29"/>
  <c r="AX4" i="29"/>
  <c r="W4" i="29"/>
  <c r="BC4" i="29"/>
  <c r="F46" i="31" l="1"/>
  <c r="I46" i="31" s="1"/>
  <c r="AG103" i="22" l="1"/>
  <c r="AG102" i="22"/>
  <c r="AG101" i="22"/>
  <c r="AG100" i="22"/>
  <c r="AG99" i="22"/>
  <c r="AG98" i="22"/>
  <c r="AG97" i="22"/>
  <c r="AG96" i="22"/>
  <c r="AG95" i="22"/>
  <c r="AG94" i="22"/>
  <c r="AG93" i="22"/>
  <c r="AG92" i="22"/>
  <c r="AG91" i="22"/>
  <c r="AG90" i="22"/>
  <c r="AG89" i="22"/>
  <c r="AG88" i="22"/>
  <c r="AG87" i="22"/>
  <c r="AG86" i="22"/>
  <c r="AG85" i="22"/>
  <c r="AG84" i="22"/>
  <c r="AG83" i="22"/>
  <c r="AG82" i="22"/>
  <c r="AG81" i="22"/>
  <c r="AG80" i="22"/>
  <c r="AG79" i="22"/>
  <c r="AG78" i="22"/>
  <c r="AG77" i="22"/>
  <c r="AG76" i="22"/>
  <c r="AG75" i="22"/>
  <c r="AG74" i="22"/>
  <c r="AG73" i="22"/>
  <c r="AG72" i="22"/>
  <c r="AG71" i="22"/>
  <c r="AG70" i="22"/>
  <c r="AG69" i="22"/>
  <c r="AG68" i="22"/>
  <c r="AG67" i="22"/>
  <c r="AG66" i="22"/>
  <c r="AG65" i="22"/>
  <c r="AG64" i="22"/>
  <c r="AG63" i="22"/>
  <c r="AG62" i="22"/>
  <c r="AG61" i="22"/>
  <c r="AG60" i="22"/>
  <c r="AG59" i="22"/>
  <c r="AG58" i="22"/>
  <c r="AG57" i="22"/>
  <c r="AG56" i="22"/>
  <c r="AG55" i="22"/>
  <c r="AG54" i="22"/>
  <c r="AG53" i="22"/>
  <c r="AG52" i="22"/>
  <c r="AG51" i="22"/>
  <c r="AG50" i="22"/>
  <c r="AG49" i="22"/>
  <c r="AG48" i="22"/>
  <c r="AG47" i="22"/>
  <c r="AG46" i="22"/>
  <c r="AG45" i="22"/>
  <c r="AG44" i="22"/>
  <c r="AG43" i="22"/>
  <c r="AG42" i="22"/>
  <c r="AG41" i="22"/>
  <c r="AG40" i="22"/>
  <c r="AG39" i="22"/>
  <c r="AG38" i="22"/>
  <c r="AG37" i="22"/>
  <c r="AG36" i="22"/>
  <c r="AG35" i="22"/>
  <c r="AG34" i="22"/>
  <c r="AG33" i="22"/>
  <c r="AG32" i="22"/>
  <c r="AG31" i="22"/>
  <c r="AG30" i="22"/>
  <c r="AG29" i="22"/>
  <c r="AG28" i="22"/>
  <c r="AG27" i="22"/>
  <c r="AG26" i="22"/>
  <c r="AG25" i="22"/>
  <c r="AG24" i="22"/>
  <c r="AG23" i="22"/>
  <c r="AG22" i="22"/>
  <c r="AG21" i="22"/>
  <c r="AG20" i="22"/>
  <c r="AG19" i="22"/>
  <c r="AG18" i="22"/>
  <c r="AG17" i="22"/>
  <c r="AG16" i="22"/>
  <c r="AG15" i="22"/>
  <c r="AG14" i="22"/>
  <c r="AG13" i="22"/>
  <c r="AG12" i="22"/>
  <c r="AG11" i="22"/>
  <c r="AG10" i="22"/>
  <c r="AG9" i="22"/>
  <c r="AG8" i="22"/>
  <c r="AG7" i="22"/>
  <c r="AG6" i="22"/>
  <c r="AG5" i="22"/>
  <c r="FM10" i="29" l="1"/>
  <c r="FL10" i="29"/>
  <c r="FJ10" i="29"/>
  <c r="FI10" i="29"/>
  <c r="FH10" i="29"/>
  <c r="FG10" i="29"/>
  <c r="FF10" i="29"/>
  <c r="FE10" i="29"/>
  <c r="FD10" i="29"/>
  <c r="FC10" i="29"/>
  <c r="FB10" i="29"/>
  <c r="FA10" i="29"/>
  <c r="EZ10" i="29"/>
  <c r="EY10" i="29"/>
  <c r="EX10" i="29"/>
  <c r="EW10" i="29"/>
  <c r="EV10" i="29"/>
  <c r="EU10" i="29"/>
  <c r="ET10" i="29"/>
  <c r="ES10" i="29"/>
  <c r="ER10" i="29"/>
  <c r="AH3" i="29" l="1"/>
  <c r="AG4" i="29"/>
  <c r="BM4" i="29"/>
  <c r="K73" i="52" l="1"/>
  <c r="D40" i="18" l="1"/>
  <c r="N40" i="18"/>
  <c r="D32" i="18" l="1"/>
  <c r="Q17" i="31" l="1"/>
  <c r="L17" i="31" l="1"/>
  <c r="I17" i="31"/>
  <c r="O17" i="31"/>
  <c r="S41" i="28"/>
  <c r="E30" i="31" l="1"/>
  <c r="F36" i="46" l="1"/>
  <c r="B215" i="22"/>
  <c r="AF208" i="22"/>
  <c r="AE208" i="22"/>
  <c r="AD208" i="22"/>
  <c r="AC208" i="22"/>
  <c r="AB208" i="22"/>
  <c r="AA208" i="22"/>
  <c r="Z208" i="22"/>
  <c r="Y208" i="22"/>
  <c r="X208" i="22"/>
  <c r="W208" i="22"/>
  <c r="V208" i="22"/>
  <c r="U208" i="22"/>
  <c r="T208" i="22"/>
  <c r="S208" i="22"/>
  <c r="R208" i="22"/>
  <c r="Q208" i="22"/>
  <c r="P208" i="22"/>
  <c r="O208" i="22"/>
  <c r="N208" i="22"/>
  <c r="M208" i="22"/>
  <c r="L208" i="22"/>
  <c r="K208" i="22"/>
  <c r="J208" i="22"/>
  <c r="I208" i="22"/>
  <c r="H208" i="22"/>
  <c r="G208" i="22"/>
  <c r="F208" i="22"/>
  <c r="C208" i="22"/>
  <c r="AG208" i="22" s="1"/>
  <c r="AF207" i="22"/>
  <c r="AE207" i="22"/>
  <c r="AD207" i="22"/>
  <c r="AC207" i="22"/>
  <c r="AB207" i="22"/>
  <c r="AA207" i="22"/>
  <c r="Z207" i="22"/>
  <c r="Y207" i="22"/>
  <c r="X207" i="22"/>
  <c r="W207" i="22"/>
  <c r="V207" i="22"/>
  <c r="U207" i="22"/>
  <c r="T207" i="22"/>
  <c r="S207" i="22"/>
  <c r="R207" i="22"/>
  <c r="Q207" i="22"/>
  <c r="P207" i="22"/>
  <c r="O207" i="22"/>
  <c r="N207" i="22"/>
  <c r="M207" i="22"/>
  <c r="L207" i="22"/>
  <c r="K207" i="22"/>
  <c r="J207" i="22"/>
  <c r="I207" i="22"/>
  <c r="H207" i="22"/>
  <c r="G207" i="22"/>
  <c r="F207" i="22"/>
  <c r="C207" i="22"/>
  <c r="AG207" i="22" s="1"/>
  <c r="AF206" i="22"/>
  <c r="AE206" i="22"/>
  <c r="AD206" i="22"/>
  <c r="AC206" i="22"/>
  <c r="AB206" i="22"/>
  <c r="AA206" i="22"/>
  <c r="Z206" i="22"/>
  <c r="Y206" i="22"/>
  <c r="X206" i="22"/>
  <c r="W206" i="22"/>
  <c r="V206" i="22"/>
  <c r="U206" i="22"/>
  <c r="T206" i="22"/>
  <c r="S206" i="22"/>
  <c r="R206" i="22"/>
  <c r="Q206" i="22"/>
  <c r="P206" i="22"/>
  <c r="O206" i="22"/>
  <c r="N206" i="22"/>
  <c r="M206" i="22"/>
  <c r="L206" i="22"/>
  <c r="K206" i="22"/>
  <c r="J206" i="22"/>
  <c r="I206" i="22"/>
  <c r="H206" i="22"/>
  <c r="G206" i="22"/>
  <c r="F206" i="22"/>
  <c r="C206" i="22"/>
  <c r="AG206" i="22" s="1"/>
  <c r="AF205" i="22"/>
  <c r="AE205" i="22"/>
  <c r="AD205" i="22"/>
  <c r="AC205" i="22"/>
  <c r="AB205" i="22"/>
  <c r="AA205" i="22"/>
  <c r="Z205" i="22"/>
  <c r="Y205" i="22"/>
  <c r="X205" i="22"/>
  <c r="W205" i="22"/>
  <c r="V205" i="22"/>
  <c r="U205" i="22"/>
  <c r="T205" i="22"/>
  <c r="S205" i="22"/>
  <c r="R205" i="22"/>
  <c r="Q205" i="22"/>
  <c r="P205" i="22"/>
  <c r="O205" i="22"/>
  <c r="N205" i="22"/>
  <c r="M205" i="22"/>
  <c r="L205" i="22"/>
  <c r="K205" i="22"/>
  <c r="J205" i="22"/>
  <c r="I205" i="22"/>
  <c r="H205" i="22"/>
  <c r="G205" i="22"/>
  <c r="F205" i="22"/>
  <c r="C205" i="22"/>
  <c r="AG205" i="22" s="1"/>
  <c r="AF204" i="22"/>
  <c r="AE204" i="22"/>
  <c r="AD204" i="22"/>
  <c r="AC204" i="22"/>
  <c r="AB204" i="22"/>
  <c r="AA204" i="22"/>
  <c r="Z204" i="22"/>
  <c r="Y204" i="22"/>
  <c r="X204" i="22"/>
  <c r="W204" i="22"/>
  <c r="V204" i="22"/>
  <c r="U204" i="22"/>
  <c r="T204" i="22"/>
  <c r="S204" i="22"/>
  <c r="R204" i="22"/>
  <c r="Q204" i="22"/>
  <c r="P204" i="22"/>
  <c r="O204" i="22"/>
  <c r="N204" i="22"/>
  <c r="M204" i="22"/>
  <c r="L204" i="22"/>
  <c r="K204" i="22"/>
  <c r="J204" i="22"/>
  <c r="I204" i="22"/>
  <c r="H204" i="22"/>
  <c r="G204" i="22"/>
  <c r="F204" i="22"/>
  <c r="C204" i="22"/>
  <c r="AG204" i="22" s="1"/>
  <c r="AF203" i="22"/>
  <c r="AE203" i="22"/>
  <c r="AD203" i="22"/>
  <c r="AC203" i="22"/>
  <c r="AB203" i="22"/>
  <c r="AA203" i="22"/>
  <c r="Z203" i="22"/>
  <c r="Y203" i="22"/>
  <c r="X203" i="22"/>
  <c r="W203" i="22"/>
  <c r="V203" i="22"/>
  <c r="U203" i="22"/>
  <c r="T203" i="22"/>
  <c r="S203" i="22"/>
  <c r="R203" i="22"/>
  <c r="Q203" i="22"/>
  <c r="P203" i="22"/>
  <c r="O203" i="22"/>
  <c r="N203" i="22"/>
  <c r="M203" i="22"/>
  <c r="L203" i="22"/>
  <c r="K203" i="22"/>
  <c r="J203" i="22"/>
  <c r="I203" i="22"/>
  <c r="H203" i="22"/>
  <c r="G203" i="22"/>
  <c r="F203" i="22"/>
  <c r="C203" i="22"/>
  <c r="AG203" i="22" s="1"/>
  <c r="AF202" i="22"/>
  <c r="AE202" i="22"/>
  <c r="AD202" i="22"/>
  <c r="AC202" i="22"/>
  <c r="AB202" i="22"/>
  <c r="AA202" i="22"/>
  <c r="Z202" i="22"/>
  <c r="Y202" i="22"/>
  <c r="X202" i="22"/>
  <c r="W202" i="22"/>
  <c r="V202" i="22"/>
  <c r="U202" i="22"/>
  <c r="T202" i="22"/>
  <c r="S202" i="22"/>
  <c r="R202" i="22"/>
  <c r="Q202" i="22"/>
  <c r="P202" i="22"/>
  <c r="O202" i="22"/>
  <c r="N202" i="22"/>
  <c r="M202" i="22"/>
  <c r="L202" i="22"/>
  <c r="K202" i="22"/>
  <c r="J202" i="22"/>
  <c r="I202" i="22"/>
  <c r="H202" i="22"/>
  <c r="G202" i="22"/>
  <c r="F202" i="22"/>
  <c r="C202" i="22"/>
  <c r="AG202" i="22" s="1"/>
  <c r="AF201" i="22"/>
  <c r="AE201" i="22"/>
  <c r="AD201" i="22"/>
  <c r="AC201" i="22"/>
  <c r="AB201" i="22"/>
  <c r="AA201" i="22"/>
  <c r="Z201" i="22"/>
  <c r="Y201" i="22"/>
  <c r="X201" i="22"/>
  <c r="W201" i="22"/>
  <c r="V201" i="22"/>
  <c r="U201" i="22"/>
  <c r="T201" i="22"/>
  <c r="S201" i="22"/>
  <c r="R201" i="22"/>
  <c r="Q201" i="22"/>
  <c r="P201" i="22"/>
  <c r="O201" i="22"/>
  <c r="N201" i="22"/>
  <c r="M201" i="22"/>
  <c r="L201" i="22"/>
  <c r="K201" i="22"/>
  <c r="J201" i="22"/>
  <c r="I201" i="22"/>
  <c r="H201" i="22"/>
  <c r="G201" i="22"/>
  <c r="F201" i="22"/>
  <c r="C201" i="22"/>
  <c r="AG201" i="22" s="1"/>
  <c r="AF200" i="22"/>
  <c r="AE200" i="22"/>
  <c r="AD200" i="22"/>
  <c r="AC200" i="22"/>
  <c r="AB200" i="22"/>
  <c r="AA200" i="22"/>
  <c r="Z200" i="22"/>
  <c r="Y200" i="22"/>
  <c r="X200" i="22"/>
  <c r="W200" i="22"/>
  <c r="V200" i="22"/>
  <c r="U200" i="22"/>
  <c r="T200" i="22"/>
  <c r="S200" i="22"/>
  <c r="R200" i="22"/>
  <c r="Q200" i="22"/>
  <c r="P200" i="22"/>
  <c r="O200" i="22"/>
  <c r="N200" i="22"/>
  <c r="M200" i="22"/>
  <c r="L200" i="22"/>
  <c r="K200" i="22"/>
  <c r="J200" i="22"/>
  <c r="I200" i="22"/>
  <c r="H200" i="22"/>
  <c r="G200" i="22"/>
  <c r="F200" i="22"/>
  <c r="C200" i="22"/>
  <c r="AG200" i="22" s="1"/>
  <c r="AF199" i="22"/>
  <c r="AE199" i="22"/>
  <c r="AD199" i="22"/>
  <c r="AC199" i="22"/>
  <c r="AB199" i="22"/>
  <c r="AA199" i="22"/>
  <c r="Z199" i="22"/>
  <c r="Y199" i="22"/>
  <c r="X199" i="22"/>
  <c r="W199" i="22"/>
  <c r="V199" i="22"/>
  <c r="U199" i="22"/>
  <c r="T199" i="22"/>
  <c r="S199" i="22"/>
  <c r="R199" i="22"/>
  <c r="Q199" i="22"/>
  <c r="P199" i="22"/>
  <c r="O199" i="22"/>
  <c r="N199" i="22"/>
  <c r="M199" i="22"/>
  <c r="L199" i="22"/>
  <c r="K199" i="22"/>
  <c r="J199" i="22"/>
  <c r="I199" i="22"/>
  <c r="H199" i="22"/>
  <c r="G199" i="22"/>
  <c r="F199" i="22"/>
  <c r="C199" i="22"/>
  <c r="AG199" i="22" s="1"/>
  <c r="AF198" i="22"/>
  <c r="AE198" i="22"/>
  <c r="AD198" i="22"/>
  <c r="AC198" i="22"/>
  <c r="AB198" i="22"/>
  <c r="AA198" i="22"/>
  <c r="Z198" i="22"/>
  <c r="Y198" i="22"/>
  <c r="X198" i="22"/>
  <c r="W198" i="22"/>
  <c r="V198" i="22"/>
  <c r="U198" i="22"/>
  <c r="T198" i="22"/>
  <c r="S198" i="22"/>
  <c r="R198" i="22"/>
  <c r="Q198" i="22"/>
  <c r="P198" i="22"/>
  <c r="O198" i="22"/>
  <c r="N198" i="22"/>
  <c r="M198" i="22"/>
  <c r="L198" i="22"/>
  <c r="K198" i="22"/>
  <c r="J198" i="22"/>
  <c r="I198" i="22"/>
  <c r="H198" i="22"/>
  <c r="G198" i="22"/>
  <c r="F198" i="22"/>
  <c r="C198" i="22"/>
  <c r="AG198" i="22" s="1"/>
  <c r="AF197" i="22"/>
  <c r="AE197" i="22"/>
  <c r="AD197" i="22"/>
  <c r="AC197" i="22"/>
  <c r="AB197" i="22"/>
  <c r="AA197" i="22"/>
  <c r="Z197" i="22"/>
  <c r="Y197" i="22"/>
  <c r="X197" i="22"/>
  <c r="W197" i="22"/>
  <c r="V197" i="22"/>
  <c r="U197" i="22"/>
  <c r="T197" i="22"/>
  <c r="S197" i="22"/>
  <c r="R197" i="22"/>
  <c r="Q197" i="22"/>
  <c r="P197" i="22"/>
  <c r="O197" i="22"/>
  <c r="N197" i="22"/>
  <c r="M197" i="22"/>
  <c r="L197" i="22"/>
  <c r="K197" i="22"/>
  <c r="J197" i="22"/>
  <c r="I197" i="22"/>
  <c r="H197" i="22"/>
  <c r="G197" i="22"/>
  <c r="F197" i="22"/>
  <c r="C197" i="22"/>
  <c r="AG197" i="22" s="1"/>
  <c r="AF196" i="22"/>
  <c r="AE196" i="22"/>
  <c r="AD196" i="22"/>
  <c r="AC196" i="22"/>
  <c r="AB196" i="22"/>
  <c r="AA196" i="22"/>
  <c r="Z196" i="22"/>
  <c r="Y196" i="22"/>
  <c r="X196" i="22"/>
  <c r="W196" i="22"/>
  <c r="V196" i="22"/>
  <c r="U196" i="22"/>
  <c r="T196" i="22"/>
  <c r="S196" i="22"/>
  <c r="R196" i="22"/>
  <c r="Q196" i="22"/>
  <c r="P196" i="22"/>
  <c r="O196" i="22"/>
  <c r="N196" i="22"/>
  <c r="M196" i="22"/>
  <c r="L196" i="22"/>
  <c r="K196" i="22"/>
  <c r="J196" i="22"/>
  <c r="I196" i="22"/>
  <c r="H196" i="22"/>
  <c r="G196" i="22"/>
  <c r="F196" i="22"/>
  <c r="C196" i="22"/>
  <c r="AG196" i="22" s="1"/>
  <c r="AF195" i="22"/>
  <c r="AE195" i="22"/>
  <c r="AD195" i="22"/>
  <c r="AC195" i="22"/>
  <c r="AB195" i="22"/>
  <c r="AA195" i="22"/>
  <c r="Z195" i="22"/>
  <c r="Y195" i="22"/>
  <c r="X195" i="22"/>
  <c r="W195" i="22"/>
  <c r="V195" i="22"/>
  <c r="U195" i="22"/>
  <c r="T195" i="22"/>
  <c r="S195" i="22"/>
  <c r="R195" i="22"/>
  <c r="Q195" i="22"/>
  <c r="P195" i="22"/>
  <c r="O195" i="22"/>
  <c r="N195" i="22"/>
  <c r="M195" i="22"/>
  <c r="L195" i="22"/>
  <c r="K195" i="22"/>
  <c r="J195" i="22"/>
  <c r="I195" i="22"/>
  <c r="H195" i="22"/>
  <c r="G195" i="22"/>
  <c r="F195" i="22"/>
  <c r="C195" i="22"/>
  <c r="AG195" i="22" s="1"/>
  <c r="AF194" i="22"/>
  <c r="AE194" i="22"/>
  <c r="AD194" i="22"/>
  <c r="AC194" i="22"/>
  <c r="AB194" i="22"/>
  <c r="AA194" i="22"/>
  <c r="Z194" i="22"/>
  <c r="Y194" i="22"/>
  <c r="X194" i="22"/>
  <c r="W194" i="22"/>
  <c r="V194" i="22"/>
  <c r="U194" i="22"/>
  <c r="T194" i="22"/>
  <c r="S194" i="22"/>
  <c r="R194" i="22"/>
  <c r="Q194" i="22"/>
  <c r="P194" i="22"/>
  <c r="O194" i="22"/>
  <c r="N194" i="22"/>
  <c r="M194" i="22"/>
  <c r="L194" i="22"/>
  <c r="K194" i="22"/>
  <c r="J194" i="22"/>
  <c r="I194" i="22"/>
  <c r="H194" i="22"/>
  <c r="G194" i="22"/>
  <c r="F194" i="22"/>
  <c r="C194" i="22"/>
  <c r="AG194" i="22" s="1"/>
  <c r="AF193" i="22"/>
  <c r="AE193" i="22"/>
  <c r="AD193" i="22"/>
  <c r="AC193" i="22"/>
  <c r="AB193" i="22"/>
  <c r="AA193" i="22"/>
  <c r="Z193" i="22"/>
  <c r="Y193" i="22"/>
  <c r="X193" i="22"/>
  <c r="W193" i="22"/>
  <c r="V193" i="22"/>
  <c r="U193" i="22"/>
  <c r="T193" i="22"/>
  <c r="S193" i="22"/>
  <c r="R193" i="22"/>
  <c r="Q193" i="22"/>
  <c r="P193" i="22"/>
  <c r="O193" i="22"/>
  <c r="N193" i="22"/>
  <c r="M193" i="22"/>
  <c r="L193" i="22"/>
  <c r="K193" i="22"/>
  <c r="J193" i="22"/>
  <c r="I193" i="22"/>
  <c r="H193" i="22"/>
  <c r="G193" i="22"/>
  <c r="F193" i="22"/>
  <c r="C193" i="22"/>
  <c r="AG193" i="22" s="1"/>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C192" i="22"/>
  <c r="AG192" i="22" s="1"/>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C191" i="22"/>
  <c r="AG191" i="22" s="1"/>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C190" i="22"/>
  <c r="AG190" i="22" s="1"/>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C189" i="22"/>
  <c r="AG189" i="22" s="1"/>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AG188"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AG187"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AG184"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AG183"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AG182"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AG181"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AG180"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AG179"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AG178"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AG177"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AG176"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AG175"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AG174"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AG173"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AG172"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AG171"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AG170"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AG168"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AG167"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AG166"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AG164"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AG163"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AG162"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AG161"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AG160"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AG159"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AG158"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AG157"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AG156"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AG155"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AG154"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AG153"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AG152"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AG151"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AG150"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AG148"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AG147"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AG146"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AG145"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AG144"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AG143"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AG142"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AG141"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AG140"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AG139"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AG138"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AG136"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AG135"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AG134"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AG133"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AG132"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AG131"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AG130"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AG129"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AG128"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AG127"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AG125"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AG124"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AG123"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AG121"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AG120"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AG119"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AG118"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AG117"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AG116"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AG115"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AG114"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AG113"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AG112"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AG111" i="22"/>
  <c r="B111" i="22"/>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AG110"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BC64" i="22"/>
  <c r="BB64" i="22"/>
  <c r="AZ64" i="22"/>
  <c r="AW64" i="22"/>
  <c r="AV64" i="22"/>
  <c r="AQ64" i="22"/>
  <c r="BC63" i="22"/>
  <c r="BB63" i="22"/>
  <c r="AZ63" i="22"/>
  <c r="AW63" i="22"/>
  <c r="AV63" i="22"/>
  <c r="AQ63" i="22"/>
  <c r="BC62" i="22"/>
  <c r="BB62" i="22"/>
  <c r="AZ62" i="22"/>
  <c r="AW62" i="22"/>
  <c r="AV62" i="22"/>
  <c r="AQ62" i="22"/>
  <c r="BC61" i="22"/>
  <c r="BB61" i="22"/>
  <c r="AZ61" i="22"/>
  <c r="AW61" i="22"/>
  <c r="AV61" i="22"/>
  <c r="AQ61" i="22"/>
  <c r="BC60" i="22"/>
  <c r="BB60" i="22"/>
  <c r="AZ60" i="22"/>
  <c r="AW60" i="22"/>
  <c r="AV60" i="22"/>
  <c r="AQ60" i="22"/>
  <c r="BC59" i="22"/>
  <c r="BB59" i="22"/>
  <c r="AZ59" i="22"/>
  <c r="AW59" i="22"/>
  <c r="AV59" i="22"/>
  <c r="AQ59" i="22"/>
  <c r="BC58" i="22"/>
  <c r="BB58" i="22"/>
  <c r="AZ58" i="22"/>
  <c r="AW58" i="22"/>
  <c r="AV58" i="22"/>
  <c r="AQ58" i="22"/>
  <c r="BC57" i="22"/>
  <c r="BB57" i="22"/>
  <c r="AZ57" i="22"/>
  <c r="AW57" i="22"/>
  <c r="AV57" i="22"/>
  <c r="AQ57" i="22"/>
  <c r="BC56" i="22"/>
  <c r="BB56" i="22"/>
  <c r="AZ56" i="22"/>
  <c r="AW56" i="22"/>
  <c r="AV56" i="22"/>
  <c r="AQ56" i="22"/>
  <c r="BC55" i="22"/>
  <c r="BB55" i="22"/>
  <c r="AZ55" i="22"/>
  <c r="AW55" i="22"/>
  <c r="AV55" i="22"/>
  <c r="AQ55" i="22"/>
  <c r="BC54" i="22"/>
  <c r="BB54" i="22"/>
  <c r="AZ54" i="22"/>
  <c r="AW54" i="22"/>
  <c r="AV54" i="22"/>
  <c r="AQ54" i="22"/>
  <c r="BC53" i="22"/>
  <c r="BB53" i="22"/>
  <c r="AZ53" i="22"/>
  <c r="AW53" i="22"/>
  <c r="AV53" i="22"/>
  <c r="AQ53" i="22"/>
  <c r="BC52" i="22"/>
  <c r="BB52" i="22"/>
  <c r="AZ52" i="22"/>
  <c r="AW52" i="22"/>
  <c r="AV52" i="22"/>
  <c r="AQ52" i="22"/>
  <c r="BC51" i="22"/>
  <c r="BB51" i="22"/>
  <c r="AZ51" i="22"/>
  <c r="AW51" i="22"/>
  <c r="AV51" i="22"/>
  <c r="AQ51" i="22"/>
  <c r="BC50" i="22"/>
  <c r="BB50" i="22"/>
  <c r="AZ50" i="22"/>
  <c r="AW50" i="22"/>
  <c r="AV50" i="22"/>
  <c r="AQ50" i="22"/>
  <c r="BC49" i="22"/>
  <c r="BB49" i="22"/>
  <c r="AZ49" i="22"/>
  <c r="AW49" i="22"/>
  <c r="AV49" i="22"/>
  <c r="AQ49" i="22"/>
  <c r="BC48" i="22"/>
  <c r="BB48" i="22"/>
  <c r="AZ48" i="22"/>
  <c r="AW48" i="22"/>
  <c r="AV48" i="22"/>
  <c r="AQ48" i="22"/>
  <c r="BC47" i="22"/>
  <c r="BB47" i="22"/>
  <c r="AZ47" i="22"/>
  <c r="AW47" i="22"/>
  <c r="AV47" i="22"/>
  <c r="AQ47" i="22"/>
  <c r="BC46" i="22"/>
  <c r="BB46" i="22"/>
  <c r="AZ46" i="22"/>
  <c r="AW46" i="22"/>
  <c r="AV46" i="22"/>
  <c r="AQ46" i="22"/>
  <c r="BC45" i="22"/>
  <c r="BB45" i="22"/>
  <c r="AZ45" i="22"/>
  <c r="AW45" i="22"/>
  <c r="AV45" i="22"/>
  <c r="AQ45" i="22"/>
  <c r="BC44" i="22"/>
  <c r="BB44" i="22"/>
  <c r="AZ44" i="22"/>
  <c r="AW44" i="22"/>
  <c r="AV44" i="22"/>
  <c r="AQ44" i="22"/>
  <c r="BC43" i="22"/>
  <c r="BB43" i="22"/>
  <c r="AZ43" i="22"/>
  <c r="AW43" i="22"/>
  <c r="AV43" i="22"/>
  <c r="AQ43" i="22"/>
  <c r="BC42" i="22"/>
  <c r="BB42" i="22"/>
  <c r="AZ42" i="22"/>
  <c r="AW42" i="22"/>
  <c r="AV42" i="22"/>
  <c r="AQ42" i="22"/>
  <c r="BC41" i="22"/>
  <c r="BB41" i="22"/>
  <c r="AZ41" i="22"/>
  <c r="AW41" i="22"/>
  <c r="AV41" i="22"/>
  <c r="AQ41" i="22"/>
  <c r="BC40" i="22"/>
  <c r="BB40" i="22"/>
  <c r="AZ40" i="22"/>
  <c r="AW40" i="22"/>
  <c r="AV40" i="22"/>
  <c r="AQ40" i="22"/>
  <c r="BC39" i="22"/>
  <c r="BB39" i="22"/>
  <c r="AZ39" i="22"/>
  <c r="AW39" i="22"/>
  <c r="AV39" i="22"/>
  <c r="AQ39" i="22"/>
  <c r="BC38" i="22"/>
  <c r="BB38" i="22"/>
  <c r="AZ38" i="22"/>
  <c r="AW38" i="22"/>
  <c r="AV38" i="22"/>
  <c r="AQ38" i="22"/>
  <c r="BC37" i="22"/>
  <c r="BB37" i="22"/>
  <c r="AZ37" i="22"/>
  <c r="AW37" i="22"/>
  <c r="AV37" i="22"/>
  <c r="AQ37" i="22"/>
  <c r="BC36" i="22"/>
  <c r="BB36" i="22"/>
  <c r="AZ36" i="22"/>
  <c r="AW36" i="22"/>
  <c r="AV36" i="22"/>
  <c r="AQ36" i="22"/>
  <c r="BC35" i="22"/>
  <c r="BB35" i="22"/>
  <c r="AZ35" i="22"/>
  <c r="AW35" i="22"/>
  <c r="AV35" i="22"/>
  <c r="AQ35" i="22"/>
  <c r="BC34" i="22"/>
  <c r="BB34" i="22"/>
  <c r="AZ34" i="22"/>
  <c r="AW34" i="22"/>
  <c r="AV34" i="22"/>
  <c r="AQ34" i="22"/>
  <c r="BC33" i="22"/>
  <c r="BB33" i="22"/>
  <c r="AZ33" i="22"/>
  <c r="AW33" i="22"/>
  <c r="AV33" i="22"/>
  <c r="AQ33" i="22"/>
  <c r="BC32" i="22"/>
  <c r="BB32" i="22"/>
  <c r="AZ32" i="22"/>
  <c r="AW32" i="22"/>
  <c r="AV32" i="22"/>
  <c r="AQ32" i="22"/>
  <c r="BC31" i="22"/>
  <c r="BB31" i="22"/>
  <c r="AZ31" i="22"/>
  <c r="AW31" i="22"/>
  <c r="AV31" i="22"/>
  <c r="AQ31" i="22"/>
  <c r="BC30" i="22"/>
  <c r="BB30" i="22"/>
  <c r="AZ30" i="22"/>
  <c r="AW30" i="22"/>
  <c r="AV30" i="22"/>
  <c r="AQ30" i="22"/>
  <c r="BC29" i="22"/>
  <c r="BB29" i="22"/>
  <c r="AZ29" i="22"/>
  <c r="AW29" i="22"/>
  <c r="AV29" i="22"/>
  <c r="AQ29" i="22"/>
  <c r="BC28" i="22"/>
  <c r="BB28" i="22"/>
  <c r="AZ28" i="22"/>
  <c r="AW28" i="22"/>
  <c r="AV28" i="22"/>
  <c r="AQ28" i="22"/>
  <c r="BC27" i="22"/>
  <c r="BB27" i="22"/>
  <c r="AZ27" i="22"/>
  <c r="AW27" i="22"/>
  <c r="AV27" i="22"/>
  <c r="AQ27" i="22"/>
  <c r="BC26" i="22"/>
  <c r="BB26" i="22"/>
  <c r="AZ26" i="22"/>
  <c r="AW26" i="22"/>
  <c r="AV26" i="22"/>
  <c r="AQ26" i="22"/>
  <c r="BC25" i="22"/>
  <c r="BB25" i="22"/>
  <c r="AZ25" i="22"/>
  <c r="AW25" i="22"/>
  <c r="AV25" i="22"/>
  <c r="AQ25" i="22"/>
  <c r="BC24" i="22"/>
  <c r="BB24" i="22"/>
  <c r="AZ24" i="22"/>
  <c r="AW24" i="22"/>
  <c r="AV24" i="22"/>
  <c r="AQ24" i="22"/>
  <c r="BC23" i="22"/>
  <c r="BB23" i="22"/>
  <c r="AZ23" i="22"/>
  <c r="AW23" i="22"/>
  <c r="AV23" i="22"/>
  <c r="AQ23" i="22"/>
  <c r="BC22" i="22"/>
  <c r="BB22" i="22"/>
  <c r="AZ22" i="22"/>
  <c r="AW22" i="22"/>
  <c r="AV22" i="22"/>
  <c r="AQ22" i="22"/>
  <c r="BC21" i="22"/>
  <c r="BB21" i="22"/>
  <c r="AZ21" i="22"/>
  <c r="AW21" i="22"/>
  <c r="AV21" i="22"/>
  <c r="AQ21" i="22"/>
  <c r="BC20" i="22"/>
  <c r="BB20" i="22"/>
  <c r="AZ20" i="22"/>
  <c r="AW20" i="22"/>
  <c r="AV20" i="22"/>
  <c r="AQ20" i="22"/>
  <c r="BC19" i="22"/>
  <c r="BB19" i="22"/>
  <c r="AZ19" i="22"/>
  <c r="AW19" i="22"/>
  <c r="AV19" i="22"/>
  <c r="AQ19" i="22"/>
  <c r="BC18" i="22"/>
  <c r="BB18" i="22"/>
  <c r="AZ18" i="22"/>
  <c r="AW18" i="22"/>
  <c r="AV18" i="22"/>
  <c r="AQ18" i="22"/>
  <c r="BC17" i="22"/>
  <c r="BB17" i="22"/>
  <c r="AZ17" i="22"/>
  <c r="AW17" i="22"/>
  <c r="AV17" i="22"/>
  <c r="AQ17" i="22"/>
  <c r="BC16" i="22"/>
  <c r="BB16" i="22"/>
  <c r="AZ16" i="22"/>
  <c r="AW16" i="22"/>
  <c r="AV16" i="22"/>
  <c r="AQ16" i="22"/>
  <c r="BC15" i="22"/>
  <c r="BB15" i="22"/>
  <c r="AZ15" i="22"/>
  <c r="AW15" i="22"/>
  <c r="AV15" i="22"/>
  <c r="AQ15" i="22"/>
  <c r="AP15" i="22"/>
  <c r="AP16" i="22"/>
  <c r="AP2" i="22"/>
  <c r="F36" i="45"/>
  <c r="O215" i="22" l="1"/>
  <c r="W215" i="22"/>
  <c r="AE215" i="22"/>
  <c r="S214" i="22"/>
  <c r="K214" i="22"/>
  <c r="AA214" i="22"/>
  <c r="AP18" i="22"/>
  <c r="AP17" i="22"/>
  <c r="T214" i="22"/>
  <c r="L214" i="22"/>
  <c r="AB214" i="22"/>
  <c r="M214" i="22"/>
  <c r="U214" i="22"/>
  <c r="AC214" i="22"/>
  <c r="F214" i="22"/>
  <c r="N214" i="22"/>
  <c r="V214" i="22"/>
  <c r="AD214" i="22"/>
  <c r="W214" i="22"/>
  <c r="AE214" i="22"/>
  <c r="P214" i="22"/>
  <c r="P215" i="22"/>
  <c r="O214" i="22"/>
  <c r="H214" i="22"/>
  <c r="H215" i="22"/>
  <c r="X214" i="22"/>
  <c r="X215" i="22"/>
  <c r="I214" i="22"/>
  <c r="Q214" i="22"/>
  <c r="Y214" i="22"/>
  <c r="AD215" i="22"/>
  <c r="G214" i="22"/>
  <c r="AF214" i="22"/>
  <c r="AF215" i="22"/>
  <c r="J214" i="22"/>
  <c r="R214" i="22"/>
  <c r="Z214" i="22"/>
  <c r="G215" i="22"/>
  <c r="I215" i="22"/>
  <c r="Q215" i="22"/>
  <c r="Y215" i="22"/>
  <c r="B216" i="22"/>
  <c r="J215" i="22"/>
  <c r="R215" i="22"/>
  <c r="Z215" i="22"/>
  <c r="K215" i="22"/>
  <c r="S215" i="22"/>
  <c r="AA215" i="22"/>
  <c r="L215" i="22"/>
  <c r="T215" i="22"/>
  <c r="AB215" i="22"/>
  <c r="M215" i="22"/>
  <c r="U215" i="22"/>
  <c r="AC215" i="22"/>
  <c r="F215" i="22"/>
  <c r="N215" i="22"/>
  <c r="V215" i="22"/>
  <c r="Z216" i="22" l="1"/>
  <c r="R216" i="22"/>
  <c r="J216" i="22"/>
  <c r="B217" i="22"/>
  <c r="Y216" i="22"/>
  <c r="Q216" i="22"/>
  <c r="I216" i="22"/>
  <c r="AF216" i="22"/>
  <c r="X216" i="22"/>
  <c r="P216" i="22"/>
  <c r="H216" i="22"/>
  <c r="AE216" i="22"/>
  <c r="W216" i="22"/>
  <c r="O216" i="22"/>
  <c r="G216" i="22"/>
  <c r="AD216" i="22"/>
  <c r="V216" i="22"/>
  <c r="N216" i="22"/>
  <c r="F216" i="22"/>
  <c r="AC216" i="22"/>
  <c r="U216" i="22"/>
  <c r="M216" i="22"/>
  <c r="AB216" i="22"/>
  <c r="T216" i="22"/>
  <c r="L216" i="22"/>
  <c r="AA216" i="22"/>
  <c r="S216" i="22"/>
  <c r="K216" i="22"/>
  <c r="AP19" i="22"/>
  <c r="AD217" i="22" l="1"/>
  <c r="V217" i="22"/>
  <c r="N217" i="22"/>
  <c r="F217" i="22"/>
  <c r="AC217" i="22"/>
  <c r="U217" i="22"/>
  <c r="M217" i="22"/>
  <c r="AB217" i="22"/>
  <c r="T217" i="22"/>
  <c r="L217" i="22"/>
  <c r="AA217" i="22"/>
  <c r="S217" i="22"/>
  <c r="K217" i="22"/>
  <c r="Z217" i="22"/>
  <c r="R217" i="22"/>
  <c r="J217" i="22"/>
  <c r="B218" i="22"/>
  <c r="Y217" i="22"/>
  <c r="Q217" i="22"/>
  <c r="I217" i="22"/>
  <c r="AF217" i="22"/>
  <c r="X217" i="22"/>
  <c r="P217" i="22"/>
  <c r="H217" i="22"/>
  <c r="O217" i="22"/>
  <c r="G217" i="22"/>
  <c r="AE217" i="22"/>
  <c r="W217" i="22"/>
  <c r="AP20" i="22"/>
  <c r="AP21" i="22" l="1"/>
  <c r="Z218" i="22"/>
  <c r="R218" i="22"/>
  <c r="J218" i="22"/>
  <c r="B219" i="22"/>
  <c r="Y218" i="22"/>
  <c r="Q218" i="22"/>
  <c r="I218" i="22"/>
  <c r="AF218" i="22"/>
  <c r="X218" i="22"/>
  <c r="P218" i="22"/>
  <c r="H218" i="22"/>
  <c r="AE218" i="22"/>
  <c r="W218" i="22"/>
  <c r="O218" i="22"/>
  <c r="G218" i="22"/>
  <c r="AD218" i="22"/>
  <c r="V218" i="22"/>
  <c r="N218" i="22"/>
  <c r="F218" i="22"/>
  <c r="AC218" i="22"/>
  <c r="U218" i="22"/>
  <c r="M218" i="22"/>
  <c r="AB218" i="22"/>
  <c r="T218" i="22"/>
  <c r="L218" i="22"/>
  <c r="AA218" i="22"/>
  <c r="S218" i="22"/>
  <c r="K218" i="22"/>
  <c r="AD219" i="22" l="1"/>
  <c r="V219" i="22"/>
  <c r="N219" i="22"/>
  <c r="F219" i="22"/>
  <c r="AC219" i="22"/>
  <c r="U219" i="22"/>
  <c r="M219" i="22"/>
  <c r="AB219" i="22"/>
  <c r="T219" i="22"/>
  <c r="L219" i="22"/>
  <c r="AA219" i="22"/>
  <c r="S219" i="22"/>
  <c r="K219" i="22"/>
  <c r="Z219" i="22"/>
  <c r="R219" i="22"/>
  <c r="J219" i="22"/>
  <c r="B220" i="22"/>
  <c r="Y219" i="22"/>
  <c r="Q219" i="22"/>
  <c r="I219" i="22"/>
  <c r="AF219" i="22"/>
  <c r="X219" i="22"/>
  <c r="P219" i="22"/>
  <c r="H219" i="22"/>
  <c r="W219" i="22"/>
  <c r="O219" i="22"/>
  <c r="G219" i="22"/>
  <c r="AE219" i="22"/>
  <c r="AP22" i="22"/>
  <c r="AP23" i="22" l="1"/>
  <c r="Z220" i="22"/>
  <c r="R220" i="22"/>
  <c r="J220" i="22"/>
  <c r="B221" i="22"/>
  <c r="Y220" i="22"/>
  <c r="Q220" i="22"/>
  <c r="I220" i="22"/>
  <c r="AF220" i="22"/>
  <c r="X220" i="22"/>
  <c r="P220" i="22"/>
  <c r="H220" i="22"/>
  <c r="AE220" i="22"/>
  <c r="W220" i="22"/>
  <c r="O220" i="22"/>
  <c r="G220" i="22"/>
  <c r="AD220" i="22"/>
  <c r="V220" i="22"/>
  <c r="N220" i="22"/>
  <c r="F220" i="22"/>
  <c r="AC220" i="22"/>
  <c r="U220" i="22"/>
  <c r="M220" i="22"/>
  <c r="AB220" i="22"/>
  <c r="T220" i="22"/>
  <c r="L220" i="22"/>
  <c r="AA220" i="22"/>
  <c r="S220" i="22"/>
  <c r="K220" i="22"/>
  <c r="AD221" i="22" l="1"/>
  <c r="V221" i="22"/>
  <c r="N221" i="22"/>
  <c r="F221" i="22"/>
  <c r="AC221" i="22"/>
  <c r="U221" i="22"/>
  <c r="M221" i="22"/>
  <c r="AB221" i="22"/>
  <c r="T221" i="22"/>
  <c r="L221" i="22"/>
  <c r="AA221" i="22"/>
  <c r="S221" i="22"/>
  <c r="K221" i="22"/>
  <c r="Z221" i="22"/>
  <c r="R221" i="22"/>
  <c r="J221" i="22"/>
  <c r="B222" i="22"/>
  <c r="Y221" i="22"/>
  <c r="Q221" i="22"/>
  <c r="I221" i="22"/>
  <c r="AF221" i="22"/>
  <c r="X221" i="22"/>
  <c r="P221" i="22"/>
  <c r="H221" i="22"/>
  <c r="AE221" i="22"/>
  <c r="W221" i="22"/>
  <c r="O221" i="22"/>
  <c r="G221" i="22"/>
  <c r="AP24" i="22"/>
  <c r="AP25" i="22" l="1"/>
  <c r="Z222" i="22"/>
  <c r="R222" i="22"/>
  <c r="J222" i="22"/>
  <c r="B223" i="22"/>
  <c r="Y222" i="22"/>
  <c r="Q222" i="22"/>
  <c r="I222" i="22"/>
  <c r="AF222" i="22"/>
  <c r="X222" i="22"/>
  <c r="P222" i="22"/>
  <c r="H222" i="22"/>
  <c r="AE222" i="22"/>
  <c r="W222" i="22"/>
  <c r="O222" i="22"/>
  <c r="G222" i="22"/>
  <c r="AD222" i="22"/>
  <c r="V222" i="22"/>
  <c r="N222" i="22"/>
  <c r="F222" i="22"/>
  <c r="AC222" i="22"/>
  <c r="U222" i="22"/>
  <c r="M222" i="22"/>
  <c r="AB222" i="22"/>
  <c r="T222" i="22"/>
  <c r="L222" i="22"/>
  <c r="AA222" i="22"/>
  <c r="K222" i="22"/>
  <c r="S222" i="22"/>
  <c r="AD223" i="22" l="1"/>
  <c r="V223" i="22"/>
  <c r="N223" i="22"/>
  <c r="F223" i="22"/>
  <c r="AC223" i="22"/>
  <c r="U223" i="22"/>
  <c r="M223" i="22"/>
  <c r="AB223" i="22"/>
  <c r="T223" i="22"/>
  <c r="L223" i="22"/>
  <c r="AA223" i="22"/>
  <c r="S223" i="22"/>
  <c r="K223" i="22"/>
  <c r="Z223" i="22"/>
  <c r="R223" i="22"/>
  <c r="J223" i="22"/>
  <c r="B224" i="22"/>
  <c r="Y223" i="22"/>
  <c r="Q223" i="22"/>
  <c r="I223" i="22"/>
  <c r="AF223" i="22"/>
  <c r="X223" i="22"/>
  <c r="P223" i="22"/>
  <c r="H223" i="22"/>
  <c r="AE223" i="22"/>
  <c r="W223" i="22"/>
  <c r="O223" i="22"/>
  <c r="G223" i="22"/>
  <c r="AP26" i="22"/>
  <c r="AP27" i="22" l="1"/>
  <c r="Z224" i="22"/>
  <c r="R224" i="22"/>
  <c r="J224" i="22"/>
  <c r="B225" i="22"/>
  <c r="Y224" i="22"/>
  <c r="Q224" i="22"/>
  <c r="I224" i="22"/>
  <c r="AF224" i="22"/>
  <c r="X224" i="22"/>
  <c r="P224" i="22"/>
  <c r="H224" i="22"/>
  <c r="AE224" i="22"/>
  <c r="W224" i="22"/>
  <c r="O224" i="22"/>
  <c r="G224" i="22"/>
  <c r="AD224" i="22"/>
  <c r="V224" i="22"/>
  <c r="N224" i="22"/>
  <c r="F224" i="22"/>
  <c r="AC224" i="22"/>
  <c r="U224" i="22"/>
  <c r="M224" i="22"/>
  <c r="AB224" i="22"/>
  <c r="T224" i="22"/>
  <c r="L224" i="22"/>
  <c r="K224" i="22"/>
  <c r="AA224" i="22"/>
  <c r="S224" i="22"/>
  <c r="AD225" i="22" l="1"/>
  <c r="V225" i="22"/>
  <c r="N225" i="22"/>
  <c r="F225" i="22"/>
  <c r="AC225" i="22"/>
  <c r="U225" i="22"/>
  <c r="M225" i="22"/>
  <c r="AB225" i="22"/>
  <c r="T225" i="22"/>
  <c r="L225" i="22"/>
  <c r="AA225" i="22"/>
  <c r="S225" i="22"/>
  <c r="K225" i="22"/>
  <c r="Z225" i="22"/>
  <c r="R225" i="22"/>
  <c r="J225" i="22"/>
  <c r="B226" i="22"/>
  <c r="Y225" i="22"/>
  <c r="Q225" i="22"/>
  <c r="I225" i="22"/>
  <c r="AF225" i="22"/>
  <c r="X225" i="22"/>
  <c r="P225" i="22"/>
  <c r="H225" i="22"/>
  <c r="AE225" i="22"/>
  <c r="W225" i="22"/>
  <c r="O225" i="22"/>
  <c r="G225" i="22"/>
  <c r="AP28" i="22"/>
  <c r="AP29" i="22" l="1"/>
  <c r="Z226" i="22"/>
  <c r="R226" i="22"/>
  <c r="J226" i="22"/>
  <c r="B227" i="22"/>
  <c r="Y226" i="22"/>
  <c r="Q226" i="22"/>
  <c r="I226" i="22"/>
  <c r="AF226" i="22"/>
  <c r="X226" i="22"/>
  <c r="P226" i="22"/>
  <c r="H226" i="22"/>
  <c r="AE226" i="22"/>
  <c r="W226" i="22"/>
  <c r="O226" i="22"/>
  <c r="G226" i="22"/>
  <c r="AD226" i="22"/>
  <c r="V226" i="22"/>
  <c r="N226" i="22"/>
  <c r="F226" i="22"/>
  <c r="AC226" i="22"/>
  <c r="U226" i="22"/>
  <c r="M226" i="22"/>
  <c r="AB226" i="22"/>
  <c r="T226" i="22"/>
  <c r="L226" i="22"/>
  <c r="S226" i="22"/>
  <c r="K226" i="22"/>
  <c r="AA226" i="22"/>
  <c r="AD227" i="22" l="1"/>
  <c r="V227" i="22"/>
  <c r="N227" i="22"/>
  <c r="F227" i="22"/>
  <c r="AC227" i="22"/>
  <c r="U227" i="22"/>
  <c r="M227" i="22"/>
  <c r="AB227" i="22"/>
  <c r="T227" i="22"/>
  <c r="L227" i="22"/>
  <c r="AA227" i="22"/>
  <c r="S227" i="22"/>
  <c r="K227" i="22"/>
  <c r="Z227" i="22"/>
  <c r="R227" i="22"/>
  <c r="J227" i="22"/>
  <c r="B228" i="22"/>
  <c r="Y227" i="22"/>
  <c r="Q227" i="22"/>
  <c r="I227" i="22"/>
  <c r="AF227" i="22"/>
  <c r="X227" i="22"/>
  <c r="P227" i="22"/>
  <c r="H227" i="22"/>
  <c r="AE227" i="22"/>
  <c r="W227" i="22"/>
  <c r="O227" i="22"/>
  <c r="G227" i="22"/>
  <c r="AP30" i="22"/>
  <c r="AP31" i="22" l="1"/>
  <c r="Z228" i="22"/>
  <c r="R228" i="22"/>
  <c r="J228" i="22"/>
  <c r="B229" i="22"/>
  <c r="Y228" i="22"/>
  <c r="Q228" i="22"/>
  <c r="I228" i="22"/>
  <c r="AF228" i="22"/>
  <c r="X228" i="22"/>
  <c r="P228" i="22"/>
  <c r="H228" i="22"/>
  <c r="AE228" i="22"/>
  <c r="W228" i="22"/>
  <c r="O228" i="22"/>
  <c r="G228" i="22"/>
  <c r="AD228" i="22"/>
  <c r="V228" i="22"/>
  <c r="N228" i="22"/>
  <c r="F228" i="22"/>
  <c r="AC228" i="22"/>
  <c r="U228" i="22"/>
  <c r="M228" i="22"/>
  <c r="AB228" i="22"/>
  <c r="T228" i="22"/>
  <c r="L228" i="22"/>
  <c r="AA228" i="22"/>
  <c r="S228" i="22"/>
  <c r="K228" i="22"/>
  <c r="AD229" i="22" l="1"/>
  <c r="V229" i="22"/>
  <c r="N229" i="22"/>
  <c r="F229" i="22"/>
  <c r="AC229" i="22"/>
  <c r="U229" i="22"/>
  <c r="M229" i="22"/>
  <c r="AB229" i="22"/>
  <c r="T229" i="22"/>
  <c r="L229" i="22"/>
  <c r="AA229" i="22"/>
  <c r="S229" i="22"/>
  <c r="K229" i="22"/>
  <c r="Z229" i="22"/>
  <c r="R229" i="22"/>
  <c r="J229" i="22"/>
  <c r="B230" i="22"/>
  <c r="Y229" i="22"/>
  <c r="Q229" i="22"/>
  <c r="I229" i="22"/>
  <c r="AF229" i="22"/>
  <c r="X229" i="22"/>
  <c r="P229" i="22"/>
  <c r="H229" i="22"/>
  <c r="AE229" i="22"/>
  <c r="G229" i="22"/>
  <c r="W229" i="22"/>
  <c r="O229" i="22"/>
  <c r="AP32" i="22"/>
  <c r="AP33" i="22" l="1"/>
  <c r="Z230" i="22"/>
  <c r="R230" i="22"/>
  <c r="J230" i="22"/>
  <c r="B231" i="22"/>
  <c r="Y230" i="22"/>
  <c r="Q230" i="22"/>
  <c r="I230" i="22"/>
  <c r="AF230" i="22"/>
  <c r="X230" i="22"/>
  <c r="P230" i="22"/>
  <c r="H230" i="22"/>
  <c r="AE230" i="22"/>
  <c r="W230" i="22"/>
  <c r="O230" i="22"/>
  <c r="G230" i="22"/>
  <c r="AD230" i="22"/>
  <c r="V230" i="22"/>
  <c r="N230" i="22"/>
  <c r="F230" i="22"/>
  <c r="AC230" i="22"/>
  <c r="U230" i="22"/>
  <c r="M230" i="22"/>
  <c r="AB230" i="22"/>
  <c r="T230" i="22"/>
  <c r="L230" i="22"/>
  <c r="AA230" i="22"/>
  <c r="S230" i="22"/>
  <c r="K230" i="22"/>
  <c r="AD231" i="22" l="1"/>
  <c r="V231" i="22"/>
  <c r="N231" i="22"/>
  <c r="F231" i="22"/>
  <c r="AC231" i="22"/>
  <c r="U231" i="22"/>
  <c r="M231" i="22"/>
  <c r="AB231" i="22"/>
  <c r="T231" i="22"/>
  <c r="L231" i="22"/>
  <c r="AA231" i="22"/>
  <c r="S231" i="22"/>
  <c r="K231" i="22"/>
  <c r="Z231" i="22"/>
  <c r="R231" i="22"/>
  <c r="J231" i="22"/>
  <c r="B232" i="22"/>
  <c r="Y231" i="22"/>
  <c r="Q231" i="22"/>
  <c r="I231" i="22"/>
  <c r="AF231" i="22"/>
  <c r="X231" i="22"/>
  <c r="P231" i="22"/>
  <c r="H231" i="22"/>
  <c r="G231" i="22"/>
  <c r="AE231" i="22"/>
  <c r="W231" i="22"/>
  <c r="O231" i="22"/>
  <c r="AP34" i="22"/>
  <c r="AP35" i="22" l="1"/>
  <c r="Z232" i="22"/>
  <c r="R232" i="22"/>
  <c r="J232" i="22"/>
  <c r="B233" i="22"/>
  <c r="Y232" i="22"/>
  <c r="Q232" i="22"/>
  <c r="I232" i="22"/>
  <c r="AF232" i="22"/>
  <c r="X232" i="22"/>
  <c r="P232" i="22"/>
  <c r="H232" i="22"/>
  <c r="AE232" i="22"/>
  <c r="W232" i="22"/>
  <c r="O232" i="22"/>
  <c r="G232" i="22"/>
  <c r="AD232" i="22"/>
  <c r="V232" i="22"/>
  <c r="N232" i="22"/>
  <c r="F232" i="22"/>
  <c r="AC232" i="22"/>
  <c r="U232" i="22"/>
  <c r="M232" i="22"/>
  <c r="AB232" i="22"/>
  <c r="T232" i="22"/>
  <c r="L232" i="22"/>
  <c r="AA232" i="22"/>
  <c r="S232" i="22"/>
  <c r="K232" i="22"/>
  <c r="AD233" i="22" l="1"/>
  <c r="V233" i="22"/>
  <c r="N233" i="22"/>
  <c r="F233" i="22"/>
  <c r="AC233" i="22"/>
  <c r="U233" i="22"/>
  <c r="M233" i="22"/>
  <c r="AB233" i="22"/>
  <c r="T233" i="22"/>
  <c r="L233" i="22"/>
  <c r="AA233" i="22"/>
  <c r="S233" i="22"/>
  <c r="K233" i="22"/>
  <c r="Z233" i="22"/>
  <c r="R233" i="22"/>
  <c r="J233" i="22"/>
  <c r="B234" i="22"/>
  <c r="Y233" i="22"/>
  <c r="Q233" i="22"/>
  <c r="I233" i="22"/>
  <c r="AF233" i="22"/>
  <c r="X233" i="22"/>
  <c r="P233" i="22"/>
  <c r="H233" i="22"/>
  <c r="O233" i="22"/>
  <c r="G233" i="22"/>
  <c r="W233" i="22"/>
  <c r="AE233" i="22"/>
  <c r="AP36" i="22"/>
  <c r="AP37" i="22" l="1"/>
  <c r="Z234" i="22"/>
  <c r="R234" i="22"/>
  <c r="J234" i="22"/>
  <c r="B235" i="22"/>
  <c r="Y234" i="22"/>
  <c r="Q234" i="22"/>
  <c r="I234" i="22"/>
  <c r="AF234" i="22"/>
  <c r="X234" i="22"/>
  <c r="P234" i="22"/>
  <c r="H234" i="22"/>
  <c r="AE234" i="22"/>
  <c r="W234" i="22"/>
  <c r="O234" i="22"/>
  <c r="G234" i="22"/>
  <c r="AD234" i="22"/>
  <c r="V234" i="22"/>
  <c r="N234" i="22"/>
  <c r="F234" i="22"/>
  <c r="AC234" i="22"/>
  <c r="U234" i="22"/>
  <c r="M234" i="22"/>
  <c r="AB234" i="22"/>
  <c r="T234" i="22"/>
  <c r="L234" i="22"/>
  <c r="AA234" i="22"/>
  <c r="S234" i="22"/>
  <c r="K234" i="22"/>
  <c r="AD235" i="22" l="1"/>
  <c r="V235" i="22"/>
  <c r="N235" i="22"/>
  <c r="F235" i="22"/>
  <c r="AC235" i="22"/>
  <c r="U235" i="22"/>
  <c r="M235" i="22"/>
  <c r="AB235" i="22"/>
  <c r="T235" i="22"/>
  <c r="L235" i="22"/>
  <c r="AA235" i="22"/>
  <c r="S235" i="22"/>
  <c r="K235" i="22"/>
  <c r="Z235" i="22"/>
  <c r="R235" i="22"/>
  <c r="J235" i="22"/>
  <c r="B236" i="22"/>
  <c r="Y235" i="22"/>
  <c r="Q235" i="22"/>
  <c r="I235" i="22"/>
  <c r="AF235" i="22"/>
  <c r="X235" i="22"/>
  <c r="P235" i="22"/>
  <c r="H235" i="22"/>
  <c r="W235" i="22"/>
  <c r="O235" i="22"/>
  <c r="G235" i="22"/>
  <c r="AE235" i="22"/>
  <c r="AP38" i="22"/>
  <c r="AP39" i="22" l="1"/>
  <c r="Z236" i="22"/>
  <c r="R236" i="22"/>
  <c r="J236" i="22"/>
  <c r="B237" i="22"/>
  <c r="Y236" i="22"/>
  <c r="Q236" i="22"/>
  <c r="I236" i="22"/>
  <c r="AF236" i="22"/>
  <c r="X236" i="22"/>
  <c r="P236" i="22"/>
  <c r="H236" i="22"/>
  <c r="AE236" i="22"/>
  <c r="W236" i="22"/>
  <c r="O236" i="22"/>
  <c r="G236" i="22"/>
  <c r="AD236" i="22"/>
  <c r="V236" i="22"/>
  <c r="N236" i="22"/>
  <c r="F236" i="22"/>
  <c r="AC236" i="22"/>
  <c r="U236" i="22"/>
  <c r="M236" i="22"/>
  <c r="AB236" i="22"/>
  <c r="T236" i="22"/>
  <c r="L236" i="22"/>
  <c r="AA236" i="22"/>
  <c r="S236" i="22"/>
  <c r="K236" i="22"/>
  <c r="AD237" i="22" l="1"/>
  <c r="V237" i="22"/>
  <c r="N237" i="22"/>
  <c r="F237" i="22"/>
  <c r="AC237" i="22"/>
  <c r="U237" i="22"/>
  <c r="M237" i="22"/>
  <c r="AB237" i="22"/>
  <c r="T237" i="22"/>
  <c r="L237" i="22"/>
  <c r="AA237" i="22"/>
  <c r="S237" i="22"/>
  <c r="K237" i="22"/>
  <c r="Z237" i="22"/>
  <c r="R237" i="22"/>
  <c r="J237" i="22"/>
  <c r="B238" i="22"/>
  <c r="Y237" i="22"/>
  <c r="Q237" i="22"/>
  <c r="I237" i="22"/>
  <c r="AF237" i="22"/>
  <c r="X237" i="22"/>
  <c r="P237" i="22"/>
  <c r="H237" i="22"/>
  <c r="AE237" i="22"/>
  <c r="W237" i="22"/>
  <c r="O237" i="22"/>
  <c r="G237" i="22"/>
  <c r="AP40" i="22"/>
  <c r="AP41" i="22" l="1"/>
  <c r="Z238" i="22"/>
  <c r="R238" i="22"/>
  <c r="J238" i="22"/>
  <c r="B239" i="22"/>
  <c r="Y238" i="22"/>
  <c r="Q238" i="22"/>
  <c r="I238" i="22"/>
  <c r="AF238" i="22"/>
  <c r="X238" i="22"/>
  <c r="P238" i="22"/>
  <c r="H238" i="22"/>
  <c r="AE238" i="22"/>
  <c r="W238" i="22"/>
  <c r="O238" i="22"/>
  <c r="G238" i="22"/>
  <c r="AD238" i="22"/>
  <c r="V238" i="22"/>
  <c r="N238" i="22"/>
  <c r="F238" i="22"/>
  <c r="AC238" i="22"/>
  <c r="U238" i="22"/>
  <c r="M238" i="22"/>
  <c r="AB238" i="22"/>
  <c r="T238" i="22"/>
  <c r="L238" i="22"/>
  <c r="AA238" i="22"/>
  <c r="S238" i="22"/>
  <c r="K238" i="22"/>
  <c r="AD239" i="22" l="1"/>
  <c r="V239" i="22"/>
  <c r="N239" i="22"/>
  <c r="F239" i="22"/>
  <c r="AC239" i="22"/>
  <c r="U239" i="22"/>
  <c r="M239" i="22"/>
  <c r="AB239" i="22"/>
  <c r="T239" i="22"/>
  <c r="L239" i="22"/>
  <c r="AA239" i="22"/>
  <c r="S239" i="22"/>
  <c r="K239" i="22"/>
  <c r="Z239" i="22"/>
  <c r="R239" i="22"/>
  <c r="J239" i="22"/>
  <c r="B240" i="22"/>
  <c r="Y239" i="22"/>
  <c r="Q239" i="22"/>
  <c r="I239" i="22"/>
  <c r="AF239" i="22"/>
  <c r="X239" i="22"/>
  <c r="P239" i="22"/>
  <c r="H239" i="22"/>
  <c r="AE239" i="22"/>
  <c r="W239" i="22"/>
  <c r="O239" i="22"/>
  <c r="G239" i="22"/>
  <c r="AP42" i="22"/>
  <c r="AP43" i="22" l="1"/>
  <c r="Z240" i="22"/>
  <c r="R240" i="22"/>
  <c r="J240" i="22"/>
  <c r="B241" i="22"/>
  <c r="Y240" i="22"/>
  <c r="Q240" i="22"/>
  <c r="I240" i="22"/>
  <c r="AF240" i="22"/>
  <c r="X240" i="22"/>
  <c r="P240" i="22"/>
  <c r="H240" i="22"/>
  <c r="AE240" i="22"/>
  <c r="W240" i="22"/>
  <c r="O240" i="22"/>
  <c r="G240" i="22"/>
  <c r="AD240" i="22"/>
  <c r="V240" i="22"/>
  <c r="N240" i="22"/>
  <c r="F240" i="22"/>
  <c r="AC240" i="22"/>
  <c r="U240" i="22"/>
  <c r="M240" i="22"/>
  <c r="AB240" i="22"/>
  <c r="T240" i="22"/>
  <c r="L240" i="22"/>
  <c r="K240" i="22"/>
  <c r="S240" i="22"/>
  <c r="AA240" i="22"/>
  <c r="AD241" i="22" l="1"/>
  <c r="V241" i="22"/>
  <c r="N241" i="22"/>
  <c r="F241" i="22"/>
  <c r="AC241" i="22"/>
  <c r="U241" i="22"/>
  <c r="M241" i="22"/>
  <c r="AB241" i="22"/>
  <c r="T241" i="22"/>
  <c r="L241" i="22"/>
  <c r="AA241" i="22"/>
  <c r="S241" i="22"/>
  <c r="K241" i="22"/>
  <c r="Z241" i="22"/>
  <c r="R241" i="22"/>
  <c r="J241" i="22"/>
  <c r="B242" i="22"/>
  <c r="Y241" i="22"/>
  <c r="Q241" i="22"/>
  <c r="I241" i="22"/>
  <c r="AF241" i="22"/>
  <c r="X241" i="22"/>
  <c r="P241" i="22"/>
  <c r="H241" i="22"/>
  <c r="AE241" i="22"/>
  <c r="W241" i="22"/>
  <c r="O241" i="22"/>
  <c r="G241" i="22"/>
  <c r="AP44" i="22"/>
  <c r="AP45" i="22" l="1"/>
  <c r="Z242" i="22"/>
  <c r="R242" i="22"/>
  <c r="J242" i="22"/>
  <c r="B243" i="22"/>
  <c r="Y242" i="22"/>
  <c r="Q242" i="22"/>
  <c r="I242" i="22"/>
  <c r="AF242" i="22"/>
  <c r="X242" i="22"/>
  <c r="P242" i="22"/>
  <c r="H242" i="22"/>
  <c r="AE242" i="22"/>
  <c r="W242" i="22"/>
  <c r="O242" i="22"/>
  <c r="G242" i="22"/>
  <c r="AD242" i="22"/>
  <c r="V242" i="22"/>
  <c r="N242" i="22"/>
  <c r="F242" i="22"/>
  <c r="AC242" i="22"/>
  <c r="U242" i="22"/>
  <c r="M242" i="22"/>
  <c r="AB242" i="22"/>
  <c r="T242" i="22"/>
  <c r="L242" i="22"/>
  <c r="S242" i="22"/>
  <c r="K242" i="22"/>
  <c r="AA242" i="22"/>
  <c r="AD243" i="22" l="1"/>
  <c r="V243" i="22"/>
  <c r="N243" i="22"/>
  <c r="F243" i="22"/>
  <c r="AC243" i="22"/>
  <c r="U243" i="22"/>
  <c r="M243" i="22"/>
  <c r="AB243" i="22"/>
  <c r="T243" i="22"/>
  <c r="L243" i="22"/>
  <c r="AA243" i="22"/>
  <c r="S243" i="22"/>
  <c r="K243" i="22"/>
  <c r="Z243" i="22"/>
  <c r="R243" i="22"/>
  <c r="J243" i="22"/>
  <c r="B244" i="22"/>
  <c r="Y243" i="22"/>
  <c r="Q243" i="22"/>
  <c r="I243" i="22"/>
  <c r="AF243" i="22"/>
  <c r="X243" i="22"/>
  <c r="P243" i="22"/>
  <c r="H243" i="22"/>
  <c r="AE243" i="22"/>
  <c r="W243" i="22"/>
  <c r="O243" i="22"/>
  <c r="G243" i="22"/>
  <c r="AP46" i="22"/>
  <c r="AP47" i="22" l="1"/>
  <c r="Z244" i="22"/>
  <c r="R244" i="22"/>
  <c r="J244" i="22"/>
  <c r="B245" i="22"/>
  <c r="Y244" i="22"/>
  <c r="Q244" i="22"/>
  <c r="I244" i="22"/>
  <c r="AF244" i="22"/>
  <c r="X244" i="22"/>
  <c r="P244" i="22"/>
  <c r="H244" i="22"/>
  <c r="AE244" i="22"/>
  <c r="W244" i="22"/>
  <c r="O244" i="22"/>
  <c r="G244" i="22"/>
  <c r="AD244" i="22"/>
  <c r="V244" i="22"/>
  <c r="N244" i="22"/>
  <c r="F244" i="22"/>
  <c r="AC244" i="22"/>
  <c r="U244" i="22"/>
  <c r="M244" i="22"/>
  <c r="AB244" i="22"/>
  <c r="T244" i="22"/>
  <c r="L244" i="22"/>
  <c r="AA244" i="22"/>
  <c r="S244" i="22"/>
  <c r="K244" i="22"/>
  <c r="AP48" i="22" l="1"/>
  <c r="AD245" i="22"/>
  <c r="V245" i="22"/>
  <c r="N245" i="22"/>
  <c r="F245" i="22"/>
  <c r="AC245" i="22"/>
  <c r="U245" i="22"/>
  <c r="M245" i="22"/>
  <c r="AB245" i="22"/>
  <c r="T245" i="22"/>
  <c r="L245" i="22"/>
  <c r="AA245" i="22"/>
  <c r="S245" i="22"/>
  <c r="K245" i="22"/>
  <c r="Z245" i="22"/>
  <c r="R245" i="22"/>
  <c r="J245" i="22"/>
  <c r="B246" i="22"/>
  <c r="Y245" i="22"/>
  <c r="Q245" i="22"/>
  <c r="I245" i="22"/>
  <c r="AF245" i="22"/>
  <c r="X245" i="22"/>
  <c r="P245" i="22"/>
  <c r="H245" i="22"/>
  <c r="AE245" i="22"/>
  <c r="G245" i="22"/>
  <c r="W245" i="22"/>
  <c r="O245" i="22"/>
  <c r="AP49" i="22" l="1"/>
  <c r="AE246" i="22"/>
  <c r="Z246" i="22"/>
  <c r="R246" i="22"/>
  <c r="J246" i="22"/>
  <c r="Y246" i="22"/>
  <c r="Q246" i="22"/>
  <c r="I246" i="22"/>
  <c r="B247" i="22"/>
  <c r="X246" i="22"/>
  <c r="P246" i="22"/>
  <c r="H246" i="22"/>
  <c r="AF246" i="22"/>
  <c r="W246" i="22"/>
  <c r="O246" i="22"/>
  <c r="G246" i="22"/>
  <c r="AD246" i="22"/>
  <c r="V246" i="22"/>
  <c r="N246" i="22"/>
  <c r="F246" i="22"/>
  <c r="AC246" i="22"/>
  <c r="U246" i="22"/>
  <c r="M246" i="22"/>
  <c r="AB246" i="22"/>
  <c r="T246" i="22"/>
  <c r="L246" i="22"/>
  <c r="AA246" i="22"/>
  <c r="S246" i="22"/>
  <c r="K246" i="22"/>
  <c r="AD247" i="22" l="1"/>
  <c r="V247" i="22"/>
  <c r="N247" i="22"/>
  <c r="F247" i="22"/>
  <c r="AA247" i="22"/>
  <c r="S247" i="22"/>
  <c r="K247" i="22"/>
  <c r="B248" i="22"/>
  <c r="Y247" i="22"/>
  <c r="Q247" i="22"/>
  <c r="I247" i="22"/>
  <c r="AF247" i="22"/>
  <c r="X247" i="22"/>
  <c r="P247" i="22"/>
  <c r="W247" i="22"/>
  <c r="H247" i="22"/>
  <c r="U247" i="22"/>
  <c r="G247" i="22"/>
  <c r="T247" i="22"/>
  <c r="R247" i="22"/>
  <c r="AE247" i="22"/>
  <c r="O247" i="22"/>
  <c r="AC247" i="22"/>
  <c r="M247" i="22"/>
  <c r="AB247" i="22"/>
  <c r="L247" i="22"/>
  <c r="J247" i="22"/>
  <c r="Z247" i="22"/>
  <c r="AP50" i="22"/>
  <c r="Z248" i="22" l="1"/>
  <c r="R248" i="22"/>
  <c r="J248" i="22"/>
  <c r="AE248" i="22"/>
  <c r="W248" i="22"/>
  <c r="O248" i="22"/>
  <c r="G248" i="22"/>
  <c r="AC248" i="22"/>
  <c r="U248" i="22"/>
  <c r="M248" i="22"/>
  <c r="AB248" i="22"/>
  <c r="T248" i="22"/>
  <c r="L248" i="22"/>
  <c r="AA248" i="22"/>
  <c r="K248" i="22"/>
  <c r="Y248" i="22"/>
  <c r="I248" i="22"/>
  <c r="X248" i="22"/>
  <c r="H248" i="22"/>
  <c r="V248" i="22"/>
  <c r="F248" i="22"/>
  <c r="S248" i="22"/>
  <c r="B249" i="22"/>
  <c r="Q248" i="22"/>
  <c r="AF248" i="22"/>
  <c r="P248" i="22"/>
  <c r="AD248" i="22"/>
  <c r="N248" i="22"/>
  <c r="AP51" i="22"/>
  <c r="AD249" i="22" l="1"/>
  <c r="V249" i="22"/>
  <c r="N249" i="22"/>
  <c r="F249" i="22"/>
  <c r="AA249" i="22"/>
  <c r="S249" i="22"/>
  <c r="K249" i="22"/>
  <c r="B250" i="22"/>
  <c r="Y249" i="22"/>
  <c r="Q249" i="22"/>
  <c r="I249" i="22"/>
  <c r="AF249" i="22"/>
  <c r="X249" i="22"/>
  <c r="P249" i="22"/>
  <c r="H249" i="22"/>
  <c r="AE249" i="22"/>
  <c r="O249" i="22"/>
  <c r="AC249" i="22"/>
  <c r="M249" i="22"/>
  <c r="AB249" i="22"/>
  <c r="L249" i="22"/>
  <c r="Z249" i="22"/>
  <c r="J249" i="22"/>
  <c r="W249" i="22"/>
  <c r="G249" i="22"/>
  <c r="U249" i="22"/>
  <c r="T249" i="22"/>
  <c r="R249" i="22"/>
  <c r="AP52" i="22"/>
  <c r="Z250" i="22" l="1"/>
  <c r="R250" i="22"/>
  <c r="J250" i="22"/>
  <c r="AF250" i="22"/>
  <c r="AE250" i="22"/>
  <c r="W250" i="22"/>
  <c r="O250" i="22"/>
  <c r="G250" i="22"/>
  <c r="AC250" i="22"/>
  <c r="U250" i="22"/>
  <c r="M250" i="22"/>
  <c r="AB250" i="22"/>
  <c r="T250" i="22"/>
  <c r="L250" i="22"/>
  <c r="S250" i="22"/>
  <c r="Q250" i="22"/>
  <c r="B251" i="22"/>
  <c r="P250" i="22"/>
  <c r="AD250" i="22"/>
  <c r="N250" i="22"/>
  <c r="AA250" i="22"/>
  <c r="K250" i="22"/>
  <c r="Y250" i="22"/>
  <c r="I250" i="22"/>
  <c r="X250" i="22"/>
  <c r="H250" i="22"/>
  <c r="V250" i="22"/>
  <c r="F250" i="22"/>
  <c r="AP53" i="22"/>
  <c r="AP54" i="22" l="1"/>
  <c r="AD251" i="22"/>
  <c r="V251" i="22"/>
  <c r="N251" i="22"/>
  <c r="F251" i="22"/>
  <c r="AB251" i="22"/>
  <c r="T251" i="22"/>
  <c r="L251" i="22"/>
  <c r="AA251" i="22"/>
  <c r="S251" i="22"/>
  <c r="K251" i="22"/>
  <c r="Z251" i="22"/>
  <c r="R251" i="22"/>
  <c r="J251" i="22"/>
  <c r="B252" i="22"/>
  <c r="Y251" i="22"/>
  <c r="Q251" i="22"/>
  <c r="I251" i="22"/>
  <c r="AF251" i="22"/>
  <c r="X251" i="22"/>
  <c r="P251" i="22"/>
  <c r="H251" i="22"/>
  <c r="M251" i="22"/>
  <c r="G251" i="22"/>
  <c r="AE251" i="22"/>
  <c r="AC251" i="22"/>
  <c r="W251" i="22"/>
  <c r="U251" i="22"/>
  <c r="O251" i="22"/>
  <c r="Z252" i="22" l="1"/>
  <c r="R252" i="22"/>
  <c r="J252" i="22"/>
  <c r="AF252" i="22"/>
  <c r="X252" i="22"/>
  <c r="P252" i="22"/>
  <c r="H252" i="22"/>
  <c r="AE252" i="22"/>
  <c r="W252" i="22"/>
  <c r="O252" i="22"/>
  <c r="G252" i="22"/>
  <c r="AD252" i="22"/>
  <c r="V252" i="22"/>
  <c r="N252" i="22"/>
  <c r="F252" i="22"/>
  <c r="AC252" i="22"/>
  <c r="U252" i="22"/>
  <c r="M252" i="22"/>
  <c r="AB252" i="22"/>
  <c r="T252" i="22"/>
  <c r="L252" i="22"/>
  <c r="Q252" i="22"/>
  <c r="K252" i="22"/>
  <c r="I252" i="22"/>
  <c r="B253" i="22"/>
  <c r="AA252" i="22"/>
  <c r="Y252" i="22"/>
  <c r="S252" i="22"/>
  <c r="AP55" i="22"/>
  <c r="AP56" i="22" l="1"/>
  <c r="AD253" i="22"/>
  <c r="V253" i="22"/>
  <c r="N253" i="22"/>
  <c r="F253" i="22"/>
  <c r="AB253" i="22"/>
  <c r="T253" i="22"/>
  <c r="L253" i="22"/>
  <c r="AA253" i="22"/>
  <c r="S253" i="22"/>
  <c r="K253" i="22"/>
  <c r="Z253" i="22"/>
  <c r="R253" i="22"/>
  <c r="J253" i="22"/>
  <c r="B254" i="22"/>
  <c r="Y253" i="22"/>
  <c r="Q253" i="22"/>
  <c r="I253" i="22"/>
  <c r="AF253" i="22"/>
  <c r="X253" i="22"/>
  <c r="P253" i="22"/>
  <c r="H253" i="22"/>
  <c r="U253" i="22"/>
  <c r="O253" i="22"/>
  <c r="M253" i="22"/>
  <c r="G253" i="22"/>
  <c r="AE253" i="22"/>
  <c r="AC253" i="22"/>
  <c r="W253" i="22"/>
  <c r="Z254" i="22" l="1"/>
  <c r="R254" i="22"/>
  <c r="J254" i="22"/>
  <c r="B255" i="22"/>
  <c r="Y254" i="22"/>
  <c r="Q254" i="22"/>
  <c r="AF254" i="22"/>
  <c r="X254" i="22"/>
  <c r="P254" i="22"/>
  <c r="H254" i="22"/>
  <c r="AE254" i="22"/>
  <c r="W254" i="22"/>
  <c r="O254" i="22"/>
  <c r="G254" i="22"/>
  <c r="AD254" i="22"/>
  <c r="V254" i="22"/>
  <c r="N254" i="22"/>
  <c r="F254" i="22"/>
  <c r="AC254" i="22"/>
  <c r="U254" i="22"/>
  <c r="M254" i="22"/>
  <c r="AB254" i="22"/>
  <c r="T254" i="22"/>
  <c r="L254" i="22"/>
  <c r="AA254" i="22"/>
  <c r="S254" i="22"/>
  <c r="K254" i="22"/>
  <c r="I254" i="22"/>
  <c r="AP57" i="22"/>
  <c r="AD255" i="22" l="1"/>
  <c r="V255" i="22"/>
  <c r="N255" i="22"/>
  <c r="F255" i="22"/>
  <c r="AC255" i="22"/>
  <c r="U255" i="22"/>
  <c r="M255" i="22"/>
  <c r="AB255" i="22"/>
  <c r="T255" i="22"/>
  <c r="L255" i="22"/>
  <c r="AA255" i="22"/>
  <c r="S255" i="22"/>
  <c r="K255" i="22"/>
  <c r="Z255" i="22"/>
  <c r="R255" i="22"/>
  <c r="J255" i="22"/>
  <c r="B256" i="22"/>
  <c r="Y255" i="22"/>
  <c r="Q255" i="22"/>
  <c r="I255" i="22"/>
  <c r="AF255" i="22"/>
  <c r="X255" i="22"/>
  <c r="P255" i="22"/>
  <c r="H255" i="22"/>
  <c r="G255" i="22"/>
  <c r="AE255" i="22"/>
  <c r="W255" i="22"/>
  <c r="O255" i="22"/>
  <c r="AP58" i="22"/>
  <c r="AP59" i="22" l="1"/>
  <c r="Z256" i="22"/>
  <c r="R256" i="22"/>
  <c r="J256" i="22"/>
  <c r="B257" i="22"/>
  <c r="Y256" i="22"/>
  <c r="Q256" i="22"/>
  <c r="I256" i="22"/>
  <c r="AF256" i="22"/>
  <c r="X256" i="22"/>
  <c r="P256" i="22"/>
  <c r="H256" i="22"/>
  <c r="AE256" i="22"/>
  <c r="W256" i="22"/>
  <c r="O256" i="22"/>
  <c r="G256" i="22"/>
  <c r="AD256" i="22"/>
  <c r="V256" i="22"/>
  <c r="N256" i="22"/>
  <c r="F256" i="22"/>
  <c r="AC256" i="22"/>
  <c r="U256" i="22"/>
  <c r="M256" i="22"/>
  <c r="AB256" i="22"/>
  <c r="T256" i="22"/>
  <c r="L256" i="22"/>
  <c r="AA256" i="22"/>
  <c r="S256" i="22"/>
  <c r="K256" i="22"/>
  <c r="AD257" i="22" l="1"/>
  <c r="V257" i="22"/>
  <c r="N257" i="22"/>
  <c r="F257" i="22"/>
  <c r="AC257" i="22"/>
  <c r="U257" i="22"/>
  <c r="M257" i="22"/>
  <c r="AB257" i="22"/>
  <c r="T257" i="22"/>
  <c r="L257" i="22"/>
  <c r="AA257" i="22"/>
  <c r="S257" i="22"/>
  <c r="K257" i="22"/>
  <c r="Z257" i="22"/>
  <c r="R257" i="22"/>
  <c r="J257" i="22"/>
  <c r="B258" i="22"/>
  <c r="Y257" i="22"/>
  <c r="Q257" i="22"/>
  <c r="I257" i="22"/>
  <c r="AF257" i="22"/>
  <c r="X257" i="22"/>
  <c r="P257" i="22"/>
  <c r="H257" i="22"/>
  <c r="O257" i="22"/>
  <c r="G257" i="22"/>
  <c r="AE257" i="22"/>
  <c r="W257" i="22"/>
  <c r="AP60" i="22"/>
  <c r="AP61" i="22" l="1"/>
  <c r="Z258" i="22"/>
  <c r="R258" i="22"/>
  <c r="J258" i="22"/>
  <c r="B259" i="22"/>
  <c r="Y258" i="22"/>
  <c r="Q258" i="22"/>
  <c r="I258" i="22"/>
  <c r="AF258" i="22"/>
  <c r="X258" i="22"/>
  <c r="P258" i="22"/>
  <c r="H258" i="22"/>
  <c r="AE258" i="22"/>
  <c r="W258" i="22"/>
  <c r="O258" i="22"/>
  <c r="G258" i="22"/>
  <c r="AD258" i="22"/>
  <c r="V258" i="22"/>
  <c r="N258" i="22"/>
  <c r="F258" i="22"/>
  <c r="AC258" i="22"/>
  <c r="U258" i="22"/>
  <c r="M258" i="22"/>
  <c r="AB258" i="22"/>
  <c r="T258" i="22"/>
  <c r="L258" i="22"/>
  <c r="AA258" i="22"/>
  <c r="S258" i="22"/>
  <c r="K258" i="22"/>
  <c r="AD259" i="22" l="1"/>
  <c r="V259" i="22"/>
  <c r="N259" i="22"/>
  <c r="F259" i="22"/>
  <c r="AC259" i="22"/>
  <c r="U259" i="22"/>
  <c r="M259" i="22"/>
  <c r="AB259" i="22"/>
  <c r="T259" i="22"/>
  <c r="L259" i="22"/>
  <c r="AA259" i="22"/>
  <c r="S259" i="22"/>
  <c r="K259" i="22"/>
  <c r="Z259" i="22"/>
  <c r="R259" i="22"/>
  <c r="J259" i="22"/>
  <c r="B260" i="22"/>
  <c r="Y259" i="22"/>
  <c r="Q259" i="22"/>
  <c r="I259" i="22"/>
  <c r="AF259" i="22"/>
  <c r="X259" i="22"/>
  <c r="P259" i="22"/>
  <c r="H259" i="22"/>
  <c r="W259" i="22"/>
  <c r="O259" i="22"/>
  <c r="G259" i="22"/>
  <c r="AE259" i="22"/>
  <c r="AP62" i="22"/>
  <c r="AP63" i="22" l="1"/>
  <c r="Z260" i="22"/>
  <c r="R260" i="22"/>
  <c r="J260" i="22"/>
  <c r="B261" i="22"/>
  <c r="Y260" i="22"/>
  <c r="Q260" i="22"/>
  <c r="I260" i="22"/>
  <c r="AF260" i="22"/>
  <c r="X260" i="22"/>
  <c r="P260" i="22"/>
  <c r="H260" i="22"/>
  <c r="AE260" i="22"/>
  <c r="W260" i="22"/>
  <c r="O260" i="22"/>
  <c r="G260" i="22"/>
  <c r="AD260" i="22"/>
  <c r="V260" i="22"/>
  <c r="N260" i="22"/>
  <c r="F260" i="22"/>
  <c r="AC260" i="22"/>
  <c r="U260" i="22"/>
  <c r="M260" i="22"/>
  <c r="AB260" i="22"/>
  <c r="T260" i="22"/>
  <c r="L260" i="22"/>
  <c r="AA260" i="22"/>
  <c r="S260" i="22"/>
  <c r="K260" i="22"/>
  <c r="AP64" i="22" l="1"/>
  <c r="AD261" i="22"/>
  <c r="V261" i="22"/>
  <c r="N261" i="22"/>
  <c r="F261" i="22"/>
  <c r="AC261" i="22"/>
  <c r="U261" i="22"/>
  <c r="M261" i="22"/>
  <c r="AB261" i="22"/>
  <c r="T261" i="22"/>
  <c r="L261" i="22"/>
  <c r="AA261" i="22"/>
  <c r="S261" i="22"/>
  <c r="K261" i="22"/>
  <c r="Z261" i="22"/>
  <c r="R261" i="22"/>
  <c r="J261" i="22"/>
  <c r="B262" i="22"/>
  <c r="Y261" i="22"/>
  <c r="Q261" i="22"/>
  <c r="I261" i="22"/>
  <c r="AF261" i="22"/>
  <c r="X261" i="22"/>
  <c r="P261" i="22"/>
  <c r="H261" i="22"/>
  <c r="AE261" i="22"/>
  <c r="W261" i="22"/>
  <c r="O261" i="22"/>
  <c r="G261" i="22"/>
  <c r="Z262" i="22" l="1"/>
  <c r="R262" i="22"/>
  <c r="J262" i="22"/>
  <c r="B263" i="22"/>
  <c r="Y262" i="22"/>
  <c r="Q262" i="22"/>
  <c r="I262" i="22"/>
  <c r="AF262" i="22"/>
  <c r="X262" i="22"/>
  <c r="P262" i="22"/>
  <c r="H262" i="22"/>
  <c r="AE262" i="22"/>
  <c r="W262" i="22"/>
  <c r="O262" i="22"/>
  <c r="G262" i="22"/>
  <c r="AD262" i="22"/>
  <c r="V262" i="22"/>
  <c r="N262" i="22"/>
  <c r="F262" i="22"/>
  <c r="AC262" i="22"/>
  <c r="U262" i="22"/>
  <c r="M262" i="22"/>
  <c r="AB262" i="22"/>
  <c r="T262" i="22"/>
  <c r="L262" i="22"/>
  <c r="AA262" i="22"/>
  <c r="S262" i="22"/>
  <c r="K262" i="22"/>
  <c r="AY15" i="22"/>
  <c r="AY16" i="22" l="1"/>
  <c r="AD263" i="22"/>
  <c r="V263" i="22"/>
  <c r="N263" i="22"/>
  <c r="F263" i="22"/>
  <c r="AC263" i="22"/>
  <c r="U263" i="22"/>
  <c r="M263" i="22"/>
  <c r="AB263" i="22"/>
  <c r="T263" i="22"/>
  <c r="L263" i="22"/>
  <c r="AA263" i="22"/>
  <c r="S263" i="22"/>
  <c r="K263" i="22"/>
  <c r="Z263" i="22"/>
  <c r="R263" i="22"/>
  <c r="J263" i="22"/>
  <c r="B264" i="22"/>
  <c r="Y263" i="22"/>
  <c r="Q263" i="22"/>
  <c r="I263" i="22"/>
  <c r="AF263" i="22"/>
  <c r="X263" i="22"/>
  <c r="P263" i="22"/>
  <c r="H263" i="22"/>
  <c r="AE263" i="22"/>
  <c r="W263" i="22"/>
  <c r="O263" i="22"/>
  <c r="G263" i="22"/>
  <c r="Z264" i="22" l="1"/>
  <c r="R264" i="22"/>
  <c r="J264" i="22"/>
  <c r="B265" i="22"/>
  <c r="Y264" i="22"/>
  <c r="Q264" i="22"/>
  <c r="I264" i="22"/>
  <c r="AF264" i="22"/>
  <c r="X264" i="22"/>
  <c r="P264" i="22"/>
  <c r="H264" i="22"/>
  <c r="AE264" i="22"/>
  <c r="W264" i="22"/>
  <c r="O264" i="22"/>
  <c r="G264" i="22"/>
  <c r="AD264" i="22"/>
  <c r="V264" i="22"/>
  <c r="N264" i="22"/>
  <c r="F264" i="22"/>
  <c r="AC264" i="22"/>
  <c r="U264" i="22"/>
  <c r="M264" i="22"/>
  <c r="AB264" i="22"/>
  <c r="T264" i="22"/>
  <c r="L264" i="22"/>
  <c r="K264" i="22"/>
  <c r="AA264" i="22"/>
  <c r="S264" i="22"/>
  <c r="AY17" i="22"/>
  <c r="AD265" i="22" l="1"/>
  <c r="V265" i="22"/>
  <c r="N265" i="22"/>
  <c r="F265" i="22"/>
  <c r="AC265" i="22"/>
  <c r="U265" i="22"/>
  <c r="M265" i="22"/>
  <c r="AB265" i="22"/>
  <c r="T265" i="22"/>
  <c r="L265" i="22"/>
  <c r="AA265" i="22"/>
  <c r="S265" i="22"/>
  <c r="K265" i="22"/>
  <c r="Z265" i="22"/>
  <c r="R265" i="22"/>
  <c r="J265" i="22"/>
  <c r="B266" i="22"/>
  <c r="Y265" i="22"/>
  <c r="Q265" i="22"/>
  <c r="I265" i="22"/>
  <c r="AF265" i="22"/>
  <c r="X265" i="22"/>
  <c r="P265" i="22"/>
  <c r="H265" i="22"/>
  <c r="AE265" i="22"/>
  <c r="W265" i="22"/>
  <c r="O265" i="22"/>
  <c r="G265" i="22"/>
  <c r="AY18" i="22"/>
  <c r="AY19" i="22" l="1"/>
  <c r="Z266" i="22"/>
  <c r="R266" i="22"/>
  <c r="J266" i="22"/>
  <c r="B267" i="22"/>
  <c r="Y266" i="22"/>
  <c r="Q266" i="22"/>
  <c r="I266" i="22"/>
  <c r="AF266" i="22"/>
  <c r="X266" i="22"/>
  <c r="P266" i="22"/>
  <c r="H266" i="22"/>
  <c r="AE266" i="22"/>
  <c r="W266" i="22"/>
  <c r="O266" i="22"/>
  <c r="G266" i="22"/>
  <c r="AD266" i="22"/>
  <c r="V266" i="22"/>
  <c r="N266" i="22"/>
  <c r="F266" i="22"/>
  <c r="AC266" i="22"/>
  <c r="U266" i="22"/>
  <c r="M266" i="22"/>
  <c r="AB266" i="22"/>
  <c r="T266" i="22"/>
  <c r="L266" i="22"/>
  <c r="S266" i="22"/>
  <c r="K266" i="22"/>
  <c r="AA266" i="22"/>
  <c r="AD267" i="22" l="1"/>
  <c r="V267" i="22"/>
  <c r="N267" i="22"/>
  <c r="F267" i="22"/>
  <c r="AC267" i="22"/>
  <c r="U267" i="22"/>
  <c r="M267" i="22"/>
  <c r="AB267" i="22"/>
  <c r="T267" i="22"/>
  <c r="L267" i="22"/>
  <c r="AA267" i="22"/>
  <c r="S267" i="22"/>
  <c r="K267" i="22"/>
  <c r="Z267" i="22"/>
  <c r="R267" i="22"/>
  <c r="J267" i="22"/>
  <c r="B268" i="22"/>
  <c r="Y267" i="22"/>
  <c r="Q267" i="22"/>
  <c r="I267" i="22"/>
  <c r="AF267" i="22"/>
  <c r="X267" i="22"/>
  <c r="P267" i="22"/>
  <c r="H267" i="22"/>
  <c r="AE267" i="22"/>
  <c r="W267" i="22"/>
  <c r="O267" i="22"/>
  <c r="G267" i="22"/>
  <c r="AY20" i="22"/>
  <c r="AY21" i="22" l="1"/>
  <c r="B269" i="22"/>
  <c r="Y268" i="22"/>
  <c r="Q268" i="22"/>
  <c r="AF268" i="22"/>
  <c r="X268" i="22"/>
  <c r="P268" i="22"/>
  <c r="AE268" i="22"/>
  <c r="W268" i="22"/>
  <c r="O268" i="22"/>
  <c r="AD268" i="22"/>
  <c r="V268" i="22"/>
  <c r="AC268" i="22"/>
  <c r="U268" i="22"/>
  <c r="M268" i="22"/>
  <c r="AB268" i="22"/>
  <c r="T268" i="22"/>
  <c r="AA268" i="22"/>
  <c r="S268" i="22"/>
  <c r="J268" i="22"/>
  <c r="I268" i="22"/>
  <c r="H268" i="22"/>
  <c r="Z268" i="22"/>
  <c r="G268" i="22"/>
  <c r="R268" i="22"/>
  <c r="F268" i="22"/>
  <c r="N268" i="22"/>
  <c r="L268" i="22"/>
  <c r="K268" i="22"/>
  <c r="AC269" i="22" l="1"/>
  <c r="U269" i="22"/>
  <c r="M269" i="22"/>
  <c r="AB269" i="22"/>
  <c r="T269" i="22"/>
  <c r="L269" i="22"/>
  <c r="AA269" i="22"/>
  <c r="S269" i="22"/>
  <c r="K269" i="22"/>
  <c r="Z269" i="22"/>
  <c r="R269" i="22"/>
  <c r="J269" i="22"/>
  <c r="B270" i="22"/>
  <c r="Y269" i="22"/>
  <c r="Q269" i="22"/>
  <c r="I269" i="22"/>
  <c r="AF269" i="22"/>
  <c r="X269" i="22"/>
  <c r="P269" i="22"/>
  <c r="H269" i="22"/>
  <c r="AE269" i="22"/>
  <c r="W269" i="22"/>
  <c r="O269" i="22"/>
  <c r="G269" i="22"/>
  <c r="V269" i="22"/>
  <c r="N269" i="22"/>
  <c r="F269" i="22"/>
  <c r="AD269" i="22"/>
  <c r="AY22" i="22"/>
  <c r="AY23" i="22" l="1"/>
  <c r="B271" i="22"/>
  <c r="Y270" i="22"/>
  <c r="Q270" i="22"/>
  <c r="I270" i="22"/>
  <c r="AF270" i="22"/>
  <c r="X270" i="22"/>
  <c r="P270" i="22"/>
  <c r="H270" i="22"/>
  <c r="AE270" i="22"/>
  <c r="W270" i="22"/>
  <c r="O270" i="22"/>
  <c r="G270" i="22"/>
  <c r="AD270" i="22"/>
  <c r="V270" i="22"/>
  <c r="N270" i="22"/>
  <c r="F270" i="22"/>
  <c r="AC270" i="22"/>
  <c r="U270" i="22"/>
  <c r="M270" i="22"/>
  <c r="AB270" i="22"/>
  <c r="T270" i="22"/>
  <c r="L270" i="22"/>
  <c r="AA270" i="22"/>
  <c r="S270" i="22"/>
  <c r="K270" i="22"/>
  <c r="Z270" i="22"/>
  <c r="R270" i="22"/>
  <c r="J270" i="22"/>
  <c r="AC271" i="22" l="1"/>
  <c r="U271" i="22"/>
  <c r="M271" i="22"/>
  <c r="AB271" i="22"/>
  <c r="T271" i="22"/>
  <c r="L271" i="22"/>
  <c r="AA271" i="22"/>
  <c r="S271" i="22"/>
  <c r="K271" i="22"/>
  <c r="Z271" i="22"/>
  <c r="R271" i="22"/>
  <c r="J271" i="22"/>
  <c r="B272" i="22"/>
  <c r="Y271" i="22"/>
  <c r="Q271" i="22"/>
  <c r="I271" i="22"/>
  <c r="AF271" i="22"/>
  <c r="X271" i="22"/>
  <c r="P271" i="22"/>
  <c r="H271" i="22"/>
  <c r="AE271" i="22"/>
  <c r="W271" i="22"/>
  <c r="O271" i="22"/>
  <c r="G271" i="22"/>
  <c r="AD271" i="22"/>
  <c r="V271" i="22"/>
  <c r="N271" i="22"/>
  <c r="F271" i="22"/>
  <c r="AY24" i="22"/>
  <c r="B273" i="22" l="1"/>
  <c r="Y272" i="22"/>
  <c r="Q272" i="22"/>
  <c r="I272" i="22"/>
  <c r="AF272" i="22"/>
  <c r="X272" i="22"/>
  <c r="P272" i="22"/>
  <c r="H272" i="22"/>
  <c r="AE272" i="22"/>
  <c r="W272" i="22"/>
  <c r="O272" i="22"/>
  <c r="G272" i="22"/>
  <c r="AD272" i="22"/>
  <c r="V272" i="22"/>
  <c r="N272" i="22"/>
  <c r="F272" i="22"/>
  <c r="AC272" i="22"/>
  <c r="U272" i="22"/>
  <c r="M272" i="22"/>
  <c r="AB272" i="22"/>
  <c r="T272" i="22"/>
  <c r="L272" i="22"/>
  <c r="AA272" i="22"/>
  <c r="S272" i="22"/>
  <c r="K272" i="22"/>
  <c r="Z272" i="22"/>
  <c r="R272" i="22"/>
  <c r="J272" i="22"/>
  <c r="AY25" i="22"/>
  <c r="AY26" i="22" l="1"/>
  <c r="AC273" i="22"/>
  <c r="U273" i="22"/>
  <c r="M273" i="22"/>
  <c r="AB273" i="22"/>
  <c r="T273" i="22"/>
  <c r="L273" i="22"/>
  <c r="AA273" i="22"/>
  <c r="S273" i="22"/>
  <c r="K273" i="22"/>
  <c r="Z273" i="22"/>
  <c r="R273" i="22"/>
  <c r="J273" i="22"/>
  <c r="B274" i="22"/>
  <c r="Y273" i="22"/>
  <c r="Q273" i="22"/>
  <c r="I273" i="22"/>
  <c r="AF273" i="22"/>
  <c r="X273" i="22"/>
  <c r="P273" i="22"/>
  <c r="H273" i="22"/>
  <c r="AE273" i="22"/>
  <c r="W273" i="22"/>
  <c r="O273" i="22"/>
  <c r="G273" i="22"/>
  <c r="AD273" i="22"/>
  <c r="V273" i="22"/>
  <c r="N273" i="22"/>
  <c r="F273" i="22"/>
  <c r="B275" i="22" l="1"/>
  <c r="Y274" i="22"/>
  <c r="Q274" i="22"/>
  <c r="I274" i="22"/>
  <c r="AF274" i="22"/>
  <c r="X274" i="22"/>
  <c r="P274" i="22"/>
  <c r="H274" i="22"/>
  <c r="AE274" i="22"/>
  <c r="W274" i="22"/>
  <c r="O274" i="22"/>
  <c r="G274" i="22"/>
  <c r="AD274" i="22"/>
  <c r="V274" i="22"/>
  <c r="N274" i="22"/>
  <c r="F274" i="22"/>
  <c r="AC274" i="22"/>
  <c r="U274" i="22"/>
  <c r="M274" i="22"/>
  <c r="AB274" i="22"/>
  <c r="T274" i="22"/>
  <c r="L274" i="22"/>
  <c r="AA274" i="22"/>
  <c r="S274" i="22"/>
  <c r="K274" i="22"/>
  <c r="J274" i="22"/>
  <c r="Z274" i="22"/>
  <c r="R274" i="22"/>
  <c r="AY27" i="22"/>
  <c r="AY28" i="22" l="1"/>
  <c r="AC275" i="22"/>
  <c r="U275" i="22"/>
  <c r="M275" i="22"/>
  <c r="AB275" i="22"/>
  <c r="T275" i="22"/>
  <c r="L275" i="22"/>
  <c r="AA275" i="22"/>
  <c r="S275" i="22"/>
  <c r="K275" i="22"/>
  <c r="Z275" i="22"/>
  <c r="R275" i="22"/>
  <c r="J275" i="22"/>
  <c r="B276" i="22"/>
  <c r="Y275" i="22"/>
  <c r="Q275" i="22"/>
  <c r="I275" i="22"/>
  <c r="AF275" i="22"/>
  <c r="X275" i="22"/>
  <c r="P275" i="22"/>
  <c r="H275" i="22"/>
  <c r="AE275" i="22"/>
  <c r="W275" i="22"/>
  <c r="O275" i="22"/>
  <c r="G275" i="22"/>
  <c r="AD275" i="22"/>
  <c r="V275" i="22"/>
  <c r="N275" i="22"/>
  <c r="F275" i="22"/>
  <c r="B277" i="22" l="1"/>
  <c r="Y276" i="22"/>
  <c r="Q276" i="22"/>
  <c r="I276" i="22"/>
  <c r="AF276" i="22"/>
  <c r="X276" i="22"/>
  <c r="P276" i="22"/>
  <c r="H276" i="22"/>
  <c r="AE276" i="22"/>
  <c r="W276" i="22"/>
  <c r="O276" i="22"/>
  <c r="G276" i="22"/>
  <c r="AD276" i="22"/>
  <c r="V276" i="22"/>
  <c r="N276" i="22"/>
  <c r="F276" i="22"/>
  <c r="AC276" i="22"/>
  <c r="U276" i="22"/>
  <c r="M276" i="22"/>
  <c r="AB276" i="22"/>
  <c r="T276" i="22"/>
  <c r="L276" i="22"/>
  <c r="AA276" i="22"/>
  <c r="S276" i="22"/>
  <c r="K276" i="22"/>
  <c r="R276" i="22"/>
  <c r="J276" i="22"/>
  <c r="Z276" i="22"/>
  <c r="AY29" i="22"/>
  <c r="AY30" i="22" l="1"/>
  <c r="AC277" i="22"/>
  <c r="U277" i="22"/>
  <c r="M277" i="22"/>
  <c r="AB277" i="22"/>
  <c r="T277" i="22"/>
  <c r="L277" i="22"/>
  <c r="AA277" i="22"/>
  <c r="S277" i="22"/>
  <c r="K277" i="22"/>
  <c r="Z277" i="22"/>
  <c r="R277" i="22"/>
  <c r="J277" i="22"/>
  <c r="B278" i="22"/>
  <c r="Y277" i="22"/>
  <c r="Q277" i="22"/>
  <c r="I277" i="22"/>
  <c r="AF277" i="22"/>
  <c r="X277" i="22"/>
  <c r="P277" i="22"/>
  <c r="H277" i="22"/>
  <c r="AE277" i="22"/>
  <c r="W277" i="22"/>
  <c r="O277" i="22"/>
  <c r="G277" i="22"/>
  <c r="AD277" i="22"/>
  <c r="V277" i="22"/>
  <c r="N277" i="22"/>
  <c r="F277" i="22"/>
  <c r="B279" i="22" l="1"/>
  <c r="Y278" i="22"/>
  <c r="Q278" i="22"/>
  <c r="I278" i="22"/>
  <c r="AF278" i="22"/>
  <c r="X278" i="22"/>
  <c r="P278" i="22"/>
  <c r="H278" i="22"/>
  <c r="AE278" i="22"/>
  <c r="W278" i="22"/>
  <c r="O278" i="22"/>
  <c r="G278" i="22"/>
  <c r="AD278" i="22"/>
  <c r="V278" i="22"/>
  <c r="N278" i="22"/>
  <c r="F278" i="22"/>
  <c r="AC278" i="22"/>
  <c r="U278" i="22"/>
  <c r="M278" i="22"/>
  <c r="AB278" i="22"/>
  <c r="T278" i="22"/>
  <c r="L278" i="22"/>
  <c r="AA278" i="22"/>
  <c r="S278" i="22"/>
  <c r="K278" i="22"/>
  <c r="Z278" i="22"/>
  <c r="R278" i="22"/>
  <c r="J278" i="22"/>
  <c r="AY31" i="22"/>
  <c r="AY32" i="22" l="1"/>
  <c r="AC279" i="22"/>
  <c r="U279" i="22"/>
  <c r="M279" i="22"/>
  <c r="AB279" i="22"/>
  <c r="T279" i="22"/>
  <c r="L279" i="22"/>
  <c r="AA279" i="22"/>
  <c r="S279" i="22"/>
  <c r="K279" i="22"/>
  <c r="Z279" i="22"/>
  <c r="R279" i="22"/>
  <c r="J279" i="22"/>
  <c r="B280" i="22"/>
  <c r="Y279" i="22"/>
  <c r="Q279" i="22"/>
  <c r="I279" i="22"/>
  <c r="AF279" i="22"/>
  <c r="X279" i="22"/>
  <c r="P279" i="22"/>
  <c r="H279" i="22"/>
  <c r="AE279" i="22"/>
  <c r="W279" i="22"/>
  <c r="O279" i="22"/>
  <c r="G279" i="22"/>
  <c r="AD279" i="22"/>
  <c r="V279" i="22"/>
  <c r="N279" i="22"/>
  <c r="F279" i="22"/>
  <c r="B281" i="22" l="1"/>
  <c r="Y280" i="22"/>
  <c r="Q280" i="22"/>
  <c r="I280" i="22"/>
  <c r="AF280" i="22"/>
  <c r="X280" i="22"/>
  <c r="P280" i="22"/>
  <c r="H280" i="22"/>
  <c r="AE280" i="22"/>
  <c r="W280" i="22"/>
  <c r="O280" i="22"/>
  <c r="G280" i="22"/>
  <c r="AD280" i="22"/>
  <c r="V280" i="22"/>
  <c r="N280" i="22"/>
  <c r="F280" i="22"/>
  <c r="AC280" i="22"/>
  <c r="U280" i="22"/>
  <c r="M280" i="22"/>
  <c r="AB280" i="22"/>
  <c r="T280" i="22"/>
  <c r="L280" i="22"/>
  <c r="AA280" i="22"/>
  <c r="S280" i="22"/>
  <c r="K280" i="22"/>
  <c r="Z280" i="22"/>
  <c r="R280" i="22"/>
  <c r="J280" i="22"/>
  <c r="AY33" i="22"/>
  <c r="AY34" i="22" l="1"/>
  <c r="AC281" i="22"/>
  <c r="U281" i="22"/>
  <c r="M281" i="22"/>
  <c r="AB281" i="22"/>
  <c r="T281" i="22"/>
  <c r="L281" i="22"/>
  <c r="AA281" i="22"/>
  <c r="S281" i="22"/>
  <c r="K281" i="22"/>
  <c r="Z281" i="22"/>
  <c r="R281" i="22"/>
  <c r="J281" i="22"/>
  <c r="B282" i="22"/>
  <c r="Y281" i="22"/>
  <c r="Q281" i="22"/>
  <c r="I281" i="22"/>
  <c r="AF281" i="22"/>
  <c r="X281" i="22"/>
  <c r="P281" i="22"/>
  <c r="H281" i="22"/>
  <c r="AE281" i="22"/>
  <c r="W281" i="22"/>
  <c r="O281" i="22"/>
  <c r="G281" i="22"/>
  <c r="F281" i="22"/>
  <c r="AD281" i="22"/>
  <c r="V281" i="22"/>
  <c r="N281" i="22"/>
  <c r="B283" i="22" l="1"/>
  <c r="Y282" i="22"/>
  <c r="Q282" i="22"/>
  <c r="I282" i="22"/>
  <c r="AF282" i="22"/>
  <c r="X282" i="22"/>
  <c r="P282" i="22"/>
  <c r="H282" i="22"/>
  <c r="AE282" i="22"/>
  <c r="W282" i="22"/>
  <c r="O282" i="22"/>
  <c r="G282" i="22"/>
  <c r="AD282" i="22"/>
  <c r="V282" i="22"/>
  <c r="N282" i="22"/>
  <c r="F282" i="22"/>
  <c r="AC282" i="22"/>
  <c r="U282" i="22"/>
  <c r="M282" i="22"/>
  <c r="AB282" i="22"/>
  <c r="T282" i="22"/>
  <c r="L282" i="22"/>
  <c r="AA282" i="22"/>
  <c r="S282" i="22"/>
  <c r="K282" i="22"/>
  <c r="Z282" i="22"/>
  <c r="R282" i="22"/>
  <c r="J282" i="22"/>
  <c r="AY35" i="22"/>
  <c r="AY36" i="22" l="1"/>
  <c r="AC283" i="22"/>
  <c r="U283" i="22"/>
  <c r="M283" i="22"/>
  <c r="AB283" i="22"/>
  <c r="T283" i="22"/>
  <c r="L283" i="22"/>
  <c r="AA283" i="22"/>
  <c r="S283" i="22"/>
  <c r="K283" i="22"/>
  <c r="Z283" i="22"/>
  <c r="R283" i="22"/>
  <c r="J283" i="22"/>
  <c r="B284" i="22"/>
  <c r="Y283" i="22"/>
  <c r="Q283" i="22"/>
  <c r="I283" i="22"/>
  <c r="AF283" i="22"/>
  <c r="X283" i="22"/>
  <c r="P283" i="22"/>
  <c r="H283" i="22"/>
  <c r="AE283" i="22"/>
  <c r="W283" i="22"/>
  <c r="O283" i="22"/>
  <c r="G283" i="22"/>
  <c r="N283" i="22"/>
  <c r="F283" i="22"/>
  <c r="AD283" i="22"/>
  <c r="V283" i="22"/>
  <c r="AY37" i="22" l="1"/>
  <c r="B285" i="22"/>
  <c r="Y284" i="22"/>
  <c r="Q284" i="22"/>
  <c r="I284" i="22"/>
  <c r="AF284" i="22"/>
  <c r="X284" i="22"/>
  <c r="P284" i="22"/>
  <c r="H284" i="22"/>
  <c r="AE284" i="22"/>
  <c r="W284" i="22"/>
  <c r="O284" i="22"/>
  <c r="G284" i="22"/>
  <c r="AD284" i="22"/>
  <c r="V284" i="22"/>
  <c r="N284" i="22"/>
  <c r="F284" i="22"/>
  <c r="AC284" i="22"/>
  <c r="U284" i="22"/>
  <c r="M284" i="22"/>
  <c r="AB284" i="22"/>
  <c r="T284" i="22"/>
  <c r="L284" i="22"/>
  <c r="AA284" i="22"/>
  <c r="S284" i="22"/>
  <c r="K284" i="22"/>
  <c r="Z284" i="22"/>
  <c r="R284" i="22"/>
  <c r="J284" i="22"/>
  <c r="AC285" i="22" l="1"/>
  <c r="U285" i="22"/>
  <c r="M285" i="22"/>
  <c r="AB285" i="22"/>
  <c r="T285" i="22"/>
  <c r="L285" i="22"/>
  <c r="AA285" i="22"/>
  <c r="S285" i="22"/>
  <c r="K285" i="22"/>
  <c r="Z285" i="22"/>
  <c r="R285" i="22"/>
  <c r="J285" i="22"/>
  <c r="B286" i="22"/>
  <c r="Y285" i="22"/>
  <c r="Q285" i="22"/>
  <c r="I285" i="22"/>
  <c r="AF285" i="22"/>
  <c r="X285" i="22"/>
  <c r="P285" i="22"/>
  <c r="H285" i="22"/>
  <c r="AE285" i="22"/>
  <c r="W285" i="22"/>
  <c r="O285" i="22"/>
  <c r="G285" i="22"/>
  <c r="V285" i="22"/>
  <c r="N285" i="22"/>
  <c r="F285" i="22"/>
  <c r="AD285" i="22"/>
  <c r="AY38" i="22"/>
  <c r="B287" i="22" l="1"/>
  <c r="Y286" i="22"/>
  <c r="Q286" i="22"/>
  <c r="I286" i="22"/>
  <c r="AF286" i="22"/>
  <c r="X286" i="22"/>
  <c r="P286" i="22"/>
  <c r="H286" i="22"/>
  <c r="AE286" i="22"/>
  <c r="W286" i="22"/>
  <c r="O286" i="22"/>
  <c r="G286" i="22"/>
  <c r="AD286" i="22"/>
  <c r="V286" i="22"/>
  <c r="N286" i="22"/>
  <c r="F286" i="22"/>
  <c r="AC286" i="22"/>
  <c r="U286" i="22"/>
  <c r="M286" i="22"/>
  <c r="AB286" i="22"/>
  <c r="T286" i="22"/>
  <c r="L286" i="22"/>
  <c r="AA286" i="22"/>
  <c r="S286" i="22"/>
  <c r="K286" i="22"/>
  <c r="Z286" i="22"/>
  <c r="R286" i="22"/>
  <c r="J286" i="22"/>
  <c r="AY39" i="22"/>
  <c r="AY40" i="22" l="1"/>
  <c r="AC287" i="22"/>
  <c r="U287" i="22"/>
  <c r="M287" i="22"/>
  <c r="AB287" i="22"/>
  <c r="T287" i="22"/>
  <c r="L287" i="22"/>
  <c r="AA287" i="22"/>
  <c r="S287" i="22"/>
  <c r="K287" i="22"/>
  <c r="Z287" i="22"/>
  <c r="R287" i="22"/>
  <c r="J287" i="22"/>
  <c r="B288" i="22"/>
  <c r="Y287" i="22"/>
  <c r="Q287" i="22"/>
  <c r="I287" i="22"/>
  <c r="AF287" i="22"/>
  <c r="X287" i="22"/>
  <c r="P287" i="22"/>
  <c r="H287" i="22"/>
  <c r="AE287" i="22"/>
  <c r="W287" i="22"/>
  <c r="O287" i="22"/>
  <c r="G287" i="22"/>
  <c r="AD287" i="22"/>
  <c r="V287" i="22"/>
  <c r="N287" i="22"/>
  <c r="F287" i="22"/>
  <c r="B289" i="22" l="1"/>
  <c r="Y288" i="22"/>
  <c r="Q288" i="22"/>
  <c r="I288" i="22"/>
  <c r="AF288" i="22"/>
  <c r="X288" i="22"/>
  <c r="P288" i="22"/>
  <c r="H288" i="22"/>
  <c r="AE288" i="22"/>
  <c r="W288" i="22"/>
  <c r="O288" i="22"/>
  <c r="G288" i="22"/>
  <c r="AD288" i="22"/>
  <c r="V288" i="22"/>
  <c r="N288" i="22"/>
  <c r="F288" i="22"/>
  <c r="AC288" i="22"/>
  <c r="U288" i="22"/>
  <c r="M288" i="22"/>
  <c r="AB288" i="22"/>
  <c r="T288" i="22"/>
  <c r="L288" i="22"/>
  <c r="AA288" i="22"/>
  <c r="S288" i="22"/>
  <c r="K288" i="22"/>
  <c r="Z288" i="22"/>
  <c r="R288" i="22"/>
  <c r="J288" i="22"/>
  <c r="AY41" i="22"/>
  <c r="AY42" i="22" l="1"/>
  <c r="AF289" i="22"/>
  <c r="AE289" i="22"/>
  <c r="AD289" i="22"/>
  <c r="AC289" i="22"/>
  <c r="AB289" i="22"/>
  <c r="Z289" i="22"/>
  <c r="B290" i="22"/>
  <c r="Y289" i="22"/>
  <c r="U289" i="22"/>
  <c r="M289" i="22"/>
  <c r="T289" i="22"/>
  <c r="L289" i="22"/>
  <c r="S289" i="22"/>
  <c r="K289" i="22"/>
  <c r="R289" i="22"/>
  <c r="J289" i="22"/>
  <c r="AA289" i="22"/>
  <c r="Q289" i="22"/>
  <c r="I289" i="22"/>
  <c r="X289" i="22"/>
  <c r="P289" i="22"/>
  <c r="H289" i="22"/>
  <c r="W289" i="22"/>
  <c r="O289" i="22"/>
  <c r="G289" i="22"/>
  <c r="V289" i="22"/>
  <c r="N289" i="22"/>
  <c r="F289" i="22"/>
  <c r="AY43" i="22" l="1"/>
  <c r="AB290" i="22"/>
  <c r="T290" i="22"/>
  <c r="L290" i="22"/>
  <c r="AA290" i="22"/>
  <c r="S290" i="22"/>
  <c r="K290" i="22"/>
  <c r="Z290" i="22"/>
  <c r="R290" i="22"/>
  <c r="J290" i="22"/>
  <c r="B291" i="22"/>
  <c r="Y290" i="22"/>
  <c r="Q290" i="22"/>
  <c r="I290" i="22"/>
  <c r="AF290" i="22"/>
  <c r="X290" i="22"/>
  <c r="P290" i="22"/>
  <c r="H290" i="22"/>
  <c r="AD290" i="22"/>
  <c r="V290" i="22"/>
  <c r="N290" i="22"/>
  <c r="F290" i="22"/>
  <c r="AC290" i="22"/>
  <c r="U290" i="22"/>
  <c r="M290" i="22"/>
  <c r="AE290" i="22"/>
  <c r="W290" i="22"/>
  <c r="O290" i="22"/>
  <c r="G290" i="22"/>
  <c r="AF291" i="22" l="1"/>
  <c r="X291" i="22"/>
  <c r="P291" i="22"/>
  <c r="H291" i="22"/>
  <c r="AE291" i="22"/>
  <c r="W291" i="22"/>
  <c r="O291" i="22"/>
  <c r="G291" i="22"/>
  <c r="AD291" i="22"/>
  <c r="V291" i="22"/>
  <c r="N291" i="22"/>
  <c r="F291" i="22"/>
  <c r="AC291" i="22"/>
  <c r="U291" i="22"/>
  <c r="M291" i="22"/>
  <c r="AB291" i="22"/>
  <c r="T291" i="22"/>
  <c r="L291" i="22"/>
  <c r="Z291" i="22"/>
  <c r="R291" i="22"/>
  <c r="J291" i="22"/>
  <c r="B292" i="22"/>
  <c r="Y291" i="22"/>
  <c r="Q291" i="22"/>
  <c r="I291" i="22"/>
  <c r="AA291" i="22"/>
  <c r="S291" i="22"/>
  <c r="K291" i="22"/>
  <c r="AY44" i="22"/>
  <c r="AY45" i="22" l="1"/>
  <c r="AB292" i="22"/>
  <c r="T292" i="22"/>
  <c r="L292" i="22"/>
  <c r="AA292" i="22"/>
  <c r="S292" i="22"/>
  <c r="K292" i="22"/>
  <c r="Z292" i="22"/>
  <c r="R292" i="22"/>
  <c r="J292" i="22"/>
  <c r="B293" i="22"/>
  <c r="Y292" i="22"/>
  <c r="Q292" i="22"/>
  <c r="I292" i="22"/>
  <c r="AF292" i="22"/>
  <c r="X292" i="22"/>
  <c r="P292" i="22"/>
  <c r="H292" i="22"/>
  <c r="AD292" i="22"/>
  <c r="V292" i="22"/>
  <c r="N292" i="22"/>
  <c r="F292" i="22"/>
  <c r="AC292" i="22"/>
  <c r="U292" i="22"/>
  <c r="M292" i="22"/>
  <c r="AE292" i="22"/>
  <c r="W292" i="22"/>
  <c r="O292" i="22"/>
  <c r="G292" i="22"/>
  <c r="AF293" i="22" l="1"/>
  <c r="X293" i="22"/>
  <c r="P293" i="22"/>
  <c r="H293" i="22"/>
  <c r="AE293" i="22"/>
  <c r="W293" i="22"/>
  <c r="O293" i="22"/>
  <c r="G293" i="22"/>
  <c r="AD293" i="22"/>
  <c r="V293" i="22"/>
  <c r="N293" i="22"/>
  <c r="F293" i="22"/>
  <c r="AC293" i="22"/>
  <c r="U293" i="22"/>
  <c r="M293" i="22"/>
  <c r="AB293" i="22"/>
  <c r="T293" i="22"/>
  <c r="L293" i="22"/>
  <c r="Z293" i="22"/>
  <c r="R293" i="22"/>
  <c r="J293" i="22"/>
  <c r="B294" i="22"/>
  <c r="Y293" i="22"/>
  <c r="Q293" i="22"/>
  <c r="I293" i="22"/>
  <c r="K293" i="22"/>
  <c r="AA293" i="22"/>
  <c r="S293" i="22"/>
  <c r="AY46" i="22"/>
  <c r="AY47" i="22" l="1"/>
  <c r="AB294" i="22"/>
  <c r="T294" i="22"/>
  <c r="L294" i="22"/>
  <c r="AA294" i="22"/>
  <c r="S294" i="22"/>
  <c r="K294" i="22"/>
  <c r="Z294" i="22"/>
  <c r="R294" i="22"/>
  <c r="J294" i="22"/>
  <c r="B295" i="22"/>
  <c r="Y294" i="22"/>
  <c r="Q294" i="22"/>
  <c r="I294" i="22"/>
  <c r="AF294" i="22"/>
  <c r="X294" i="22"/>
  <c r="P294" i="22"/>
  <c r="H294" i="22"/>
  <c r="AD294" i="22"/>
  <c r="V294" i="22"/>
  <c r="N294" i="22"/>
  <c r="F294" i="22"/>
  <c r="AC294" i="22"/>
  <c r="U294" i="22"/>
  <c r="M294" i="22"/>
  <c r="AE294" i="22"/>
  <c r="W294" i="22"/>
  <c r="O294" i="22"/>
  <c r="G294" i="22"/>
  <c r="AY48" i="22" l="1"/>
  <c r="AF295" i="22"/>
  <c r="X295" i="22"/>
  <c r="P295" i="22"/>
  <c r="H295" i="22"/>
  <c r="AE295" i="22"/>
  <c r="W295" i="22"/>
  <c r="O295" i="22"/>
  <c r="G295" i="22"/>
  <c r="AD295" i="22"/>
  <c r="V295" i="22"/>
  <c r="N295" i="22"/>
  <c r="F295" i="22"/>
  <c r="AC295" i="22"/>
  <c r="U295" i="22"/>
  <c r="M295" i="22"/>
  <c r="AB295" i="22"/>
  <c r="T295" i="22"/>
  <c r="L295" i="22"/>
  <c r="Z295" i="22"/>
  <c r="R295" i="22"/>
  <c r="J295" i="22"/>
  <c r="B296" i="22"/>
  <c r="Y295" i="22"/>
  <c r="Q295" i="22"/>
  <c r="I295" i="22"/>
  <c r="S295" i="22"/>
  <c r="K295" i="22"/>
  <c r="AA295" i="22"/>
  <c r="AB296" i="22" l="1"/>
  <c r="T296" i="22"/>
  <c r="L296" i="22"/>
  <c r="AA296" i="22"/>
  <c r="S296" i="22"/>
  <c r="K296" i="22"/>
  <c r="Z296" i="22"/>
  <c r="R296" i="22"/>
  <c r="J296" i="22"/>
  <c r="B297" i="22"/>
  <c r="Y296" i="22"/>
  <c r="Q296" i="22"/>
  <c r="I296" i="22"/>
  <c r="AF296" i="22"/>
  <c r="X296" i="22"/>
  <c r="P296" i="22"/>
  <c r="H296" i="22"/>
  <c r="AD296" i="22"/>
  <c r="V296" i="22"/>
  <c r="N296" i="22"/>
  <c r="F296" i="22"/>
  <c r="AC296" i="22"/>
  <c r="U296" i="22"/>
  <c r="M296" i="22"/>
  <c r="AE296" i="22"/>
  <c r="W296" i="22"/>
  <c r="O296" i="22"/>
  <c r="G296" i="22"/>
  <c r="AY49" i="22"/>
  <c r="AY50" i="22" l="1"/>
  <c r="AF297" i="22"/>
  <c r="X297" i="22"/>
  <c r="P297" i="22"/>
  <c r="H297" i="22"/>
  <c r="AE297" i="22"/>
  <c r="W297" i="22"/>
  <c r="O297" i="22"/>
  <c r="G297" i="22"/>
  <c r="AD297" i="22"/>
  <c r="V297" i="22"/>
  <c r="N297" i="22"/>
  <c r="F297" i="22"/>
  <c r="AC297" i="22"/>
  <c r="U297" i="22"/>
  <c r="M297" i="22"/>
  <c r="AB297" i="22"/>
  <c r="T297" i="22"/>
  <c r="L297" i="22"/>
  <c r="Z297" i="22"/>
  <c r="R297" i="22"/>
  <c r="J297" i="22"/>
  <c r="B298" i="22"/>
  <c r="Y297" i="22"/>
  <c r="Q297" i="22"/>
  <c r="I297" i="22"/>
  <c r="AA297" i="22"/>
  <c r="S297" i="22"/>
  <c r="K297" i="22"/>
  <c r="AB298" i="22" l="1"/>
  <c r="T298" i="22"/>
  <c r="L298" i="22"/>
  <c r="AA298" i="22"/>
  <c r="S298" i="22"/>
  <c r="K298" i="22"/>
  <c r="Z298" i="22"/>
  <c r="R298" i="22"/>
  <c r="J298" i="22"/>
  <c r="B299" i="22"/>
  <c r="Y298" i="22"/>
  <c r="Q298" i="22"/>
  <c r="I298" i="22"/>
  <c r="AF298" i="22"/>
  <c r="X298" i="22"/>
  <c r="P298" i="22"/>
  <c r="H298" i="22"/>
  <c r="AD298" i="22"/>
  <c r="V298" i="22"/>
  <c r="N298" i="22"/>
  <c r="F298" i="22"/>
  <c r="AC298" i="22"/>
  <c r="U298" i="22"/>
  <c r="M298" i="22"/>
  <c r="AE298" i="22"/>
  <c r="W298" i="22"/>
  <c r="O298" i="22"/>
  <c r="G298" i="22"/>
  <c r="AY51" i="22"/>
  <c r="AY52" i="22" l="1"/>
  <c r="AF299" i="22"/>
  <c r="X299" i="22"/>
  <c r="P299" i="22"/>
  <c r="H299" i="22"/>
  <c r="AE299" i="22"/>
  <c r="W299" i="22"/>
  <c r="O299" i="22"/>
  <c r="G299" i="22"/>
  <c r="AD299" i="22"/>
  <c r="V299" i="22"/>
  <c r="N299" i="22"/>
  <c r="F299" i="22"/>
  <c r="AC299" i="22"/>
  <c r="U299" i="22"/>
  <c r="M299" i="22"/>
  <c r="AB299" i="22"/>
  <c r="T299" i="22"/>
  <c r="L299" i="22"/>
  <c r="Z299" i="22"/>
  <c r="R299" i="22"/>
  <c r="J299" i="22"/>
  <c r="B300" i="22"/>
  <c r="Y299" i="22"/>
  <c r="Q299" i="22"/>
  <c r="I299" i="22"/>
  <c r="AA299" i="22"/>
  <c r="S299" i="22"/>
  <c r="K299" i="22"/>
  <c r="AB300" i="22" l="1"/>
  <c r="T300" i="22"/>
  <c r="L300" i="22"/>
  <c r="AA300" i="22"/>
  <c r="S300" i="22"/>
  <c r="K300" i="22"/>
  <c r="Z300" i="22"/>
  <c r="R300" i="22"/>
  <c r="J300" i="22"/>
  <c r="B301" i="22"/>
  <c r="Y300" i="22"/>
  <c r="Q300" i="22"/>
  <c r="I300" i="22"/>
  <c r="AF300" i="22"/>
  <c r="X300" i="22"/>
  <c r="P300" i="22"/>
  <c r="H300" i="22"/>
  <c r="AD300" i="22"/>
  <c r="V300" i="22"/>
  <c r="N300" i="22"/>
  <c r="F300" i="22"/>
  <c r="AC300" i="22"/>
  <c r="U300" i="22"/>
  <c r="M300" i="22"/>
  <c r="G300" i="22"/>
  <c r="AE300" i="22"/>
  <c r="W300" i="22"/>
  <c r="O300" i="22"/>
  <c r="AY53" i="22"/>
  <c r="AY54" i="22" l="1"/>
  <c r="AF301" i="22"/>
  <c r="X301" i="22"/>
  <c r="P301" i="22"/>
  <c r="H301" i="22"/>
  <c r="AE301" i="22"/>
  <c r="W301" i="22"/>
  <c r="O301" i="22"/>
  <c r="G301" i="22"/>
  <c r="AD301" i="22"/>
  <c r="V301" i="22"/>
  <c r="N301" i="22"/>
  <c r="F301" i="22"/>
  <c r="AC301" i="22"/>
  <c r="U301" i="22"/>
  <c r="M301" i="22"/>
  <c r="AB301" i="22"/>
  <c r="T301" i="22"/>
  <c r="L301" i="22"/>
  <c r="Z301" i="22"/>
  <c r="R301" i="22"/>
  <c r="J301" i="22"/>
  <c r="B302" i="22"/>
  <c r="Y301" i="22"/>
  <c r="Q301" i="22"/>
  <c r="I301" i="22"/>
  <c r="AA301" i="22"/>
  <c r="S301" i="22"/>
  <c r="K301" i="22"/>
  <c r="AB302" i="22" l="1"/>
  <c r="T302" i="22"/>
  <c r="L302" i="22"/>
  <c r="AA302" i="22"/>
  <c r="S302" i="22"/>
  <c r="K302" i="22"/>
  <c r="Z302" i="22"/>
  <c r="R302" i="22"/>
  <c r="J302" i="22"/>
  <c r="B303" i="22"/>
  <c r="Y302" i="22"/>
  <c r="Q302" i="22"/>
  <c r="I302" i="22"/>
  <c r="AF302" i="22"/>
  <c r="X302" i="22"/>
  <c r="P302" i="22"/>
  <c r="H302" i="22"/>
  <c r="AD302" i="22"/>
  <c r="V302" i="22"/>
  <c r="N302" i="22"/>
  <c r="F302" i="22"/>
  <c r="AC302" i="22"/>
  <c r="U302" i="22"/>
  <c r="M302" i="22"/>
  <c r="O302" i="22"/>
  <c r="G302" i="22"/>
  <c r="AE302" i="22"/>
  <c r="W302" i="22"/>
  <c r="AY55" i="22"/>
  <c r="AY56" i="22" l="1"/>
  <c r="AF303" i="22"/>
  <c r="X303" i="22"/>
  <c r="P303" i="22"/>
  <c r="H303" i="22"/>
  <c r="AE303" i="22"/>
  <c r="W303" i="22"/>
  <c r="O303" i="22"/>
  <c r="G303" i="22"/>
  <c r="AD303" i="22"/>
  <c r="V303" i="22"/>
  <c r="N303" i="22"/>
  <c r="F303" i="22"/>
  <c r="AC303" i="22"/>
  <c r="U303" i="22"/>
  <c r="M303" i="22"/>
  <c r="AB303" i="22"/>
  <c r="T303" i="22"/>
  <c r="L303" i="22"/>
  <c r="Z303" i="22"/>
  <c r="R303" i="22"/>
  <c r="J303" i="22"/>
  <c r="B304" i="22"/>
  <c r="Y303" i="22"/>
  <c r="Q303" i="22"/>
  <c r="I303" i="22"/>
  <c r="AA303" i="22"/>
  <c r="S303" i="22"/>
  <c r="K303" i="22"/>
  <c r="AB304" i="22" l="1"/>
  <c r="T304" i="22"/>
  <c r="L304" i="22"/>
  <c r="AA304" i="22"/>
  <c r="S304" i="22"/>
  <c r="K304" i="22"/>
  <c r="Z304" i="22"/>
  <c r="R304" i="22"/>
  <c r="J304" i="22"/>
  <c r="B305" i="22"/>
  <c r="Y304" i="22"/>
  <c r="Q304" i="22"/>
  <c r="I304" i="22"/>
  <c r="AF304" i="22"/>
  <c r="X304" i="22"/>
  <c r="P304" i="22"/>
  <c r="H304" i="22"/>
  <c r="AD304" i="22"/>
  <c r="V304" i="22"/>
  <c r="N304" i="22"/>
  <c r="F304" i="22"/>
  <c r="AC304" i="22"/>
  <c r="U304" i="22"/>
  <c r="M304" i="22"/>
  <c r="W304" i="22"/>
  <c r="O304" i="22"/>
  <c r="G304" i="22"/>
  <c r="AE304" i="22"/>
  <c r="AY57" i="22"/>
  <c r="AY58" i="22" l="1"/>
  <c r="AF305" i="22"/>
  <c r="X305" i="22"/>
  <c r="P305" i="22"/>
  <c r="H305" i="22"/>
  <c r="AE305" i="22"/>
  <c r="W305" i="22"/>
  <c r="O305" i="22"/>
  <c r="G305" i="22"/>
  <c r="AD305" i="22"/>
  <c r="V305" i="22"/>
  <c r="N305" i="22"/>
  <c r="F305" i="22"/>
  <c r="AC305" i="22"/>
  <c r="U305" i="22"/>
  <c r="M305" i="22"/>
  <c r="AB305" i="22"/>
  <c r="T305" i="22"/>
  <c r="L305" i="22"/>
  <c r="Z305" i="22"/>
  <c r="R305" i="22"/>
  <c r="J305" i="22"/>
  <c r="B306" i="22"/>
  <c r="Y305" i="22"/>
  <c r="Q305" i="22"/>
  <c r="I305" i="22"/>
  <c r="AA305" i="22"/>
  <c r="S305" i="22"/>
  <c r="K305" i="22"/>
  <c r="AB306" i="22" l="1"/>
  <c r="T306" i="22"/>
  <c r="L306" i="22"/>
  <c r="AA306" i="22"/>
  <c r="S306" i="22"/>
  <c r="K306" i="22"/>
  <c r="Z306" i="22"/>
  <c r="R306" i="22"/>
  <c r="J306" i="22"/>
  <c r="B307" i="22"/>
  <c r="Y306" i="22"/>
  <c r="Q306" i="22"/>
  <c r="I306" i="22"/>
  <c r="AF306" i="22"/>
  <c r="X306" i="22"/>
  <c r="P306" i="22"/>
  <c r="H306" i="22"/>
  <c r="AD306" i="22"/>
  <c r="V306" i="22"/>
  <c r="N306" i="22"/>
  <c r="F306" i="22"/>
  <c r="AC306" i="22"/>
  <c r="U306" i="22"/>
  <c r="M306" i="22"/>
  <c r="AE306" i="22"/>
  <c r="W306" i="22"/>
  <c r="O306" i="22"/>
  <c r="G306" i="22"/>
  <c r="AY59" i="22"/>
  <c r="AY60" i="22" l="1"/>
  <c r="AF307" i="22"/>
  <c r="X307" i="22"/>
  <c r="P307" i="22"/>
  <c r="H307" i="22"/>
  <c r="AE307" i="22"/>
  <c r="W307" i="22"/>
  <c r="O307" i="22"/>
  <c r="G307" i="22"/>
  <c r="AD307" i="22"/>
  <c r="V307" i="22"/>
  <c r="N307" i="22"/>
  <c r="F307" i="22"/>
  <c r="AC307" i="22"/>
  <c r="U307" i="22"/>
  <c r="M307" i="22"/>
  <c r="AB307" i="22"/>
  <c r="T307" i="22"/>
  <c r="L307" i="22"/>
  <c r="Z307" i="22"/>
  <c r="R307" i="22"/>
  <c r="J307" i="22"/>
  <c r="B308" i="22"/>
  <c r="Y307" i="22"/>
  <c r="Q307" i="22"/>
  <c r="I307" i="22"/>
  <c r="AA307" i="22"/>
  <c r="S307" i="22"/>
  <c r="K307" i="22"/>
  <c r="AB308" i="22" l="1"/>
  <c r="T308" i="22"/>
  <c r="L308" i="22"/>
  <c r="AA308" i="22"/>
  <c r="S308" i="22"/>
  <c r="K308" i="22"/>
  <c r="Z308" i="22"/>
  <c r="R308" i="22"/>
  <c r="J308" i="22"/>
  <c r="B309" i="22"/>
  <c r="Y308" i="22"/>
  <c r="Q308" i="22"/>
  <c r="I308" i="22"/>
  <c r="AF308" i="22"/>
  <c r="X308" i="22"/>
  <c r="P308" i="22"/>
  <c r="H308" i="22"/>
  <c r="AD308" i="22"/>
  <c r="V308" i="22"/>
  <c r="N308" i="22"/>
  <c r="F308" i="22"/>
  <c r="AC308" i="22"/>
  <c r="U308" i="22"/>
  <c r="M308" i="22"/>
  <c r="AE308" i="22"/>
  <c r="W308" i="22"/>
  <c r="O308" i="22"/>
  <c r="G308" i="22"/>
  <c r="AY61" i="22"/>
  <c r="AY63" i="22" l="1"/>
  <c r="AY62" i="22"/>
  <c r="AF309" i="22"/>
  <c r="X309" i="22"/>
  <c r="P309" i="22"/>
  <c r="H309" i="22"/>
  <c r="AE309" i="22"/>
  <c r="W309" i="22"/>
  <c r="O309" i="22"/>
  <c r="G309" i="22"/>
  <c r="AD309" i="22"/>
  <c r="V309" i="22"/>
  <c r="N309" i="22"/>
  <c r="F309" i="22"/>
  <c r="AC309" i="22"/>
  <c r="U309" i="22"/>
  <c r="M309" i="22"/>
  <c r="AB309" i="22"/>
  <c r="T309" i="22"/>
  <c r="L309" i="22"/>
  <c r="Z309" i="22"/>
  <c r="R309" i="22"/>
  <c r="J309" i="22"/>
  <c r="B310" i="22"/>
  <c r="Y309" i="22"/>
  <c r="Q309" i="22"/>
  <c r="I309" i="22"/>
  <c r="K309" i="22"/>
  <c r="AA309" i="22"/>
  <c r="S309" i="22"/>
  <c r="AB310" i="22" l="1"/>
  <c r="T310" i="22"/>
  <c r="L310" i="22"/>
  <c r="AA310" i="22"/>
  <c r="S310" i="22"/>
  <c r="K310" i="22"/>
  <c r="Z310" i="22"/>
  <c r="R310" i="22"/>
  <c r="J310" i="22"/>
  <c r="B311" i="22"/>
  <c r="Y310" i="22"/>
  <c r="Q310" i="22"/>
  <c r="I310" i="22"/>
  <c r="AF310" i="22"/>
  <c r="X310" i="22"/>
  <c r="P310" i="22"/>
  <c r="H310" i="22"/>
  <c r="AD310" i="22"/>
  <c r="V310" i="22"/>
  <c r="N310" i="22"/>
  <c r="F310" i="22"/>
  <c r="AC310" i="22"/>
  <c r="U310" i="22"/>
  <c r="M310" i="22"/>
  <c r="AE310" i="22"/>
  <c r="W310" i="22"/>
  <c r="O310" i="22"/>
  <c r="G310" i="22"/>
  <c r="AF311" i="22" l="1"/>
  <c r="X311" i="22"/>
  <c r="P311" i="22"/>
  <c r="H311" i="22"/>
  <c r="AE311" i="22"/>
  <c r="W311" i="22"/>
  <c r="O311" i="22"/>
  <c r="G311" i="22"/>
  <c r="AD311" i="22"/>
  <c r="V311" i="22"/>
  <c r="N311" i="22"/>
  <c r="F311" i="22"/>
  <c r="AC311" i="22"/>
  <c r="U311" i="22"/>
  <c r="M311" i="22"/>
  <c r="AB311" i="22"/>
  <c r="T311" i="22"/>
  <c r="L311" i="22"/>
  <c r="Z311" i="22"/>
  <c r="R311" i="22"/>
  <c r="J311" i="22"/>
  <c r="B312" i="22"/>
  <c r="Y311" i="22"/>
  <c r="Q311" i="22"/>
  <c r="I311" i="22"/>
  <c r="S311" i="22"/>
  <c r="K311" i="22"/>
  <c r="AA311" i="22"/>
  <c r="AB312" i="22" l="1"/>
  <c r="T312" i="22"/>
  <c r="L312" i="22"/>
  <c r="AA312" i="22"/>
  <c r="S312" i="22"/>
  <c r="K312" i="22"/>
  <c r="Z312" i="22"/>
  <c r="R312" i="22"/>
  <c r="J312" i="22"/>
  <c r="B313" i="22"/>
  <c r="Y312" i="22"/>
  <c r="Q312" i="22"/>
  <c r="I312" i="22"/>
  <c r="AF312" i="22"/>
  <c r="X312" i="22"/>
  <c r="P312" i="22"/>
  <c r="H312" i="22"/>
  <c r="AD312" i="22"/>
  <c r="V312" i="22"/>
  <c r="N312" i="22"/>
  <c r="F312" i="22"/>
  <c r="AC312" i="22"/>
  <c r="U312" i="22"/>
  <c r="M312" i="22"/>
  <c r="AE312" i="22"/>
  <c r="W312" i="22"/>
  <c r="O312" i="22"/>
  <c r="G312" i="22"/>
  <c r="AF313" i="22" l="1"/>
  <c r="X313" i="22"/>
  <c r="P313" i="22"/>
  <c r="H313" i="22"/>
  <c r="AE313" i="22"/>
  <c r="W313" i="22"/>
  <c r="O313" i="22"/>
  <c r="G313" i="22"/>
  <c r="AD313" i="22"/>
  <c r="V313" i="22"/>
  <c r="N313" i="22"/>
  <c r="F313" i="22"/>
  <c r="AC313" i="22"/>
  <c r="U313" i="22"/>
  <c r="M313" i="22"/>
  <c r="AB313" i="22"/>
  <c r="T313" i="22"/>
  <c r="L313" i="22"/>
  <c r="Z313" i="22"/>
  <c r="R313" i="22"/>
  <c r="J313" i="22"/>
  <c r="Y313" i="22"/>
  <c r="Q313" i="22"/>
  <c r="I313" i="22"/>
  <c r="AA313" i="22"/>
  <c r="S313" i="22"/>
  <c r="K313" i="22"/>
  <c r="F36" i="31" l="1"/>
  <c r="O20" i="91" l="1"/>
  <c r="O21" i="91"/>
  <c r="O20" i="90"/>
  <c r="O21" i="90"/>
  <c r="I20" i="90"/>
  <c r="I21" i="90"/>
  <c r="O20" i="62"/>
  <c r="O21" i="62"/>
  <c r="L20" i="62"/>
  <c r="L21" i="62"/>
  <c r="I20" i="62"/>
  <c r="I21" i="62"/>
  <c r="O19" i="62"/>
  <c r="L19" i="62"/>
  <c r="I19" i="62"/>
  <c r="O21" i="33"/>
  <c r="L21" i="33"/>
  <c r="I21" i="33"/>
  <c r="L20" i="91" l="1"/>
  <c r="L21" i="91"/>
  <c r="L20" i="90"/>
  <c r="L21" i="90"/>
  <c r="L20" i="35" l="1"/>
  <c r="N73" i="17"/>
  <c r="L20" i="37" s="1"/>
  <c r="N76" i="17"/>
  <c r="L21" i="37" s="1"/>
  <c r="N72" i="17"/>
  <c r="L19" i="31" s="1"/>
  <c r="Q15" i="31"/>
  <c r="Q16" i="31"/>
  <c r="L16" i="31" l="1"/>
  <c r="I16" i="31"/>
  <c r="L15" i="31"/>
  <c r="I15" i="31"/>
  <c r="L19" i="38"/>
  <c r="I19" i="91"/>
  <c r="I19" i="88"/>
  <c r="O19" i="82"/>
  <c r="P18" i="82" s="1"/>
  <c r="FK63" i="29" s="1"/>
  <c r="L19" i="82"/>
  <c r="M18" i="82" s="1"/>
  <c r="EN63" i="29" s="1"/>
  <c r="I19" i="82"/>
  <c r="J18" i="82" s="1"/>
  <c r="DQ63" i="29" s="1"/>
  <c r="L19" i="90"/>
  <c r="L19" i="91"/>
  <c r="L21" i="36"/>
  <c r="L20" i="36"/>
  <c r="L19" i="36"/>
  <c r="L19" i="37"/>
  <c r="I21" i="89"/>
  <c r="I21" i="85"/>
  <c r="I21" i="65"/>
  <c r="I21" i="64"/>
  <c r="I21" i="59"/>
  <c r="I21" i="56"/>
  <c r="I21" i="53"/>
  <c r="I21" i="50"/>
  <c r="I21" i="47"/>
  <c r="I21" i="43"/>
  <c r="O21" i="41"/>
  <c r="O21" i="38"/>
  <c r="O21" i="35"/>
  <c r="I21" i="31"/>
  <c r="O21" i="88"/>
  <c r="O21" i="74"/>
  <c r="O21" i="71"/>
  <c r="O21" i="58"/>
  <c r="O21" i="55"/>
  <c r="O21" i="52"/>
  <c r="O21" i="49"/>
  <c r="O21" i="46"/>
  <c r="O21" i="42"/>
  <c r="I21" i="41"/>
  <c r="I21" i="38"/>
  <c r="I21" i="35"/>
  <c r="O21" i="31"/>
  <c r="O21" i="61"/>
  <c r="I21" i="88"/>
  <c r="O21" i="73"/>
  <c r="I21" i="71"/>
  <c r="I21" i="61"/>
  <c r="I21" i="58"/>
  <c r="I21" i="55"/>
  <c r="I21" i="52"/>
  <c r="I21" i="49"/>
  <c r="I21" i="46"/>
  <c r="L21" i="42"/>
  <c r="O21" i="40"/>
  <c r="O21" i="37"/>
  <c r="O21" i="34"/>
  <c r="O21" i="86"/>
  <c r="I21" i="73"/>
  <c r="O21" i="66"/>
  <c r="O21" i="60"/>
  <c r="O21" i="57"/>
  <c r="O21" i="54"/>
  <c r="O21" i="51"/>
  <c r="O21" i="48"/>
  <c r="O21" i="45"/>
  <c r="I21" i="42"/>
  <c r="I21" i="40"/>
  <c r="I21" i="37"/>
  <c r="L21" i="34"/>
  <c r="L21" i="31"/>
  <c r="I21" i="86"/>
  <c r="O21" i="72"/>
  <c r="I21" i="66"/>
  <c r="I21" i="60"/>
  <c r="I21" i="57"/>
  <c r="I21" i="54"/>
  <c r="I21" i="51"/>
  <c r="I21" i="48"/>
  <c r="I21" i="45"/>
  <c r="O21" i="44"/>
  <c r="O21" i="39"/>
  <c r="O21" i="36"/>
  <c r="I21" i="34"/>
  <c r="I21" i="36"/>
  <c r="O21" i="89"/>
  <c r="O21" i="85"/>
  <c r="O21" i="65"/>
  <c r="O21" i="64"/>
  <c r="O21" i="59"/>
  <c r="O21" i="56"/>
  <c r="O21" i="53"/>
  <c r="O21" i="50"/>
  <c r="O21" i="47"/>
  <c r="O21" i="43"/>
  <c r="I21" i="44"/>
  <c r="I21" i="39"/>
  <c r="L21" i="88"/>
  <c r="L21" i="81"/>
  <c r="L21" i="77"/>
  <c r="L21" i="59"/>
  <c r="L21" i="55"/>
  <c r="L21" i="51"/>
  <c r="L21" i="47"/>
  <c r="L21" i="44"/>
  <c r="L21" i="46"/>
  <c r="L21" i="86"/>
  <c r="L21" i="66"/>
  <c r="L21" i="89"/>
  <c r="L21" i="74"/>
  <c r="L21" i="40"/>
  <c r="L21" i="80"/>
  <c r="L21" i="73"/>
  <c r="L21" i="58"/>
  <c r="L21" i="54"/>
  <c r="L21" i="50"/>
  <c r="L21" i="85"/>
  <c r="L21" i="72"/>
  <c r="L21" i="64"/>
  <c r="L21" i="41"/>
  <c r="L21" i="45"/>
  <c r="L21" i="71"/>
  <c r="L21" i="84"/>
  <c r="L21" i="79"/>
  <c r="L21" i="76"/>
  <c r="L21" i="65"/>
  <c r="L21" i="57"/>
  <c r="L21" i="53"/>
  <c r="L21" i="49"/>
  <c r="L21" i="61"/>
  <c r="L21" i="83"/>
  <c r="L21" i="78"/>
  <c r="L21" i="75"/>
  <c r="L21" i="60"/>
  <c r="L21" i="56"/>
  <c r="L21" i="52"/>
  <c r="L21" i="48"/>
  <c r="L21" i="43"/>
  <c r="L21" i="38"/>
  <c r="O20" i="88"/>
  <c r="O20" i="74"/>
  <c r="O20" i="71"/>
  <c r="I20" i="61"/>
  <c r="O20" i="58"/>
  <c r="O20" i="55"/>
  <c r="O20" i="52"/>
  <c r="O20" i="49"/>
  <c r="O20" i="46"/>
  <c r="O20" i="42"/>
  <c r="I20" i="41"/>
  <c r="I20" i="38"/>
  <c r="I20" i="35"/>
  <c r="I20" i="33"/>
  <c r="O20" i="61"/>
  <c r="I20" i="88"/>
  <c r="O20" i="73"/>
  <c r="I20" i="71"/>
  <c r="I20" i="58"/>
  <c r="I20" i="55"/>
  <c r="I20" i="52"/>
  <c r="I20" i="49"/>
  <c r="I20" i="46"/>
  <c r="L20" i="42"/>
  <c r="O20" i="40"/>
  <c r="O20" i="37"/>
  <c r="O20" i="34"/>
  <c r="O20" i="31"/>
  <c r="I20" i="36"/>
  <c r="O20" i="86"/>
  <c r="I20" i="73"/>
  <c r="O20" i="66"/>
  <c r="O20" i="60"/>
  <c r="O20" i="57"/>
  <c r="O20" i="54"/>
  <c r="O20" i="51"/>
  <c r="O20" i="48"/>
  <c r="O20" i="45"/>
  <c r="I20" i="42"/>
  <c r="I20" i="40"/>
  <c r="I20" i="37"/>
  <c r="L20" i="34"/>
  <c r="L20" i="31"/>
  <c r="I20" i="86"/>
  <c r="O20" i="72"/>
  <c r="I20" i="66"/>
  <c r="I20" i="60"/>
  <c r="I20" i="57"/>
  <c r="I20" i="54"/>
  <c r="I20" i="51"/>
  <c r="I20" i="48"/>
  <c r="I20" i="45"/>
  <c r="O20" i="44"/>
  <c r="O20" i="39"/>
  <c r="O20" i="36"/>
  <c r="I20" i="34"/>
  <c r="I20" i="31"/>
  <c r="O20" i="33"/>
  <c r="O20" i="89"/>
  <c r="O20" i="85"/>
  <c r="O20" i="65"/>
  <c r="O20" i="64"/>
  <c r="O20" i="59"/>
  <c r="O20" i="56"/>
  <c r="O20" i="53"/>
  <c r="O20" i="50"/>
  <c r="O20" i="47"/>
  <c r="O20" i="43"/>
  <c r="I20" i="44"/>
  <c r="I20" i="39"/>
  <c r="I20" i="89"/>
  <c r="I20" i="85"/>
  <c r="I20" i="65"/>
  <c r="I20" i="64"/>
  <c r="I20" i="59"/>
  <c r="I20" i="56"/>
  <c r="I20" i="53"/>
  <c r="I20" i="50"/>
  <c r="I20" i="47"/>
  <c r="I20" i="43"/>
  <c r="O20" i="41"/>
  <c r="O20" i="38"/>
  <c r="O20" i="35"/>
  <c r="L20" i="33"/>
  <c r="L20" i="81"/>
  <c r="L20" i="77"/>
  <c r="L20" i="74"/>
  <c r="L20" i="59"/>
  <c r="L20" i="55"/>
  <c r="L20" i="51"/>
  <c r="L20" i="47"/>
  <c r="L20" i="44"/>
  <c r="L20" i="45"/>
  <c r="L20" i="88"/>
  <c r="L20" i="86"/>
  <c r="L20" i="66"/>
  <c r="L20" i="89"/>
  <c r="L20" i="80"/>
  <c r="L20" i="73"/>
  <c r="L20" i="58"/>
  <c r="L20" i="54"/>
  <c r="L20" i="50"/>
  <c r="L20" i="46"/>
  <c r="L20" i="85"/>
  <c r="L20" i="64"/>
  <c r="L20" i="41"/>
  <c r="L20" i="43"/>
  <c r="L20" i="72"/>
  <c r="L20" i="84"/>
  <c r="L20" i="79"/>
  <c r="L20" i="76"/>
  <c r="L20" i="57"/>
  <c r="L20" i="53"/>
  <c r="L20" i="49"/>
  <c r="L20" i="61"/>
  <c r="L20" i="40"/>
  <c r="L20" i="65"/>
  <c r="L20" i="83"/>
  <c r="L20" i="78"/>
  <c r="L20" i="75"/>
  <c r="L20" i="60"/>
  <c r="L20" i="56"/>
  <c r="L20" i="52"/>
  <c r="L20" i="48"/>
  <c r="L20" i="71"/>
  <c r="L20" i="38"/>
  <c r="L19" i="33"/>
  <c r="O19" i="65"/>
  <c r="O19" i="61"/>
  <c r="I19" i="61"/>
  <c r="L19" i="61"/>
  <c r="L19" i="71"/>
  <c r="L19" i="88"/>
  <c r="L19" i="74"/>
  <c r="L19" i="81"/>
  <c r="L19" i="77"/>
  <c r="L19" i="59"/>
  <c r="L19" i="55"/>
  <c r="L19" i="51"/>
  <c r="L19" i="47"/>
  <c r="L19" i="44"/>
  <c r="L19" i="41"/>
  <c r="L19" i="83"/>
  <c r="L19" i="86"/>
  <c r="L19" i="66"/>
  <c r="L19" i="42"/>
  <c r="L19" i="56"/>
  <c r="L19" i="89"/>
  <c r="L19" i="73"/>
  <c r="L19" i="52"/>
  <c r="L19" i="80"/>
  <c r="L19" i="58"/>
  <c r="L19" i="54"/>
  <c r="L19" i="50"/>
  <c r="L19" i="46"/>
  <c r="L19" i="85"/>
  <c r="L19" i="72"/>
  <c r="L19" i="64"/>
  <c r="L19" i="40"/>
  <c r="L19" i="48"/>
  <c r="L19" i="60"/>
  <c r="L19" i="84"/>
  <c r="L19" i="79"/>
  <c r="L19" i="76"/>
  <c r="L19" i="57"/>
  <c r="L19" i="53"/>
  <c r="L19" i="49"/>
  <c r="L19" i="45"/>
  <c r="L19" i="39"/>
  <c r="L19" i="43"/>
  <c r="L19" i="65"/>
  <c r="L19" i="75"/>
  <c r="L19" i="78"/>
  <c r="L21" i="39"/>
  <c r="L19" i="35"/>
  <c r="L21" i="35"/>
  <c r="L20" i="39"/>
  <c r="K25" i="9"/>
  <c r="N25" i="9" s="1"/>
  <c r="K21" i="9"/>
  <c r="N21" i="9" s="1"/>
  <c r="K20" i="9"/>
  <c r="N20" i="9" s="1"/>
  <c r="K19" i="9"/>
  <c r="N19" i="9" s="1"/>
  <c r="K18" i="9"/>
  <c r="N18" i="9" s="1"/>
  <c r="K16" i="9"/>
  <c r="N16" i="9" s="1"/>
  <c r="M18" i="84" l="1"/>
  <c r="L19" i="34" l="1"/>
  <c r="N61" i="17" l="1"/>
  <c r="N62" i="17"/>
  <c r="N63" i="17"/>
  <c r="N64" i="17"/>
  <c r="N65" i="17"/>
  <c r="N66" i="17"/>
  <c r="N67" i="17"/>
  <c r="N68" i="17"/>
  <c r="N69" i="17"/>
  <c r="N70" i="17"/>
  <c r="N71" i="17"/>
  <c r="N37" i="17"/>
  <c r="N38" i="17"/>
  <c r="N39" i="17"/>
  <c r="N40" i="17"/>
  <c r="N41" i="17"/>
  <c r="N42" i="17"/>
  <c r="N43" i="17"/>
  <c r="N44" i="17"/>
  <c r="N45" i="17"/>
  <c r="N46" i="17"/>
  <c r="N47" i="17"/>
  <c r="F25" i="60" l="1"/>
  <c r="F25" i="59"/>
  <c r="F25" i="58"/>
  <c r="F25" i="57"/>
  <c r="F25" i="56"/>
  <c r="F25" i="54"/>
  <c r="F25" i="53"/>
  <c r="F25" i="52"/>
  <c r="F25" i="51"/>
  <c r="F25" i="50"/>
  <c r="F25" i="49"/>
  <c r="F26" i="45"/>
  <c r="F25" i="45"/>
  <c r="F25" i="44" l="1"/>
  <c r="F25" i="42"/>
  <c r="F25" i="41"/>
  <c r="F25" i="40"/>
  <c r="F25" i="39"/>
  <c r="F25" i="38"/>
  <c r="F25" i="37"/>
  <c r="F25" i="36"/>
  <c r="F25" i="35"/>
  <c r="F26" i="34"/>
  <c r="F25" i="34"/>
  <c r="F25" i="33"/>
  <c r="F25" i="31"/>
  <c r="N60" i="17"/>
  <c r="K59" i="17"/>
  <c r="G59" i="17"/>
  <c r="H59" i="17"/>
  <c r="I59" i="17"/>
  <c r="J59" i="17"/>
  <c r="N59" i="17"/>
  <c r="N36" i="17"/>
  <c r="N24" i="17" l="1"/>
  <c r="N22" i="17"/>
  <c r="N12" i="17"/>
  <c r="N11" i="17"/>
  <c r="N13" i="17"/>
  <c r="M42" i="20" l="1"/>
  <c r="A62" i="9"/>
  <c r="O62" i="9" s="1"/>
  <c r="A63" i="9"/>
  <c r="A64" i="9"/>
  <c r="O64" i="9" s="1"/>
  <c r="CX65" i="29" l="1"/>
  <c r="CY65" i="29"/>
  <c r="D4" i="29"/>
  <c r="Q39" i="31"/>
  <c r="Q40" i="31"/>
  <c r="Q41" i="31"/>
  <c r="Q42" i="31"/>
  <c r="F42" i="62"/>
  <c r="F41" i="62"/>
  <c r="F40" i="62"/>
  <c r="F39" i="62"/>
  <c r="F38" i="62"/>
  <c r="F37" i="62"/>
  <c r="F36" i="62"/>
  <c r="F42" i="61"/>
  <c r="F41" i="61"/>
  <c r="F40" i="61"/>
  <c r="F39" i="61"/>
  <c r="F38" i="61"/>
  <c r="F37" i="61"/>
  <c r="F36" i="61"/>
  <c r="F42" i="60"/>
  <c r="F41" i="60"/>
  <c r="F40" i="60"/>
  <c r="F39" i="60"/>
  <c r="F38" i="60"/>
  <c r="F37" i="60"/>
  <c r="F36" i="60"/>
  <c r="F42" i="33"/>
  <c r="F41" i="33"/>
  <c r="F40" i="33"/>
  <c r="F39" i="33"/>
  <c r="F38" i="33"/>
  <c r="F37" i="33"/>
  <c r="F36" i="33"/>
  <c r="F42" i="34"/>
  <c r="F41" i="34"/>
  <c r="F40" i="34"/>
  <c r="F39" i="34"/>
  <c r="F38" i="34"/>
  <c r="F37" i="34"/>
  <c r="F36" i="34"/>
  <c r="F42" i="35"/>
  <c r="F41" i="35"/>
  <c r="F40" i="35"/>
  <c r="F39" i="35"/>
  <c r="F38" i="35"/>
  <c r="F37" i="35"/>
  <c r="F36" i="35"/>
  <c r="F42" i="36"/>
  <c r="F41" i="36"/>
  <c r="F40" i="36"/>
  <c r="F39" i="36"/>
  <c r="F38" i="36"/>
  <c r="F37" i="36"/>
  <c r="F36" i="36"/>
  <c r="F42" i="37"/>
  <c r="F41" i="37"/>
  <c r="F40" i="37"/>
  <c r="F39" i="37"/>
  <c r="F38" i="37"/>
  <c r="F37" i="37"/>
  <c r="F36" i="37"/>
  <c r="F42" i="38"/>
  <c r="F41" i="38"/>
  <c r="F40" i="38"/>
  <c r="F39" i="38"/>
  <c r="F38" i="38"/>
  <c r="F37" i="38"/>
  <c r="F36" i="38"/>
  <c r="F42" i="39"/>
  <c r="F41" i="39"/>
  <c r="F40" i="39"/>
  <c r="F39" i="39"/>
  <c r="F38" i="39"/>
  <c r="F37" i="39"/>
  <c r="F36" i="39"/>
  <c r="F42" i="40"/>
  <c r="F41" i="40"/>
  <c r="F40" i="40"/>
  <c r="F39" i="40"/>
  <c r="F38" i="40"/>
  <c r="F37" i="40"/>
  <c r="F36" i="40"/>
  <c r="F42" i="41"/>
  <c r="F41" i="41"/>
  <c r="F40" i="41"/>
  <c r="F39" i="41"/>
  <c r="F38" i="41"/>
  <c r="F37" i="41"/>
  <c r="F36" i="41"/>
  <c r="F42" i="42"/>
  <c r="F41" i="42"/>
  <c r="F40" i="42"/>
  <c r="F39" i="42"/>
  <c r="F38" i="42"/>
  <c r="F37" i="42"/>
  <c r="F36" i="42"/>
  <c r="F42" i="44"/>
  <c r="F41" i="44"/>
  <c r="F40" i="44"/>
  <c r="F39" i="44"/>
  <c r="F38" i="44"/>
  <c r="F37" i="44"/>
  <c r="F36" i="44"/>
  <c r="F42" i="43"/>
  <c r="F41" i="43"/>
  <c r="F40" i="43"/>
  <c r="F39" i="43"/>
  <c r="F38" i="43"/>
  <c r="F37" i="43"/>
  <c r="F36" i="43"/>
  <c r="F42" i="45"/>
  <c r="F41" i="45"/>
  <c r="F40" i="45"/>
  <c r="F39" i="45"/>
  <c r="F38" i="45"/>
  <c r="F37" i="45"/>
  <c r="F42" i="46"/>
  <c r="F41" i="46"/>
  <c r="F40" i="46"/>
  <c r="F39" i="46"/>
  <c r="F38" i="46"/>
  <c r="F37" i="46"/>
  <c r="F42" i="47"/>
  <c r="F41" i="47"/>
  <c r="F40" i="47"/>
  <c r="F39" i="47"/>
  <c r="F38" i="47"/>
  <c r="F37" i="47"/>
  <c r="F36" i="47"/>
  <c r="F42" i="48"/>
  <c r="F41" i="48"/>
  <c r="F40" i="48"/>
  <c r="F39" i="48"/>
  <c r="F38" i="48"/>
  <c r="F37" i="48"/>
  <c r="F36" i="48"/>
  <c r="F42" i="49"/>
  <c r="F41" i="49"/>
  <c r="F40" i="49"/>
  <c r="F39" i="49"/>
  <c r="F38" i="49"/>
  <c r="F37" i="49"/>
  <c r="F36" i="49"/>
  <c r="F42" i="50"/>
  <c r="F41" i="50"/>
  <c r="F40" i="50"/>
  <c r="F39" i="50"/>
  <c r="F38" i="50"/>
  <c r="F37" i="50"/>
  <c r="F36" i="50"/>
  <c r="F42" i="51"/>
  <c r="F41" i="51"/>
  <c r="F40" i="51"/>
  <c r="F39" i="51"/>
  <c r="F38" i="51"/>
  <c r="F37" i="51"/>
  <c r="F36" i="51"/>
  <c r="F42" i="52"/>
  <c r="F41" i="52"/>
  <c r="F40" i="52"/>
  <c r="F39" i="52"/>
  <c r="F38" i="52"/>
  <c r="F37" i="52"/>
  <c r="F36" i="52"/>
  <c r="F42" i="53"/>
  <c r="F41" i="53"/>
  <c r="F40" i="53"/>
  <c r="F39" i="53"/>
  <c r="F38" i="53"/>
  <c r="F37" i="53"/>
  <c r="F36" i="53"/>
  <c r="F42" i="54"/>
  <c r="F41" i="54"/>
  <c r="F40" i="54"/>
  <c r="F39" i="54"/>
  <c r="F38" i="54"/>
  <c r="F37" i="54"/>
  <c r="F36" i="54"/>
  <c r="F42" i="55"/>
  <c r="F41" i="55"/>
  <c r="F40" i="55"/>
  <c r="F39" i="55"/>
  <c r="F38" i="55"/>
  <c r="F37" i="55"/>
  <c r="F36" i="55"/>
  <c r="F42" i="56"/>
  <c r="F41" i="56"/>
  <c r="F40" i="56"/>
  <c r="F39" i="56"/>
  <c r="F38" i="56"/>
  <c r="F37" i="56"/>
  <c r="F36" i="56"/>
  <c r="F42" i="57"/>
  <c r="F41" i="57"/>
  <c r="F40" i="57"/>
  <c r="F39" i="57"/>
  <c r="F38" i="57"/>
  <c r="F37" i="57"/>
  <c r="F36" i="57"/>
  <c r="F42" i="58"/>
  <c r="F41" i="58"/>
  <c r="F40" i="58"/>
  <c r="F39" i="58"/>
  <c r="F38" i="58"/>
  <c r="F37" i="58"/>
  <c r="F36" i="58"/>
  <c r="F42" i="59"/>
  <c r="F41" i="59"/>
  <c r="F40" i="59"/>
  <c r="F39" i="59"/>
  <c r="F38" i="59"/>
  <c r="F37" i="59"/>
  <c r="F36" i="59"/>
  <c r="F36" i="91"/>
  <c r="F37" i="91"/>
  <c r="F38" i="91"/>
  <c r="F39" i="91"/>
  <c r="F40" i="91"/>
  <c r="F41" i="91"/>
  <c r="F42" i="91"/>
  <c r="F36" i="90"/>
  <c r="F37" i="90"/>
  <c r="F38" i="90"/>
  <c r="F39" i="90"/>
  <c r="F40" i="90"/>
  <c r="F41" i="90"/>
  <c r="F42" i="90"/>
  <c r="F36" i="89"/>
  <c r="F37" i="89"/>
  <c r="F38" i="89"/>
  <c r="F39" i="89"/>
  <c r="F40" i="89"/>
  <c r="F41" i="89"/>
  <c r="F42" i="89"/>
  <c r="F37" i="88"/>
  <c r="F38" i="88"/>
  <c r="F39" i="88"/>
  <c r="F40" i="88"/>
  <c r="F41" i="88"/>
  <c r="F42" i="88"/>
  <c r="F37" i="86"/>
  <c r="F38" i="86"/>
  <c r="F39" i="86"/>
  <c r="F40" i="86"/>
  <c r="F41" i="86"/>
  <c r="F42" i="86"/>
  <c r="F36" i="85"/>
  <c r="F37" i="85"/>
  <c r="F38" i="85"/>
  <c r="F39" i="85"/>
  <c r="F40" i="85"/>
  <c r="F41" i="85"/>
  <c r="F42" i="85"/>
  <c r="F37" i="84"/>
  <c r="F38" i="84"/>
  <c r="F39" i="84"/>
  <c r="F40" i="84"/>
  <c r="F41" i="84"/>
  <c r="F42" i="84"/>
  <c r="F37" i="83"/>
  <c r="F38" i="83"/>
  <c r="F39" i="83"/>
  <c r="F40" i="83"/>
  <c r="F41" i="83"/>
  <c r="F42" i="83"/>
  <c r="F37" i="81"/>
  <c r="F38" i="81"/>
  <c r="F39" i="81"/>
  <c r="F40" i="81"/>
  <c r="F41" i="81"/>
  <c r="F42" i="81"/>
  <c r="F37" i="80"/>
  <c r="F38" i="80"/>
  <c r="F39" i="80"/>
  <c r="F40" i="80"/>
  <c r="F41" i="80"/>
  <c r="F42" i="80"/>
  <c r="F37" i="79"/>
  <c r="F38" i="79"/>
  <c r="F39" i="79"/>
  <c r="F40" i="79"/>
  <c r="F41" i="79"/>
  <c r="F42" i="79"/>
  <c r="F37" i="78"/>
  <c r="F38" i="78"/>
  <c r="F39" i="78"/>
  <c r="F40" i="78"/>
  <c r="F41" i="78"/>
  <c r="F42" i="78"/>
  <c r="F37" i="77"/>
  <c r="F38" i="77"/>
  <c r="F39" i="77"/>
  <c r="F40" i="77"/>
  <c r="F41" i="77"/>
  <c r="F42" i="77"/>
  <c r="F37" i="76"/>
  <c r="F38" i="76"/>
  <c r="F39" i="76"/>
  <c r="F40" i="76"/>
  <c r="F41" i="76"/>
  <c r="F42" i="76"/>
  <c r="F36" i="75"/>
  <c r="F37" i="75"/>
  <c r="F38" i="75"/>
  <c r="F39" i="75"/>
  <c r="F40" i="75"/>
  <c r="F41" i="75"/>
  <c r="F42" i="75"/>
  <c r="F37" i="74"/>
  <c r="F38" i="74"/>
  <c r="F39" i="74"/>
  <c r="F40" i="74"/>
  <c r="F41" i="74"/>
  <c r="F42" i="74"/>
  <c r="F37" i="73"/>
  <c r="F38" i="73"/>
  <c r="F39" i="73"/>
  <c r="F40" i="73"/>
  <c r="F41" i="73"/>
  <c r="F42" i="73"/>
  <c r="F37" i="72"/>
  <c r="F38" i="72"/>
  <c r="F39" i="72"/>
  <c r="F40" i="72"/>
  <c r="F41" i="72"/>
  <c r="F42" i="72"/>
  <c r="F37" i="65"/>
  <c r="F38" i="65"/>
  <c r="F39" i="65"/>
  <c r="F40" i="65"/>
  <c r="F41" i="65"/>
  <c r="F42" i="65"/>
  <c r="F36" i="71"/>
  <c r="F37" i="71"/>
  <c r="F38" i="71"/>
  <c r="F39" i="71"/>
  <c r="F40" i="71"/>
  <c r="F41" i="71"/>
  <c r="F42" i="71"/>
  <c r="F37" i="66"/>
  <c r="F38" i="66"/>
  <c r="F39" i="66"/>
  <c r="F40" i="66"/>
  <c r="F41" i="66"/>
  <c r="F42" i="66"/>
  <c r="F37" i="64"/>
  <c r="F38" i="64"/>
  <c r="F39" i="64"/>
  <c r="F40" i="64"/>
  <c r="F41" i="64"/>
  <c r="F42" i="64"/>
  <c r="Q38" i="31"/>
  <c r="F39" i="31"/>
  <c r="F40" i="31"/>
  <c r="F41" i="31"/>
  <c r="F42" i="31"/>
  <c r="F37" i="31"/>
  <c r="F38" i="31"/>
  <c r="CJ4" i="29"/>
  <c r="AO4" i="29"/>
  <c r="CG4" i="29"/>
  <c r="I4" i="29"/>
  <c r="CK4" i="29"/>
  <c r="AD4" i="29"/>
  <c r="M4" i="29"/>
  <c r="L4" i="29"/>
  <c r="BH4" i="29"/>
  <c r="BI4" i="29"/>
  <c r="AE4" i="29"/>
  <c r="V4" i="29"/>
  <c r="BQ4" i="29"/>
  <c r="AK4" i="29"/>
  <c r="CX4" i="29"/>
  <c r="AN4" i="29"/>
  <c r="CS4" i="29"/>
  <c r="J4" i="29"/>
  <c r="X4" i="29"/>
  <c r="AR4" i="29"/>
  <c r="BD4" i="29"/>
  <c r="K4" i="29"/>
  <c r="BG4" i="29"/>
  <c r="AU4" i="29"/>
  <c r="CB4" i="29"/>
  <c r="CL4" i="29"/>
  <c r="CM4" i="29"/>
  <c r="CF4" i="29"/>
  <c r="G4" i="29"/>
  <c r="CN4" i="29"/>
  <c r="AP4" i="29"/>
  <c r="CD4" i="29"/>
  <c r="S4" i="29"/>
  <c r="Y4" i="29"/>
  <c r="AW4" i="29"/>
  <c r="BK4" i="29"/>
  <c r="Q4" i="29"/>
  <c r="BB4" i="29"/>
  <c r="F4" i="29"/>
  <c r="T4" i="29"/>
  <c r="H4" i="29"/>
  <c r="AZ4" i="29"/>
  <c r="AV4" i="29"/>
  <c r="BU4" i="29"/>
  <c r="P4" i="29"/>
  <c r="BT4" i="29"/>
  <c r="CI4" i="29"/>
  <c r="BX4" i="29"/>
  <c r="Z4" i="29"/>
  <c r="BL4" i="29"/>
  <c r="BR4" i="29"/>
  <c r="CH4" i="29"/>
  <c r="CO4" i="29"/>
  <c r="E4" i="29"/>
  <c r="AQ4" i="29"/>
  <c r="AT4" i="29"/>
  <c r="BZ4" i="29"/>
  <c r="BA4" i="29"/>
  <c r="O4" i="29"/>
  <c r="N4" i="29"/>
  <c r="CR4" i="29"/>
  <c r="BJ4" i="29"/>
  <c r="U4" i="29"/>
  <c r="BE4" i="29"/>
  <c r="BW4" i="29"/>
  <c r="CC4" i="29"/>
  <c r="CT4" i="29"/>
  <c r="BS4" i="29"/>
  <c r="AC4" i="29"/>
  <c r="BN4" i="29"/>
  <c r="AM4" i="29"/>
  <c r="AF4" i="29"/>
  <c r="AY4" i="29"/>
  <c r="BF4" i="29"/>
  <c r="AA4" i="29"/>
  <c r="CQ4" i="29"/>
  <c r="CY4" i="29"/>
  <c r="AH4" i="29"/>
  <c r="BV4" i="29"/>
  <c r="AL4" i="29"/>
  <c r="CE4" i="29"/>
  <c r="AB4" i="29"/>
  <c r="AJ4" i="29"/>
  <c r="CA4" i="29"/>
  <c r="AS4" i="29"/>
  <c r="BY4" i="29"/>
  <c r="CP4" i="29"/>
  <c r="BP4" i="29"/>
  <c r="D61" i="88" l="1"/>
  <c r="F63" i="85" l="1"/>
  <c r="K1" i="7"/>
  <c r="F62" i="72" l="1"/>
  <c r="F63" i="72"/>
  <c r="K9" i="75" l="1"/>
  <c r="K10" i="75" s="1"/>
  <c r="D24" i="82" l="1"/>
  <c r="R68" i="43" l="1"/>
  <c r="G26" i="82"/>
  <c r="G25" i="82"/>
  <c r="G5" i="18"/>
  <c r="D35" i="82"/>
  <c r="D61" i="82"/>
  <c r="D72" i="72"/>
  <c r="D72" i="82"/>
  <c r="D35" i="46"/>
  <c r="G36" i="46" s="1"/>
  <c r="I36" i="46" s="1"/>
  <c r="D61" i="91"/>
  <c r="D61" i="90"/>
  <c r="O74" i="82" l="1"/>
  <c r="O73" i="82"/>
  <c r="I74" i="82"/>
  <c r="I73" i="82"/>
  <c r="L74" i="82"/>
  <c r="L73" i="82"/>
  <c r="G63" i="82"/>
  <c r="G64" i="82"/>
  <c r="G62" i="82"/>
  <c r="G41" i="82"/>
  <c r="G42" i="82"/>
  <c r="G40" i="82"/>
  <c r="G39" i="82"/>
  <c r="G36" i="82"/>
  <c r="G38" i="82"/>
  <c r="G37" i="82"/>
  <c r="L25" i="82"/>
  <c r="O25" i="82"/>
  <c r="I25" i="82"/>
  <c r="L26" i="82"/>
  <c r="I26" i="82"/>
  <c r="O26" i="82"/>
  <c r="J71" i="82" l="1"/>
  <c r="DQ20" i="29" s="1"/>
  <c r="M71" i="82"/>
  <c r="EN20" i="29" s="1"/>
  <c r="P71" i="82"/>
  <c r="FK20" i="29" s="1"/>
  <c r="O40" i="82"/>
  <c r="I40" i="82"/>
  <c r="L40" i="82"/>
  <c r="O42" i="82"/>
  <c r="L42" i="82"/>
  <c r="I42" i="82"/>
  <c r="I62" i="82"/>
  <c r="O62" i="82"/>
  <c r="L62" i="82"/>
  <c r="O63" i="82"/>
  <c r="L63" i="82"/>
  <c r="I63" i="82"/>
  <c r="P23" i="82"/>
  <c r="FK12" i="29" s="1"/>
  <c r="I37" i="82"/>
  <c r="O37" i="82"/>
  <c r="L37" i="82"/>
  <c r="L41" i="82"/>
  <c r="I41" i="82"/>
  <c r="O41" i="82"/>
  <c r="O64" i="82"/>
  <c r="L64" i="82"/>
  <c r="I64" i="82"/>
  <c r="J23" i="82"/>
  <c r="DQ12" i="29" s="1"/>
  <c r="M23" i="82"/>
  <c r="EN12" i="29" s="1"/>
  <c r="O38" i="82"/>
  <c r="L38" i="82"/>
  <c r="I38" i="82"/>
  <c r="L36" i="82"/>
  <c r="I36" i="82"/>
  <c r="O36" i="82"/>
  <c r="O39" i="82"/>
  <c r="L39" i="82"/>
  <c r="I39" i="82"/>
  <c r="M60" i="82" l="1"/>
  <c r="EN16" i="29" s="1"/>
  <c r="P60" i="82"/>
  <c r="FK16" i="29" s="1"/>
  <c r="J60" i="82"/>
  <c r="DQ16" i="29" s="1"/>
  <c r="J34" i="82"/>
  <c r="DQ14" i="29" s="1"/>
  <c r="M34" i="82"/>
  <c r="EN14" i="29" s="1"/>
  <c r="P34" i="82"/>
  <c r="FK14" i="29" s="1"/>
  <c r="J45" i="21"/>
  <c r="K45" i="21" s="1"/>
  <c r="F64" i="85"/>
  <c r="F64" i="72"/>
  <c r="F62" i="85"/>
  <c r="K9" i="33" l="1"/>
  <c r="X13" i="45" l="1"/>
  <c r="Y13" i="45"/>
  <c r="M18" i="87" l="1"/>
  <c r="J18" i="87"/>
  <c r="Q37" i="33" l="1"/>
  <c r="Q38" i="33"/>
  <c r="Q39" i="33"/>
  <c r="Q36" i="33"/>
  <c r="Q36" i="31"/>
  <c r="Q37" i="31"/>
  <c r="Q37" i="40" l="1"/>
  <c r="Q38" i="40"/>
  <c r="Q39" i="40"/>
  <c r="Q40" i="40"/>
  <c r="Q41" i="40"/>
  <c r="Q42" i="40"/>
  <c r="Q36" i="40"/>
  <c r="O17" i="35" l="1"/>
  <c r="O16" i="35"/>
  <c r="O17" i="34"/>
  <c r="O16" i="34"/>
  <c r="K73" i="75" l="1"/>
  <c r="K53" i="75"/>
  <c r="M12" i="74"/>
  <c r="F64" i="73"/>
  <c r="CX5" i="29" l="1"/>
  <c r="Q17" i="89" l="1"/>
  <c r="O17" i="89"/>
  <c r="L17" i="89"/>
  <c r="I17" i="89"/>
  <c r="Q16" i="89"/>
  <c r="O16" i="89"/>
  <c r="L16" i="89"/>
  <c r="I16" i="89"/>
  <c r="Q15" i="89"/>
  <c r="O15" i="89"/>
  <c r="L15" i="89"/>
  <c r="I15" i="89"/>
  <c r="Q17" i="91"/>
  <c r="O17" i="91"/>
  <c r="L17" i="91"/>
  <c r="I17" i="91"/>
  <c r="Q16" i="91"/>
  <c r="O16" i="91"/>
  <c r="L16" i="91"/>
  <c r="I16" i="91"/>
  <c r="Q17" i="90"/>
  <c r="O17" i="90"/>
  <c r="L17" i="90"/>
  <c r="I17" i="90"/>
  <c r="Q16" i="90"/>
  <c r="O16" i="90"/>
  <c r="L16" i="90"/>
  <c r="I16" i="90"/>
  <c r="Q15" i="90"/>
  <c r="O15" i="90"/>
  <c r="L15" i="90"/>
  <c r="I15" i="90"/>
  <c r="Q17" i="86"/>
  <c r="O17" i="86"/>
  <c r="L17" i="86"/>
  <c r="I17" i="86"/>
  <c r="Q16" i="86"/>
  <c r="O16" i="86"/>
  <c r="L16" i="86"/>
  <c r="I16" i="86"/>
  <c r="Q17" i="85"/>
  <c r="O17" i="85"/>
  <c r="L17" i="85"/>
  <c r="I17" i="85"/>
  <c r="Q16" i="85"/>
  <c r="O16" i="85"/>
  <c r="L16" i="85"/>
  <c r="I16" i="85"/>
  <c r="Q17" i="88"/>
  <c r="O17" i="88"/>
  <c r="L17" i="88"/>
  <c r="I17" i="88"/>
  <c r="Q16" i="88"/>
  <c r="O16" i="88"/>
  <c r="L16" i="88"/>
  <c r="I16" i="88"/>
  <c r="Q15" i="88"/>
  <c r="O15" i="88"/>
  <c r="L15" i="88"/>
  <c r="I15" i="88"/>
  <c r="Q17" i="84"/>
  <c r="O17" i="84"/>
  <c r="L17" i="84"/>
  <c r="I17" i="84"/>
  <c r="Q16" i="84"/>
  <c r="O16" i="84"/>
  <c r="L16" i="84"/>
  <c r="I16" i="84"/>
  <c r="Q17" i="83"/>
  <c r="O17" i="83"/>
  <c r="L17" i="83"/>
  <c r="I17" i="83"/>
  <c r="Q16" i="83"/>
  <c r="O16" i="83"/>
  <c r="L16" i="83"/>
  <c r="I16" i="83"/>
  <c r="O15" i="83"/>
  <c r="L15" i="83"/>
  <c r="Q17" i="81"/>
  <c r="O17" i="81"/>
  <c r="L17" i="81"/>
  <c r="I17" i="81"/>
  <c r="Q16" i="81"/>
  <c r="O16" i="81"/>
  <c r="L16" i="81"/>
  <c r="I16" i="81"/>
  <c r="Q17" i="80"/>
  <c r="O17" i="80"/>
  <c r="L17" i="80"/>
  <c r="I17" i="80"/>
  <c r="Q16" i="80"/>
  <c r="O16" i="80"/>
  <c r="L16" i="80"/>
  <c r="I16" i="80"/>
  <c r="Q17" i="79"/>
  <c r="O17" i="79"/>
  <c r="L17" i="79"/>
  <c r="I17" i="79"/>
  <c r="Q16" i="79"/>
  <c r="O16" i="79"/>
  <c r="L16" i="79"/>
  <c r="I16" i="79"/>
  <c r="Q17" i="78"/>
  <c r="O17" i="78"/>
  <c r="L17" i="78"/>
  <c r="I17" i="78"/>
  <c r="Q16" i="78"/>
  <c r="O16" i="78"/>
  <c r="L16" i="78"/>
  <c r="I16" i="78"/>
  <c r="Q17" i="77"/>
  <c r="O17" i="77"/>
  <c r="L17" i="77"/>
  <c r="I17" i="77"/>
  <c r="Q16" i="77"/>
  <c r="O16" i="77"/>
  <c r="L16" i="77"/>
  <c r="I16" i="77"/>
  <c r="Q17" i="76"/>
  <c r="O17" i="76"/>
  <c r="L17" i="76"/>
  <c r="I17" i="76"/>
  <c r="Q16" i="76"/>
  <c r="O16" i="76"/>
  <c r="L16" i="76"/>
  <c r="I16" i="76"/>
  <c r="Q17" i="75"/>
  <c r="O17" i="75"/>
  <c r="L17" i="75"/>
  <c r="I17" i="75"/>
  <c r="Q16" i="75"/>
  <c r="O16" i="75"/>
  <c r="L16" i="75"/>
  <c r="I16" i="75"/>
  <c r="Q17" i="74"/>
  <c r="O17" i="74"/>
  <c r="L17" i="74"/>
  <c r="I17" i="74"/>
  <c r="Q16" i="74"/>
  <c r="O16" i="74"/>
  <c r="L16" i="74"/>
  <c r="I16" i="74"/>
  <c r="O17" i="72"/>
  <c r="L17" i="72"/>
  <c r="I17" i="72"/>
  <c r="O16" i="72"/>
  <c r="L16" i="72"/>
  <c r="I16" i="72"/>
  <c r="Q17" i="73"/>
  <c r="O17" i="73"/>
  <c r="L17" i="73"/>
  <c r="I17" i="73"/>
  <c r="Q16" i="73"/>
  <c r="O16" i="73"/>
  <c r="L16" i="73"/>
  <c r="I16" i="73"/>
  <c r="Q17" i="65"/>
  <c r="O17" i="65"/>
  <c r="L17" i="65"/>
  <c r="I17" i="65"/>
  <c r="Q16" i="65"/>
  <c r="O16" i="65"/>
  <c r="L16" i="65"/>
  <c r="I16" i="65"/>
  <c r="Q17" i="71"/>
  <c r="O17" i="71"/>
  <c r="L17" i="71"/>
  <c r="I17" i="71"/>
  <c r="Q16" i="71"/>
  <c r="O16" i="71"/>
  <c r="L16" i="71"/>
  <c r="I16" i="71"/>
  <c r="Q17" i="66"/>
  <c r="O17" i="66"/>
  <c r="L17" i="66"/>
  <c r="I17" i="66"/>
  <c r="Q16" i="66"/>
  <c r="O16" i="66"/>
  <c r="L16" i="66"/>
  <c r="I16" i="66"/>
  <c r="Q17" i="64"/>
  <c r="O17" i="64"/>
  <c r="L17" i="64"/>
  <c r="I17" i="64"/>
  <c r="Q16" i="64"/>
  <c r="O16" i="64"/>
  <c r="L16" i="64"/>
  <c r="I16" i="64"/>
  <c r="Q17" i="62"/>
  <c r="Q16" i="62"/>
  <c r="Q15" i="62"/>
  <c r="Q17" i="61"/>
  <c r="Q16" i="61"/>
  <c r="Q15" i="61"/>
  <c r="Q17" i="60"/>
  <c r="Q16" i="60"/>
  <c r="Q17" i="56"/>
  <c r="Q16" i="56"/>
  <c r="Q15" i="56"/>
  <c r="Q17" i="55"/>
  <c r="Q16" i="55"/>
  <c r="Q15" i="55"/>
  <c r="Q17" i="54"/>
  <c r="Q16" i="54"/>
  <c r="Q15" i="54"/>
  <c r="Q17" i="53"/>
  <c r="Q16" i="53"/>
  <c r="Q15" i="53"/>
  <c r="Q17" i="52"/>
  <c r="Q16" i="52"/>
  <c r="Q15" i="52"/>
  <c r="Q17" i="51"/>
  <c r="Q16" i="51"/>
  <c r="Q15" i="51"/>
  <c r="Q17" i="50"/>
  <c r="Q16" i="50"/>
  <c r="Q15" i="50"/>
  <c r="Q17" i="49"/>
  <c r="Q17" i="48"/>
  <c r="Q16" i="48"/>
  <c r="Q17" i="47"/>
  <c r="Q16" i="47"/>
  <c r="Q17" i="59"/>
  <c r="Q16" i="59"/>
  <c r="Q15" i="59"/>
  <c r="Q17" i="46"/>
  <c r="Q16" i="46"/>
  <c r="Q15" i="46"/>
  <c r="Q17" i="45"/>
  <c r="Q16" i="45"/>
  <c r="Q15" i="45"/>
  <c r="Q17" i="43"/>
  <c r="Q16" i="43"/>
  <c r="Q15" i="43"/>
  <c r="Q17" i="44"/>
  <c r="Q16" i="44"/>
  <c r="Q15" i="44"/>
  <c r="Q17" i="42"/>
  <c r="Q16" i="42"/>
  <c r="Q17" i="41"/>
  <c r="Q16" i="41"/>
  <c r="Q17" i="40"/>
  <c r="Q16" i="40"/>
  <c r="Q15" i="40"/>
  <c r="Q17" i="39"/>
  <c r="Q16" i="39"/>
  <c r="Q15" i="39"/>
  <c r="Q17" i="38"/>
  <c r="Q16" i="38"/>
  <c r="Q17" i="37"/>
  <c r="Q16" i="37"/>
  <c r="Q15" i="37"/>
  <c r="Q17" i="36"/>
  <c r="Q16" i="36"/>
  <c r="Q15" i="36"/>
  <c r="Q17" i="35"/>
  <c r="Q16" i="35"/>
  <c r="Q17" i="34"/>
  <c r="Q16" i="34"/>
  <c r="Q17" i="58"/>
  <c r="Q16" i="58"/>
  <c r="Q15" i="58"/>
  <c r="Q17" i="57"/>
  <c r="Q16" i="57"/>
  <c r="Q15" i="57"/>
  <c r="Q17" i="33"/>
  <c r="Q16" i="33"/>
  <c r="E30" i="65" l="1"/>
  <c r="E30" i="71"/>
  <c r="E30" i="66"/>
  <c r="S44" i="28"/>
  <c r="S43" i="28"/>
  <c r="S42" i="28"/>
  <c r="K31" i="66"/>
  <c r="N33" i="66"/>
  <c r="X7" i="30"/>
  <c r="X31" i="30" l="1"/>
  <c r="X20" i="30"/>
  <c r="K32" i="66"/>
  <c r="K33" i="66"/>
  <c r="N30" i="66"/>
  <c r="N31" i="66"/>
  <c r="N32" i="66"/>
  <c r="K30" i="66"/>
  <c r="E33" i="86" l="1"/>
  <c r="E32" i="86"/>
  <c r="E31" i="86"/>
  <c r="E30" i="86"/>
  <c r="E33" i="85"/>
  <c r="E32" i="85"/>
  <c r="E31" i="85"/>
  <c r="E33" i="88"/>
  <c r="E32" i="88"/>
  <c r="E31" i="88"/>
  <c r="E30" i="88"/>
  <c r="E33" i="84"/>
  <c r="E32" i="84"/>
  <c r="E31" i="84"/>
  <c r="E30" i="84"/>
  <c r="E33" i="83"/>
  <c r="E32" i="83"/>
  <c r="E31" i="83"/>
  <c r="E30" i="83"/>
  <c r="E33" i="81"/>
  <c r="E32" i="81"/>
  <c r="E31" i="81"/>
  <c r="E30" i="81"/>
  <c r="E33" i="80"/>
  <c r="E32" i="80"/>
  <c r="E31" i="80"/>
  <c r="E30" i="80"/>
  <c r="E33" i="79"/>
  <c r="E32" i="79"/>
  <c r="E31" i="79"/>
  <c r="E30" i="79"/>
  <c r="E33" i="78"/>
  <c r="E32" i="78"/>
  <c r="E31" i="78"/>
  <c r="E30" i="78"/>
  <c r="E33" i="77"/>
  <c r="E32" i="77"/>
  <c r="E31" i="77"/>
  <c r="E30" i="77"/>
  <c r="E33" i="76"/>
  <c r="E32" i="76"/>
  <c r="E31" i="76"/>
  <c r="E30" i="76"/>
  <c r="E33" i="75"/>
  <c r="E31" i="75"/>
  <c r="E30" i="75"/>
  <c r="E33" i="74"/>
  <c r="E31" i="74"/>
  <c r="E30" i="74"/>
  <c r="E33" i="72"/>
  <c r="E32" i="72"/>
  <c r="E31" i="72"/>
  <c r="E33" i="73"/>
  <c r="E32" i="73"/>
  <c r="E31" i="73"/>
  <c r="E30" i="47"/>
  <c r="K33" i="64" l="1"/>
  <c r="N33" i="64"/>
  <c r="K33" i="65"/>
  <c r="N33" i="65"/>
  <c r="K30" i="65"/>
  <c r="N30" i="65"/>
  <c r="N30" i="71"/>
  <c r="K30" i="71"/>
  <c r="N32" i="64"/>
  <c r="K32" i="64"/>
  <c r="N31" i="71"/>
  <c r="K31" i="71"/>
  <c r="K31" i="64"/>
  <c r="N31" i="64"/>
  <c r="N32" i="65"/>
  <c r="K32" i="65"/>
  <c r="K32" i="71"/>
  <c r="N32" i="71"/>
  <c r="K31" i="65"/>
  <c r="N31" i="65"/>
  <c r="N33" i="71"/>
  <c r="K33" i="71"/>
  <c r="A10" i="28"/>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8" i="16" l="1"/>
  <c r="A9" i="16"/>
  <c r="A10" i="16"/>
  <c r="A11" i="16"/>
  <c r="A12" i="16"/>
  <c r="A13" i="16"/>
  <c r="A14" i="16"/>
  <c r="A15" i="16"/>
  <c r="A16" i="16"/>
  <c r="A17" i="16"/>
  <c r="A18" i="16"/>
  <c r="A19" i="16"/>
  <c r="A20" i="16"/>
  <c r="A21" i="16"/>
  <c r="A22" i="16"/>
  <c r="A23" i="16"/>
  <c r="A58" i="16"/>
  <c r="A59" i="16"/>
  <c r="A60" i="16"/>
  <c r="A61" i="16"/>
  <c r="A62" i="16"/>
  <c r="A63" i="16"/>
  <c r="A64" i="16"/>
  <c r="A65" i="16"/>
  <c r="A66" i="16"/>
  <c r="A67" i="16"/>
  <c r="A68" i="16"/>
  <c r="A69" i="16"/>
  <c r="A70" i="16"/>
  <c r="A71" i="16"/>
  <c r="A72" i="16"/>
  <c r="A73" i="16"/>
  <c r="A74" i="16"/>
  <c r="A75" i="16"/>
  <c r="A76" i="16"/>
  <c r="O76" i="16" s="1"/>
  <c r="A77" i="16"/>
  <c r="A78" i="16"/>
  <c r="A79" i="16"/>
  <c r="A80" i="16"/>
  <c r="FB62" i="29" l="1"/>
  <c r="FB61" i="29"/>
  <c r="FB43" i="29"/>
  <c r="EE62" i="29"/>
  <c r="EE61" i="29"/>
  <c r="EE10" i="29"/>
  <c r="EE5" i="29"/>
  <c r="EE43" i="29"/>
  <c r="DH62" i="29"/>
  <c r="DH61" i="29"/>
  <c r="DH10" i="29"/>
  <c r="DH43" i="29"/>
  <c r="EF5" i="29"/>
  <c r="EF10" i="29"/>
  <c r="EF43" i="29"/>
  <c r="EF61" i="29"/>
  <c r="EF62" i="29"/>
  <c r="P65" i="78"/>
  <c r="FB17" i="29" s="1"/>
  <c r="M65" i="78"/>
  <c r="EE17" i="29" s="1"/>
  <c r="J65" i="78"/>
  <c r="DH17" i="29" s="1"/>
  <c r="F64" i="78"/>
  <c r="F63" i="78"/>
  <c r="P56" i="78"/>
  <c r="I56" i="78"/>
  <c r="M53" i="78"/>
  <c r="L53" i="78"/>
  <c r="O50" i="78"/>
  <c r="N26" i="78"/>
  <c r="K26" i="78"/>
  <c r="N25" i="78"/>
  <c r="K25" i="78"/>
  <c r="Y12" i="78"/>
  <c r="Y14" i="78" s="1"/>
  <c r="K31" i="78" s="1"/>
  <c r="M12" i="78"/>
  <c r="O10" i="78"/>
  <c r="L10" i="78"/>
  <c r="I10" i="78"/>
  <c r="K9" i="78"/>
  <c r="EE6" i="29" s="1"/>
  <c r="P6" i="78"/>
  <c r="N11" i="78" s="1"/>
  <c r="J6" i="78"/>
  <c r="H11" i="78" s="1"/>
  <c r="N3" i="78"/>
  <c r="EF4" i="29"/>
  <c r="EE4" i="29"/>
  <c r="DH4" i="29"/>
  <c r="FB4" i="29"/>
  <c r="H57" i="78" l="1"/>
  <c r="K57" i="78"/>
  <c r="N57" i="78"/>
  <c r="O20" i="78"/>
  <c r="O21" i="78"/>
  <c r="DH5" i="29"/>
  <c r="I20" i="78"/>
  <c r="I21" i="78"/>
  <c r="J56" i="78"/>
  <c r="M56" i="78"/>
  <c r="I53" i="78"/>
  <c r="O53" i="78"/>
  <c r="FB5" i="29"/>
  <c r="I50" i="78"/>
  <c r="L50" i="78"/>
  <c r="P53" i="78"/>
  <c r="O56" i="78"/>
  <c r="L56" i="78"/>
  <c r="Z12" i="78"/>
  <c r="Z16" i="78" s="1"/>
  <c r="N33" i="78" s="1"/>
  <c r="N9" i="78"/>
  <c r="FB6" i="29" s="1"/>
  <c r="O12" i="78"/>
  <c r="Y13" i="78"/>
  <c r="K30" i="78" s="1"/>
  <c r="Y15" i="78"/>
  <c r="K32" i="78" s="1"/>
  <c r="X12" i="78"/>
  <c r="J53" i="78"/>
  <c r="Y16" i="78"/>
  <c r="K33" i="78" s="1"/>
  <c r="H9" i="78"/>
  <c r="DH6" i="29" s="1"/>
  <c r="I12" i="78"/>
  <c r="P57" i="71" l="1"/>
  <c r="J57" i="71"/>
  <c r="M57" i="71"/>
  <c r="L57" i="71"/>
  <c r="I57" i="71"/>
  <c r="O57" i="71"/>
  <c r="Z15" i="78"/>
  <c r="N32" i="78" s="1"/>
  <c r="Z13" i="78"/>
  <c r="N30" i="78" s="1"/>
  <c r="Z14" i="78"/>
  <c r="N31" i="78" s="1"/>
  <c r="X13" i="78"/>
  <c r="H30" i="78" s="1"/>
  <c r="X14" i="78"/>
  <c r="H31" i="78" s="1"/>
  <c r="X15" i="78"/>
  <c r="H32" i="78" s="1"/>
  <c r="X16" i="78"/>
  <c r="H33" i="78" s="1"/>
  <c r="N2" i="20" l="1"/>
  <c r="M16" i="21"/>
  <c r="M17" i="21"/>
  <c r="M18" i="21"/>
  <c r="K16" i="21"/>
  <c r="K17" i="21"/>
  <c r="K18" i="21"/>
  <c r="M16" i="20"/>
  <c r="K16" i="20"/>
  <c r="O3" i="16" l="1"/>
  <c r="P4" i="78" s="1"/>
  <c r="B3" i="29" l="1"/>
  <c r="C53" i="7" l="1"/>
  <c r="C54" i="7" s="1"/>
  <c r="C55" i="7" s="1"/>
  <c r="C56" i="7" s="1"/>
  <c r="C57" i="7" s="1"/>
  <c r="C58" i="7" s="1"/>
  <c r="F53" i="7"/>
  <c r="F54" i="7" s="1"/>
  <c r="F55" i="7" s="1"/>
  <c r="F56" i="7" s="1"/>
  <c r="F57" i="7" s="1"/>
  <c r="F58" i="7" s="1"/>
  <c r="F59" i="7" s="1"/>
  <c r="F60" i="7" s="1"/>
  <c r="F61" i="7" s="1"/>
  <c r="F62" i="7" s="1"/>
  <c r="F63" i="7" s="1"/>
  <c r="F64" i="7" s="1"/>
  <c r="F65" i="7" s="1"/>
  <c r="F66" i="7" s="1"/>
  <c r="F67" i="7" s="1"/>
  <c r="F68" i="7" s="1"/>
  <c r="F69" i="7" s="1"/>
  <c r="F70" i="7" s="1"/>
  <c r="F71" i="7" s="1"/>
  <c r="F72" i="7" s="1"/>
  <c r="F73" i="7" s="1"/>
  <c r="C59" i="7" l="1"/>
  <c r="C60" i="7" s="1"/>
  <c r="C61" i="7" s="1"/>
  <c r="C62" i="7" s="1"/>
  <c r="C63" i="7" s="1"/>
  <c r="C64" i="7" s="1"/>
  <c r="C65" i="7" s="1"/>
  <c r="C66" i="7" s="1"/>
  <c r="C67" i="7" s="1"/>
  <c r="C68" i="7" s="1"/>
  <c r="C69" i="7" s="1"/>
  <c r="C70" i="7" s="1"/>
  <c r="C71" i="7" s="1"/>
  <c r="C72" i="7" s="1"/>
  <c r="C73" i="7" s="1"/>
  <c r="B8" i="3"/>
  <c r="CY5" i="29" l="1"/>
  <c r="CZ5" i="29"/>
  <c r="DA5" i="29"/>
  <c r="DN5" i="29"/>
  <c r="DO5" i="29"/>
  <c r="DP5" i="29"/>
  <c r="DR5" i="29"/>
  <c r="DS5" i="29"/>
  <c r="CX7" i="29"/>
  <c r="CY7" i="29"/>
  <c r="CZ7" i="29"/>
  <c r="DA7" i="29"/>
  <c r="DR7" i="29"/>
  <c r="DS7" i="29"/>
  <c r="CX10" i="29"/>
  <c r="CY10" i="29"/>
  <c r="CZ10" i="29"/>
  <c r="DA10" i="29"/>
  <c r="DB10" i="29"/>
  <c r="DC10" i="29"/>
  <c r="DD10" i="29"/>
  <c r="DE10" i="29"/>
  <c r="DF10" i="29"/>
  <c r="DG10" i="29"/>
  <c r="DI10" i="29"/>
  <c r="DJ10" i="29"/>
  <c r="DK10" i="29"/>
  <c r="DL10" i="29"/>
  <c r="DM10" i="29"/>
  <c r="DN10" i="29"/>
  <c r="DO10" i="29"/>
  <c r="DP10" i="29"/>
  <c r="DR10" i="29"/>
  <c r="DS10" i="29"/>
  <c r="AF62" i="29" l="1"/>
  <c r="AF61" i="29"/>
  <c r="AF10" i="29"/>
  <c r="AF7" i="29"/>
  <c r="AF5" i="29"/>
  <c r="CR62" i="29"/>
  <c r="CR23" i="29"/>
  <c r="CR51" i="29" s="1"/>
  <c r="CR10" i="29"/>
  <c r="CR7" i="29"/>
  <c r="CR5" i="29"/>
  <c r="CR43" i="29"/>
  <c r="EP10" i="29" l="1"/>
  <c r="EO10" i="29"/>
  <c r="EM10" i="29"/>
  <c r="EL10" i="29"/>
  <c r="EK10" i="29"/>
  <c r="EJ10" i="29"/>
  <c r="EI10" i="29"/>
  <c r="EH10" i="29"/>
  <c r="EG10" i="29"/>
  <c r="ED10" i="29"/>
  <c r="EC10" i="29"/>
  <c r="EB10" i="29"/>
  <c r="EA10" i="29"/>
  <c r="DZ10" i="29"/>
  <c r="DY10" i="29"/>
  <c r="DX10" i="29"/>
  <c r="DW10" i="29"/>
  <c r="DV10" i="29"/>
  <c r="DU10" i="29"/>
  <c r="Z13" i="83"/>
  <c r="Y13" i="83"/>
  <c r="X13" i="83"/>
  <c r="Z13" i="84"/>
  <c r="Y13" i="84"/>
  <c r="X13" i="84"/>
  <c r="Z13" i="86"/>
  <c r="Y13" i="86"/>
  <c r="X13" i="86"/>
  <c r="Z13" i="90"/>
  <c r="Y13" i="90"/>
  <c r="X13" i="90"/>
  <c r="H30" i="90" s="1"/>
  <c r="Z13" i="89"/>
  <c r="Y13" i="89"/>
  <c r="X13" i="89"/>
  <c r="Z13" i="81"/>
  <c r="Y13" i="81"/>
  <c r="X13" i="81"/>
  <c r="K30" i="83"/>
  <c r="N26" i="83"/>
  <c r="K26" i="83"/>
  <c r="N25" i="83"/>
  <c r="K25" i="83"/>
  <c r="K30" i="84"/>
  <c r="N26" i="84"/>
  <c r="K26" i="84"/>
  <c r="N25" i="84"/>
  <c r="K25" i="84"/>
  <c r="N30" i="88"/>
  <c r="K30" i="88"/>
  <c r="D27" i="88"/>
  <c r="N26" i="88"/>
  <c r="K26" i="88"/>
  <c r="N25" i="88"/>
  <c r="K25" i="88"/>
  <c r="N30" i="85"/>
  <c r="K30" i="85"/>
  <c r="D27" i="85"/>
  <c r="N26" i="85"/>
  <c r="K26" i="85"/>
  <c r="N25" i="85"/>
  <c r="K25" i="85"/>
  <c r="N30" i="86"/>
  <c r="K30" i="86"/>
  <c r="N26" i="86"/>
  <c r="K26" i="86"/>
  <c r="N25" i="86"/>
  <c r="K25" i="86"/>
  <c r="N30" i="90"/>
  <c r="K30" i="90"/>
  <c r="N26" i="90"/>
  <c r="K26" i="90"/>
  <c r="N25" i="90"/>
  <c r="K25" i="90"/>
  <c r="N30" i="91"/>
  <c r="K30" i="91"/>
  <c r="N26" i="91"/>
  <c r="K26" i="91"/>
  <c r="N25" i="91"/>
  <c r="K25" i="91"/>
  <c r="K30" i="89"/>
  <c r="N26" i="89"/>
  <c r="K26" i="89"/>
  <c r="N25" i="89"/>
  <c r="K25" i="89"/>
  <c r="K30" i="81"/>
  <c r="N26" i="81"/>
  <c r="K26" i="81"/>
  <c r="N25" i="81"/>
  <c r="K25" i="81"/>
  <c r="P2" i="21"/>
  <c r="FM65" i="29" l="1"/>
  <c r="FL65" i="29"/>
  <c r="FI65" i="29"/>
  <c r="FH65" i="29"/>
  <c r="EY65" i="29"/>
  <c r="EW65" i="29"/>
  <c r="EV65" i="29"/>
  <c r="EU65" i="29"/>
  <c r="ET65" i="29"/>
  <c r="ES65" i="29"/>
  <c r="ER65" i="29"/>
  <c r="DS65" i="29"/>
  <c r="DR65" i="29"/>
  <c r="DO65" i="29"/>
  <c r="DN65" i="29"/>
  <c r="DE65" i="29"/>
  <c r="DC65" i="29"/>
  <c r="DB65" i="29"/>
  <c r="DA65" i="29"/>
  <c r="CZ65" i="29"/>
  <c r="EP65" i="29"/>
  <c r="EO65" i="29"/>
  <c r="DZ65" i="29"/>
  <c r="DX65" i="29"/>
  <c r="DY65" i="29"/>
  <c r="DW65" i="29"/>
  <c r="DV65" i="29"/>
  <c r="DU65" i="29"/>
  <c r="D66" i="29"/>
  <c r="BG64" i="29"/>
  <c r="A64" i="29"/>
  <c r="A63" i="29"/>
  <c r="FM62" i="29"/>
  <c r="FL62" i="29"/>
  <c r="FJ62" i="29"/>
  <c r="FI62" i="29"/>
  <c r="FH62" i="29"/>
  <c r="FG62" i="29"/>
  <c r="FF62" i="29"/>
  <c r="FE62" i="29"/>
  <c r="FD62" i="29"/>
  <c r="FC62" i="29"/>
  <c r="FA62" i="29"/>
  <c r="EZ62" i="29"/>
  <c r="EY62" i="29"/>
  <c r="EX62" i="29"/>
  <c r="EW62" i="29"/>
  <c r="EV62" i="29"/>
  <c r="EU62" i="29"/>
  <c r="ET62" i="29"/>
  <c r="ES62" i="29"/>
  <c r="ER62" i="29"/>
  <c r="EP62" i="29"/>
  <c r="EO62" i="29"/>
  <c r="EM62" i="29"/>
  <c r="EL62" i="29"/>
  <c r="EK62" i="29"/>
  <c r="EJ62" i="29"/>
  <c r="EI62" i="29"/>
  <c r="EH62" i="29"/>
  <c r="EG62" i="29"/>
  <c r="ED62" i="29"/>
  <c r="EC62" i="29"/>
  <c r="EB62" i="29"/>
  <c r="EA62" i="29"/>
  <c r="DZ62" i="29"/>
  <c r="DY62" i="29"/>
  <c r="DX62" i="29"/>
  <c r="DW62" i="29"/>
  <c r="DV62" i="29"/>
  <c r="DU62" i="29"/>
  <c r="DS62" i="29"/>
  <c r="DR62" i="29"/>
  <c r="DP62" i="29"/>
  <c r="DO62" i="29"/>
  <c r="DN62" i="29"/>
  <c r="DM62" i="29"/>
  <c r="DL62" i="29"/>
  <c r="DK62" i="29"/>
  <c r="DJ62" i="29"/>
  <c r="DI62" i="29"/>
  <c r="DG62" i="29"/>
  <c r="DF62" i="29"/>
  <c r="DE62" i="29"/>
  <c r="DD62" i="29"/>
  <c r="DC62" i="29"/>
  <c r="DB62" i="29"/>
  <c r="DA62" i="29"/>
  <c r="CZ62" i="29"/>
  <c r="CY62" i="29"/>
  <c r="CX62" i="29"/>
  <c r="CT62" i="29"/>
  <c r="CS62" i="29"/>
  <c r="CQ62" i="29"/>
  <c r="CP62" i="29"/>
  <c r="CO62" i="29"/>
  <c r="CN62" i="29"/>
  <c r="CM62" i="29"/>
  <c r="CL62" i="29"/>
  <c r="CK62" i="29"/>
  <c r="CJ62" i="29"/>
  <c r="CH62" i="29"/>
  <c r="CG62" i="29"/>
  <c r="CF62" i="29"/>
  <c r="CE62" i="29"/>
  <c r="CB62" i="29"/>
  <c r="CA62" i="29"/>
  <c r="BZ62" i="29"/>
  <c r="BY62" i="29"/>
  <c r="BX62" i="29"/>
  <c r="BW62" i="29"/>
  <c r="BV62" i="29"/>
  <c r="BU62" i="29"/>
  <c r="BT62" i="29"/>
  <c r="BS62" i="29"/>
  <c r="BR62" i="29"/>
  <c r="BQ62" i="29"/>
  <c r="BP62" i="29"/>
  <c r="BN62" i="29"/>
  <c r="BM62" i="29"/>
  <c r="BK62" i="29"/>
  <c r="BJ62" i="29"/>
  <c r="BI62" i="29"/>
  <c r="BH62" i="29"/>
  <c r="BG62" i="29"/>
  <c r="BF62" i="29"/>
  <c r="BE62" i="29"/>
  <c r="BD62" i="29"/>
  <c r="BB62" i="29"/>
  <c r="BA62" i="29"/>
  <c r="AZ62" i="29"/>
  <c r="AY62" i="29"/>
  <c r="AW62" i="29"/>
  <c r="AV62" i="29"/>
  <c r="AU62" i="29"/>
  <c r="AT62" i="29"/>
  <c r="AS62" i="29"/>
  <c r="AR62" i="29"/>
  <c r="AQ62" i="29"/>
  <c r="AP62" i="29"/>
  <c r="AO62" i="29"/>
  <c r="AN62" i="29"/>
  <c r="AM62" i="29"/>
  <c r="AL62" i="29"/>
  <c r="AK62" i="29"/>
  <c r="AJ62" i="29"/>
  <c r="AH62" i="29"/>
  <c r="AG62" i="29"/>
  <c r="AE62" i="29"/>
  <c r="AD62" i="29"/>
  <c r="AC62" i="29"/>
  <c r="AB62" i="29"/>
  <c r="AA62" i="29"/>
  <c r="Z62" i="29"/>
  <c r="Y62" i="29"/>
  <c r="X62" i="29"/>
  <c r="V62" i="29"/>
  <c r="U62" i="29"/>
  <c r="T62" i="29"/>
  <c r="S62" i="29"/>
  <c r="Q62" i="29"/>
  <c r="P62" i="29"/>
  <c r="O62" i="29"/>
  <c r="N62" i="29"/>
  <c r="M62" i="29"/>
  <c r="L62" i="29"/>
  <c r="K62" i="29"/>
  <c r="J62" i="29"/>
  <c r="I62" i="29"/>
  <c r="H62" i="29"/>
  <c r="G62" i="29"/>
  <c r="F62" i="29"/>
  <c r="E62" i="29"/>
  <c r="D62" i="29"/>
  <c r="A62" i="29"/>
  <c r="FM61" i="29"/>
  <c r="FL61" i="29"/>
  <c r="FJ61" i="29"/>
  <c r="FI61" i="29"/>
  <c r="FH61" i="29"/>
  <c r="FG61" i="29"/>
  <c r="FF61" i="29"/>
  <c r="FE61" i="29"/>
  <c r="FD61" i="29"/>
  <c r="FC61" i="29"/>
  <c r="FA61" i="29"/>
  <c r="EZ61" i="29"/>
  <c r="EY61" i="29"/>
  <c r="EX61" i="29"/>
  <c r="EW61" i="29"/>
  <c r="EV61" i="29"/>
  <c r="EU61" i="29"/>
  <c r="ET61" i="29"/>
  <c r="ES61" i="29"/>
  <c r="ER61" i="29"/>
  <c r="EP61" i="29"/>
  <c r="EO61" i="29"/>
  <c r="EM61" i="29"/>
  <c r="EL61" i="29"/>
  <c r="EK61" i="29"/>
  <c r="EJ61" i="29"/>
  <c r="EI61" i="29"/>
  <c r="EH61" i="29"/>
  <c r="EG61" i="29"/>
  <c r="ED61" i="29"/>
  <c r="EC61" i="29"/>
  <c r="EB61" i="29"/>
  <c r="EA61" i="29"/>
  <c r="DZ61" i="29"/>
  <c r="DY61" i="29"/>
  <c r="DX61" i="29"/>
  <c r="DW61" i="29"/>
  <c r="DV61" i="29"/>
  <c r="DU61" i="29"/>
  <c r="DS61" i="29"/>
  <c r="DR61" i="29"/>
  <c r="DP61" i="29"/>
  <c r="DO61" i="29"/>
  <c r="DN61" i="29"/>
  <c r="DM61" i="29"/>
  <c r="DL61" i="29"/>
  <c r="DK61" i="29"/>
  <c r="DJ61" i="29"/>
  <c r="DI61" i="29"/>
  <c r="DG61" i="29"/>
  <c r="DF61" i="29"/>
  <c r="DE61" i="29"/>
  <c r="DD61" i="29"/>
  <c r="DC61" i="29"/>
  <c r="DB61" i="29"/>
  <c r="DA61" i="29"/>
  <c r="CZ61" i="29"/>
  <c r="CY61" i="29"/>
  <c r="CX61" i="29"/>
  <c r="AH61" i="29"/>
  <c r="AG61" i="29"/>
  <c r="AE61" i="29"/>
  <c r="AD61" i="29"/>
  <c r="AC61" i="29"/>
  <c r="AB61" i="29"/>
  <c r="AA61" i="29"/>
  <c r="Z61" i="29"/>
  <c r="Y61" i="29"/>
  <c r="X61" i="29"/>
  <c r="V61" i="29"/>
  <c r="U61" i="29"/>
  <c r="T61" i="29"/>
  <c r="S61" i="29"/>
  <c r="P61" i="29"/>
  <c r="O61" i="29"/>
  <c r="N61" i="29"/>
  <c r="M61" i="29"/>
  <c r="L61" i="29"/>
  <c r="K61" i="29"/>
  <c r="J61" i="29"/>
  <c r="I61" i="29"/>
  <c r="H61" i="29"/>
  <c r="G61" i="29"/>
  <c r="F61" i="29"/>
  <c r="E61" i="29"/>
  <c r="D61" i="29"/>
  <c r="A61" i="29"/>
  <c r="A60" i="29"/>
  <c r="FO59" i="29"/>
  <c r="A59" i="29"/>
  <c r="A58" i="29"/>
  <c r="A57" i="29"/>
  <c r="A56" i="29"/>
  <c r="A55" i="29"/>
  <c r="A54" i="29"/>
  <c r="A53" i="29"/>
  <c r="A52" i="29"/>
  <c r="A51" i="29"/>
  <c r="A50" i="29"/>
  <c r="A49" i="29"/>
  <c r="A48" i="29"/>
  <c r="A47" i="29"/>
  <c r="A46" i="29"/>
  <c r="A45" i="29"/>
  <c r="A44" i="29"/>
  <c r="FL43" i="29"/>
  <c r="FJ43" i="29"/>
  <c r="FG43" i="29"/>
  <c r="FF43" i="29"/>
  <c r="FE43" i="29"/>
  <c r="FD43" i="29"/>
  <c r="FC43" i="29"/>
  <c r="FA43" i="29"/>
  <c r="EZ43" i="29"/>
  <c r="EX43" i="29"/>
  <c r="EW43" i="29"/>
  <c r="EV43" i="29"/>
  <c r="EO43" i="29"/>
  <c r="EM43" i="29"/>
  <c r="EJ43" i="29"/>
  <c r="EI43" i="29"/>
  <c r="EH43" i="29"/>
  <c r="EG43" i="29"/>
  <c r="ED43" i="29"/>
  <c r="EC43" i="29"/>
  <c r="EA43" i="29"/>
  <c r="DZ43" i="29"/>
  <c r="DY43" i="29"/>
  <c r="DS43" i="29"/>
  <c r="DR43" i="29"/>
  <c r="DP43" i="29"/>
  <c r="DO43" i="29"/>
  <c r="DN43" i="29"/>
  <c r="DM43" i="29"/>
  <c r="DL43" i="29"/>
  <c r="DK43" i="29"/>
  <c r="DJ43" i="29"/>
  <c r="DI43" i="29"/>
  <c r="DG43" i="29"/>
  <c r="DF43" i="29"/>
  <c r="DE43" i="29"/>
  <c r="DD43" i="29"/>
  <c r="DC43" i="29"/>
  <c r="DB43" i="29"/>
  <c r="DA43" i="29"/>
  <c r="CZ43" i="29"/>
  <c r="CY43" i="29"/>
  <c r="CX43" i="29"/>
  <c r="CT43" i="29"/>
  <c r="CS43" i="29"/>
  <c r="CQ43" i="29"/>
  <c r="CP43" i="29"/>
  <c r="CO43" i="29"/>
  <c r="CN43" i="29"/>
  <c r="CL43" i="29"/>
  <c r="CK43" i="29"/>
  <c r="CJ43" i="29"/>
  <c r="CH43" i="29"/>
  <c r="CG43" i="29"/>
  <c r="CF43" i="29"/>
  <c r="CE43" i="29"/>
  <c r="CC43" i="29"/>
  <c r="CB43" i="29"/>
  <c r="CA43" i="29"/>
  <c r="BZ43" i="29"/>
  <c r="BY43" i="29"/>
  <c r="BX43" i="29"/>
  <c r="BW43" i="29"/>
  <c r="BV43" i="29"/>
  <c r="BU43" i="29"/>
  <c r="BT43" i="29"/>
  <c r="BS43" i="29"/>
  <c r="BR43" i="29"/>
  <c r="BQ43" i="29"/>
  <c r="BP43" i="29"/>
  <c r="BN43" i="29"/>
  <c r="BM43" i="29"/>
  <c r="BL43" i="29"/>
  <c r="BK43" i="29"/>
  <c r="BJ43" i="29"/>
  <c r="BI43" i="29"/>
  <c r="BH43" i="29"/>
  <c r="BF43" i="29"/>
  <c r="BE43" i="29"/>
  <c r="BD43" i="29"/>
  <c r="BB43" i="29"/>
  <c r="BA43" i="29"/>
  <c r="AZ43" i="29"/>
  <c r="AY43" i="29"/>
  <c r="AW43" i="29"/>
  <c r="AV43" i="29"/>
  <c r="AU43" i="29"/>
  <c r="AT43" i="29"/>
  <c r="AS43" i="29"/>
  <c r="AR43" i="29"/>
  <c r="AQ43" i="29"/>
  <c r="AP43" i="29"/>
  <c r="AO43" i="29"/>
  <c r="AN43" i="29"/>
  <c r="AM43" i="29"/>
  <c r="AL43" i="29"/>
  <c r="AK43" i="29"/>
  <c r="AJ43" i="29"/>
  <c r="AH43" i="29"/>
  <c r="AG43" i="29"/>
  <c r="AF43" i="29"/>
  <c r="AE43" i="29"/>
  <c r="AD43" i="29"/>
  <c r="AC43" i="29"/>
  <c r="AB43" i="29"/>
  <c r="Z43" i="29"/>
  <c r="Y43" i="29"/>
  <c r="X43" i="29"/>
  <c r="V43" i="29"/>
  <c r="U43" i="29"/>
  <c r="T43" i="29"/>
  <c r="S43" i="29"/>
  <c r="Q43" i="29"/>
  <c r="P43" i="29"/>
  <c r="O43" i="29"/>
  <c r="N43" i="29"/>
  <c r="M43" i="29"/>
  <c r="L43" i="29"/>
  <c r="K43" i="29"/>
  <c r="J43" i="29"/>
  <c r="I43" i="29"/>
  <c r="H43" i="29"/>
  <c r="G43" i="29"/>
  <c r="F43" i="29"/>
  <c r="E43" i="29"/>
  <c r="D43" i="29"/>
  <c r="A43" i="29"/>
  <c r="A42" i="29"/>
  <c r="A41" i="29"/>
  <c r="A40" i="29"/>
  <c r="A39" i="29"/>
  <c r="A38" i="29"/>
  <c r="BL55" i="29"/>
  <c r="A37" i="29"/>
  <c r="A36" i="29"/>
  <c r="A35" i="29"/>
  <c r="A34" i="29"/>
  <c r="A33" i="29"/>
  <c r="CW32" i="29"/>
  <c r="A32" i="29"/>
  <c r="FM43" i="29"/>
  <c r="EP43" i="29"/>
  <c r="A31" i="29"/>
  <c r="A30" i="29"/>
  <c r="A29" i="29"/>
  <c r="EV28" i="29"/>
  <c r="DB28" i="29"/>
  <c r="A28" i="29"/>
  <c r="BL42" i="29"/>
  <c r="A27" i="29"/>
  <c r="A26" i="29"/>
  <c r="A25" i="29"/>
  <c r="A24" i="29"/>
  <c r="BL51" i="29"/>
  <c r="A23" i="29"/>
  <c r="A22" i="29"/>
  <c r="A21" i="29"/>
  <c r="A20" i="29"/>
  <c r="A19" i="29"/>
  <c r="CT18" i="29"/>
  <c r="CS18" i="29"/>
  <c r="BN18" i="29"/>
  <c r="BM18" i="29"/>
  <c r="AH18" i="29"/>
  <c r="AG18" i="29"/>
  <c r="A18" i="29"/>
  <c r="A17" i="29"/>
  <c r="A16" i="29"/>
  <c r="A15" i="29"/>
  <c r="A14" i="29"/>
  <c r="A13" i="29"/>
  <c r="A12" i="29"/>
  <c r="A11" i="29"/>
  <c r="CT10" i="29"/>
  <c r="CS10" i="29"/>
  <c r="CQ10" i="29"/>
  <c r="CP10" i="29"/>
  <c r="CO10" i="29"/>
  <c r="CN10" i="29"/>
  <c r="CM10" i="29"/>
  <c r="CL10" i="29"/>
  <c r="CK10" i="29"/>
  <c r="CJ10" i="29"/>
  <c r="CH10" i="29"/>
  <c r="CG10" i="29"/>
  <c r="CF10" i="29"/>
  <c r="CE10" i="29"/>
  <c r="CB10" i="29"/>
  <c r="CA10" i="29"/>
  <c r="BZ10" i="29"/>
  <c r="BY10" i="29"/>
  <c r="BX10" i="29"/>
  <c r="BW10" i="29"/>
  <c r="BV10" i="29"/>
  <c r="BU10" i="29"/>
  <c r="BT10" i="29"/>
  <c r="BS10" i="29"/>
  <c r="BR10" i="29"/>
  <c r="BQ10" i="29"/>
  <c r="BP10" i="29"/>
  <c r="BN10" i="29"/>
  <c r="BM10" i="29"/>
  <c r="BK10" i="29"/>
  <c r="BJ10" i="29"/>
  <c r="BI10" i="29"/>
  <c r="BH10" i="29"/>
  <c r="BG10" i="29"/>
  <c r="BF10" i="29"/>
  <c r="BE10" i="29"/>
  <c r="BD10" i="29"/>
  <c r="BB10" i="29"/>
  <c r="BA10" i="29"/>
  <c r="AZ10" i="29"/>
  <c r="AY10" i="29"/>
  <c r="AW10" i="29"/>
  <c r="AV10" i="29"/>
  <c r="AU10" i="29"/>
  <c r="AT10" i="29"/>
  <c r="AS10" i="29"/>
  <c r="AR10" i="29"/>
  <c r="AQ10" i="29"/>
  <c r="AP10" i="29"/>
  <c r="AO10" i="29"/>
  <c r="AN10" i="29"/>
  <c r="AM10" i="29"/>
  <c r="AL10" i="29"/>
  <c r="AK10" i="29"/>
  <c r="AJ10" i="29"/>
  <c r="AH10" i="29"/>
  <c r="AG10" i="29"/>
  <c r="AE10" i="29"/>
  <c r="AD10" i="29"/>
  <c r="AC10" i="29"/>
  <c r="AB10" i="29"/>
  <c r="AA10" i="29"/>
  <c r="Z10" i="29"/>
  <c r="Y10" i="29"/>
  <c r="X10" i="29"/>
  <c r="V10" i="29"/>
  <c r="U10" i="29"/>
  <c r="T10" i="29"/>
  <c r="S10" i="29"/>
  <c r="Q10" i="29"/>
  <c r="P10" i="29"/>
  <c r="O10" i="29"/>
  <c r="N10" i="29"/>
  <c r="M10" i="29"/>
  <c r="L10" i="29"/>
  <c r="K10" i="29"/>
  <c r="J10" i="29"/>
  <c r="I10" i="29"/>
  <c r="H10" i="29"/>
  <c r="G10" i="29"/>
  <c r="F10" i="29"/>
  <c r="E10" i="29"/>
  <c r="D10" i="29"/>
  <c r="A10" i="29"/>
  <c r="A9" i="29"/>
  <c r="A8" i="29"/>
  <c r="FM7" i="29"/>
  <c r="FL7" i="29"/>
  <c r="EU7" i="29"/>
  <c r="ET7" i="29"/>
  <c r="ES7" i="29"/>
  <c r="ER7" i="29"/>
  <c r="EP7" i="29"/>
  <c r="EO7" i="29"/>
  <c r="DX7" i="29"/>
  <c r="DW7" i="29"/>
  <c r="DV7" i="29"/>
  <c r="DU7" i="29"/>
  <c r="CT7" i="29"/>
  <c r="CS7" i="29"/>
  <c r="BN7" i="29"/>
  <c r="BM7" i="29"/>
  <c r="AH7" i="29"/>
  <c r="AG7" i="29"/>
  <c r="A7" i="29"/>
  <c r="A6" i="29"/>
  <c r="FM5" i="29"/>
  <c r="FL5" i="29"/>
  <c r="FJ5" i="29"/>
  <c r="FI5" i="29"/>
  <c r="FH5" i="29"/>
  <c r="EW5" i="29"/>
  <c r="EV5" i="29"/>
  <c r="EU5" i="29"/>
  <c r="ET5" i="29"/>
  <c r="ES5" i="29"/>
  <c r="ER5" i="29"/>
  <c r="EP5" i="29"/>
  <c r="EO5" i="29"/>
  <c r="EM5" i="29"/>
  <c r="EL5" i="29"/>
  <c r="EK5" i="29"/>
  <c r="EJ5" i="29"/>
  <c r="EI5" i="29"/>
  <c r="EH5" i="29"/>
  <c r="EG5" i="29"/>
  <c r="ED5" i="29"/>
  <c r="EC5" i="29"/>
  <c r="EB5" i="29"/>
  <c r="EA5" i="29"/>
  <c r="DZ5" i="29"/>
  <c r="DY5" i="29"/>
  <c r="DX5" i="29"/>
  <c r="DW5" i="29"/>
  <c r="DV5" i="29"/>
  <c r="DU5" i="29"/>
  <c r="CT5" i="29"/>
  <c r="CS5" i="29"/>
  <c r="CQ5" i="29"/>
  <c r="CP5" i="29"/>
  <c r="CO5" i="29"/>
  <c r="CN5" i="29"/>
  <c r="CM5" i="29"/>
  <c r="CL5" i="29"/>
  <c r="CK5" i="29"/>
  <c r="CJ5" i="29"/>
  <c r="CH5" i="29"/>
  <c r="CG5" i="29"/>
  <c r="CF5" i="29"/>
  <c r="CE5" i="29"/>
  <c r="CB5" i="29"/>
  <c r="CA5" i="29"/>
  <c r="BZ5" i="29"/>
  <c r="BY5" i="29"/>
  <c r="BX5" i="29"/>
  <c r="BW5" i="29"/>
  <c r="BV5" i="29"/>
  <c r="BU5" i="29"/>
  <c r="BT5" i="29"/>
  <c r="BS5" i="29"/>
  <c r="BR5" i="29"/>
  <c r="BQ5" i="29"/>
  <c r="BP5" i="29"/>
  <c r="BN5" i="29"/>
  <c r="BM5" i="29"/>
  <c r="BK5" i="29"/>
  <c r="BJ5" i="29"/>
  <c r="BI5" i="29"/>
  <c r="BH5" i="29"/>
  <c r="BG5" i="29"/>
  <c r="BF5" i="29"/>
  <c r="BE5" i="29"/>
  <c r="BD5" i="29"/>
  <c r="BB5" i="29"/>
  <c r="BA5" i="29"/>
  <c r="AZ5" i="29"/>
  <c r="AY5" i="29"/>
  <c r="AW5" i="29"/>
  <c r="AV5" i="29"/>
  <c r="AU5" i="29"/>
  <c r="AT5" i="29"/>
  <c r="AS5" i="29"/>
  <c r="AR5" i="29"/>
  <c r="AQ5" i="29"/>
  <c r="AP5" i="29"/>
  <c r="AO5" i="29"/>
  <c r="AN5" i="29"/>
  <c r="AM5" i="29"/>
  <c r="AL5" i="29"/>
  <c r="AK5" i="29"/>
  <c r="AJ5" i="29"/>
  <c r="AH5" i="29"/>
  <c r="AG5" i="29"/>
  <c r="AE5" i="29"/>
  <c r="AD5" i="29"/>
  <c r="AC5" i="29"/>
  <c r="AB5" i="29"/>
  <c r="AA5" i="29"/>
  <c r="Z5" i="29"/>
  <c r="Y5" i="29"/>
  <c r="X5" i="29"/>
  <c r="V5" i="29"/>
  <c r="U5" i="29"/>
  <c r="T5" i="29"/>
  <c r="S5" i="29"/>
  <c r="Q5" i="29"/>
  <c r="P5" i="29"/>
  <c r="O5" i="29"/>
  <c r="N5" i="29"/>
  <c r="M5" i="29"/>
  <c r="L5" i="29"/>
  <c r="K5" i="29"/>
  <c r="J5" i="29"/>
  <c r="I5" i="29"/>
  <c r="H5" i="29"/>
  <c r="G5" i="29"/>
  <c r="F5" i="29"/>
  <c r="E5" i="29"/>
  <c r="D5" i="29"/>
  <c r="A5" i="29"/>
  <c r="A4" i="29"/>
  <c r="CT3" i="29"/>
  <c r="CS3" i="29"/>
  <c r="CR3" i="29"/>
  <c r="CQ3" i="29"/>
  <c r="CP3" i="29"/>
  <c r="CO3" i="29"/>
  <c r="CN3" i="29"/>
  <c r="CM3" i="29"/>
  <c r="CL3" i="29"/>
  <c r="CK3" i="29"/>
  <c r="CJ3" i="29"/>
  <c r="CI3" i="29"/>
  <c r="CH3" i="29"/>
  <c r="CG3" i="29"/>
  <c r="CF3" i="29"/>
  <c r="CE3" i="29"/>
  <c r="CD3" i="29"/>
  <c r="CC3" i="29"/>
  <c r="CB3" i="29"/>
  <c r="CA3" i="29"/>
  <c r="BZ3" i="29"/>
  <c r="BY3" i="29"/>
  <c r="BX3" i="29"/>
  <c r="BW3" i="29"/>
  <c r="BV3" i="29"/>
  <c r="BU3" i="29"/>
  <c r="BT3" i="29"/>
  <c r="BS3" i="29"/>
  <c r="BR3" i="29"/>
  <c r="BQ3" i="29"/>
  <c r="BP3" i="29"/>
  <c r="BN3" i="29"/>
  <c r="BM3" i="29"/>
  <c r="BL3" i="29"/>
  <c r="BK3" i="29"/>
  <c r="BJ3" i="29"/>
  <c r="BI3" i="29"/>
  <c r="BH3" i="29"/>
  <c r="BG3" i="29"/>
  <c r="BF3" i="29"/>
  <c r="BE3" i="29"/>
  <c r="BD3" i="29"/>
  <c r="BC3" i="29"/>
  <c r="BB3" i="29"/>
  <c r="BA3" i="29"/>
  <c r="AZ3" i="29"/>
  <c r="AY3" i="29"/>
  <c r="AX3" i="29"/>
  <c r="AW3" i="29"/>
  <c r="AV3" i="29"/>
  <c r="AU3" i="29"/>
  <c r="AT3" i="29"/>
  <c r="AS3" i="29"/>
  <c r="AR3" i="29"/>
  <c r="AQ3" i="29"/>
  <c r="AP3" i="29"/>
  <c r="AO3" i="29"/>
  <c r="AN3" i="29"/>
  <c r="AM3" i="29"/>
  <c r="AL3" i="29"/>
  <c r="AK3" i="29"/>
  <c r="AJ3" i="29"/>
  <c r="AG3" i="29"/>
  <c r="AF3" i="29"/>
  <c r="AE3" i="29"/>
  <c r="AD3" i="29"/>
  <c r="AC3" i="29"/>
  <c r="AB3" i="29"/>
  <c r="AA3" i="29"/>
  <c r="Z3" i="29"/>
  <c r="Y3" i="29"/>
  <c r="X3" i="29"/>
  <c r="W3" i="29"/>
  <c r="V3" i="29"/>
  <c r="U3" i="29"/>
  <c r="T3" i="29"/>
  <c r="S3" i="29"/>
  <c r="R3" i="29"/>
  <c r="Q3" i="29"/>
  <c r="P3" i="29"/>
  <c r="O3" i="29"/>
  <c r="N3" i="29"/>
  <c r="M3" i="29"/>
  <c r="L3" i="29"/>
  <c r="K3" i="29"/>
  <c r="J3" i="29"/>
  <c r="I3" i="29"/>
  <c r="H3" i="29"/>
  <c r="G3" i="29"/>
  <c r="F3" i="29"/>
  <c r="E3" i="29"/>
  <c r="D3" i="29"/>
  <c r="A3" i="29"/>
  <c r="ER2" i="29"/>
  <c r="ER1" i="29" s="1"/>
  <c r="DU2" i="29"/>
  <c r="CX2" i="29"/>
  <c r="CX3" i="29" s="1"/>
  <c r="A2" i="29"/>
  <c r="A1" i="29"/>
  <c r="FD4" i="29"/>
  <c r="DA4" i="29"/>
  <c r="DR4" i="29"/>
  <c r="CZ4" i="29"/>
  <c r="FL4" i="29"/>
  <c r="ED4" i="29"/>
  <c r="ES4" i="29"/>
  <c r="ET4" i="29"/>
  <c r="EL4" i="29"/>
  <c r="DM4" i="29"/>
  <c r="DN4" i="29"/>
  <c r="EM4" i="29"/>
  <c r="DL4" i="29"/>
  <c r="EI4" i="29"/>
  <c r="EO4" i="29"/>
  <c r="FH4" i="29"/>
  <c r="FE4" i="29"/>
  <c r="EC4" i="29"/>
  <c r="EW4" i="29"/>
  <c r="EX4" i="29"/>
  <c r="DO4" i="29"/>
  <c r="DV4" i="29"/>
  <c r="FC4" i="29"/>
  <c r="DD4" i="29"/>
  <c r="DZ4" i="29"/>
  <c r="EP4" i="29"/>
  <c r="EB4" i="29"/>
  <c r="EV4" i="29"/>
  <c r="ER4" i="29"/>
  <c r="DU4" i="29"/>
  <c r="DY4" i="29"/>
  <c r="DW4" i="29"/>
  <c r="DC4" i="29"/>
  <c r="DF4" i="29"/>
  <c r="EH4" i="29"/>
  <c r="FJ4" i="29"/>
  <c r="FA4" i="29"/>
  <c r="EK4" i="29"/>
  <c r="DI4" i="29"/>
  <c r="FF4" i="29"/>
  <c r="FM4" i="29"/>
  <c r="DE4" i="29"/>
  <c r="DS4" i="29"/>
  <c r="EY4" i="29"/>
  <c r="EZ4" i="29"/>
  <c r="EA4" i="29"/>
  <c r="FI4" i="29"/>
  <c r="EU4" i="29"/>
  <c r="FG4" i="29"/>
  <c r="DJ4" i="29"/>
  <c r="EG4" i="29"/>
  <c r="DX4" i="29"/>
  <c r="DG4" i="29"/>
  <c r="DB4" i="29"/>
  <c r="DK4" i="29"/>
  <c r="DP4" i="29"/>
  <c r="EJ4" i="29"/>
  <c r="CX1" i="29" l="1"/>
  <c r="CY2" i="29"/>
  <c r="CY1" i="29" s="1"/>
  <c r="ER3" i="29"/>
  <c r="ES2" i="29"/>
  <c r="ET2" i="29" s="1"/>
  <c r="ET1" i="29" s="1"/>
  <c r="BL48" i="29"/>
  <c r="BL36" i="29"/>
  <c r="BL21" i="29"/>
  <c r="BL11" i="29"/>
  <c r="DV2" i="29"/>
  <c r="DU3" i="29"/>
  <c r="DU1" i="29"/>
  <c r="CZ2" i="29"/>
  <c r="BL60" i="29"/>
  <c r="BL58" i="29"/>
  <c r="BL56" i="29"/>
  <c r="BL54" i="29"/>
  <c r="BL52" i="29"/>
  <c r="BL50" i="29"/>
  <c r="BL39" i="29"/>
  <c r="CY3" i="29" l="1"/>
  <c r="ES3" i="29"/>
  <c r="ES1" i="29"/>
  <c r="BL59" i="29"/>
  <c r="BL22" i="29"/>
  <c r="BL25" i="29" s="1"/>
  <c r="DV1" i="29"/>
  <c r="DV3" i="29"/>
  <c r="DW2" i="29"/>
  <c r="CZ1" i="29"/>
  <c r="CZ3" i="29"/>
  <c r="DA2" i="29"/>
  <c r="EU2" i="29"/>
  <c r="EU1" i="29" s="1"/>
  <c r="ET3" i="29"/>
  <c r="I74" i="62"/>
  <c r="P65" i="62"/>
  <c r="CR17" i="29" s="1"/>
  <c r="M65" i="62"/>
  <c r="J65" i="62"/>
  <c r="AF17" i="29" s="1"/>
  <c r="L56" i="62"/>
  <c r="J55" i="62"/>
  <c r="M55" i="62"/>
  <c r="L55" i="62"/>
  <c r="M54" i="62"/>
  <c r="O54" i="62"/>
  <c r="P53" i="62"/>
  <c r="L53" i="62"/>
  <c r="M52" i="62"/>
  <c r="L52" i="62"/>
  <c r="M51" i="62"/>
  <c r="L51" i="62"/>
  <c r="M50" i="62"/>
  <c r="O50" i="62"/>
  <c r="P49" i="62"/>
  <c r="L48" i="62"/>
  <c r="M47" i="62"/>
  <c r="L47" i="62"/>
  <c r="P46" i="62"/>
  <c r="L46" i="62"/>
  <c r="G40" i="62"/>
  <c r="N26" i="62"/>
  <c r="K26" i="62"/>
  <c r="G26" i="62"/>
  <c r="O17" i="62"/>
  <c r="O16" i="62"/>
  <c r="O15" i="62"/>
  <c r="O14" i="62"/>
  <c r="Z13" i="62"/>
  <c r="Z15" i="62" s="1"/>
  <c r="N31" i="62" s="1"/>
  <c r="Y13" i="62"/>
  <c r="Y16" i="62" s="1"/>
  <c r="K32" i="62" s="1"/>
  <c r="X13" i="62"/>
  <c r="X14" i="62" s="1"/>
  <c r="H30" i="62" s="1"/>
  <c r="O12" i="62"/>
  <c r="M12" i="62"/>
  <c r="I12" i="62"/>
  <c r="N11" i="62"/>
  <c r="N57" i="62" s="1"/>
  <c r="I57" i="62"/>
  <c r="L11" i="62"/>
  <c r="O10" i="62"/>
  <c r="L10" i="62"/>
  <c r="I10" i="62"/>
  <c r="N9" i="62"/>
  <c r="CR6" i="29" s="1"/>
  <c r="K9" i="62"/>
  <c r="L9" i="62" s="1"/>
  <c r="H9" i="62"/>
  <c r="AF6" i="29" s="1"/>
  <c r="N3" i="62"/>
  <c r="Q46" i="62"/>
  <c r="P67" i="62" l="1"/>
  <c r="CR18" i="29" s="1"/>
  <c r="M67" i="62"/>
  <c r="I9" i="62"/>
  <c r="AF8" i="29" s="1"/>
  <c r="AF48" i="29" s="1"/>
  <c r="CR52" i="29"/>
  <c r="CR48" i="29"/>
  <c r="O9" i="62"/>
  <c r="CR8" i="29" s="1"/>
  <c r="M7" i="62"/>
  <c r="K70" i="62" s="1"/>
  <c r="M69" i="62" s="1"/>
  <c r="M13" i="62"/>
  <c r="BL64" i="29" s="1"/>
  <c r="M18" i="62"/>
  <c r="BL63" i="29" s="1"/>
  <c r="Y14" i="62"/>
  <c r="K30" i="62" s="1"/>
  <c r="L30" i="62" s="1"/>
  <c r="J50" i="62"/>
  <c r="I47" i="62"/>
  <c r="I48" i="62"/>
  <c r="P50" i="62"/>
  <c r="I51" i="62"/>
  <c r="I52" i="62"/>
  <c r="DA3" i="29"/>
  <c r="DB2" i="29"/>
  <c r="DA1" i="29"/>
  <c r="EV2" i="29"/>
  <c r="EV1" i="29" s="1"/>
  <c r="EU3" i="29"/>
  <c r="DW3" i="29"/>
  <c r="DX2" i="29"/>
  <c r="DW1" i="29"/>
  <c r="I73" i="62"/>
  <c r="J71" i="62" s="1"/>
  <c r="AF20" i="29" s="1"/>
  <c r="P13" i="62"/>
  <c r="CR64" i="29" s="1"/>
  <c r="O74" i="62"/>
  <c r="X15" i="62"/>
  <c r="H31" i="62" s="1"/>
  <c r="I31" i="62" s="1"/>
  <c r="I30" i="62"/>
  <c r="Z17" i="62"/>
  <c r="N33" i="62" s="1"/>
  <c r="O33" i="62" s="1"/>
  <c r="G38" i="62"/>
  <c r="L38" i="62" s="1"/>
  <c r="J67" i="62"/>
  <c r="AF18" i="29" s="1"/>
  <c r="O31" i="62"/>
  <c r="G41" i="62"/>
  <c r="I41" i="62" s="1"/>
  <c r="L73" i="62"/>
  <c r="L32" i="62"/>
  <c r="G42" i="62"/>
  <c r="O42" i="62" s="1"/>
  <c r="Y17" i="62"/>
  <c r="K33" i="62" s="1"/>
  <c r="L33" i="62" s="1"/>
  <c r="Z16" i="62"/>
  <c r="N32" i="62" s="1"/>
  <c r="O32" i="62" s="1"/>
  <c r="J18" i="62"/>
  <c r="AF63" i="29" s="1"/>
  <c r="G25" i="62"/>
  <c r="O25" i="62" s="1"/>
  <c r="G37" i="62"/>
  <c r="O37" i="62" s="1"/>
  <c r="O48" i="62"/>
  <c r="O26" i="62"/>
  <c r="P23" i="62" s="1"/>
  <c r="CR12" i="29" s="1"/>
  <c r="I26" i="62"/>
  <c r="O55" i="62"/>
  <c r="Y15" i="62"/>
  <c r="K31" i="62" s="1"/>
  <c r="L31" i="62" s="1"/>
  <c r="G39" i="62"/>
  <c r="I39" i="62" s="1"/>
  <c r="J47" i="62"/>
  <c r="J51" i="62"/>
  <c r="O52" i="62"/>
  <c r="J54" i="62"/>
  <c r="P55" i="62"/>
  <c r="I56" i="62"/>
  <c r="O73" i="62"/>
  <c r="P47" i="62"/>
  <c r="P51" i="62"/>
  <c r="L26" i="62"/>
  <c r="P18" i="62"/>
  <c r="CR63" i="29" s="1"/>
  <c r="G36" i="62"/>
  <c r="I36" i="62" s="1"/>
  <c r="O47" i="62"/>
  <c r="O51" i="62"/>
  <c r="P54" i="62"/>
  <c r="I55" i="62"/>
  <c r="O56" i="62"/>
  <c r="G63" i="62"/>
  <c r="I63" i="62" s="1"/>
  <c r="L74" i="62"/>
  <c r="J7" i="62"/>
  <c r="H70" i="62" s="1"/>
  <c r="J69" i="62" s="1"/>
  <c r="AF19" i="29" s="1"/>
  <c r="P48" i="62"/>
  <c r="J48" i="62"/>
  <c r="P56" i="62"/>
  <c r="J56" i="62"/>
  <c r="M56" i="62"/>
  <c r="O49" i="62"/>
  <c r="I49" i="62"/>
  <c r="S10" i="62"/>
  <c r="O40" i="62"/>
  <c r="I40" i="62"/>
  <c r="L40" i="62"/>
  <c r="M48" i="62"/>
  <c r="P52" i="62"/>
  <c r="J52" i="62"/>
  <c r="O46" i="62"/>
  <c r="I46" i="62"/>
  <c r="L49" i="62"/>
  <c r="O53" i="62"/>
  <c r="I53" i="62"/>
  <c r="G64" i="62"/>
  <c r="O64" i="62" s="1"/>
  <c r="P60" i="62" s="1"/>
  <c r="CR16" i="29" s="1"/>
  <c r="M49" i="62"/>
  <c r="M53" i="62"/>
  <c r="L54" i="62"/>
  <c r="O57" i="62"/>
  <c r="I11" i="62"/>
  <c r="R10" i="62" s="1"/>
  <c r="AF9" i="29" s="1"/>
  <c r="O11" i="62"/>
  <c r="T10" i="62" s="1"/>
  <c r="CR9" i="29" s="1"/>
  <c r="Z14" i="62"/>
  <c r="N30" i="62" s="1"/>
  <c r="O30" i="62" s="1"/>
  <c r="X16" i="62"/>
  <c r="H32" i="62" s="1"/>
  <c r="I32" i="62" s="1"/>
  <c r="G62" i="62"/>
  <c r="X17" i="62"/>
  <c r="H33" i="62" s="1"/>
  <c r="I33" i="62" s="1"/>
  <c r="M46" i="62"/>
  <c r="L50" i="62"/>
  <c r="J46" i="62"/>
  <c r="J49" i="62"/>
  <c r="I50" i="62"/>
  <c r="J53" i="62"/>
  <c r="I54" i="62"/>
  <c r="P7" i="62" l="1"/>
  <c r="N70" i="62" s="1"/>
  <c r="AF11" i="29"/>
  <c r="CR11" i="29"/>
  <c r="I38" i="62"/>
  <c r="S19" i="62"/>
  <c r="AF23" i="29" s="1"/>
  <c r="AF51" i="29" s="1"/>
  <c r="AF52" i="29" s="1"/>
  <c r="T19" i="62"/>
  <c r="CR37" i="29" s="1"/>
  <c r="CR55" i="29" s="1"/>
  <c r="CR56" i="29" s="1"/>
  <c r="P69" i="62"/>
  <c r="CR19" i="29" s="1"/>
  <c r="L36" i="62"/>
  <c r="L57" i="62"/>
  <c r="L58" i="62" s="1"/>
  <c r="L59" i="62" s="1"/>
  <c r="L63" i="62"/>
  <c r="O41" i="62"/>
  <c r="I42" i="62"/>
  <c r="L42" i="62"/>
  <c r="L37" i="62"/>
  <c r="I37" i="62"/>
  <c r="O38" i="62"/>
  <c r="AF13" i="29"/>
  <c r="I25" i="62"/>
  <c r="J23" i="62" s="1"/>
  <c r="AF12" i="29" s="1"/>
  <c r="L39" i="62"/>
  <c r="L41" i="62"/>
  <c r="DB1" i="29"/>
  <c r="DB3" i="29"/>
  <c r="DC2" i="29"/>
  <c r="DX1" i="29"/>
  <c r="DX3" i="29"/>
  <c r="DY2" i="29"/>
  <c r="EW2" i="29"/>
  <c r="EW1" i="29" s="1"/>
  <c r="EV3" i="29"/>
  <c r="O63" i="62"/>
  <c r="CR13" i="29"/>
  <c r="O39" i="62"/>
  <c r="P71" i="62"/>
  <c r="CR20" i="29" s="1"/>
  <c r="O36" i="62"/>
  <c r="O58" i="62"/>
  <c r="O59" i="62" s="1"/>
  <c r="CR27" i="29" s="1"/>
  <c r="CR42" i="29" s="1"/>
  <c r="I64" i="62"/>
  <c r="J60" i="62" s="1"/>
  <c r="AF16" i="29" s="1"/>
  <c r="M71" i="62"/>
  <c r="L25" i="62"/>
  <c r="M23" i="62" s="1"/>
  <c r="L64" i="62"/>
  <c r="M60" i="62" s="1"/>
  <c r="I62" i="62"/>
  <c r="O62" i="62"/>
  <c r="L62" i="62"/>
  <c r="I58" i="62"/>
  <c r="I59" i="62" s="1"/>
  <c r="AF27" i="29" s="1"/>
  <c r="M34" i="62" l="1"/>
  <c r="J34" i="62"/>
  <c r="AF14" i="29" s="1"/>
  <c r="EW3" i="29"/>
  <c r="EX2" i="29"/>
  <c r="EX1" i="29" s="1"/>
  <c r="DD2" i="29"/>
  <c r="DC3" i="29"/>
  <c r="DC1" i="29"/>
  <c r="DZ2" i="29"/>
  <c r="DY3" i="29"/>
  <c r="DY1" i="29"/>
  <c r="P34" i="62"/>
  <c r="CR14" i="29" s="1"/>
  <c r="DZ1" i="29" l="1"/>
  <c r="DZ3" i="29"/>
  <c r="EA2" i="29"/>
  <c r="EY2" i="29"/>
  <c r="EY1" i="29" s="1"/>
  <c r="EX3" i="29"/>
  <c r="DD1" i="29"/>
  <c r="DD3" i="29"/>
  <c r="DE2" i="29"/>
  <c r="DE3" i="29" l="1"/>
  <c r="DF2" i="29"/>
  <c r="DE1" i="29"/>
  <c r="EZ2" i="29"/>
  <c r="EZ1" i="29" s="1"/>
  <c r="EY3" i="29"/>
  <c r="EA3" i="29"/>
  <c r="EB2" i="29"/>
  <c r="EA1" i="29"/>
  <c r="B6" i="1"/>
  <c r="EZ3" i="29" l="1"/>
  <c r="FA2" i="29"/>
  <c r="EB1" i="29"/>
  <c r="EC2" i="29"/>
  <c r="EB3" i="29"/>
  <c r="DF1" i="29"/>
  <c r="DF3" i="29"/>
  <c r="DG2" i="29"/>
  <c r="DH2" i="29" s="1"/>
  <c r="G30" i="9"/>
  <c r="FA1" i="29" l="1"/>
  <c r="FB2" i="29"/>
  <c r="DI2" i="29"/>
  <c r="DH3" i="29"/>
  <c r="DH1" i="29"/>
  <c r="FA3" i="29"/>
  <c r="DG3" i="29"/>
  <c r="DG1" i="29"/>
  <c r="ED2" i="29"/>
  <c r="EE2" i="29" s="1"/>
  <c r="EC3" i="29"/>
  <c r="EC1" i="29"/>
  <c r="EE1" i="29" l="1"/>
  <c r="EE3" i="29"/>
  <c r="EF2" i="29"/>
  <c r="EG2" i="29" s="1"/>
  <c r="EH2" i="29" s="1"/>
  <c r="EI2" i="29" s="1"/>
  <c r="EJ2" i="29" s="1"/>
  <c r="EK2" i="29" s="1"/>
  <c r="EL2" i="29" s="1"/>
  <c r="EM2" i="29" s="1"/>
  <c r="FC2" i="29"/>
  <c r="FB3" i="29"/>
  <c r="FB1" i="29"/>
  <c r="DI1" i="29"/>
  <c r="DJ2" i="29"/>
  <c r="DI3" i="29"/>
  <c r="ED1" i="29"/>
  <c r="ED3" i="29"/>
  <c r="FC3" i="29"/>
  <c r="Z12" i="72"/>
  <c r="Z16" i="72" s="1"/>
  <c r="Y12" i="72"/>
  <c r="Y15" i="72" s="1"/>
  <c r="Z12" i="74"/>
  <c r="Z13" i="74" s="1"/>
  <c r="N30" i="74" s="1"/>
  <c r="Y12" i="74"/>
  <c r="Y16" i="74" s="1"/>
  <c r="Y12" i="75"/>
  <c r="Y13" i="75" s="1"/>
  <c r="Y12" i="76"/>
  <c r="Y16" i="76" s="1"/>
  <c r="Y12" i="77"/>
  <c r="Y15" i="77" s="1"/>
  <c r="Y12" i="79"/>
  <c r="Y16" i="79" s="1"/>
  <c r="Z12" i="80"/>
  <c r="Z16" i="80" s="1"/>
  <c r="Y12" i="80"/>
  <c r="Y13" i="80" s="1"/>
  <c r="X12" i="80"/>
  <c r="X16" i="80" s="1"/>
  <c r="Z12" i="73"/>
  <c r="Z15" i="73" s="1"/>
  <c r="Y12" i="73"/>
  <c r="Y16" i="73" s="1"/>
  <c r="M56" i="72"/>
  <c r="L56" i="72"/>
  <c r="M55" i="72"/>
  <c r="L55" i="72"/>
  <c r="M52" i="72"/>
  <c r="L52" i="72"/>
  <c r="M56" i="74"/>
  <c r="L56" i="74"/>
  <c r="M55" i="74"/>
  <c r="L55" i="74"/>
  <c r="M52" i="74"/>
  <c r="L52" i="74"/>
  <c r="M56" i="75"/>
  <c r="M54" i="75"/>
  <c r="L54" i="75"/>
  <c r="M52" i="75"/>
  <c r="J56" i="76"/>
  <c r="L56" i="76"/>
  <c r="O53" i="76"/>
  <c r="M56" i="77"/>
  <c r="I56" i="77"/>
  <c r="P53" i="77"/>
  <c r="L53" i="77"/>
  <c r="J56" i="79"/>
  <c r="L56" i="79"/>
  <c r="M55" i="79"/>
  <c r="O55" i="79"/>
  <c r="J52" i="79"/>
  <c r="L52" i="79"/>
  <c r="J56" i="73"/>
  <c r="L56" i="73"/>
  <c r="M55" i="73"/>
  <c r="O55" i="73"/>
  <c r="M54" i="73"/>
  <c r="L54" i="73"/>
  <c r="K30" i="75"/>
  <c r="D27" i="75"/>
  <c r="K30" i="80"/>
  <c r="N26" i="72"/>
  <c r="K26" i="72"/>
  <c r="N25" i="72"/>
  <c r="K25" i="72"/>
  <c r="N26" i="74"/>
  <c r="K26" i="74"/>
  <c r="N25" i="74"/>
  <c r="K25" i="74"/>
  <c r="N26" i="75"/>
  <c r="K26" i="75"/>
  <c r="N25" i="75"/>
  <c r="K25" i="75"/>
  <c r="K26" i="76"/>
  <c r="N25" i="76"/>
  <c r="K25" i="76"/>
  <c r="N26" i="77"/>
  <c r="K26" i="77"/>
  <c r="N25" i="77"/>
  <c r="K25" i="77"/>
  <c r="N26" i="79"/>
  <c r="K26" i="79"/>
  <c r="N25" i="79"/>
  <c r="K25" i="79"/>
  <c r="N26" i="80"/>
  <c r="K26" i="80"/>
  <c r="N25" i="80"/>
  <c r="K25" i="80"/>
  <c r="N26" i="73"/>
  <c r="K26" i="73"/>
  <c r="N25" i="73"/>
  <c r="K25" i="73"/>
  <c r="P57" i="65"/>
  <c r="L57" i="65"/>
  <c r="M56" i="65"/>
  <c r="L56" i="65"/>
  <c r="M55" i="65"/>
  <c r="L55" i="65"/>
  <c r="M54" i="65"/>
  <c r="O54" i="65"/>
  <c r="P53" i="65"/>
  <c r="L53" i="65"/>
  <c r="M52" i="65"/>
  <c r="L52" i="65"/>
  <c r="Z12" i="65"/>
  <c r="Z16" i="65" s="1"/>
  <c r="Y12" i="65"/>
  <c r="Y15" i="65" s="1"/>
  <c r="X12" i="65"/>
  <c r="X14" i="65" s="1"/>
  <c r="H31" i="65" s="1"/>
  <c r="X12" i="71"/>
  <c r="X14" i="71" s="1"/>
  <c r="H31" i="71" s="1"/>
  <c r="Y12" i="71"/>
  <c r="Y15" i="71" s="1"/>
  <c r="Z12" i="71"/>
  <c r="Z13" i="71" s="1"/>
  <c r="Z15" i="71"/>
  <c r="S68" i="65"/>
  <c r="T68" i="65"/>
  <c r="S68" i="66"/>
  <c r="T68" i="66"/>
  <c r="S68" i="64"/>
  <c r="T68" i="64"/>
  <c r="EN2" i="29" l="1"/>
  <c r="Z16" i="71"/>
  <c r="Y16" i="71"/>
  <c r="EF3" i="29"/>
  <c r="Z14" i="65"/>
  <c r="Z14" i="80"/>
  <c r="Z14" i="71"/>
  <c r="Z13" i="80"/>
  <c r="X15" i="80"/>
  <c r="EF1" i="29"/>
  <c r="FD2" i="29"/>
  <c r="FD3" i="29" s="1"/>
  <c r="FC1" i="29"/>
  <c r="Z15" i="80"/>
  <c r="Y15" i="79"/>
  <c r="Y13" i="79"/>
  <c r="K30" i="79" s="1"/>
  <c r="Z13" i="72"/>
  <c r="N30" i="72" s="1"/>
  <c r="DJ1" i="29"/>
  <c r="DK2" i="29"/>
  <c r="X15" i="71"/>
  <c r="H32" i="71" s="1"/>
  <c r="Z15" i="72"/>
  <c r="Y13" i="76"/>
  <c r="K30" i="76" s="1"/>
  <c r="Y13" i="74"/>
  <c r="K30" i="74" s="1"/>
  <c r="X13" i="65"/>
  <c r="H30" i="65" s="1"/>
  <c r="X13" i="80"/>
  <c r="Y14" i="75"/>
  <c r="Z14" i="74"/>
  <c r="Y13" i="65"/>
  <c r="Y14" i="76"/>
  <c r="Y15" i="74"/>
  <c r="Y14" i="65"/>
  <c r="Y14" i="80"/>
  <c r="Y15" i="76"/>
  <c r="X16" i="71"/>
  <c r="H33" i="71" s="1"/>
  <c r="Z15" i="65"/>
  <c r="I56" i="65"/>
  <c r="I55" i="74"/>
  <c r="I56" i="72"/>
  <c r="O53" i="65"/>
  <c r="J56" i="65"/>
  <c r="O57" i="65"/>
  <c r="L55" i="79"/>
  <c r="P55" i="65"/>
  <c r="L53" i="76"/>
  <c r="I54" i="73"/>
  <c r="P52" i="75"/>
  <c r="O54" i="73"/>
  <c r="I53" i="76"/>
  <c r="Y13" i="73"/>
  <c r="K30" i="73" s="1"/>
  <c r="Y14" i="73"/>
  <c r="Y15" i="73"/>
  <c r="P55" i="73"/>
  <c r="I56" i="73"/>
  <c r="I56" i="76"/>
  <c r="P56" i="75"/>
  <c r="O55" i="74"/>
  <c r="I52" i="72"/>
  <c r="I55" i="72"/>
  <c r="O56" i="72"/>
  <c r="O56" i="73"/>
  <c r="O55" i="72"/>
  <c r="P56" i="73"/>
  <c r="O54" i="75"/>
  <c r="J56" i="75"/>
  <c r="P55" i="72"/>
  <c r="O56" i="65"/>
  <c r="I52" i="65"/>
  <c r="I53" i="65"/>
  <c r="J55" i="65"/>
  <c r="P56" i="65"/>
  <c r="I57" i="65"/>
  <c r="M56" i="73"/>
  <c r="O56" i="76"/>
  <c r="J52" i="75"/>
  <c r="I54" i="75"/>
  <c r="O52" i="72"/>
  <c r="J55" i="72"/>
  <c r="DJ3" i="29"/>
  <c r="Z14" i="73"/>
  <c r="Y16" i="80"/>
  <c r="Y14" i="77"/>
  <c r="Y16" i="75"/>
  <c r="Z16" i="74"/>
  <c r="Y14" i="72"/>
  <c r="Z13" i="73"/>
  <c r="N30" i="73" s="1"/>
  <c r="X14" i="80"/>
  <c r="Y15" i="80"/>
  <c r="Y14" i="79"/>
  <c r="Y13" i="77"/>
  <c r="K30" i="77" s="1"/>
  <c r="Y15" i="75"/>
  <c r="Y14" i="74"/>
  <c r="Z15" i="74"/>
  <c r="Y13" i="72"/>
  <c r="K30" i="72" s="1"/>
  <c r="Z14" i="72"/>
  <c r="Z16" i="73"/>
  <c r="Y16" i="77"/>
  <c r="Y16" i="72"/>
  <c r="L55" i="73"/>
  <c r="J54" i="73"/>
  <c r="P54" i="73"/>
  <c r="I55" i="73"/>
  <c r="M52" i="79"/>
  <c r="M56" i="79"/>
  <c r="P54" i="75"/>
  <c r="J54" i="75"/>
  <c r="P52" i="74"/>
  <c r="J52" i="74"/>
  <c r="J55" i="73"/>
  <c r="P52" i="79"/>
  <c r="I55" i="79"/>
  <c r="P56" i="79"/>
  <c r="P55" i="74"/>
  <c r="J55" i="74"/>
  <c r="L56" i="77"/>
  <c r="O56" i="77"/>
  <c r="P53" i="76"/>
  <c r="J53" i="76"/>
  <c r="M53" i="76"/>
  <c r="O56" i="75"/>
  <c r="I56" i="75"/>
  <c r="L56" i="75"/>
  <c r="J53" i="77"/>
  <c r="M53" i="77"/>
  <c r="M56" i="76"/>
  <c r="P56" i="76"/>
  <c r="O52" i="75"/>
  <c r="I52" i="75"/>
  <c r="L52" i="75"/>
  <c r="J56" i="74"/>
  <c r="I52" i="79"/>
  <c r="O52" i="79"/>
  <c r="J55" i="79"/>
  <c r="P55" i="79"/>
  <c r="I56" i="79"/>
  <c r="O56" i="79"/>
  <c r="O53" i="77"/>
  <c r="I53" i="77"/>
  <c r="P56" i="77"/>
  <c r="J56" i="77"/>
  <c r="O52" i="74"/>
  <c r="I52" i="74"/>
  <c r="I56" i="74"/>
  <c r="P52" i="72"/>
  <c r="J52" i="72"/>
  <c r="P56" i="72"/>
  <c r="J56" i="72"/>
  <c r="P52" i="65"/>
  <c r="J52" i="65"/>
  <c r="O52" i="65"/>
  <c r="M57" i="65"/>
  <c r="J54" i="65"/>
  <c r="P54" i="65"/>
  <c r="I55" i="65"/>
  <c r="O55" i="65"/>
  <c r="L54" i="65"/>
  <c r="M53" i="65"/>
  <c r="J53" i="65"/>
  <c r="I54" i="65"/>
  <c r="J57" i="65"/>
  <c r="X16" i="65"/>
  <c r="H33" i="65" s="1"/>
  <c r="Z13" i="65"/>
  <c r="X15" i="65"/>
  <c r="H32" i="65" s="1"/>
  <c r="Y16" i="65"/>
  <c r="Y13" i="71"/>
  <c r="Y14" i="71"/>
  <c r="X13" i="71"/>
  <c r="H30" i="71" s="1"/>
  <c r="EN3" i="29" l="1"/>
  <c r="EN1" i="29"/>
  <c r="EO2" i="29"/>
  <c r="FE2" i="29"/>
  <c r="FE3" i="29" s="1"/>
  <c r="FD1" i="29"/>
  <c r="DL2" i="29"/>
  <c r="DK1" i="29"/>
  <c r="EG1" i="29"/>
  <c r="EG3" i="29"/>
  <c r="DK3" i="29"/>
  <c r="EO3" i="29" l="1"/>
  <c r="EP2" i="29"/>
  <c r="FF2" i="29"/>
  <c r="FE1" i="29"/>
  <c r="DL1" i="29"/>
  <c r="DM2" i="29"/>
  <c r="EH3" i="29"/>
  <c r="EH1" i="29"/>
  <c r="DL3" i="29"/>
  <c r="FG2" i="29" l="1"/>
  <c r="FG3" i="29" s="1"/>
  <c r="FF1" i="29"/>
  <c r="FF3" i="29"/>
  <c r="DN2" i="29"/>
  <c r="DM1" i="29"/>
  <c r="DM3" i="29"/>
  <c r="EI1" i="29"/>
  <c r="EI3" i="29"/>
  <c r="N26" i="65"/>
  <c r="K26" i="65"/>
  <c r="N25" i="65"/>
  <c r="K25" i="65"/>
  <c r="N26" i="71"/>
  <c r="K26" i="71"/>
  <c r="N25" i="71"/>
  <c r="K25" i="71"/>
  <c r="P65" i="66"/>
  <c r="ES17" i="29" s="1"/>
  <c r="M65" i="66"/>
  <c r="DV17" i="29" s="1"/>
  <c r="J65" i="66"/>
  <c r="CY17" i="29" s="1"/>
  <c r="F64" i="66"/>
  <c r="F63" i="66"/>
  <c r="M57" i="66"/>
  <c r="L57" i="66"/>
  <c r="M55" i="66"/>
  <c r="L55" i="66"/>
  <c r="M54" i="66"/>
  <c r="L54" i="66"/>
  <c r="M53" i="66"/>
  <c r="L53" i="66"/>
  <c r="L52" i="66"/>
  <c r="N26" i="66"/>
  <c r="K26" i="66"/>
  <c r="N25" i="66"/>
  <c r="K25" i="66"/>
  <c r="O19" i="90"/>
  <c r="P18" i="90" s="1"/>
  <c r="FM63" i="29" s="1"/>
  <c r="O19" i="91"/>
  <c r="P18" i="91" s="1"/>
  <c r="FL63" i="29" s="1"/>
  <c r="M18" i="90"/>
  <c r="EP63" i="29" s="1"/>
  <c r="M18" i="91"/>
  <c r="EO63" i="29" s="1"/>
  <c r="I19" i="90"/>
  <c r="J18" i="90" s="1"/>
  <c r="J18" i="91"/>
  <c r="DR63" i="29" s="1"/>
  <c r="P65" i="71"/>
  <c r="ET17" i="29" s="1"/>
  <c r="M65" i="71"/>
  <c r="DW17" i="29" s="1"/>
  <c r="J65" i="71"/>
  <c r="CZ17" i="29" s="1"/>
  <c r="F64" i="71"/>
  <c r="F63" i="71"/>
  <c r="P65" i="65"/>
  <c r="EU17" i="29" s="1"/>
  <c r="M65" i="65"/>
  <c r="DX17" i="29" s="1"/>
  <c r="J65" i="65"/>
  <c r="DA17" i="29" s="1"/>
  <c r="F64" i="65"/>
  <c r="F63" i="65"/>
  <c r="P65" i="73"/>
  <c r="EV17" i="29" s="1"/>
  <c r="M65" i="73"/>
  <c r="DY17" i="29" s="1"/>
  <c r="J65" i="73"/>
  <c r="DB17" i="29" s="1"/>
  <c r="F63" i="73"/>
  <c r="P65" i="72"/>
  <c r="EW17" i="29" s="1"/>
  <c r="M65" i="72"/>
  <c r="DZ17" i="29" s="1"/>
  <c r="J65" i="72"/>
  <c r="DC17" i="29" s="1"/>
  <c r="P65" i="74"/>
  <c r="EX17" i="29" s="1"/>
  <c r="M65" i="74"/>
  <c r="EA17" i="29" s="1"/>
  <c r="J65" i="74"/>
  <c r="DD17" i="29" s="1"/>
  <c r="F64" i="74"/>
  <c r="F63" i="74"/>
  <c r="F70" i="75"/>
  <c r="P65" i="75"/>
  <c r="EY17" i="29" s="1"/>
  <c r="M65" i="75"/>
  <c r="EB17" i="29" s="1"/>
  <c r="J65" i="75"/>
  <c r="DE17" i="29" s="1"/>
  <c r="F64" i="75"/>
  <c r="F63" i="75"/>
  <c r="P65" i="76"/>
  <c r="EZ17" i="29" s="1"/>
  <c r="M65" i="76"/>
  <c r="EC17" i="29" s="1"/>
  <c r="J65" i="76"/>
  <c r="DF17" i="29" s="1"/>
  <c r="F64" i="76"/>
  <c r="F63" i="76"/>
  <c r="P65" i="77"/>
  <c r="FA17" i="29" s="1"/>
  <c r="M65" i="77"/>
  <c r="ED17" i="29" s="1"/>
  <c r="J65" i="77"/>
  <c r="DG17" i="29" s="1"/>
  <c r="F64" i="77"/>
  <c r="F63" i="77"/>
  <c r="P65" i="79"/>
  <c r="FC17" i="29" s="1"/>
  <c r="M65" i="79"/>
  <c r="EF17" i="29" s="1"/>
  <c r="J65" i="79"/>
  <c r="DI17" i="29" s="1"/>
  <c r="F64" i="79"/>
  <c r="F63" i="79"/>
  <c r="P65" i="80"/>
  <c r="FD17" i="29" s="1"/>
  <c r="M65" i="80"/>
  <c r="EG17" i="29" s="1"/>
  <c r="J65" i="80"/>
  <c r="DJ17" i="29" s="1"/>
  <c r="F64" i="80"/>
  <c r="F63" i="80"/>
  <c r="P65" i="81"/>
  <c r="FE17" i="29" s="1"/>
  <c r="M65" i="81"/>
  <c r="EH17" i="29" s="1"/>
  <c r="J65" i="81"/>
  <c r="DK17" i="29" s="1"/>
  <c r="F64" i="81"/>
  <c r="F63" i="81"/>
  <c r="P65" i="83"/>
  <c r="FF17" i="29" s="1"/>
  <c r="M65" i="83"/>
  <c r="EI17" i="29" s="1"/>
  <c r="J65" i="83"/>
  <c r="DL17" i="29" s="1"/>
  <c r="F64" i="83"/>
  <c r="F63" i="83"/>
  <c r="P65" i="84"/>
  <c r="FG17" i="29" s="1"/>
  <c r="M65" i="84"/>
  <c r="EJ17" i="29" s="1"/>
  <c r="J65" i="84"/>
  <c r="DM17" i="29" s="1"/>
  <c r="F64" i="84"/>
  <c r="F63" i="84"/>
  <c r="F70" i="88"/>
  <c r="P65" i="88"/>
  <c r="FI17" i="29" s="1"/>
  <c r="M65" i="88"/>
  <c r="EL17" i="29" s="1"/>
  <c r="J65" i="88"/>
  <c r="DO17" i="29" s="1"/>
  <c r="F63" i="88"/>
  <c r="F70" i="85"/>
  <c r="P65" i="85"/>
  <c r="FH17" i="29" s="1"/>
  <c r="M65" i="85"/>
  <c r="EK17" i="29" s="1"/>
  <c r="J65" i="85"/>
  <c r="DN17" i="29" s="1"/>
  <c r="P65" i="86"/>
  <c r="FJ17" i="29" s="1"/>
  <c r="M65" i="86"/>
  <c r="EM17" i="29" s="1"/>
  <c r="J65" i="86"/>
  <c r="DP17" i="29" s="1"/>
  <c r="F64" i="86"/>
  <c r="F63" i="86"/>
  <c r="P65" i="90"/>
  <c r="FM17" i="29" s="1"/>
  <c r="M65" i="90"/>
  <c r="EP17" i="29" s="1"/>
  <c r="J65" i="90"/>
  <c r="DS17" i="29" s="1"/>
  <c r="F64" i="90"/>
  <c r="F63" i="90"/>
  <c r="P65" i="91"/>
  <c r="FL17" i="29" s="1"/>
  <c r="M65" i="91"/>
  <c r="EO17" i="29" s="1"/>
  <c r="J65" i="91"/>
  <c r="DR17" i="29" s="1"/>
  <c r="F64" i="91"/>
  <c r="F63" i="91"/>
  <c r="P65" i="89"/>
  <c r="M65" i="89"/>
  <c r="J65" i="89"/>
  <c r="F64" i="89"/>
  <c r="F63" i="89"/>
  <c r="P65" i="64"/>
  <c r="ER17" i="29" s="1"/>
  <c r="M65" i="64"/>
  <c r="DU17" i="29" s="1"/>
  <c r="J65" i="64"/>
  <c r="CX17" i="29" s="1"/>
  <c r="F64" i="64"/>
  <c r="P55" i="71"/>
  <c r="P55" i="83"/>
  <c r="P55" i="91"/>
  <c r="P55" i="89"/>
  <c r="P55" i="64"/>
  <c r="L55" i="71"/>
  <c r="O55" i="83"/>
  <c r="O55" i="90"/>
  <c r="O55" i="91"/>
  <c r="O55" i="89"/>
  <c r="L55" i="64"/>
  <c r="DS63" i="29" l="1"/>
  <c r="FH2" i="29"/>
  <c r="FH3" i="29" s="1"/>
  <c r="FG1" i="29"/>
  <c r="DO2" i="29"/>
  <c r="DN1" i="29"/>
  <c r="DN3" i="29"/>
  <c r="EJ3" i="29"/>
  <c r="EJ1" i="29"/>
  <c r="I54" i="66"/>
  <c r="I55" i="66"/>
  <c r="P53" i="66"/>
  <c r="J57" i="66"/>
  <c r="P54" i="66"/>
  <c r="J54" i="66"/>
  <c r="O55" i="66"/>
  <c r="J53" i="66"/>
  <c r="O54" i="66"/>
  <c r="P57" i="66"/>
  <c r="O56" i="66"/>
  <c r="I56" i="66"/>
  <c r="P52" i="66"/>
  <c r="J52" i="66"/>
  <c r="O57" i="66"/>
  <c r="I57" i="66"/>
  <c r="L56" i="66"/>
  <c r="O52" i="66"/>
  <c r="I52" i="66"/>
  <c r="O53" i="66"/>
  <c r="I53" i="66"/>
  <c r="P56" i="66"/>
  <c r="J56" i="66"/>
  <c r="M52" i="66"/>
  <c r="P55" i="66"/>
  <c r="J55" i="66"/>
  <c r="M56" i="66"/>
  <c r="L55" i="83"/>
  <c r="M55" i="91"/>
  <c r="L55" i="89"/>
  <c r="I55" i="64"/>
  <c r="O55" i="64"/>
  <c r="P55" i="90"/>
  <c r="M55" i="90"/>
  <c r="I55" i="89"/>
  <c r="I55" i="83"/>
  <c r="J55" i="90"/>
  <c r="O55" i="71"/>
  <c r="I55" i="71"/>
  <c r="J55" i="64"/>
  <c r="J55" i="71"/>
  <c r="L55" i="91"/>
  <c r="M55" i="64"/>
  <c r="M55" i="71"/>
  <c r="I55" i="90"/>
  <c r="J55" i="89"/>
  <c r="J55" i="83"/>
  <c r="L55" i="90"/>
  <c r="M55" i="89"/>
  <c r="M55" i="83"/>
  <c r="FI2" i="29" l="1"/>
  <c r="FI3" i="29" s="1"/>
  <c r="FH1" i="29"/>
  <c r="DP2" i="29"/>
  <c r="DQ2" i="29" s="1"/>
  <c r="DO1" i="29"/>
  <c r="DO3" i="29"/>
  <c r="EK1" i="29"/>
  <c r="EK3" i="29"/>
  <c r="DR2" i="29" l="1"/>
  <c r="DQ1" i="29"/>
  <c r="DQ3" i="29"/>
  <c r="FJ2" i="29"/>
  <c r="FI1" i="29"/>
  <c r="DP1" i="29"/>
  <c r="FJ3" i="29"/>
  <c r="DP3" i="29"/>
  <c r="EL3" i="29"/>
  <c r="EL1" i="29"/>
  <c r="DS2" i="29" l="1"/>
  <c r="DS1" i="29" s="1"/>
  <c r="DR1" i="29"/>
  <c r="FK2" i="29"/>
  <c r="FJ1" i="29"/>
  <c r="EM1" i="29"/>
  <c r="EM3" i="29"/>
  <c r="FL2" i="29" l="1"/>
  <c r="FL3" i="29" s="1"/>
  <c r="FK1" i="29"/>
  <c r="FK3" i="29"/>
  <c r="DR3" i="29"/>
  <c r="FM2" i="29" l="1"/>
  <c r="FL1" i="29"/>
  <c r="I52" i="85"/>
  <c r="EO1" i="29"/>
  <c r="DS3" i="29"/>
  <c r="I51" i="75" l="1"/>
  <c r="L50" i="73"/>
  <c r="L51" i="74"/>
  <c r="L49" i="83"/>
  <c r="O49" i="83"/>
  <c r="FM1" i="29"/>
  <c r="FM3" i="29"/>
  <c r="L53" i="74"/>
  <c r="L55" i="80"/>
  <c r="I55" i="80"/>
  <c r="O55" i="80"/>
  <c r="I52" i="77"/>
  <c r="O52" i="77"/>
  <c r="L52" i="77"/>
  <c r="L46" i="78"/>
  <c r="O46" i="78"/>
  <c r="I46" i="78"/>
  <c r="L50" i="65"/>
  <c r="L53" i="80"/>
  <c r="O53" i="80"/>
  <c r="I53" i="80"/>
  <c r="L53" i="75"/>
  <c r="O55" i="88"/>
  <c r="I55" i="88"/>
  <c r="L55" i="88"/>
  <c r="O55" i="86"/>
  <c r="I55" i="86"/>
  <c r="L55" i="86"/>
  <c r="I52" i="78"/>
  <c r="L52" i="78"/>
  <c r="O52" i="78"/>
  <c r="L52" i="73"/>
  <c r="O52" i="73"/>
  <c r="L53" i="79"/>
  <c r="O53" i="79"/>
  <c r="I53" i="79"/>
  <c r="L52" i="76"/>
  <c r="I52" i="76"/>
  <c r="O52" i="76"/>
  <c r="O52" i="80"/>
  <c r="L52" i="80"/>
  <c r="I52" i="80"/>
  <c r="O54" i="76"/>
  <c r="I54" i="76"/>
  <c r="L54" i="76"/>
  <c r="L49" i="78"/>
  <c r="I49" i="78"/>
  <c r="O49" i="78"/>
  <c r="I51" i="78"/>
  <c r="O51" i="78"/>
  <c r="L51" i="78"/>
  <c r="O54" i="77"/>
  <c r="L54" i="77"/>
  <c r="I54" i="77"/>
  <c r="L54" i="78"/>
  <c r="O54" i="78"/>
  <c r="I54" i="78"/>
  <c r="O54" i="80"/>
  <c r="I54" i="80"/>
  <c r="L54" i="80"/>
  <c r="O57" i="78"/>
  <c r="L57" i="78"/>
  <c r="I57" i="78"/>
  <c r="I49" i="72"/>
  <c r="L50" i="77"/>
  <c r="I50" i="77"/>
  <c r="O50" i="77"/>
  <c r="L50" i="74"/>
  <c r="I50" i="74"/>
  <c r="O50" i="74"/>
  <c r="L51" i="66"/>
  <c r="I51" i="66"/>
  <c r="O51" i="66"/>
  <c r="L51" i="65"/>
  <c r="I51" i="65"/>
  <c r="O51" i="65"/>
  <c r="O51" i="79"/>
  <c r="L51" i="79"/>
  <c r="I51" i="79"/>
  <c r="O50" i="73"/>
  <c r="I50" i="73"/>
  <c r="L51" i="73"/>
  <c r="I51" i="73"/>
  <c r="O51" i="73"/>
  <c r="L51" i="77"/>
  <c r="I51" i="77"/>
  <c r="O51" i="77"/>
  <c r="L50" i="66"/>
  <c r="I50" i="66"/>
  <c r="O50" i="66"/>
  <c r="L50" i="76"/>
  <c r="O50" i="76"/>
  <c r="I50" i="76"/>
  <c r="L50" i="75"/>
  <c r="O50" i="75"/>
  <c r="I50" i="75"/>
  <c r="L51" i="72"/>
  <c r="I51" i="72"/>
  <c r="O51" i="72"/>
  <c r="I51" i="74"/>
  <c r="O50" i="80"/>
  <c r="I50" i="80"/>
  <c r="L50" i="80"/>
  <c r="L50" i="79"/>
  <c r="I50" i="79"/>
  <c r="O50" i="79"/>
  <c r="L50" i="72"/>
  <c r="O50" i="72"/>
  <c r="I50" i="72"/>
  <c r="L51" i="76"/>
  <c r="I51" i="76"/>
  <c r="O51" i="76"/>
  <c r="L51" i="80"/>
  <c r="I51" i="80"/>
  <c r="O51" i="80"/>
  <c r="EP3" i="29"/>
  <c r="EP1" i="29"/>
  <c r="X175" i="30"/>
  <c r="W175" i="30"/>
  <c r="V175" i="30"/>
  <c r="U175" i="30"/>
  <c r="T175" i="30"/>
  <c r="S175" i="30"/>
  <c r="R175" i="30"/>
  <c r="X174" i="30"/>
  <c r="W174" i="30"/>
  <c r="V174" i="30"/>
  <c r="U174" i="30"/>
  <c r="T174" i="30"/>
  <c r="S174" i="30"/>
  <c r="R174" i="30"/>
  <c r="X144" i="30"/>
  <c r="X143" i="30"/>
  <c r="W144" i="30"/>
  <c r="W143" i="30"/>
  <c r="V144" i="30"/>
  <c r="V143" i="30"/>
  <c r="U144" i="30"/>
  <c r="U143" i="30"/>
  <c r="T144" i="30"/>
  <c r="T143" i="30"/>
  <c r="S144" i="30"/>
  <c r="S143" i="30"/>
  <c r="R144" i="30"/>
  <c r="R143" i="30"/>
  <c r="O51" i="75" l="1"/>
  <c r="L51" i="75"/>
  <c r="O51" i="74"/>
  <c r="O50" i="65"/>
  <c r="I50" i="65"/>
  <c r="L54" i="74"/>
  <c r="I54" i="74"/>
  <c r="O54" i="74"/>
  <c r="O47" i="78"/>
  <c r="L47" i="78"/>
  <c r="I47" i="78"/>
  <c r="L54" i="79"/>
  <c r="O54" i="79"/>
  <c r="I54" i="79"/>
  <c r="O55" i="84"/>
  <c r="I55" i="84"/>
  <c r="L55" i="84"/>
  <c r="L55" i="75"/>
  <c r="O55" i="75"/>
  <c r="I55" i="75"/>
  <c r="L53" i="73"/>
  <c r="I53" i="73"/>
  <c r="O53" i="73"/>
  <c r="I48" i="78"/>
  <c r="L48" i="78"/>
  <c r="O48" i="78"/>
  <c r="L55" i="76"/>
  <c r="I55" i="76"/>
  <c r="O55" i="76"/>
  <c r="O55" i="81"/>
  <c r="L55" i="81"/>
  <c r="I55" i="81"/>
  <c r="L55" i="77"/>
  <c r="O55" i="77"/>
  <c r="I55" i="77"/>
  <c r="O55" i="85"/>
  <c r="L55" i="85"/>
  <c r="I55" i="85"/>
  <c r="L54" i="72"/>
  <c r="O54" i="72"/>
  <c r="I54" i="72"/>
  <c r="O56" i="80"/>
  <c r="L56" i="80"/>
  <c r="I56" i="80"/>
  <c r="O55" i="78"/>
  <c r="L55" i="78"/>
  <c r="I55" i="78"/>
  <c r="L48" i="66"/>
  <c r="O48" i="66"/>
  <c r="I48" i="66"/>
  <c r="L48" i="79"/>
  <c r="I48" i="79"/>
  <c r="O48" i="79"/>
  <c r="I48" i="75"/>
  <c r="O48" i="75"/>
  <c r="L48" i="75"/>
  <c r="O46" i="65"/>
  <c r="L46" i="65"/>
  <c r="I46" i="65"/>
  <c r="L47" i="74"/>
  <c r="O47" i="74"/>
  <c r="I47" i="74"/>
  <c r="O47" i="79"/>
  <c r="L47" i="79"/>
  <c r="I47" i="79"/>
  <c r="L46" i="80"/>
  <c r="I46" i="80"/>
  <c r="O46" i="80"/>
  <c r="L47" i="72"/>
  <c r="O47" i="72"/>
  <c r="I47" i="72"/>
  <c r="L49" i="73"/>
  <c r="O49" i="73"/>
  <c r="I49" i="73"/>
  <c r="L49" i="80"/>
  <c r="I49" i="80"/>
  <c r="O49" i="80"/>
  <c r="L48" i="76"/>
  <c r="O48" i="76"/>
  <c r="I48" i="76"/>
  <c r="L48" i="65"/>
  <c r="I48" i="65"/>
  <c r="O48" i="65"/>
  <c r="L48" i="74"/>
  <c r="O48" i="74"/>
  <c r="I48" i="74"/>
  <c r="L46" i="66"/>
  <c r="I46" i="66"/>
  <c r="O46" i="66"/>
  <c r="L46" i="79"/>
  <c r="I46" i="79"/>
  <c r="O46" i="79"/>
  <c r="L47" i="65"/>
  <c r="I47" i="65"/>
  <c r="O47" i="65"/>
  <c r="L46" i="75"/>
  <c r="I46" i="75"/>
  <c r="O46" i="75"/>
  <c r="L46" i="77"/>
  <c r="O46" i="77"/>
  <c r="I46" i="77"/>
  <c r="L49" i="66"/>
  <c r="O49" i="66"/>
  <c r="I49" i="66"/>
  <c r="L49" i="77"/>
  <c r="I49" i="77"/>
  <c r="O49" i="77"/>
  <c r="L49" i="79"/>
  <c r="O49" i="79"/>
  <c r="I49" i="79"/>
  <c r="L48" i="72"/>
  <c r="O48" i="72"/>
  <c r="I48" i="72"/>
  <c r="L48" i="73"/>
  <c r="O48" i="73"/>
  <c r="I48" i="73"/>
  <c r="L47" i="66"/>
  <c r="I47" i="66"/>
  <c r="O47" i="66"/>
  <c r="L47" i="77"/>
  <c r="O47" i="77"/>
  <c r="I47" i="77"/>
  <c r="O47" i="73"/>
  <c r="L47" i="73"/>
  <c r="I47" i="73"/>
  <c r="L46" i="72"/>
  <c r="I46" i="72"/>
  <c r="O46" i="72"/>
  <c r="O46" i="76"/>
  <c r="I46" i="76"/>
  <c r="L46" i="76"/>
  <c r="I49" i="76"/>
  <c r="O49" i="76"/>
  <c r="L49" i="76"/>
  <c r="L49" i="75"/>
  <c r="O49" i="75"/>
  <c r="I49" i="75"/>
  <c r="L49" i="72"/>
  <c r="O49" i="72"/>
  <c r="O48" i="80"/>
  <c r="L48" i="80"/>
  <c r="I48" i="80"/>
  <c r="O48" i="77"/>
  <c r="I48" i="77"/>
  <c r="L48" i="77"/>
  <c r="L47" i="76"/>
  <c r="O47" i="76"/>
  <c r="I47" i="76"/>
  <c r="L47" i="75"/>
  <c r="O47" i="75"/>
  <c r="I47" i="75"/>
  <c r="L47" i="80"/>
  <c r="O47" i="80"/>
  <c r="I47" i="80"/>
  <c r="L46" i="73"/>
  <c r="I46" i="73"/>
  <c r="O46" i="73"/>
  <c r="L46" i="74"/>
  <c r="O46" i="74"/>
  <c r="I46" i="74"/>
  <c r="L49" i="65"/>
  <c r="O49" i="65"/>
  <c r="I49" i="65"/>
  <c r="O49" i="74"/>
  <c r="I49" i="74"/>
  <c r="L49" i="74"/>
  <c r="F286" i="30"/>
  <c r="F287" i="30"/>
  <c r="F281" i="30"/>
  <c r="F272" i="30"/>
  <c r="F275" i="30"/>
  <c r="I58" i="78" l="1"/>
  <c r="I59" i="78" s="1"/>
  <c r="DH27" i="29" s="1"/>
  <c r="L58" i="78"/>
  <c r="L59" i="78" s="1"/>
  <c r="EE27" i="29" s="1"/>
  <c r="O58" i="78"/>
  <c r="O59" i="78" s="1"/>
  <c r="FB27" i="29" s="1"/>
  <c r="C61" i="3"/>
  <c r="G61" i="3" s="1"/>
  <c r="C59" i="3"/>
  <c r="G59" i="3" s="1"/>
  <c r="D67" i="7"/>
  <c r="C54" i="3"/>
  <c r="D61" i="7"/>
  <c r="C64" i="3"/>
  <c r="J64" i="3" s="1"/>
  <c r="D73" i="7"/>
  <c r="C51" i="3"/>
  <c r="D58" i="7"/>
  <c r="C63" i="3"/>
  <c r="G63" i="3" s="1"/>
  <c r="D72" i="7"/>
  <c r="C52" i="3"/>
  <c r="O58" i="66"/>
  <c r="O59" i="66" s="1"/>
  <c r="ES27" i="29" s="1"/>
  <c r="I58" i="66"/>
  <c r="I59" i="66" s="1"/>
  <c r="CY27" i="29" s="1"/>
  <c r="L58" i="66"/>
  <c r="L59" i="66" s="1"/>
  <c r="DV27" i="29" s="1"/>
  <c r="G267" i="30"/>
  <c r="G268" i="30" s="1"/>
  <c r="G269" i="30" s="1"/>
  <c r="G270" i="30" s="1"/>
  <c r="G271" i="30" s="1"/>
  <c r="G272" i="30" s="1"/>
  <c r="F280" i="30"/>
  <c r="F279" i="30"/>
  <c r="F278" i="30"/>
  <c r="F277" i="30"/>
  <c r="F274" i="30"/>
  <c r="F271" i="30"/>
  <c r="F270" i="30"/>
  <c r="F269" i="30"/>
  <c r="F268" i="30"/>
  <c r="F267" i="30"/>
  <c r="G234" i="30"/>
  <c r="G235" i="30" s="1"/>
  <c r="G236" i="30" s="1"/>
  <c r="G237" i="30" s="1"/>
  <c r="G238" i="30" s="1"/>
  <c r="G239" i="30" s="1"/>
  <c r="G240" i="30" s="1"/>
  <c r="G241" i="30" s="1"/>
  <c r="G242" i="30" s="1"/>
  <c r="G243" i="30" s="1"/>
  <c r="G244" i="30" s="1"/>
  <c r="G245" i="30" s="1"/>
  <c r="G246" i="30" s="1"/>
  <c r="G247" i="30" s="1"/>
  <c r="G248" i="30" s="1"/>
  <c r="G249" i="30" s="1"/>
  <c r="G250" i="30" s="1"/>
  <c r="G251" i="30" s="1"/>
  <c r="G252" i="30" s="1"/>
  <c r="G253" i="30" s="1"/>
  <c r="G254" i="30" s="1"/>
  <c r="G255" i="30" s="1"/>
  <c r="G256" i="30" s="1"/>
  <c r="G257" i="30" s="1"/>
  <c r="G258" i="30" s="1"/>
  <c r="G259" i="30" s="1"/>
  <c r="G260" i="30" s="1"/>
  <c r="G261" i="30" s="1"/>
  <c r="G262" i="30" s="1"/>
  <c r="G263" i="30" s="1"/>
  <c r="G264" i="30" s="1"/>
  <c r="G273" i="30" l="1"/>
  <c r="G274" i="30" s="1"/>
  <c r="G275" i="30" s="1"/>
  <c r="G276" i="30" s="1"/>
  <c r="G277" i="30" s="1"/>
  <c r="G278" i="30" s="1"/>
  <c r="G279" i="30" s="1"/>
  <c r="G280" i="30" s="1"/>
  <c r="G281" i="30" s="1"/>
  <c r="G282" i="30" s="1"/>
  <c r="G283" i="30" s="1"/>
  <c r="G284" i="30" s="1"/>
  <c r="G285" i="30" s="1"/>
  <c r="G286" i="30" s="1"/>
  <c r="G287" i="30" s="1"/>
  <c r="D61" i="3"/>
  <c r="J61" i="3"/>
  <c r="G51" i="3"/>
  <c r="D64" i="3"/>
  <c r="G54" i="3"/>
  <c r="D63" i="3"/>
  <c r="C47" i="3"/>
  <c r="D47" i="3" s="1"/>
  <c r="D54" i="7"/>
  <c r="C45" i="3"/>
  <c r="J45" i="3" s="1"/>
  <c r="D52" i="7"/>
  <c r="C49" i="3"/>
  <c r="J49" i="3" s="1"/>
  <c r="D56" i="7"/>
  <c r="C56" i="3"/>
  <c r="D64" i="7"/>
  <c r="C62" i="3"/>
  <c r="J62" i="3" s="1"/>
  <c r="D70" i="7"/>
  <c r="G64" i="3"/>
  <c r="C46" i="3"/>
  <c r="J46" i="3" s="1"/>
  <c r="D53" i="7"/>
  <c r="C50" i="3"/>
  <c r="D57" i="7"/>
  <c r="C57" i="3"/>
  <c r="D65" i="7"/>
  <c r="G52" i="3"/>
  <c r="J63" i="3"/>
  <c r="C53" i="3"/>
  <c r="D60" i="7"/>
  <c r="C58" i="3"/>
  <c r="D66" i="7"/>
  <c r="C48" i="3"/>
  <c r="D48" i="3" s="1"/>
  <c r="D55" i="7"/>
  <c r="C55" i="3"/>
  <c r="G55" i="3" s="1"/>
  <c r="D63" i="7"/>
  <c r="C60" i="3"/>
  <c r="G60" i="3" s="1"/>
  <c r="A1" i="65"/>
  <c r="M2" i="7" l="1"/>
  <c r="P2" i="7"/>
  <c r="H2" i="7"/>
  <c r="L2" i="7"/>
  <c r="O2" i="7"/>
  <c r="N2" i="7"/>
  <c r="K2" i="7"/>
  <c r="D62" i="3"/>
  <c r="J60" i="3"/>
  <c r="G50" i="3"/>
  <c r="J47" i="3"/>
  <c r="J48" i="3"/>
  <c r="G49" i="3"/>
  <c r="J50" i="3"/>
  <c r="G53" i="3"/>
  <c r="G62" i="3"/>
  <c r="D60" i="3"/>
  <c r="G48" i="3"/>
  <c r="G47" i="3"/>
  <c r="D46" i="3"/>
  <c r="G46" i="3"/>
  <c r="D45" i="3"/>
  <c r="G57" i="3"/>
  <c r="G56" i="3"/>
  <c r="G45" i="3"/>
  <c r="G58" i="3"/>
  <c r="R2" i="7"/>
  <c r="J2" i="7"/>
  <c r="Q2" i="7"/>
  <c r="E2" i="7"/>
  <c r="D2" i="7"/>
  <c r="G2" i="7"/>
  <c r="I2" i="7"/>
  <c r="F2" i="7"/>
  <c r="F70" i="87" l="1"/>
  <c r="Q18" i="96"/>
  <c r="Q17" i="96"/>
  <c r="Q16" i="96"/>
  <c r="Q15" i="96"/>
  <c r="Q14" i="96"/>
  <c r="I14" i="96" s="1"/>
  <c r="J13" i="96" s="1"/>
  <c r="L21" i="96"/>
  <c r="I21" i="96"/>
  <c r="L20" i="96"/>
  <c r="I20" i="96"/>
  <c r="O18" i="96"/>
  <c r="L18" i="96"/>
  <c r="I18" i="96"/>
  <c r="G82" i="96"/>
  <c r="G81" i="96"/>
  <c r="G90" i="96"/>
  <c r="G89" i="96"/>
  <c r="G88" i="96"/>
  <c r="G86" i="96"/>
  <c r="C99" i="96"/>
  <c r="C98" i="96"/>
  <c r="C97" i="96"/>
  <c r="C96" i="96"/>
  <c r="C95" i="96"/>
  <c r="C94" i="96"/>
  <c r="C93" i="96"/>
  <c r="C92" i="96"/>
  <c r="C91" i="96"/>
  <c r="C90" i="96"/>
  <c r="C89" i="96"/>
  <c r="C88" i="96"/>
  <c r="C87" i="96"/>
  <c r="C86" i="96"/>
  <c r="C85" i="96"/>
  <c r="C84" i="96"/>
  <c r="C83" i="96"/>
  <c r="C82" i="96"/>
  <c r="C81" i="96"/>
  <c r="Q18" i="95"/>
  <c r="Q17" i="95"/>
  <c r="Q16" i="95"/>
  <c r="Q15" i="95"/>
  <c r="Q14" i="95"/>
  <c r="I14" i="95" s="1"/>
  <c r="J13" i="95" s="1"/>
  <c r="L21" i="95"/>
  <c r="I21" i="95"/>
  <c r="L20" i="95"/>
  <c r="I20" i="95"/>
  <c r="O18" i="95"/>
  <c r="L18" i="95"/>
  <c r="I18" i="95"/>
  <c r="G82" i="95"/>
  <c r="G81" i="95"/>
  <c r="G90" i="95"/>
  <c r="G89" i="95"/>
  <c r="G88" i="95"/>
  <c r="G86" i="95"/>
  <c r="C99" i="95"/>
  <c r="C98" i="95"/>
  <c r="C97" i="95"/>
  <c r="C96" i="95"/>
  <c r="C95" i="95"/>
  <c r="C94" i="95"/>
  <c r="C93" i="95"/>
  <c r="C92" i="95"/>
  <c r="C91" i="95"/>
  <c r="C90" i="95"/>
  <c r="C89" i="95"/>
  <c r="C88" i="95"/>
  <c r="C87" i="95"/>
  <c r="C86" i="95"/>
  <c r="C85" i="95"/>
  <c r="C84" i="95"/>
  <c r="C83" i="95"/>
  <c r="C82" i="95"/>
  <c r="C81" i="95"/>
  <c r="Q18" i="94"/>
  <c r="Q17" i="94"/>
  <c r="Q16" i="94"/>
  <c r="Q15" i="94"/>
  <c r="Q14" i="94"/>
  <c r="I14" i="94" s="1"/>
  <c r="J13" i="94" s="1"/>
  <c r="L21" i="94"/>
  <c r="I21" i="94"/>
  <c r="L20" i="94"/>
  <c r="I20" i="94"/>
  <c r="O18" i="94"/>
  <c r="L18" i="94"/>
  <c r="I18" i="94"/>
  <c r="G82" i="94"/>
  <c r="G81" i="94"/>
  <c r="G90" i="94"/>
  <c r="G89" i="94"/>
  <c r="G88" i="94"/>
  <c r="G86" i="94"/>
  <c r="C99" i="94"/>
  <c r="C98" i="94"/>
  <c r="C97" i="94"/>
  <c r="C96" i="94"/>
  <c r="C95" i="94"/>
  <c r="C94" i="94"/>
  <c r="C93" i="94"/>
  <c r="C92" i="94"/>
  <c r="C91" i="94"/>
  <c r="C90" i="94"/>
  <c r="C89" i="94"/>
  <c r="C88" i="94"/>
  <c r="C87" i="94"/>
  <c r="C86" i="94"/>
  <c r="C85" i="94"/>
  <c r="C84" i="94"/>
  <c r="C83" i="94"/>
  <c r="C82" i="94"/>
  <c r="C81" i="94"/>
  <c r="Q18" i="93"/>
  <c r="Q17" i="93"/>
  <c r="Q16" i="93"/>
  <c r="Q15" i="93"/>
  <c r="Q14" i="93"/>
  <c r="I14" i="93" s="1"/>
  <c r="J13" i="93" s="1"/>
  <c r="L21" i="93"/>
  <c r="I21" i="93"/>
  <c r="L20" i="93"/>
  <c r="I20" i="93"/>
  <c r="O18" i="93"/>
  <c r="L18" i="93"/>
  <c r="I18" i="93"/>
  <c r="G82" i="93"/>
  <c r="G81" i="93"/>
  <c r="G90" i="93"/>
  <c r="G89" i="93"/>
  <c r="G88" i="93"/>
  <c r="G86" i="93"/>
  <c r="C99" i="93"/>
  <c r="C98" i="93"/>
  <c r="C97" i="93"/>
  <c r="C96" i="93"/>
  <c r="C95" i="93"/>
  <c r="C94" i="93"/>
  <c r="C93" i="93"/>
  <c r="C92" i="93"/>
  <c r="C91" i="93"/>
  <c r="C90" i="93"/>
  <c r="C89" i="93"/>
  <c r="C88" i="93"/>
  <c r="C87" i="93"/>
  <c r="C86" i="93"/>
  <c r="C85" i="93"/>
  <c r="C84" i="93"/>
  <c r="C83" i="93"/>
  <c r="C82" i="93"/>
  <c r="C81" i="93"/>
  <c r="Q18" i="92"/>
  <c r="Q17" i="92"/>
  <c r="Q16" i="92"/>
  <c r="Q15" i="92"/>
  <c r="Q14" i="92"/>
  <c r="I14" i="92" s="1"/>
  <c r="J13" i="92" s="1"/>
  <c r="L21" i="92"/>
  <c r="I21" i="92"/>
  <c r="L20" i="92"/>
  <c r="I20" i="92"/>
  <c r="O18" i="92"/>
  <c r="L18" i="92"/>
  <c r="I18" i="92"/>
  <c r="G82" i="92"/>
  <c r="G81" i="92"/>
  <c r="G90" i="92"/>
  <c r="G89" i="92"/>
  <c r="G88" i="92"/>
  <c r="G86" i="92"/>
  <c r="C99" i="92"/>
  <c r="C98" i="92"/>
  <c r="C97" i="92"/>
  <c r="C96" i="92"/>
  <c r="C95" i="92"/>
  <c r="C94" i="92"/>
  <c r="C93" i="92"/>
  <c r="C92" i="92"/>
  <c r="C91" i="92"/>
  <c r="C90" i="92"/>
  <c r="C89" i="92"/>
  <c r="C88" i="92"/>
  <c r="C87" i="92"/>
  <c r="C86" i="92"/>
  <c r="C85" i="92"/>
  <c r="C84" i="92"/>
  <c r="C83" i="92"/>
  <c r="C82" i="92"/>
  <c r="C81" i="92"/>
  <c r="O19" i="87"/>
  <c r="L19" i="87"/>
  <c r="I19" i="87"/>
  <c r="G81" i="87"/>
  <c r="G80" i="87"/>
  <c r="G89" i="87"/>
  <c r="G88" i="87"/>
  <c r="G87" i="87"/>
  <c r="G85" i="87"/>
  <c r="C98" i="87"/>
  <c r="C97" i="87"/>
  <c r="C96" i="87"/>
  <c r="C95" i="87"/>
  <c r="C94" i="87"/>
  <c r="C93" i="87"/>
  <c r="C92" i="87"/>
  <c r="C91" i="87"/>
  <c r="C90" i="87"/>
  <c r="C89" i="87"/>
  <c r="C88" i="87"/>
  <c r="C87" i="87"/>
  <c r="C86" i="87"/>
  <c r="C85" i="87"/>
  <c r="C84" i="87"/>
  <c r="C83" i="87"/>
  <c r="C82" i="87"/>
  <c r="C81" i="87"/>
  <c r="C80" i="87"/>
  <c r="F42" i="96"/>
  <c r="F41" i="96"/>
  <c r="F40" i="96"/>
  <c r="F39" i="96"/>
  <c r="F38" i="96"/>
  <c r="F37" i="96"/>
  <c r="F36" i="96"/>
  <c r="E138" i="96"/>
  <c r="E137" i="96"/>
  <c r="E136" i="96"/>
  <c r="C136" i="96"/>
  <c r="E135" i="96"/>
  <c r="C135" i="96"/>
  <c r="E134" i="96"/>
  <c r="C134" i="96"/>
  <c r="E133" i="96"/>
  <c r="E132" i="96"/>
  <c r="C132" i="96"/>
  <c r="E131" i="96"/>
  <c r="C131" i="96"/>
  <c r="E130" i="96"/>
  <c r="C130" i="96"/>
  <c r="E129" i="96"/>
  <c r="C129" i="96"/>
  <c r="E128" i="96"/>
  <c r="C128" i="96"/>
  <c r="E127" i="96"/>
  <c r="C127" i="96"/>
  <c r="E126" i="96"/>
  <c r="C126" i="96"/>
  <c r="E125" i="96"/>
  <c r="C125" i="96"/>
  <c r="E124" i="96"/>
  <c r="C124" i="96"/>
  <c r="E123" i="96"/>
  <c r="C123" i="96"/>
  <c r="F42" i="95"/>
  <c r="F41" i="95"/>
  <c r="F40" i="95"/>
  <c r="F39" i="95"/>
  <c r="F38" i="95"/>
  <c r="F37" i="95"/>
  <c r="F36" i="95"/>
  <c r="E138" i="95"/>
  <c r="E137" i="95"/>
  <c r="E136" i="95"/>
  <c r="C136" i="95"/>
  <c r="E135" i="95"/>
  <c r="C135" i="95"/>
  <c r="E134" i="95"/>
  <c r="C134" i="95"/>
  <c r="E133" i="95"/>
  <c r="E132" i="95"/>
  <c r="C132" i="95"/>
  <c r="E131" i="95"/>
  <c r="C131" i="95"/>
  <c r="E130" i="95"/>
  <c r="C130" i="95"/>
  <c r="E129" i="95"/>
  <c r="C129" i="95"/>
  <c r="E128" i="95"/>
  <c r="C128" i="95"/>
  <c r="E127" i="95"/>
  <c r="C127" i="95"/>
  <c r="E126" i="95"/>
  <c r="C126" i="95"/>
  <c r="E125" i="95"/>
  <c r="C125" i="95"/>
  <c r="E124" i="95"/>
  <c r="C124" i="95"/>
  <c r="E123" i="95"/>
  <c r="C123" i="95"/>
  <c r="F42" i="94"/>
  <c r="F41" i="94"/>
  <c r="F40" i="94"/>
  <c r="F39" i="94"/>
  <c r="F38" i="94"/>
  <c r="F37" i="94"/>
  <c r="F36" i="94"/>
  <c r="E138" i="94"/>
  <c r="E137" i="94"/>
  <c r="E136" i="94"/>
  <c r="C136" i="94"/>
  <c r="E135" i="94"/>
  <c r="C135" i="94"/>
  <c r="E134" i="94"/>
  <c r="C134" i="94"/>
  <c r="E133" i="94"/>
  <c r="E132" i="94"/>
  <c r="C132" i="94"/>
  <c r="E131" i="94"/>
  <c r="C131" i="94"/>
  <c r="E130" i="94"/>
  <c r="C130" i="94"/>
  <c r="E129" i="94"/>
  <c r="C129" i="94"/>
  <c r="E128" i="94"/>
  <c r="C128" i="94"/>
  <c r="E127" i="94"/>
  <c r="C127" i="94"/>
  <c r="E126" i="94"/>
  <c r="C126" i="94"/>
  <c r="E125" i="94"/>
  <c r="C125" i="94"/>
  <c r="E124" i="94"/>
  <c r="C124" i="94"/>
  <c r="E123" i="94"/>
  <c r="C123" i="94"/>
  <c r="F42" i="93"/>
  <c r="F41" i="93"/>
  <c r="F40" i="93"/>
  <c r="F39" i="93"/>
  <c r="F38" i="93"/>
  <c r="F37" i="93"/>
  <c r="F36" i="93"/>
  <c r="E138" i="93"/>
  <c r="E137" i="93"/>
  <c r="E136" i="93"/>
  <c r="C136" i="93"/>
  <c r="E135" i="93"/>
  <c r="C135" i="93"/>
  <c r="E134" i="93"/>
  <c r="C134" i="93"/>
  <c r="E133" i="93"/>
  <c r="E132" i="93"/>
  <c r="C132" i="93"/>
  <c r="E131" i="93"/>
  <c r="C131" i="93"/>
  <c r="E130" i="93"/>
  <c r="C130" i="93"/>
  <c r="E129" i="93"/>
  <c r="C129" i="93"/>
  <c r="E128" i="93"/>
  <c r="C128" i="93"/>
  <c r="E127" i="93"/>
  <c r="C127" i="93"/>
  <c r="E126" i="93"/>
  <c r="C126" i="93"/>
  <c r="E125" i="93"/>
  <c r="C125" i="93"/>
  <c r="E124" i="93"/>
  <c r="C124" i="93"/>
  <c r="E123" i="93"/>
  <c r="C123" i="93"/>
  <c r="F42" i="92"/>
  <c r="F41" i="92"/>
  <c r="F40" i="92"/>
  <c r="F39" i="92"/>
  <c r="F38" i="92"/>
  <c r="F37" i="92"/>
  <c r="F36" i="92"/>
  <c r="E138" i="92"/>
  <c r="E137" i="92"/>
  <c r="E136" i="92"/>
  <c r="C136" i="92"/>
  <c r="E135" i="92"/>
  <c r="C135" i="92"/>
  <c r="E134" i="92"/>
  <c r="C134" i="92"/>
  <c r="E133" i="92"/>
  <c r="E132" i="92"/>
  <c r="C132" i="92"/>
  <c r="E131" i="92"/>
  <c r="C131" i="92"/>
  <c r="E130" i="92"/>
  <c r="C130" i="92"/>
  <c r="E129" i="92"/>
  <c r="C129" i="92"/>
  <c r="E128" i="92"/>
  <c r="C128" i="92"/>
  <c r="E127" i="92"/>
  <c r="C127" i="92"/>
  <c r="E126" i="92"/>
  <c r="C126" i="92"/>
  <c r="E125" i="92"/>
  <c r="C125" i="92"/>
  <c r="E124" i="92"/>
  <c r="C124" i="92"/>
  <c r="E123" i="92"/>
  <c r="C123" i="92"/>
  <c r="F41" i="87"/>
  <c r="F40" i="87"/>
  <c r="F39" i="87"/>
  <c r="F38" i="87"/>
  <c r="F37" i="87"/>
  <c r="F36" i="87"/>
  <c r="F35" i="87"/>
  <c r="F34" i="87"/>
  <c r="C151" i="87"/>
  <c r="C132" i="87"/>
  <c r="C131" i="87"/>
  <c r="C130" i="87"/>
  <c r="C129" i="87"/>
  <c r="C128" i="87"/>
  <c r="C127" i="87"/>
  <c r="C126" i="87"/>
  <c r="C125" i="87"/>
  <c r="C124" i="87"/>
  <c r="C123" i="87"/>
  <c r="C122" i="87"/>
  <c r="P4" i="96"/>
  <c r="D27" i="96"/>
  <c r="P4" i="95"/>
  <c r="D27" i="95"/>
  <c r="P4" i="94"/>
  <c r="D27" i="94"/>
  <c r="P4" i="93"/>
  <c r="D27" i="93"/>
  <c r="P4" i="92"/>
  <c r="D27" i="92"/>
  <c r="P4" i="87"/>
  <c r="D25" i="87"/>
  <c r="L2" i="63"/>
  <c r="L70" i="27"/>
  <c r="L69" i="27"/>
  <c r="L68" i="27"/>
  <c r="L67" i="27"/>
  <c r="L66" i="27"/>
  <c r="L65" i="27"/>
  <c r="L63" i="27"/>
  <c r="L62" i="27"/>
  <c r="L59" i="27"/>
  <c r="L58" i="27"/>
  <c r="L57" i="27"/>
  <c r="L56" i="27"/>
  <c r="L55" i="27"/>
  <c r="L54" i="27"/>
  <c r="L53" i="27"/>
  <c r="L52" i="27"/>
  <c r="L51" i="27"/>
  <c r="L49" i="27"/>
  <c r="L48" i="27"/>
  <c r="L47" i="27"/>
  <c r="L46" i="27"/>
  <c r="L45" i="27"/>
  <c r="L44" i="27"/>
  <c r="L43" i="27"/>
  <c r="L42" i="27"/>
  <c r="L41" i="27"/>
  <c r="L37" i="27"/>
  <c r="L36" i="27"/>
  <c r="L35" i="27"/>
  <c r="L34" i="27"/>
  <c r="L33" i="27"/>
  <c r="L32" i="27"/>
  <c r="L31" i="27"/>
  <c r="L29" i="27"/>
  <c r="L26" i="27"/>
  <c r="L25" i="27"/>
  <c r="L24" i="27"/>
  <c r="L23" i="27"/>
  <c r="L22" i="27"/>
  <c r="L21" i="27"/>
  <c r="L18" i="27"/>
  <c r="L17" i="27"/>
  <c r="L16" i="27"/>
  <c r="L15" i="27"/>
  <c r="L14" i="27"/>
  <c r="L13" i="27"/>
  <c r="F40" i="14"/>
  <c r="F37" i="14"/>
  <c r="C37" i="14"/>
  <c r="F36" i="14"/>
  <c r="C36" i="14"/>
  <c r="F35" i="14"/>
  <c r="C35" i="14"/>
  <c r="F34" i="14"/>
  <c r="C34" i="14"/>
  <c r="F33" i="14"/>
  <c r="C33" i="14"/>
  <c r="F32" i="14"/>
  <c r="C32" i="14"/>
  <c r="F31" i="14"/>
  <c r="C31" i="14"/>
  <c r="L40" i="14"/>
  <c r="L34" i="14"/>
  <c r="F73" i="14"/>
  <c r="F72" i="14"/>
  <c r="F69" i="14"/>
  <c r="C69" i="14"/>
  <c r="F68" i="14"/>
  <c r="C68" i="14"/>
  <c r="F67" i="14"/>
  <c r="C67" i="14"/>
  <c r="F66" i="14"/>
  <c r="C66" i="14"/>
  <c r="F65" i="14"/>
  <c r="C65" i="14"/>
  <c r="F64" i="14"/>
  <c r="C64" i="14"/>
  <c r="L73" i="14"/>
  <c r="L72" i="14"/>
  <c r="B32" i="17" l="1"/>
  <c r="B33" i="17" s="1"/>
  <c r="B34" i="17" s="1"/>
  <c r="B35" i="17" s="1"/>
  <c r="B36" i="17" s="1"/>
  <c r="B37" i="17" s="1"/>
  <c r="B38" i="17" s="1"/>
  <c r="B39" i="17" s="1"/>
  <c r="B40" i="17" s="1"/>
  <c r="B41" i="17" s="1"/>
  <c r="B42" i="17" s="1"/>
  <c r="B43" i="17" s="1"/>
  <c r="B44" i="17" s="1"/>
  <c r="B45" i="17" s="1"/>
  <c r="B46" i="17" s="1"/>
  <c r="B47" i="17" s="1"/>
  <c r="B48" i="17" s="1"/>
  <c r="B49" i="17" s="1"/>
  <c r="B50" i="17" s="1"/>
  <c r="N3" i="96" l="1"/>
  <c r="P6" i="96"/>
  <c r="H10" i="96"/>
  <c r="I10" i="96" s="1"/>
  <c r="K10" i="96"/>
  <c r="H11" i="96"/>
  <c r="K11" i="96"/>
  <c r="K57" i="96" s="1"/>
  <c r="M57" i="96" s="1"/>
  <c r="N11" i="96"/>
  <c r="I12" i="96"/>
  <c r="M12" i="96"/>
  <c r="O12" i="96"/>
  <c r="X13" i="96"/>
  <c r="X17" i="96" s="1"/>
  <c r="H33" i="96" s="1"/>
  <c r="Y13" i="96"/>
  <c r="Y14" i="96" s="1"/>
  <c r="K30" i="96" s="1"/>
  <c r="Z13" i="96"/>
  <c r="Z14" i="96" s="1"/>
  <c r="O14" i="96"/>
  <c r="I15" i="96"/>
  <c r="L15" i="96"/>
  <c r="O15" i="96"/>
  <c r="Y15" i="96"/>
  <c r="K31" i="96" s="1"/>
  <c r="I16" i="96"/>
  <c r="L16" i="96"/>
  <c r="O16" i="96"/>
  <c r="Y16" i="96"/>
  <c r="K32" i="96" s="1"/>
  <c r="I17" i="96"/>
  <c r="L17" i="96"/>
  <c r="O17" i="96"/>
  <c r="Y17" i="96"/>
  <c r="K33" i="96" s="1"/>
  <c r="Z17" i="96"/>
  <c r="I46" i="96"/>
  <c r="J46" i="96"/>
  <c r="M47" i="96"/>
  <c r="L48" i="96"/>
  <c r="M48" i="96"/>
  <c r="P48" i="96"/>
  <c r="L49" i="96"/>
  <c r="M49" i="96"/>
  <c r="J49" i="96"/>
  <c r="P49" i="96"/>
  <c r="L50" i="96"/>
  <c r="J50" i="96"/>
  <c r="O50" i="96"/>
  <c r="M51" i="96"/>
  <c r="M52" i="96"/>
  <c r="L52" i="96"/>
  <c r="M53" i="96"/>
  <c r="L53" i="96"/>
  <c r="L54" i="96"/>
  <c r="J54" i="96"/>
  <c r="M55" i="96"/>
  <c r="L56" i="96"/>
  <c r="M56" i="96"/>
  <c r="J59" i="96"/>
  <c r="M59" i="96"/>
  <c r="P59" i="96"/>
  <c r="C142" i="96"/>
  <c r="N3" i="95"/>
  <c r="P6" i="95"/>
  <c r="H10" i="95"/>
  <c r="H9" i="95" s="1"/>
  <c r="I9" i="95" s="1"/>
  <c r="K10" i="95"/>
  <c r="H11" i="95"/>
  <c r="H57" i="95" s="1"/>
  <c r="K11" i="95"/>
  <c r="K57" i="95" s="1"/>
  <c r="N11" i="95"/>
  <c r="I12" i="95"/>
  <c r="M12" i="95"/>
  <c r="O12" i="95"/>
  <c r="X13" i="95"/>
  <c r="X16" i="95" s="1"/>
  <c r="H32" i="95" s="1"/>
  <c r="Y13" i="95"/>
  <c r="Z13" i="95"/>
  <c r="Z16" i="95" s="1"/>
  <c r="O14" i="95"/>
  <c r="I15" i="95"/>
  <c r="L15" i="95"/>
  <c r="O15" i="95"/>
  <c r="I16" i="95"/>
  <c r="L16" i="95"/>
  <c r="O16" i="95"/>
  <c r="I17" i="95"/>
  <c r="L17" i="95"/>
  <c r="O17" i="95"/>
  <c r="X17" i="95"/>
  <c r="H33" i="95" s="1"/>
  <c r="L46" i="95"/>
  <c r="J46" i="95"/>
  <c r="O47" i="95"/>
  <c r="J47" i="95"/>
  <c r="L47" i="95"/>
  <c r="M47" i="95"/>
  <c r="I48" i="95"/>
  <c r="M48" i="95"/>
  <c r="J48" i="95"/>
  <c r="O49" i="95"/>
  <c r="M49" i="95"/>
  <c r="J50" i="95"/>
  <c r="I51" i="95"/>
  <c r="J51" i="95"/>
  <c r="P51" i="95"/>
  <c r="L52" i="95"/>
  <c r="J52" i="95"/>
  <c r="M52" i="95"/>
  <c r="O53" i="95"/>
  <c r="M53" i="95"/>
  <c r="J54" i="95"/>
  <c r="J55" i="95"/>
  <c r="P55" i="95"/>
  <c r="I56" i="95"/>
  <c r="L56" i="95"/>
  <c r="O56" i="95"/>
  <c r="J59" i="95"/>
  <c r="M59" i="95"/>
  <c r="P59" i="95"/>
  <c r="C142" i="95"/>
  <c r="N3" i="94"/>
  <c r="P6" i="94"/>
  <c r="H10" i="94"/>
  <c r="H9" i="94" s="1"/>
  <c r="I9" i="94" s="1"/>
  <c r="K10" i="94"/>
  <c r="K9" i="94" s="1"/>
  <c r="L9" i="94" s="1"/>
  <c r="H11" i="94"/>
  <c r="H57" i="94" s="1"/>
  <c r="J57" i="94" s="1"/>
  <c r="K11" i="94"/>
  <c r="K57" i="94" s="1"/>
  <c r="N11" i="94"/>
  <c r="N57" i="94" s="1"/>
  <c r="I12" i="94"/>
  <c r="M12" i="94"/>
  <c r="O12" i="94"/>
  <c r="X13" i="94"/>
  <c r="X15" i="94" s="1"/>
  <c r="H31" i="94" s="1"/>
  <c r="Y13" i="94"/>
  <c r="Y16" i="94" s="1"/>
  <c r="Z13" i="94"/>
  <c r="Z14" i="94" s="1"/>
  <c r="I15" i="94"/>
  <c r="L15" i="94"/>
  <c r="O15" i="94"/>
  <c r="Z15" i="94"/>
  <c r="N31" i="94" s="1"/>
  <c r="I16" i="94"/>
  <c r="L16" i="94"/>
  <c r="O16" i="94"/>
  <c r="Z16" i="94"/>
  <c r="I17" i="94"/>
  <c r="L17" i="94"/>
  <c r="O17" i="94"/>
  <c r="Z17" i="94"/>
  <c r="M19" i="94"/>
  <c r="J19" i="94"/>
  <c r="K32" i="94"/>
  <c r="N33" i="94"/>
  <c r="I46" i="94"/>
  <c r="M46" i="94"/>
  <c r="O46" i="94"/>
  <c r="M47" i="94"/>
  <c r="I49" i="94"/>
  <c r="J49" i="94"/>
  <c r="M49" i="94"/>
  <c r="P49" i="94"/>
  <c r="O50" i="94"/>
  <c r="M50" i="94"/>
  <c r="I50" i="94"/>
  <c r="L50" i="94"/>
  <c r="M51" i="94"/>
  <c r="J53" i="94"/>
  <c r="L53" i="94"/>
  <c r="M53" i="94"/>
  <c r="O54" i="94"/>
  <c r="M54" i="94"/>
  <c r="L54" i="94"/>
  <c r="M55" i="94"/>
  <c r="J59" i="94"/>
  <c r="M59" i="94"/>
  <c r="P59" i="94"/>
  <c r="C142" i="94"/>
  <c r="N3" i="93"/>
  <c r="P6" i="93"/>
  <c r="H10" i="93"/>
  <c r="H9" i="93" s="1"/>
  <c r="I9" i="93" s="1"/>
  <c r="K10" i="93"/>
  <c r="L10" i="93" s="1"/>
  <c r="H11" i="93"/>
  <c r="H57" i="93" s="1"/>
  <c r="K11" i="93"/>
  <c r="K57" i="93" s="1"/>
  <c r="L57" i="93" s="1"/>
  <c r="N11" i="93"/>
  <c r="I12" i="93"/>
  <c r="M12" i="93"/>
  <c r="O12" i="93"/>
  <c r="X13" i="93"/>
  <c r="X16" i="93" s="1"/>
  <c r="H32" i="93" s="1"/>
  <c r="Y13" i="93"/>
  <c r="Y17" i="93" s="1"/>
  <c r="K33" i="93" s="1"/>
  <c r="Z13" i="93"/>
  <c r="Z14" i="93" s="1"/>
  <c r="O14" i="93"/>
  <c r="I15" i="93"/>
  <c r="L15" i="93"/>
  <c r="O15" i="93"/>
  <c r="I16" i="93"/>
  <c r="L16" i="93"/>
  <c r="O16" i="93"/>
  <c r="Y16" i="93"/>
  <c r="K32" i="93" s="1"/>
  <c r="I17" i="93"/>
  <c r="L17" i="93"/>
  <c r="O17" i="93"/>
  <c r="I46" i="93"/>
  <c r="M46" i="93"/>
  <c r="M47" i="93"/>
  <c r="J47" i="93"/>
  <c r="J48" i="93"/>
  <c r="M48" i="93"/>
  <c r="O49" i="93"/>
  <c r="J49" i="93"/>
  <c r="M50" i="93"/>
  <c r="J51" i="93"/>
  <c r="I52" i="93"/>
  <c r="J53" i="93"/>
  <c r="I54" i="93"/>
  <c r="M54" i="93"/>
  <c r="J55" i="93"/>
  <c r="J56" i="93"/>
  <c r="I56" i="93"/>
  <c r="L56" i="93"/>
  <c r="M56" i="93"/>
  <c r="O56" i="93"/>
  <c r="J59" i="93"/>
  <c r="M59" i="93"/>
  <c r="P59" i="93"/>
  <c r="C142" i="93"/>
  <c r="N3" i="92"/>
  <c r="P6" i="92"/>
  <c r="H10" i="92"/>
  <c r="H9" i="92" s="1"/>
  <c r="I9" i="92" s="1"/>
  <c r="K10" i="92"/>
  <c r="K9" i="92" s="1"/>
  <c r="L9" i="92" s="1"/>
  <c r="H11" i="92"/>
  <c r="H57" i="92" s="1"/>
  <c r="K11" i="92"/>
  <c r="N11" i="92"/>
  <c r="N57" i="92" s="1"/>
  <c r="I12" i="92"/>
  <c r="M12" i="92"/>
  <c r="O12" i="92"/>
  <c r="X13" i="92"/>
  <c r="X15" i="92" s="1"/>
  <c r="H31" i="92" s="1"/>
  <c r="Y13" i="92"/>
  <c r="Y16" i="92" s="1"/>
  <c r="K32" i="92" s="1"/>
  <c r="Z13" i="92"/>
  <c r="Z14" i="92"/>
  <c r="I15" i="92"/>
  <c r="L15" i="92"/>
  <c r="O15" i="92"/>
  <c r="Z15" i="92"/>
  <c r="I16" i="92"/>
  <c r="L16" i="92"/>
  <c r="O16" i="92"/>
  <c r="Z16" i="92"/>
  <c r="I17" i="92"/>
  <c r="L17" i="92"/>
  <c r="O17" i="92"/>
  <c r="Z17" i="92"/>
  <c r="M19" i="92"/>
  <c r="N33" i="92"/>
  <c r="J46" i="92"/>
  <c r="M46" i="92"/>
  <c r="O47" i="92"/>
  <c r="M47" i="92"/>
  <c r="L48" i="92"/>
  <c r="J48" i="92"/>
  <c r="I49" i="92"/>
  <c r="J49" i="92"/>
  <c r="O50" i="92"/>
  <c r="J50" i="92"/>
  <c r="M50" i="92"/>
  <c r="O51" i="92"/>
  <c r="M51" i="92"/>
  <c r="J52" i="92"/>
  <c r="M52" i="92"/>
  <c r="P52" i="92"/>
  <c r="M53" i="92"/>
  <c r="I53" i="92"/>
  <c r="L53" i="92"/>
  <c r="O53" i="92"/>
  <c r="J54" i="92"/>
  <c r="O55" i="92"/>
  <c r="M55" i="92"/>
  <c r="I56" i="92"/>
  <c r="J56" i="92"/>
  <c r="K57" i="92"/>
  <c r="L57" i="92" s="1"/>
  <c r="J59" i="92"/>
  <c r="M59" i="92"/>
  <c r="P59" i="92"/>
  <c r="C142" i="92"/>
  <c r="H9" i="87"/>
  <c r="K9" i="87"/>
  <c r="N9" i="87"/>
  <c r="I10" i="87"/>
  <c r="L10" i="87"/>
  <c r="O10" i="87"/>
  <c r="H11" i="87"/>
  <c r="K11" i="87"/>
  <c r="N11" i="87"/>
  <c r="I12" i="87"/>
  <c r="M12" i="87"/>
  <c r="O12" i="87"/>
  <c r="X12" i="87"/>
  <c r="X16" i="87" s="1"/>
  <c r="H31" i="87" s="1"/>
  <c r="Y12" i="87"/>
  <c r="Y13" i="87" s="1"/>
  <c r="K28" i="87" s="1"/>
  <c r="Z12" i="87"/>
  <c r="X13" i="87"/>
  <c r="H28" i="87" s="1"/>
  <c r="I15" i="87"/>
  <c r="L15" i="87"/>
  <c r="O15" i="87"/>
  <c r="I16" i="87"/>
  <c r="L16" i="87"/>
  <c r="O16" i="87"/>
  <c r="L45" i="87"/>
  <c r="J45" i="87"/>
  <c r="P45" i="87"/>
  <c r="M46" i="87"/>
  <c r="L46" i="87"/>
  <c r="I47" i="87"/>
  <c r="O47" i="87"/>
  <c r="I48" i="87"/>
  <c r="M48" i="87"/>
  <c r="J49" i="87"/>
  <c r="I50" i="87"/>
  <c r="L51" i="87"/>
  <c r="J51" i="87"/>
  <c r="I52" i="87"/>
  <c r="H53" i="87"/>
  <c r="K53" i="87"/>
  <c r="M53" i="87" s="1"/>
  <c r="N53" i="87"/>
  <c r="P53" i="87" s="1"/>
  <c r="P54" i="87"/>
  <c r="J54" i="87"/>
  <c r="I55" i="87"/>
  <c r="J55" i="87"/>
  <c r="I56" i="87"/>
  <c r="M56" i="87"/>
  <c r="J58" i="87"/>
  <c r="M58" i="87"/>
  <c r="P58" i="87"/>
  <c r="H74" i="87"/>
  <c r="K74" i="87"/>
  <c r="N74" i="87"/>
  <c r="C77" i="87"/>
  <c r="B132" i="87"/>
  <c r="B133" i="87" s="1"/>
  <c r="B134" i="87" s="1"/>
  <c r="B135" i="87" s="1"/>
  <c r="B136" i="87" s="1"/>
  <c r="B137" i="87" s="1"/>
  <c r="B138" i="87" s="1"/>
  <c r="B139" i="87" s="1"/>
  <c r="B140" i="87" s="1"/>
  <c r="B141" i="87" s="1"/>
  <c r="B142" i="87" s="1"/>
  <c r="B143" i="87" s="1"/>
  <c r="B144" i="87" s="1"/>
  <c r="B145" i="87" s="1"/>
  <c r="B146" i="87" s="1"/>
  <c r="B147" i="87" s="1"/>
  <c r="B148" i="87" s="1"/>
  <c r="B149" i="87" s="1"/>
  <c r="B150" i="87" s="1"/>
  <c r="B151" i="87" s="1"/>
  <c r="Y14" i="93" l="1"/>
  <c r="K30" i="93" s="1"/>
  <c r="X15" i="87"/>
  <c r="H30" i="87" s="1"/>
  <c r="N30" i="93"/>
  <c r="Z15" i="93"/>
  <c r="N31" i="93" s="1"/>
  <c r="Y15" i="93"/>
  <c r="K31" i="93" s="1"/>
  <c r="H9" i="96"/>
  <c r="I9" i="96" s="1"/>
  <c r="J7" i="96" s="1"/>
  <c r="I10" i="92"/>
  <c r="J7" i="92" s="1"/>
  <c r="I10" i="93"/>
  <c r="J7" i="93" s="1"/>
  <c r="I10" i="94"/>
  <c r="J7" i="94" s="1"/>
  <c r="Y15" i="87"/>
  <c r="K30" i="87" s="1"/>
  <c r="O20" i="95"/>
  <c r="O21" i="95"/>
  <c r="X17" i="93"/>
  <c r="H33" i="93" s="1"/>
  <c r="X14" i="93"/>
  <c r="H30" i="93" s="1"/>
  <c r="O20" i="93"/>
  <c r="O21" i="93"/>
  <c r="X17" i="94"/>
  <c r="H33" i="94" s="1"/>
  <c r="Z14" i="95"/>
  <c r="X16" i="92"/>
  <c r="H32" i="92" s="1"/>
  <c r="X15" i="93"/>
  <c r="H31" i="93" s="1"/>
  <c r="Z15" i="96"/>
  <c r="N31" i="96" s="1"/>
  <c r="Y15" i="94"/>
  <c r="K31" i="94" s="1"/>
  <c r="H71" i="94"/>
  <c r="J70" i="94" s="1"/>
  <c r="Z17" i="95"/>
  <c r="Y14" i="87"/>
  <c r="K29" i="87" s="1"/>
  <c r="X14" i="87"/>
  <c r="H29" i="87" s="1"/>
  <c r="N30" i="92"/>
  <c r="O21" i="92"/>
  <c r="O20" i="92"/>
  <c r="Z16" i="93"/>
  <c r="N32" i="93" s="1"/>
  <c r="Z15" i="95"/>
  <c r="N31" i="95" s="1"/>
  <c r="I10" i="95"/>
  <c r="J7" i="95" s="1"/>
  <c r="X17" i="92"/>
  <c r="H33" i="92" s="1"/>
  <c r="L10" i="92"/>
  <c r="M7" i="92" s="1"/>
  <c r="X16" i="94"/>
  <c r="H32" i="94" s="1"/>
  <c r="Z17" i="93"/>
  <c r="N33" i="93" s="1"/>
  <c r="Z16" i="96"/>
  <c r="N30" i="96"/>
  <c r="O20" i="96"/>
  <c r="O21" i="96"/>
  <c r="X14" i="94"/>
  <c r="H30" i="94" s="1"/>
  <c r="O20" i="94"/>
  <c r="P19" i="94" s="1"/>
  <c r="O21" i="94"/>
  <c r="J19" i="93"/>
  <c r="R20" i="93" s="1"/>
  <c r="L46" i="94"/>
  <c r="O46" i="96"/>
  <c r="O56" i="87"/>
  <c r="M55" i="87"/>
  <c r="J53" i="87"/>
  <c r="L50" i="87"/>
  <c r="P49" i="92"/>
  <c r="L47" i="92"/>
  <c r="O52" i="93"/>
  <c r="L49" i="93"/>
  <c r="P47" i="93"/>
  <c r="M55" i="95"/>
  <c r="L51" i="95"/>
  <c r="I49" i="95"/>
  <c r="P48" i="95"/>
  <c r="P56" i="96"/>
  <c r="O54" i="96"/>
  <c r="L46" i="96"/>
  <c r="M19" i="96"/>
  <c r="L49" i="95"/>
  <c r="L55" i="87"/>
  <c r="M54" i="87"/>
  <c r="L52" i="87"/>
  <c r="L55" i="92"/>
  <c r="M54" i="92"/>
  <c r="L49" i="92"/>
  <c r="P56" i="93"/>
  <c r="L54" i="93"/>
  <c r="L52" i="93"/>
  <c r="M51" i="93"/>
  <c r="M19" i="93"/>
  <c r="I54" i="96"/>
  <c r="P53" i="96"/>
  <c r="I51" i="87"/>
  <c r="I50" i="92"/>
  <c r="L53" i="95"/>
  <c r="M19" i="95"/>
  <c r="L14" i="95"/>
  <c r="M13" i="95" s="1"/>
  <c r="I50" i="96"/>
  <c r="P56" i="87"/>
  <c r="O50" i="87"/>
  <c r="P49" i="87"/>
  <c r="L47" i="87"/>
  <c r="M49" i="92"/>
  <c r="J57" i="92"/>
  <c r="P51" i="93"/>
  <c r="M49" i="93"/>
  <c r="L14" i="93"/>
  <c r="M13" i="93" s="1"/>
  <c r="P57" i="94"/>
  <c r="L49" i="94"/>
  <c r="M51" i="95"/>
  <c r="L48" i="95"/>
  <c r="J53" i="96"/>
  <c r="P52" i="96"/>
  <c r="O51" i="87"/>
  <c r="M45" i="87"/>
  <c r="M42" i="87" s="1"/>
  <c r="L50" i="92"/>
  <c r="O14" i="92"/>
  <c r="P13" i="92" s="1"/>
  <c r="P55" i="93"/>
  <c r="M53" i="93"/>
  <c r="M46" i="95"/>
  <c r="L56" i="87"/>
  <c r="I48" i="93"/>
  <c r="O48" i="93"/>
  <c r="J56" i="95"/>
  <c r="P56" i="95"/>
  <c r="J46" i="87"/>
  <c r="J42" i="87" s="1"/>
  <c r="P46" i="87"/>
  <c r="P42" i="87" s="1"/>
  <c r="J52" i="93"/>
  <c r="P52" i="93"/>
  <c r="L14" i="94"/>
  <c r="M13" i="94" s="1"/>
  <c r="O14" i="94"/>
  <c r="P13" i="94" s="1"/>
  <c r="M56" i="95"/>
  <c r="I55" i="96"/>
  <c r="L55" i="96"/>
  <c r="I47" i="96"/>
  <c r="L47" i="96"/>
  <c r="O54" i="92"/>
  <c r="I54" i="92"/>
  <c r="L54" i="92"/>
  <c r="O46" i="92"/>
  <c r="I46" i="92"/>
  <c r="L46" i="92"/>
  <c r="P13" i="93"/>
  <c r="I49" i="96"/>
  <c r="O49" i="96"/>
  <c r="P55" i="87"/>
  <c r="M51" i="87"/>
  <c r="M49" i="87"/>
  <c r="O55" i="87"/>
  <c r="I46" i="87"/>
  <c r="O46" i="87"/>
  <c r="J53" i="92"/>
  <c r="P53" i="92"/>
  <c r="M52" i="93"/>
  <c r="I50" i="93"/>
  <c r="L50" i="93"/>
  <c r="L48" i="93"/>
  <c r="I56" i="94"/>
  <c r="O56" i="94"/>
  <c r="I55" i="95"/>
  <c r="L55" i="95"/>
  <c r="I53" i="96"/>
  <c r="O53" i="96"/>
  <c r="O53" i="93"/>
  <c r="I53" i="93"/>
  <c r="L53" i="93"/>
  <c r="I57" i="94"/>
  <c r="O57" i="94"/>
  <c r="I53" i="94"/>
  <c r="O53" i="94"/>
  <c r="I52" i="95"/>
  <c r="O52" i="95"/>
  <c r="I46" i="95"/>
  <c r="O46" i="95"/>
  <c r="I51" i="96"/>
  <c r="L51" i="96"/>
  <c r="P57" i="92"/>
  <c r="L51" i="92"/>
  <c r="O49" i="92"/>
  <c r="P48" i="92"/>
  <c r="L14" i="92"/>
  <c r="M13" i="92" s="1"/>
  <c r="M55" i="93"/>
  <c r="I49" i="93"/>
  <c r="P48" i="93"/>
  <c r="L46" i="93"/>
  <c r="I54" i="94"/>
  <c r="P53" i="94"/>
  <c r="O49" i="94"/>
  <c r="I53" i="95"/>
  <c r="P52" i="95"/>
  <c r="M50" i="95"/>
  <c r="O48" i="95"/>
  <c r="P47" i="95"/>
  <c r="I47" i="95"/>
  <c r="P46" i="95"/>
  <c r="J56" i="96"/>
  <c r="J52" i="96"/>
  <c r="J48" i="96"/>
  <c r="M57" i="92"/>
  <c r="M56" i="92"/>
  <c r="M48" i="92"/>
  <c r="J19" i="92"/>
  <c r="M57" i="93"/>
  <c r="I57" i="95"/>
  <c r="M54" i="95"/>
  <c r="J19" i="95"/>
  <c r="P13" i="95"/>
  <c r="L57" i="96"/>
  <c r="P19" i="93"/>
  <c r="M54" i="96"/>
  <c r="M50" i="96"/>
  <c r="M46" i="96"/>
  <c r="L14" i="96"/>
  <c r="M13" i="96" s="1"/>
  <c r="I52" i="92"/>
  <c r="O52" i="92"/>
  <c r="O57" i="92"/>
  <c r="O56" i="92"/>
  <c r="N31" i="92"/>
  <c r="Y15" i="92"/>
  <c r="K31" i="92" s="1"/>
  <c r="J57" i="93"/>
  <c r="I57" i="93"/>
  <c r="M56" i="94"/>
  <c r="J56" i="94"/>
  <c r="P56" i="94"/>
  <c r="M52" i="94"/>
  <c r="J52" i="94"/>
  <c r="M48" i="94"/>
  <c r="J48" i="94"/>
  <c r="I54" i="95"/>
  <c r="O54" i="95"/>
  <c r="L54" i="95"/>
  <c r="I47" i="94"/>
  <c r="L47" i="94"/>
  <c r="O47" i="94"/>
  <c r="L57" i="95"/>
  <c r="M57" i="95"/>
  <c r="I57" i="92"/>
  <c r="L56" i="92"/>
  <c r="I55" i="92"/>
  <c r="P54" i="92"/>
  <c r="L52" i="92"/>
  <c r="I51" i="92"/>
  <c r="P50" i="92"/>
  <c r="I47" i="92"/>
  <c r="P46" i="92"/>
  <c r="Y14" i="92"/>
  <c r="K30" i="92" s="1"/>
  <c r="I55" i="93"/>
  <c r="O55" i="93"/>
  <c r="J54" i="93"/>
  <c r="P54" i="93"/>
  <c r="I51" i="93"/>
  <c r="O51" i="93"/>
  <c r="J50" i="93"/>
  <c r="P50" i="93"/>
  <c r="I47" i="93"/>
  <c r="O47" i="93"/>
  <c r="J46" i="93"/>
  <c r="P46" i="93"/>
  <c r="M57" i="94"/>
  <c r="N10" i="95"/>
  <c r="O10" i="95" s="1"/>
  <c r="N32" i="95"/>
  <c r="N30" i="95"/>
  <c r="N33" i="95"/>
  <c r="I48" i="92"/>
  <c r="O48" i="92"/>
  <c r="N10" i="92"/>
  <c r="O10" i="92" s="1"/>
  <c r="N32" i="92"/>
  <c r="I55" i="94"/>
  <c r="L55" i="94"/>
  <c r="O55" i="94"/>
  <c r="I51" i="94"/>
  <c r="L51" i="94"/>
  <c r="O51" i="94"/>
  <c r="N33" i="96"/>
  <c r="N10" i="96"/>
  <c r="O10" i="96" s="1"/>
  <c r="N32" i="96"/>
  <c r="P56" i="92"/>
  <c r="J55" i="92"/>
  <c r="P55" i="92"/>
  <c r="J51" i="92"/>
  <c r="P51" i="92"/>
  <c r="J47" i="92"/>
  <c r="P47" i="92"/>
  <c r="Y17" i="92"/>
  <c r="K33" i="92" s="1"/>
  <c r="X14" i="92"/>
  <c r="H30" i="92" s="1"/>
  <c r="N9" i="92"/>
  <c r="O9" i="92" s="1"/>
  <c r="L55" i="93"/>
  <c r="L51" i="93"/>
  <c r="L47" i="93"/>
  <c r="J54" i="94"/>
  <c r="P54" i="94"/>
  <c r="P52" i="94"/>
  <c r="J50" i="94"/>
  <c r="P50" i="94"/>
  <c r="P48" i="94"/>
  <c r="J46" i="94"/>
  <c r="P46" i="94"/>
  <c r="I50" i="95"/>
  <c r="O50" i="95"/>
  <c r="L50" i="95"/>
  <c r="O54" i="93"/>
  <c r="P53" i="93"/>
  <c r="O50" i="93"/>
  <c r="P49" i="93"/>
  <c r="O46" i="93"/>
  <c r="L57" i="94"/>
  <c r="J55" i="94"/>
  <c r="P55" i="94"/>
  <c r="J51" i="94"/>
  <c r="P51" i="94"/>
  <c r="J47" i="94"/>
  <c r="P47" i="94"/>
  <c r="Y17" i="94"/>
  <c r="K33" i="94" s="1"/>
  <c r="K9" i="95"/>
  <c r="L9" i="95" s="1"/>
  <c r="L10" i="95"/>
  <c r="H71" i="95"/>
  <c r="J70" i="95" s="1"/>
  <c r="N10" i="93"/>
  <c r="K9" i="93"/>
  <c r="L9" i="93" s="1"/>
  <c r="I52" i="94"/>
  <c r="O52" i="94"/>
  <c r="I48" i="94"/>
  <c r="O48" i="94"/>
  <c r="N10" i="94"/>
  <c r="O10" i="94" s="1"/>
  <c r="N32" i="94"/>
  <c r="Y16" i="95"/>
  <c r="K32" i="95" s="1"/>
  <c r="Y15" i="95"/>
  <c r="K31" i="95" s="1"/>
  <c r="Y14" i="95"/>
  <c r="K30" i="95" s="1"/>
  <c r="L10" i="96"/>
  <c r="K9" i="96"/>
  <c r="L9" i="96" s="1"/>
  <c r="N57" i="93"/>
  <c r="L56" i="94"/>
  <c r="L52" i="94"/>
  <c r="L48" i="94"/>
  <c r="N30" i="94"/>
  <c r="Y14" i="94"/>
  <c r="K30" i="94" s="1"/>
  <c r="L10" i="94"/>
  <c r="J53" i="95"/>
  <c r="P53" i="95"/>
  <c r="J49" i="95"/>
  <c r="P49" i="95"/>
  <c r="Y17" i="95"/>
  <c r="K33" i="95" s="1"/>
  <c r="N57" i="95"/>
  <c r="J57" i="95"/>
  <c r="O55" i="95"/>
  <c r="P54" i="95"/>
  <c r="O51" i="95"/>
  <c r="P50" i="95"/>
  <c r="X15" i="95"/>
  <c r="H31" i="95" s="1"/>
  <c r="X14" i="95"/>
  <c r="H30" i="95" s="1"/>
  <c r="I56" i="96"/>
  <c r="O56" i="96"/>
  <c r="J55" i="96"/>
  <c r="P55" i="96"/>
  <c r="I52" i="96"/>
  <c r="O52" i="96"/>
  <c r="J51" i="96"/>
  <c r="P51" i="96"/>
  <c r="I48" i="96"/>
  <c r="O48" i="96"/>
  <c r="J47" i="96"/>
  <c r="P47" i="96"/>
  <c r="J19" i="96"/>
  <c r="H57" i="96"/>
  <c r="P13" i="96"/>
  <c r="X16" i="96"/>
  <c r="H32" i="96" s="1"/>
  <c r="X15" i="96"/>
  <c r="H31" i="96" s="1"/>
  <c r="X14" i="96"/>
  <c r="H30" i="96" s="1"/>
  <c r="N57" i="96"/>
  <c r="O55" i="96"/>
  <c r="P54" i="96"/>
  <c r="O51" i="96"/>
  <c r="P50" i="96"/>
  <c r="O47" i="96"/>
  <c r="P46" i="96"/>
  <c r="I54" i="87"/>
  <c r="O54" i="87"/>
  <c r="O53" i="87"/>
  <c r="I53" i="87"/>
  <c r="L53" i="87"/>
  <c r="J52" i="87"/>
  <c r="P52" i="87"/>
  <c r="Z14" i="87"/>
  <c r="N29" i="87" s="1"/>
  <c r="Z13" i="87"/>
  <c r="N28" i="87" s="1"/>
  <c r="Z16" i="87"/>
  <c r="N31" i="87" s="1"/>
  <c r="M52" i="87"/>
  <c r="I49" i="87"/>
  <c r="O49" i="87"/>
  <c r="L54" i="87"/>
  <c r="L49" i="87"/>
  <c r="J48" i="87"/>
  <c r="P48" i="87"/>
  <c r="I45" i="87"/>
  <c r="O45" i="87"/>
  <c r="Z15" i="87"/>
  <c r="N30" i="87" s="1"/>
  <c r="Y16" i="87"/>
  <c r="K31" i="87" s="1"/>
  <c r="L48" i="87"/>
  <c r="O52" i="87"/>
  <c r="P51" i="87"/>
  <c r="O48" i="87"/>
  <c r="H71" i="93" l="1"/>
  <c r="J70" i="93" s="1"/>
  <c r="L57" i="87"/>
  <c r="L60" i="87" s="1"/>
  <c r="L61" i="87" s="1"/>
  <c r="H71" i="96"/>
  <c r="J70" i="96" s="1"/>
  <c r="K71" i="92"/>
  <c r="M70" i="92" s="1"/>
  <c r="H71" i="92"/>
  <c r="J70" i="92" s="1"/>
  <c r="I58" i="93"/>
  <c r="I61" i="93" s="1"/>
  <c r="I62" i="93" s="1"/>
  <c r="S20" i="93"/>
  <c r="S20" i="95"/>
  <c r="R20" i="94"/>
  <c r="R20" i="92"/>
  <c r="S20" i="92"/>
  <c r="S20" i="96"/>
  <c r="R20" i="95"/>
  <c r="S20" i="94"/>
  <c r="M43" i="95"/>
  <c r="I57" i="87"/>
  <c r="I60" i="87" s="1"/>
  <c r="I61" i="87" s="1"/>
  <c r="R20" i="96"/>
  <c r="M43" i="92"/>
  <c r="M43" i="93"/>
  <c r="J43" i="94"/>
  <c r="L58" i="96"/>
  <c r="L61" i="96" s="1"/>
  <c r="L62" i="96" s="1"/>
  <c r="L58" i="95"/>
  <c r="L61" i="95" s="1"/>
  <c r="L62" i="95" s="1"/>
  <c r="J43" i="93"/>
  <c r="M43" i="96"/>
  <c r="I58" i="95"/>
  <c r="I61" i="95" s="1"/>
  <c r="I62" i="95" s="1"/>
  <c r="I58" i="94"/>
  <c r="I61" i="94" s="1"/>
  <c r="I62" i="94" s="1"/>
  <c r="P19" i="96"/>
  <c r="M43" i="94"/>
  <c r="O57" i="87"/>
  <c r="O60" i="87" s="1"/>
  <c r="O61" i="87" s="1"/>
  <c r="J43" i="95"/>
  <c r="L58" i="93"/>
  <c r="L61" i="93" s="1"/>
  <c r="L62" i="93" s="1"/>
  <c r="L58" i="92"/>
  <c r="L61" i="92" s="1"/>
  <c r="L62" i="92" s="1"/>
  <c r="T20" i="93"/>
  <c r="J43" i="92"/>
  <c r="O58" i="92"/>
  <c r="O61" i="92" s="1"/>
  <c r="O62" i="92" s="1"/>
  <c r="M7" i="93"/>
  <c r="K71" i="93"/>
  <c r="M70" i="93" s="1"/>
  <c r="M7" i="95"/>
  <c r="K71" i="95"/>
  <c r="M70" i="95" s="1"/>
  <c r="P43" i="94"/>
  <c r="P7" i="92"/>
  <c r="N71" i="92"/>
  <c r="P70" i="92" s="1"/>
  <c r="K71" i="94"/>
  <c r="M70" i="94" s="1"/>
  <c r="I58" i="92"/>
  <c r="I61" i="92" s="1"/>
  <c r="I62" i="92" s="1"/>
  <c r="L58" i="94"/>
  <c r="L61" i="94" s="1"/>
  <c r="L62" i="94" s="1"/>
  <c r="M7" i="94"/>
  <c r="N9" i="93"/>
  <c r="O10" i="93"/>
  <c r="P57" i="95"/>
  <c r="P43" i="95" s="1"/>
  <c r="O57" i="95"/>
  <c r="O58" i="95" s="1"/>
  <c r="O61" i="95" s="1"/>
  <c r="O62" i="95" s="1"/>
  <c r="N9" i="95"/>
  <c r="P19" i="92"/>
  <c r="J57" i="96"/>
  <c r="J43" i="96" s="1"/>
  <c r="I57" i="96"/>
  <c r="I58" i="96" s="1"/>
  <c r="I61" i="96" s="1"/>
  <c r="I62" i="96" s="1"/>
  <c r="O57" i="93"/>
  <c r="O58" i="93" s="1"/>
  <c r="O61" i="93" s="1"/>
  <c r="O62" i="93" s="1"/>
  <c r="P57" i="93"/>
  <c r="P43" i="93" s="1"/>
  <c r="T20" i="94"/>
  <c r="O57" i="96"/>
  <c r="O58" i="96" s="1"/>
  <c r="O61" i="96" s="1"/>
  <c r="O62" i="96" s="1"/>
  <c r="P57" i="96"/>
  <c r="P43" i="96" s="1"/>
  <c r="M7" i="96"/>
  <c r="K71" i="96"/>
  <c r="M70" i="96" s="1"/>
  <c r="N9" i="96"/>
  <c r="P19" i="95"/>
  <c r="P43" i="92"/>
  <c r="O58" i="94"/>
  <c r="O61" i="94" s="1"/>
  <c r="O62" i="94" s="1"/>
  <c r="N9" i="94"/>
  <c r="T20" i="92" l="1"/>
  <c r="T20" i="95"/>
  <c r="T20" i="96"/>
  <c r="O9" i="93"/>
  <c r="O9" i="94"/>
  <c r="O9" i="95"/>
  <c r="O9" i="96"/>
  <c r="P7" i="96" l="1"/>
  <c r="N71" i="96"/>
  <c r="P70" i="96" s="1"/>
  <c r="P7" i="94"/>
  <c r="N71" i="94"/>
  <c r="P70" i="94" s="1"/>
  <c r="P7" i="93"/>
  <c r="N71" i="93"/>
  <c r="P70" i="93" s="1"/>
  <c r="P7" i="95"/>
  <c r="N71" i="95"/>
  <c r="P70" i="95" s="1"/>
  <c r="A28" i="27" l="1"/>
  <c r="A29" i="27"/>
  <c r="A30" i="27"/>
  <c r="A31" i="27"/>
  <c r="A32" i="27"/>
  <c r="A33" i="27"/>
  <c r="A34" i="27"/>
  <c r="A35" i="27"/>
  <c r="A36" i="27"/>
  <c r="A27" i="27"/>
  <c r="A22" i="27"/>
  <c r="A23" i="27"/>
  <c r="A24" i="27"/>
  <c r="A25" i="27"/>
  <c r="A26" i="27"/>
  <c r="A13" i="27"/>
  <c r="A14" i="27"/>
  <c r="A15" i="27"/>
  <c r="A16" i="27"/>
  <c r="A17" i="27"/>
  <c r="A18" i="27"/>
  <c r="A19" i="27"/>
  <c r="A20" i="27"/>
  <c r="A21" i="27"/>
  <c r="A7" i="27"/>
  <c r="A8" i="27"/>
  <c r="A9" i="27"/>
  <c r="A10" i="27"/>
  <c r="A11" i="27"/>
  <c r="A12" i="27"/>
  <c r="A6" i="27"/>
  <c r="B5" i="27"/>
  <c r="I6" i="27"/>
  <c r="K6" i="27" s="1"/>
  <c r="I7" i="27"/>
  <c r="I8" i="27"/>
  <c r="I9" i="27"/>
  <c r="I10" i="27"/>
  <c r="I11" i="27"/>
  <c r="I13" i="27"/>
  <c r="I14" i="27"/>
  <c r="I15" i="27"/>
  <c r="I16" i="27"/>
  <c r="I17" i="27"/>
  <c r="I18" i="27"/>
  <c r="I19" i="27"/>
  <c r="I20" i="27"/>
  <c r="I21" i="27"/>
  <c r="I22" i="27"/>
  <c r="I23" i="27"/>
  <c r="I24" i="27"/>
  <c r="I25" i="27"/>
  <c r="I26" i="27"/>
  <c r="I27" i="27"/>
  <c r="I28" i="27"/>
  <c r="I29" i="27"/>
  <c r="I30" i="27"/>
  <c r="I31" i="27"/>
  <c r="I32" i="27"/>
  <c r="I33" i="27"/>
  <c r="I34" i="27"/>
  <c r="I35" i="27"/>
  <c r="I36" i="27"/>
  <c r="I37" i="27"/>
  <c r="I38" i="27"/>
  <c r="I39" i="27"/>
  <c r="I40" i="27"/>
  <c r="I41" i="27"/>
  <c r="I42" i="27"/>
  <c r="I43" i="27"/>
  <c r="I44" i="27"/>
  <c r="I45" i="27"/>
  <c r="I46" i="27"/>
  <c r="I47" i="27"/>
  <c r="I48" i="27"/>
  <c r="I49" i="27"/>
  <c r="I50" i="27"/>
  <c r="I51" i="27"/>
  <c r="I52" i="27"/>
  <c r="I53" i="27"/>
  <c r="I54" i="27"/>
  <c r="I55" i="27"/>
  <c r="I56" i="27"/>
  <c r="I57" i="27"/>
  <c r="I58" i="27"/>
  <c r="I59" i="27"/>
  <c r="I60" i="27"/>
  <c r="I61" i="27"/>
  <c r="I62" i="27"/>
  <c r="I63" i="27"/>
  <c r="I64" i="27"/>
  <c r="I65" i="27"/>
  <c r="I66" i="27"/>
  <c r="I67" i="27"/>
  <c r="I68" i="27"/>
  <c r="I69" i="27"/>
  <c r="I70" i="27"/>
  <c r="I71" i="27"/>
  <c r="I72" i="27"/>
  <c r="I73" i="27"/>
  <c r="I74" i="27"/>
  <c r="I75" i="27"/>
  <c r="I76" i="27"/>
  <c r="I77" i="27"/>
  <c r="I78" i="27"/>
  <c r="I79" i="27"/>
  <c r="I80" i="27"/>
  <c r="I81" i="27"/>
  <c r="I82" i="27"/>
  <c r="I83" i="27"/>
  <c r="I84" i="27"/>
  <c r="I85" i="27"/>
  <c r="I86" i="27"/>
  <c r="M6" i="14" l="1"/>
  <c r="M8" i="14"/>
  <c r="W8" i="14"/>
  <c r="C99" i="14" s="1"/>
  <c r="M9" i="14"/>
  <c r="F10" i="14"/>
  <c r="M10" i="14"/>
  <c r="W10" i="14"/>
  <c r="F11" i="14"/>
  <c r="T12" i="14"/>
  <c r="T54" i="14" s="1"/>
  <c r="T23" i="14"/>
  <c r="P25" i="14"/>
  <c r="T26" i="14"/>
  <c r="W26" i="14"/>
  <c r="Q27" i="14"/>
  <c r="T27" i="14"/>
  <c r="T28" i="14"/>
  <c r="B31" i="14"/>
  <c r="E31" i="14"/>
  <c r="B32" i="14"/>
  <c r="E32" i="14"/>
  <c r="B33" i="14"/>
  <c r="E33" i="14"/>
  <c r="B34" i="14"/>
  <c r="E34" i="14"/>
  <c r="M34" i="14"/>
  <c r="B35" i="14"/>
  <c r="E35" i="14"/>
  <c r="B36" i="14"/>
  <c r="E36" i="14"/>
  <c r="B37" i="14"/>
  <c r="E37" i="14"/>
  <c r="B39" i="14"/>
  <c r="E39" i="14"/>
  <c r="B40" i="14"/>
  <c r="E40" i="14"/>
  <c r="B41" i="14"/>
  <c r="E41" i="14"/>
  <c r="J41" i="14"/>
  <c r="Q42" i="14"/>
  <c r="T42" i="14"/>
  <c r="T45" i="14"/>
  <c r="Q46" i="14"/>
  <c r="T46" i="14"/>
  <c r="T49" i="14"/>
  <c r="T50" i="14"/>
  <c r="Q51" i="14"/>
  <c r="T51" i="14"/>
  <c r="T52" i="14"/>
  <c r="P53" i="14"/>
  <c r="T53" i="14" s="1"/>
  <c r="D57" i="14"/>
  <c r="B64" i="14"/>
  <c r="E64" i="14"/>
  <c r="B65" i="14"/>
  <c r="E65" i="14"/>
  <c r="B66" i="14"/>
  <c r="E66" i="14"/>
  <c r="B67" i="14"/>
  <c r="E67" i="14"/>
  <c r="B68" i="14"/>
  <c r="E68" i="14"/>
  <c r="B69" i="14"/>
  <c r="E69" i="14"/>
  <c r="B71" i="14"/>
  <c r="E71" i="14"/>
  <c r="B72" i="14"/>
  <c r="E72" i="14"/>
  <c r="B73" i="14"/>
  <c r="E73" i="14"/>
  <c r="D77" i="14"/>
  <c r="O77" i="14"/>
  <c r="D82" i="14"/>
  <c r="O82" i="14"/>
  <c r="B86" i="14"/>
  <c r="B87" i="14"/>
  <c r="B88" i="14"/>
  <c r="D92" i="14"/>
  <c r="O92" i="14"/>
  <c r="T97" i="14"/>
  <c r="K99" i="14"/>
  <c r="D109" i="14" s="1"/>
  <c r="K100" i="14"/>
  <c r="C106" i="14"/>
  <c r="C107" i="14"/>
  <c r="C108" i="14"/>
  <c r="C109" i="14"/>
  <c r="I5" i="13"/>
  <c r="P5" i="13"/>
  <c r="I6" i="13"/>
  <c r="P6" i="13"/>
  <c r="I7" i="13"/>
  <c r="I8" i="13"/>
  <c r="P8" i="13"/>
  <c r="I9" i="13"/>
  <c r="P9" i="13"/>
  <c r="I10" i="13"/>
  <c r="P10" i="13"/>
  <c r="I11" i="13"/>
  <c r="P11" i="13"/>
  <c r="I12" i="13"/>
  <c r="P12" i="13"/>
  <c r="I13" i="13"/>
  <c r="I14" i="13"/>
  <c r="P14" i="13"/>
  <c r="I15" i="13"/>
  <c r="P15" i="13"/>
  <c r="I16" i="13"/>
  <c r="P16" i="13"/>
  <c r="I17" i="13"/>
  <c r="P17" i="13"/>
  <c r="I18" i="13"/>
  <c r="P18" i="13"/>
  <c r="I19" i="13"/>
  <c r="P19" i="13"/>
  <c r="I20" i="13"/>
  <c r="P20" i="13"/>
  <c r="I21" i="13"/>
  <c r="P21" i="13"/>
  <c r="I22" i="13"/>
  <c r="P22" i="13"/>
  <c r="I23" i="13"/>
  <c r="P23" i="13"/>
  <c r="I24" i="13"/>
  <c r="P24" i="13"/>
  <c r="I25" i="13"/>
  <c r="P25" i="13"/>
  <c r="I26" i="13"/>
  <c r="P26" i="13"/>
  <c r="D27" i="13"/>
  <c r="E27" i="13"/>
  <c r="F27" i="13"/>
  <c r="G27" i="13"/>
  <c r="H27" i="13"/>
  <c r="P27" i="13"/>
  <c r="I28" i="13"/>
  <c r="P28" i="13"/>
  <c r="I29" i="13"/>
  <c r="P29" i="13"/>
  <c r="I30" i="13"/>
  <c r="I31" i="13"/>
  <c r="P31" i="13"/>
  <c r="I32" i="13"/>
  <c r="P32" i="13"/>
  <c r="I33" i="13"/>
  <c r="P33" i="13"/>
  <c r="I34" i="13"/>
  <c r="P34" i="13"/>
  <c r="I35" i="13"/>
  <c r="P35" i="13"/>
  <c r="I36" i="13"/>
  <c r="P36" i="13"/>
  <c r="I37" i="13"/>
  <c r="P37" i="13"/>
  <c r="I38" i="13"/>
  <c r="P38" i="13"/>
  <c r="I39" i="13"/>
  <c r="P39" i="13"/>
  <c r="I97" i="13"/>
  <c r="O7" i="13" s="1"/>
  <c r="P7" i="13" s="1"/>
  <c r="I101" i="13"/>
  <c r="O13" i="13" s="1"/>
  <c r="P13" i="13" s="1"/>
  <c r="I104" i="13"/>
  <c r="I109" i="13"/>
  <c r="O30" i="13" s="1"/>
  <c r="P30" i="13" s="1"/>
  <c r="H5" i="12"/>
  <c r="N5" i="12"/>
  <c r="H6" i="12"/>
  <c r="N6" i="12"/>
  <c r="H7" i="12"/>
  <c r="H8" i="12"/>
  <c r="N8" i="12"/>
  <c r="H9" i="12"/>
  <c r="N9" i="12"/>
  <c r="H10" i="12"/>
  <c r="N10" i="12"/>
  <c r="H11" i="12"/>
  <c r="N11" i="12"/>
  <c r="H12" i="12"/>
  <c r="N12" i="12"/>
  <c r="H13" i="12"/>
  <c r="H14" i="12"/>
  <c r="N14" i="12"/>
  <c r="H15" i="12"/>
  <c r="N15" i="12"/>
  <c r="H16" i="12"/>
  <c r="N16" i="12"/>
  <c r="H17" i="12"/>
  <c r="N17" i="12"/>
  <c r="H18" i="12"/>
  <c r="N18" i="12"/>
  <c r="H19" i="12"/>
  <c r="N19" i="12"/>
  <c r="H20" i="12"/>
  <c r="N20" i="12"/>
  <c r="H21" i="12"/>
  <c r="N21" i="12"/>
  <c r="H22" i="12"/>
  <c r="N22" i="12"/>
  <c r="H23" i="12"/>
  <c r="N23" i="12"/>
  <c r="H24" i="12"/>
  <c r="N24" i="12"/>
  <c r="H25" i="12"/>
  <c r="N25" i="12"/>
  <c r="H26" i="12"/>
  <c r="N26" i="12"/>
  <c r="H27" i="12"/>
  <c r="N27" i="12"/>
  <c r="H28" i="12"/>
  <c r="N28" i="12"/>
  <c r="H29" i="12"/>
  <c r="N29" i="12"/>
  <c r="H30" i="12"/>
  <c r="H31" i="12"/>
  <c r="N31" i="12"/>
  <c r="H32" i="12"/>
  <c r="N32" i="12"/>
  <c r="H33" i="12"/>
  <c r="N33" i="12"/>
  <c r="H34" i="12"/>
  <c r="N34" i="12"/>
  <c r="H35" i="12"/>
  <c r="N35" i="12"/>
  <c r="H36" i="12"/>
  <c r="N36" i="12"/>
  <c r="H37" i="12"/>
  <c r="N37" i="12"/>
  <c r="I38" i="12"/>
  <c r="P38" i="12"/>
  <c r="I39" i="12"/>
  <c r="P39" i="12"/>
  <c r="I97" i="12"/>
  <c r="M7" i="12" s="1"/>
  <c r="N7" i="12" s="1"/>
  <c r="I101" i="12"/>
  <c r="M13" i="12" s="1"/>
  <c r="N13" i="12" s="1"/>
  <c r="I109" i="12"/>
  <c r="M30" i="12" s="1"/>
  <c r="N30" i="12" s="1"/>
  <c r="G5" i="11"/>
  <c r="L5" i="11"/>
  <c r="G6" i="11"/>
  <c r="L6" i="11"/>
  <c r="G7" i="11"/>
  <c r="G8" i="11"/>
  <c r="L8" i="11"/>
  <c r="G9" i="11"/>
  <c r="L9" i="11"/>
  <c r="G10" i="11"/>
  <c r="L10" i="11"/>
  <c r="G11" i="11"/>
  <c r="L11" i="11"/>
  <c r="G12" i="11"/>
  <c r="L12" i="11"/>
  <c r="G13" i="11"/>
  <c r="G14" i="11"/>
  <c r="L14" i="11"/>
  <c r="G15" i="11"/>
  <c r="L15" i="11"/>
  <c r="G16" i="11"/>
  <c r="L16" i="11"/>
  <c r="G17" i="11"/>
  <c r="L17" i="11"/>
  <c r="G18" i="11"/>
  <c r="L18" i="11"/>
  <c r="G19" i="11"/>
  <c r="L19" i="11"/>
  <c r="G20" i="11"/>
  <c r="L20" i="11"/>
  <c r="G21" i="11"/>
  <c r="L21" i="11"/>
  <c r="G22" i="11"/>
  <c r="L22" i="11"/>
  <c r="G23" i="11"/>
  <c r="L23" i="11"/>
  <c r="G24" i="11"/>
  <c r="L24" i="11"/>
  <c r="G25" i="11"/>
  <c r="L25" i="11"/>
  <c r="G26" i="11"/>
  <c r="L26" i="11"/>
  <c r="G27" i="11"/>
  <c r="L27" i="11"/>
  <c r="G28" i="11"/>
  <c r="L28" i="11"/>
  <c r="G29" i="11"/>
  <c r="L29" i="11"/>
  <c r="G30" i="11"/>
  <c r="G31" i="11"/>
  <c r="L31" i="11"/>
  <c r="G32" i="11"/>
  <c r="L32" i="11"/>
  <c r="G33" i="11"/>
  <c r="L33" i="11"/>
  <c r="G34" i="11"/>
  <c r="L34" i="11"/>
  <c r="G35" i="11"/>
  <c r="L35" i="11"/>
  <c r="G36" i="11"/>
  <c r="L36" i="11"/>
  <c r="G37" i="11"/>
  <c r="L37" i="11"/>
  <c r="I38" i="11"/>
  <c r="P38" i="11"/>
  <c r="I39" i="11"/>
  <c r="P39" i="11"/>
  <c r="I97" i="11"/>
  <c r="K7" i="11" s="1"/>
  <c r="L7" i="11" s="1"/>
  <c r="I101" i="11"/>
  <c r="K13" i="11" s="1"/>
  <c r="L13" i="11" s="1"/>
  <c r="I109" i="11"/>
  <c r="K30" i="11" s="1"/>
  <c r="L30" i="11" s="1"/>
  <c r="F5" i="10"/>
  <c r="J5" i="10"/>
  <c r="F6" i="10"/>
  <c r="J6" i="10"/>
  <c r="F7" i="10"/>
  <c r="F8" i="10"/>
  <c r="J8" i="10"/>
  <c r="F9" i="10"/>
  <c r="J9" i="10"/>
  <c r="F10" i="10"/>
  <c r="J10" i="10"/>
  <c r="F11" i="10"/>
  <c r="J11" i="10"/>
  <c r="F12" i="10"/>
  <c r="J12" i="10"/>
  <c r="F13" i="10"/>
  <c r="F14" i="10"/>
  <c r="J14" i="10"/>
  <c r="F15" i="10"/>
  <c r="J15" i="10"/>
  <c r="F16" i="10"/>
  <c r="J16" i="10"/>
  <c r="F17" i="10"/>
  <c r="J17" i="10"/>
  <c r="F18" i="10"/>
  <c r="J18" i="10"/>
  <c r="F19" i="10"/>
  <c r="J19" i="10"/>
  <c r="F20" i="10"/>
  <c r="J20" i="10"/>
  <c r="F21" i="10"/>
  <c r="J21" i="10"/>
  <c r="F22" i="10"/>
  <c r="J22" i="10"/>
  <c r="F23" i="10"/>
  <c r="J23" i="10"/>
  <c r="F24" i="10"/>
  <c r="J24" i="10"/>
  <c r="F25" i="10"/>
  <c r="J25" i="10"/>
  <c r="F26" i="10"/>
  <c r="J26" i="10"/>
  <c r="F27" i="10"/>
  <c r="J27" i="10"/>
  <c r="F28" i="10"/>
  <c r="J28" i="10"/>
  <c r="F29" i="10"/>
  <c r="J29" i="10"/>
  <c r="F30" i="10"/>
  <c r="F31" i="10"/>
  <c r="J31" i="10"/>
  <c r="F32" i="10"/>
  <c r="J32" i="10"/>
  <c r="F33" i="10"/>
  <c r="J33" i="10"/>
  <c r="F34" i="10"/>
  <c r="J34" i="10"/>
  <c r="F35" i="10"/>
  <c r="J35" i="10"/>
  <c r="F36" i="10"/>
  <c r="J36" i="10"/>
  <c r="F37" i="10"/>
  <c r="J37" i="10"/>
  <c r="I38" i="10"/>
  <c r="J38" i="10" s="1"/>
  <c r="P38" i="10"/>
  <c r="I39" i="10"/>
  <c r="J39" i="10" s="1"/>
  <c r="P39" i="10"/>
  <c r="I97" i="10"/>
  <c r="I7" i="10" s="1"/>
  <c r="J7" i="10" s="1"/>
  <c r="I101" i="10"/>
  <c r="I13" i="10" s="1"/>
  <c r="J13" i="10" s="1"/>
  <c r="I109" i="10"/>
  <c r="I30" i="10" s="1"/>
  <c r="J30" i="10" s="1"/>
  <c r="B89" i="14" l="1"/>
  <c r="I27" i="13"/>
  <c r="R24" i="13"/>
  <c r="S13" i="13"/>
  <c r="S30" i="13"/>
  <c r="S24" i="13"/>
  <c r="R13" i="13"/>
  <c r="D107" i="14"/>
  <c r="D108" i="14"/>
  <c r="S7" i="13"/>
  <c r="D106" i="14"/>
  <c r="T25" i="14"/>
  <c r="B44" i="14"/>
  <c r="R30" i="13"/>
  <c r="I106" i="14"/>
  <c r="B74" i="14"/>
  <c r="R7" i="13"/>
  <c r="W9" i="14"/>
  <c r="I109" i="14"/>
  <c r="I108" i="14"/>
  <c r="I107" i="14"/>
  <c r="C100" i="14" l="1"/>
  <c r="X10" i="14"/>
  <c r="B91" i="14"/>
  <c r="D13" i="14" l="1"/>
  <c r="P79" i="14" l="1"/>
  <c r="M86" i="14"/>
  <c r="M87" i="14"/>
  <c r="J86" i="14"/>
  <c r="P84" i="14" l="1"/>
  <c r="T84" i="14" s="1"/>
  <c r="T79" i="14"/>
  <c r="N3" i="89" l="1"/>
  <c r="P4" i="89"/>
  <c r="N30" i="89"/>
  <c r="I10" i="89"/>
  <c r="H11" i="89"/>
  <c r="K11" i="89"/>
  <c r="N11" i="89"/>
  <c r="I12" i="89"/>
  <c r="M12" i="89"/>
  <c r="O12" i="89"/>
  <c r="X12" i="89"/>
  <c r="Y12" i="89"/>
  <c r="Z12" i="89"/>
  <c r="L46" i="89"/>
  <c r="M46" i="89"/>
  <c r="M48" i="89"/>
  <c r="I49" i="89"/>
  <c r="M49" i="89"/>
  <c r="I50" i="89"/>
  <c r="M50" i="89"/>
  <c r="L52" i="89"/>
  <c r="M52" i="89"/>
  <c r="I53" i="89"/>
  <c r="J53" i="89"/>
  <c r="I54" i="89"/>
  <c r="M54" i="89"/>
  <c r="N3" i="91"/>
  <c r="P4" i="91"/>
  <c r="H9" i="91"/>
  <c r="DR6" i="29" s="1"/>
  <c r="K9" i="91"/>
  <c r="EO6" i="29" s="1"/>
  <c r="N9" i="91"/>
  <c r="FL6" i="29" s="1"/>
  <c r="I10" i="91"/>
  <c r="L10" i="91"/>
  <c r="O10" i="91"/>
  <c r="H11" i="91"/>
  <c r="K11" i="91"/>
  <c r="N11" i="91"/>
  <c r="M12" i="91"/>
  <c r="X12" i="91"/>
  <c r="Y12" i="91"/>
  <c r="Z12" i="91"/>
  <c r="L46" i="91"/>
  <c r="I47" i="91"/>
  <c r="O48" i="91"/>
  <c r="L49" i="91"/>
  <c r="M51" i="91"/>
  <c r="L52" i="91"/>
  <c r="L53" i="91"/>
  <c r="P54" i="91"/>
  <c r="R68" i="91"/>
  <c r="S68" i="91"/>
  <c r="T68" i="91"/>
  <c r="N3" i="90"/>
  <c r="P4" i="90"/>
  <c r="H9" i="90"/>
  <c r="DS6" i="29" s="1"/>
  <c r="K9" i="90"/>
  <c r="EP6" i="29" s="1"/>
  <c r="N9" i="90"/>
  <c r="FM6" i="29" s="1"/>
  <c r="I10" i="90"/>
  <c r="L10" i="90"/>
  <c r="O10" i="90"/>
  <c r="H11" i="90"/>
  <c r="K11" i="90"/>
  <c r="N11" i="90"/>
  <c r="I12" i="90"/>
  <c r="M12" i="90"/>
  <c r="O12" i="90"/>
  <c r="X12" i="90"/>
  <c r="Y12" i="90"/>
  <c r="Z12" i="90"/>
  <c r="O46" i="90"/>
  <c r="I48" i="90"/>
  <c r="O49" i="90"/>
  <c r="L51" i="90"/>
  <c r="M51" i="90"/>
  <c r="I52" i="90"/>
  <c r="P52" i="90"/>
  <c r="I53" i="90"/>
  <c r="M54" i="90"/>
  <c r="R68" i="90"/>
  <c r="S68" i="90"/>
  <c r="M67" i="90" s="1"/>
  <c r="EP18" i="29" s="1"/>
  <c r="T68" i="90"/>
  <c r="P4" i="86"/>
  <c r="H10" i="86"/>
  <c r="H9" i="86" s="1"/>
  <c r="DP6" i="29" s="1"/>
  <c r="K10" i="86"/>
  <c r="K9" i="86" s="1"/>
  <c r="EM6" i="29" s="1"/>
  <c r="N10" i="86"/>
  <c r="N9" i="86" s="1"/>
  <c r="FJ6" i="29" s="1"/>
  <c r="H11" i="86"/>
  <c r="K11" i="86"/>
  <c r="N11" i="86"/>
  <c r="I12" i="86"/>
  <c r="M12" i="86"/>
  <c r="O12" i="86"/>
  <c r="X12" i="86"/>
  <c r="Y12" i="86"/>
  <c r="Z12" i="86"/>
  <c r="O48" i="86"/>
  <c r="O49" i="86"/>
  <c r="L50" i="86"/>
  <c r="O52" i="86"/>
  <c r="L56" i="86"/>
  <c r="R68" i="86"/>
  <c r="S68" i="86"/>
  <c r="T68" i="86"/>
  <c r="P67" i="86" s="1"/>
  <c r="FJ18" i="29" s="1"/>
  <c r="P4" i="85"/>
  <c r="H9" i="85"/>
  <c r="DN6" i="29" s="1"/>
  <c r="K9" i="85"/>
  <c r="EK6" i="29" s="1"/>
  <c r="N9" i="85"/>
  <c r="FH6" i="29" s="1"/>
  <c r="I10" i="85"/>
  <c r="L10" i="85"/>
  <c r="O10" i="85"/>
  <c r="H11" i="85"/>
  <c r="K11" i="85"/>
  <c r="N11" i="85"/>
  <c r="I12" i="85"/>
  <c r="M12" i="85"/>
  <c r="O12" i="85"/>
  <c r="X12" i="85"/>
  <c r="Y12" i="85"/>
  <c r="Z12" i="85"/>
  <c r="I46" i="85"/>
  <c r="O47" i="85"/>
  <c r="L50" i="85"/>
  <c r="L51" i="85"/>
  <c r="I53" i="85"/>
  <c r="L54" i="85"/>
  <c r="L56" i="85"/>
  <c r="P4" i="88"/>
  <c r="H9" i="88"/>
  <c r="DO6" i="29" s="1"/>
  <c r="K9" i="88"/>
  <c r="EL6" i="29" s="1"/>
  <c r="N9" i="88"/>
  <c r="FI6" i="29" s="1"/>
  <c r="I10" i="88"/>
  <c r="L10" i="88"/>
  <c r="O10" i="88"/>
  <c r="H11" i="88"/>
  <c r="K11" i="88"/>
  <c r="N11" i="88"/>
  <c r="I12" i="88"/>
  <c r="M12" i="88"/>
  <c r="O12" i="88"/>
  <c r="X12" i="88"/>
  <c r="Y12" i="88"/>
  <c r="Z12" i="88"/>
  <c r="I46" i="88"/>
  <c r="L47" i="88"/>
  <c r="I50" i="88"/>
  <c r="I51" i="88"/>
  <c r="O52" i="88"/>
  <c r="L54" i="88"/>
  <c r="I56" i="88"/>
  <c r="J56" i="88"/>
  <c r="P4" i="84"/>
  <c r="K9" i="84"/>
  <c r="EJ6" i="29" s="1"/>
  <c r="I10" i="84"/>
  <c r="L10" i="84"/>
  <c r="O10" i="84"/>
  <c r="H11" i="84"/>
  <c r="H57" i="84" s="1"/>
  <c r="I57" i="84" s="1"/>
  <c r="K11" i="84"/>
  <c r="K57" i="84" s="1"/>
  <c r="L57" i="84" s="1"/>
  <c r="N11" i="84"/>
  <c r="N57" i="84" s="1"/>
  <c r="O57" i="84" s="1"/>
  <c r="I12" i="84"/>
  <c r="M12" i="84"/>
  <c r="O12" i="84"/>
  <c r="X12" i="84"/>
  <c r="Y12" i="84"/>
  <c r="Z12" i="84"/>
  <c r="L46" i="84"/>
  <c r="M46" i="84"/>
  <c r="L47" i="84"/>
  <c r="L48" i="84"/>
  <c r="L49" i="84"/>
  <c r="O53" i="84"/>
  <c r="I54" i="84"/>
  <c r="O56" i="84"/>
  <c r="P56" i="84"/>
  <c r="P4" i="83"/>
  <c r="J6" i="83"/>
  <c r="P6" i="83"/>
  <c r="K9" i="83"/>
  <c r="EI6" i="29" s="1"/>
  <c r="I10" i="83"/>
  <c r="L10" i="83"/>
  <c r="O10" i="83"/>
  <c r="H11" i="83"/>
  <c r="H57" i="83" s="1"/>
  <c r="I57" i="83" s="1"/>
  <c r="K11" i="83"/>
  <c r="K57" i="83" s="1"/>
  <c r="L57" i="83" s="1"/>
  <c r="N11" i="83"/>
  <c r="N57" i="83" s="1"/>
  <c r="O57" i="83" s="1"/>
  <c r="I12" i="83"/>
  <c r="M12" i="83"/>
  <c r="O12" i="83"/>
  <c r="X12" i="83"/>
  <c r="Y12" i="83"/>
  <c r="Z12" i="83"/>
  <c r="L47" i="83"/>
  <c r="L48" i="83"/>
  <c r="I49" i="83"/>
  <c r="L52" i="83"/>
  <c r="L53" i="83"/>
  <c r="L54" i="83"/>
  <c r="J56" i="83"/>
  <c r="P4" i="81"/>
  <c r="J6" i="81"/>
  <c r="P6" i="81"/>
  <c r="K9" i="81"/>
  <c r="EH6" i="29" s="1"/>
  <c r="I10" i="81"/>
  <c r="L10" i="81"/>
  <c r="O10" i="81"/>
  <c r="H11" i="81"/>
  <c r="H57" i="81" s="1"/>
  <c r="I57" i="81" s="1"/>
  <c r="K11" i="81"/>
  <c r="K57" i="81" s="1"/>
  <c r="L57" i="81" s="1"/>
  <c r="N11" i="81"/>
  <c r="N57" i="81" s="1"/>
  <c r="O57" i="81" s="1"/>
  <c r="I12" i="81"/>
  <c r="M12" i="81"/>
  <c r="O12" i="81"/>
  <c r="X12" i="81"/>
  <c r="Y12" i="81"/>
  <c r="Z12" i="81"/>
  <c r="I46" i="81"/>
  <c r="L47" i="81"/>
  <c r="L48" i="81"/>
  <c r="O51" i="81"/>
  <c r="O53" i="81"/>
  <c r="L56" i="81"/>
  <c r="J56" i="81"/>
  <c r="P4" i="80"/>
  <c r="J6" i="80"/>
  <c r="DJ5" i="29" s="1"/>
  <c r="P6" i="80"/>
  <c r="K9" i="80"/>
  <c r="EG6" i="29" s="1"/>
  <c r="I10" i="80"/>
  <c r="L10" i="80"/>
  <c r="O10" i="80"/>
  <c r="H11" i="80"/>
  <c r="H57" i="80" s="1"/>
  <c r="I57" i="80" s="1"/>
  <c r="K11" i="80"/>
  <c r="K57" i="80" s="1"/>
  <c r="L57" i="80" s="1"/>
  <c r="N11" i="80"/>
  <c r="N57" i="80" s="1"/>
  <c r="O57" i="80" s="1"/>
  <c r="I12" i="80"/>
  <c r="M12" i="80"/>
  <c r="O12" i="80"/>
  <c r="S59" i="80"/>
  <c r="T59" i="80"/>
  <c r="U59" i="80"/>
  <c r="V59" i="80"/>
  <c r="N3" i="79"/>
  <c r="P4" i="79"/>
  <c r="K10" i="79"/>
  <c r="K9" i="79" s="1"/>
  <c r="EF6" i="29" s="1"/>
  <c r="L57" i="79"/>
  <c r="O57" i="79"/>
  <c r="I12" i="79"/>
  <c r="M12" i="79"/>
  <c r="O12" i="79"/>
  <c r="K31" i="79"/>
  <c r="N3" i="77"/>
  <c r="P4" i="77"/>
  <c r="J6" i="77"/>
  <c r="H11" i="77" s="1"/>
  <c r="P6" i="77"/>
  <c r="N11" i="77" s="1"/>
  <c r="K9" i="77"/>
  <c r="ED6" i="29" s="1"/>
  <c r="I10" i="77"/>
  <c r="L10" i="77"/>
  <c r="O10" i="77"/>
  <c r="I12" i="77"/>
  <c r="M12" i="77"/>
  <c r="O12" i="77"/>
  <c r="K32" i="77"/>
  <c r="N3" i="76"/>
  <c r="P4" i="76"/>
  <c r="J6" i="76"/>
  <c r="H11" i="76" s="1"/>
  <c r="P6" i="76"/>
  <c r="K9" i="76"/>
  <c r="EC6" i="29" s="1"/>
  <c r="I10" i="76"/>
  <c r="L10" i="76"/>
  <c r="O10" i="76"/>
  <c r="M12" i="76"/>
  <c r="K33" i="76"/>
  <c r="N3" i="75"/>
  <c r="P4" i="75"/>
  <c r="J6" i="75"/>
  <c r="P6" i="75"/>
  <c r="N11" i="75" s="1"/>
  <c r="N57" i="75" s="1"/>
  <c r="O57" i="75" s="1"/>
  <c r="EB6" i="29"/>
  <c r="L10" i="75"/>
  <c r="K11" i="75"/>
  <c r="K57" i="75" s="1"/>
  <c r="L57" i="75" s="1"/>
  <c r="Q11" i="75"/>
  <c r="I12" i="75"/>
  <c r="M12" i="75"/>
  <c r="O12" i="75"/>
  <c r="K31" i="75"/>
  <c r="N3" i="74"/>
  <c r="P4" i="74"/>
  <c r="J6" i="74"/>
  <c r="H11" i="74" s="1"/>
  <c r="O53" i="74"/>
  <c r="K9" i="74"/>
  <c r="EA6" i="29" s="1"/>
  <c r="I10" i="74"/>
  <c r="L10" i="74"/>
  <c r="O10" i="74"/>
  <c r="I12" i="74"/>
  <c r="O12" i="74"/>
  <c r="N3" i="72"/>
  <c r="P4" i="72"/>
  <c r="J6" i="72"/>
  <c r="H11" i="72" s="1"/>
  <c r="K9" i="72"/>
  <c r="DZ6" i="29" s="1"/>
  <c r="N9" i="72"/>
  <c r="EW6" i="29" s="1"/>
  <c r="I10" i="72"/>
  <c r="L10" i="72"/>
  <c r="O10" i="72"/>
  <c r="I12" i="72"/>
  <c r="M12" i="72"/>
  <c r="O12" i="72"/>
  <c r="N3" i="73"/>
  <c r="P4" i="73"/>
  <c r="I52" i="73"/>
  <c r="K9" i="73"/>
  <c r="DY6" i="29" s="1"/>
  <c r="N9" i="73"/>
  <c r="EV6" i="29" s="1"/>
  <c r="I10" i="73"/>
  <c r="L10" i="73"/>
  <c r="O10" i="73"/>
  <c r="L57" i="73"/>
  <c r="O57" i="73"/>
  <c r="U11" i="73"/>
  <c r="I12" i="73"/>
  <c r="M12" i="73"/>
  <c r="O12" i="73"/>
  <c r="K31" i="73"/>
  <c r="N33" i="73"/>
  <c r="C210" i="73"/>
  <c r="C211" i="73"/>
  <c r="N3" i="65"/>
  <c r="P4" i="65"/>
  <c r="H9" i="65"/>
  <c r="DA6" i="29" s="1"/>
  <c r="K9" i="65"/>
  <c r="DX6" i="29" s="1"/>
  <c r="N9" i="65"/>
  <c r="EU6" i="29" s="1"/>
  <c r="I10" i="65"/>
  <c r="L10" i="65"/>
  <c r="O10" i="65"/>
  <c r="H11" i="65"/>
  <c r="K11" i="65"/>
  <c r="N11" i="65"/>
  <c r="I12" i="65"/>
  <c r="M12" i="65"/>
  <c r="O12" i="65"/>
  <c r="P4" i="71"/>
  <c r="H9" i="71"/>
  <c r="CZ6" i="29" s="1"/>
  <c r="K9" i="71"/>
  <c r="DW6" i="29" s="1"/>
  <c r="N9" i="71"/>
  <c r="ET6" i="29" s="1"/>
  <c r="I10" i="71"/>
  <c r="L10" i="71"/>
  <c r="O10" i="71"/>
  <c r="H11" i="71"/>
  <c r="K11" i="71"/>
  <c r="N11" i="71"/>
  <c r="I12" i="71"/>
  <c r="M12" i="71"/>
  <c r="O12" i="71"/>
  <c r="L46" i="71"/>
  <c r="O47" i="71"/>
  <c r="O48" i="71"/>
  <c r="L50" i="71"/>
  <c r="I51" i="71"/>
  <c r="O52" i="71"/>
  <c r="M52" i="71"/>
  <c r="L54" i="71"/>
  <c r="M54" i="71"/>
  <c r="I56" i="71"/>
  <c r="J56" i="71"/>
  <c r="S68" i="71"/>
  <c r="T68" i="71"/>
  <c r="N3" i="66"/>
  <c r="P4" i="66"/>
  <c r="H9" i="66"/>
  <c r="CY6" i="29" s="1"/>
  <c r="K9" i="66"/>
  <c r="DV6" i="29" s="1"/>
  <c r="N9" i="66"/>
  <c r="ES6" i="29" s="1"/>
  <c r="I10" i="66"/>
  <c r="L10" i="66"/>
  <c r="O10" i="66"/>
  <c r="H11" i="66"/>
  <c r="K11" i="66"/>
  <c r="N11" i="66"/>
  <c r="I12" i="66"/>
  <c r="M12" i="66"/>
  <c r="O12" i="66"/>
  <c r="X12" i="66"/>
  <c r="Y12" i="66"/>
  <c r="Z12" i="66"/>
  <c r="P4" i="64"/>
  <c r="H9" i="64"/>
  <c r="CX6" i="29" s="1"/>
  <c r="K9" i="64"/>
  <c r="DU6" i="29" s="1"/>
  <c r="N9" i="64"/>
  <c r="ER6" i="29" s="1"/>
  <c r="I10" i="64"/>
  <c r="L10" i="64"/>
  <c r="O10" i="64"/>
  <c r="H11" i="64"/>
  <c r="K11" i="64"/>
  <c r="N11" i="64"/>
  <c r="I12" i="64"/>
  <c r="M12" i="64"/>
  <c r="O12" i="64"/>
  <c r="X12" i="64"/>
  <c r="X16" i="64" s="1"/>
  <c r="H33" i="64" s="1"/>
  <c r="Y12" i="64"/>
  <c r="Z12" i="64"/>
  <c r="Z16" i="64" s="1"/>
  <c r="K25" i="64"/>
  <c r="N25" i="64"/>
  <c r="K26" i="64"/>
  <c r="N26" i="64"/>
  <c r="L46" i="64"/>
  <c r="L47" i="64"/>
  <c r="I48" i="64"/>
  <c r="I49" i="64"/>
  <c r="I52" i="64"/>
  <c r="J52" i="64"/>
  <c r="L53" i="64"/>
  <c r="L54" i="64"/>
  <c r="M54" i="64"/>
  <c r="L56" i="64"/>
  <c r="J56" i="64"/>
  <c r="I57" i="64"/>
  <c r="J57" i="64"/>
  <c r="B64" i="25"/>
  <c r="B65" i="25"/>
  <c r="B66" i="25"/>
  <c r="B67" i="25"/>
  <c r="B68" i="25"/>
  <c r="B69" i="25"/>
  <c r="B70" i="25"/>
  <c r="B71" i="25"/>
  <c r="B72" i="25"/>
  <c r="B73" i="25"/>
  <c r="B74" i="25"/>
  <c r="B75" i="25"/>
  <c r="B76" i="25"/>
  <c r="B77" i="25"/>
  <c r="B78" i="25"/>
  <c r="B8" i="23"/>
  <c r="B9" i="23" s="1"/>
  <c r="B10" i="23" s="1"/>
  <c r="B11" i="23" s="1"/>
  <c r="B12" i="23" s="1"/>
  <c r="B13" i="23" s="1"/>
  <c r="B14" i="23" s="1"/>
  <c r="B15" i="23" s="1"/>
  <c r="B16" i="23" s="1"/>
  <c r="K23" i="21"/>
  <c r="M23" i="21"/>
  <c r="K24" i="21"/>
  <c r="M24" i="21"/>
  <c r="K30" i="21"/>
  <c r="M30" i="21"/>
  <c r="K35" i="21"/>
  <c r="K36" i="21"/>
  <c r="M36" i="21"/>
  <c r="A6" i="16"/>
  <c r="O8" i="16"/>
  <c r="O54" i="16"/>
  <c r="O14" i="16"/>
  <c r="G1" i="7"/>
  <c r="I1" i="7"/>
  <c r="J1" i="7"/>
  <c r="Q1" i="7"/>
  <c r="R1" i="7"/>
  <c r="S1" i="7"/>
  <c r="D5" i="7" s="1"/>
  <c r="T1" i="7"/>
  <c r="U1" i="7"/>
  <c r="S4" i="7"/>
  <c r="A2" i="7"/>
  <c r="U10" i="7"/>
  <c r="U26" i="7"/>
  <c r="U44" i="7"/>
  <c r="U45" i="7"/>
  <c r="U46" i="7"/>
  <c r="U47" i="7"/>
  <c r="U48" i="7"/>
  <c r="N3" i="61"/>
  <c r="P4" i="61"/>
  <c r="H9" i="61"/>
  <c r="AH6" i="29" s="1"/>
  <c r="D43" i="3" s="1"/>
  <c r="K9" i="61"/>
  <c r="N9" i="61"/>
  <c r="CT6" i="29" s="1"/>
  <c r="J43" i="3" s="1"/>
  <c r="I10" i="61"/>
  <c r="L10" i="61"/>
  <c r="O10" i="61"/>
  <c r="H11" i="61"/>
  <c r="K11" i="61"/>
  <c r="K57" i="61" s="1"/>
  <c r="N11" i="61"/>
  <c r="I12" i="61"/>
  <c r="M12" i="61"/>
  <c r="O12" i="61"/>
  <c r="X13" i="61"/>
  <c r="Y13" i="61"/>
  <c r="Z13" i="61"/>
  <c r="O15" i="61"/>
  <c r="O16" i="61"/>
  <c r="O17" i="61"/>
  <c r="N25" i="61"/>
  <c r="E30" i="61"/>
  <c r="F30" i="61"/>
  <c r="Z14" i="61" s="1"/>
  <c r="E31" i="61"/>
  <c r="F31" i="61"/>
  <c r="Y15" i="61" s="1"/>
  <c r="E32" i="61"/>
  <c r="F32" i="61"/>
  <c r="Y16" i="61" s="1"/>
  <c r="E33" i="61"/>
  <c r="F33" i="61"/>
  <c r="F46" i="61"/>
  <c r="L46" i="61" s="1"/>
  <c r="F47" i="61"/>
  <c r="L47" i="61" s="1"/>
  <c r="F48" i="61"/>
  <c r="L48" i="61" s="1"/>
  <c r="F49" i="61"/>
  <c r="L49" i="61" s="1"/>
  <c r="E50" i="61"/>
  <c r="F50" i="61"/>
  <c r="G50" i="61"/>
  <c r="E51" i="61"/>
  <c r="F51" i="61"/>
  <c r="L51" i="61" s="1"/>
  <c r="G51" i="61"/>
  <c r="E52" i="61"/>
  <c r="F52" i="61"/>
  <c r="L52" i="61" s="1"/>
  <c r="G52" i="61"/>
  <c r="P52" i="61" s="1"/>
  <c r="E53" i="61"/>
  <c r="F53" i="61"/>
  <c r="L53" i="61" s="1"/>
  <c r="G53" i="61"/>
  <c r="M53" i="61" s="1"/>
  <c r="E54" i="61"/>
  <c r="F54" i="61"/>
  <c r="G54" i="61"/>
  <c r="E55" i="61"/>
  <c r="F55" i="61"/>
  <c r="G55" i="61"/>
  <c r="E56" i="61"/>
  <c r="F56" i="61"/>
  <c r="I56" i="61" s="1"/>
  <c r="G56" i="61"/>
  <c r="J56" i="61" s="1"/>
  <c r="E57" i="61"/>
  <c r="F57" i="61"/>
  <c r="G57" i="61"/>
  <c r="F62" i="61"/>
  <c r="F63" i="61"/>
  <c r="F64" i="61"/>
  <c r="J65" i="61"/>
  <c r="AH17" i="29" s="1"/>
  <c r="M65" i="61"/>
  <c r="BN17" i="29" s="1"/>
  <c r="P65" i="61"/>
  <c r="CT17" i="29" s="1"/>
  <c r="N3" i="60"/>
  <c r="P4" i="60"/>
  <c r="H9" i="60"/>
  <c r="AG6" i="29" s="1"/>
  <c r="K9" i="60"/>
  <c r="N9" i="60"/>
  <c r="CS6" i="29" s="1"/>
  <c r="I10" i="60"/>
  <c r="L10" i="60"/>
  <c r="O10" i="60"/>
  <c r="H11" i="60"/>
  <c r="H57" i="60" s="1"/>
  <c r="K11" i="60"/>
  <c r="K57" i="60" s="1"/>
  <c r="N11" i="60"/>
  <c r="I12" i="60"/>
  <c r="M12" i="60"/>
  <c r="O12" i="60"/>
  <c r="X13" i="60"/>
  <c r="Y13" i="60"/>
  <c r="Z13" i="60"/>
  <c r="O15" i="60"/>
  <c r="O16" i="60"/>
  <c r="O17" i="60"/>
  <c r="K26" i="60"/>
  <c r="N26" i="60"/>
  <c r="E30" i="60"/>
  <c r="F30" i="60"/>
  <c r="E31" i="60"/>
  <c r="F31" i="60"/>
  <c r="E32" i="60"/>
  <c r="F32" i="60"/>
  <c r="Z16" i="60" s="1"/>
  <c r="E33" i="60"/>
  <c r="F33" i="60"/>
  <c r="F46" i="60"/>
  <c r="F47" i="60"/>
  <c r="F48" i="60"/>
  <c r="L48" i="60" s="1"/>
  <c r="E49" i="60"/>
  <c r="F49" i="60"/>
  <c r="L49" i="60" s="1"/>
  <c r="G49" i="60"/>
  <c r="J49" i="60" s="1"/>
  <c r="E50" i="60"/>
  <c r="F50" i="60"/>
  <c r="I50" i="60" s="1"/>
  <c r="G50" i="60"/>
  <c r="M50" i="60" s="1"/>
  <c r="E51" i="60"/>
  <c r="F51" i="60"/>
  <c r="L51" i="60" s="1"/>
  <c r="G51" i="60"/>
  <c r="M51" i="60" s="1"/>
  <c r="E52" i="60"/>
  <c r="F52" i="60"/>
  <c r="G52" i="60"/>
  <c r="P52" i="60" s="1"/>
  <c r="E53" i="60"/>
  <c r="F53" i="60"/>
  <c r="L53" i="60" s="1"/>
  <c r="G53" i="60"/>
  <c r="M53" i="60" s="1"/>
  <c r="E54" i="60"/>
  <c r="F54" i="60"/>
  <c r="G54" i="60"/>
  <c r="M54" i="60" s="1"/>
  <c r="E55" i="60"/>
  <c r="F55" i="60"/>
  <c r="L55" i="60" s="1"/>
  <c r="G55" i="60"/>
  <c r="E56" i="60"/>
  <c r="F56" i="60"/>
  <c r="G56" i="60"/>
  <c r="E57" i="60"/>
  <c r="F57" i="60"/>
  <c r="G57" i="60"/>
  <c r="F62" i="60"/>
  <c r="F63" i="60"/>
  <c r="F64" i="60"/>
  <c r="J65" i="60"/>
  <c r="AG17" i="29" s="1"/>
  <c r="M65" i="60"/>
  <c r="BM17" i="29" s="1"/>
  <c r="P65" i="60"/>
  <c r="CS17" i="29" s="1"/>
  <c r="N3" i="56"/>
  <c r="P4" i="56"/>
  <c r="H9" i="56"/>
  <c r="AE6" i="29" s="1"/>
  <c r="D41" i="3" s="1"/>
  <c r="K9" i="56"/>
  <c r="N9" i="56"/>
  <c r="CQ6" i="29" s="1"/>
  <c r="J41" i="3" s="1"/>
  <c r="I10" i="56"/>
  <c r="L10" i="56"/>
  <c r="O10" i="56"/>
  <c r="H11" i="56"/>
  <c r="K11" i="56"/>
  <c r="N11" i="56"/>
  <c r="N57" i="56" s="1"/>
  <c r="I12" i="56"/>
  <c r="M12" i="56"/>
  <c r="O12" i="56"/>
  <c r="X13" i="56"/>
  <c r="Y13" i="56"/>
  <c r="Z13" i="56"/>
  <c r="O15" i="56"/>
  <c r="O16" i="56"/>
  <c r="O17" i="56"/>
  <c r="K25" i="56"/>
  <c r="N25" i="56"/>
  <c r="K26" i="56"/>
  <c r="N26" i="56"/>
  <c r="E30" i="56"/>
  <c r="F30" i="56"/>
  <c r="E31" i="56"/>
  <c r="F31" i="56"/>
  <c r="E32" i="56"/>
  <c r="F32" i="56"/>
  <c r="E33" i="56"/>
  <c r="F33" i="56"/>
  <c r="F46" i="56"/>
  <c r="O46" i="56" s="1"/>
  <c r="F47" i="56"/>
  <c r="F48" i="56"/>
  <c r="F49" i="56"/>
  <c r="O49" i="56" s="1"/>
  <c r="E50" i="56"/>
  <c r="F51" i="56"/>
  <c r="F52" i="56"/>
  <c r="L52" i="56" s="1"/>
  <c r="F53" i="56"/>
  <c r="E54" i="56"/>
  <c r="F54" i="56"/>
  <c r="O54" i="56" s="1"/>
  <c r="G54" i="56"/>
  <c r="M54" i="56" s="1"/>
  <c r="E55" i="56"/>
  <c r="F55" i="56"/>
  <c r="G55" i="56"/>
  <c r="J55" i="56" s="1"/>
  <c r="E56" i="56"/>
  <c r="F56" i="56"/>
  <c r="I56" i="56" s="1"/>
  <c r="G56" i="56"/>
  <c r="E57" i="56"/>
  <c r="F57" i="56"/>
  <c r="G57" i="56"/>
  <c r="K57" i="56"/>
  <c r="F62" i="56"/>
  <c r="F63" i="56"/>
  <c r="F64" i="56"/>
  <c r="J65" i="56"/>
  <c r="AE17" i="29" s="1"/>
  <c r="M65" i="56"/>
  <c r="BK17" i="29" s="1"/>
  <c r="P65" i="56"/>
  <c r="CQ17" i="29" s="1"/>
  <c r="N3" i="55"/>
  <c r="P4" i="55"/>
  <c r="H9" i="55"/>
  <c r="AD6" i="29" s="1"/>
  <c r="K9" i="55"/>
  <c r="BJ6" i="29" s="1"/>
  <c r="G40" i="3" s="1"/>
  <c r="N9" i="55"/>
  <c r="CP6" i="29" s="1"/>
  <c r="J40" i="3" s="1"/>
  <c r="I10" i="55"/>
  <c r="L10" i="55"/>
  <c r="O10" i="55"/>
  <c r="H11" i="55"/>
  <c r="K11" i="55"/>
  <c r="N11" i="55"/>
  <c r="I12" i="55"/>
  <c r="M12" i="55"/>
  <c r="O12" i="55"/>
  <c r="X13" i="55"/>
  <c r="Y13" i="55"/>
  <c r="Z13" i="55"/>
  <c r="O15" i="55"/>
  <c r="O16" i="55"/>
  <c r="O17" i="55"/>
  <c r="K25" i="55"/>
  <c r="N25" i="55"/>
  <c r="K26" i="55"/>
  <c r="N26" i="55"/>
  <c r="E30" i="55"/>
  <c r="F30" i="55"/>
  <c r="E31" i="55"/>
  <c r="F31" i="55"/>
  <c r="E32" i="55"/>
  <c r="F32" i="55"/>
  <c r="E33" i="55"/>
  <c r="F33" i="55"/>
  <c r="F46" i="55"/>
  <c r="I46" i="55" s="1"/>
  <c r="F47" i="55"/>
  <c r="F48" i="55"/>
  <c r="F49" i="55"/>
  <c r="L49" i="55" s="1"/>
  <c r="F50" i="55"/>
  <c r="F51" i="55"/>
  <c r="L51" i="55" s="1"/>
  <c r="F52" i="55"/>
  <c r="H52" i="55"/>
  <c r="K52" i="55"/>
  <c r="N52" i="55"/>
  <c r="E53" i="55"/>
  <c r="F53" i="55"/>
  <c r="I53" i="55" s="1"/>
  <c r="G53" i="55"/>
  <c r="M53" i="55" s="1"/>
  <c r="E54" i="55"/>
  <c r="F54" i="55"/>
  <c r="I54" i="55" s="1"/>
  <c r="G54" i="55"/>
  <c r="M54" i="55" s="1"/>
  <c r="E55" i="55"/>
  <c r="F55" i="55"/>
  <c r="O55" i="55" s="1"/>
  <c r="G55" i="55"/>
  <c r="M55" i="55" s="1"/>
  <c r="E56" i="55"/>
  <c r="F56" i="55"/>
  <c r="G56" i="55"/>
  <c r="M56" i="55" s="1"/>
  <c r="E57" i="55"/>
  <c r="F57" i="55"/>
  <c r="G57" i="55"/>
  <c r="F62" i="55"/>
  <c r="F63" i="55"/>
  <c r="F64" i="55"/>
  <c r="J65" i="55"/>
  <c r="AD17" i="29" s="1"/>
  <c r="M65" i="55"/>
  <c r="BJ17" i="29" s="1"/>
  <c r="P65" i="55"/>
  <c r="CP17" i="29" s="1"/>
  <c r="N3" i="54"/>
  <c r="P4" i="54"/>
  <c r="H9" i="54"/>
  <c r="AC6" i="29" s="1"/>
  <c r="K9" i="54"/>
  <c r="BI6" i="29" s="1"/>
  <c r="N9" i="54"/>
  <c r="CO6" i="29" s="1"/>
  <c r="J39" i="3" s="1"/>
  <c r="I10" i="54"/>
  <c r="L10" i="54"/>
  <c r="O10" i="54"/>
  <c r="H11" i="54"/>
  <c r="K11" i="54"/>
  <c r="N11" i="54"/>
  <c r="I12" i="54"/>
  <c r="M12" i="54"/>
  <c r="O12" i="54"/>
  <c r="X13" i="54"/>
  <c r="Y13" i="54"/>
  <c r="Z13" i="54"/>
  <c r="O15" i="54"/>
  <c r="O16" i="54"/>
  <c r="O17" i="54"/>
  <c r="K25" i="54"/>
  <c r="N25" i="54"/>
  <c r="K26" i="54"/>
  <c r="N26" i="54"/>
  <c r="E30" i="54"/>
  <c r="F30" i="54"/>
  <c r="E31" i="54"/>
  <c r="F31" i="54"/>
  <c r="E32" i="54"/>
  <c r="F32" i="54"/>
  <c r="E33" i="54"/>
  <c r="F33" i="54"/>
  <c r="X17" i="54" s="1"/>
  <c r="F46" i="54"/>
  <c r="O46" i="54" s="1"/>
  <c r="F47" i="54"/>
  <c r="L47" i="54" s="1"/>
  <c r="F48" i="54"/>
  <c r="F49" i="54"/>
  <c r="L49" i="54" s="1"/>
  <c r="E50" i="54"/>
  <c r="E51" i="54"/>
  <c r="F51" i="54"/>
  <c r="L51" i="54" s="1"/>
  <c r="F52" i="54"/>
  <c r="F53" i="54"/>
  <c r="I53" i="54" s="1"/>
  <c r="F54" i="54"/>
  <c r="H54" i="54"/>
  <c r="N54" i="54"/>
  <c r="E55" i="54"/>
  <c r="F55" i="54"/>
  <c r="G55" i="54"/>
  <c r="M55" i="54" s="1"/>
  <c r="E56" i="54"/>
  <c r="F56" i="54"/>
  <c r="G56" i="54"/>
  <c r="E57" i="54"/>
  <c r="F57" i="54"/>
  <c r="G57" i="54"/>
  <c r="F62" i="54"/>
  <c r="F63" i="54"/>
  <c r="F64" i="54"/>
  <c r="J65" i="54"/>
  <c r="AC17" i="29" s="1"/>
  <c r="M65" i="54"/>
  <c r="BI17" i="29" s="1"/>
  <c r="P65" i="54"/>
  <c r="CO17" i="29" s="1"/>
  <c r="N3" i="53"/>
  <c r="P4" i="53"/>
  <c r="H9" i="53"/>
  <c r="AB6" i="29" s="1"/>
  <c r="D38" i="3" s="1"/>
  <c r="K9" i="53"/>
  <c r="BH6" i="29" s="1"/>
  <c r="N9" i="53"/>
  <c r="CN6" i="29" s="1"/>
  <c r="J38" i="3" s="1"/>
  <c r="I10" i="53"/>
  <c r="L10" i="53"/>
  <c r="O10" i="53"/>
  <c r="H11" i="53"/>
  <c r="H57" i="53" s="1"/>
  <c r="K11" i="53"/>
  <c r="N11" i="53"/>
  <c r="I12" i="53"/>
  <c r="M12" i="53"/>
  <c r="O12" i="53"/>
  <c r="X13" i="53"/>
  <c r="Y13" i="53"/>
  <c r="Z13" i="53"/>
  <c r="O15" i="53"/>
  <c r="O16" i="53"/>
  <c r="O17" i="53"/>
  <c r="K25" i="53"/>
  <c r="N25" i="53"/>
  <c r="K26" i="53"/>
  <c r="N26" i="53"/>
  <c r="E30" i="53"/>
  <c r="F30" i="53"/>
  <c r="E31" i="53"/>
  <c r="F31" i="53"/>
  <c r="E32" i="53"/>
  <c r="F32" i="53"/>
  <c r="E33" i="53"/>
  <c r="F33" i="53"/>
  <c r="F46" i="53"/>
  <c r="O46" i="53" s="1"/>
  <c r="F47" i="53"/>
  <c r="L47" i="53" s="1"/>
  <c r="F48" i="53"/>
  <c r="F49" i="53"/>
  <c r="F50" i="53"/>
  <c r="L50" i="53" s="1"/>
  <c r="F51" i="53"/>
  <c r="F52" i="53"/>
  <c r="E53" i="53"/>
  <c r="F53" i="53"/>
  <c r="I53" i="53" s="1"/>
  <c r="G53" i="53"/>
  <c r="E54" i="53"/>
  <c r="F54" i="53"/>
  <c r="G54" i="53"/>
  <c r="M54" i="53" s="1"/>
  <c r="E55" i="53"/>
  <c r="F55" i="53"/>
  <c r="G55" i="53"/>
  <c r="M55" i="53" s="1"/>
  <c r="E56" i="53"/>
  <c r="F56" i="53"/>
  <c r="L56" i="53" s="1"/>
  <c r="G56" i="53"/>
  <c r="E57" i="53"/>
  <c r="F57" i="53"/>
  <c r="G57" i="53"/>
  <c r="N57" i="53"/>
  <c r="F62" i="53"/>
  <c r="F63" i="53"/>
  <c r="F64" i="53"/>
  <c r="J65" i="53"/>
  <c r="AB17" i="29" s="1"/>
  <c r="M65" i="53"/>
  <c r="BH17" i="29" s="1"/>
  <c r="P65" i="53"/>
  <c r="CN17" i="29" s="1"/>
  <c r="N3" i="52"/>
  <c r="P4" i="52"/>
  <c r="H9" i="52"/>
  <c r="AA6" i="29" s="1"/>
  <c r="AA31" i="29" s="1"/>
  <c r="AA43" i="29" s="1"/>
  <c r="K9" i="52"/>
  <c r="BG6" i="29" s="1"/>
  <c r="BG31" i="29" s="1"/>
  <c r="BG43" i="29" s="1"/>
  <c r="N9" i="52"/>
  <c r="CM6" i="29" s="1"/>
  <c r="CM31" i="29" s="1"/>
  <c r="CM43" i="29" s="1"/>
  <c r="H11" i="52"/>
  <c r="K11" i="52"/>
  <c r="K57" i="52" s="1"/>
  <c r="N11" i="52"/>
  <c r="N57" i="52" s="1"/>
  <c r="I12" i="52"/>
  <c r="M12" i="52"/>
  <c r="O12" i="52"/>
  <c r="X13" i="52"/>
  <c r="Y13" i="52"/>
  <c r="Z13" i="52"/>
  <c r="O15" i="52"/>
  <c r="O16" i="52"/>
  <c r="O17" i="52"/>
  <c r="K25" i="52"/>
  <c r="N25" i="52"/>
  <c r="K26" i="52"/>
  <c r="N26" i="52"/>
  <c r="E30" i="52"/>
  <c r="F30" i="52"/>
  <c r="E31" i="52"/>
  <c r="F31" i="52"/>
  <c r="E32" i="52"/>
  <c r="F32" i="52"/>
  <c r="E33" i="52"/>
  <c r="F33" i="52"/>
  <c r="F46" i="52"/>
  <c r="F47" i="52"/>
  <c r="L47" i="52" s="1"/>
  <c r="F48" i="52"/>
  <c r="F49" i="52"/>
  <c r="L49" i="52" s="1"/>
  <c r="F50" i="52"/>
  <c r="L50" i="52" s="1"/>
  <c r="E51" i="52"/>
  <c r="F51" i="52"/>
  <c r="I51" i="52" s="1"/>
  <c r="G51" i="52"/>
  <c r="E52" i="52"/>
  <c r="F52" i="52"/>
  <c r="L52" i="52" s="1"/>
  <c r="G52" i="52"/>
  <c r="M52" i="52" s="1"/>
  <c r="E53" i="52"/>
  <c r="F53" i="52"/>
  <c r="G53" i="52"/>
  <c r="J53" i="52" s="1"/>
  <c r="E54" i="52"/>
  <c r="F54" i="52"/>
  <c r="I54" i="52" s="1"/>
  <c r="G54" i="52"/>
  <c r="J54" i="52" s="1"/>
  <c r="E55" i="52"/>
  <c r="F55" i="52"/>
  <c r="I55" i="52" s="1"/>
  <c r="G55" i="52"/>
  <c r="E56" i="52"/>
  <c r="F56" i="52"/>
  <c r="L56" i="52" s="1"/>
  <c r="G56" i="52"/>
  <c r="E57" i="52"/>
  <c r="F57" i="52"/>
  <c r="G57" i="52"/>
  <c r="F62" i="52"/>
  <c r="F63" i="52"/>
  <c r="F64" i="52"/>
  <c r="J65" i="52"/>
  <c r="AA17" i="29" s="1"/>
  <c r="M65" i="52"/>
  <c r="BG17" i="29" s="1"/>
  <c r="P65" i="52"/>
  <c r="CM17" i="29" s="1"/>
  <c r="H73" i="52"/>
  <c r="N73" i="52"/>
  <c r="P4" i="51"/>
  <c r="H9" i="51"/>
  <c r="Z6" i="29" s="1"/>
  <c r="D36" i="3" s="1"/>
  <c r="K9" i="51"/>
  <c r="BF6" i="29" s="1"/>
  <c r="G36" i="3" s="1"/>
  <c r="N9" i="51"/>
  <c r="CL6" i="29" s="1"/>
  <c r="J36" i="3" s="1"/>
  <c r="I10" i="51"/>
  <c r="L10" i="51"/>
  <c r="O10" i="51"/>
  <c r="H11" i="51"/>
  <c r="H57" i="51" s="1"/>
  <c r="K11" i="51"/>
  <c r="N11" i="51"/>
  <c r="I12" i="51"/>
  <c r="M12" i="51"/>
  <c r="O12" i="51"/>
  <c r="X13" i="51"/>
  <c r="Y13" i="51"/>
  <c r="Z13" i="51"/>
  <c r="O15" i="51"/>
  <c r="O16" i="51"/>
  <c r="O17" i="51"/>
  <c r="K26" i="51"/>
  <c r="N26" i="51"/>
  <c r="E30" i="51"/>
  <c r="F30" i="51"/>
  <c r="E31" i="51"/>
  <c r="F31" i="51"/>
  <c r="E32" i="51"/>
  <c r="F32" i="51"/>
  <c r="Y16" i="51" s="1"/>
  <c r="E33" i="51"/>
  <c r="F33" i="51"/>
  <c r="F46" i="51"/>
  <c r="F47" i="51"/>
  <c r="F48" i="51"/>
  <c r="F49" i="51"/>
  <c r="L49" i="51" s="1"/>
  <c r="F50" i="51"/>
  <c r="L50" i="51" s="1"/>
  <c r="F51" i="51"/>
  <c r="O51" i="51" s="1"/>
  <c r="E52" i="51"/>
  <c r="F52" i="51"/>
  <c r="I52" i="51" s="1"/>
  <c r="G52" i="51"/>
  <c r="J52" i="51" s="1"/>
  <c r="E53" i="51"/>
  <c r="F53" i="51"/>
  <c r="I53" i="51" s="1"/>
  <c r="G53" i="51"/>
  <c r="M53" i="51" s="1"/>
  <c r="E54" i="51"/>
  <c r="F54" i="51"/>
  <c r="G54" i="51"/>
  <c r="M54" i="51" s="1"/>
  <c r="E55" i="51"/>
  <c r="F55" i="51"/>
  <c r="L55" i="51" s="1"/>
  <c r="G55" i="51"/>
  <c r="E56" i="51"/>
  <c r="F56" i="51"/>
  <c r="G56" i="51"/>
  <c r="M56" i="51" s="1"/>
  <c r="F57" i="51"/>
  <c r="K57" i="51"/>
  <c r="F63" i="51"/>
  <c r="F64" i="51"/>
  <c r="J65" i="51"/>
  <c r="Z17" i="29" s="1"/>
  <c r="M65" i="51"/>
  <c r="BF17" i="29" s="1"/>
  <c r="P65" i="51"/>
  <c r="CL17" i="29" s="1"/>
  <c r="F70" i="51"/>
  <c r="N3" i="50"/>
  <c r="P4" i="50"/>
  <c r="H9" i="50"/>
  <c r="Y6" i="29" s="1"/>
  <c r="D35" i="3" s="1"/>
  <c r="K9" i="50"/>
  <c r="BE6" i="29" s="1"/>
  <c r="G35" i="3" s="1"/>
  <c r="N9" i="50"/>
  <c r="CK6" i="29" s="1"/>
  <c r="J35" i="3" s="1"/>
  <c r="I10" i="50"/>
  <c r="L10" i="50"/>
  <c r="O10" i="50"/>
  <c r="H11" i="50"/>
  <c r="K11" i="50"/>
  <c r="K57" i="50" s="1"/>
  <c r="N11" i="50"/>
  <c r="I12" i="50"/>
  <c r="M12" i="50"/>
  <c r="O12" i="50"/>
  <c r="X13" i="50"/>
  <c r="Y13" i="50"/>
  <c r="Z13" i="50"/>
  <c r="O15" i="50"/>
  <c r="O16" i="50"/>
  <c r="O17" i="50"/>
  <c r="K26" i="50"/>
  <c r="N26" i="50"/>
  <c r="E30" i="50"/>
  <c r="F30" i="50"/>
  <c r="E31" i="50"/>
  <c r="F31" i="50"/>
  <c r="Y15" i="50" s="1"/>
  <c r="E32" i="50"/>
  <c r="F32" i="50"/>
  <c r="E33" i="50"/>
  <c r="F33" i="50"/>
  <c r="F46" i="50"/>
  <c r="L46" i="50" s="1"/>
  <c r="F47" i="50"/>
  <c r="L47" i="50" s="1"/>
  <c r="F48" i="50"/>
  <c r="L48" i="50" s="1"/>
  <c r="F49" i="50"/>
  <c r="O49" i="50" s="1"/>
  <c r="F50" i="50"/>
  <c r="I50" i="50" s="1"/>
  <c r="F51" i="50"/>
  <c r="E52" i="50"/>
  <c r="F52" i="50"/>
  <c r="L52" i="50" s="1"/>
  <c r="G52" i="50"/>
  <c r="P52" i="50" s="1"/>
  <c r="E53" i="50"/>
  <c r="F53" i="50"/>
  <c r="I53" i="50" s="1"/>
  <c r="G53" i="50"/>
  <c r="J53" i="50" s="1"/>
  <c r="E54" i="50"/>
  <c r="F54" i="50"/>
  <c r="I54" i="50" s="1"/>
  <c r="G54" i="50"/>
  <c r="M54" i="50" s="1"/>
  <c r="E55" i="50"/>
  <c r="F55" i="50"/>
  <c r="G55" i="50"/>
  <c r="E56" i="50"/>
  <c r="F56" i="50"/>
  <c r="L56" i="50" s="1"/>
  <c r="G56" i="50"/>
  <c r="J56" i="50" s="1"/>
  <c r="F57" i="50"/>
  <c r="F63" i="50"/>
  <c r="F64" i="50"/>
  <c r="J65" i="50"/>
  <c r="Y17" i="29" s="1"/>
  <c r="M65" i="50"/>
  <c r="BE17" i="29" s="1"/>
  <c r="P65" i="50"/>
  <c r="CK17" i="29" s="1"/>
  <c r="N3" i="49"/>
  <c r="P4" i="49"/>
  <c r="H9" i="49"/>
  <c r="X6" i="29" s="1"/>
  <c r="D34" i="3" s="1"/>
  <c r="K9" i="49"/>
  <c r="BD6" i="29" s="1"/>
  <c r="N9" i="49"/>
  <c r="CJ6" i="29" s="1"/>
  <c r="J34" i="3" s="1"/>
  <c r="I10" i="49"/>
  <c r="L10" i="49"/>
  <c r="O10" i="49"/>
  <c r="H11" i="49"/>
  <c r="H57" i="49" s="1"/>
  <c r="K11" i="49"/>
  <c r="N11" i="49"/>
  <c r="N57" i="49" s="1"/>
  <c r="I12" i="49"/>
  <c r="M12" i="49"/>
  <c r="O12" i="49"/>
  <c r="X13" i="49"/>
  <c r="Y13" i="49"/>
  <c r="Z13" i="49"/>
  <c r="O16" i="49"/>
  <c r="O17" i="49"/>
  <c r="K26" i="49"/>
  <c r="N26" i="49"/>
  <c r="E30" i="49"/>
  <c r="F30" i="49"/>
  <c r="E31" i="49"/>
  <c r="F31" i="49"/>
  <c r="E32" i="49"/>
  <c r="F32" i="49"/>
  <c r="E33" i="49"/>
  <c r="F33" i="49"/>
  <c r="F46" i="49"/>
  <c r="F47" i="49"/>
  <c r="L47" i="49" s="1"/>
  <c r="F48" i="49"/>
  <c r="F49" i="49"/>
  <c r="F50" i="49"/>
  <c r="F51" i="49"/>
  <c r="E52" i="49"/>
  <c r="F52" i="49"/>
  <c r="L52" i="49" s="1"/>
  <c r="G52" i="49"/>
  <c r="E53" i="49"/>
  <c r="F53" i="49"/>
  <c r="G53" i="49"/>
  <c r="M53" i="49" s="1"/>
  <c r="E54" i="49"/>
  <c r="F54" i="49"/>
  <c r="I54" i="49" s="1"/>
  <c r="G54" i="49"/>
  <c r="M54" i="49" s="1"/>
  <c r="E55" i="49"/>
  <c r="F55" i="49"/>
  <c r="G55" i="49"/>
  <c r="M55" i="49" s="1"/>
  <c r="E56" i="49"/>
  <c r="F56" i="49"/>
  <c r="L56" i="49" s="1"/>
  <c r="G56" i="49"/>
  <c r="F57" i="49"/>
  <c r="I57" i="49" s="1"/>
  <c r="K57" i="49"/>
  <c r="F63" i="49"/>
  <c r="F64" i="49"/>
  <c r="J65" i="49"/>
  <c r="X17" i="29" s="1"/>
  <c r="M65" i="49"/>
  <c r="BD17" i="29" s="1"/>
  <c r="P65" i="49"/>
  <c r="CJ17" i="29" s="1"/>
  <c r="P4" i="48"/>
  <c r="H9" i="48"/>
  <c r="K9" i="48"/>
  <c r="N9" i="48"/>
  <c r="CI6" i="29" s="1"/>
  <c r="J33" i="3" s="1"/>
  <c r="I10" i="48"/>
  <c r="L10" i="48"/>
  <c r="O10" i="48"/>
  <c r="H11" i="48"/>
  <c r="K11" i="48"/>
  <c r="K57" i="48" s="1"/>
  <c r="N11" i="48"/>
  <c r="I12" i="48"/>
  <c r="M12" i="48"/>
  <c r="O12" i="48"/>
  <c r="X13" i="48"/>
  <c r="Y13" i="48"/>
  <c r="Z13" i="48"/>
  <c r="O15" i="48"/>
  <c r="O16" i="48"/>
  <c r="O17" i="48"/>
  <c r="K26" i="48"/>
  <c r="N26" i="48"/>
  <c r="E30" i="48"/>
  <c r="F30" i="48"/>
  <c r="X14" i="48" s="1"/>
  <c r="E31" i="48"/>
  <c r="F31" i="48"/>
  <c r="E32" i="48"/>
  <c r="F32" i="48"/>
  <c r="E33" i="48"/>
  <c r="F33" i="48"/>
  <c r="F46" i="48"/>
  <c r="F47" i="48"/>
  <c r="F48" i="48"/>
  <c r="L48" i="48" s="1"/>
  <c r="F49" i="48"/>
  <c r="I49" i="48" s="1"/>
  <c r="F50" i="48"/>
  <c r="I50" i="48" s="1"/>
  <c r="F51" i="48"/>
  <c r="F52" i="48"/>
  <c r="F53" i="48"/>
  <c r="F54" i="48"/>
  <c r="E55" i="48"/>
  <c r="F55" i="48"/>
  <c r="I55" i="48" s="1"/>
  <c r="G55" i="48"/>
  <c r="M55" i="48" s="1"/>
  <c r="E56" i="48"/>
  <c r="F56" i="48"/>
  <c r="G56" i="48"/>
  <c r="M56" i="48" s="1"/>
  <c r="F57" i="48"/>
  <c r="N57" i="48"/>
  <c r="F63" i="48"/>
  <c r="F64" i="48"/>
  <c r="J65" i="48"/>
  <c r="W17" i="29" s="1"/>
  <c r="M65" i="48"/>
  <c r="BC17" i="29" s="1"/>
  <c r="P65" i="48"/>
  <c r="CI17" i="29" s="1"/>
  <c r="P4" i="47"/>
  <c r="H9" i="47"/>
  <c r="V6" i="29" s="1"/>
  <c r="K9" i="47"/>
  <c r="BB6" i="29" s="1"/>
  <c r="G32" i="3" s="1"/>
  <c r="N9" i="47"/>
  <c r="CH6" i="29" s="1"/>
  <c r="J32" i="3" s="1"/>
  <c r="I10" i="47"/>
  <c r="L10" i="47"/>
  <c r="O10" i="47"/>
  <c r="H11" i="47"/>
  <c r="K11" i="47"/>
  <c r="N11" i="47"/>
  <c r="I12" i="47"/>
  <c r="M12" i="47"/>
  <c r="O12" i="47"/>
  <c r="X13" i="47"/>
  <c r="Y13" i="47"/>
  <c r="Z13" i="47"/>
  <c r="O15" i="47"/>
  <c r="O16" i="47"/>
  <c r="O17" i="47"/>
  <c r="K26" i="47"/>
  <c r="N26" i="47"/>
  <c r="F30" i="47"/>
  <c r="E31" i="47"/>
  <c r="F31" i="47"/>
  <c r="E32" i="47"/>
  <c r="F32" i="47"/>
  <c r="E33" i="47"/>
  <c r="F33" i="47"/>
  <c r="F46" i="47"/>
  <c r="L46" i="47" s="1"/>
  <c r="F47" i="47"/>
  <c r="L47" i="47" s="1"/>
  <c r="F48" i="47"/>
  <c r="F49" i="47"/>
  <c r="F50" i="47"/>
  <c r="F51" i="47"/>
  <c r="E52" i="47"/>
  <c r="F52" i="47"/>
  <c r="L52" i="47" s="1"/>
  <c r="G52" i="47"/>
  <c r="M52" i="47" s="1"/>
  <c r="E53" i="47"/>
  <c r="F53" i="47"/>
  <c r="I53" i="47" s="1"/>
  <c r="G53" i="47"/>
  <c r="J53" i="47" s="1"/>
  <c r="E54" i="47"/>
  <c r="F54" i="47"/>
  <c r="I54" i="47" s="1"/>
  <c r="G54" i="47"/>
  <c r="M54" i="47" s="1"/>
  <c r="E55" i="47"/>
  <c r="F55" i="47"/>
  <c r="G55" i="47"/>
  <c r="M55" i="47" s="1"/>
  <c r="E56" i="47"/>
  <c r="F56" i="47"/>
  <c r="L56" i="47" s="1"/>
  <c r="G56" i="47"/>
  <c r="F57" i="47"/>
  <c r="H57" i="47"/>
  <c r="K57" i="47"/>
  <c r="F63" i="47"/>
  <c r="F64" i="47"/>
  <c r="J65" i="47"/>
  <c r="V17" i="29" s="1"/>
  <c r="M65" i="47"/>
  <c r="BB17" i="29" s="1"/>
  <c r="P65" i="47"/>
  <c r="CH17" i="29" s="1"/>
  <c r="N3" i="59"/>
  <c r="P4" i="59"/>
  <c r="H9" i="59"/>
  <c r="U6" i="29" s="1"/>
  <c r="D31" i="3" s="1"/>
  <c r="K9" i="59"/>
  <c r="BA6" i="29" s="1"/>
  <c r="N9" i="59"/>
  <c r="CG6" i="29" s="1"/>
  <c r="J31" i="3" s="1"/>
  <c r="I10" i="59"/>
  <c r="L10" i="59"/>
  <c r="O10" i="59"/>
  <c r="H11" i="59"/>
  <c r="K11" i="59"/>
  <c r="K57" i="59" s="1"/>
  <c r="N11" i="59"/>
  <c r="I12" i="59"/>
  <c r="M12" i="59"/>
  <c r="O12" i="59"/>
  <c r="X13" i="59"/>
  <c r="Y13" i="59"/>
  <c r="Z13" i="59"/>
  <c r="O15" i="59"/>
  <c r="O16" i="59"/>
  <c r="O17" i="59"/>
  <c r="K25" i="59"/>
  <c r="N25" i="59"/>
  <c r="K26" i="59"/>
  <c r="N26" i="59"/>
  <c r="E30" i="59"/>
  <c r="F30" i="59"/>
  <c r="E31" i="59"/>
  <c r="F31" i="59"/>
  <c r="E32" i="59"/>
  <c r="F32" i="59"/>
  <c r="E33" i="59"/>
  <c r="F33" i="59"/>
  <c r="F46" i="59"/>
  <c r="F47" i="59"/>
  <c r="L47" i="59" s="1"/>
  <c r="F48" i="59"/>
  <c r="L48" i="59" s="1"/>
  <c r="F49" i="59"/>
  <c r="O49" i="59" s="1"/>
  <c r="F50" i="59"/>
  <c r="F51" i="59"/>
  <c r="F52" i="59"/>
  <c r="E53" i="59"/>
  <c r="F53" i="59"/>
  <c r="L53" i="59" s="1"/>
  <c r="G53" i="59"/>
  <c r="M53" i="59" s="1"/>
  <c r="E54" i="59"/>
  <c r="F54" i="59"/>
  <c r="G54" i="59"/>
  <c r="E55" i="59"/>
  <c r="F55" i="59"/>
  <c r="L55" i="59" s="1"/>
  <c r="G55" i="59"/>
  <c r="E56" i="59"/>
  <c r="F56" i="59"/>
  <c r="O56" i="59" s="1"/>
  <c r="G56" i="59"/>
  <c r="M56" i="59" s="1"/>
  <c r="F57" i="59"/>
  <c r="F63" i="59"/>
  <c r="F64" i="59"/>
  <c r="J65" i="59"/>
  <c r="U17" i="29" s="1"/>
  <c r="M65" i="59"/>
  <c r="BA17" i="29" s="1"/>
  <c r="P65" i="59"/>
  <c r="CG17" i="29" s="1"/>
  <c r="N3" i="46"/>
  <c r="P4" i="46"/>
  <c r="H9" i="46"/>
  <c r="T6" i="29" s="1"/>
  <c r="K9" i="46"/>
  <c r="AZ6" i="29" s="1"/>
  <c r="G30" i="3" s="1"/>
  <c r="N9" i="46"/>
  <c r="CF6" i="29" s="1"/>
  <c r="J30" i="3" s="1"/>
  <c r="I10" i="46"/>
  <c r="L10" i="46"/>
  <c r="O10" i="46"/>
  <c r="H11" i="46"/>
  <c r="K11" i="46"/>
  <c r="N11" i="46"/>
  <c r="I12" i="46"/>
  <c r="M12" i="46"/>
  <c r="O12" i="46"/>
  <c r="X13" i="46"/>
  <c r="Y13" i="46"/>
  <c r="Z13" i="46"/>
  <c r="O15" i="46"/>
  <c r="O16" i="46"/>
  <c r="O17" i="46"/>
  <c r="K25" i="46"/>
  <c r="N25" i="46"/>
  <c r="K26" i="46"/>
  <c r="N26" i="46"/>
  <c r="E30" i="46"/>
  <c r="F30" i="46"/>
  <c r="E31" i="46"/>
  <c r="F31" i="46"/>
  <c r="E32" i="46"/>
  <c r="F32" i="46"/>
  <c r="E33" i="46"/>
  <c r="F33" i="46"/>
  <c r="F46" i="46"/>
  <c r="F47" i="46"/>
  <c r="L47" i="46" s="1"/>
  <c r="F48" i="46"/>
  <c r="O48" i="46" s="1"/>
  <c r="F49" i="46"/>
  <c r="O49" i="46" s="1"/>
  <c r="F50" i="46"/>
  <c r="L50" i="46" s="1"/>
  <c r="F51" i="46"/>
  <c r="E52" i="46"/>
  <c r="F52" i="46"/>
  <c r="I52" i="46" s="1"/>
  <c r="G52" i="46"/>
  <c r="J52" i="46" s="1"/>
  <c r="E53" i="46"/>
  <c r="F53" i="46"/>
  <c r="I53" i="46" s="1"/>
  <c r="G53" i="46"/>
  <c r="E54" i="46"/>
  <c r="F54" i="46"/>
  <c r="O54" i="46" s="1"/>
  <c r="G54" i="46"/>
  <c r="M54" i="46" s="1"/>
  <c r="E55" i="46"/>
  <c r="F55" i="46"/>
  <c r="L55" i="46" s="1"/>
  <c r="G55" i="46"/>
  <c r="J55" i="46" s="1"/>
  <c r="E56" i="46"/>
  <c r="F56" i="46"/>
  <c r="L56" i="46" s="1"/>
  <c r="G56" i="46"/>
  <c r="F57" i="46"/>
  <c r="H57" i="46"/>
  <c r="K57" i="46"/>
  <c r="F63" i="46"/>
  <c r="F64" i="46"/>
  <c r="J65" i="46"/>
  <c r="T17" i="29" s="1"/>
  <c r="M65" i="46"/>
  <c r="AZ17" i="29" s="1"/>
  <c r="P65" i="46"/>
  <c r="CF17" i="29" s="1"/>
  <c r="N3" i="45"/>
  <c r="P4" i="45"/>
  <c r="H9" i="45"/>
  <c r="S6" i="29" s="1"/>
  <c r="D29" i="3" s="1"/>
  <c r="K9" i="45"/>
  <c r="AY6" i="29" s="1"/>
  <c r="G29" i="3" s="1"/>
  <c r="N9" i="45"/>
  <c r="CE6" i="29" s="1"/>
  <c r="I10" i="45"/>
  <c r="L10" i="45"/>
  <c r="O10" i="45"/>
  <c r="H11" i="45"/>
  <c r="H57" i="45" s="1"/>
  <c r="K11" i="45"/>
  <c r="K57" i="45" s="1"/>
  <c r="N11" i="45"/>
  <c r="N57" i="45" s="1"/>
  <c r="I12" i="45"/>
  <c r="M12" i="45"/>
  <c r="O12" i="45"/>
  <c r="Z13" i="45"/>
  <c r="O15" i="45"/>
  <c r="O16" i="45"/>
  <c r="O17" i="45"/>
  <c r="K25" i="45"/>
  <c r="N25" i="45"/>
  <c r="K26" i="45"/>
  <c r="N26" i="45"/>
  <c r="E30" i="45"/>
  <c r="F30" i="45"/>
  <c r="E31" i="45"/>
  <c r="F31" i="45"/>
  <c r="E32" i="45"/>
  <c r="F32" i="45"/>
  <c r="X16" i="45" s="1"/>
  <c r="E33" i="45"/>
  <c r="F33" i="45"/>
  <c r="F46" i="45"/>
  <c r="F47" i="45"/>
  <c r="I47" i="45" s="1"/>
  <c r="F48" i="45"/>
  <c r="I48" i="45" s="1"/>
  <c r="F49" i="45"/>
  <c r="L49" i="45" s="1"/>
  <c r="F50" i="45"/>
  <c r="F51" i="45"/>
  <c r="E52" i="45"/>
  <c r="F52" i="45"/>
  <c r="I52" i="45" s="1"/>
  <c r="G52" i="45"/>
  <c r="E53" i="45"/>
  <c r="F53" i="45"/>
  <c r="L53" i="45" s="1"/>
  <c r="G53" i="45"/>
  <c r="E54" i="45"/>
  <c r="F54" i="45"/>
  <c r="L54" i="45" s="1"/>
  <c r="G54" i="45"/>
  <c r="M54" i="45" s="1"/>
  <c r="E55" i="45"/>
  <c r="F55" i="45"/>
  <c r="L55" i="45" s="1"/>
  <c r="G55" i="45"/>
  <c r="M55" i="45" s="1"/>
  <c r="E56" i="45"/>
  <c r="F56" i="45"/>
  <c r="O56" i="45" s="1"/>
  <c r="G56" i="45"/>
  <c r="J56" i="45" s="1"/>
  <c r="E57" i="45"/>
  <c r="F57" i="45"/>
  <c r="G57" i="45"/>
  <c r="F63" i="45"/>
  <c r="F64" i="45"/>
  <c r="J65" i="45"/>
  <c r="S17" i="29" s="1"/>
  <c r="M65" i="45"/>
  <c r="AY17" i="29" s="1"/>
  <c r="P65" i="45"/>
  <c r="CE17" i="29" s="1"/>
  <c r="P4" i="43"/>
  <c r="H9" i="43"/>
  <c r="K9" i="43"/>
  <c r="N9" i="43"/>
  <c r="P67" i="43" s="1"/>
  <c r="CD18" i="29" s="1"/>
  <c r="I10" i="43"/>
  <c r="L10" i="43"/>
  <c r="O10" i="43"/>
  <c r="H11" i="43"/>
  <c r="H57" i="43" s="1"/>
  <c r="K11" i="43"/>
  <c r="N11" i="43"/>
  <c r="I12" i="43"/>
  <c r="M12" i="43"/>
  <c r="O12" i="43"/>
  <c r="X13" i="43"/>
  <c r="Y13" i="43"/>
  <c r="Z13" i="43"/>
  <c r="O15" i="43"/>
  <c r="O16" i="43"/>
  <c r="O17" i="43"/>
  <c r="K25" i="43"/>
  <c r="N25" i="43"/>
  <c r="K26" i="43"/>
  <c r="N26" i="43"/>
  <c r="E30" i="43"/>
  <c r="F30" i="43"/>
  <c r="E31" i="43"/>
  <c r="F31" i="43"/>
  <c r="E32" i="43"/>
  <c r="F32" i="43"/>
  <c r="E33" i="43"/>
  <c r="F33" i="43"/>
  <c r="F46" i="43"/>
  <c r="L46" i="43" s="1"/>
  <c r="F47" i="43"/>
  <c r="L47" i="43" s="1"/>
  <c r="F48" i="43"/>
  <c r="L48" i="43" s="1"/>
  <c r="F49" i="43"/>
  <c r="I49" i="43" s="1"/>
  <c r="F50" i="43"/>
  <c r="F51" i="43"/>
  <c r="E52" i="43"/>
  <c r="F52" i="43"/>
  <c r="G52" i="43"/>
  <c r="E53" i="43"/>
  <c r="F53" i="43"/>
  <c r="L53" i="43" s="1"/>
  <c r="G53" i="43"/>
  <c r="M53" i="43" s="1"/>
  <c r="E54" i="43"/>
  <c r="F54" i="43"/>
  <c r="I54" i="43" s="1"/>
  <c r="G54" i="43"/>
  <c r="J54" i="43" s="1"/>
  <c r="E55" i="43"/>
  <c r="F55" i="43"/>
  <c r="O55" i="43" s="1"/>
  <c r="G55" i="43"/>
  <c r="M55" i="43" s="1"/>
  <c r="E56" i="43"/>
  <c r="F56" i="43"/>
  <c r="G56" i="43"/>
  <c r="P56" i="43" s="1"/>
  <c r="E57" i="43"/>
  <c r="F57" i="43"/>
  <c r="G57" i="43"/>
  <c r="F63" i="43"/>
  <c r="F64" i="43"/>
  <c r="J65" i="43"/>
  <c r="R17" i="29" s="1"/>
  <c r="M65" i="43"/>
  <c r="AX17" i="29" s="1"/>
  <c r="P65" i="43"/>
  <c r="CD17" i="29" s="1"/>
  <c r="N3" i="44"/>
  <c r="P4" i="44"/>
  <c r="H9" i="44"/>
  <c r="Q6" i="29" s="1"/>
  <c r="D27" i="3" s="1"/>
  <c r="K9" i="44"/>
  <c r="N9" i="44"/>
  <c r="I10" i="44"/>
  <c r="L10" i="44"/>
  <c r="O10" i="44"/>
  <c r="H11" i="44"/>
  <c r="H57" i="44" s="1"/>
  <c r="K11" i="44"/>
  <c r="N11" i="44"/>
  <c r="I12" i="44"/>
  <c r="M12" i="44"/>
  <c r="O12" i="44"/>
  <c r="X13" i="44"/>
  <c r="Y13" i="44"/>
  <c r="Z13" i="44"/>
  <c r="O15" i="44"/>
  <c r="O16" i="44"/>
  <c r="O17" i="44"/>
  <c r="K26" i="44"/>
  <c r="N26" i="44"/>
  <c r="E30" i="44"/>
  <c r="F30" i="44"/>
  <c r="E31" i="44"/>
  <c r="F31" i="44"/>
  <c r="E32" i="44"/>
  <c r="F32" i="44"/>
  <c r="E33" i="44"/>
  <c r="F33" i="44"/>
  <c r="F46" i="44"/>
  <c r="I46" i="44" s="1"/>
  <c r="F47" i="44"/>
  <c r="L47" i="44" s="1"/>
  <c r="F48" i="44"/>
  <c r="F49" i="44"/>
  <c r="L49" i="44" s="1"/>
  <c r="F50" i="44"/>
  <c r="F51" i="44"/>
  <c r="L51" i="44" s="1"/>
  <c r="F52" i="44"/>
  <c r="E53" i="44"/>
  <c r="F53" i="44"/>
  <c r="O53" i="44" s="1"/>
  <c r="G53" i="44"/>
  <c r="M53" i="44" s="1"/>
  <c r="E54" i="44"/>
  <c r="F54" i="44"/>
  <c r="G54" i="44"/>
  <c r="E55" i="44"/>
  <c r="F55" i="44"/>
  <c r="L55" i="44" s="1"/>
  <c r="G55" i="44"/>
  <c r="M55" i="44" s="1"/>
  <c r="E56" i="44"/>
  <c r="F56" i="44"/>
  <c r="I56" i="44" s="1"/>
  <c r="G56" i="44"/>
  <c r="J56" i="44" s="1"/>
  <c r="E57" i="44"/>
  <c r="F57" i="44"/>
  <c r="G57" i="44"/>
  <c r="K57" i="44"/>
  <c r="F62" i="44"/>
  <c r="F63" i="44"/>
  <c r="F64" i="44"/>
  <c r="J65" i="44"/>
  <c r="Q17" i="29" s="1"/>
  <c r="M65" i="44"/>
  <c r="AW17" i="29" s="1"/>
  <c r="P65" i="44"/>
  <c r="CC17" i="29" s="1"/>
  <c r="N3" i="42"/>
  <c r="P4" i="42"/>
  <c r="H9" i="42"/>
  <c r="P6" i="29" s="1"/>
  <c r="D26" i="3" s="1"/>
  <c r="K9" i="42"/>
  <c r="AV6" i="29" s="1"/>
  <c r="G26" i="3" s="1"/>
  <c r="N9" i="42"/>
  <c r="CB6" i="29" s="1"/>
  <c r="J26" i="3" s="1"/>
  <c r="I10" i="42"/>
  <c r="L10" i="42"/>
  <c r="O10" i="42"/>
  <c r="I12" i="42"/>
  <c r="M12" i="42"/>
  <c r="O12" i="42"/>
  <c r="X13" i="42"/>
  <c r="Y13" i="42"/>
  <c r="Z13" i="42"/>
  <c r="O15" i="42"/>
  <c r="O16" i="42"/>
  <c r="O17" i="42"/>
  <c r="K25" i="42"/>
  <c r="N25" i="42"/>
  <c r="K26" i="42"/>
  <c r="N26" i="42"/>
  <c r="E30" i="42"/>
  <c r="F30" i="42"/>
  <c r="E31" i="42"/>
  <c r="F31" i="42"/>
  <c r="E32" i="42"/>
  <c r="F32" i="42"/>
  <c r="E33" i="42"/>
  <c r="F33" i="42"/>
  <c r="F46" i="42"/>
  <c r="L46" i="42" s="1"/>
  <c r="F47" i="42"/>
  <c r="F48" i="42"/>
  <c r="F49" i="42"/>
  <c r="L49" i="42" s="1"/>
  <c r="F50" i="42"/>
  <c r="L50" i="42" s="1"/>
  <c r="F51" i="42"/>
  <c r="L51" i="42" s="1"/>
  <c r="F52" i="42"/>
  <c r="E53" i="42"/>
  <c r="F53" i="42"/>
  <c r="G53" i="42"/>
  <c r="J53" i="42" s="1"/>
  <c r="E54" i="42"/>
  <c r="F54" i="42"/>
  <c r="I54" i="42" s="1"/>
  <c r="G54" i="42"/>
  <c r="M54" i="42" s="1"/>
  <c r="E55" i="42"/>
  <c r="F55" i="42"/>
  <c r="L55" i="42" s="1"/>
  <c r="G55" i="42"/>
  <c r="M55" i="42" s="1"/>
  <c r="E56" i="42"/>
  <c r="F56" i="42"/>
  <c r="G56" i="42"/>
  <c r="F57" i="42"/>
  <c r="F63" i="42"/>
  <c r="F64" i="42"/>
  <c r="J65" i="42"/>
  <c r="P17" i="29" s="1"/>
  <c r="M65" i="42"/>
  <c r="AV17" i="29" s="1"/>
  <c r="P65" i="42"/>
  <c r="CB17" i="29" s="1"/>
  <c r="N3" i="41"/>
  <c r="P4" i="41"/>
  <c r="H9" i="41"/>
  <c r="O6" i="29" s="1"/>
  <c r="D25" i="3" s="1"/>
  <c r="K9" i="41"/>
  <c r="AU6" i="29" s="1"/>
  <c r="G25" i="3" s="1"/>
  <c r="N9" i="41"/>
  <c r="CA6" i="29" s="1"/>
  <c r="I10" i="41"/>
  <c r="L10" i="41"/>
  <c r="O10" i="41"/>
  <c r="I12" i="41"/>
  <c r="M12" i="41"/>
  <c r="O12" i="41"/>
  <c r="X13" i="41"/>
  <c r="Y13" i="41"/>
  <c r="Z13" i="41"/>
  <c r="O15" i="41"/>
  <c r="O16" i="41"/>
  <c r="O17" i="41"/>
  <c r="K25" i="41"/>
  <c r="N25" i="41"/>
  <c r="K26" i="41"/>
  <c r="N26" i="41"/>
  <c r="E30" i="41"/>
  <c r="F30" i="41"/>
  <c r="E31" i="41"/>
  <c r="F31" i="41"/>
  <c r="E32" i="41"/>
  <c r="F32" i="41"/>
  <c r="E33" i="41"/>
  <c r="F33" i="41"/>
  <c r="F46" i="41"/>
  <c r="L46" i="41" s="1"/>
  <c r="F47" i="41"/>
  <c r="F48" i="41"/>
  <c r="I48" i="41" s="1"/>
  <c r="F49" i="41"/>
  <c r="I49" i="41" s="1"/>
  <c r="F50" i="41"/>
  <c r="F51" i="41"/>
  <c r="L51" i="41" s="1"/>
  <c r="E52" i="41"/>
  <c r="F52" i="41"/>
  <c r="I52" i="41" s="1"/>
  <c r="G52" i="41"/>
  <c r="E53" i="41"/>
  <c r="F53" i="41"/>
  <c r="L53" i="41" s="1"/>
  <c r="G53" i="41"/>
  <c r="M53" i="41" s="1"/>
  <c r="E54" i="41"/>
  <c r="F54" i="41"/>
  <c r="L54" i="41" s="1"/>
  <c r="G54" i="41"/>
  <c r="E55" i="41"/>
  <c r="F55" i="41"/>
  <c r="G55" i="41"/>
  <c r="E56" i="41"/>
  <c r="F56" i="41"/>
  <c r="I56" i="41" s="1"/>
  <c r="G56" i="41"/>
  <c r="M56" i="41" s="1"/>
  <c r="F57" i="41"/>
  <c r="F63" i="41"/>
  <c r="F64" i="41"/>
  <c r="J65" i="41"/>
  <c r="O17" i="29" s="1"/>
  <c r="M65" i="41"/>
  <c r="AU17" i="29" s="1"/>
  <c r="P65" i="41"/>
  <c r="CA17" i="29" s="1"/>
  <c r="N3" i="40"/>
  <c r="P4" i="40"/>
  <c r="H9" i="40"/>
  <c r="N6" i="29" s="1"/>
  <c r="D24" i="3" s="1"/>
  <c r="K9" i="40"/>
  <c r="AT6" i="29" s="1"/>
  <c r="G24" i="3" s="1"/>
  <c r="N9" i="40"/>
  <c r="BZ6" i="29" s="1"/>
  <c r="J24" i="3" s="1"/>
  <c r="I12" i="40"/>
  <c r="M12" i="40"/>
  <c r="O12" i="40"/>
  <c r="X13" i="40"/>
  <c r="Y13" i="40"/>
  <c r="Z13" i="40"/>
  <c r="O15" i="40"/>
  <c r="O16" i="40"/>
  <c r="O17" i="40"/>
  <c r="K25" i="40"/>
  <c r="N25" i="40"/>
  <c r="K26" i="40"/>
  <c r="N26" i="40"/>
  <c r="E30" i="40"/>
  <c r="F30" i="40"/>
  <c r="E31" i="40"/>
  <c r="F31" i="40"/>
  <c r="E32" i="40"/>
  <c r="F32" i="40"/>
  <c r="E33" i="40"/>
  <c r="F33" i="40"/>
  <c r="F46" i="40"/>
  <c r="F47" i="40"/>
  <c r="O47" i="40" s="1"/>
  <c r="F48" i="40"/>
  <c r="O48" i="40" s="1"/>
  <c r="F49" i="40"/>
  <c r="L49" i="40" s="1"/>
  <c r="F50" i="40"/>
  <c r="F51" i="40"/>
  <c r="O51" i="40" s="1"/>
  <c r="E52" i="40"/>
  <c r="F52" i="40"/>
  <c r="L52" i="40" s="1"/>
  <c r="G52" i="40"/>
  <c r="M52" i="40" s="1"/>
  <c r="E53" i="40"/>
  <c r="F53" i="40"/>
  <c r="L53" i="40" s="1"/>
  <c r="G53" i="40"/>
  <c r="E54" i="40"/>
  <c r="F54" i="40"/>
  <c r="G54" i="40"/>
  <c r="P54" i="40" s="1"/>
  <c r="E55" i="40"/>
  <c r="F55" i="40"/>
  <c r="I55" i="40" s="1"/>
  <c r="G55" i="40"/>
  <c r="M55" i="40" s="1"/>
  <c r="E56" i="40"/>
  <c r="F56" i="40"/>
  <c r="O56" i="40" s="1"/>
  <c r="G56" i="40"/>
  <c r="M56" i="40" s="1"/>
  <c r="F57" i="40"/>
  <c r="F63" i="40"/>
  <c r="F64" i="40"/>
  <c r="J65" i="40"/>
  <c r="N17" i="29" s="1"/>
  <c r="M65" i="40"/>
  <c r="AT17" i="29" s="1"/>
  <c r="P65" i="40"/>
  <c r="BZ17" i="29" s="1"/>
  <c r="N3" i="39"/>
  <c r="P4" i="39"/>
  <c r="H9" i="39"/>
  <c r="M6" i="29" s="1"/>
  <c r="D23" i="3" s="1"/>
  <c r="K9" i="39"/>
  <c r="AS6" i="29" s="1"/>
  <c r="G23" i="3" s="1"/>
  <c r="N9" i="39"/>
  <c r="BY6" i="29" s="1"/>
  <c r="I10" i="39"/>
  <c r="L10" i="39"/>
  <c r="O10" i="39"/>
  <c r="I12" i="39"/>
  <c r="M12" i="39"/>
  <c r="O12" i="39"/>
  <c r="X13" i="39"/>
  <c r="Y13" i="39"/>
  <c r="Z13" i="39"/>
  <c r="O15" i="39"/>
  <c r="O16" i="39"/>
  <c r="O17" i="39"/>
  <c r="K25" i="39"/>
  <c r="N25" i="39"/>
  <c r="K26" i="39"/>
  <c r="N26" i="39"/>
  <c r="E30" i="39"/>
  <c r="F30" i="39"/>
  <c r="E31" i="39"/>
  <c r="F31" i="39"/>
  <c r="E32" i="39"/>
  <c r="F32" i="39"/>
  <c r="E33" i="39"/>
  <c r="F33" i="39"/>
  <c r="F46" i="39"/>
  <c r="O46" i="39" s="1"/>
  <c r="F47" i="39"/>
  <c r="F48" i="39"/>
  <c r="F49" i="39"/>
  <c r="O49" i="39" s="1"/>
  <c r="F50" i="39"/>
  <c r="L50" i="39" s="1"/>
  <c r="F51" i="39"/>
  <c r="L51" i="39" s="1"/>
  <c r="E52" i="39"/>
  <c r="F52" i="39"/>
  <c r="L52" i="39" s="1"/>
  <c r="G52" i="39"/>
  <c r="M52" i="39" s="1"/>
  <c r="E53" i="39"/>
  <c r="F53" i="39"/>
  <c r="I53" i="39" s="1"/>
  <c r="G53" i="39"/>
  <c r="M53" i="39" s="1"/>
  <c r="E54" i="39"/>
  <c r="F54" i="39"/>
  <c r="I54" i="39" s="1"/>
  <c r="G54" i="39"/>
  <c r="E55" i="39"/>
  <c r="F55" i="39"/>
  <c r="L55" i="39" s="1"/>
  <c r="G55" i="39"/>
  <c r="M55" i="39" s="1"/>
  <c r="E56" i="39"/>
  <c r="F56" i="39"/>
  <c r="L56" i="39" s="1"/>
  <c r="G56" i="39"/>
  <c r="J56" i="39" s="1"/>
  <c r="F57" i="39"/>
  <c r="F63" i="39"/>
  <c r="F64" i="39"/>
  <c r="J65" i="39"/>
  <c r="M17" i="29" s="1"/>
  <c r="M65" i="39"/>
  <c r="AS17" i="29" s="1"/>
  <c r="P65" i="39"/>
  <c r="BY17" i="29" s="1"/>
  <c r="N3" i="38"/>
  <c r="P4" i="38"/>
  <c r="H9" i="38"/>
  <c r="L6" i="29" s="1"/>
  <c r="K9" i="38"/>
  <c r="AR6" i="29" s="1"/>
  <c r="N9" i="38"/>
  <c r="BX6" i="29" s="1"/>
  <c r="J22" i="3" s="1"/>
  <c r="I10" i="38"/>
  <c r="L10" i="38"/>
  <c r="O10" i="38"/>
  <c r="I12" i="38"/>
  <c r="M12" i="38"/>
  <c r="O12" i="38"/>
  <c r="X13" i="38"/>
  <c r="Y13" i="38"/>
  <c r="Z13" i="38"/>
  <c r="O15" i="38"/>
  <c r="O16" i="38"/>
  <c r="O17" i="38"/>
  <c r="N25" i="38"/>
  <c r="N26" i="38"/>
  <c r="E30" i="38"/>
  <c r="F30" i="38"/>
  <c r="E31" i="38"/>
  <c r="F31" i="38"/>
  <c r="E32" i="38"/>
  <c r="F32" i="38"/>
  <c r="E33" i="38"/>
  <c r="F33" i="38"/>
  <c r="F46" i="38"/>
  <c r="L46" i="38" s="1"/>
  <c r="F47" i="38"/>
  <c r="O47" i="38" s="1"/>
  <c r="F48" i="38"/>
  <c r="L48" i="38" s="1"/>
  <c r="F49" i="38"/>
  <c r="L49" i="38" s="1"/>
  <c r="F50" i="38"/>
  <c r="O50" i="38" s="1"/>
  <c r="F51" i="38"/>
  <c r="O51" i="38" s="1"/>
  <c r="E52" i="38"/>
  <c r="F52" i="38"/>
  <c r="G52" i="38"/>
  <c r="M52" i="38" s="1"/>
  <c r="E53" i="38"/>
  <c r="F53" i="38"/>
  <c r="L53" i="38" s="1"/>
  <c r="G53" i="38"/>
  <c r="J53" i="38" s="1"/>
  <c r="E54" i="38"/>
  <c r="F54" i="38"/>
  <c r="G54" i="38"/>
  <c r="M54" i="38" s="1"/>
  <c r="E55" i="38"/>
  <c r="F55" i="38"/>
  <c r="L55" i="38" s="1"/>
  <c r="G55" i="38"/>
  <c r="M55" i="38" s="1"/>
  <c r="E56" i="38"/>
  <c r="F56" i="38"/>
  <c r="G56" i="38"/>
  <c r="M56" i="38" s="1"/>
  <c r="F57" i="38"/>
  <c r="F63" i="38"/>
  <c r="F64" i="38"/>
  <c r="J65" i="38"/>
  <c r="L17" i="29" s="1"/>
  <c r="M65" i="38"/>
  <c r="AR17" i="29" s="1"/>
  <c r="P65" i="38"/>
  <c r="BX17" i="29" s="1"/>
  <c r="N3" i="37"/>
  <c r="P4" i="37"/>
  <c r="H9" i="37"/>
  <c r="K6" i="29" s="1"/>
  <c r="K9" i="37"/>
  <c r="AQ6" i="29" s="1"/>
  <c r="N9" i="37"/>
  <c r="BW6" i="29" s="1"/>
  <c r="J21" i="3" s="1"/>
  <c r="I10" i="37"/>
  <c r="L10" i="37"/>
  <c r="O10" i="37"/>
  <c r="I12" i="37"/>
  <c r="M12" i="37"/>
  <c r="O12" i="37"/>
  <c r="X13" i="37"/>
  <c r="Y13" i="37"/>
  <c r="Z13" i="37"/>
  <c r="O14" i="37"/>
  <c r="O15" i="37"/>
  <c r="O16" i="37"/>
  <c r="O17" i="37"/>
  <c r="K25" i="37"/>
  <c r="N25" i="37"/>
  <c r="K26" i="37"/>
  <c r="N26" i="37"/>
  <c r="E30" i="37"/>
  <c r="F30" i="37"/>
  <c r="E31" i="37"/>
  <c r="F31" i="37"/>
  <c r="E32" i="37"/>
  <c r="F32" i="37"/>
  <c r="E33" i="37"/>
  <c r="F33" i="37"/>
  <c r="F46" i="37"/>
  <c r="L46" i="37" s="1"/>
  <c r="F47" i="37"/>
  <c r="L47" i="37" s="1"/>
  <c r="F48" i="37"/>
  <c r="L48" i="37" s="1"/>
  <c r="F49" i="37"/>
  <c r="F50" i="37"/>
  <c r="F51" i="37"/>
  <c r="L51" i="37" s="1"/>
  <c r="E52" i="37"/>
  <c r="F52" i="37"/>
  <c r="I52" i="37" s="1"/>
  <c r="G52" i="37"/>
  <c r="J52" i="37" s="1"/>
  <c r="E53" i="37"/>
  <c r="F53" i="37"/>
  <c r="L53" i="37" s="1"/>
  <c r="G53" i="37"/>
  <c r="M53" i="37" s="1"/>
  <c r="E54" i="37"/>
  <c r="F54" i="37"/>
  <c r="G54" i="37"/>
  <c r="M54" i="37" s="1"/>
  <c r="E55" i="37"/>
  <c r="F55" i="37"/>
  <c r="L55" i="37" s="1"/>
  <c r="G55" i="37"/>
  <c r="M55" i="37" s="1"/>
  <c r="E56" i="37"/>
  <c r="F56" i="37"/>
  <c r="I56" i="37" s="1"/>
  <c r="G56" i="37"/>
  <c r="J56" i="37" s="1"/>
  <c r="F57" i="37"/>
  <c r="F63" i="37"/>
  <c r="F64" i="37"/>
  <c r="J65" i="37"/>
  <c r="K17" i="29" s="1"/>
  <c r="M65" i="37"/>
  <c r="AQ17" i="29" s="1"/>
  <c r="P65" i="37"/>
  <c r="BW17" i="29" s="1"/>
  <c r="N3" i="36"/>
  <c r="P4" i="36"/>
  <c r="H9" i="36"/>
  <c r="J6" i="29" s="1"/>
  <c r="D20" i="3" s="1"/>
  <c r="K9" i="36"/>
  <c r="AP6" i="29" s="1"/>
  <c r="G20" i="3" s="1"/>
  <c r="N9" i="36"/>
  <c r="BV6" i="29" s="1"/>
  <c r="J20" i="3" s="1"/>
  <c r="I10" i="36"/>
  <c r="L10" i="36"/>
  <c r="O10" i="36"/>
  <c r="I12" i="36"/>
  <c r="M12" i="36"/>
  <c r="O12" i="36"/>
  <c r="X13" i="36"/>
  <c r="Y13" i="36"/>
  <c r="Z13" i="36"/>
  <c r="O15" i="36"/>
  <c r="O16" i="36"/>
  <c r="O17" i="36"/>
  <c r="K25" i="36"/>
  <c r="K26" i="36"/>
  <c r="N26" i="36"/>
  <c r="E30" i="36"/>
  <c r="F30" i="36"/>
  <c r="E31" i="36"/>
  <c r="F31" i="36"/>
  <c r="E32" i="36"/>
  <c r="F32" i="36"/>
  <c r="E33" i="36"/>
  <c r="F33" i="36"/>
  <c r="F46" i="36"/>
  <c r="O46" i="36" s="1"/>
  <c r="F47" i="36"/>
  <c r="F48" i="36"/>
  <c r="F49" i="36"/>
  <c r="I49" i="36" s="1"/>
  <c r="F50" i="36"/>
  <c r="I50" i="36" s="1"/>
  <c r="F51" i="36"/>
  <c r="E52" i="36"/>
  <c r="F52" i="36"/>
  <c r="L52" i="36" s="1"/>
  <c r="G52" i="36"/>
  <c r="M52" i="36" s="1"/>
  <c r="E53" i="36"/>
  <c r="F53" i="36"/>
  <c r="L53" i="36" s="1"/>
  <c r="G53" i="36"/>
  <c r="J53" i="36" s="1"/>
  <c r="E54" i="36"/>
  <c r="F54" i="36"/>
  <c r="G54" i="36"/>
  <c r="J54" i="36" s="1"/>
  <c r="E55" i="36"/>
  <c r="F55" i="36"/>
  <c r="I55" i="36" s="1"/>
  <c r="G55" i="36"/>
  <c r="E56" i="36"/>
  <c r="F56" i="36"/>
  <c r="L56" i="36" s="1"/>
  <c r="G56" i="36"/>
  <c r="M56" i="36" s="1"/>
  <c r="F57" i="36"/>
  <c r="F63" i="36"/>
  <c r="F64" i="36"/>
  <c r="J65" i="36"/>
  <c r="J17" i="29" s="1"/>
  <c r="M65" i="36"/>
  <c r="AP17" i="29" s="1"/>
  <c r="P65" i="36"/>
  <c r="BV17" i="29" s="1"/>
  <c r="N3" i="35"/>
  <c r="P4" i="35"/>
  <c r="H9" i="35"/>
  <c r="I6" i="29" s="1"/>
  <c r="D19" i="3" s="1"/>
  <c r="K9" i="35"/>
  <c r="AO6" i="29" s="1"/>
  <c r="G19" i="3" s="1"/>
  <c r="N9" i="35"/>
  <c r="I10" i="35"/>
  <c r="L10" i="35"/>
  <c r="O10" i="35"/>
  <c r="I12" i="35"/>
  <c r="M12" i="35"/>
  <c r="O12" i="35"/>
  <c r="X13" i="35"/>
  <c r="Y13" i="35"/>
  <c r="Z13" i="35"/>
  <c r="K25" i="35"/>
  <c r="N25" i="35"/>
  <c r="K26" i="35"/>
  <c r="N26" i="35"/>
  <c r="E30" i="35"/>
  <c r="F30" i="35"/>
  <c r="E31" i="35"/>
  <c r="F31" i="35"/>
  <c r="E32" i="35"/>
  <c r="F32" i="35"/>
  <c r="E33" i="35"/>
  <c r="F33" i="35"/>
  <c r="F46" i="35"/>
  <c r="F47" i="35"/>
  <c r="F48" i="35"/>
  <c r="F49" i="35"/>
  <c r="L49" i="35" s="1"/>
  <c r="F50" i="35"/>
  <c r="L50" i="35" s="1"/>
  <c r="F51" i="35"/>
  <c r="L51" i="35" s="1"/>
  <c r="F52" i="35"/>
  <c r="L52" i="35" s="1"/>
  <c r="E53" i="35"/>
  <c r="F53" i="35"/>
  <c r="I53" i="35" s="1"/>
  <c r="G53" i="35"/>
  <c r="J53" i="35" s="1"/>
  <c r="E54" i="35"/>
  <c r="F54" i="35"/>
  <c r="I54" i="35" s="1"/>
  <c r="G54" i="35"/>
  <c r="M54" i="35" s="1"/>
  <c r="E55" i="35"/>
  <c r="F55" i="35"/>
  <c r="G55" i="35"/>
  <c r="E56" i="35"/>
  <c r="F56" i="35"/>
  <c r="G56" i="35"/>
  <c r="F57" i="35"/>
  <c r="F63" i="35"/>
  <c r="F64" i="35"/>
  <c r="J65" i="35"/>
  <c r="I17" i="29" s="1"/>
  <c r="M65" i="35"/>
  <c r="AO17" i="29" s="1"/>
  <c r="P65" i="35"/>
  <c r="BU17" i="29" s="1"/>
  <c r="N3" i="34"/>
  <c r="P4" i="34"/>
  <c r="H9" i="34"/>
  <c r="H6" i="29" s="1"/>
  <c r="D18" i="3" s="1"/>
  <c r="K9" i="34"/>
  <c r="N9" i="34"/>
  <c r="BT6" i="29" s="1"/>
  <c r="J18" i="3" s="1"/>
  <c r="I10" i="34"/>
  <c r="L10" i="34"/>
  <c r="O10" i="34"/>
  <c r="I12" i="34"/>
  <c r="M12" i="34"/>
  <c r="O12" i="34"/>
  <c r="X13" i="34"/>
  <c r="Y13" i="34"/>
  <c r="Z13" i="34"/>
  <c r="K25" i="34"/>
  <c r="K26" i="34"/>
  <c r="E30" i="34"/>
  <c r="F30" i="34"/>
  <c r="E31" i="34"/>
  <c r="F31" i="34"/>
  <c r="E32" i="34"/>
  <c r="F32" i="34"/>
  <c r="E33" i="34"/>
  <c r="F33" i="34"/>
  <c r="F46" i="34"/>
  <c r="L46" i="34" s="1"/>
  <c r="F47" i="34"/>
  <c r="L47" i="34" s="1"/>
  <c r="F48" i="34"/>
  <c r="L48" i="34" s="1"/>
  <c r="F49" i="34"/>
  <c r="L49" i="34" s="1"/>
  <c r="F50" i="34"/>
  <c r="F51" i="34"/>
  <c r="L51" i="34" s="1"/>
  <c r="F52" i="34"/>
  <c r="E53" i="34"/>
  <c r="F53" i="34"/>
  <c r="G53" i="34"/>
  <c r="E54" i="34"/>
  <c r="F54" i="34"/>
  <c r="G54" i="34"/>
  <c r="P54" i="34" s="1"/>
  <c r="E55" i="34"/>
  <c r="F55" i="34"/>
  <c r="L55" i="34" s="1"/>
  <c r="G55" i="34"/>
  <c r="J55" i="34" s="1"/>
  <c r="E56" i="34"/>
  <c r="F56" i="34"/>
  <c r="I56" i="34" s="1"/>
  <c r="G56" i="34"/>
  <c r="M56" i="34" s="1"/>
  <c r="F57" i="34"/>
  <c r="F63" i="34"/>
  <c r="F64" i="34"/>
  <c r="J65" i="34"/>
  <c r="H17" i="29" s="1"/>
  <c r="M65" i="34"/>
  <c r="AN17" i="29" s="1"/>
  <c r="P65" i="34"/>
  <c r="BT17" i="29" s="1"/>
  <c r="N3" i="58"/>
  <c r="P4" i="58"/>
  <c r="H9" i="58"/>
  <c r="K9" i="58"/>
  <c r="AM6" i="29" s="1"/>
  <c r="G17" i="3" s="1"/>
  <c r="N9" i="58"/>
  <c r="BS6" i="29" s="1"/>
  <c r="J17" i="3" s="1"/>
  <c r="I10" i="58"/>
  <c r="L10" i="58"/>
  <c r="O10" i="58"/>
  <c r="I12" i="58"/>
  <c r="M12" i="58"/>
  <c r="O12" i="58"/>
  <c r="X13" i="58"/>
  <c r="Y13" i="58"/>
  <c r="Z13" i="58"/>
  <c r="O15" i="58"/>
  <c r="O16" i="58"/>
  <c r="O17" i="58"/>
  <c r="K25" i="58"/>
  <c r="N25" i="58"/>
  <c r="K26" i="58"/>
  <c r="N26" i="58"/>
  <c r="E30" i="58"/>
  <c r="F30" i="58"/>
  <c r="E31" i="58"/>
  <c r="F31" i="58"/>
  <c r="E32" i="58"/>
  <c r="F32" i="58"/>
  <c r="E33" i="58"/>
  <c r="F33" i="58"/>
  <c r="F46" i="58"/>
  <c r="F47" i="58"/>
  <c r="F48" i="58"/>
  <c r="F49" i="58"/>
  <c r="F50" i="58"/>
  <c r="H50" i="58"/>
  <c r="F51" i="58"/>
  <c r="L51" i="58" s="1"/>
  <c r="E52" i="58"/>
  <c r="F52" i="58"/>
  <c r="G52" i="58"/>
  <c r="E53" i="58"/>
  <c r="F53" i="58"/>
  <c r="G53" i="58"/>
  <c r="M53" i="58" s="1"/>
  <c r="E54" i="58"/>
  <c r="F54" i="58"/>
  <c r="G54" i="58"/>
  <c r="P54" i="58" s="1"/>
  <c r="E55" i="58"/>
  <c r="F55" i="58"/>
  <c r="L55" i="58" s="1"/>
  <c r="G55" i="58"/>
  <c r="M55" i="58" s="1"/>
  <c r="E56" i="58"/>
  <c r="F56" i="58"/>
  <c r="G56" i="58"/>
  <c r="F57" i="58"/>
  <c r="F63" i="58"/>
  <c r="F64" i="58"/>
  <c r="J65" i="58"/>
  <c r="G17" i="29" s="1"/>
  <c r="M65" i="58"/>
  <c r="AM17" i="29" s="1"/>
  <c r="P65" i="58"/>
  <c r="BS17" i="29" s="1"/>
  <c r="N3" i="57"/>
  <c r="P4" i="57"/>
  <c r="H9" i="57"/>
  <c r="F6" i="29" s="1"/>
  <c r="K9" i="57"/>
  <c r="AL6" i="29" s="1"/>
  <c r="G16" i="3" s="1"/>
  <c r="N9" i="57"/>
  <c r="BR6" i="29" s="1"/>
  <c r="I10" i="57"/>
  <c r="L10" i="57"/>
  <c r="O10" i="57"/>
  <c r="M12" i="57"/>
  <c r="X13" i="57"/>
  <c r="Y13" i="57"/>
  <c r="Z13" i="57"/>
  <c r="O15" i="57"/>
  <c r="O16" i="57"/>
  <c r="O17" i="57"/>
  <c r="K25" i="57"/>
  <c r="N25" i="57"/>
  <c r="K26" i="57"/>
  <c r="N26" i="57"/>
  <c r="E30" i="57"/>
  <c r="F30" i="57"/>
  <c r="E31" i="57"/>
  <c r="F31" i="57"/>
  <c r="E32" i="57"/>
  <c r="F32" i="57"/>
  <c r="E33" i="57"/>
  <c r="F33" i="57"/>
  <c r="F46" i="57"/>
  <c r="F47" i="57"/>
  <c r="L47" i="57" s="1"/>
  <c r="F48" i="57"/>
  <c r="L48" i="57" s="1"/>
  <c r="F49" i="57"/>
  <c r="I49" i="57" s="1"/>
  <c r="F50" i="57"/>
  <c r="H50" i="57"/>
  <c r="F51" i="57"/>
  <c r="E52" i="57"/>
  <c r="F52" i="57"/>
  <c r="G52" i="57"/>
  <c r="P52" i="57" s="1"/>
  <c r="E53" i="57"/>
  <c r="F53" i="57"/>
  <c r="I53" i="57" s="1"/>
  <c r="G53" i="57"/>
  <c r="J53" i="57" s="1"/>
  <c r="E54" i="57"/>
  <c r="F54" i="57"/>
  <c r="L54" i="57" s="1"/>
  <c r="G54" i="57"/>
  <c r="M54" i="57" s="1"/>
  <c r="E55" i="57"/>
  <c r="F55" i="57"/>
  <c r="G55" i="57"/>
  <c r="E56" i="57"/>
  <c r="F56" i="57"/>
  <c r="L56" i="57" s="1"/>
  <c r="G56" i="57"/>
  <c r="M56" i="57" s="1"/>
  <c r="F57" i="57"/>
  <c r="F63" i="57"/>
  <c r="F64" i="57"/>
  <c r="J65" i="57"/>
  <c r="F17" i="29" s="1"/>
  <c r="M65" i="57"/>
  <c r="AL17" i="29" s="1"/>
  <c r="P65" i="57"/>
  <c r="BR17" i="29" s="1"/>
  <c r="N3" i="33"/>
  <c r="P4" i="33"/>
  <c r="H9" i="33"/>
  <c r="E6" i="29" s="1"/>
  <c r="D15" i="3" s="1"/>
  <c r="N9" i="33"/>
  <c r="BQ6" i="29" s="1"/>
  <c r="J15" i="3" s="1"/>
  <c r="I10" i="33"/>
  <c r="L10" i="33"/>
  <c r="O10" i="33"/>
  <c r="I12" i="33"/>
  <c r="M12" i="33"/>
  <c r="O12" i="33"/>
  <c r="X13" i="33"/>
  <c r="Y13" i="33"/>
  <c r="Z13" i="33"/>
  <c r="O16" i="33"/>
  <c r="O17" i="33"/>
  <c r="K25" i="33"/>
  <c r="N25" i="33"/>
  <c r="K26" i="33"/>
  <c r="N26" i="33"/>
  <c r="E30" i="33"/>
  <c r="F30" i="33"/>
  <c r="E31" i="33"/>
  <c r="F31" i="33"/>
  <c r="E32" i="33"/>
  <c r="F32" i="33"/>
  <c r="E33" i="33"/>
  <c r="F33" i="33"/>
  <c r="F46" i="33"/>
  <c r="F47" i="33"/>
  <c r="L47" i="33" s="1"/>
  <c r="F48" i="33"/>
  <c r="F49" i="33"/>
  <c r="O49" i="33" s="1"/>
  <c r="F50" i="33"/>
  <c r="F51" i="33"/>
  <c r="E52" i="33"/>
  <c r="F52" i="33"/>
  <c r="I52" i="33" s="1"/>
  <c r="G52" i="33"/>
  <c r="M52" i="33" s="1"/>
  <c r="E53" i="33"/>
  <c r="F53" i="33"/>
  <c r="L53" i="33" s="1"/>
  <c r="G53" i="33"/>
  <c r="M53" i="33" s="1"/>
  <c r="E54" i="33"/>
  <c r="F54" i="33"/>
  <c r="I54" i="33" s="1"/>
  <c r="G54" i="33"/>
  <c r="E55" i="33"/>
  <c r="F55" i="33"/>
  <c r="L55" i="33" s="1"/>
  <c r="G55" i="33"/>
  <c r="M55" i="33" s="1"/>
  <c r="E56" i="33"/>
  <c r="F56" i="33"/>
  <c r="L56" i="33" s="1"/>
  <c r="G56" i="33"/>
  <c r="M56" i="33" s="1"/>
  <c r="F57" i="33"/>
  <c r="F63" i="33"/>
  <c r="F64" i="33"/>
  <c r="J65" i="33"/>
  <c r="E17" i="29" s="1"/>
  <c r="M65" i="33"/>
  <c r="AK17" i="29" s="1"/>
  <c r="P65" i="33"/>
  <c r="BQ17" i="29" s="1"/>
  <c r="G114" i="33"/>
  <c r="G116" i="33"/>
  <c r="N3" i="31"/>
  <c r="P4" i="31"/>
  <c r="G4" i="30" s="1"/>
  <c r="H9" i="31"/>
  <c r="K9" i="31"/>
  <c r="N9" i="31"/>
  <c r="BP6" i="29" s="1"/>
  <c r="J14" i="3" s="1"/>
  <c r="I10" i="31"/>
  <c r="L10" i="31"/>
  <c r="O10" i="31"/>
  <c r="U11" i="31"/>
  <c r="I12" i="31"/>
  <c r="M12" i="31"/>
  <c r="O12" i="31"/>
  <c r="X13" i="31"/>
  <c r="Y13" i="31"/>
  <c r="Z13" i="31"/>
  <c r="O15" i="31"/>
  <c r="O16" i="31"/>
  <c r="K25" i="31"/>
  <c r="N25" i="31"/>
  <c r="K26" i="31"/>
  <c r="N26" i="31"/>
  <c r="E31" i="31"/>
  <c r="F31" i="31"/>
  <c r="E32" i="31"/>
  <c r="F32" i="31"/>
  <c r="E33" i="31"/>
  <c r="F33" i="31"/>
  <c r="L46" i="31"/>
  <c r="F47" i="31"/>
  <c r="F48" i="31"/>
  <c r="O48" i="31" s="1"/>
  <c r="F49" i="31"/>
  <c r="O49" i="31" s="1"/>
  <c r="F50" i="31"/>
  <c r="F51" i="31"/>
  <c r="L51" i="31" s="1"/>
  <c r="E52" i="31"/>
  <c r="F52" i="31"/>
  <c r="I52" i="31" s="1"/>
  <c r="G52" i="31"/>
  <c r="J52" i="31" s="1"/>
  <c r="E53" i="31"/>
  <c r="F53" i="31"/>
  <c r="L53" i="31" s="1"/>
  <c r="G53" i="31"/>
  <c r="M53" i="31" s="1"/>
  <c r="E54" i="31"/>
  <c r="F54" i="31"/>
  <c r="G54" i="31"/>
  <c r="M54" i="31" s="1"/>
  <c r="E55" i="31"/>
  <c r="F55" i="31"/>
  <c r="I55" i="31" s="1"/>
  <c r="G55" i="31"/>
  <c r="J55" i="31" s="1"/>
  <c r="E56" i="31"/>
  <c r="F56" i="31"/>
  <c r="G56" i="31"/>
  <c r="F57" i="31"/>
  <c r="F63" i="31"/>
  <c r="J65" i="31"/>
  <c r="D17" i="29" s="1"/>
  <c r="M65" i="31"/>
  <c r="AJ17" i="29" s="1"/>
  <c r="P65" i="31"/>
  <c r="BP17" i="29" s="1"/>
  <c r="N146" i="31"/>
  <c r="D22" i="3"/>
  <c r="D30" i="3"/>
  <c r="D32" i="3"/>
  <c r="D39" i="3"/>
  <c r="D40" i="3"/>
  <c r="G21" i="3"/>
  <c r="G31" i="3"/>
  <c r="G38" i="3"/>
  <c r="G39" i="3"/>
  <c r="J23" i="3"/>
  <c r="J25" i="3"/>
  <c r="E2" i="30"/>
  <c r="O69" i="30" s="1"/>
  <c r="D10" i="30"/>
  <c r="D11" i="30" s="1"/>
  <c r="D12" i="30" s="1"/>
  <c r="D13" i="30" s="1"/>
  <c r="D14" i="30" s="1"/>
  <c r="D15" i="30" s="1"/>
  <c r="D16" i="30" s="1"/>
  <c r="D17" i="30" s="1"/>
  <c r="D18" i="30" s="1"/>
  <c r="D19" i="30" s="1"/>
  <c r="D21" i="30" s="1"/>
  <c r="D22" i="30" s="1"/>
  <c r="D23" i="30" s="1"/>
  <c r="D24" i="30" s="1"/>
  <c r="D25" i="30" s="1"/>
  <c r="D26" i="30" s="1"/>
  <c r="D27" i="30" s="1"/>
  <c r="D28" i="30" s="1"/>
  <c r="D29" i="30" s="1"/>
  <c r="D30" i="30" s="1"/>
  <c r="D32" i="30" s="1"/>
  <c r="D34" i="30" s="1"/>
  <c r="D35" i="30" s="1"/>
  <c r="D36" i="30" s="1"/>
  <c r="D37" i="30" s="1"/>
  <c r="D39" i="30" s="1"/>
  <c r="D40" i="30" s="1"/>
  <c r="D41" i="30" s="1"/>
  <c r="D42" i="30" s="1"/>
  <c r="D43" i="30" s="1"/>
  <c r="D44" i="30" s="1"/>
  <c r="D45" i="30" s="1"/>
  <c r="D46" i="30" s="1"/>
  <c r="D48" i="30" s="1"/>
  <c r="D49" i="30" s="1"/>
  <c r="D50" i="30" s="1"/>
  <c r="D51" i="30" s="1"/>
  <c r="D52" i="30" s="1"/>
  <c r="D53" i="30" s="1"/>
  <c r="D54" i="30" s="1"/>
  <c r="D57" i="30" s="1"/>
  <c r="D59" i="30" s="1"/>
  <c r="D62" i="30" s="1"/>
  <c r="D66" i="30" s="1"/>
  <c r="D67" i="30" s="1"/>
  <c r="D68" i="30" s="1"/>
  <c r="D69" i="30" s="1"/>
  <c r="D70" i="30" s="1"/>
  <c r="D71" i="30" s="1"/>
  <c r="D72" i="30" s="1"/>
  <c r="D74" i="30" s="1"/>
  <c r="D75" i="30" s="1"/>
  <c r="D77" i="30" s="1"/>
  <c r="D78" i="30" s="1"/>
  <c r="D83" i="30" s="1"/>
  <c r="D84" i="30" s="1"/>
  <c r="D85" i="30" s="1"/>
  <c r="D86" i="30" s="1"/>
  <c r="D87" i="30" s="1"/>
  <c r="D88" i="30" s="1"/>
  <c r="D89" i="30" s="1"/>
  <c r="E11" i="30"/>
  <c r="F98" i="30"/>
  <c r="F102" i="30"/>
  <c r="I114" i="30"/>
  <c r="K114" i="30"/>
  <c r="M114" i="30"/>
  <c r="O114" i="30"/>
  <c r="Q114" i="30"/>
  <c r="S114" i="30"/>
  <c r="U114" i="30"/>
  <c r="J127" i="30"/>
  <c r="J137" i="30" s="1"/>
  <c r="L127" i="30"/>
  <c r="L137" i="30" s="1"/>
  <c r="N137" i="30"/>
  <c r="P127" i="30"/>
  <c r="P137" i="30" s="1"/>
  <c r="R137" i="30"/>
  <c r="T127" i="30"/>
  <c r="T137" i="30" s="1"/>
  <c r="V137" i="30"/>
  <c r="X137" i="30"/>
  <c r="J128" i="30"/>
  <c r="L128" i="30"/>
  <c r="P128" i="30"/>
  <c r="T128" i="30"/>
  <c r="J129" i="30"/>
  <c r="L129" i="30"/>
  <c r="P129" i="30"/>
  <c r="T129" i="30"/>
  <c r="J130" i="30"/>
  <c r="L130" i="30"/>
  <c r="P130" i="30"/>
  <c r="T130" i="30"/>
  <c r="J131" i="30"/>
  <c r="L131" i="30"/>
  <c r="P131" i="30"/>
  <c r="T131" i="30"/>
  <c r="J132" i="30"/>
  <c r="L132" i="30"/>
  <c r="P132" i="30"/>
  <c r="T132" i="30"/>
  <c r="J133" i="30"/>
  <c r="L133" i="30"/>
  <c r="P133" i="30"/>
  <c r="T133" i="30"/>
  <c r="J134" i="30"/>
  <c r="L134" i="30"/>
  <c r="P134" i="30"/>
  <c r="T134" i="30"/>
  <c r="J135" i="30"/>
  <c r="L135" i="30"/>
  <c r="P135" i="30"/>
  <c r="T135" i="30"/>
  <c r="J136" i="30"/>
  <c r="L136" i="30"/>
  <c r="P136" i="30"/>
  <c r="T136" i="30"/>
  <c r="F234" i="30"/>
  <c r="C14" i="3" s="1"/>
  <c r="F235" i="30"/>
  <c r="C15" i="3" s="1"/>
  <c r="F236" i="30"/>
  <c r="C16" i="3" s="1"/>
  <c r="F237" i="30"/>
  <c r="C17" i="3" s="1"/>
  <c r="F238" i="30"/>
  <c r="C18" i="3" s="1"/>
  <c r="F239" i="30"/>
  <c r="C19" i="3" s="1"/>
  <c r="F240" i="30"/>
  <c r="C20" i="3" s="1"/>
  <c r="F241" i="30"/>
  <c r="C21" i="3" s="1"/>
  <c r="F242" i="30"/>
  <c r="C22" i="3" s="1"/>
  <c r="F243" i="30"/>
  <c r="C23" i="3" s="1"/>
  <c r="F244" i="30"/>
  <c r="C24" i="3" s="1"/>
  <c r="F245" i="30"/>
  <c r="C25" i="3" s="1"/>
  <c r="F246" i="30"/>
  <c r="C26" i="3" s="1"/>
  <c r="F247" i="30"/>
  <c r="C27" i="3" s="1"/>
  <c r="F248" i="30"/>
  <c r="C28" i="3" s="1"/>
  <c r="F249" i="30"/>
  <c r="C29" i="3" s="1"/>
  <c r="F250" i="30"/>
  <c r="C30" i="3" s="1"/>
  <c r="F251" i="30"/>
  <c r="C31" i="3" s="1"/>
  <c r="F252" i="30"/>
  <c r="C32" i="3" s="1"/>
  <c r="F253" i="30"/>
  <c r="C33" i="3" s="1"/>
  <c r="F254" i="30"/>
  <c r="C34" i="3" s="1"/>
  <c r="F255" i="30"/>
  <c r="C35" i="3" s="1"/>
  <c r="F256" i="30"/>
  <c r="C36" i="3" s="1"/>
  <c r="F257" i="30"/>
  <c r="C37" i="3" s="1"/>
  <c r="F258" i="30"/>
  <c r="C38" i="3" s="1"/>
  <c r="F259" i="30"/>
  <c r="C39" i="3" s="1"/>
  <c r="F260" i="30"/>
  <c r="C40" i="3" s="1"/>
  <c r="F261" i="30"/>
  <c r="C41" i="3" s="1"/>
  <c r="F263" i="30"/>
  <c r="C43" i="3" s="1"/>
  <c r="F264" i="30"/>
  <c r="B116" i="26"/>
  <c r="B1" i="24"/>
  <c r="C1" i="24"/>
  <c r="D1" i="24"/>
  <c r="E1" i="24"/>
  <c r="F1" i="24"/>
  <c r="G1" i="24"/>
  <c r="H1" i="24"/>
  <c r="I1" i="24"/>
  <c r="J1" i="24"/>
  <c r="K1" i="24"/>
  <c r="L1" i="24"/>
  <c r="M1" i="24"/>
  <c r="N1" i="24"/>
  <c r="O1" i="24"/>
  <c r="P1" i="24"/>
  <c r="Q1" i="24"/>
  <c r="K17" i="20"/>
  <c r="M17" i="20"/>
  <c r="K18" i="20"/>
  <c r="M18" i="20"/>
  <c r="K25" i="20"/>
  <c r="M25" i="20"/>
  <c r="K31" i="20"/>
  <c r="M31" i="20"/>
  <c r="K32" i="20"/>
  <c r="M32" i="20"/>
  <c r="K38" i="20"/>
  <c r="M38" i="20"/>
  <c r="O3" i="18"/>
  <c r="F24" i="18"/>
  <c r="F25" i="18"/>
  <c r="F26" i="18"/>
  <c r="F27" i="18"/>
  <c r="F28" i="18"/>
  <c r="E48" i="88" s="1"/>
  <c r="F29" i="18"/>
  <c r="F30" i="18"/>
  <c r="F32" i="18"/>
  <c r="F33" i="18"/>
  <c r="E49" i="88" s="1"/>
  <c r="F34" i="18"/>
  <c r="F35" i="18"/>
  <c r="F36" i="18"/>
  <c r="J36" i="18"/>
  <c r="F37" i="18"/>
  <c r="F38" i="18"/>
  <c r="F39" i="18"/>
  <c r="F40" i="18"/>
  <c r="F42" i="18"/>
  <c r="E52" i="86" s="1"/>
  <c r="F43" i="18"/>
  <c r="F44" i="18"/>
  <c r="E54" i="88" s="1"/>
  <c r="F45" i="18"/>
  <c r="F47" i="18"/>
  <c r="F49" i="18"/>
  <c r="F50" i="18"/>
  <c r="F51" i="18"/>
  <c r="F53" i="18"/>
  <c r="F54" i="18"/>
  <c r="F55" i="18"/>
  <c r="F56" i="18"/>
  <c r="F57" i="18"/>
  <c r="F58" i="18"/>
  <c r="F59" i="18"/>
  <c r="J59" i="18"/>
  <c r="F60" i="18"/>
  <c r="J60" i="18"/>
  <c r="F61" i="18"/>
  <c r="F62" i="18"/>
  <c r="E49" i="86" s="1"/>
  <c r="F63" i="18"/>
  <c r="E50" i="86" s="1"/>
  <c r="F64" i="18"/>
  <c r="E51" i="86" s="1"/>
  <c r="F65" i="18"/>
  <c r="F66" i="18"/>
  <c r="E53" i="86" s="1"/>
  <c r="F67" i="18"/>
  <c r="F68" i="18"/>
  <c r="B91" i="18"/>
  <c r="O3" i="17"/>
  <c r="N58" i="17"/>
  <c r="A6" i="9"/>
  <c r="A7" i="9"/>
  <c r="Y7" i="9"/>
  <c r="A8" i="9"/>
  <c r="O8" i="9"/>
  <c r="O14" i="9" s="1"/>
  <c r="B2" i="82" s="1"/>
  <c r="A9" i="9"/>
  <c r="A10" i="9"/>
  <c r="A11" i="9"/>
  <c r="A12" i="9"/>
  <c r="A13" i="9"/>
  <c r="A14" i="9"/>
  <c r="A15" i="9"/>
  <c r="A16" i="9"/>
  <c r="O16" i="9" s="1"/>
  <c r="A17" i="9"/>
  <c r="O17" i="9" s="1"/>
  <c r="A18" i="9"/>
  <c r="O18" i="9" s="1"/>
  <c r="A19" i="9"/>
  <c r="O19" i="9" s="1"/>
  <c r="A20" i="9"/>
  <c r="O20" i="9" s="1"/>
  <c r="A21" i="9"/>
  <c r="O21" i="9" s="1"/>
  <c r="A22" i="9"/>
  <c r="O22" i="9" s="1"/>
  <c r="A23" i="9"/>
  <c r="O23" i="9" s="1"/>
  <c r="A24" i="9"/>
  <c r="O24" i="9" s="1"/>
  <c r="A25" i="9"/>
  <c r="O25" i="9" s="1"/>
  <c r="A26" i="9"/>
  <c r="O26" i="9" s="1"/>
  <c r="A27" i="9"/>
  <c r="O27" i="9" s="1"/>
  <c r="A28" i="9"/>
  <c r="O28" i="9" s="1"/>
  <c r="A29" i="9"/>
  <c r="O29" i="9" s="1"/>
  <c r="A30" i="9"/>
  <c r="O30" i="9" s="1"/>
  <c r="A31" i="9"/>
  <c r="O31" i="9" s="1"/>
  <c r="A32" i="9"/>
  <c r="O32" i="9" s="1"/>
  <c r="A33" i="9"/>
  <c r="O33" i="9" s="1"/>
  <c r="A34" i="9"/>
  <c r="O34" i="9" s="1"/>
  <c r="A35" i="9"/>
  <c r="O35" i="9" s="1"/>
  <c r="A36" i="9"/>
  <c r="O36" i="9" s="1"/>
  <c r="A37" i="9"/>
  <c r="O37" i="9" s="1"/>
  <c r="A38" i="9"/>
  <c r="O38" i="9" s="1"/>
  <c r="A39" i="9"/>
  <c r="O39" i="9" s="1"/>
  <c r="A40" i="9"/>
  <c r="O40" i="9" s="1"/>
  <c r="A41" i="9"/>
  <c r="O41" i="9" s="1"/>
  <c r="A42" i="9"/>
  <c r="O42" i="9" s="1"/>
  <c r="A43" i="9"/>
  <c r="O43" i="9" s="1"/>
  <c r="A44" i="9"/>
  <c r="O44" i="9" s="1"/>
  <c r="A45" i="9"/>
  <c r="O45" i="9" s="1"/>
  <c r="A46" i="9"/>
  <c r="O46" i="9" s="1"/>
  <c r="A47" i="9"/>
  <c r="O47" i="9" s="1"/>
  <c r="A48" i="9"/>
  <c r="O48" i="9" s="1"/>
  <c r="A49" i="9"/>
  <c r="A50" i="9"/>
  <c r="A51" i="9"/>
  <c r="A52" i="9"/>
  <c r="O52" i="9" s="1"/>
  <c r="A53" i="9"/>
  <c r="O53" i="9" s="1"/>
  <c r="A54" i="9"/>
  <c r="O54" i="9" s="1"/>
  <c r="A55" i="9"/>
  <c r="P55" i="9" s="1"/>
  <c r="A56" i="9"/>
  <c r="A57" i="9"/>
  <c r="A58" i="9"/>
  <c r="A59" i="9"/>
  <c r="O59" i="9" s="1"/>
  <c r="A60" i="9"/>
  <c r="O60" i="9" s="1"/>
  <c r="A61" i="9"/>
  <c r="O61" i="9" s="1"/>
  <c r="D1" i="5"/>
  <c r="E1" i="5"/>
  <c r="F1" i="5"/>
  <c r="G1" i="5"/>
  <c r="H1" i="5"/>
  <c r="I1" i="5"/>
  <c r="D4" i="5"/>
  <c r="J4" i="5"/>
  <c r="L6" i="5"/>
  <c r="J7" i="5"/>
  <c r="A1" i="5" s="1"/>
  <c r="O1" i="4"/>
  <c r="M10" i="3" s="1"/>
  <c r="L3" i="4"/>
  <c r="K3" i="3"/>
  <c r="D16" i="3"/>
  <c r="G34" i="3"/>
  <c r="J28" i="3"/>
  <c r="F75" i="1"/>
  <c r="F82" i="1" s="1"/>
  <c r="F83" i="1" s="1"/>
  <c r="F84" i="1" s="1"/>
  <c r="F85" i="1" s="1"/>
  <c r="K57" i="72" l="1"/>
  <c r="H57" i="72"/>
  <c r="N57" i="72"/>
  <c r="R6" i="29"/>
  <c r="D28" i="3" s="1"/>
  <c r="Z17" i="46"/>
  <c r="W6" i="29"/>
  <c r="D33" i="3" s="1"/>
  <c r="E51" i="71"/>
  <c r="E51" i="64"/>
  <c r="E51" i="65"/>
  <c r="E50" i="90"/>
  <c r="E51" i="66"/>
  <c r="R68" i="85"/>
  <c r="S68" i="85"/>
  <c r="T68" i="85"/>
  <c r="X16" i="43"/>
  <c r="Z16" i="46"/>
  <c r="N53" i="56"/>
  <c r="E57" i="84"/>
  <c r="E57" i="78"/>
  <c r="E57" i="76"/>
  <c r="E57" i="73"/>
  <c r="E57" i="80"/>
  <c r="E57" i="83"/>
  <c r="E57" i="79"/>
  <c r="E57" i="77"/>
  <c r="E57" i="74"/>
  <c r="E57" i="72"/>
  <c r="E57" i="75"/>
  <c r="E57" i="81"/>
  <c r="E57" i="62"/>
  <c r="E51" i="77"/>
  <c r="E49" i="73"/>
  <c r="E50" i="79"/>
  <c r="E50" i="74"/>
  <c r="E51" i="78"/>
  <c r="E49" i="72"/>
  <c r="E49" i="83"/>
  <c r="E51" i="84"/>
  <c r="E50" i="81"/>
  <c r="E50" i="75"/>
  <c r="E51" i="76"/>
  <c r="E50" i="85"/>
  <c r="E50" i="84"/>
  <c r="E49" i="64"/>
  <c r="E49" i="71"/>
  <c r="E50" i="65"/>
  <c r="E49" i="66"/>
  <c r="E49" i="90"/>
  <c r="S68" i="88"/>
  <c r="T68" i="88"/>
  <c r="R68" i="88"/>
  <c r="Z15" i="43"/>
  <c r="Z15" i="46"/>
  <c r="R68" i="48"/>
  <c r="T68" i="48"/>
  <c r="S68" i="48"/>
  <c r="Z15" i="49"/>
  <c r="N31" i="49" s="1"/>
  <c r="S68" i="74"/>
  <c r="T68" i="58"/>
  <c r="R68" i="41"/>
  <c r="T68" i="33"/>
  <c r="T68" i="34"/>
  <c r="S68" i="35"/>
  <c r="S68" i="77"/>
  <c r="S68" i="75"/>
  <c r="M67" i="75" s="1"/>
  <c r="R68" i="34"/>
  <c r="T68" i="40"/>
  <c r="R68" i="58"/>
  <c r="S68" i="33"/>
  <c r="R68" i="72"/>
  <c r="S68" i="73"/>
  <c r="R68" i="77"/>
  <c r="S68" i="41"/>
  <c r="S68" i="38"/>
  <c r="R68" i="73"/>
  <c r="T68" i="75"/>
  <c r="T68" i="39"/>
  <c r="R68" i="79"/>
  <c r="T68" i="78"/>
  <c r="S68" i="79"/>
  <c r="R68" i="42"/>
  <c r="T68" i="41"/>
  <c r="T68" i="42"/>
  <c r="T68" i="72"/>
  <c r="S68" i="34"/>
  <c r="S68" i="76"/>
  <c r="S68" i="39"/>
  <c r="T68" i="59"/>
  <c r="R68" i="37"/>
  <c r="S68" i="72"/>
  <c r="S68" i="36"/>
  <c r="R68" i="38"/>
  <c r="T68" i="77"/>
  <c r="R68" i="59"/>
  <c r="R68" i="33"/>
  <c r="R68" i="31"/>
  <c r="S68" i="58"/>
  <c r="R68" i="75"/>
  <c r="R68" i="76"/>
  <c r="T68" i="74"/>
  <c r="S68" i="37"/>
  <c r="R68" i="39"/>
  <c r="T68" i="79"/>
  <c r="S68" i="59"/>
  <c r="T68" i="76"/>
  <c r="T68" i="31"/>
  <c r="T68" i="35"/>
  <c r="S68" i="78"/>
  <c r="R68" i="57"/>
  <c r="R68" i="35"/>
  <c r="S68" i="31"/>
  <c r="S68" i="57"/>
  <c r="R68" i="78"/>
  <c r="R68" i="40"/>
  <c r="T68" i="73"/>
  <c r="R68" i="74"/>
  <c r="T68" i="57"/>
  <c r="R68" i="36"/>
  <c r="T68" i="37"/>
  <c r="S68" i="42"/>
  <c r="T68" i="36"/>
  <c r="T68" i="38"/>
  <c r="S68" i="40"/>
  <c r="CC6" i="29"/>
  <c r="J27" i="3" s="1"/>
  <c r="BC6" i="29"/>
  <c r="G33" i="3" s="1"/>
  <c r="E47" i="82"/>
  <c r="E48" i="90"/>
  <c r="E49" i="77"/>
  <c r="E49" i="74"/>
  <c r="E48" i="83"/>
  <c r="E48" i="66"/>
  <c r="E49" i="79"/>
  <c r="E48" i="73"/>
  <c r="E49" i="75"/>
  <c r="E48" i="71"/>
  <c r="E49" i="84"/>
  <c r="E48" i="72"/>
  <c r="E48" i="64"/>
  <c r="E48" i="65"/>
  <c r="E46" i="91"/>
  <c r="E48" i="81"/>
  <c r="E49" i="78"/>
  <c r="E49" i="76"/>
  <c r="E47" i="52"/>
  <c r="E47" i="85"/>
  <c r="E48" i="86"/>
  <c r="E49" i="80"/>
  <c r="E47" i="87"/>
  <c r="X14" i="51"/>
  <c r="X15" i="53"/>
  <c r="E46" i="82"/>
  <c r="E46" i="87"/>
  <c r="E46" i="64"/>
  <c r="E47" i="84"/>
  <c r="E46" i="72"/>
  <c r="E46" i="65"/>
  <c r="E47" i="80"/>
  <c r="E47" i="78"/>
  <c r="E47" i="76"/>
  <c r="E47" i="88"/>
  <c r="E46" i="73"/>
  <c r="E46" i="66"/>
  <c r="E46" i="85"/>
  <c r="E47" i="86"/>
  <c r="E46" i="83"/>
  <c r="E47" i="79"/>
  <c r="E47" i="77"/>
  <c r="E47" i="74"/>
  <c r="E46" i="71"/>
  <c r="E46" i="81"/>
  <c r="CD6" i="29"/>
  <c r="J29" i="3" s="1"/>
  <c r="E50" i="82"/>
  <c r="E54" i="85"/>
  <c r="E55" i="88"/>
  <c r="E52" i="73"/>
  <c r="E54" i="81"/>
  <c r="E55" i="86"/>
  <c r="E53" i="83"/>
  <c r="E54" i="77"/>
  <c r="E53" i="79"/>
  <c r="E55" i="80"/>
  <c r="E53" i="74"/>
  <c r="E53" i="72"/>
  <c r="E54" i="78"/>
  <c r="E54" i="76"/>
  <c r="E54" i="84"/>
  <c r="R68" i="49"/>
  <c r="R68" i="50"/>
  <c r="S68" i="50"/>
  <c r="T68" i="49"/>
  <c r="T68" i="50"/>
  <c r="S68" i="49"/>
  <c r="AX6" i="29"/>
  <c r="G28" i="3" s="1"/>
  <c r="E48" i="52"/>
  <c r="E48" i="85"/>
  <c r="E50" i="80"/>
  <c r="X16" i="56"/>
  <c r="H32" i="56" s="1"/>
  <c r="X15" i="51"/>
  <c r="H31" i="51" s="1"/>
  <c r="E5" i="5"/>
  <c r="E8" i="5" s="1"/>
  <c r="E51" i="82"/>
  <c r="E55" i="81"/>
  <c r="E46" i="90"/>
  <c r="E53" i="88"/>
  <c r="E56" i="86"/>
  <c r="E47" i="91"/>
  <c r="E55" i="84"/>
  <c r="E55" i="85"/>
  <c r="E54" i="83"/>
  <c r="T68" i="84"/>
  <c r="S68" i="80"/>
  <c r="R68" i="80"/>
  <c r="T68" i="45"/>
  <c r="V68" i="44"/>
  <c r="R68" i="82"/>
  <c r="J67" i="82" s="1"/>
  <c r="DQ18" i="29" s="1"/>
  <c r="T68" i="80"/>
  <c r="T68" i="83"/>
  <c r="U68" i="44"/>
  <c r="M67" i="44" s="1"/>
  <c r="T68" i="44"/>
  <c r="S68" i="82"/>
  <c r="M67" i="82" s="1"/>
  <c r="EN18" i="29" s="1"/>
  <c r="S68" i="83"/>
  <c r="R68" i="83"/>
  <c r="R68" i="84"/>
  <c r="T68" i="81"/>
  <c r="S68" i="81"/>
  <c r="T68" i="82"/>
  <c r="P67" i="82" s="1"/>
  <c r="FK18" i="29" s="1"/>
  <c r="R68" i="81"/>
  <c r="S68" i="84"/>
  <c r="M67" i="43"/>
  <c r="AX18" i="29" s="1"/>
  <c r="T68" i="47"/>
  <c r="S68" i="47"/>
  <c r="E49" i="82"/>
  <c r="E50" i="83"/>
  <c r="E52" i="80"/>
  <c r="E52" i="84"/>
  <c r="E51" i="85"/>
  <c r="E51" i="88"/>
  <c r="E52" i="81"/>
  <c r="P67" i="71"/>
  <c r="ET18" i="29" s="1"/>
  <c r="T68" i="51"/>
  <c r="R68" i="51"/>
  <c r="S68" i="51"/>
  <c r="E51" i="33"/>
  <c r="E51" i="74"/>
  <c r="E47" i="65"/>
  <c r="E51" i="75"/>
  <c r="E54" i="79"/>
  <c r="E55" i="77"/>
  <c r="E52" i="76"/>
  <c r="E50" i="72"/>
  <c r="E56" i="80"/>
  <c r="E47" i="66"/>
  <c r="E52" i="88"/>
  <c r="E55" i="78"/>
  <c r="E47" i="64"/>
  <c r="E47" i="71"/>
  <c r="E50" i="73"/>
  <c r="E46" i="61"/>
  <c r="X17" i="49"/>
  <c r="H57" i="74"/>
  <c r="I57" i="74" s="1"/>
  <c r="K57" i="74"/>
  <c r="L57" i="74" s="1"/>
  <c r="N57" i="74"/>
  <c r="O57" i="74" s="1"/>
  <c r="K57" i="77"/>
  <c r="L57" i="77" s="1"/>
  <c r="H57" i="77"/>
  <c r="I57" i="77" s="1"/>
  <c r="N57" i="77"/>
  <c r="N11" i="76"/>
  <c r="K57" i="76"/>
  <c r="L57" i="76" s="1"/>
  <c r="H57" i="76"/>
  <c r="I57" i="76" s="1"/>
  <c r="N57" i="76"/>
  <c r="O57" i="76" s="1"/>
  <c r="X17" i="53"/>
  <c r="H33" i="53" s="1"/>
  <c r="X16" i="53"/>
  <c r="H32" i="53" s="1"/>
  <c r="X16" i="52"/>
  <c r="H32" i="52" s="1"/>
  <c r="Z15" i="59"/>
  <c r="N31" i="59" s="1"/>
  <c r="Y14" i="59"/>
  <c r="K30" i="59" s="1"/>
  <c r="Z14" i="46"/>
  <c r="Z15" i="44"/>
  <c r="X16" i="35"/>
  <c r="H32" i="35" s="1"/>
  <c r="E50" i="48"/>
  <c r="E48" i="82"/>
  <c r="Z15" i="42"/>
  <c r="Y15" i="39"/>
  <c r="X15" i="37"/>
  <c r="Q57" i="31"/>
  <c r="Y16" i="39"/>
  <c r="K32" i="39" s="1"/>
  <c r="X16" i="38"/>
  <c r="H32" i="38" s="1"/>
  <c r="Z15" i="38"/>
  <c r="N31" i="38" s="1"/>
  <c r="X14" i="37"/>
  <c r="H30" i="37" s="1"/>
  <c r="Z16" i="36"/>
  <c r="N32" i="36" s="1"/>
  <c r="X17" i="35"/>
  <c r="H33" i="35" s="1"/>
  <c r="X15" i="35"/>
  <c r="H31" i="35" s="1"/>
  <c r="Z16" i="42"/>
  <c r="Y14" i="42"/>
  <c r="E49" i="44"/>
  <c r="E49" i="59"/>
  <c r="E51" i="58"/>
  <c r="E52" i="42"/>
  <c r="E49" i="39"/>
  <c r="E51" i="37"/>
  <c r="E51" i="57"/>
  <c r="E51" i="31"/>
  <c r="O20" i="84"/>
  <c r="O21" i="84"/>
  <c r="DM5" i="29"/>
  <c r="D59" i="3" s="1"/>
  <c r="I20" i="84"/>
  <c r="I21" i="84"/>
  <c r="DL5" i="29"/>
  <c r="D58" i="3" s="1"/>
  <c r="I20" i="83"/>
  <c r="I21" i="83"/>
  <c r="O20" i="83"/>
  <c r="O21" i="83"/>
  <c r="O20" i="81"/>
  <c r="O21" i="81"/>
  <c r="DK5" i="29"/>
  <c r="D57" i="3" s="1"/>
  <c r="I20" i="81"/>
  <c r="I21" i="81"/>
  <c r="O21" i="80"/>
  <c r="O20" i="80"/>
  <c r="D56" i="3"/>
  <c r="I20" i="80"/>
  <c r="I21" i="80"/>
  <c r="DI5" i="29"/>
  <c r="D55" i="3" s="1"/>
  <c r="I20" i="79"/>
  <c r="I21" i="79"/>
  <c r="X12" i="79"/>
  <c r="I57" i="79"/>
  <c r="O20" i="79"/>
  <c r="O21" i="79"/>
  <c r="Z12" i="79"/>
  <c r="Z12" i="77"/>
  <c r="Z15" i="77" s="1"/>
  <c r="N32" i="77" s="1"/>
  <c r="O20" i="77"/>
  <c r="O21" i="77"/>
  <c r="I20" i="77"/>
  <c r="I21" i="77"/>
  <c r="O21" i="76"/>
  <c r="O20" i="76"/>
  <c r="I20" i="76"/>
  <c r="I21" i="76"/>
  <c r="I20" i="75"/>
  <c r="I21" i="75"/>
  <c r="H9" i="75"/>
  <c r="DE6" i="29" s="1"/>
  <c r="X12" i="75"/>
  <c r="H11" i="75"/>
  <c r="H57" i="75" s="1"/>
  <c r="I57" i="75" s="1"/>
  <c r="O20" i="75"/>
  <c r="O21" i="75"/>
  <c r="N9" i="75"/>
  <c r="EY6" i="29" s="1"/>
  <c r="Z12" i="75"/>
  <c r="X12" i="74"/>
  <c r="X14" i="74" s="1"/>
  <c r="H31" i="74" s="1"/>
  <c r="I20" i="74"/>
  <c r="I21" i="74"/>
  <c r="I20" i="72"/>
  <c r="I21" i="72"/>
  <c r="P67" i="64"/>
  <c r="ER18" i="29" s="1"/>
  <c r="Z14" i="60"/>
  <c r="N30" i="60" s="1"/>
  <c r="Y14" i="58"/>
  <c r="K30" i="58" s="1"/>
  <c r="Y16" i="58"/>
  <c r="K32" i="58" s="1"/>
  <c r="Y15" i="58"/>
  <c r="K31" i="58" s="1"/>
  <c r="Z14" i="56"/>
  <c r="N30" i="56" s="1"/>
  <c r="Z17" i="56"/>
  <c r="N33" i="56" s="1"/>
  <c r="Z15" i="56"/>
  <c r="N31" i="56" s="1"/>
  <c r="X17" i="55"/>
  <c r="H33" i="55" s="1"/>
  <c r="X16" i="55"/>
  <c r="H32" i="55" s="1"/>
  <c r="X15" i="55"/>
  <c r="H31" i="55" s="1"/>
  <c r="X15" i="52"/>
  <c r="X14" i="52"/>
  <c r="H30" i="52" s="1"/>
  <c r="X17" i="52"/>
  <c r="H33" i="52" s="1"/>
  <c r="AW6" i="29"/>
  <c r="G27" i="3" s="1"/>
  <c r="Z17" i="31"/>
  <c r="N33" i="31" s="1"/>
  <c r="Y17" i="31"/>
  <c r="K33" i="31" s="1"/>
  <c r="X17" i="31"/>
  <c r="H33" i="31" s="1"/>
  <c r="Z17" i="34"/>
  <c r="N33" i="34" s="1"/>
  <c r="O57" i="72"/>
  <c r="L57" i="72"/>
  <c r="I57" i="72"/>
  <c r="M6" i="7"/>
  <c r="M13" i="7" s="1"/>
  <c r="P6" i="7"/>
  <c r="H6" i="7"/>
  <c r="K6" i="7"/>
  <c r="N6" i="7"/>
  <c r="O6" i="7"/>
  <c r="L6" i="7"/>
  <c r="O57" i="77"/>
  <c r="DG5" i="29"/>
  <c r="D54" i="3" s="1"/>
  <c r="X12" i="77"/>
  <c r="Y16" i="47"/>
  <c r="K32" i="47" s="1"/>
  <c r="N16" i="17"/>
  <c r="N25" i="17"/>
  <c r="N17" i="17"/>
  <c r="N48" i="17"/>
  <c r="N19" i="17"/>
  <c r="N49" i="17"/>
  <c r="N20" i="17"/>
  <c r="N31" i="17"/>
  <c r="N32" i="17"/>
  <c r="N33" i="17"/>
  <c r="N26" i="17"/>
  <c r="N30" i="17"/>
  <c r="O50" i="17"/>
  <c r="N21" i="17"/>
  <c r="Q16" i="49" s="1"/>
  <c r="N14" i="17"/>
  <c r="N23" i="17"/>
  <c r="N34" i="17"/>
  <c r="N15" i="17"/>
  <c r="Q14" i="66" s="1"/>
  <c r="Q15" i="60"/>
  <c r="N35" i="17"/>
  <c r="Q50" i="20"/>
  <c r="Y17" i="47"/>
  <c r="K33" i="47" s="1"/>
  <c r="Y15" i="47"/>
  <c r="K31" i="47" s="1"/>
  <c r="Y16" i="40"/>
  <c r="K32" i="40" s="1"/>
  <c r="Y15" i="40"/>
  <c r="K31" i="40" s="1"/>
  <c r="Y14" i="36"/>
  <c r="K30" i="36" s="1"/>
  <c r="Y17" i="36"/>
  <c r="K33" i="36" s="1"/>
  <c r="O51" i="45"/>
  <c r="L57" i="46"/>
  <c r="Y15" i="54"/>
  <c r="K31" i="54" s="1"/>
  <c r="I52" i="55"/>
  <c r="O9" i="60"/>
  <c r="CS8" i="29" s="1"/>
  <c r="CS48" i="29" s="1"/>
  <c r="L57" i="61"/>
  <c r="O9" i="61"/>
  <c r="CT8" i="29" s="1"/>
  <c r="CT48" i="29" s="1"/>
  <c r="O53" i="72"/>
  <c r="I53" i="72"/>
  <c r="L53" i="72"/>
  <c r="DE5" i="29"/>
  <c r="D52" i="3" s="1"/>
  <c r="H53" i="75"/>
  <c r="I53" i="75" s="1"/>
  <c r="M67" i="86"/>
  <c r="EM18" i="29" s="1"/>
  <c r="O57" i="41"/>
  <c r="DD5" i="29"/>
  <c r="D51" i="3" s="1"/>
  <c r="I53" i="74"/>
  <c r="N53" i="75"/>
  <c r="O53" i="75" s="1"/>
  <c r="F62" i="78"/>
  <c r="K32" i="61"/>
  <c r="N33" i="46"/>
  <c r="H31" i="53"/>
  <c r="N30" i="46"/>
  <c r="X15" i="47"/>
  <c r="H31" i="47" s="1"/>
  <c r="Z14" i="57"/>
  <c r="N30" i="57" s="1"/>
  <c r="Y16" i="42"/>
  <c r="K32" i="42" s="1"/>
  <c r="Y15" i="46"/>
  <c r="K31" i="46" s="1"/>
  <c r="X16" i="59"/>
  <c r="H32" i="59" s="1"/>
  <c r="Z17" i="52"/>
  <c r="N33" i="52" s="1"/>
  <c r="Z15" i="50"/>
  <c r="N31" i="50" s="1"/>
  <c r="Z15" i="60"/>
  <c r="N31" i="60" s="1"/>
  <c r="Z15" i="35"/>
  <c r="N31" i="35" s="1"/>
  <c r="X16" i="40"/>
  <c r="H32" i="40" s="1"/>
  <c r="X15" i="41"/>
  <c r="H31" i="41" s="1"/>
  <c r="Z17" i="43"/>
  <c r="N33" i="43" s="1"/>
  <c r="Y14" i="48"/>
  <c r="K30" i="48" s="1"/>
  <c r="Z17" i="53"/>
  <c r="N33" i="53" s="1"/>
  <c r="Y17" i="33"/>
  <c r="K33" i="33" s="1"/>
  <c r="X15" i="44"/>
  <c r="H31" i="44" s="1"/>
  <c r="X17" i="43"/>
  <c r="H33" i="43" s="1"/>
  <c r="Z16" i="59"/>
  <c r="N32" i="59" s="1"/>
  <c r="X17" i="33"/>
  <c r="H33" i="33" s="1"/>
  <c r="X16" i="58"/>
  <c r="H32" i="58" s="1"/>
  <c r="Y17" i="59"/>
  <c r="K33" i="59" s="1"/>
  <c r="Y14" i="33"/>
  <c r="K30" i="33" s="1"/>
  <c r="Z17" i="33"/>
  <c r="N33" i="33" s="1"/>
  <c r="B2" i="87"/>
  <c r="B2" i="78"/>
  <c r="J37" i="3"/>
  <c r="G6" i="29"/>
  <c r="D17" i="3" s="1"/>
  <c r="X14" i="35"/>
  <c r="H30" i="35" s="1"/>
  <c r="BU6" i="29"/>
  <c r="J19" i="3" s="1"/>
  <c r="O51" i="36"/>
  <c r="Z17" i="38"/>
  <c r="N33" i="38" s="1"/>
  <c r="O57" i="40"/>
  <c r="X15" i="40"/>
  <c r="H31" i="40" s="1"/>
  <c r="I51" i="43"/>
  <c r="Y17" i="43"/>
  <c r="K33" i="43" s="1"/>
  <c r="Z16" i="45"/>
  <c r="N32" i="45" s="1"/>
  <c r="L57" i="59"/>
  <c r="Z16" i="50"/>
  <c r="N32" i="50" s="1"/>
  <c r="X14" i="53"/>
  <c r="H30" i="53" s="1"/>
  <c r="X14" i="55"/>
  <c r="H30" i="55" s="1"/>
  <c r="DC5" i="29"/>
  <c r="D50" i="3" s="1"/>
  <c r="X12" i="72"/>
  <c r="FD5" i="29"/>
  <c r="J56" i="3" s="1"/>
  <c r="N30" i="80"/>
  <c r="Z16" i="81"/>
  <c r="N33" i="81" s="1"/>
  <c r="Z15" i="81"/>
  <c r="Z17" i="81"/>
  <c r="Z14" i="81"/>
  <c r="N31" i="81" s="1"/>
  <c r="J67" i="90"/>
  <c r="DS18" i="29" s="1"/>
  <c r="AJ6" i="29"/>
  <c r="G14" i="3" s="1"/>
  <c r="Y17" i="34"/>
  <c r="K33" i="34" s="1"/>
  <c r="K54" i="54"/>
  <c r="L54" i="54" s="1"/>
  <c r="M57" i="60"/>
  <c r="EX5" i="29"/>
  <c r="J51" i="3" s="1"/>
  <c r="FA5" i="29"/>
  <c r="J54" i="3" s="1"/>
  <c r="Y14" i="81"/>
  <c r="Y16" i="81"/>
  <c r="K33" i="81" s="1"/>
  <c r="Y15" i="81"/>
  <c r="K32" i="81" s="1"/>
  <c r="Y17" i="81"/>
  <c r="Y16" i="31"/>
  <c r="K32" i="31" s="1"/>
  <c r="D6" i="29"/>
  <c r="O57" i="35"/>
  <c r="Z16" i="38"/>
  <c r="N32" i="38" s="1"/>
  <c r="X14" i="54"/>
  <c r="H30" i="54" s="1"/>
  <c r="H53" i="56"/>
  <c r="L57" i="60"/>
  <c r="N32" i="60"/>
  <c r="FC5" i="29"/>
  <c r="J55" i="3" s="1"/>
  <c r="X17" i="81"/>
  <c r="X14" i="81"/>
  <c r="H31" i="81" s="1"/>
  <c r="X16" i="81"/>
  <c r="X15" i="81"/>
  <c r="AK6" i="29"/>
  <c r="G15" i="3" s="1"/>
  <c r="X16" i="57"/>
  <c r="H32" i="57" s="1"/>
  <c r="X15" i="58"/>
  <c r="H31" i="58" s="1"/>
  <c r="O57" i="34"/>
  <c r="H31" i="37"/>
  <c r="O57" i="39"/>
  <c r="Z14" i="42"/>
  <c r="N30" i="42" s="1"/>
  <c r="J57" i="43"/>
  <c r="L57" i="47"/>
  <c r="L57" i="51"/>
  <c r="K52" i="53"/>
  <c r="L52" i="53" s="1"/>
  <c r="L57" i="55"/>
  <c r="K53" i="56"/>
  <c r="BK6" i="29"/>
  <c r="G41" i="3" s="1"/>
  <c r="X16" i="60"/>
  <c r="H32" i="60" s="1"/>
  <c r="P67" i="65"/>
  <c r="EU18" i="29" s="1"/>
  <c r="L9" i="60"/>
  <c r="BM8" i="29" s="1"/>
  <c r="BM6" i="29"/>
  <c r="L9" i="61"/>
  <c r="BN6" i="29"/>
  <c r="X15" i="31"/>
  <c r="H31" i="31" s="1"/>
  <c r="X14" i="31"/>
  <c r="H30" i="31" s="1"/>
  <c r="Z15" i="33"/>
  <c r="N31" i="33" s="1"/>
  <c r="X15" i="57"/>
  <c r="H31" i="57" s="1"/>
  <c r="Z15" i="34"/>
  <c r="N31" i="34" s="1"/>
  <c r="I50" i="37"/>
  <c r="X14" i="41"/>
  <c r="H30" i="41" s="1"/>
  <c r="Z17" i="42"/>
  <c r="N33" i="42" s="1"/>
  <c r="K30" i="42"/>
  <c r="P57" i="45"/>
  <c r="Z14" i="48"/>
  <c r="N30" i="48" s="1"/>
  <c r="Z14" i="50"/>
  <c r="N30" i="50" s="1"/>
  <c r="Y14" i="50"/>
  <c r="K30" i="50" s="1"/>
  <c r="Y14" i="51"/>
  <c r="K30" i="51" s="1"/>
  <c r="M57" i="52"/>
  <c r="M57" i="56"/>
  <c r="I9" i="60"/>
  <c r="AG8" i="29" s="1"/>
  <c r="AG48" i="29" s="1"/>
  <c r="I9" i="61"/>
  <c r="H31" i="80"/>
  <c r="N30" i="81"/>
  <c r="FE5" i="29"/>
  <c r="J57" i="3" s="1"/>
  <c r="AN6" i="29"/>
  <c r="G18" i="3" s="1"/>
  <c r="X17" i="37"/>
  <c r="H33" i="37" s="1"/>
  <c r="Z14" i="38"/>
  <c r="N30" i="38" s="1"/>
  <c r="E49" i="42"/>
  <c r="Z14" i="44"/>
  <c r="N30" i="44" s="1"/>
  <c r="Z14" i="43"/>
  <c r="N30" i="43" s="1"/>
  <c r="X14" i="43"/>
  <c r="H30" i="43" s="1"/>
  <c r="O57" i="45"/>
  <c r="Z17" i="45"/>
  <c r="N33" i="45" s="1"/>
  <c r="Z17" i="59"/>
  <c r="N33" i="59" s="1"/>
  <c r="L57" i="50"/>
  <c r="X17" i="50"/>
  <c r="H33" i="50" s="1"/>
  <c r="H30" i="51"/>
  <c r="Z17" i="54"/>
  <c r="N33" i="54" s="1"/>
  <c r="L57" i="56"/>
  <c r="I57" i="73"/>
  <c r="DB5" i="29"/>
  <c r="D49" i="3" s="1"/>
  <c r="X12" i="73"/>
  <c r="EY5" i="29"/>
  <c r="J52" i="3" s="1"/>
  <c r="N30" i="75"/>
  <c r="EZ5" i="29"/>
  <c r="J53" i="3" s="1"/>
  <c r="Z12" i="76"/>
  <c r="P67" i="90"/>
  <c r="FM18" i="29" s="1"/>
  <c r="F5" i="5"/>
  <c r="F8" i="5" s="1"/>
  <c r="Z14" i="33"/>
  <c r="N30" i="33" s="1"/>
  <c r="O57" i="57"/>
  <c r="X14" i="57"/>
  <c r="H30" i="57" s="1"/>
  <c r="Z14" i="34"/>
  <c r="N30" i="34" s="1"/>
  <c r="O57" i="37"/>
  <c r="X17" i="41"/>
  <c r="H33" i="41" s="1"/>
  <c r="Y17" i="42"/>
  <c r="K33" i="42" s="1"/>
  <c r="O57" i="48"/>
  <c r="Y15" i="48"/>
  <c r="K31" i="48" s="1"/>
  <c r="Y17" i="51"/>
  <c r="K33" i="51" s="1"/>
  <c r="X17" i="51"/>
  <c r="H33" i="51" s="1"/>
  <c r="Z17" i="60"/>
  <c r="N33" i="60" s="1"/>
  <c r="DF5" i="29"/>
  <c r="D53" i="3" s="1"/>
  <c r="X12" i="76"/>
  <c r="L40" i="27"/>
  <c r="L38" i="27"/>
  <c r="L28" i="27"/>
  <c r="F64" i="31"/>
  <c r="F64" i="88"/>
  <c r="L50" i="27"/>
  <c r="L39" i="27"/>
  <c r="L27" i="27"/>
  <c r="E48" i="31"/>
  <c r="L64" i="27"/>
  <c r="L60" i="27"/>
  <c r="L30" i="27"/>
  <c r="L19" i="27"/>
  <c r="F62" i="65"/>
  <c r="F62" i="75"/>
  <c r="F62" i="80"/>
  <c r="F62" i="88"/>
  <c r="F62" i="90"/>
  <c r="F62" i="89"/>
  <c r="F62" i="66"/>
  <c r="F62" i="71"/>
  <c r="F62" i="74"/>
  <c r="F62" i="79"/>
  <c r="F62" i="84"/>
  <c r="F62" i="77"/>
  <c r="F62" i="83"/>
  <c r="F62" i="86"/>
  <c r="F62" i="91"/>
  <c r="F62" i="73"/>
  <c r="F62" i="76"/>
  <c r="F62" i="81"/>
  <c r="L61" i="27"/>
  <c r="L20" i="27"/>
  <c r="P53" i="47"/>
  <c r="M54" i="58"/>
  <c r="I55" i="58"/>
  <c r="J55" i="40"/>
  <c r="P56" i="41"/>
  <c r="O55" i="58"/>
  <c r="P52" i="31"/>
  <c r="I48" i="61"/>
  <c r="M53" i="42"/>
  <c r="I55" i="34"/>
  <c r="L49" i="41"/>
  <c r="I56" i="45"/>
  <c r="P55" i="45"/>
  <c r="J52" i="52"/>
  <c r="J52" i="60"/>
  <c r="O55" i="34"/>
  <c r="I50" i="35"/>
  <c r="J54" i="38"/>
  <c r="M56" i="45"/>
  <c r="P52" i="52"/>
  <c r="L46" i="53"/>
  <c r="L56" i="61"/>
  <c r="L57" i="37"/>
  <c r="L57" i="39"/>
  <c r="L53" i="39"/>
  <c r="I50" i="39"/>
  <c r="L55" i="40"/>
  <c r="I49" i="46"/>
  <c r="M52" i="51"/>
  <c r="L53" i="54"/>
  <c r="M52" i="60"/>
  <c r="M56" i="61"/>
  <c r="I46" i="61"/>
  <c r="M53" i="57"/>
  <c r="M55" i="34"/>
  <c r="L49" i="36"/>
  <c r="P56" i="39"/>
  <c r="P53" i="39"/>
  <c r="I56" i="40"/>
  <c r="P55" i="40"/>
  <c r="P54" i="43"/>
  <c r="I53" i="59"/>
  <c r="P52" i="51"/>
  <c r="O49" i="61"/>
  <c r="P54" i="36"/>
  <c r="L53" i="57"/>
  <c r="M52" i="57"/>
  <c r="O54" i="35"/>
  <c r="M53" i="35"/>
  <c r="O49" i="35"/>
  <c r="M54" i="36"/>
  <c r="L50" i="36"/>
  <c r="O55" i="38"/>
  <c r="I49" i="44"/>
  <c r="O46" i="44"/>
  <c r="L54" i="43"/>
  <c r="L48" i="46"/>
  <c r="L53" i="47"/>
  <c r="J52" i="47"/>
  <c r="L53" i="53"/>
  <c r="I49" i="54"/>
  <c r="L46" i="54"/>
  <c r="O52" i="55"/>
  <c r="O55" i="31"/>
  <c r="J53" i="33"/>
  <c r="I47" i="34"/>
  <c r="I55" i="38"/>
  <c r="P54" i="38"/>
  <c r="O52" i="41"/>
  <c r="L48" i="41"/>
  <c r="L56" i="44"/>
  <c r="L57" i="45"/>
  <c r="O53" i="46"/>
  <c r="L50" i="50"/>
  <c r="I53" i="61"/>
  <c r="O48" i="61"/>
  <c r="H32" i="5"/>
  <c r="O50" i="9"/>
  <c r="C2" i="3"/>
  <c r="B2" i="5"/>
  <c r="J6" i="20"/>
  <c r="I2" i="4"/>
  <c r="H2" i="5"/>
  <c r="B3" i="7"/>
  <c r="I5" i="5"/>
  <c r="G5" i="5"/>
  <c r="G12" i="5" s="1"/>
  <c r="H5" i="5"/>
  <c r="D5" i="5"/>
  <c r="Z14" i="36"/>
  <c r="N30" i="36" s="1"/>
  <c r="O52" i="45"/>
  <c r="Y16" i="46"/>
  <c r="K32" i="46" s="1"/>
  <c r="O54" i="33"/>
  <c r="J52" i="57"/>
  <c r="J54" i="58"/>
  <c r="J53" i="58"/>
  <c r="I51" i="34"/>
  <c r="Y14" i="34"/>
  <c r="K30" i="34" s="1"/>
  <c r="O50" i="35"/>
  <c r="I49" i="35"/>
  <c r="Y16" i="35"/>
  <c r="K32" i="35" s="1"/>
  <c r="O55" i="36"/>
  <c r="X17" i="38"/>
  <c r="H33" i="38" s="1"/>
  <c r="O55" i="40"/>
  <c r="J56" i="41"/>
  <c r="L52" i="41"/>
  <c r="Z14" i="41"/>
  <c r="N30" i="41" s="1"/>
  <c r="I51" i="44"/>
  <c r="M54" i="43"/>
  <c r="H32" i="43"/>
  <c r="L52" i="45"/>
  <c r="I51" i="45"/>
  <c r="L48" i="45"/>
  <c r="L53" i="46"/>
  <c r="M52" i="46"/>
  <c r="I56" i="59"/>
  <c r="Z14" i="59"/>
  <c r="N30" i="59" s="1"/>
  <c r="X17" i="47"/>
  <c r="H33" i="47" s="1"/>
  <c r="L50" i="48"/>
  <c r="P56" i="50"/>
  <c r="M53" i="50"/>
  <c r="Y15" i="51"/>
  <c r="K31" i="51" s="1"/>
  <c r="O55" i="52"/>
  <c r="M54" i="52"/>
  <c r="P53" i="52"/>
  <c r="I46" i="53"/>
  <c r="I46" i="54"/>
  <c r="X15" i="54"/>
  <c r="H31" i="54" s="1"/>
  <c r="L46" i="55"/>
  <c r="M55" i="56"/>
  <c r="X17" i="56"/>
  <c r="H33" i="56" s="1"/>
  <c r="Z16" i="56"/>
  <c r="N32" i="56" s="1"/>
  <c r="X17" i="60"/>
  <c r="H33" i="60" s="1"/>
  <c r="P56" i="61"/>
  <c r="I49" i="61"/>
  <c r="Z16" i="61"/>
  <c r="N32" i="61" s="1"/>
  <c r="Z16" i="34"/>
  <c r="N32" i="34" s="1"/>
  <c r="Z16" i="35"/>
  <c r="N32" i="35" s="1"/>
  <c r="X15" i="39"/>
  <c r="H31" i="39" s="1"/>
  <c r="Y14" i="61"/>
  <c r="K30" i="61" s="1"/>
  <c r="I53" i="31"/>
  <c r="L54" i="33"/>
  <c r="O52" i="33"/>
  <c r="Y16" i="57"/>
  <c r="K32" i="57" s="1"/>
  <c r="P55" i="34"/>
  <c r="L55" i="36"/>
  <c r="M56" i="37"/>
  <c r="P53" i="38"/>
  <c r="Y17" i="45"/>
  <c r="K33" i="45" s="1"/>
  <c r="L52" i="46"/>
  <c r="Y17" i="46"/>
  <c r="K33" i="46" s="1"/>
  <c r="O46" i="47"/>
  <c r="L55" i="48"/>
  <c r="L54" i="49"/>
  <c r="H33" i="49"/>
  <c r="M56" i="50"/>
  <c r="M53" i="52"/>
  <c r="H33" i="54"/>
  <c r="O56" i="61"/>
  <c r="Z15" i="61"/>
  <c r="N31" i="61" s="1"/>
  <c r="Z16" i="49"/>
  <c r="N32" i="49" s="1"/>
  <c r="Z14" i="35"/>
  <c r="N30" i="35" s="1"/>
  <c r="P55" i="37"/>
  <c r="X16" i="39"/>
  <c r="H32" i="39" s="1"/>
  <c r="Z16" i="44"/>
  <c r="N32" i="44" s="1"/>
  <c r="L49" i="43"/>
  <c r="I46" i="43"/>
  <c r="N31" i="43"/>
  <c r="L51" i="45"/>
  <c r="L47" i="45"/>
  <c r="X17" i="45"/>
  <c r="H33" i="45" s="1"/>
  <c r="X17" i="46"/>
  <c r="H33" i="46" s="1"/>
  <c r="O53" i="59"/>
  <c r="I49" i="59"/>
  <c r="X17" i="59"/>
  <c r="H33" i="59" s="1"/>
  <c r="I46" i="47"/>
  <c r="L49" i="48"/>
  <c r="Z15" i="48"/>
  <c r="N31" i="48" s="1"/>
  <c r="K31" i="50"/>
  <c r="L52" i="51"/>
  <c r="K32" i="51"/>
  <c r="Z14" i="52"/>
  <c r="N30" i="52" s="1"/>
  <c r="Z14" i="53"/>
  <c r="N30" i="53" s="1"/>
  <c r="Y17" i="54"/>
  <c r="K33" i="54" s="1"/>
  <c r="P49" i="60"/>
  <c r="B92" i="18"/>
  <c r="B93" i="18" s="1"/>
  <c r="B94" i="18" s="1"/>
  <c r="B95" i="18" s="1"/>
  <c r="B96" i="18" s="1"/>
  <c r="B97" i="18" s="1"/>
  <c r="B98" i="18" s="1"/>
  <c r="B99" i="18" s="1"/>
  <c r="B100" i="18" s="1"/>
  <c r="B101" i="18" s="1"/>
  <c r="B102" i="18" s="1"/>
  <c r="B103" i="18" s="1"/>
  <c r="B104" i="18" s="1"/>
  <c r="Z16" i="91"/>
  <c r="N33" i="91" s="1"/>
  <c r="Z17" i="91"/>
  <c r="Z14" i="91"/>
  <c r="N31" i="91" s="1"/>
  <c r="Z15" i="91"/>
  <c r="N32" i="91" s="1"/>
  <c r="Y14" i="88"/>
  <c r="K31" i="88" s="1"/>
  <c r="Y16" i="88"/>
  <c r="K33" i="88" s="1"/>
  <c r="Y15" i="88"/>
  <c r="K32" i="88" s="1"/>
  <c r="Y17" i="88"/>
  <c r="Z17" i="86"/>
  <c r="Z15" i="86"/>
  <c r="Z14" i="86"/>
  <c r="N31" i="86" s="1"/>
  <c r="Z16" i="86"/>
  <c r="N33" i="86" s="1"/>
  <c r="Y15" i="91"/>
  <c r="K32" i="91" s="1"/>
  <c r="Y16" i="91"/>
  <c r="K33" i="91" s="1"/>
  <c r="Y17" i="91"/>
  <c r="Y14" i="91"/>
  <c r="K31" i="91" s="1"/>
  <c r="Y15" i="85"/>
  <c r="K32" i="85" s="1"/>
  <c r="Y16" i="85"/>
  <c r="Y17" i="85"/>
  <c r="Y14" i="85"/>
  <c r="X15" i="86"/>
  <c r="H32" i="86" s="1"/>
  <c r="X17" i="86"/>
  <c r="X16" i="86"/>
  <c r="H33" i="86" s="1"/>
  <c r="X14" i="86"/>
  <c r="H31" i="86" s="1"/>
  <c r="X17" i="90"/>
  <c r="X14" i="90"/>
  <c r="H31" i="90" s="1"/>
  <c r="X15" i="90"/>
  <c r="H32" i="90" s="1"/>
  <c r="X16" i="90"/>
  <c r="H33" i="90" s="1"/>
  <c r="H9" i="89"/>
  <c r="I9" i="89" s="1"/>
  <c r="Z15" i="88"/>
  <c r="N32" i="88" s="1"/>
  <c r="Z17" i="88"/>
  <c r="Z16" i="88"/>
  <c r="N33" i="88" s="1"/>
  <c r="Z14" i="88"/>
  <c r="N31" i="88" s="1"/>
  <c r="X14" i="85"/>
  <c r="X15" i="85"/>
  <c r="X16" i="85"/>
  <c r="H33" i="85" s="1"/>
  <c r="X17" i="85"/>
  <c r="Z17" i="89"/>
  <c r="Z14" i="89"/>
  <c r="N31" i="89" s="1"/>
  <c r="Z15" i="89"/>
  <c r="N32" i="89" s="1"/>
  <c r="Z16" i="89"/>
  <c r="N33" i="89" s="1"/>
  <c r="Z15" i="90"/>
  <c r="N32" i="90" s="1"/>
  <c r="Z16" i="90"/>
  <c r="N33" i="90" s="1"/>
  <c r="Z17" i="90"/>
  <c r="Z14" i="90"/>
  <c r="N31" i="90" s="1"/>
  <c r="Y16" i="89"/>
  <c r="K33" i="89" s="1"/>
  <c r="Y14" i="89"/>
  <c r="K31" i="89" s="1"/>
  <c r="Y17" i="89"/>
  <c r="Y15" i="89"/>
  <c r="K32" i="89" s="1"/>
  <c r="X17" i="88"/>
  <c r="X15" i="88"/>
  <c r="H32" i="88" s="1"/>
  <c r="X14" i="88"/>
  <c r="H31" i="88" s="1"/>
  <c r="X16" i="88"/>
  <c r="H33" i="88" s="1"/>
  <c r="Z16" i="85"/>
  <c r="N33" i="85" s="1"/>
  <c r="Z14" i="85"/>
  <c r="N31" i="85" s="1"/>
  <c r="Z17" i="85"/>
  <c r="Z15" i="85"/>
  <c r="Y16" i="86"/>
  <c r="Y14" i="86"/>
  <c r="K31" i="86" s="1"/>
  <c r="Y17" i="86"/>
  <c r="Y15" i="86"/>
  <c r="K32" i="86" s="1"/>
  <c r="Y14" i="90"/>
  <c r="K31" i="90" s="1"/>
  <c r="Y16" i="90"/>
  <c r="K33" i="90" s="1"/>
  <c r="Y15" i="90"/>
  <c r="K32" i="90" s="1"/>
  <c r="Y17" i="90"/>
  <c r="X14" i="91"/>
  <c r="H31" i="91" s="1"/>
  <c r="X15" i="91"/>
  <c r="H32" i="91" s="1"/>
  <c r="X16" i="91"/>
  <c r="H33" i="91" s="1"/>
  <c r="X17" i="91"/>
  <c r="H30" i="89"/>
  <c r="X15" i="89"/>
  <c r="H32" i="89" s="1"/>
  <c r="X17" i="89"/>
  <c r="X16" i="89"/>
  <c r="H33" i="89" s="1"/>
  <c r="X14" i="89"/>
  <c r="H31" i="89" s="1"/>
  <c r="Z17" i="83"/>
  <c r="Z15" i="83"/>
  <c r="N32" i="83" s="1"/>
  <c r="Z16" i="83"/>
  <c r="N33" i="83" s="1"/>
  <c r="Z14" i="83"/>
  <c r="N31" i="83" s="1"/>
  <c r="H30" i="84"/>
  <c r="X16" i="84"/>
  <c r="X14" i="84"/>
  <c r="H31" i="84" s="1"/>
  <c r="X17" i="84"/>
  <c r="X15" i="84"/>
  <c r="H32" i="84" s="1"/>
  <c r="X15" i="83"/>
  <c r="H32" i="83" s="1"/>
  <c r="X14" i="83"/>
  <c r="H31" i="83" s="1"/>
  <c r="X16" i="83"/>
  <c r="H33" i="83" s="1"/>
  <c r="X17" i="83"/>
  <c r="Y17" i="84"/>
  <c r="Y15" i="84"/>
  <c r="K32" i="84" s="1"/>
  <c r="Y16" i="84"/>
  <c r="Y14" i="84"/>
  <c r="K31" i="84" s="1"/>
  <c r="N30" i="84"/>
  <c r="FG5" i="29"/>
  <c r="J59" i="3" s="1"/>
  <c r="Y16" i="83"/>
  <c r="K33" i="83" s="1"/>
  <c r="Y17" i="83"/>
  <c r="Y14" i="83"/>
  <c r="K31" i="83" s="1"/>
  <c r="Y15" i="83"/>
  <c r="N30" i="83"/>
  <c r="FF5" i="29"/>
  <c r="J58" i="3" s="1"/>
  <c r="Z14" i="84"/>
  <c r="N31" i="84" s="1"/>
  <c r="Z16" i="84"/>
  <c r="N33" i="84" s="1"/>
  <c r="Z15" i="84"/>
  <c r="Z17" i="84"/>
  <c r="D42" i="3"/>
  <c r="M67" i="91"/>
  <c r="EO18" i="29" s="1"/>
  <c r="X15" i="66"/>
  <c r="H32" i="66" s="1"/>
  <c r="X16" i="66"/>
  <c r="H33" i="66" s="1"/>
  <c r="X13" i="66"/>
  <c r="H30" i="66" s="1"/>
  <c r="X14" i="66"/>
  <c r="H31" i="66" s="1"/>
  <c r="Z15" i="66"/>
  <c r="Z16" i="66"/>
  <c r="Z13" i="66"/>
  <c r="Z14" i="66"/>
  <c r="Y15" i="66"/>
  <c r="Y16" i="66"/>
  <c r="Y13" i="66"/>
  <c r="Y14" i="66"/>
  <c r="P67" i="66"/>
  <c r="ES18" i="29" s="1"/>
  <c r="M67" i="66"/>
  <c r="DV18" i="29" s="1"/>
  <c r="O52" i="81"/>
  <c r="I52" i="84"/>
  <c r="M67" i="64"/>
  <c r="DU18" i="29" s="1"/>
  <c r="M67" i="71"/>
  <c r="DW18" i="29" s="1"/>
  <c r="J67" i="91"/>
  <c r="DR18" i="29" s="1"/>
  <c r="N10" i="79"/>
  <c r="N9" i="79" s="1"/>
  <c r="FC6" i="29" s="1"/>
  <c r="O51" i="83"/>
  <c r="M67" i="65"/>
  <c r="DX18" i="29" s="1"/>
  <c r="N9" i="74"/>
  <c r="EX6" i="29" s="1"/>
  <c r="I51" i="83"/>
  <c r="N9" i="84"/>
  <c r="FG6" i="29" s="1"/>
  <c r="P67" i="91"/>
  <c r="FL18" i="29" s="1"/>
  <c r="J67" i="86"/>
  <c r="DP18" i="29" s="1"/>
  <c r="N32" i="80"/>
  <c r="X14" i="64"/>
  <c r="H31" i="64" s="1"/>
  <c r="Z13" i="64"/>
  <c r="N32" i="86"/>
  <c r="H31" i="85"/>
  <c r="K32" i="83"/>
  <c r="H9" i="83"/>
  <c r="DL6" i="29" s="1"/>
  <c r="L52" i="85"/>
  <c r="N33" i="72"/>
  <c r="N32" i="74"/>
  <c r="K33" i="79"/>
  <c r="N31" i="80"/>
  <c r="N9" i="83"/>
  <c r="FF6" i="29" s="1"/>
  <c r="L52" i="84"/>
  <c r="N31" i="74"/>
  <c r="N32" i="85"/>
  <c r="L9" i="64"/>
  <c r="DU8" i="29" s="1"/>
  <c r="DU48" i="29" s="1"/>
  <c r="N32" i="73"/>
  <c r="N33" i="80"/>
  <c r="H9" i="84"/>
  <c r="DM6" i="29" s="1"/>
  <c r="N33" i="74"/>
  <c r="O57" i="31"/>
  <c r="L55" i="31"/>
  <c r="L52" i="31"/>
  <c r="M55" i="31"/>
  <c r="M52" i="31"/>
  <c r="O53" i="31"/>
  <c r="N31" i="72"/>
  <c r="K33" i="75"/>
  <c r="K31" i="76"/>
  <c r="K31" i="81"/>
  <c r="O9" i="91"/>
  <c r="FL8" i="29" s="1"/>
  <c r="FL48" i="29" s="1"/>
  <c r="N32" i="72"/>
  <c r="H33" i="81"/>
  <c r="L9" i="66"/>
  <c r="H10" i="79"/>
  <c r="H9" i="79" s="1"/>
  <c r="DI6" i="29" s="1"/>
  <c r="I52" i="81"/>
  <c r="I9" i="66"/>
  <c r="O9" i="65"/>
  <c r="EU8" i="29" s="1"/>
  <c r="EU48" i="29" s="1"/>
  <c r="N31" i="73"/>
  <c r="K32" i="74"/>
  <c r="K31" i="74"/>
  <c r="K33" i="74"/>
  <c r="K31" i="80"/>
  <c r="K33" i="80"/>
  <c r="K32" i="80"/>
  <c r="N9" i="80"/>
  <c r="FD6" i="29" s="1"/>
  <c r="L9" i="65"/>
  <c r="K31" i="72"/>
  <c r="K33" i="72"/>
  <c r="K32" i="72"/>
  <c r="N32" i="81"/>
  <c r="O9" i="66"/>
  <c r="L9" i="71"/>
  <c r="DW8" i="29" s="1"/>
  <c r="DW48" i="29" s="1"/>
  <c r="I12" i="76"/>
  <c r="H33" i="84"/>
  <c r="O9" i="90"/>
  <c r="FM8" i="29" s="1"/>
  <c r="FM48" i="29" s="1"/>
  <c r="L9" i="91"/>
  <c r="EO8" i="29" s="1"/>
  <c r="EO48" i="29" s="1"/>
  <c r="O9" i="71"/>
  <c r="ET8" i="29" s="1"/>
  <c r="ET48" i="29" s="1"/>
  <c r="H9" i="72"/>
  <c r="DC6" i="29" s="1"/>
  <c r="N9" i="81"/>
  <c r="FE6" i="29" s="1"/>
  <c r="H30" i="83"/>
  <c r="K33" i="86"/>
  <c r="L9" i="90"/>
  <c r="EP8" i="29" s="1"/>
  <c r="EP48" i="29" s="1"/>
  <c r="I9" i="91"/>
  <c r="DR8" i="29" s="1"/>
  <c r="DR48" i="29" s="1"/>
  <c r="I9" i="71"/>
  <c r="CZ8" i="29" s="1"/>
  <c r="CZ48" i="29" s="1"/>
  <c r="I9" i="90"/>
  <c r="DS8" i="29" s="1"/>
  <c r="DS48" i="29" s="1"/>
  <c r="I9" i="64"/>
  <c r="CX8" i="29" s="1"/>
  <c r="CX48" i="29" s="1"/>
  <c r="O9" i="64"/>
  <c r="ER8" i="29" s="1"/>
  <c r="ER48" i="29" s="1"/>
  <c r="Z14" i="64"/>
  <c r="Z15" i="64"/>
  <c r="P56" i="57"/>
  <c r="L46" i="57"/>
  <c r="I46" i="57"/>
  <c r="I49" i="58"/>
  <c r="O49" i="58"/>
  <c r="L56" i="34"/>
  <c r="O56" i="34"/>
  <c r="L50" i="34"/>
  <c r="I50" i="34"/>
  <c r="L56" i="37"/>
  <c r="O56" i="37"/>
  <c r="I54" i="38"/>
  <c r="L54" i="38"/>
  <c r="L54" i="39"/>
  <c r="O54" i="39"/>
  <c r="M55" i="41"/>
  <c r="J55" i="41"/>
  <c r="O47" i="42"/>
  <c r="I47" i="42"/>
  <c r="O52" i="44"/>
  <c r="L52" i="44"/>
  <c r="L50" i="44"/>
  <c r="I50" i="44"/>
  <c r="J52" i="43"/>
  <c r="P52" i="43"/>
  <c r="O53" i="45"/>
  <c r="J55" i="59"/>
  <c r="P55" i="59"/>
  <c r="I52" i="59"/>
  <c r="L52" i="59"/>
  <c r="O51" i="52"/>
  <c r="P57" i="53"/>
  <c r="L52" i="54"/>
  <c r="I52" i="54"/>
  <c r="I53" i="60"/>
  <c r="O53" i="60"/>
  <c r="L50" i="60"/>
  <c r="J52" i="61"/>
  <c r="M52" i="61"/>
  <c r="M51" i="61"/>
  <c r="P51" i="61"/>
  <c r="J51" i="61"/>
  <c r="O56" i="33"/>
  <c r="J56" i="57"/>
  <c r="O49" i="57"/>
  <c r="I54" i="36"/>
  <c r="L54" i="36"/>
  <c r="M52" i="37"/>
  <c r="I47" i="37"/>
  <c r="O47" i="37"/>
  <c r="J53" i="39"/>
  <c r="L49" i="39"/>
  <c r="I49" i="39"/>
  <c r="I53" i="41"/>
  <c r="O53" i="41"/>
  <c r="I46" i="41"/>
  <c r="O46" i="41"/>
  <c r="L54" i="42"/>
  <c r="O51" i="42"/>
  <c r="I51" i="42"/>
  <c r="M57" i="44"/>
  <c r="J56" i="43"/>
  <c r="M56" i="43"/>
  <c r="I55" i="43"/>
  <c r="P53" i="43"/>
  <c r="J53" i="43"/>
  <c r="L56" i="45"/>
  <c r="I46" i="46"/>
  <c r="O46" i="46"/>
  <c r="M53" i="47"/>
  <c r="I47" i="49"/>
  <c r="O47" i="49"/>
  <c r="I49" i="50"/>
  <c r="L49" i="50"/>
  <c r="O46" i="50"/>
  <c r="I46" i="50"/>
  <c r="M56" i="52"/>
  <c r="J56" i="52"/>
  <c r="P56" i="52"/>
  <c r="O50" i="52"/>
  <c r="I50" i="52"/>
  <c r="M56" i="53"/>
  <c r="J56" i="53"/>
  <c r="P56" i="55"/>
  <c r="J56" i="55"/>
  <c r="O53" i="55"/>
  <c r="L53" i="55"/>
  <c r="L56" i="56"/>
  <c r="O52" i="56"/>
  <c r="I52" i="56"/>
  <c r="L48" i="56"/>
  <c r="O48" i="56"/>
  <c r="O53" i="61"/>
  <c r="O52" i="31"/>
  <c r="I56" i="33"/>
  <c r="L49" i="57"/>
  <c r="O48" i="57"/>
  <c r="I48" i="57"/>
  <c r="O50" i="58"/>
  <c r="L50" i="58"/>
  <c r="J56" i="35"/>
  <c r="M56" i="35"/>
  <c r="P52" i="39"/>
  <c r="J52" i="39"/>
  <c r="L51" i="40"/>
  <c r="I51" i="40"/>
  <c r="J52" i="41"/>
  <c r="M52" i="41"/>
  <c r="J56" i="46"/>
  <c r="M56" i="46"/>
  <c r="O48" i="59"/>
  <c r="I48" i="59"/>
  <c r="M56" i="47"/>
  <c r="P56" i="47"/>
  <c r="J56" i="47"/>
  <c r="L54" i="47"/>
  <c r="O54" i="47"/>
  <c r="P53" i="49"/>
  <c r="J53" i="49"/>
  <c r="L48" i="51"/>
  <c r="I48" i="51"/>
  <c r="I46" i="52"/>
  <c r="O46" i="52"/>
  <c r="I47" i="56"/>
  <c r="L47" i="56"/>
  <c r="P55" i="31"/>
  <c r="P53" i="33"/>
  <c r="I47" i="33"/>
  <c r="I54" i="58"/>
  <c r="L54" i="58"/>
  <c r="L49" i="58"/>
  <c r="L46" i="58"/>
  <c r="I46" i="58"/>
  <c r="O50" i="34"/>
  <c r="L53" i="35"/>
  <c r="O53" i="35"/>
  <c r="P53" i="36"/>
  <c r="I48" i="37"/>
  <c r="O48" i="37"/>
  <c r="P55" i="41"/>
  <c r="O50" i="42"/>
  <c r="I50" i="42"/>
  <c r="L47" i="42"/>
  <c r="J55" i="44"/>
  <c r="P55" i="44"/>
  <c r="O50" i="44"/>
  <c r="J52" i="45"/>
  <c r="M52" i="45"/>
  <c r="O52" i="59"/>
  <c r="L53" i="50"/>
  <c r="O53" i="50"/>
  <c r="P56" i="51"/>
  <c r="J56" i="51"/>
  <c r="M55" i="51"/>
  <c r="J55" i="51"/>
  <c r="P55" i="51"/>
  <c r="L53" i="51"/>
  <c r="O53" i="51"/>
  <c r="L47" i="51"/>
  <c r="I47" i="51"/>
  <c r="O54" i="52"/>
  <c r="L54" i="52"/>
  <c r="I49" i="52"/>
  <c r="O49" i="52"/>
  <c r="O52" i="54"/>
  <c r="L48" i="55"/>
  <c r="I48" i="55"/>
  <c r="O47" i="34"/>
  <c r="L54" i="35"/>
  <c r="L52" i="37"/>
  <c r="O51" i="44"/>
  <c r="O51" i="43"/>
  <c r="I57" i="47"/>
  <c r="O54" i="50"/>
  <c r="O50" i="50"/>
  <c r="O52" i="51"/>
  <c r="O53" i="54"/>
  <c r="L54" i="55"/>
  <c r="M49" i="60"/>
  <c r="O51" i="34"/>
  <c r="O53" i="39"/>
  <c r="O50" i="39"/>
  <c r="I53" i="44"/>
  <c r="O49" i="44"/>
  <c r="O54" i="43"/>
  <c r="O46" i="43"/>
  <c r="P56" i="45"/>
  <c r="L49" i="59"/>
  <c r="O53" i="47"/>
  <c r="P52" i="47"/>
  <c r="P57" i="52"/>
  <c r="J57" i="53"/>
  <c r="J57" i="55"/>
  <c r="I54" i="56"/>
  <c r="M57" i="61"/>
  <c r="L56" i="41"/>
  <c r="M56" i="44"/>
  <c r="I48" i="54"/>
  <c r="L48" i="54"/>
  <c r="O48" i="54"/>
  <c r="J56" i="56"/>
  <c r="P56" i="56"/>
  <c r="I57" i="31"/>
  <c r="L49" i="31"/>
  <c r="L48" i="31"/>
  <c r="L52" i="33"/>
  <c r="L49" i="33"/>
  <c r="O47" i="33"/>
  <c r="I54" i="57"/>
  <c r="P53" i="57"/>
  <c r="O46" i="57"/>
  <c r="O54" i="58"/>
  <c r="P53" i="58"/>
  <c r="I51" i="58"/>
  <c r="O46" i="58"/>
  <c r="M54" i="34"/>
  <c r="O54" i="36"/>
  <c r="L46" i="36"/>
  <c r="I53" i="37"/>
  <c r="P52" i="37"/>
  <c r="O54" i="38"/>
  <c r="L51" i="38"/>
  <c r="L50" i="38"/>
  <c r="L47" i="38"/>
  <c r="L46" i="39"/>
  <c r="M54" i="40"/>
  <c r="I52" i="40"/>
  <c r="L48" i="40"/>
  <c r="L47" i="40"/>
  <c r="L57" i="41"/>
  <c r="O56" i="41"/>
  <c r="I55" i="42"/>
  <c r="P54" i="42"/>
  <c r="J54" i="42"/>
  <c r="P56" i="44"/>
  <c r="I53" i="45"/>
  <c r="P52" i="45"/>
  <c r="O56" i="46"/>
  <c r="I56" i="46"/>
  <c r="O52" i="46"/>
  <c r="O56" i="48"/>
  <c r="L56" i="48"/>
  <c r="I56" i="48"/>
  <c r="J55" i="48"/>
  <c r="P55" i="48"/>
  <c r="L55" i="49"/>
  <c r="O55" i="49"/>
  <c r="I55" i="49"/>
  <c r="J54" i="49"/>
  <c r="P54" i="49"/>
  <c r="I56" i="51"/>
  <c r="O56" i="51"/>
  <c r="O49" i="53"/>
  <c r="I49" i="53"/>
  <c r="L49" i="53"/>
  <c r="J56" i="54"/>
  <c r="P56" i="54"/>
  <c r="J54" i="55"/>
  <c r="P54" i="55"/>
  <c r="M56" i="56"/>
  <c r="L51" i="56"/>
  <c r="O51" i="56"/>
  <c r="I49" i="60"/>
  <c r="O49" i="60"/>
  <c r="O46" i="60"/>
  <c r="I46" i="60"/>
  <c r="L46" i="60"/>
  <c r="P55" i="61"/>
  <c r="J55" i="61"/>
  <c r="M55" i="61"/>
  <c r="P55" i="33"/>
  <c r="I46" i="59"/>
  <c r="L46" i="59"/>
  <c r="O54" i="48"/>
  <c r="I54" i="48"/>
  <c r="L54" i="60"/>
  <c r="O54" i="60"/>
  <c r="I54" i="60"/>
  <c r="I49" i="31"/>
  <c r="I48" i="31"/>
  <c r="J55" i="33"/>
  <c r="I49" i="33"/>
  <c r="O54" i="57"/>
  <c r="O53" i="57"/>
  <c r="O51" i="58"/>
  <c r="J54" i="34"/>
  <c r="P56" i="35"/>
  <c r="P53" i="35"/>
  <c r="M53" i="36"/>
  <c r="O50" i="36"/>
  <c r="O49" i="36"/>
  <c r="I46" i="36"/>
  <c r="P56" i="37"/>
  <c r="J55" i="37"/>
  <c r="O53" i="37"/>
  <c r="O52" i="37"/>
  <c r="M53" i="38"/>
  <c r="I51" i="38"/>
  <c r="I50" i="38"/>
  <c r="I47" i="38"/>
  <c r="I57" i="39"/>
  <c r="M56" i="39"/>
  <c r="I46" i="39"/>
  <c r="L56" i="40"/>
  <c r="J54" i="40"/>
  <c r="O52" i="40"/>
  <c r="I48" i="40"/>
  <c r="I47" i="40"/>
  <c r="P52" i="41"/>
  <c r="O49" i="41"/>
  <c r="O48" i="41"/>
  <c r="O55" i="42"/>
  <c r="O54" i="42"/>
  <c r="P53" i="42"/>
  <c r="O56" i="44"/>
  <c r="L53" i="44"/>
  <c r="L55" i="43"/>
  <c r="O49" i="43"/>
  <c r="J55" i="45"/>
  <c r="O48" i="45"/>
  <c r="O47" i="45"/>
  <c r="L56" i="59"/>
  <c r="O46" i="59"/>
  <c r="O50" i="47"/>
  <c r="I50" i="47"/>
  <c r="L50" i="47"/>
  <c r="O51" i="49"/>
  <c r="I51" i="49"/>
  <c r="L51" i="49"/>
  <c r="M52" i="50"/>
  <c r="J52" i="50"/>
  <c r="L56" i="51"/>
  <c r="L54" i="53"/>
  <c r="O54" i="53"/>
  <c r="I54" i="53"/>
  <c r="J53" i="53"/>
  <c r="P53" i="53"/>
  <c r="O48" i="53"/>
  <c r="I48" i="53"/>
  <c r="L48" i="53"/>
  <c r="I52" i="61"/>
  <c r="O52" i="61"/>
  <c r="O49" i="47"/>
  <c r="I49" i="47"/>
  <c r="L49" i="47"/>
  <c r="O50" i="49"/>
  <c r="I50" i="49"/>
  <c r="L50" i="49"/>
  <c r="P56" i="60"/>
  <c r="J56" i="60"/>
  <c r="M56" i="60"/>
  <c r="L57" i="31"/>
  <c r="L46" i="44"/>
  <c r="M52" i="43"/>
  <c r="P56" i="46"/>
  <c r="P52" i="46"/>
  <c r="L49" i="46"/>
  <c r="I48" i="46"/>
  <c r="L46" i="46"/>
  <c r="J56" i="59"/>
  <c r="P56" i="59"/>
  <c r="M55" i="59"/>
  <c r="O53" i="48"/>
  <c r="I53" i="48"/>
  <c r="L53" i="48"/>
  <c r="M53" i="53"/>
  <c r="O50" i="55"/>
  <c r="I50" i="55"/>
  <c r="L50" i="55"/>
  <c r="J53" i="60"/>
  <c r="P53" i="60"/>
  <c r="L54" i="50"/>
  <c r="L51" i="51"/>
  <c r="O48" i="51"/>
  <c r="O47" i="51"/>
  <c r="L55" i="52"/>
  <c r="L51" i="52"/>
  <c r="L46" i="52"/>
  <c r="P56" i="53"/>
  <c r="P57" i="54"/>
  <c r="O49" i="54"/>
  <c r="O48" i="55"/>
  <c r="L53" i="56"/>
  <c r="O50" i="60"/>
  <c r="O46" i="61"/>
  <c r="O55" i="48"/>
  <c r="O50" i="48"/>
  <c r="O49" i="48"/>
  <c r="O54" i="49"/>
  <c r="P53" i="50"/>
  <c r="P54" i="52"/>
  <c r="O53" i="53"/>
  <c r="M57" i="55"/>
  <c r="O54" i="55"/>
  <c r="L52" i="55"/>
  <c r="O46" i="55"/>
  <c r="O56" i="56"/>
  <c r="P55" i="56"/>
  <c r="L54" i="56"/>
  <c r="O47" i="56"/>
  <c r="L54" i="48"/>
  <c r="I48" i="56"/>
  <c r="P49" i="89"/>
  <c r="L53" i="89"/>
  <c r="J54" i="71"/>
  <c r="M56" i="81"/>
  <c r="M54" i="91"/>
  <c r="P51" i="91"/>
  <c r="I47" i="83"/>
  <c r="L52" i="86"/>
  <c r="I52" i="86"/>
  <c r="O47" i="83"/>
  <c r="O53" i="64"/>
  <c r="L51" i="71"/>
  <c r="O56" i="85"/>
  <c r="O54" i="85"/>
  <c r="L46" i="90"/>
  <c r="L51" i="91"/>
  <c r="L47" i="91"/>
  <c r="O54" i="89"/>
  <c r="L49" i="89"/>
  <c r="O47" i="91"/>
  <c r="P54" i="71"/>
  <c r="L52" i="81"/>
  <c r="I54" i="85"/>
  <c r="L54" i="89"/>
  <c r="O53" i="89"/>
  <c r="L56" i="71"/>
  <c r="O48" i="83"/>
  <c r="O48" i="84"/>
  <c r="M52" i="90"/>
  <c r="I53" i="64"/>
  <c r="P52" i="64"/>
  <c r="P56" i="81"/>
  <c r="M56" i="83"/>
  <c r="I48" i="83"/>
  <c r="I48" i="84"/>
  <c r="L51" i="88"/>
  <c r="I47" i="88"/>
  <c r="I51" i="85"/>
  <c r="J52" i="90"/>
  <c r="O56" i="91"/>
  <c r="O52" i="91"/>
  <c r="J49" i="89"/>
  <c r="P48" i="89"/>
  <c r="L49" i="64"/>
  <c r="L52" i="88"/>
  <c r="L50" i="88"/>
  <c r="O46" i="88"/>
  <c r="L53" i="85"/>
  <c r="I46" i="90"/>
  <c r="L48" i="91"/>
  <c r="P52" i="89"/>
  <c r="O50" i="89"/>
  <c r="O46" i="81"/>
  <c r="L47" i="85"/>
  <c r="O53" i="90"/>
  <c r="L52" i="90"/>
  <c r="M56" i="91"/>
  <c r="L50" i="89"/>
  <c r="M57" i="64"/>
  <c r="L52" i="64"/>
  <c r="I52" i="71"/>
  <c r="I51" i="81"/>
  <c r="L46" i="81"/>
  <c r="I53" i="83"/>
  <c r="O52" i="83"/>
  <c r="L54" i="84"/>
  <c r="O49" i="84"/>
  <c r="M56" i="88"/>
  <c r="O50" i="85"/>
  <c r="I47" i="85"/>
  <c r="O46" i="85"/>
  <c r="L53" i="90"/>
  <c r="P51" i="90"/>
  <c r="L56" i="91"/>
  <c r="O51" i="91"/>
  <c r="M53" i="89"/>
  <c r="J48" i="89"/>
  <c r="M52" i="64"/>
  <c r="L51" i="81"/>
  <c r="O53" i="83"/>
  <c r="O54" i="84"/>
  <c r="L57" i="64"/>
  <c r="P56" i="64"/>
  <c r="L48" i="64"/>
  <c r="M56" i="71"/>
  <c r="O51" i="71"/>
  <c r="I52" i="83"/>
  <c r="I49" i="84"/>
  <c r="L56" i="88"/>
  <c r="O47" i="88"/>
  <c r="O51" i="85"/>
  <c r="I50" i="85"/>
  <c r="L46" i="85"/>
  <c r="J51" i="90"/>
  <c r="O57" i="64"/>
  <c r="P56" i="71"/>
  <c r="L48" i="71"/>
  <c r="L47" i="71"/>
  <c r="L53" i="81"/>
  <c r="I47" i="81"/>
  <c r="L53" i="84"/>
  <c r="O56" i="88"/>
  <c r="I56" i="85"/>
  <c r="L49" i="86"/>
  <c r="L48" i="86"/>
  <c r="O49" i="89"/>
  <c r="I46" i="89"/>
  <c r="M56" i="64"/>
  <c r="O49" i="64"/>
  <c r="O48" i="64"/>
  <c r="O56" i="71"/>
  <c r="L52" i="71"/>
  <c r="I48" i="71"/>
  <c r="I47" i="71"/>
  <c r="B2" i="75"/>
  <c r="I53" i="81"/>
  <c r="O47" i="81"/>
  <c r="P56" i="83"/>
  <c r="M56" i="84"/>
  <c r="I53" i="84"/>
  <c r="O51" i="88"/>
  <c r="O50" i="88"/>
  <c r="O53" i="85"/>
  <c r="I49" i="86"/>
  <c r="I48" i="86"/>
  <c r="L49" i="90"/>
  <c r="P53" i="89"/>
  <c r="J52" i="89"/>
  <c r="O46" i="89"/>
  <c r="O52" i="90"/>
  <c r="I49" i="90"/>
  <c r="B10" i="7"/>
  <c r="J6" i="21"/>
  <c r="P57" i="64"/>
  <c r="O52" i="64"/>
  <c r="L51" i="83"/>
  <c r="P56" i="88"/>
  <c r="I52" i="88"/>
  <c r="L46" i="88"/>
  <c r="P56" i="91"/>
  <c r="Q6" i="30"/>
  <c r="R6" i="30" s="1"/>
  <c r="O6" i="30"/>
  <c r="P6" i="30" s="1"/>
  <c r="M6" i="30"/>
  <c r="N6" i="30" s="1"/>
  <c r="S6" i="30"/>
  <c r="T6" i="30" s="1"/>
  <c r="K6" i="30"/>
  <c r="L6" i="30" s="1"/>
  <c r="U6" i="30"/>
  <c r="V6" i="30" s="1"/>
  <c r="I6" i="30"/>
  <c r="G37" i="3"/>
  <c r="R6" i="7"/>
  <c r="R9" i="7" s="1"/>
  <c r="D37" i="3"/>
  <c r="J42" i="3"/>
  <c r="N72" i="30"/>
  <c r="V69" i="30"/>
  <c r="W72" i="30"/>
  <c r="R69" i="30"/>
  <c r="R72" i="30"/>
  <c r="K69" i="30"/>
  <c r="O72" i="30"/>
  <c r="S69" i="30"/>
  <c r="J69" i="30"/>
  <c r="V72" i="30"/>
  <c r="J72" i="30"/>
  <c r="N69" i="30"/>
  <c r="M13" i="37"/>
  <c r="AQ64" i="29" s="1"/>
  <c r="G42" i="3"/>
  <c r="C42" i="3"/>
  <c r="J6" i="7"/>
  <c r="I50" i="64"/>
  <c r="O50" i="64"/>
  <c r="L50" i="64"/>
  <c r="H9" i="74"/>
  <c r="DD6" i="29" s="1"/>
  <c r="I47" i="89"/>
  <c r="O47" i="89"/>
  <c r="L47" i="89"/>
  <c r="J53" i="64"/>
  <c r="P53" i="64"/>
  <c r="M53" i="64"/>
  <c r="J53" i="71"/>
  <c r="P53" i="71"/>
  <c r="M53" i="71"/>
  <c r="I50" i="71"/>
  <c r="O50" i="71"/>
  <c r="K32" i="73"/>
  <c r="K33" i="73"/>
  <c r="B2" i="89"/>
  <c r="B2" i="91"/>
  <c r="B2" i="90"/>
  <c r="B2" i="86"/>
  <c r="B2" i="85"/>
  <c r="B2" i="88"/>
  <c r="B2" i="81"/>
  <c r="B2" i="80"/>
  <c r="B2" i="83"/>
  <c r="B2" i="77"/>
  <c r="B2" i="79"/>
  <c r="B2" i="84"/>
  <c r="B2" i="74"/>
  <c r="B2" i="73"/>
  <c r="B2" i="65"/>
  <c r="B2" i="66"/>
  <c r="B2" i="72"/>
  <c r="B2" i="76"/>
  <c r="B2" i="64"/>
  <c r="I53" i="71"/>
  <c r="O53" i="71"/>
  <c r="L53" i="71"/>
  <c r="B2" i="71"/>
  <c r="I51" i="64"/>
  <c r="O51" i="64"/>
  <c r="L51" i="64"/>
  <c r="I54" i="71"/>
  <c r="O54" i="71"/>
  <c r="I9" i="65"/>
  <c r="DA8" i="29" s="1"/>
  <c r="DA48" i="29" s="1"/>
  <c r="Y16" i="64"/>
  <c r="Y13" i="64"/>
  <c r="Y15" i="64"/>
  <c r="Y14" i="64"/>
  <c r="I49" i="71"/>
  <c r="O49" i="71"/>
  <c r="L49" i="71"/>
  <c r="H9" i="76"/>
  <c r="DF6" i="29" s="1"/>
  <c r="L53" i="88"/>
  <c r="I53" i="88"/>
  <c r="O53" i="88"/>
  <c r="I56" i="64"/>
  <c r="O56" i="64"/>
  <c r="J54" i="64"/>
  <c r="P54" i="64"/>
  <c r="I47" i="64"/>
  <c r="O47" i="64"/>
  <c r="X13" i="64"/>
  <c r="X15" i="64"/>
  <c r="H32" i="64" s="1"/>
  <c r="I46" i="71"/>
  <c r="O46" i="71"/>
  <c r="I54" i="64"/>
  <c r="O54" i="64"/>
  <c r="I46" i="64"/>
  <c r="O46" i="64"/>
  <c r="J52" i="71"/>
  <c r="P52" i="71"/>
  <c r="H9" i="73"/>
  <c r="DB6" i="29" s="1"/>
  <c r="N9" i="76"/>
  <c r="EZ6" i="29" s="1"/>
  <c r="O12" i="76"/>
  <c r="I50" i="84"/>
  <c r="O50" i="84"/>
  <c r="L50" i="84"/>
  <c r="O48" i="85"/>
  <c r="I48" i="85"/>
  <c r="L48" i="85"/>
  <c r="K32" i="76"/>
  <c r="N32" i="84"/>
  <c r="K32" i="75"/>
  <c r="K33" i="77"/>
  <c r="K31" i="77"/>
  <c r="H9" i="77"/>
  <c r="DG6" i="29" s="1"/>
  <c r="K32" i="79"/>
  <c r="O49" i="81"/>
  <c r="I49" i="81"/>
  <c r="I50" i="83"/>
  <c r="O50" i="83"/>
  <c r="L50" i="83"/>
  <c r="I51" i="84"/>
  <c r="O51" i="84"/>
  <c r="L51" i="84"/>
  <c r="O48" i="88"/>
  <c r="I48" i="88"/>
  <c r="L48" i="88"/>
  <c r="H30" i="80"/>
  <c r="H32" i="80"/>
  <c r="H33" i="80"/>
  <c r="H9" i="80"/>
  <c r="DJ6" i="29" s="1"/>
  <c r="I54" i="81"/>
  <c r="O54" i="81"/>
  <c r="L54" i="81"/>
  <c r="I50" i="81"/>
  <c r="O50" i="81"/>
  <c r="L50" i="81"/>
  <c r="I49" i="88"/>
  <c r="O49" i="88"/>
  <c r="L49" i="88"/>
  <c r="I47" i="86"/>
  <c r="O47" i="86"/>
  <c r="L47" i="86"/>
  <c r="N9" i="77"/>
  <c r="FA6" i="29" s="1"/>
  <c r="I56" i="81"/>
  <c r="O56" i="81"/>
  <c r="I46" i="83"/>
  <c r="O46" i="83"/>
  <c r="L46" i="83"/>
  <c r="J53" i="90"/>
  <c r="P53" i="90"/>
  <c r="M53" i="90"/>
  <c r="I48" i="81"/>
  <c r="O48" i="81"/>
  <c r="H30" i="81"/>
  <c r="H32" i="81"/>
  <c r="H9" i="81"/>
  <c r="DK6" i="29" s="1"/>
  <c r="I56" i="83"/>
  <c r="O56" i="83"/>
  <c r="I47" i="84"/>
  <c r="O47" i="84"/>
  <c r="J46" i="84"/>
  <c r="P46" i="84"/>
  <c r="O52" i="84"/>
  <c r="K31" i="85"/>
  <c r="K33" i="85"/>
  <c r="L56" i="83"/>
  <c r="I54" i="83"/>
  <c r="O54" i="83"/>
  <c r="I56" i="84"/>
  <c r="L56" i="84"/>
  <c r="I46" i="84"/>
  <c r="O46" i="84"/>
  <c r="K33" i="84"/>
  <c r="I54" i="88"/>
  <c r="O54" i="88"/>
  <c r="J56" i="85"/>
  <c r="P56" i="85"/>
  <c r="M56" i="85"/>
  <c r="I49" i="85"/>
  <c r="O49" i="85"/>
  <c r="L49" i="85"/>
  <c r="I51" i="86"/>
  <c r="O51" i="86"/>
  <c r="L51" i="86"/>
  <c r="J56" i="90"/>
  <c r="P56" i="90"/>
  <c r="M56" i="90"/>
  <c r="J54" i="90"/>
  <c r="P54" i="90"/>
  <c r="L48" i="90"/>
  <c r="O48" i="90"/>
  <c r="I46" i="86"/>
  <c r="O46" i="86"/>
  <c r="L46" i="86"/>
  <c r="H32" i="85"/>
  <c r="I50" i="86"/>
  <c r="O50" i="86"/>
  <c r="H30" i="86"/>
  <c r="I56" i="90"/>
  <c r="O56" i="90"/>
  <c r="L56" i="90"/>
  <c r="I47" i="90"/>
  <c r="O47" i="90"/>
  <c r="L47" i="90"/>
  <c r="O52" i="85"/>
  <c r="I56" i="86"/>
  <c r="O56" i="86"/>
  <c r="I50" i="90"/>
  <c r="L50" i="90"/>
  <c r="O50" i="90"/>
  <c r="I54" i="90"/>
  <c r="L54" i="90"/>
  <c r="P52" i="91"/>
  <c r="O50" i="91"/>
  <c r="L50" i="91"/>
  <c r="O54" i="90"/>
  <c r="P53" i="91"/>
  <c r="M53" i="91"/>
  <c r="M52" i="91"/>
  <c r="I51" i="90"/>
  <c r="O51" i="90"/>
  <c r="O54" i="91"/>
  <c r="L54" i="91"/>
  <c r="I56" i="89"/>
  <c r="O56" i="89"/>
  <c r="L56" i="89"/>
  <c r="I48" i="89"/>
  <c r="O48" i="89"/>
  <c r="L48" i="89"/>
  <c r="P49" i="91"/>
  <c r="M49" i="91"/>
  <c r="J51" i="89"/>
  <c r="P51" i="89"/>
  <c r="M51" i="89"/>
  <c r="O53" i="91"/>
  <c r="O49" i="91"/>
  <c r="I46" i="91"/>
  <c r="I57" i="91" s="1"/>
  <c r="O46" i="91"/>
  <c r="I51" i="89"/>
  <c r="O51" i="89"/>
  <c r="L51" i="89"/>
  <c r="J56" i="89"/>
  <c r="P56" i="89"/>
  <c r="M56" i="89"/>
  <c r="I52" i="89"/>
  <c r="O52" i="89"/>
  <c r="J47" i="89"/>
  <c r="P47" i="89"/>
  <c r="M47" i="89"/>
  <c r="J54" i="89"/>
  <c r="P54" i="89"/>
  <c r="J50" i="89"/>
  <c r="P50" i="89"/>
  <c r="J46" i="89"/>
  <c r="P46" i="89"/>
  <c r="L10" i="89"/>
  <c r="K9" i="89"/>
  <c r="H12" i="5"/>
  <c r="E48" i="48"/>
  <c r="E48" i="59"/>
  <c r="E48" i="44"/>
  <c r="E48" i="34"/>
  <c r="E48" i="35"/>
  <c r="B2" i="60"/>
  <c r="B2" i="61"/>
  <c r="B2" i="55"/>
  <c r="B2" i="54"/>
  <c r="B2" i="56"/>
  <c r="B2" i="53"/>
  <c r="B2" i="52"/>
  <c r="B2" i="50"/>
  <c r="B2" i="51"/>
  <c r="B2" i="48"/>
  <c r="B2" i="46"/>
  <c r="B2" i="49"/>
  <c r="B2" i="43"/>
  <c r="B2" i="45"/>
  <c r="B2" i="42"/>
  <c r="B2" i="40"/>
  <c r="B2" i="36"/>
  <c r="B2" i="59"/>
  <c r="B2" i="44"/>
  <c r="B2" i="39"/>
  <c r="B2" i="38"/>
  <c r="B2" i="47"/>
  <c r="B2" i="58"/>
  <c r="B2" i="31"/>
  <c r="B2" i="41"/>
  <c r="B2" i="35"/>
  <c r="B2" i="57"/>
  <c r="B2" i="33"/>
  <c r="B2" i="37"/>
  <c r="B2" i="34"/>
  <c r="E49" i="34"/>
  <c r="E49" i="35"/>
  <c r="I47" i="41"/>
  <c r="O47" i="41"/>
  <c r="L47" i="41"/>
  <c r="E47" i="60"/>
  <c r="E47" i="61"/>
  <c r="E48" i="51"/>
  <c r="E47" i="53"/>
  <c r="E48" i="49"/>
  <c r="E48" i="50"/>
  <c r="E48" i="46"/>
  <c r="E48" i="45"/>
  <c r="E48" i="47"/>
  <c r="E48" i="40"/>
  <c r="E48" i="42"/>
  <c r="E48" i="38"/>
  <c r="E48" i="43"/>
  <c r="E47" i="58"/>
  <c r="E49" i="48"/>
  <c r="E47" i="37"/>
  <c r="E47" i="57"/>
  <c r="E48" i="41"/>
  <c r="E48" i="36"/>
  <c r="E47" i="31"/>
  <c r="E48" i="39"/>
  <c r="E47" i="33"/>
  <c r="Y16" i="37"/>
  <c r="K32" i="37" s="1"/>
  <c r="X16" i="37"/>
  <c r="H32" i="37" s="1"/>
  <c r="Y14" i="39"/>
  <c r="K30" i="39" s="1"/>
  <c r="X14" i="39"/>
  <c r="H30" i="39" s="1"/>
  <c r="E46" i="56"/>
  <c r="E46" i="60"/>
  <c r="E46" i="55"/>
  <c r="E46" i="53"/>
  <c r="E47" i="49"/>
  <c r="E47" i="50"/>
  <c r="E47" i="48"/>
  <c r="E46" i="54"/>
  <c r="E47" i="47"/>
  <c r="E47" i="44"/>
  <c r="E47" i="45"/>
  <c r="E47" i="42"/>
  <c r="E47" i="38"/>
  <c r="E46" i="52"/>
  <c r="E47" i="39"/>
  <c r="E47" i="36"/>
  <c r="E47" i="51"/>
  <c r="E47" i="40"/>
  <c r="E47" i="34"/>
  <c r="E47" i="43"/>
  <c r="E47" i="41"/>
  <c r="E46" i="31"/>
  <c r="E47" i="35"/>
  <c r="E47" i="46"/>
  <c r="F50" i="54"/>
  <c r="F50" i="56"/>
  <c r="I52" i="58"/>
  <c r="O52" i="58"/>
  <c r="L52" i="58"/>
  <c r="I9" i="5"/>
  <c r="F62" i="48"/>
  <c r="F62" i="59"/>
  <c r="F62" i="46"/>
  <c r="F62" i="45"/>
  <c r="E51" i="49"/>
  <c r="E51" i="50"/>
  <c r="E51" i="51"/>
  <c r="E51" i="47"/>
  <c r="E54" i="48"/>
  <c r="E51" i="46"/>
  <c r="E51" i="43"/>
  <c r="E52" i="44"/>
  <c r="E51" i="42"/>
  <c r="E51" i="38"/>
  <c r="E51" i="39"/>
  <c r="E51" i="36"/>
  <c r="E52" i="59"/>
  <c r="E50" i="58"/>
  <c r="E51" i="45"/>
  <c r="E52" i="34"/>
  <c r="E50" i="57"/>
  <c r="E50" i="33"/>
  <c r="E50" i="31"/>
  <c r="E50" i="37"/>
  <c r="E52" i="35"/>
  <c r="E51" i="41"/>
  <c r="E51" i="40"/>
  <c r="E49" i="61"/>
  <c r="E48" i="60"/>
  <c r="E47" i="59"/>
  <c r="E48" i="61"/>
  <c r="E51" i="48"/>
  <c r="E49" i="56"/>
  <c r="E49" i="53"/>
  <c r="E49" i="55"/>
  <c r="E49" i="54"/>
  <c r="E48" i="53"/>
  <c r="E48" i="54"/>
  <c r="E46" i="51"/>
  <c r="E46" i="59"/>
  <c r="E46" i="46"/>
  <c r="E46" i="50"/>
  <c r="E46" i="45"/>
  <c r="E46" i="41"/>
  <c r="E46" i="49"/>
  <c r="E46" i="40"/>
  <c r="E46" i="37"/>
  <c r="E46" i="35"/>
  <c r="E46" i="38"/>
  <c r="E46" i="57"/>
  <c r="E46" i="48"/>
  <c r="E46" i="47"/>
  <c r="E46" i="33"/>
  <c r="E46" i="43"/>
  <c r="E46" i="44"/>
  <c r="E46" i="42"/>
  <c r="E46" i="34"/>
  <c r="E46" i="36"/>
  <c r="E46" i="39"/>
  <c r="E46" i="58"/>
  <c r="J56" i="42"/>
  <c r="P56" i="42"/>
  <c r="M56" i="42"/>
  <c r="L50" i="33"/>
  <c r="I50" i="33"/>
  <c r="O50" i="33"/>
  <c r="Z15" i="58"/>
  <c r="N31" i="58" s="1"/>
  <c r="Z14" i="58"/>
  <c r="N30" i="58" s="1"/>
  <c r="Z17" i="58"/>
  <c r="N33" i="58" s="1"/>
  <c r="Z16" i="58"/>
  <c r="N32" i="58" s="1"/>
  <c r="I53" i="34"/>
  <c r="O53" i="34"/>
  <c r="L53" i="34"/>
  <c r="O46" i="35"/>
  <c r="I46" i="35"/>
  <c r="L46" i="35"/>
  <c r="X16" i="36"/>
  <c r="H32" i="36" s="1"/>
  <c r="X15" i="36"/>
  <c r="H31" i="36" s="1"/>
  <c r="X17" i="36"/>
  <c r="H33" i="36" s="1"/>
  <c r="X14" i="36"/>
  <c r="H30" i="36" s="1"/>
  <c r="I49" i="37"/>
  <c r="O49" i="37"/>
  <c r="L49" i="37"/>
  <c r="F62" i="43"/>
  <c r="F62" i="42"/>
  <c r="F62" i="38"/>
  <c r="F62" i="36"/>
  <c r="F62" i="39"/>
  <c r="F62" i="40"/>
  <c r="F62" i="58"/>
  <c r="F62" i="41"/>
  <c r="F62" i="35"/>
  <c r="F62" i="57"/>
  <c r="F62" i="33"/>
  <c r="F62" i="34"/>
  <c r="F62" i="31"/>
  <c r="E53" i="56"/>
  <c r="E54" i="54"/>
  <c r="E52" i="53"/>
  <c r="E52" i="55"/>
  <c r="E48" i="56"/>
  <c r="E48" i="55"/>
  <c r="E57" i="51"/>
  <c r="E57" i="59"/>
  <c r="E57" i="50"/>
  <c r="E57" i="49"/>
  <c r="E57" i="46"/>
  <c r="E57" i="41"/>
  <c r="E57" i="37"/>
  <c r="E57" i="48"/>
  <c r="E57" i="40"/>
  <c r="E57" i="36"/>
  <c r="E57" i="47"/>
  <c r="E57" i="34"/>
  <c r="E57" i="35"/>
  <c r="E57" i="57"/>
  <c r="E57" i="38"/>
  <c r="E57" i="39"/>
  <c r="E57" i="33"/>
  <c r="E57" i="58"/>
  <c r="E57" i="31"/>
  <c r="E52" i="56"/>
  <c r="E53" i="54"/>
  <c r="E51" i="53"/>
  <c r="E50" i="50"/>
  <c r="E50" i="51"/>
  <c r="E50" i="47"/>
  <c r="E51" i="55"/>
  <c r="E50" i="52"/>
  <c r="E52" i="48"/>
  <c r="E50" i="46"/>
  <c r="E50" i="49"/>
  <c r="E50" i="43"/>
  <c r="E51" i="44"/>
  <c r="E50" i="39"/>
  <c r="E50" i="36"/>
  <c r="E50" i="45"/>
  <c r="E50" i="41"/>
  <c r="E49" i="37"/>
  <c r="E50" i="42"/>
  <c r="E51" i="34"/>
  <c r="E49" i="57"/>
  <c r="E49" i="31"/>
  <c r="E50" i="40"/>
  <c r="E50" i="38"/>
  <c r="E51" i="35"/>
  <c r="E51" i="59"/>
  <c r="E49" i="33"/>
  <c r="E47" i="56"/>
  <c r="E47" i="54"/>
  <c r="E47" i="55"/>
  <c r="I57" i="57"/>
  <c r="I52" i="57"/>
  <c r="O52" i="57"/>
  <c r="L52" i="57"/>
  <c r="I54" i="34"/>
  <c r="O54" i="34"/>
  <c r="L54" i="34"/>
  <c r="I57" i="34"/>
  <c r="Y15" i="36"/>
  <c r="K31" i="36" s="1"/>
  <c r="Z15" i="36"/>
  <c r="N31" i="36" s="1"/>
  <c r="Y16" i="38"/>
  <c r="K32" i="38" s="1"/>
  <c r="Y15" i="38"/>
  <c r="K31" i="38" s="1"/>
  <c r="Y14" i="38"/>
  <c r="K30" i="38" s="1"/>
  <c r="Y17" i="38"/>
  <c r="K33" i="38" s="1"/>
  <c r="Z15" i="39"/>
  <c r="N31" i="39" s="1"/>
  <c r="Z14" i="39"/>
  <c r="N30" i="39" s="1"/>
  <c r="Z17" i="39"/>
  <c r="N33" i="39" s="1"/>
  <c r="Z16" i="39"/>
  <c r="N32" i="39" s="1"/>
  <c r="X16" i="31"/>
  <c r="H32" i="31" s="1"/>
  <c r="J55" i="57"/>
  <c r="P55" i="57"/>
  <c r="M55" i="57"/>
  <c r="E49" i="58"/>
  <c r="I48" i="35"/>
  <c r="O48" i="35"/>
  <c r="L48" i="35"/>
  <c r="F62" i="37"/>
  <c r="E57" i="42"/>
  <c r="I53" i="42"/>
  <c r="O53" i="42"/>
  <c r="L53" i="42"/>
  <c r="F62" i="50"/>
  <c r="F62" i="49"/>
  <c r="F62" i="47"/>
  <c r="F62" i="51"/>
  <c r="E51" i="56"/>
  <c r="E52" i="54"/>
  <c r="E50" i="53"/>
  <c r="E50" i="55"/>
  <c r="E49" i="52"/>
  <c r="E49" i="51"/>
  <c r="E53" i="48"/>
  <c r="E49" i="46"/>
  <c r="E49" i="50"/>
  <c r="E50" i="59"/>
  <c r="E49" i="49"/>
  <c r="E49" i="45"/>
  <c r="E49" i="41"/>
  <c r="E48" i="37"/>
  <c r="E49" i="47"/>
  <c r="E49" i="43"/>
  <c r="E49" i="40"/>
  <c r="E49" i="38"/>
  <c r="E50" i="35"/>
  <c r="E50" i="44"/>
  <c r="E48" i="33"/>
  <c r="E49" i="36"/>
  <c r="E50" i="34"/>
  <c r="E48" i="57"/>
  <c r="S72" i="30"/>
  <c r="K72" i="30"/>
  <c r="W69" i="30"/>
  <c r="I54" i="31"/>
  <c r="O54" i="31"/>
  <c r="L54" i="31"/>
  <c r="O57" i="33"/>
  <c r="L57" i="33"/>
  <c r="J54" i="33"/>
  <c r="P54" i="33"/>
  <c r="M54" i="33"/>
  <c r="I48" i="33"/>
  <c r="O48" i="33"/>
  <c r="L48" i="33"/>
  <c r="X17" i="57"/>
  <c r="H33" i="57" s="1"/>
  <c r="Y17" i="57"/>
  <c r="K33" i="57" s="1"/>
  <c r="Z17" i="57"/>
  <c r="N33" i="57" s="1"/>
  <c r="I53" i="58"/>
  <c r="O53" i="58"/>
  <c r="L53" i="58"/>
  <c r="E48" i="58"/>
  <c r="I55" i="35"/>
  <c r="O55" i="35"/>
  <c r="L55" i="35"/>
  <c r="I50" i="43"/>
  <c r="L50" i="43"/>
  <c r="O50" i="43"/>
  <c r="H69" i="30"/>
  <c r="L69" i="30"/>
  <c r="P69" i="30"/>
  <c r="T69" i="30"/>
  <c r="X69" i="30"/>
  <c r="H72" i="30"/>
  <c r="L72" i="30"/>
  <c r="P72" i="30"/>
  <c r="T72" i="30"/>
  <c r="X72" i="30"/>
  <c r="I69" i="30"/>
  <c r="M69" i="30"/>
  <c r="Q69" i="30"/>
  <c r="U69" i="30"/>
  <c r="I72" i="30"/>
  <c r="M72" i="30"/>
  <c r="Q72" i="30"/>
  <c r="U72" i="30"/>
  <c r="Y15" i="31"/>
  <c r="K31" i="31" s="1"/>
  <c r="Y14" i="31"/>
  <c r="K30" i="31" s="1"/>
  <c r="I51" i="57"/>
  <c r="O51" i="57"/>
  <c r="L51" i="57"/>
  <c r="J56" i="58"/>
  <c r="P56" i="58"/>
  <c r="M56" i="58"/>
  <c r="X14" i="58"/>
  <c r="H30" i="58" s="1"/>
  <c r="X15" i="34"/>
  <c r="H31" i="34" s="1"/>
  <c r="X14" i="34"/>
  <c r="H30" i="34" s="1"/>
  <c r="X16" i="34"/>
  <c r="H32" i="34" s="1"/>
  <c r="X17" i="34"/>
  <c r="H33" i="34" s="1"/>
  <c r="I56" i="35"/>
  <c r="O56" i="35"/>
  <c r="L56" i="35"/>
  <c r="I48" i="36"/>
  <c r="O48" i="36"/>
  <c r="L48" i="36"/>
  <c r="P13" i="37"/>
  <c r="BW64" i="29" s="1"/>
  <c r="Y15" i="37"/>
  <c r="K31" i="37" s="1"/>
  <c r="Y14" i="37"/>
  <c r="K30" i="37" s="1"/>
  <c r="Y17" i="37"/>
  <c r="K33" i="37" s="1"/>
  <c r="J54" i="39"/>
  <c r="P54" i="39"/>
  <c r="M54" i="39"/>
  <c r="J54" i="41"/>
  <c r="P54" i="41"/>
  <c r="M54" i="41"/>
  <c r="I57" i="45"/>
  <c r="J57" i="45"/>
  <c r="J53" i="45"/>
  <c r="P53" i="45"/>
  <c r="M53" i="45"/>
  <c r="J56" i="31"/>
  <c r="P56" i="31"/>
  <c r="M56" i="31"/>
  <c r="I51" i="33"/>
  <c r="O51" i="33"/>
  <c r="L51" i="33"/>
  <c r="I46" i="33"/>
  <c r="O46" i="33"/>
  <c r="L46" i="33"/>
  <c r="X15" i="33"/>
  <c r="H31" i="33" s="1"/>
  <c r="X14" i="33"/>
  <c r="H30" i="33" s="1"/>
  <c r="X16" i="33"/>
  <c r="H32" i="33" s="1"/>
  <c r="I55" i="57"/>
  <c r="O55" i="57"/>
  <c r="L55" i="57"/>
  <c r="L50" i="57"/>
  <c r="I50" i="57"/>
  <c r="O50" i="57"/>
  <c r="I56" i="58"/>
  <c r="O56" i="58"/>
  <c r="L56" i="58"/>
  <c r="I47" i="58"/>
  <c r="O47" i="58"/>
  <c r="L47" i="58"/>
  <c r="X17" i="58"/>
  <c r="H33" i="58" s="1"/>
  <c r="Y17" i="58"/>
  <c r="K33" i="58" s="1"/>
  <c r="L52" i="34"/>
  <c r="I52" i="34"/>
  <c r="O52" i="34"/>
  <c r="I57" i="35"/>
  <c r="I47" i="36"/>
  <c r="O47" i="36"/>
  <c r="L47" i="36"/>
  <c r="I54" i="37"/>
  <c r="O54" i="37"/>
  <c r="L54" i="37"/>
  <c r="I56" i="38"/>
  <c r="O56" i="38"/>
  <c r="L56" i="38"/>
  <c r="I55" i="41"/>
  <c r="O55" i="41"/>
  <c r="L55" i="41"/>
  <c r="I50" i="41"/>
  <c r="O50" i="41"/>
  <c r="L50" i="41"/>
  <c r="Y15" i="42"/>
  <c r="K31" i="42" s="1"/>
  <c r="X16" i="42"/>
  <c r="H32" i="42" s="1"/>
  <c r="X15" i="42"/>
  <c r="H31" i="42" s="1"/>
  <c r="X14" i="42"/>
  <c r="H30" i="42" s="1"/>
  <c r="X17" i="42"/>
  <c r="H33" i="42" s="1"/>
  <c r="J54" i="44"/>
  <c r="P54" i="44"/>
  <c r="M54" i="44"/>
  <c r="I48" i="44"/>
  <c r="O48" i="44"/>
  <c r="L48" i="44"/>
  <c r="I52" i="43"/>
  <c r="O52" i="43"/>
  <c r="L52" i="43"/>
  <c r="Y14" i="45"/>
  <c r="K30" i="45" s="1"/>
  <c r="Z14" i="45"/>
  <c r="N30" i="45" s="1"/>
  <c r="X14" i="45"/>
  <c r="H30" i="45" s="1"/>
  <c r="H57" i="50"/>
  <c r="I56" i="31"/>
  <c r="O56" i="31"/>
  <c r="L56" i="31"/>
  <c r="I50" i="31"/>
  <c r="O50" i="31"/>
  <c r="L50" i="31"/>
  <c r="I47" i="31"/>
  <c r="O47" i="31"/>
  <c r="L47" i="31"/>
  <c r="Z16" i="31"/>
  <c r="N32" i="31" s="1"/>
  <c r="Z15" i="31"/>
  <c r="N31" i="31" s="1"/>
  <c r="Z14" i="31"/>
  <c r="N30" i="31" s="1"/>
  <c r="J52" i="33"/>
  <c r="P52" i="33"/>
  <c r="I57" i="33"/>
  <c r="I56" i="57"/>
  <c r="O56" i="57"/>
  <c r="O57" i="58"/>
  <c r="J52" i="58"/>
  <c r="P52" i="58"/>
  <c r="M52" i="58"/>
  <c r="I48" i="58"/>
  <c r="O48" i="58"/>
  <c r="L48" i="58"/>
  <c r="J53" i="34"/>
  <c r="P53" i="34"/>
  <c r="M53" i="34"/>
  <c r="J55" i="35"/>
  <c r="P55" i="35"/>
  <c r="M55" i="35"/>
  <c r="I47" i="35"/>
  <c r="O47" i="35"/>
  <c r="L47" i="35"/>
  <c r="J56" i="40"/>
  <c r="P56" i="40"/>
  <c r="I54" i="40"/>
  <c r="O54" i="40"/>
  <c r="L54" i="40"/>
  <c r="I46" i="40"/>
  <c r="O46" i="40"/>
  <c r="L46" i="40"/>
  <c r="I57" i="41"/>
  <c r="X16" i="41"/>
  <c r="H32" i="41" s="1"/>
  <c r="Y16" i="41"/>
  <c r="K32" i="41" s="1"/>
  <c r="I52" i="42"/>
  <c r="O52" i="42"/>
  <c r="L52" i="42"/>
  <c r="I54" i="44"/>
  <c r="O54" i="44"/>
  <c r="L54" i="44"/>
  <c r="I56" i="43"/>
  <c r="O56" i="43"/>
  <c r="L56" i="43"/>
  <c r="Z16" i="48"/>
  <c r="N32" i="48" s="1"/>
  <c r="Y16" i="48"/>
  <c r="K32" i="48" s="1"/>
  <c r="J53" i="31"/>
  <c r="P53" i="31"/>
  <c r="O46" i="31"/>
  <c r="J56" i="33"/>
  <c r="P56" i="33"/>
  <c r="I53" i="33"/>
  <c r="O53" i="33"/>
  <c r="Z16" i="33"/>
  <c r="N32" i="33" s="1"/>
  <c r="I47" i="57"/>
  <c r="O47" i="57"/>
  <c r="Z16" i="57"/>
  <c r="N32" i="57" s="1"/>
  <c r="Z15" i="57"/>
  <c r="N31" i="57" s="1"/>
  <c r="L57" i="34"/>
  <c r="I49" i="34"/>
  <c r="O49" i="34"/>
  <c r="I46" i="34"/>
  <c r="O46" i="34"/>
  <c r="I52" i="35"/>
  <c r="O52" i="35"/>
  <c r="Y14" i="35"/>
  <c r="K30" i="35" s="1"/>
  <c r="Y15" i="35"/>
  <c r="K31" i="35" s="1"/>
  <c r="Y17" i="35"/>
  <c r="K33" i="35" s="1"/>
  <c r="J55" i="36"/>
  <c r="P55" i="36"/>
  <c r="M55" i="36"/>
  <c r="O57" i="38"/>
  <c r="I47" i="39"/>
  <c r="O47" i="39"/>
  <c r="L47" i="39"/>
  <c r="X17" i="39"/>
  <c r="H33" i="39" s="1"/>
  <c r="Y17" i="39"/>
  <c r="K33" i="39" s="1"/>
  <c r="J52" i="40"/>
  <c r="P52" i="40"/>
  <c r="Z15" i="40"/>
  <c r="N31" i="40" s="1"/>
  <c r="Z14" i="40"/>
  <c r="N30" i="40" s="1"/>
  <c r="Z16" i="40"/>
  <c r="N32" i="40" s="1"/>
  <c r="Z17" i="40"/>
  <c r="N33" i="40" s="1"/>
  <c r="Y17" i="41"/>
  <c r="K33" i="41" s="1"/>
  <c r="Z16" i="41"/>
  <c r="N32" i="41" s="1"/>
  <c r="Z15" i="41"/>
  <c r="N31" i="41" s="1"/>
  <c r="Z17" i="41"/>
  <c r="N33" i="41" s="1"/>
  <c r="I56" i="42"/>
  <c r="O56" i="42"/>
  <c r="L56" i="42"/>
  <c r="I48" i="42"/>
  <c r="O48" i="42"/>
  <c r="L48" i="42"/>
  <c r="N32" i="42"/>
  <c r="I57" i="42"/>
  <c r="L57" i="44"/>
  <c r="I55" i="44"/>
  <c r="O55" i="44"/>
  <c r="Y15" i="44"/>
  <c r="K31" i="44" s="1"/>
  <c r="Y17" i="44"/>
  <c r="K33" i="44" s="1"/>
  <c r="Y14" i="44"/>
  <c r="K30" i="44" s="1"/>
  <c r="Y16" i="44"/>
  <c r="K32" i="44" s="1"/>
  <c r="X15" i="43"/>
  <c r="H31" i="43" s="1"/>
  <c r="N57" i="43"/>
  <c r="P57" i="43" s="1"/>
  <c r="I46" i="45"/>
  <c r="O46" i="45"/>
  <c r="L46" i="45"/>
  <c r="J53" i="46"/>
  <c r="P53" i="46"/>
  <c r="M53" i="46"/>
  <c r="I51" i="51"/>
  <c r="J54" i="31"/>
  <c r="P54" i="31"/>
  <c r="I51" i="31"/>
  <c r="O51" i="31"/>
  <c r="I55" i="33"/>
  <c r="O55" i="33"/>
  <c r="Y16" i="33"/>
  <c r="K32" i="33" s="1"/>
  <c r="Y15" i="33"/>
  <c r="K31" i="33" s="1"/>
  <c r="J54" i="57"/>
  <c r="P54" i="57"/>
  <c r="Y15" i="57"/>
  <c r="K31" i="57" s="1"/>
  <c r="Y14" i="57"/>
  <c r="K30" i="57" s="1"/>
  <c r="J55" i="58"/>
  <c r="P55" i="58"/>
  <c r="I50" i="58"/>
  <c r="L57" i="58"/>
  <c r="J56" i="34"/>
  <c r="P56" i="34"/>
  <c r="I48" i="34"/>
  <c r="O48" i="34"/>
  <c r="Y16" i="34"/>
  <c r="K32" i="34" s="1"/>
  <c r="Y15" i="34"/>
  <c r="K31" i="34" s="1"/>
  <c r="J54" i="35"/>
  <c r="P54" i="35"/>
  <c r="I51" i="35"/>
  <c r="O51" i="35"/>
  <c r="Z16" i="37"/>
  <c r="N32" i="37" s="1"/>
  <c r="Z15" i="37"/>
  <c r="N31" i="37" s="1"/>
  <c r="Z14" i="37"/>
  <c r="N30" i="37" s="1"/>
  <c r="Z17" i="37"/>
  <c r="N33" i="37" s="1"/>
  <c r="I52" i="38"/>
  <c r="O52" i="38"/>
  <c r="L52" i="38"/>
  <c r="I48" i="39"/>
  <c r="O48" i="39"/>
  <c r="L48" i="39"/>
  <c r="K31" i="39"/>
  <c r="J53" i="40"/>
  <c r="P53" i="40"/>
  <c r="M53" i="40"/>
  <c r="I50" i="40"/>
  <c r="O50" i="40"/>
  <c r="L50" i="40"/>
  <c r="Y14" i="40"/>
  <c r="K30" i="40" s="1"/>
  <c r="X14" i="40"/>
  <c r="H30" i="40" s="1"/>
  <c r="J53" i="41"/>
  <c r="P53" i="41"/>
  <c r="O57" i="42"/>
  <c r="L57" i="42"/>
  <c r="X14" i="44"/>
  <c r="H30" i="44" s="1"/>
  <c r="X16" i="44"/>
  <c r="H32" i="44" s="1"/>
  <c r="X17" i="44"/>
  <c r="H33" i="44" s="1"/>
  <c r="N57" i="44"/>
  <c r="I48" i="43"/>
  <c r="O48" i="43"/>
  <c r="I50" i="45"/>
  <c r="O50" i="45"/>
  <c r="L50" i="45"/>
  <c r="Y15" i="45"/>
  <c r="K31" i="45" s="1"/>
  <c r="Z15" i="45"/>
  <c r="N31" i="45" s="1"/>
  <c r="M55" i="46"/>
  <c r="P55" i="46"/>
  <c r="H57" i="59"/>
  <c r="I51" i="47"/>
  <c r="O51" i="47"/>
  <c r="L51" i="47"/>
  <c r="I46" i="48"/>
  <c r="L46" i="48"/>
  <c r="O46" i="48"/>
  <c r="Z17" i="35"/>
  <c r="N33" i="35" s="1"/>
  <c r="O57" i="36"/>
  <c r="L57" i="36"/>
  <c r="J56" i="36"/>
  <c r="P56" i="36"/>
  <c r="I53" i="36"/>
  <c r="O53" i="36"/>
  <c r="J52" i="36"/>
  <c r="P52" i="36"/>
  <c r="I57" i="37"/>
  <c r="J53" i="37"/>
  <c r="P53" i="37"/>
  <c r="I46" i="37"/>
  <c r="O46" i="37"/>
  <c r="J55" i="38"/>
  <c r="P55" i="38"/>
  <c r="I49" i="38"/>
  <c r="O49" i="38"/>
  <c r="I46" i="38"/>
  <c r="O46" i="38"/>
  <c r="X15" i="38"/>
  <c r="H31" i="38" s="1"/>
  <c r="X14" i="38"/>
  <c r="H30" i="38" s="1"/>
  <c r="I56" i="39"/>
  <c r="O56" i="39"/>
  <c r="J55" i="39"/>
  <c r="P55" i="39"/>
  <c r="I52" i="39"/>
  <c r="O52" i="39"/>
  <c r="I53" i="40"/>
  <c r="O53" i="40"/>
  <c r="I49" i="40"/>
  <c r="O49" i="40"/>
  <c r="I54" i="41"/>
  <c r="O54" i="41"/>
  <c r="Y15" i="41"/>
  <c r="K31" i="41" s="1"/>
  <c r="Y14" i="41"/>
  <c r="K30" i="41" s="1"/>
  <c r="N31" i="42"/>
  <c r="I57" i="44"/>
  <c r="J57" i="44"/>
  <c r="I57" i="43"/>
  <c r="I53" i="43"/>
  <c r="O53" i="43"/>
  <c r="Z16" i="43"/>
  <c r="N32" i="43" s="1"/>
  <c r="H57" i="48"/>
  <c r="I56" i="36"/>
  <c r="O56" i="36"/>
  <c r="I52" i="36"/>
  <c r="O52" i="36"/>
  <c r="L51" i="36"/>
  <c r="I51" i="36"/>
  <c r="Y16" i="36"/>
  <c r="K32" i="36" s="1"/>
  <c r="I55" i="37"/>
  <c r="O55" i="37"/>
  <c r="J54" i="37"/>
  <c r="P54" i="37"/>
  <c r="I51" i="37"/>
  <c r="O51" i="37"/>
  <c r="O50" i="37"/>
  <c r="L50" i="37"/>
  <c r="L57" i="38"/>
  <c r="J56" i="38"/>
  <c r="P56" i="38"/>
  <c r="I53" i="38"/>
  <c r="O53" i="38"/>
  <c r="J52" i="38"/>
  <c r="P52" i="38"/>
  <c r="I48" i="38"/>
  <c r="O48" i="38"/>
  <c r="I57" i="38"/>
  <c r="I55" i="39"/>
  <c r="O55" i="39"/>
  <c r="I51" i="39"/>
  <c r="O51" i="39"/>
  <c r="L57" i="40"/>
  <c r="I57" i="40"/>
  <c r="X17" i="40"/>
  <c r="H33" i="40" s="1"/>
  <c r="Y17" i="40"/>
  <c r="K33" i="40" s="1"/>
  <c r="I51" i="41"/>
  <c r="O51" i="41"/>
  <c r="J55" i="42"/>
  <c r="P55" i="42"/>
  <c r="I49" i="42"/>
  <c r="O49" i="42"/>
  <c r="I46" i="42"/>
  <c r="O46" i="42"/>
  <c r="J53" i="44"/>
  <c r="P53" i="44"/>
  <c r="I52" i="44"/>
  <c r="O47" i="44"/>
  <c r="I47" i="44"/>
  <c r="Y15" i="43"/>
  <c r="K31" i="43" s="1"/>
  <c r="Y14" i="43"/>
  <c r="K30" i="43" s="1"/>
  <c r="Y16" i="43"/>
  <c r="K32" i="43" s="1"/>
  <c r="I55" i="59"/>
  <c r="O55" i="59"/>
  <c r="I48" i="47"/>
  <c r="O48" i="47"/>
  <c r="L48" i="47"/>
  <c r="Y17" i="48"/>
  <c r="K33" i="48" s="1"/>
  <c r="Z17" i="48"/>
  <c r="N33" i="48" s="1"/>
  <c r="Y17" i="50"/>
  <c r="K33" i="50" s="1"/>
  <c r="Z17" i="50"/>
  <c r="N33" i="50" s="1"/>
  <c r="Z17" i="36"/>
  <c r="N33" i="36" s="1"/>
  <c r="Z17" i="44"/>
  <c r="N33" i="44" s="1"/>
  <c r="J55" i="43"/>
  <c r="P55" i="43"/>
  <c r="L51" i="43"/>
  <c r="I55" i="45"/>
  <c r="O55" i="45"/>
  <c r="J54" i="45"/>
  <c r="P54" i="45"/>
  <c r="I49" i="45"/>
  <c r="O49" i="45"/>
  <c r="I57" i="46"/>
  <c r="J54" i="46"/>
  <c r="P54" i="46"/>
  <c r="J54" i="59"/>
  <c r="P54" i="59"/>
  <c r="M54" i="59"/>
  <c r="I50" i="59"/>
  <c r="O50" i="59"/>
  <c r="L50" i="59"/>
  <c r="I55" i="47"/>
  <c r="O55" i="47"/>
  <c r="L55" i="47"/>
  <c r="N57" i="47"/>
  <c r="O57" i="47" s="1"/>
  <c r="I52" i="48"/>
  <c r="O52" i="48"/>
  <c r="L52" i="48"/>
  <c r="I49" i="49"/>
  <c r="O49" i="49"/>
  <c r="L49" i="49"/>
  <c r="I56" i="50"/>
  <c r="O56" i="50"/>
  <c r="I55" i="53"/>
  <c r="L55" i="53"/>
  <c r="O55" i="53"/>
  <c r="N31" i="44"/>
  <c r="I47" i="43"/>
  <c r="O47" i="43"/>
  <c r="M57" i="45"/>
  <c r="I54" i="45"/>
  <c r="O54" i="45"/>
  <c r="I54" i="46"/>
  <c r="L54" i="46"/>
  <c r="I51" i="46"/>
  <c r="O51" i="46"/>
  <c r="L51" i="46"/>
  <c r="I54" i="59"/>
  <c r="O54" i="59"/>
  <c r="L54" i="59"/>
  <c r="I51" i="59"/>
  <c r="O51" i="59"/>
  <c r="L51" i="59"/>
  <c r="N57" i="59"/>
  <c r="Z14" i="47"/>
  <c r="N30" i="47" s="1"/>
  <c r="Z15" i="47"/>
  <c r="N31" i="47" s="1"/>
  <c r="Z17" i="47"/>
  <c r="N33" i="47" s="1"/>
  <c r="Z16" i="47"/>
  <c r="N32" i="47" s="1"/>
  <c r="O51" i="48"/>
  <c r="I51" i="48"/>
  <c r="L51" i="48"/>
  <c r="I47" i="48"/>
  <c r="L47" i="48"/>
  <c r="O47" i="48"/>
  <c r="L57" i="49"/>
  <c r="O57" i="49"/>
  <c r="J52" i="49"/>
  <c r="P52" i="49"/>
  <c r="M52" i="49"/>
  <c r="I48" i="49"/>
  <c r="O48" i="49"/>
  <c r="L48" i="49"/>
  <c r="Z17" i="49"/>
  <c r="N33" i="49" s="1"/>
  <c r="Y17" i="49"/>
  <c r="K33" i="49" s="1"/>
  <c r="Y14" i="49"/>
  <c r="K30" i="49" s="1"/>
  <c r="Z14" i="49"/>
  <c r="N30" i="49" s="1"/>
  <c r="I51" i="50"/>
  <c r="O51" i="50"/>
  <c r="L51" i="50"/>
  <c r="O57" i="52"/>
  <c r="L57" i="52"/>
  <c r="J55" i="52"/>
  <c r="P55" i="52"/>
  <c r="M55" i="52"/>
  <c r="I53" i="52"/>
  <c r="O53" i="52"/>
  <c r="L53" i="52"/>
  <c r="J51" i="52"/>
  <c r="P51" i="52"/>
  <c r="M51" i="52"/>
  <c r="I51" i="53"/>
  <c r="O51" i="53"/>
  <c r="L51" i="53"/>
  <c r="K57" i="43"/>
  <c r="Y16" i="45"/>
  <c r="K32" i="45" s="1"/>
  <c r="I55" i="46"/>
  <c r="O55" i="46"/>
  <c r="I50" i="46"/>
  <c r="O50" i="46"/>
  <c r="N32" i="46"/>
  <c r="Y14" i="46"/>
  <c r="K30" i="46" s="1"/>
  <c r="X16" i="46"/>
  <c r="H32" i="46" s="1"/>
  <c r="X15" i="46"/>
  <c r="H31" i="46" s="1"/>
  <c r="I47" i="59"/>
  <c r="O47" i="59"/>
  <c r="Y16" i="59"/>
  <c r="K32" i="59" s="1"/>
  <c r="Y15" i="59"/>
  <c r="K31" i="59" s="1"/>
  <c r="J54" i="47"/>
  <c r="P54" i="47"/>
  <c r="I47" i="47"/>
  <c r="O47" i="47"/>
  <c r="X14" i="47"/>
  <c r="H30" i="47" s="1"/>
  <c r="Y14" i="47"/>
  <c r="K30" i="47" s="1"/>
  <c r="X16" i="48"/>
  <c r="H32" i="48" s="1"/>
  <c r="X15" i="48"/>
  <c r="H31" i="48" s="1"/>
  <c r="X17" i="48"/>
  <c r="H33" i="48" s="1"/>
  <c r="J55" i="49"/>
  <c r="P55" i="49"/>
  <c r="I53" i="49"/>
  <c r="O53" i="49"/>
  <c r="L53" i="49"/>
  <c r="X15" i="49"/>
  <c r="H31" i="49" s="1"/>
  <c r="X14" i="49"/>
  <c r="H30" i="49" s="1"/>
  <c r="X16" i="49"/>
  <c r="H32" i="49" s="1"/>
  <c r="J55" i="50"/>
  <c r="P55" i="50"/>
  <c r="M55" i="50"/>
  <c r="I52" i="50"/>
  <c r="O52" i="50"/>
  <c r="Y16" i="50"/>
  <c r="K32" i="50" s="1"/>
  <c r="Z14" i="51"/>
  <c r="N30" i="51" s="1"/>
  <c r="Z15" i="51"/>
  <c r="N31" i="51" s="1"/>
  <c r="Z17" i="51"/>
  <c r="N33" i="51" s="1"/>
  <c r="Z16" i="51"/>
  <c r="N32" i="51" s="1"/>
  <c r="I48" i="52"/>
  <c r="O48" i="52"/>
  <c r="L48" i="52"/>
  <c r="H57" i="52"/>
  <c r="J57" i="52" s="1"/>
  <c r="K57" i="53"/>
  <c r="M57" i="53" s="1"/>
  <c r="I57" i="54"/>
  <c r="J57" i="54"/>
  <c r="H32" i="45"/>
  <c r="X15" i="45"/>
  <c r="H31" i="45" s="1"/>
  <c r="I47" i="46"/>
  <c r="O47" i="46"/>
  <c r="N31" i="46"/>
  <c r="X14" i="46"/>
  <c r="H30" i="46" s="1"/>
  <c r="N57" i="46"/>
  <c r="J53" i="59"/>
  <c r="P53" i="59"/>
  <c r="X15" i="59"/>
  <c r="H31" i="59" s="1"/>
  <c r="X14" i="59"/>
  <c r="H30" i="59" s="1"/>
  <c r="I56" i="47"/>
  <c r="O56" i="47"/>
  <c r="J55" i="47"/>
  <c r="P55" i="47"/>
  <c r="I52" i="47"/>
  <c r="O52" i="47"/>
  <c r="L57" i="48"/>
  <c r="I57" i="48"/>
  <c r="H30" i="48"/>
  <c r="J56" i="49"/>
  <c r="P56" i="49"/>
  <c r="M56" i="49"/>
  <c r="I46" i="49"/>
  <c r="O46" i="49"/>
  <c r="L46" i="49"/>
  <c r="I55" i="50"/>
  <c r="O55" i="50"/>
  <c r="L55" i="50"/>
  <c r="X16" i="50"/>
  <c r="H32" i="50" s="1"/>
  <c r="X15" i="50"/>
  <c r="H31" i="50" s="1"/>
  <c r="X14" i="50"/>
  <c r="H30" i="50" s="1"/>
  <c r="I54" i="51"/>
  <c r="O54" i="51"/>
  <c r="L54" i="51"/>
  <c r="I46" i="51"/>
  <c r="O46" i="51"/>
  <c r="L46" i="51"/>
  <c r="Y15" i="52"/>
  <c r="K31" i="52" s="1"/>
  <c r="Y14" i="52"/>
  <c r="K30" i="52" s="1"/>
  <c r="Y16" i="52"/>
  <c r="K32" i="52" s="1"/>
  <c r="Y17" i="52"/>
  <c r="K33" i="52" s="1"/>
  <c r="X16" i="47"/>
  <c r="H32" i="47" s="1"/>
  <c r="J56" i="48"/>
  <c r="P56" i="48"/>
  <c r="I48" i="48"/>
  <c r="O48" i="48"/>
  <c r="I56" i="49"/>
  <c r="O56" i="49"/>
  <c r="I52" i="49"/>
  <c r="O52" i="49"/>
  <c r="I48" i="50"/>
  <c r="O48" i="50"/>
  <c r="N57" i="50"/>
  <c r="O57" i="50" s="1"/>
  <c r="I57" i="51"/>
  <c r="J53" i="51"/>
  <c r="P53" i="51"/>
  <c r="I50" i="51"/>
  <c r="O50" i="51"/>
  <c r="N52" i="53"/>
  <c r="Y16" i="54"/>
  <c r="K32" i="54" s="1"/>
  <c r="X16" i="54"/>
  <c r="H32" i="54" s="1"/>
  <c r="P57" i="55"/>
  <c r="O57" i="55"/>
  <c r="Y16" i="55"/>
  <c r="K32" i="55" s="1"/>
  <c r="Y15" i="55"/>
  <c r="K31" i="55" s="1"/>
  <c r="Y14" i="55"/>
  <c r="K30" i="55" s="1"/>
  <c r="Y17" i="55"/>
  <c r="K33" i="55" s="1"/>
  <c r="O57" i="56"/>
  <c r="P57" i="56"/>
  <c r="Y16" i="49"/>
  <c r="K32" i="49" s="1"/>
  <c r="Y15" i="49"/>
  <c r="K31" i="49" s="1"/>
  <c r="J54" i="50"/>
  <c r="P54" i="50"/>
  <c r="I47" i="50"/>
  <c r="O47" i="50"/>
  <c r="I55" i="51"/>
  <c r="O55" i="51"/>
  <c r="J54" i="51"/>
  <c r="P54" i="51"/>
  <c r="I49" i="51"/>
  <c r="O49" i="51"/>
  <c r="N57" i="51"/>
  <c r="O47" i="52"/>
  <c r="I47" i="52"/>
  <c r="I47" i="55"/>
  <c r="O47" i="55"/>
  <c r="L47" i="55"/>
  <c r="I55" i="56"/>
  <c r="O55" i="56"/>
  <c r="L55" i="56"/>
  <c r="X16" i="51"/>
  <c r="H32" i="51" s="1"/>
  <c r="H31" i="52"/>
  <c r="I57" i="53"/>
  <c r="J54" i="53"/>
  <c r="P54" i="53"/>
  <c r="I56" i="52"/>
  <c r="O56" i="52"/>
  <c r="I52" i="52"/>
  <c r="O52" i="52"/>
  <c r="Z16" i="52"/>
  <c r="N32" i="52" s="1"/>
  <c r="Z15" i="52"/>
  <c r="N31" i="52" s="1"/>
  <c r="J55" i="53"/>
  <c r="P55" i="53"/>
  <c r="Y15" i="53"/>
  <c r="K31" i="53" s="1"/>
  <c r="Y14" i="53"/>
  <c r="K30" i="53" s="1"/>
  <c r="Y16" i="53"/>
  <c r="K32" i="53" s="1"/>
  <c r="Y17" i="53"/>
  <c r="K33" i="53" s="1"/>
  <c r="I56" i="54"/>
  <c r="O56" i="54"/>
  <c r="L56" i="54"/>
  <c r="O55" i="54"/>
  <c r="I55" i="54"/>
  <c r="L55" i="54"/>
  <c r="I51" i="54"/>
  <c r="O51" i="54"/>
  <c r="I56" i="55"/>
  <c r="O56" i="55"/>
  <c r="L56" i="55"/>
  <c r="J55" i="55"/>
  <c r="P55" i="55"/>
  <c r="I56" i="53"/>
  <c r="O56" i="53"/>
  <c r="I50" i="53"/>
  <c r="O50" i="53"/>
  <c r="M56" i="54"/>
  <c r="Z15" i="54"/>
  <c r="N31" i="54" s="1"/>
  <c r="Z14" i="54"/>
  <c r="N30" i="54" s="1"/>
  <c r="Z16" i="54"/>
  <c r="N32" i="54" s="1"/>
  <c r="I55" i="55"/>
  <c r="L55" i="55"/>
  <c r="J55" i="60"/>
  <c r="P55" i="60"/>
  <c r="M55" i="60"/>
  <c r="X16" i="61"/>
  <c r="H32" i="61" s="1"/>
  <c r="X15" i="61"/>
  <c r="H31" i="61" s="1"/>
  <c r="X14" i="61"/>
  <c r="H30" i="61" s="1"/>
  <c r="X17" i="61"/>
  <c r="H33" i="61" s="1"/>
  <c r="O57" i="53"/>
  <c r="I47" i="53"/>
  <c r="O47" i="53"/>
  <c r="Z16" i="53"/>
  <c r="N32" i="53" s="1"/>
  <c r="Z15" i="53"/>
  <c r="N31" i="53" s="1"/>
  <c r="O54" i="54"/>
  <c r="I49" i="55"/>
  <c r="O49" i="55"/>
  <c r="Z16" i="55"/>
  <c r="N32" i="55" s="1"/>
  <c r="Z15" i="55"/>
  <c r="N31" i="55" s="1"/>
  <c r="Z14" i="55"/>
  <c r="N30" i="55" s="1"/>
  <c r="Z17" i="55"/>
  <c r="N33" i="55" s="1"/>
  <c r="I53" i="56"/>
  <c r="O57" i="54"/>
  <c r="I54" i="54"/>
  <c r="I47" i="54"/>
  <c r="O47" i="54"/>
  <c r="Y14" i="54"/>
  <c r="K30" i="54" s="1"/>
  <c r="J53" i="55"/>
  <c r="P53" i="55"/>
  <c r="J54" i="56"/>
  <c r="P54" i="56"/>
  <c r="L49" i="56"/>
  <c r="I49" i="56"/>
  <c r="I46" i="56"/>
  <c r="L46" i="56"/>
  <c r="J57" i="60"/>
  <c r="I57" i="60"/>
  <c r="I56" i="60"/>
  <c r="O56" i="60"/>
  <c r="L56" i="60"/>
  <c r="I55" i="61"/>
  <c r="O55" i="61"/>
  <c r="L55" i="61"/>
  <c r="J50" i="61"/>
  <c r="P50" i="61"/>
  <c r="M50" i="61"/>
  <c r="J55" i="54"/>
  <c r="P55" i="54"/>
  <c r="I57" i="55"/>
  <c r="I51" i="55"/>
  <c r="O51" i="55"/>
  <c r="Y16" i="56"/>
  <c r="K32" i="56" s="1"/>
  <c r="Y15" i="56"/>
  <c r="K31" i="56" s="1"/>
  <c r="Y17" i="56"/>
  <c r="K33" i="56" s="1"/>
  <c r="Y14" i="56"/>
  <c r="K30" i="56" s="1"/>
  <c r="I51" i="56"/>
  <c r="H57" i="56"/>
  <c r="J50" i="60"/>
  <c r="P50" i="60"/>
  <c r="Y16" i="60"/>
  <c r="K32" i="60" s="1"/>
  <c r="Y15" i="60"/>
  <c r="K31" i="60" s="1"/>
  <c r="Y14" i="60"/>
  <c r="K30" i="60" s="1"/>
  <c r="Y17" i="60"/>
  <c r="K33" i="60" s="1"/>
  <c r="I50" i="61"/>
  <c r="O50" i="61"/>
  <c r="L50" i="61"/>
  <c r="H57" i="61"/>
  <c r="J54" i="60"/>
  <c r="P54" i="60"/>
  <c r="I52" i="60"/>
  <c r="O52" i="60"/>
  <c r="L52" i="60"/>
  <c r="J51" i="60"/>
  <c r="P51" i="60"/>
  <c r="I47" i="60"/>
  <c r="O47" i="60"/>
  <c r="L47" i="60"/>
  <c r="N57" i="60"/>
  <c r="P57" i="60" s="1"/>
  <c r="Y17" i="61"/>
  <c r="K33" i="61" s="1"/>
  <c r="Z17" i="61"/>
  <c r="N33" i="61" s="1"/>
  <c r="O53" i="56"/>
  <c r="X15" i="56"/>
  <c r="H31" i="56" s="1"/>
  <c r="X14" i="56"/>
  <c r="H30" i="56" s="1"/>
  <c r="I55" i="60"/>
  <c r="O55" i="60"/>
  <c r="I51" i="60"/>
  <c r="O51" i="60"/>
  <c r="J54" i="61"/>
  <c r="P54" i="61"/>
  <c r="M54" i="61"/>
  <c r="I51" i="61"/>
  <c r="O51" i="61"/>
  <c r="K31" i="61"/>
  <c r="N57" i="61"/>
  <c r="I48" i="60"/>
  <c r="O48" i="60"/>
  <c r="I54" i="61"/>
  <c r="O54" i="61"/>
  <c r="L54" i="61"/>
  <c r="M7" i="61"/>
  <c r="K70" i="61" s="1"/>
  <c r="X15" i="60"/>
  <c r="H31" i="60" s="1"/>
  <c r="X14" i="60"/>
  <c r="H30" i="60" s="1"/>
  <c r="J7" i="60"/>
  <c r="H70" i="60" s="1"/>
  <c r="N30" i="61"/>
  <c r="J53" i="61"/>
  <c r="P53" i="61"/>
  <c r="I47" i="61"/>
  <c r="O47" i="61"/>
  <c r="Z16" i="77" l="1"/>
  <c r="N33" i="77" s="1"/>
  <c r="M7" i="60"/>
  <c r="K70" i="60" s="1"/>
  <c r="M69" i="60" s="1"/>
  <c r="BM19" i="29" s="1"/>
  <c r="E12" i="5"/>
  <c r="F12" i="5"/>
  <c r="P7" i="61"/>
  <c r="N70" i="61" s="1"/>
  <c r="P69" i="61" s="1"/>
  <c r="CT19" i="29" s="1"/>
  <c r="P7" i="60"/>
  <c r="N70" i="60" s="1"/>
  <c r="P69" i="60" s="1"/>
  <c r="CS19" i="29" s="1"/>
  <c r="J67" i="81"/>
  <c r="X16" i="74"/>
  <c r="H33" i="74" s="1"/>
  <c r="X15" i="74"/>
  <c r="H32" i="74" s="1"/>
  <c r="G8" i="5"/>
  <c r="X13" i="74"/>
  <c r="H30" i="74" s="1"/>
  <c r="Q14" i="75"/>
  <c r="I14" i="75" s="1"/>
  <c r="Q14" i="82"/>
  <c r="Q14" i="72"/>
  <c r="Z14" i="77"/>
  <c r="N31" i="77" s="1"/>
  <c r="Z13" i="77"/>
  <c r="N30" i="77" s="1"/>
  <c r="Q14" i="61"/>
  <c r="L14" i="61" s="1"/>
  <c r="Q46" i="20"/>
  <c r="Q47" i="20"/>
  <c r="X15" i="79"/>
  <c r="H32" i="79" s="1"/>
  <c r="X16" i="79"/>
  <c r="H33" i="79" s="1"/>
  <c r="X13" i="79"/>
  <c r="H30" i="79" s="1"/>
  <c r="X14" i="79"/>
  <c r="H31" i="79" s="1"/>
  <c r="Z13" i="79"/>
  <c r="N30" i="79" s="1"/>
  <c r="Z15" i="79"/>
  <c r="N32" i="79" s="1"/>
  <c r="Z16" i="79"/>
  <c r="N33" i="79" s="1"/>
  <c r="Z14" i="79"/>
  <c r="N31" i="79" s="1"/>
  <c r="Z16" i="75"/>
  <c r="N33" i="75" s="1"/>
  <c r="Z15" i="75"/>
  <c r="N32" i="75" s="1"/>
  <c r="Z13" i="75"/>
  <c r="Z14" i="75"/>
  <c r="N31" i="75" s="1"/>
  <c r="X16" i="75"/>
  <c r="H33" i="75" s="1"/>
  <c r="X15" i="75"/>
  <c r="H32" i="75" s="1"/>
  <c r="X13" i="75"/>
  <c r="H30" i="75" s="1"/>
  <c r="X14" i="75"/>
  <c r="H31" i="75" s="1"/>
  <c r="N10" i="75"/>
  <c r="H10" i="75"/>
  <c r="M9" i="7"/>
  <c r="Q15" i="77"/>
  <c r="Q15" i="86"/>
  <c r="Q15" i="83"/>
  <c r="I15" i="83" s="1"/>
  <c r="Q15" i="78"/>
  <c r="Q15" i="76"/>
  <c r="Q15" i="80"/>
  <c r="Q15" i="85"/>
  <c r="Q15" i="84"/>
  <c r="Q15" i="49"/>
  <c r="Q15" i="35"/>
  <c r="Q15" i="48"/>
  <c r="Q15" i="34"/>
  <c r="Q15" i="33"/>
  <c r="P13" i="7"/>
  <c r="P9" i="7"/>
  <c r="H13" i="7"/>
  <c r="H9" i="7"/>
  <c r="L9" i="7"/>
  <c r="L13" i="7"/>
  <c r="O9" i="7"/>
  <c r="O13" i="7"/>
  <c r="N9" i="7"/>
  <c r="N13" i="7"/>
  <c r="K9" i="7"/>
  <c r="K13" i="7"/>
  <c r="X16" i="77"/>
  <c r="H33" i="77" s="1"/>
  <c r="X15" i="77"/>
  <c r="H32" i="77" s="1"/>
  <c r="X14" i="77"/>
  <c r="H31" i="77" s="1"/>
  <c r="X13" i="77"/>
  <c r="H30" i="77" s="1"/>
  <c r="Q14" i="33"/>
  <c r="L14" i="33" s="1"/>
  <c r="Q16" i="87"/>
  <c r="Q14" i="87"/>
  <c r="Q15" i="87"/>
  <c r="Q14" i="88"/>
  <c r="I14" i="88" s="1"/>
  <c r="J13" i="88" s="1"/>
  <c r="Q15" i="41"/>
  <c r="Q15" i="47"/>
  <c r="Q15" i="81"/>
  <c r="Q15" i="38"/>
  <c r="Q15" i="42"/>
  <c r="Q14" i="89"/>
  <c r="I14" i="89" s="1"/>
  <c r="J13" i="89" s="1"/>
  <c r="I14" i="66"/>
  <c r="Q14" i="71"/>
  <c r="I14" i="71" s="1"/>
  <c r="Q14" i="65"/>
  <c r="I14" i="65" s="1"/>
  <c r="Q14" i="77"/>
  <c r="I14" i="77" s="1"/>
  <c r="Q15" i="79"/>
  <c r="Q15" i="74"/>
  <c r="Q14" i="78"/>
  <c r="I14" i="78" s="1"/>
  <c r="Q14" i="84"/>
  <c r="I14" i="84" s="1"/>
  <c r="Q14" i="81"/>
  <c r="I14" i="81" s="1"/>
  <c r="Q14" i="83"/>
  <c r="I14" i="83" s="1"/>
  <c r="Q14" i="86"/>
  <c r="I14" i="86" s="1"/>
  <c r="Q14" i="91"/>
  <c r="I14" i="91" s="1"/>
  <c r="Q14" i="64"/>
  <c r="I14" i="64" s="1"/>
  <c r="Q14" i="73"/>
  <c r="I14" i="73" s="1"/>
  <c r="Q14" i="76"/>
  <c r="I14" i="76" s="1"/>
  <c r="Q14" i="80"/>
  <c r="I14" i="80" s="1"/>
  <c r="Q14" i="85"/>
  <c r="I14" i="85" s="1"/>
  <c r="Q15" i="91"/>
  <c r="Q15" i="64"/>
  <c r="Q15" i="73"/>
  <c r="Q15" i="66"/>
  <c r="Q15" i="71"/>
  <c r="Q15" i="65"/>
  <c r="Q15" i="75"/>
  <c r="Q14" i="79"/>
  <c r="I14" i="79" s="1"/>
  <c r="I14" i="72"/>
  <c r="Q14" i="74"/>
  <c r="I14" i="74" s="1"/>
  <c r="V29" i="30"/>
  <c r="T29" i="30"/>
  <c r="P29" i="30"/>
  <c r="P56" i="74"/>
  <c r="O56" i="74"/>
  <c r="I57" i="52"/>
  <c r="I58" i="52" s="1"/>
  <c r="I59" i="52" s="1"/>
  <c r="AA27" i="29" s="1"/>
  <c r="Q14" i="58"/>
  <c r="L14" i="58" s="1"/>
  <c r="Q14" i="35"/>
  <c r="L14" i="35" s="1"/>
  <c r="Q14" i="37"/>
  <c r="I14" i="37" s="1"/>
  <c r="J13" i="37" s="1"/>
  <c r="K64" i="29" s="1"/>
  <c r="Q14" i="39"/>
  <c r="L14" i="39" s="1"/>
  <c r="Q14" i="41"/>
  <c r="L14" i="41" s="1"/>
  <c r="Q14" i="44"/>
  <c r="Q14" i="45"/>
  <c r="L14" i="45" s="1"/>
  <c r="Q14" i="59"/>
  <c r="L14" i="59" s="1"/>
  <c r="Q14" i="48"/>
  <c r="L14" i="48" s="1"/>
  <c r="Q14" i="50"/>
  <c r="L14" i="50" s="1"/>
  <c r="Q14" i="52"/>
  <c r="L14" i="52" s="1"/>
  <c r="Q14" i="54"/>
  <c r="L14" i="54" s="1"/>
  <c r="Q14" i="56"/>
  <c r="L14" i="56" s="1"/>
  <c r="Q14" i="62"/>
  <c r="I14" i="62" s="1"/>
  <c r="J13" i="62" s="1"/>
  <c r="Q14" i="57"/>
  <c r="L14" i="57" s="1"/>
  <c r="Q14" i="34"/>
  <c r="L14" i="34" s="1"/>
  <c r="Q14" i="36"/>
  <c r="L14" i="36" s="1"/>
  <c r="Q14" i="38"/>
  <c r="L14" i="38" s="1"/>
  <c r="Q14" i="40"/>
  <c r="L14" i="40" s="1"/>
  <c r="Q14" i="42"/>
  <c r="L14" i="42" s="1"/>
  <c r="Q14" i="43"/>
  <c r="L14" i="43" s="1"/>
  <c r="Q14" i="46"/>
  <c r="L14" i="46" s="1"/>
  <c r="Q14" i="47"/>
  <c r="L14" i="47" s="1"/>
  <c r="Q14" i="49"/>
  <c r="L14" i="49" s="1"/>
  <c r="Q14" i="51"/>
  <c r="L14" i="51" s="1"/>
  <c r="Q14" i="53"/>
  <c r="L14" i="53" s="1"/>
  <c r="Q14" i="55"/>
  <c r="L14" i="55" s="1"/>
  <c r="Q14" i="60"/>
  <c r="Q14" i="90"/>
  <c r="I14" i="90" s="1"/>
  <c r="J13" i="90" s="1"/>
  <c r="N29" i="30"/>
  <c r="R29" i="30"/>
  <c r="BM48" i="29"/>
  <c r="D14" i="3"/>
  <c r="L29" i="30"/>
  <c r="I58" i="71"/>
  <c r="L53" i="86"/>
  <c r="CY8" i="29"/>
  <c r="CY48" i="29" s="1"/>
  <c r="X13" i="76"/>
  <c r="H30" i="76" s="1"/>
  <c r="X14" i="76"/>
  <c r="H31" i="76" s="1"/>
  <c r="X15" i="76"/>
  <c r="H32" i="76" s="1"/>
  <c r="X16" i="76"/>
  <c r="H33" i="76" s="1"/>
  <c r="G43" i="3"/>
  <c r="X16" i="72"/>
  <c r="H33" i="72" s="1"/>
  <c r="X14" i="72"/>
  <c r="H31" i="72" s="1"/>
  <c r="X13" i="72"/>
  <c r="H30" i="72" s="1"/>
  <c r="X15" i="72"/>
  <c r="H32" i="72" s="1"/>
  <c r="O57" i="43"/>
  <c r="O58" i="43" s="1"/>
  <c r="O59" i="43" s="1"/>
  <c r="CD27" i="29" s="1"/>
  <c r="J7" i="61"/>
  <c r="H70" i="61" s="1"/>
  <c r="AH8" i="29"/>
  <c r="AH48" i="29" s="1"/>
  <c r="J69" i="61"/>
  <c r="AH19" i="29" s="1"/>
  <c r="M69" i="61"/>
  <c r="BN19" i="29" s="1"/>
  <c r="BN8" i="29"/>
  <c r="BN48" i="29" s="1"/>
  <c r="L57" i="53"/>
  <c r="L58" i="53" s="1"/>
  <c r="L59" i="53" s="1"/>
  <c r="BH27" i="29" s="1"/>
  <c r="DX8" i="29"/>
  <c r="DX48" i="29" s="1"/>
  <c r="Z15" i="76"/>
  <c r="N32" i="76" s="1"/>
  <c r="Z13" i="76"/>
  <c r="N30" i="76" s="1"/>
  <c r="Z14" i="76"/>
  <c r="N31" i="76" s="1"/>
  <c r="Z16" i="76"/>
  <c r="DV8" i="29"/>
  <c r="DV48" i="29" s="1"/>
  <c r="J69" i="60"/>
  <c r="AG19" i="29" s="1"/>
  <c r="ES8" i="29"/>
  <c r="ES48" i="29" s="1"/>
  <c r="L45" i="21"/>
  <c r="X13" i="73"/>
  <c r="H30" i="73" s="1"/>
  <c r="X15" i="73"/>
  <c r="H32" i="73" s="1"/>
  <c r="X14" i="73"/>
  <c r="H31" i="73" s="1"/>
  <c r="X16" i="73"/>
  <c r="H33" i="73" s="1"/>
  <c r="L58" i="61"/>
  <c r="L59" i="61" s="1"/>
  <c r="BN27" i="29" s="1"/>
  <c r="N9" i="30"/>
  <c r="T173" i="30" s="1"/>
  <c r="O5" i="30"/>
  <c r="H8" i="5"/>
  <c r="D12" i="5"/>
  <c r="D8" i="5"/>
  <c r="I12" i="5"/>
  <c r="R13" i="7"/>
  <c r="J13" i="7"/>
  <c r="J9" i="7"/>
  <c r="O38" i="41"/>
  <c r="M43" i="89"/>
  <c r="P43" i="89"/>
  <c r="J69" i="90"/>
  <c r="DS19" i="29" s="1"/>
  <c r="J43" i="89"/>
  <c r="Q52" i="21"/>
  <c r="Q54" i="21"/>
  <c r="L58" i="64"/>
  <c r="P7" i="71"/>
  <c r="N70" i="71" s="1"/>
  <c r="P69" i="71"/>
  <c r="ET19" i="29" s="1"/>
  <c r="P69" i="90"/>
  <c r="FM19" i="29" s="1"/>
  <c r="J7" i="64"/>
  <c r="H70" i="64" s="1"/>
  <c r="CX19" i="29" s="1"/>
  <c r="P69" i="65"/>
  <c r="O58" i="64"/>
  <c r="J69" i="65"/>
  <c r="DA19" i="29" s="1"/>
  <c r="I58" i="64"/>
  <c r="J7" i="71"/>
  <c r="H70" i="71" s="1"/>
  <c r="J69" i="71"/>
  <c r="CZ19" i="29" s="1"/>
  <c r="P7" i="66"/>
  <c r="N70" i="66" s="1"/>
  <c r="P69" i="66" s="1"/>
  <c r="ES19" i="29" s="1"/>
  <c r="J7" i="91"/>
  <c r="H70" i="91" s="1"/>
  <c r="J69" i="91" s="1"/>
  <c r="DR19" i="29" s="1"/>
  <c r="M7" i="91"/>
  <c r="K70" i="91" s="1"/>
  <c r="M69" i="91" s="1"/>
  <c r="EO19" i="29" s="1"/>
  <c r="M7" i="90"/>
  <c r="K70" i="90" s="1"/>
  <c r="M69" i="90" s="1"/>
  <c r="EP19" i="29" s="1"/>
  <c r="J7" i="66"/>
  <c r="H70" i="66" s="1"/>
  <c r="J69" i="66" s="1"/>
  <c r="CY19" i="29" s="1"/>
  <c r="P7" i="91"/>
  <c r="N70" i="91" s="1"/>
  <c r="P69" i="91" s="1"/>
  <c r="FL19" i="29" s="1"/>
  <c r="M7" i="71"/>
  <c r="K70" i="71" s="1"/>
  <c r="M69" i="71" s="1"/>
  <c r="P7" i="90"/>
  <c r="N70" i="90" s="1"/>
  <c r="M7" i="64"/>
  <c r="K70" i="64" s="1"/>
  <c r="M69" i="64" s="1"/>
  <c r="DU19" i="29" s="1"/>
  <c r="P7" i="65"/>
  <c r="N70" i="65" s="1"/>
  <c r="M7" i="66"/>
  <c r="K70" i="66" s="1"/>
  <c r="M69" i="66" s="1"/>
  <c r="DV19" i="29" s="1"/>
  <c r="V10" i="30"/>
  <c r="J7" i="90"/>
  <c r="H70" i="90" s="1"/>
  <c r="M7" i="65"/>
  <c r="K70" i="65" s="1"/>
  <c r="M69" i="65" s="1"/>
  <c r="DX19" i="29" s="1"/>
  <c r="P7" i="64"/>
  <c r="N70" i="64" s="1"/>
  <c r="P69" i="64" s="1"/>
  <c r="ER19" i="29" s="1"/>
  <c r="I58" i="41"/>
  <c r="I59" i="41" s="1"/>
  <c r="O27" i="29" s="1"/>
  <c r="O58" i="36"/>
  <c r="O59" i="36" s="1"/>
  <c r="BV27" i="29" s="1"/>
  <c r="O58" i="41"/>
  <c r="O59" i="41" s="1"/>
  <c r="CA27" i="29" s="1"/>
  <c r="L58" i="46"/>
  <c r="L59" i="46" s="1"/>
  <c r="AZ27" i="29" s="1"/>
  <c r="O58" i="58"/>
  <c r="O59" i="58" s="1"/>
  <c r="BS27" i="29" s="1"/>
  <c r="O58" i="52"/>
  <c r="O59" i="52" s="1"/>
  <c r="CM27" i="29" s="1"/>
  <c r="I58" i="46"/>
  <c r="I59" i="46" s="1"/>
  <c r="T27" i="29" s="1"/>
  <c r="I58" i="43"/>
  <c r="I59" i="43" s="1"/>
  <c r="R27" i="29" s="1"/>
  <c r="L58" i="37"/>
  <c r="L59" i="37" s="1"/>
  <c r="AQ27" i="29" s="1"/>
  <c r="L58" i="42"/>
  <c r="L59" i="42" s="1"/>
  <c r="AV27" i="29" s="1"/>
  <c r="I58" i="55"/>
  <c r="I59" i="55" s="1"/>
  <c r="AD27" i="29" s="1"/>
  <c r="O58" i="50"/>
  <c r="O59" i="50" s="1"/>
  <c r="CK27" i="29" s="1"/>
  <c r="I58" i="42"/>
  <c r="I59" i="42" s="1"/>
  <c r="P27" i="29" s="1"/>
  <c r="I58" i="57"/>
  <c r="I59" i="57" s="1"/>
  <c r="F27" i="29" s="1"/>
  <c r="L58" i="44"/>
  <c r="L59" i="44" s="1"/>
  <c r="AW27" i="29" s="1"/>
  <c r="L58" i="31"/>
  <c r="L59" i="31" s="1"/>
  <c r="AJ27" i="29" s="1"/>
  <c r="L58" i="52"/>
  <c r="L59" i="52" s="1"/>
  <c r="BG27" i="29" s="1"/>
  <c r="O58" i="47"/>
  <c r="O59" i="47" s="1"/>
  <c r="CH27" i="29" s="1"/>
  <c r="L58" i="47"/>
  <c r="L59" i="47" s="1"/>
  <c r="BB27" i="29" s="1"/>
  <c r="O58" i="39"/>
  <c r="O59" i="39" s="1"/>
  <c r="BY27" i="29" s="1"/>
  <c r="I58" i="37"/>
  <c r="I59" i="37" s="1"/>
  <c r="K27" i="29" s="1"/>
  <c r="I58" i="60"/>
  <c r="I59" i="60" s="1"/>
  <c r="AG27" i="29" s="1"/>
  <c r="L58" i="51"/>
  <c r="L59" i="51" s="1"/>
  <c r="BF27" i="29" s="1"/>
  <c r="I58" i="47"/>
  <c r="I59" i="47" s="1"/>
  <c r="V27" i="29" s="1"/>
  <c r="L58" i="34"/>
  <c r="L59" i="34" s="1"/>
  <c r="AN27" i="29" s="1"/>
  <c r="L58" i="50"/>
  <c r="L59" i="50" s="1"/>
  <c r="BE27" i="29" s="1"/>
  <c r="L58" i="59"/>
  <c r="L59" i="59" s="1"/>
  <c r="BA27" i="29" s="1"/>
  <c r="I58" i="44"/>
  <c r="I59" i="44" s="1"/>
  <c r="Q27" i="29" s="1"/>
  <c r="O58" i="57"/>
  <c r="O59" i="57" s="1"/>
  <c r="BR27" i="29" s="1"/>
  <c r="L57" i="91"/>
  <c r="I57" i="88"/>
  <c r="L57" i="90"/>
  <c r="L57" i="88"/>
  <c r="L57" i="89"/>
  <c r="L58" i="89" s="1"/>
  <c r="O57" i="90"/>
  <c r="O57" i="91"/>
  <c r="O57" i="88"/>
  <c r="O57" i="85"/>
  <c r="P10" i="30"/>
  <c r="P9" i="30"/>
  <c r="U173" i="30" s="1"/>
  <c r="R10" i="30"/>
  <c r="R9" i="30"/>
  <c r="V173" i="30" s="1"/>
  <c r="V9" i="30"/>
  <c r="X173" i="30" s="1"/>
  <c r="T9" i="30"/>
  <c r="W173" i="30" s="1"/>
  <c r="T10" i="30"/>
  <c r="M5" i="30"/>
  <c r="M4" i="30"/>
  <c r="N10" i="30"/>
  <c r="Q44" i="30"/>
  <c r="Q60" i="30" s="1"/>
  <c r="P14" i="30"/>
  <c r="O4" i="30"/>
  <c r="S4" i="30"/>
  <c r="S5" i="30"/>
  <c r="Q4" i="30"/>
  <c r="Q5" i="30"/>
  <c r="R14" i="30"/>
  <c r="U4" i="30"/>
  <c r="U5" i="30"/>
  <c r="K5" i="30"/>
  <c r="L14" i="30"/>
  <c r="L9" i="30"/>
  <c r="S173" i="30" s="1"/>
  <c r="L10" i="30"/>
  <c r="Q6" i="7"/>
  <c r="D6" i="7"/>
  <c r="G6" i="7"/>
  <c r="E6" i="7"/>
  <c r="I6" i="7"/>
  <c r="F6" i="7"/>
  <c r="L57" i="85"/>
  <c r="N33" i="76"/>
  <c r="O57" i="89"/>
  <c r="O58" i="89" s="1"/>
  <c r="I57" i="85"/>
  <c r="J7" i="65"/>
  <c r="H70" i="65" s="1"/>
  <c r="N9" i="89"/>
  <c r="O10" i="89"/>
  <c r="L9" i="89"/>
  <c r="I57" i="89"/>
  <c r="I58" i="89" s="1"/>
  <c r="I57" i="90"/>
  <c r="I58" i="48"/>
  <c r="I59" i="48" s="1"/>
  <c r="W27" i="29" s="1"/>
  <c r="J16" i="3"/>
  <c r="O50" i="54"/>
  <c r="O58" i="54" s="1"/>
  <c r="O59" i="54" s="1"/>
  <c r="CO27" i="29" s="1"/>
  <c r="L50" i="54"/>
  <c r="I50" i="54"/>
  <c r="I58" i="54" s="1"/>
  <c r="I59" i="54" s="1"/>
  <c r="AC27" i="29" s="1"/>
  <c r="L58" i="41"/>
  <c r="L59" i="41" s="1"/>
  <c r="AU27" i="29" s="1"/>
  <c r="I57" i="61"/>
  <c r="I58" i="61" s="1"/>
  <c r="I59" i="61" s="1"/>
  <c r="AH27" i="29" s="1"/>
  <c r="J57" i="61"/>
  <c r="L58" i="39"/>
  <c r="L59" i="39" s="1"/>
  <c r="AS27" i="29" s="1"/>
  <c r="I58" i="33"/>
  <c r="I59" i="33" s="1"/>
  <c r="E27" i="29" s="1"/>
  <c r="I57" i="56"/>
  <c r="J57" i="56"/>
  <c r="L58" i="55"/>
  <c r="L59" i="55" s="1"/>
  <c r="BJ27" i="29" s="1"/>
  <c r="O57" i="51"/>
  <c r="O58" i="51" s="1"/>
  <c r="O59" i="51" s="1"/>
  <c r="CL27" i="29" s="1"/>
  <c r="I58" i="51"/>
  <c r="I59" i="51" s="1"/>
  <c r="Z27" i="29" s="1"/>
  <c r="L58" i="49"/>
  <c r="L59" i="49" s="1"/>
  <c r="BD27" i="29" s="1"/>
  <c r="O57" i="46"/>
  <c r="O58" i="46" s="1"/>
  <c r="O59" i="46" s="1"/>
  <c r="CF27" i="29" s="1"/>
  <c r="O58" i="38"/>
  <c r="O59" i="38" s="1"/>
  <c r="BX27" i="29" s="1"/>
  <c r="O58" i="48"/>
  <c r="O59" i="48" s="1"/>
  <c r="CI27" i="29" s="1"/>
  <c r="O57" i="44"/>
  <c r="O58" i="44" s="1"/>
  <c r="O59" i="44" s="1"/>
  <c r="CC27" i="29" s="1"/>
  <c r="P57" i="44"/>
  <c r="L58" i="45"/>
  <c r="L59" i="45" s="1"/>
  <c r="AY27" i="29" s="1"/>
  <c r="O58" i="34"/>
  <c r="O59" i="34" s="1"/>
  <c r="BT27" i="29" s="1"/>
  <c r="O58" i="31"/>
  <c r="O59" i="31" s="1"/>
  <c r="BP27" i="29" s="1"/>
  <c r="O58" i="40"/>
  <c r="O59" i="40" s="1"/>
  <c r="BZ27" i="29" s="1"/>
  <c r="S44" i="30"/>
  <c r="S60" i="30" s="1"/>
  <c r="L58" i="58"/>
  <c r="L59" i="58" s="1"/>
  <c r="AM27" i="29" s="1"/>
  <c r="I38" i="42"/>
  <c r="L38" i="42"/>
  <c r="O38" i="42"/>
  <c r="D21" i="3"/>
  <c r="I58" i="35"/>
  <c r="I59" i="35" s="1"/>
  <c r="I27" i="29" s="1"/>
  <c r="I52" i="53"/>
  <c r="I58" i="53" s="1"/>
  <c r="I59" i="53" s="1"/>
  <c r="AB27" i="29" s="1"/>
  <c r="I58" i="49"/>
  <c r="I59" i="49" s="1"/>
  <c r="X27" i="29" s="1"/>
  <c r="O57" i="59"/>
  <c r="O58" i="59" s="1"/>
  <c r="O59" i="59" s="1"/>
  <c r="CG27" i="29" s="1"/>
  <c r="L57" i="35"/>
  <c r="L58" i="35" s="1"/>
  <c r="L59" i="35" s="1"/>
  <c r="I58" i="45"/>
  <c r="I59" i="45" s="1"/>
  <c r="S27" i="29" s="1"/>
  <c r="I57" i="50"/>
  <c r="I58" i="50" s="1"/>
  <c r="I59" i="50" s="1"/>
  <c r="Y27" i="29" s="1"/>
  <c r="O58" i="33"/>
  <c r="O59" i="33" s="1"/>
  <c r="BQ27" i="29" s="1"/>
  <c r="O57" i="60"/>
  <c r="O58" i="60" s="1"/>
  <c r="O59" i="60" s="1"/>
  <c r="CS27" i="29" s="1"/>
  <c r="I57" i="59"/>
  <c r="I58" i="59" s="1"/>
  <c r="I59" i="59" s="1"/>
  <c r="U27" i="29" s="1"/>
  <c r="L58" i="40"/>
  <c r="L59" i="40" s="1"/>
  <c r="AT27" i="29" s="1"/>
  <c r="L58" i="36"/>
  <c r="L59" i="36" s="1"/>
  <c r="AP27" i="29" s="1"/>
  <c r="G22" i="3"/>
  <c r="O57" i="61"/>
  <c r="O58" i="61" s="1"/>
  <c r="O59" i="61" s="1"/>
  <c r="CT27" i="29" s="1"/>
  <c r="P57" i="61"/>
  <c r="L58" i="60"/>
  <c r="L59" i="60" s="1"/>
  <c r="BM27" i="29" s="1"/>
  <c r="M57" i="54"/>
  <c r="L57" i="54"/>
  <c r="O58" i="55"/>
  <c r="O59" i="55" s="1"/>
  <c r="CP27" i="29" s="1"/>
  <c r="O58" i="49"/>
  <c r="O59" i="49" s="1"/>
  <c r="CJ27" i="29" s="1"/>
  <c r="M57" i="43"/>
  <c r="L57" i="43"/>
  <c r="L58" i="43" s="1"/>
  <c r="L59" i="43" s="1"/>
  <c r="AX27" i="29" s="1"/>
  <c r="O52" i="53"/>
  <c r="O58" i="53" s="1"/>
  <c r="O59" i="53" s="1"/>
  <c r="CN27" i="29" s="1"/>
  <c r="O58" i="42"/>
  <c r="O59" i="42" s="1"/>
  <c r="CB27" i="29" s="1"/>
  <c r="I58" i="38"/>
  <c r="I59" i="38" s="1"/>
  <c r="L27" i="29" s="1"/>
  <c r="O58" i="37"/>
  <c r="O59" i="37" s="1"/>
  <c r="BW27" i="29" s="1"/>
  <c r="L58" i="48"/>
  <c r="L59" i="48" s="1"/>
  <c r="BC27" i="29" s="1"/>
  <c r="L58" i="38"/>
  <c r="L59" i="38" s="1"/>
  <c r="AR27" i="29" s="1"/>
  <c r="I57" i="36"/>
  <c r="I58" i="36" s="1"/>
  <c r="I59" i="36" s="1"/>
  <c r="J27" i="29" s="1"/>
  <c r="O58" i="45"/>
  <c r="O59" i="45" s="1"/>
  <c r="CE27" i="29" s="1"/>
  <c r="I58" i="39"/>
  <c r="I59" i="39" s="1"/>
  <c r="M27" i="29" s="1"/>
  <c r="I58" i="34"/>
  <c r="I59" i="34" s="1"/>
  <c r="H27" i="29" s="1"/>
  <c r="I58" i="31"/>
  <c r="I59" i="31" s="1"/>
  <c r="D27" i="29" s="1"/>
  <c r="I58" i="40"/>
  <c r="I59" i="40" s="1"/>
  <c r="N27" i="29" s="1"/>
  <c r="I57" i="58"/>
  <c r="I58" i="58" s="1"/>
  <c r="I59" i="58" s="1"/>
  <c r="G27" i="29" s="1"/>
  <c r="L57" i="57"/>
  <c r="L58" i="57" s="1"/>
  <c r="L59" i="57" s="1"/>
  <c r="AL27" i="29" s="1"/>
  <c r="L58" i="33"/>
  <c r="L59" i="33" s="1"/>
  <c r="AK27" i="29" s="1"/>
  <c r="O58" i="35"/>
  <c r="O59" i="35" s="1"/>
  <c r="BU27" i="29" s="1"/>
  <c r="L50" i="56"/>
  <c r="L58" i="56" s="1"/>
  <c r="L59" i="56" s="1"/>
  <c r="BK27" i="29" s="1"/>
  <c r="I50" i="56"/>
  <c r="O50" i="56"/>
  <c r="O58" i="56" s="1"/>
  <c r="O59" i="56" s="1"/>
  <c r="CQ27" i="29" s="1"/>
  <c r="L15" i="33" l="1"/>
  <c r="I15" i="33"/>
  <c r="I15" i="49"/>
  <c r="L15" i="49"/>
  <c r="I14" i="60"/>
  <c r="J13" i="60" s="1"/>
  <c r="L14" i="60"/>
  <c r="I14" i="31"/>
  <c r="J13" i="31" s="1"/>
  <c r="L14" i="31"/>
  <c r="M13" i="31" s="1"/>
  <c r="AJ64" i="29" s="1"/>
  <c r="I10" i="5"/>
  <c r="W30" i="29"/>
  <c r="R30" i="29"/>
  <c r="CD30" i="29"/>
  <c r="CI30" i="29"/>
  <c r="BC30" i="29"/>
  <c r="AX30" i="29"/>
  <c r="Q50" i="21"/>
  <c r="Q49" i="21"/>
  <c r="Q53" i="21"/>
  <c r="O14" i="82"/>
  <c r="P13" i="82" s="1"/>
  <c r="I14" i="82"/>
  <c r="J13" i="82" s="1"/>
  <c r="L14" i="82"/>
  <c r="M13" i="82" s="1"/>
  <c r="S19" i="82" s="1"/>
  <c r="I14" i="61"/>
  <c r="J13" i="61" s="1"/>
  <c r="AH64" i="29" s="1"/>
  <c r="O14" i="61"/>
  <c r="P13" i="61" s="1"/>
  <c r="CT64" i="29" s="1"/>
  <c r="M13" i="61"/>
  <c r="BN64" i="29" s="1"/>
  <c r="L71" i="14"/>
  <c r="L39" i="14"/>
  <c r="F71" i="14"/>
  <c r="F39" i="14"/>
  <c r="Z13" i="91"/>
  <c r="Y13" i="91"/>
  <c r="X13" i="91"/>
  <c r="H30" i="91" s="1"/>
  <c r="I10" i="75"/>
  <c r="H73" i="75"/>
  <c r="O10" i="75"/>
  <c r="N73" i="75"/>
  <c r="J67" i="75"/>
  <c r="DE18" i="29" s="1"/>
  <c r="P67" i="75"/>
  <c r="EY18" i="29" s="1"/>
  <c r="I14" i="59"/>
  <c r="J13" i="59" s="1"/>
  <c r="U64" i="29" s="1"/>
  <c r="O14" i="59"/>
  <c r="P13" i="59" s="1"/>
  <c r="CG64" i="29" s="1"/>
  <c r="M13" i="59"/>
  <c r="BA64" i="29" s="1"/>
  <c r="M13" i="58"/>
  <c r="AM64" i="29" s="1"/>
  <c r="O14" i="58"/>
  <c r="P13" i="58" s="1"/>
  <c r="BS64" i="29" s="1"/>
  <c r="M13" i="57"/>
  <c r="AL64" i="29" s="1"/>
  <c r="O14" i="57"/>
  <c r="P13" i="57" s="1"/>
  <c r="BR64" i="29" s="1"/>
  <c r="I14" i="56"/>
  <c r="J13" i="56" s="1"/>
  <c r="AE64" i="29" s="1"/>
  <c r="M13" i="56"/>
  <c r="BK64" i="29" s="1"/>
  <c r="O14" i="56"/>
  <c r="P13" i="56" s="1"/>
  <c r="CQ64" i="29" s="1"/>
  <c r="I14" i="55"/>
  <c r="J13" i="55" s="1"/>
  <c r="AD64" i="29" s="1"/>
  <c r="M13" i="55"/>
  <c r="BJ64" i="29" s="1"/>
  <c r="O14" i="55"/>
  <c r="P13" i="55" s="1"/>
  <c r="CP64" i="29" s="1"/>
  <c r="I14" i="54"/>
  <c r="J13" i="54" s="1"/>
  <c r="AC64" i="29" s="1"/>
  <c r="O14" i="54"/>
  <c r="P13" i="54" s="1"/>
  <c r="CO64" i="29" s="1"/>
  <c r="M13" i="54"/>
  <c r="BI64" i="29" s="1"/>
  <c r="I14" i="53"/>
  <c r="J13" i="53" s="1"/>
  <c r="AB64" i="29" s="1"/>
  <c r="M13" i="53"/>
  <c r="BH64" i="29" s="1"/>
  <c r="O14" i="53"/>
  <c r="P13" i="53" s="1"/>
  <c r="CN64" i="29" s="1"/>
  <c r="I14" i="52"/>
  <c r="J13" i="52" s="1"/>
  <c r="AA64" i="29" s="1"/>
  <c r="O14" i="52"/>
  <c r="P13" i="52" s="1"/>
  <c r="CM64" i="29" s="1"/>
  <c r="I14" i="51"/>
  <c r="J13" i="51" s="1"/>
  <c r="Z64" i="29" s="1"/>
  <c r="M13" i="51"/>
  <c r="BF64" i="29" s="1"/>
  <c r="O14" i="51"/>
  <c r="P13" i="51" s="1"/>
  <c r="CL64" i="29" s="1"/>
  <c r="I14" i="50"/>
  <c r="J13" i="50" s="1"/>
  <c r="Y64" i="29" s="1"/>
  <c r="M13" i="50"/>
  <c r="BE64" i="29" s="1"/>
  <c r="O14" i="50"/>
  <c r="P13" i="50" s="1"/>
  <c r="CK64" i="29" s="1"/>
  <c r="O15" i="49"/>
  <c r="I14" i="49"/>
  <c r="O14" i="49"/>
  <c r="I14" i="48"/>
  <c r="J13" i="48" s="1"/>
  <c r="M13" i="48"/>
  <c r="O14" i="48"/>
  <c r="P13" i="48" s="1"/>
  <c r="I14" i="47"/>
  <c r="J13" i="47" s="1"/>
  <c r="V64" i="29" s="1"/>
  <c r="M13" i="47"/>
  <c r="BB64" i="29" s="1"/>
  <c r="O14" i="47"/>
  <c r="P13" i="47" s="1"/>
  <c r="CH64" i="29" s="1"/>
  <c r="I14" i="46"/>
  <c r="J13" i="46" s="1"/>
  <c r="T64" i="29" s="1"/>
  <c r="M13" i="46"/>
  <c r="AZ64" i="29" s="1"/>
  <c r="O14" i="46"/>
  <c r="P13" i="46" s="1"/>
  <c r="CF64" i="29" s="1"/>
  <c r="I14" i="45"/>
  <c r="J13" i="45" s="1"/>
  <c r="S64" i="29" s="1"/>
  <c r="M13" i="45"/>
  <c r="AY64" i="29" s="1"/>
  <c r="O14" i="45"/>
  <c r="P13" i="45" s="1"/>
  <c r="CE64" i="29" s="1"/>
  <c r="I14" i="43"/>
  <c r="J13" i="43" s="1"/>
  <c r="M13" i="43"/>
  <c r="O14" i="43"/>
  <c r="P13" i="43" s="1"/>
  <c r="I14" i="42"/>
  <c r="J13" i="42" s="1"/>
  <c r="P64" i="29" s="1"/>
  <c r="M13" i="42"/>
  <c r="AV64" i="29" s="1"/>
  <c r="O14" i="42"/>
  <c r="P13" i="42" s="1"/>
  <c r="CB64" i="29" s="1"/>
  <c r="I14" i="44"/>
  <c r="J13" i="44" s="1"/>
  <c r="Q64" i="29" s="1"/>
  <c r="M13" i="44"/>
  <c r="AW64" i="29" s="1"/>
  <c r="O14" i="44"/>
  <c r="P13" i="44" s="1"/>
  <c r="CC64" i="29" s="1"/>
  <c r="I14" i="41"/>
  <c r="J13" i="41" s="1"/>
  <c r="O64" i="29" s="1"/>
  <c r="O14" i="41"/>
  <c r="P13" i="41" s="1"/>
  <c r="CA64" i="29" s="1"/>
  <c r="M13" i="41"/>
  <c r="AU64" i="29" s="1"/>
  <c r="I14" i="40"/>
  <c r="J13" i="40" s="1"/>
  <c r="N64" i="29" s="1"/>
  <c r="M13" i="40"/>
  <c r="AT64" i="29" s="1"/>
  <c r="O14" i="40"/>
  <c r="P13" i="40" s="1"/>
  <c r="BZ64" i="29" s="1"/>
  <c r="I14" i="39"/>
  <c r="J13" i="39" s="1"/>
  <c r="M64" i="29" s="1"/>
  <c r="M13" i="39"/>
  <c r="AS64" i="29" s="1"/>
  <c r="O14" i="39"/>
  <c r="P13" i="39" s="1"/>
  <c r="BY64" i="29" s="1"/>
  <c r="I14" i="38"/>
  <c r="J13" i="38" s="1"/>
  <c r="L64" i="29" s="1"/>
  <c r="O14" i="38"/>
  <c r="P13" i="38" s="1"/>
  <c r="BX64" i="29" s="1"/>
  <c r="M13" i="38"/>
  <c r="AR64" i="29" s="1"/>
  <c r="I14" i="36"/>
  <c r="J13" i="36" s="1"/>
  <c r="J64" i="29" s="1"/>
  <c r="O14" i="36"/>
  <c r="P13" i="36" s="1"/>
  <c r="BV64" i="29" s="1"/>
  <c r="M13" i="36"/>
  <c r="AP64" i="29" s="1"/>
  <c r="I14" i="35"/>
  <c r="O14" i="35"/>
  <c r="O15" i="35"/>
  <c r="I14" i="34"/>
  <c r="O14" i="34"/>
  <c r="O15" i="34"/>
  <c r="O15" i="33"/>
  <c r="J13" i="83"/>
  <c r="O15" i="79"/>
  <c r="L15" i="79"/>
  <c r="I15" i="79"/>
  <c r="J13" i="79" s="1"/>
  <c r="O15" i="85"/>
  <c r="L15" i="85"/>
  <c r="I15" i="85"/>
  <c r="J13" i="85" s="1"/>
  <c r="DN64" i="29" s="1"/>
  <c r="I14" i="57"/>
  <c r="J13" i="57" s="1"/>
  <c r="F64" i="29" s="1"/>
  <c r="I15" i="80"/>
  <c r="J13" i="80" s="1"/>
  <c r="L15" i="80"/>
  <c r="O15" i="80"/>
  <c r="AF64" i="29"/>
  <c r="R19" i="62"/>
  <c r="AF37" i="29" s="1"/>
  <c r="AF55" i="29" s="1"/>
  <c r="AF56" i="29" s="1"/>
  <c r="O15" i="91"/>
  <c r="L15" i="91"/>
  <c r="I15" i="91"/>
  <c r="J13" i="91" s="1"/>
  <c r="O15" i="76"/>
  <c r="L15" i="76"/>
  <c r="I15" i="76"/>
  <c r="J13" i="76" s="1"/>
  <c r="O15" i="78"/>
  <c r="L15" i="78"/>
  <c r="I15" i="78"/>
  <c r="J13" i="78" s="1"/>
  <c r="I14" i="33"/>
  <c r="O15" i="86"/>
  <c r="L15" i="86"/>
  <c r="I15" i="86"/>
  <c r="J13" i="86" s="1"/>
  <c r="O15" i="77"/>
  <c r="L15" i="77"/>
  <c r="I15" i="77"/>
  <c r="J13" i="77" s="1"/>
  <c r="I14" i="58"/>
  <c r="J13" i="58" s="1"/>
  <c r="G64" i="29" s="1"/>
  <c r="O15" i="84"/>
  <c r="L15" i="84"/>
  <c r="I15" i="84"/>
  <c r="J13" i="84" s="1"/>
  <c r="Q9" i="7"/>
  <c r="Q13" i="7"/>
  <c r="AJ11" i="16"/>
  <c r="O15" i="81"/>
  <c r="L15" i="81"/>
  <c r="I15" i="81"/>
  <c r="J13" i="81" s="1"/>
  <c r="O53" i="86"/>
  <c r="I53" i="86"/>
  <c r="M13" i="60"/>
  <c r="BM64" i="29" s="1"/>
  <c r="AG64" i="29"/>
  <c r="O14" i="60"/>
  <c r="P13" i="60" s="1"/>
  <c r="CS64" i="29" s="1"/>
  <c r="O14" i="31"/>
  <c r="P13" i="31" s="1"/>
  <c r="BP64" i="29" s="1"/>
  <c r="L14" i="74"/>
  <c r="O14" i="74"/>
  <c r="O14" i="79"/>
  <c r="L14" i="79"/>
  <c r="O15" i="65"/>
  <c r="I15" i="65"/>
  <c r="J13" i="65" s="1"/>
  <c r="L15" i="65"/>
  <c r="O15" i="66"/>
  <c r="I15" i="66"/>
  <c r="J13" i="66" s="1"/>
  <c r="CY64" i="29" s="1"/>
  <c r="L15" i="66"/>
  <c r="L15" i="64"/>
  <c r="O15" i="64"/>
  <c r="I15" i="64"/>
  <c r="J13" i="64" s="1"/>
  <c r="CX64" i="29" s="1"/>
  <c r="O14" i="85"/>
  <c r="L14" i="85"/>
  <c r="O14" i="76"/>
  <c r="L14" i="76"/>
  <c r="O14" i="64"/>
  <c r="L14" i="64"/>
  <c r="O14" i="86"/>
  <c r="L14" i="86"/>
  <c r="O14" i="81"/>
  <c r="L14" i="81"/>
  <c r="O14" i="78"/>
  <c r="L14" i="78"/>
  <c r="L15" i="72"/>
  <c r="O15" i="72"/>
  <c r="I15" i="72"/>
  <c r="J13" i="72" s="1"/>
  <c r="L14" i="75"/>
  <c r="O14" i="75"/>
  <c r="L14" i="71"/>
  <c r="O14" i="71"/>
  <c r="O14" i="89"/>
  <c r="P13" i="89" s="1"/>
  <c r="L14" i="89"/>
  <c r="M13" i="89" s="1"/>
  <c r="O14" i="90"/>
  <c r="P13" i="90" s="1"/>
  <c r="FM64" i="29" s="1"/>
  <c r="T14" i="30" s="1"/>
  <c r="L14" i="90"/>
  <c r="M13" i="90" s="1"/>
  <c r="O14" i="33"/>
  <c r="L14" i="72"/>
  <c r="O14" i="72"/>
  <c r="O15" i="75"/>
  <c r="I15" i="75"/>
  <c r="J13" i="75" s="1"/>
  <c r="DE64" i="29" s="1"/>
  <c r="L15" i="75"/>
  <c r="O15" i="71"/>
  <c r="I15" i="71"/>
  <c r="J13" i="71" s="1"/>
  <c r="L15" i="71"/>
  <c r="L15" i="73"/>
  <c r="O15" i="73"/>
  <c r="I15" i="73"/>
  <c r="J13" i="73" s="1"/>
  <c r="O14" i="80"/>
  <c r="L14" i="80"/>
  <c r="O14" i="73"/>
  <c r="L14" i="73"/>
  <c r="O14" i="91"/>
  <c r="L14" i="91"/>
  <c r="L14" i="83"/>
  <c r="M13" i="83" s="1"/>
  <c r="O14" i="83"/>
  <c r="P13" i="83" s="1"/>
  <c r="O14" i="84"/>
  <c r="L14" i="84"/>
  <c r="L15" i="74"/>
  <c r="O15" i="74"/>
  <c r="I15" i="74"/>
  <c r="J13" i="74" s="1"/>
  <c r="O14" i="88"/>
  <c r="P13" i="88" s="1"/>
  <c r="FI64" i="29" s="1"/>
  <c r="L14" i="88"/>
  <c r="M13" i="88" s="1"/>
  <c r="EL64" i="29" s="1"/>
  <c r="O14" i="77"/>
  <c r="L14" i="77"/>
  <c r="O14" i="65"/>
  <c r="L14" i="65"/>
  <c r="O14" i="66"/>
  <c r="L14" i="66"/>
  <c r="O54" i="86"/>
  <c r="L54" i="86"/>
  <c r="L57" i="86" s="1"/>
  <c r="L58" i="86" s="1"/>
  <c r="L59" i="86" s="1"/>
  <c r="EM27" i="29" s="1"/>
  <c r="I54" i="86"/>
  <c r="DS64" i="29"/>
  <c r="I38" i="41"/>
  <c r="T142" i="30"/>
  <c r="L38" i="41"/>
  <c r="I9" i="7"/>
  <c r="I13" i="7"/>
  <c r="G9" i="7"/>
  <c r="G13" i="7"/>
  <c r="E13" i="7"/>
  <c r="E9" i="7"/>
  <c r="F13" i="7"/>
  <c r="F9" i="7"/>
  <c r="D11" i="7"/>
  <c r="D9" i="7"/>
  <c r="D13" i="7"/>
  <c r="D10" i="7"/>
  <c r="AO27" i="29"/>
  <c r="EU19" i="29"/>
  <c r="DW19" i="29"/>
  <c r="L58" i="71"/>
  <c r="L59" i="71" s="1"/>
  <c r="DW27" i="29" s="1"/>
  <c r="O58" i="72"/>
  <c r="O59" i="72" s="1"/>
  <c r="EW27" i="29" s="1"/>
  <c r="O58" i="76"/>
  <c r="O59" i="76" s="1"/>
  <c r="EZ27" i="29" s="1"/>
  <c r="O58" i="71"/>
  <c r="O59" i="71" s="1"/>
  <c r="ET27" i="29" s="1"/>
  <c r="L58" i="76"/>
  <c r="L59" i="76" s="1"/>
  <c r="EC27" i="29" s="1"/>
  <c r="I59" i="71"/>
  <c r="CZ27" i="29" s="1"/>
  <c r="L58" i="91"/>
  <c r="L59" i="91" s="1"/>
  <c r="EO27" i="29" s="1"/>
  <c r="I58" i="85"/>
  <c r="I59" i="85" s="1"/>
  <c r="DN27" i="29" s="1"/>
  <c r="O58" i="88"/>
  <c r="O59" i="88" s="1"/>
  <c r="FI27" i="29" s="1"/>
  <c r="L58" i="73"/>
  <c r="L59" i="73" s="1"/>
  <c r="DY27" i="29" s="1"/>
  <c r="O58" i="83"/>
  <c r="O59" i="83" s="1"/>
  <c r="FF27" i="29" s="1"/>
  <c r="L58" i="74"/>
  <c r="L59" i="74" s="1"/>
  <c r="EA27" i="29" s="1"/>
  <c r="I58" i="91"/>
  <c r="I59" i="91" s="1"/>
  <c r="DR27" i="29" s="1"/>
  <c r="O58" i="81"/>
  <c r="O59" i="81" s="1"/>
  <c r="FE27" i="29" s="1"/>
  <c r="I58" i="73"/>
  <c r="I59" i="73" s="1"/>
  <c r="DB27" i="29" s="1"/>
  <c r="L58" i="83"/>
  <c r="L59" i="83" s="1"/>
  <c r="EI27" i="29" s="1"/>
  <c r="O58" i="75"/>
  <c r="O59" i="75" s="1"/>
  <c r="EY27" i="29" s="1"/>
  <c r="I58" i="65"/>
  <c r="I59" i="65" s="1"/>
  <c r="DA27" i="29" s="1"/>
  <c r="I58" i="84"/>
  <c r="I59" i="84" s="1"/>
  <c r="DM27" i="29" s="1"/>
  <c r="I58" i="72"/>
  <c r="I59" i="72" s="1"/>
  <c r="DC27" i="29" s="1"/>
  <c r="O58" i="84"/>
  <c r="O59" i="84" s="1"/>
  <c r="FG27" i="29" s="1"/>
  <c r="L58" i="75"/>
  <c r="L59" i="75" s="1"/>
  <c r="EB27" i="29" s="1"/>
  <c r="L58" i="90"/>
  <c r="L59" i="90" s="1"/>
  <c r="EP27" i="29" s="1"/>
  <c r="O58" i="85"/>
  <c r="O59" i="85" s="1"/>
  <c r="FH27" i="29" s="1"/>
  <c r="I58" i="75"/>
  <c r="I59" i="75" s="1"/>
  <c r="DE27" i="29" s="1"/>
  <c r="I58" i="90"/>
  <c r="I59" i="90" s="1"/>
  <c r="DS27" i="29" s="1"/>
  <c r="I58" i="79"/>
  <c r="I59" i="79" s="1"/>
  <c r="DI27" i="29" s="1"/>
  <c r="L58" i="81"/>
  <c r="L59" i="81" s="1"/>
  <c r="EH27" i="29" s="1"/>
  <c r="O58" i="65"/>
  <c r="O59" i="65" s="1"/>
  <c r="EU27" i="29" s="1"/>
  <c r="L58" i="65"/>
  <c r="L59" i="65" s="1"/>
  <c r="DX27" i="29" s="1"/>
  <c r="O58" i="90"/>
  <c r="O59" i="90" s="1"/>
  <c r="FM27" i="29" s="1"/>
  <c r="I58" i="88"/>
  <c r="I59" i="88" s="1"/>
  <c r="DO27" i="29" s="1"/>
  <c r="L58" i="84"/>
  <c r="L59" i="84" s="1"/>
  <c r="EJ27" i="29" s="1"/>
  <c r="I58" i="77"/>
  <c r="I59" i="77" s="1"/>
  <c r="DG27" i="29" s="1"/>
  <c r="I58" i="83"/>
  <c r="I59" i="83" s="1"/>
  <c r="DL27" i="29" s="1"/>
  <c r="I58" i="76"/>
  <c r="I59" i="76" s="1"/>
  <c r="DF27" i="29" s="1"/>
  <c r="L58" i="72"/>
  <c r="L59" i="72" s="1"/>
  <c r="DZ27" i="29" s="1"/>
  <c r="L58" i="80"/>
  <c r="L59" i="80" s="1"/>
  <c r="EG27" i="29" s="1"/>
  <c r="O58" i="73"/>
  <c r="O59" i="73" s="1"/>
  <c r="EV27" i="29" s="1"/>
  <c r="O58" i="74"/>
  <c r="O59" i="74" s="1"/>
  <c r="EX27" i="29" s="1"/>
  <c r="L58" i="79"/>
  <c r="L59" i="79" s="1"/>
  <c r="EF27" i="29" s="1"/>
  <c r="O58" i="80"/>
  <c r="O59" i="80" s="1"/>
  <c r="FD27" i="29" s="1"/>
  <c r="L58" i="85"/>
  <c r="L59" i="85" s="1"/>
  <c r="EK27" i="29" s="1"/>
  <c r="L58" i="88"/>
  <c r="L59" i="88" s="1"/>
  <c r="EL27" i="29" s="1"/>
  <c r="O58" i="77"/>
  <c r="O59" i="77" s="1"/>
  <c r="FA27" i="29" s="1"/>
  <c r="I58" i="74"/>
  <c r="I59" i="74" s="1"/>
  <c r="DD27" i="29" s="1"/>
  <c r="O58" i="79"/>
  <c r="O59" i="79" s="1"/>
  <c r="FC27" i="29" s="1"/>
  <c r="O58" i="91"/>
  <c r="O59" i="91" s="1"/>
  <c r="FL27" i="29" s="1"/>
  <c r="I58" i="80"/>
  <c r="I59" i="80" s="1"/>
  <c r="DJ27" i="29" s="1"/>
  <c r="L58" i="77"/>
  <c r="L59" i="77" s="1"/>
  <c r="ED27" i="29" s="1"/>
  <c r="I58" i="81"/>
  <c r="I59" i="81" s="1"/>
  <c r="DK27" i="29" s="1"/>
  <c r="O59" i="64"/>
  <c r="ER27" i="29" s="1"/>
  <c r="O59" i="89"/>
  <c r="I59" i="89"/>
  <c r="L59" i="89"/>
  <c r="I59" i="64"/>
  <c r="CX27" i="29" s="1"/>
  <c r="L59" i="64"/>
  <c r="DU27" i="29" s="1"/>
  <c r="L58" i="54"/>
  <c r="L59" i="54" s="1"/>
  <c r="BI27" i="29" s="1"/>
  <c r="I58" i="56"/>
  <c r="I59" i="56" s="1"/>
  <c r="AE27" i="29" s="1"/>
  <c r="AJ10" i="16"/>
  <c r="AJ12" i="16"/>
  <c r="AJ9" i="16"/>
  <c r="M67" i="85"/>
  <c r="EK18" i="29" s="1"/>
  <c r="P67" i="81"/>
  <c r="FE18" i="29" s="1"/>
  <c r="J67" i="83"/>
  <c r="DL18" i="29" s="1"/>
  <c r="J67" i="77"/>
  <c r="DG18" i="29" s="1"/>
  <c r="M67" i="81"/>
  <c r="EH18" i="29" s="1"/>
  <c r="P67" i="76"/>
  <c r="EZ18" i="29" s="1"/>
  <c r="P67" i="88"/>
  <c r="FI18" i="29" s="1"/>
  <c r="J67" i="88"/>
  <c r="DO18" i="29" s="1"/>
  <c r="J67" i="76"/>
  <c r="DF18" i="29" s="1"/>
  <c r="J67" i="84"/>
  <c r="DM18" i="29" s="1"/>
  <c r="P67" i="85"/>
  <c r="FH18" i="29" s="1"/>
  <c r="M67" i="76"/>
  <c r="EC18" i="29" s="1"/>
  <c r="P67" i="77"/>
  <c r="FA18" i="29" s="1"/>
  <c r="J67" i="85"/>
  <c r="DN18" i="29" s="1"/>
  <c r="M67" i="88"/>
  <c r="EL18" i="29" s="1"/>
  <c r="M67" i="83"/>
  <c r="EI18" i="29" s="1"/>
  <c r="M67" i="84"/>
  <c r="EJ18" i="29" s="1"/>
  <c r="P67" i="84"/>
  <c r="FG18" i="29" s="1"/>
  <c r="M67" i="77"/>
  <c r="ED18" i="29" s="1"/>
  <c r="P67" i="83"/>
  <c r="FF18" i="29" s="1"/>
  <c r="W142" i="30"/>
  <c r="U142" i="30"/>
  <c r="V142" i="30"/>
  <c r="S142" i="30"/>
  <c r="X142" i="30"/>
  <c r="U93" i="30"/>
  <c r="N14" i="30"/>
  <c r="U117" i="30"/>
  <c r="U127" i="30"/>
  <c r="O9" i="89"/>
  <c r="DO64" i="29"/>
  <c r="G52" i="35"/>
  <c r="G52" i="44"/>
  <c r="G52" i="34"/>
  <c r="L40" i="40"/>
  <c r="O40" i="40"/>
  <c r="I40" i="40"/>
  <c r="S117" i="30"/>
  <c r="S93" i="30"/>
  <c r="S127" i="30"/>
  <c r="EP67" i="29"/>
  <c r="J13" i="35" l="1"/>
  <c r="I64" i="29" s="1"/>
  <c r="T19" i="82"/>
  <c r="FK64" i="29"/>
  <c r="EN37" i="29"/>
  <c r="EN55" i="29" s="1"/>
  <c r="EN56" i="29" s="1"/>
  <c r="EN23" i="29"/>
  <c r="EN51" i="29" s="1"/>
  <c r="EN52" i="29" s="1"/>
  <c r="R19" i="82"/>
  <c r="DQ64" i="29"/>
  <c r="DV30" i="29"/>
  <c r="EH30" i="29"/>
  <c r="DW30" i="29"/>
  <c r="EI30" i="29"/>
  <c r="DX30" i="29"/>
  <c r="EJ30" i="29"/>
  <c r="DY30" i="29"/>
  <c r="EK30" i="29"/>
  <c r="DZ30" i="29"/>
  <c r="EL30" i="29"/>
  <c r="EA30" i="29"/>
  <c r="EM30" i="29"/>
  <c r="EB30" i="29"/>
  <c r="EO30" i="29"/>
  <c r="EC30" i="29"/>
  <c r="EP30" i="29"/>
  <c r="ED30" i="29"/>
  <c r="DU30" i="29"/>
  <c r="EE30" i="29"/>
  <c r="EF30" i="29"/>
  <c r="EN30" i="29"/>
  <c r="EG30" i="29"/>
  <c r="FB30" i="29"/>
  <c r="FC30" i="29"/>
  <c r="FD30" i="29"/>
  <c r="FK30" i="29"/>
  <c r="ES30" i="29"/>
  <c r="FE30" i="29"/>
  <c r="ET30" i="29"/>
  <c r="FF30" i="29"/>
  <c r="EU30" i="29"/>
  <c r="FG30" i="29"/>
  <c r="EV30" i="29"/>
  <c r="FH30" i="29"/>
  <c r="EW30" i="29"/>
  <c r="FI30" i="29"/>
  <c r="EX30" i="29"/>
  <c r="FJ30" i="29"/>
  <c r="EY30" i="29"/>
  <c r="FL30" i="29"/>
  <c r="EZ30" i="29"/>
  <c r="FM30" i="29"/>
  <c r="FA30" i="29"/>
  <c r="ER30" i="29"/>
  <c r="DB30" i="29"/>
  <c r="DN30" i="29"/>
  <c r="DC30" i="29"/>
  <c r="DO30" i="29"/>
  <c r="DD30" i="29"/>
  <c r="DP30" i="29"/>
  <c r="DE30" i="29"/>
  <c r="DR30" i="29"/>
  <c r="DF30" i="29"/>
  <c r="DS30" i="29"/>
  <c r="DG30" i="29"/>
  <c r="CX30" i="29"/>
  <c r="DH30" i="29"/>
  <c r="DI30" i="29"/>
  <c r="DJ30" i="29"/>
  <c r="DQ30" i="29"/>
  <c r="CY30" i="29"/>
  <c r="DK30" i="29"/>
  <c r="CZ30" i="29"/>
  <c r="DL30" i="29"/>
  <c r="DA30" i="29"/>
  <c r="DM30" i="29"/>
  <c r="M13" i="33"/>
  <c r="AK64" i="29" s="1"/>
  <c r="DK18" i="29"/>
  <c r="P13" i="80"/>
  <c r="M13" i="49"/>
  <c r="BD64" i="29" s="1"/>
  <c r="P13" i="79"/>
  <c r="FC64" i="29" s="1"/>
  <c r="P13" i="49"/>
  <c r="CJ64" i="29" s="1"/>
  <c r="J13" i="34"/>
  <c r="H64" i="29" s="1"/>
  <c r="J13" i="49"/>
  <c r="X64" i="29" s="1"/>
  <c r="P13" i="33"/>
  <c r="BQ64" i="29" s="1"/>
  <c r="J13" i="33"/>
  <c r="E64" i="29" s="1"/>
  <c r="M13" i="35"/>
  <c r="AO64" i="29" s="1"/>
  <c r="P13" i="35"/>
  <c r="BU64" i="29" s="1"/>
  <c r="P13" i="34"/>
  <c r="BT64" i="29" s="1"/>
  <c r="M13" i="34"/>
  <c r="AN64" i="29" s="1"/>
  <c r="M13" i="79"/>
  <c r="EF64" i="29" s="1"/>
  <c r="P13" i="65"/>
  <c r="M13" i="64"/>
  <c r="M13" i="78"/>
  <c r="EE64" i="29" s="1"/>
  <c r="M13" i="65"/>
  <c r="M13" i="77"/>
  <c r="ED64" i="29" s="1"/>
  <c r="P13" i="76"/>
  <c r="EZ64" i="29" s="1"/>
  <c r="M13" i="80"/>
  <c r="EG64" i="29" s="1"/>
  <c r="P13" i="77"/>
  <c r="P13" i="85"/>
  <c r="FH64" i="29" s="1"/>
  <c r="M13" i="81"/>
  <c r="EH64" i="29" s="1"/>
  <c r="M13" i="66"/>
  <c r="DV64" i="29" s="1"/>
  <c r="P13" i="75"/>
  <c r="EY64" i="29" s="1"/>
  <c r="P13" i="84"/>
  <c r="FG64" i="29" s="1"/>
  <c r="P13" i="73"/>
  <c r="P13" i="71"/>
  <c r="ET64" i="29" s="1"/>
  <c r="P13" i="66"/>
  <c r="ES64" i="29" s="1"/>
  <c r="M13" i="76"/>
  <c r="M13" i="85"/>
  <c r="EK64" i="29" s="1"/>
  <c r="M13" i="86"/>
  <c r="EN64" i="29" s="1"/>
  <c r="P13" i="91"/>
  <c r="P13" i="72"/>
  <c r="P13" i="81"/>
  <c r="FE64" i="29" s="1"/>
  <c r="M13" i="91"/>
  <c r="M13" i="84"/>
  <c r="EJ64" i="29" s="1"/>
  <c r="P13" i="86"/>
  <c r="FJ64" i="29" s="1"/>
  <c r="P13" i="78"/>
  <c r="FB64" i="29" s="1"/>
  <c r="P13" i="64"/>
  <c r="M13" i="73"/>
  <c r="M13" i="72"/>
  <c r="I57" i="86"/>
  <c r="I58" i="86" s="1"/>
  <c r="I59" i="86" s="1"/>
  <c r="DP27" i="29" s="1"/>
  <c r="D30" i="95"/>
  <c r="I30" i="95" s="1"/>
  <c r="O57" i="86"/>
  <c r="O58" i="86" s="1"/>
  <c r="O59" i="86" s="1"/>
  <c r="FJ27" i="29" s="1"/>
  <c r="M13" i="75"/>
  <c r="EB64" i="29" s="1"/>
  <c r="M13" i="71"/>
  <c r="DW64" i="29" s="1"/>
  <c r="D33" i="96"/>
  <c r="L33" i="96" s="1"/>
  <c r="P13" i="74"/>
  <c r="CZ64" i="29"/>
  <c r="DH64" i="29"/>
  <c r="D64" i="29"/>
  <c r="D31" i="94"/>
  <c r="I31" i="94" s="1"/>
  <c r="D32" i="95"/>
  <c r="O32" i="95" s="1"/>
  <c r="DA64" i="29"/>
  <c r="DD64" i="29"/>
  <c r="M13" i="74"/>
  <c r="EA64" i="29" s="1"/>
  <c r="Q39" i="30"/>
  <c r="M39" i="30"/>
  <c r="O39" i="30"/>
  <c r="EP64" i="29"/>
  <c r="R19" i="90"/>
  <c r="DS23" i="29" s="1"/>
  <c r="S19" i="90"/>
  <c r="EP37" i="29" s="1"/>
  <c r="EP55" i="29" s="1"/>
  <c r="EP56" i="29" s="1"/>
  <c r="FF64" i="29"/>
  <c r="FD64" i="29"/>
  <c r="U39" i="30"/>
  <c r="S39" i="30"/>
  <c r="D30" i="96"/>
  <c r="O30" i="96" s="1"/>
  <c r="D32" i="96"/>
  <c r="I32" i="96" s="1"/>
  <c r="D30" i="94"/>
  <c r="I30" i="94" s="1"/>
  <c r="D33" i="93"/>
  <c r="O33" i="93" s="1"/>
  <c r="D31" i="88"/>
  <c r="D31" i="85"/>
  <c r="D31" i="75"/>
  <c r="D33" i="92"/>
  <c r="I33" i="92" s="1"/>
  <c r="D29" i="87"/>
  <c r="O29" i="87" s="1"/>
  <c r="D33" i="95"/>
  <c r="L33" i="95" s="1"/>
  <c r="D31" i="93"/>
  <c r="L31" i="93" s="1"/>
  <c r="D31" i="96"/>
  <c r="I31" i="96" s="1"/>
  <c r="D32" i="93"/>
  <c r="I32" i="93" s="1"/>
  <c r="D33" i="88"/>
  <c r="D33" i="85"/>
  <c r="D33" i="75"/>
  <c r="D31" i="92"/>
  <c r="O31" i="92" s="1"/>
  <c r="D32" i="88"/>
  <c r="D32" i="85"/>
  <c r="D32" i="75"/>
  <c r="D31" i="87"/>
  <c r="O31" i="87" s="1"/>
  <c r="D33" i="94"/>
  <c r="O33" i="94" s="1"/>
  <c r="D31" i="95"/>
  <c r="L31" i="95" s="1"/>
  <c r="D32" i="94"/>
  <c r="L32" i="94" s="1"/>
  <c r="D32" i="92"/>
  <c r="I32" i="92" s="1"/>
  <c r="D30" i="93"/>
  <c r="I30" i="93" s="1"/>
  <c r="D30" i="88"/>
  <c r="D30" i="85"/>
  <c r="D30" i="75"/>
  <c r="DK64" i="29"/>
  <c r="EI64" i="29"/>
  <c r="DF64" i="29"/>
  <c r="DC64" i="29"/>
  <c r="DG64" i="29"/>
  <c r="M17" i="30" s="1"/>
  <c r="DJ64" i="29"/>
  <c r="V14" i="30"/>
  <c r="DI64" i="29"/>
  <c r="DB64" i="29"/>
  <c r="EB18" i="29"/>
  <c r="DP64" i="29"/>
  <c r="R19" i="91"/>
  <c r="DR64" i="29"/>
  <c r="DL64" i="29"/>
  <c r="DM64" i="29"/>
  <c r="T19" i="90"/>
  <c r="D28" i="87"/>
  <c r="O28" i="87" s="1"/>
  <c r="D30" i="92"/>
  <c r="O30" i="92" s="1"/>
  <c r="D30" i="87"/>
  <c r="M93" i="30"/>
  <c r="M127" i="30"/>
  <c r="M117" i="30"/>
  <c r="O127" i="30"/>
  <c r="O93" i="30"/>
  <c r="O117" i="30"/>
  <c r="J52" i="34"/>
  <c r="P52" i="34"/>
  <c r="M52" i="34"/>
  <c r="M52" i="35"/>
  <c r="P52" i="35"/>
  <c r="J52" i="35"/>
  <c r="P52" i="44"/>
  <c r="M52" i="44"/>
  <c r="J52" i="44"/>
  <c r="DQ37" i="29" l="1"/>
  <c r="DQ55" i="29" s="1"/>
  <c r="DQ56" i="29" s="1"/>
  <c r="DQ23" i="29"/>
  <c r="DQ51" i="29" s="1"/>
  <c r="DQ52" i="29" s="1"/>
  <c r="FK37" i="29"/>
  <c r="FK55" i="29" s="1"/>
  <c r="FK56" i="29" s="1"/>
  <c r="FK23" i="29"/>
  <c r="FK51" i="29" s="1"/>
  <c r="FK52" i="29" s="1"/>
  <c r="EO64" i="29"/>
  <c r="T19" i="91"/>
  <c r="FL37" i="29" s="1"/>
  <c r="FL55" i="29" s="1"/>
  <c r="FL56" i="29" s="1"/>
  <c r="EU64" i="29"/>
  <c r="DX64" i="29"/>
  <c r="DU64" i="29"/>
  <c r="S17" i="30" s="1"/>
  <c r="ER64" i="29"/>
  <c r="FA64" i="29"/>
  <c r="DS37" i="29"/>
  <c r="DS55" i="29" s="1"/>
  <c r="DS56" i="29" s="1"/>
  <c r="S19" i="91"/>
  <c r="EO37" i="29" s="1"/>
  <c r="EO55" i="29" s="1"/>
  <c r="EO56" i="29" s="1"/>
  <c r="EV64" i="29"/>
  <c r="EC64" i="29"/>
  <c r="Q17" i="30" s="1"/>
  <c r="FL64" i="29"/>
  <c r="EM64" i="29"/>
  <c r="EW64" i="29"/>
  <c r="DZ64" i="29"/>
  <c r="DY64" i="29"/>
  <c r="E11" i="7"/>
  <c r="L32" i="95"/>
  <c r="E10" i="7"/>
  <c r="O33" i="96"/>
  <c r="I33" i="96"/>
  <c r="O30" i="95"/>
  <c r="L30" i="95"/>
  <c r="I32" i="95"/>
  <c r="EX64" i="29"/>
  <c r="O31" i="94"/>
  <c r="L31" i="94"/>
  <c r="EP23" i="29"/>
  <c r="EP51" i="29" s="1"/>
  <c r="EP52" i="29" s="1"/>
  <c r="DR37" i="29"/>
  <c r="DR55" i="29" s="1"/>
  <c r="DR56" i="29" s="1"/>
  <c r="DR23" i="29"/>
  <c r="DR51" i="29" s="1"/>
  <c r="DR52" i="29" s="1"/>
  <c r="L30" i="96"/>
  <c r="I30" i="96"/>
  <c r="O32" i="96"/>
  <c r="L32" i="96"/>
  <c r="L33" i="94"/>
  <c r="I31" i="92"/>
  <c r="L30" i="94"/>
  <c r="O30" i="94"/>
  <c r="I33" i="93"/>
  <c r="I31" i="93"/>
  <c r="L31" i="96"/>
  <c r="L30" i="93"/>
  <c r="O30" i="93"/>
  <c r="I33" i="94"/>
  <c r="I31" i="95"/>
  <c r="O31" i="96"/>
  <c r="O33" i="92"/>
  <c r="O31" i="95"/>
  <c r="I29" i="87"/>
  <c r="L33" i="93"/>
  <c r="O33" i="95"/>
  <c r="L31" i="87"/>
  <c r="O31" i="93"/>
  <c r="L31" i="92"/>
  <c r="I31" i="87"/>
  <c r="O32" i="92"/>
  <c r="L30" i="92"/>
  <c r="L32" i="92"/>
  <c r="L30" i="75"/>
  <c r="O30" i="75"/>
  <c r="I30" i="75"/>
  <c r="I33" i="85"/>
  <c r="O33" i="85"/>
  <c r="L33" i="85"/>
  <c r="L31" i="75"/>
  <c r="O31" i="75"/>
  <c r="I31" i="75"/>
  <c r="O30" i="85"/>
  <c r="L30" i="85"/>
  <c r="I32" i="75"/>
  <c r="O32" i="75"/>
  <c r="L32" i="75"/>
  <c r="L32" i="85"/>
  <c r="I32" i="85"/>
  <c r="O32" i="85"/>
  <c r="I31" i="85"/>
  <c r="L31" i="85"/>
  <c r="O31" i="85"/>
  <c r="I30" i="92"/>
  <c r="L33" i="92"/>
  <c r="O32" i="94"/>
  <c r="L32" i="93"/>
  <c r="I32" i="94"/>
  <c r="L30" i="88"/>
  <c r="O30" i="88"/>
  <c r="L32" i="88"/>
  <c r="O32" i="88"/>
  <c r="I32" i="88"/>
  <c r="L31" i="88"/>
  <c r="I31" i="88"/>
  <c r="O31" i="88"/>
  <c r="I33" i="88"/>
  <c r="O33" i="88"/>
  <c r="L33" i="88"/>
  <c r="I33" i="95"/>
  <c r="L29" i="87"/>
  <c r="I33" i="75"/>
  <c r="O33" i="75"/>
  <c r="L33" i="75"/>
  <c r="I28" i="87"/>
  <c r="O32" i="93"/>
  <c r="K17" i="30"/>
  <c r="O17" i="30"/>
  <c r="FM37" i="29"/>
  <c r="FM55" i="29" s="1"/>
  <c r="FM56" i="29" s="1"/>
  <c r="FM23" i="29"/>
  <c r="DS51" i="29"/>
  <c r="DS52" i="29" s="1"/>
  <c r="U17" i="30"/>
  <c r="L28" i="87"/>
  <c r="L30" i="87"/>
  <c r="O30" i="87"/>
  <c r="P25" i="87" s="1"/>
  <c r="I30" i="87"/>
  <c r="J27" i="96" l="1"/>
  <c r="FL23" i="29"/>
  <c r="FL51" i="29" s="1"/>
  <c r="FL52" i="29" s="1"/>
  <c r="EO23" i="29"/>
  <c r="EO51" i="29" s="1"/>
  <c r="EO52" i="29" s="1"/>
  <c r="M27" i="95"/>
  <c r="M50" i="91"/>
  <c r="P50" i="91"/>
  <c r="P46" i="86"/>
  <c r="P50" i="78"/>
  <c r="M48" i="78"/>
  <c r="M47" i="81"/>
  <c r="P47" i="81"/>
  <c r="J47" i="81"/>
  <c r="M51" i="83"/>
  <c r="M46" i="88"/>
  <c r="P49" i="65"/>
  <c r="P47" i="90"/>
  <c r="M50" i="77"/>
  <c r="J50" i="66"/>
  <c r="J50" i="64"/>
  <c r="P50" i="76"/>
  <c r="P49" i="81"/>
  <c r="P49" i="85"/>
  <c r="J47" i="83"/>
  <c r="J48" i="84"/>
  <c r="J48" i="75"/>
  <c r="M48" i="77"/>
  <c r="P48" i="80"/>
  <c r="M48" i="74"/>
  <c r="M48" i="76"/>
  <c r="J48" i="79"/>
  <c r="M54" i="86"/>
  <c r="J54" i="86"/>
  <c r="P54" i="86"/>
  <c r="P52" i="83"/>
  <c r="P53" i="81"/>
  <c r="J53" i="84"/>
  <c r="M53" i="85"/>
  <c r="J51" i="72"/>
  <c r="P51" i="80"/>
  <c r="J51" i="79"/>
  <c r="M51" i="73"/>
  <c r="P47" i="73"/>
  <c r="P46" i="74"/>
  <c r="J46" i="76"/>
  <c r="M46" i="79"/>
  <c r="M50" i="88"/>
  <c r="J47" i="72"/>
  <c r="M47" i="75"/>
  <c r="J46" i="75"/>
  <c r="M46" i="77"/>
  <c r="J46" i="80"/>
  <c r="J50" i="87"/>
  <c r="P47" i="87"/>
  <c r="M27" i="96"/>
  <c r="P27" i="96"/>
  <c r="M27" i="94"/>
  <c r="P27" i="92"/>
  <c r="J27" i="92"/>
  <c r="P27" i="95"/>
  <c r="J27" i="93"/>
  <c r="P27" i="94"/>
  <c r="J27" i="95"/>
  <c r="J27" i="94"/>
  <c r="M27" i="93"/>
  <c r="P27" i="93"/>
  <c r="M27" i="92"/>
  <c r="J25" i="87"/>
  <c r="P27" i="75"/>
  <c r="EY13" i="29" s="1"/>
  <c r="M27" i="88"/>
  <c r="EL13" i="29" s="1"/>
  <c r="M27" i="85"/>
  <c r="EK13" i="29" s="1"/>
  <c r="M25" i="87"/>
  <c r="P27" i="85"/>
  <c r="FH13" i="29" s="1"/>
  <c r="M27" i="75"/>
  <c r="EB13" i="29" s="1"/>
  <c r="P27" i="88"/>
  <c r="FI13" i="29" s="1"/>
  <c r="J27" i="75"/>
  <c r="DE13" i="29" s="1"/>
  <c r="FM51" i="29"/>
  <c r="FM52" i="29" s="1"/>
  <c r="J19" i="85"/>
  <c r="M19" i="75"/>
  <c r="J19" i="75"/>
  <c r="M19" i="85"/>
  <c r="P19" i="75"/>
  <c r="P19" i="85"/>
  <c r="P46" i="88" l="1"/>
  <c r="M46" i="86"/>
  <c r="J46" i="86"/>
  <c r="M50" i="78"/>
  <c r="J50" i="78"/>
  <c r="M50" i="76"/>
  <c r="M50" i="66"/>
  <c r="J48" i="80"/>
  <c r="J50" i="76"/>
  <c r="J47" i="75"/>
  <c r="J48" i="78"/>
  <c r="P47" i="75"/>
  <c r="P48" i="78"/>
  <c r="J51" i="81"/>
  <c r="P51" i="81"/>
  <c r="M51" i="81"/>
  <c r="M53" i="75"/>
  <c r="J53" i="75"/>
  <c r="P53" i="75"/>
  <c r="M52" i="77"/>
  <c r="P52" i="77"/>
  <c r="J52" i="77"/>
  <c r="P50" i="71"/>
  <c r="M50" i="71"/>
  <c r="J50" i="71"/>
  <c r="M55" i="75"/>
  <c r="P55" i="75"/>
  <c r="J55" i="75"/>
  <c r="M54" i="72"/>
  <c r="P54" i="72"/>
  <c r="J54" i="72"/>
  <c r="M55" i="76"/>
  <c r="J55" i="76"/>
  <c r="P55" i="76"/>
  <c r="M54" i="74"/>
  <c r="J54" i="74"/>
  <c r="P54" i="74"/>
  <c r="M52" i="78"/>
  <c r="P52" i="78"/>
  <c r="J52" i="78"/>
  <c r="M54" i="80"/>
  <c r="J54" i="80"/>
  <c r="P54" i="80"/>
  <c r="M53" i="73"/>
  <c r="J53" i="73"/>
  <c r="P53" i="73"/>
  <c r="J53" i="80"/>
  <c r="M53" i="80"/>
  <c r="P53" i="80"/>
  <c r="M52" i="85"/>
  <c r="J52" i="85"/>
  <c r="P52" i="85"/>
  <c r="M48" i="80"/>
  <c r="J51" i="83"/>
  <c r="M47" i="83"/>
  <c r="P48" i="77"/>
  <c r="P47" i="83"/>
  <c r="J48" i="77"/>
  <c r="M48" i="75"/>
  <c r="J53" i="81"/>
  <c r="P51" i="73"/>
  <c r="P48" i="79"/>
  <c r="J51" i="73"/>
  <c r="M53" i="81"/>
  <c r="M48" i="79"/>
  <c r="P48" i="75"/>
  <c r="J47" i="73"/>
  <c r="J48" i="76"/>
  <c r="P50" i="64"/>
  <c r="P51" i="72"/>
  <c r="M51" i="72"/>
  <c r="M46" i="74"/>
  <c r="J46" i="74"/>
  <c r="M48" i="91"/>
  <c r="P48" i="91"/>
  <c r="M51" i="79"/>
  <c r="P50" i="77"/>
  <c r="J46" i="88"/>
  <c r="M50" i="64"/>
  <c r="P48" i="76"/>
  <c r="J48" i="74"/>
  <c r="M51" i="80"/>
  <c r="P48" i="74"/>
  <c r="J51" i="80"/>
  <c r="J50" i="88"/>
  <c r="P46" i="78"/>
  <c r="J46" i="78"/>
  <c r="M46" i="78"/>
  <c r="P50" i="88"/>
  <c r="P50" i="66"/>
  <c r="P51" i="83"/>
  <c r="P51" i="79"/>
  <c r="J50" i="77"/>
  <c r="J47" i="90"/>
  <c r="P46" i="76"/>
  <c r="P47" i="72"/>
  <c r="J53" i="85"/>
  <c r="P46" i="75"/>
  <c r="P50" i="87"/>
  <c r="J49" i="81"/>
  <c r="J52" i="83"/>
  <c r="M53" i="84"/>
  <c r="P46" i="77"/>
  <c r="M48" i="84"/>
  <c r="M52" i="83"/>
  <c r="P53" i="84"/>
  <c r="M46" i="76"/>
  <c r="P48" i="84"/>
  <c r="M49" i="65"/>
  <c r="J46" i="77"/>
  <c r="M46" i="80"/>
  <c r="J49" i="65"/>
  <c r="M50" i="87"/>
  <c r="M49" i="85"/>
  <c r="J46" i="79"/>
  <c r="P46" i="80"/>
  <c r="M47" i="73"/>
  <c r="P46" i="79"/>
  <c r="J49" i="85"/>
  <c r="P53" i="85"/>
  <c r="M49" i="81"/>
  <c r="M46" i="75"/>
  <c r="M47" i="72"/>
  <c r="M47" i="87"/>
  <c r="J47" i="87"/>
  <c r="M47" i="90"/>
  <c r="J43" i="75" l="1"/>
  <c r="DE15" i="29" s="1"/>
  <c r="P43" i="75"/>
  <c r="M43" i="75"/>
  <c r="EB15" i="29" s="1"/>
  <c r="EY15" i="29" l="1"/>
  <c r="EU43" i="29" l="1"/>
  <c r="EY43" i="29"/>
  <c r="ET43" i="29"/>
  <c r="ES43" i="29"/>
  <c r="ER43" i="29"/>
  <c r="EB43" i="29"/>
  <c r="DX43" i="29"/>
  <c r="DW43" i="29"/>
  <c r="DV43" i="29"/>
  <c r="DU43" i="29"/>
  <c r="EK43" i="29" l="1"/>
  <c r="FH43" i="29"/>
  <c r="EL43" i="29"/>
  <c r="FI43" i="29"/>
  <c r="Q46" i="60" l="1"/>
  <c r="Q46" i="61"/>
  <c r="Q46" i="54"/>
  <c r="Q46" i="53"/>
  <c r="Q46" i="52"/>
  <c r="Q46" i="49"/>
  <c r="Q46" i="50"/>
  <c r="Q46" i="59"/>
  <c r="Q46" i="51"/>
  <c r="Q46" i="48"/>
  <c r="Q46" i="46"/>
  <c r="Q46" i="45"/>
  <c r="Q46" i="47"/>
  <c r="Q46" i="43"/>
  <c r="Q46" i="38"/>
  <c r="Q46" i="42"/>
  <c r="Q46" i="40"/>
  <c r="Q46" i="36"/>
  <c r="Q46" i="39"/>
  <c r="Q46" i="37"/>
  <c r="Q46" i="34"/>
  <c r="Q46" i="58"/>
  <c r="Q46" i="41"/>
  <c r="Q46" i="35"/>
  <c r="Q46" i="57"/>
  <c r="Q46" i="44"/>
  <c r="Q47" i="33" l="1"/>
  <c r="Q49" i="33"/>
  <c r="Q50" i="33"/>
  <c r="Q52" i="33"/>
  <c r="Q54" i="33"/>
  <c r="Q56" i="33"/>
  <c r="Q51" i="33"/>
  <c r="Q57" i="33"/>
  <c r="Q48" i="33"/>
  <c r="Q53" i="33"/>
  <c r="Q55" i="33"/>
  <c r="Q46" i="33"/>
  <c r="Q46" i="55"/>
  <c r="Q48" i="55"/>
  <c r="Q50" i="55"/>
  <c r="Q57" i="55"/>
  <c r="Q47" i="55"/>
  <c r="Q54" i="55"/>
  <c r="Q55" i="55"/>
  <c r="Q49" i="55"/>
  <c r="Q56" i="55"/>
  <c r="Q53" i="55"/>
  <c r="Q51" i="55"/>
  <c r="Q52" i="55"/>
  <c r="Q54" i="56"/>
  <c r="Q56" i="56"/>
  <c r="Q46" i="56"/>
  <c r="Q47" i="56"/>
  <c r="Q53" i="56"/>
  <c r="Q49" i="56"/>
  <c r="Q55" i="56"/>
  <c r="Q57" i="56"/>
  <c r="Q51" i="56"/>
  <c r="Q48" i="56"/>
  <c r="Q50" i="56"/>
  <c r="Q52" i="56"/>
  <c r="E42" i="3" l="1"/>
  <c r="H42" i="3"/>
  <c r="M42" i="3" s="1"/>
  <c r="K42" i="3"/>
  <c r="U44" i="30" l="1"/>
  <c r="U60" i="30" l="1"/>
  <c r="Q117" i="30" l="1"/>
  <c r="Q93" i="30"/>
  <c r="Q127" i="30"/>
  <c r="J6" i="30" l="1"/>
  <c r="J29" i="30" l="1"/>
  <c r="X29" i="30" s="1"/>
  <c r="I39" i="30"/>
  <c r="I17" i="30"/>
  <c r="X17" i="30" s="1"/>
  <c r="J14" i="30"/>
  <c r="J10" i="30"/>
  <c r="X10" i="30" s="1"/>
  <c r="J9" i="30"/>
  <c r="I5" i="30"/>
  <c r="I4" i="30"/>
  <c r="O44" i="30"/>
  <c r="K39" i="30"/>
  <c r="K44" i="30"/>
  <c r="K60" i="30" s="1"/>
  <c r="F21" i="30"/>
  <c r="M44" i="30"/>
  <c r="I44" i="30" l="1"/>
  <c r="W44" i="30" s="1"/>
  <c r="W60" i="30" s="1"/>
  <c r="R173" i="30"/>
  <c r="X9" i="30"/>
  <c r="X39" i="30"/>
  <c r="W14" i="30"/>
  <c r="X14" i="30"/>
  <c r="W17" i="30"/>
  <c r="W29" i="30"/>
  <c r="K4" i="30"/>
  <c r="I93" i="30"/>
  <c r="I127" i="30"/>
  <c r="I117" i="30"/>
  <c r="O60" i="30"/>
  <c r="M60" i="30"/>
  <c r="X44" i="30" l="1"/>
  <c r="I60" i="30"/>
  <c r="K93" i="30"/>
  <c r="K127" i="30"/>
  <c r="K117" i="30"/>
  <c r="W119" i="30"/>
  <c r="W117" i="30"/>
  <c r="W123" i="30" l="1"/>
  <c r="W67" i="30"/>
  <c r="X67" i="30" s="1"/>
  <c r="W120" i="30"/>
  <c r="W118" i="30"/>
  <c r="W86" i="30"/>
  <c r="W127" i="30"/>
  <c r="W93" i="30"/>
  <c r="W89" i="30" l="1"/>
  <c r="W87" i="30"/>
  <c r="W84" i="30"/>
  <c r="W83" i="30"/>
  <c r="W85" i="30"/>
  <c r="W88" i="30"/>
  <c r="N30" i="64" l="1"/>
  <c r="K30" i="64"/>
  <c r="O14" i="87" l="1"/>
  <c r="P13" i="87" s="1"/>
  <c r="I14" i="87"/>
  <c r="L14" i="87"/>
  <c r="M13" i="87" s="1"/>
  <c r="J13" i="87" l="1"/>
  <c r="X59" i="30" l="1"/>
  <c r="W136" i="30" s="1"/>
  <c r="CL30" i="29" l="1"/>
  <c r="CF30" i="29"/>
  <c r="CQ30" i="29"/>
  <c r="CA30" i="29"/>
  <c r="CK30" i="29"/>
  <c r="CC30" i="29"/>
  <c r="CG30" i="29"/>
  <c r="BR30" i="29"/>
  <c r="BQ30" i="29"/>
  <c r="BT30" i="29"/>
  <c r="BX30" i="29"/>
  <c r="CN30" i="29"/>
  <c r="BV30" i="29"/>
  <c r="CO30" i="29"/>
  <c r="BY30" i="29"/>
  <c r="CT30" i="29"/>
  <c r="BS30" i="29"/>
  <c r="CM30" i="29"/>
  <c r="BU30" i="29"/>
  <c r="BZ30" i="29"/>
  <c r="CB30" i="29"/>
  <c r="CH30" i="29"/>
  <c r="CR30" i="29"/>
  <c r="BP30" i="29"/>
  <c r="CJ30" i="29"/>
  <c r="CP30" i="29"/>
  <c r="CE30" i="29"/>
  <c r="CS30" i="29"/>
  <c r="BW30" i="29"/>
  <c r="BD30" i="29" l="1"/>
  <c r="BH30" i="29"/>
  <c r="X30" i="29"/>
  <c r="I30" i="29"/>
  <c r="BF30" i="29"/>
  <c r="P30" i="29"/>
  <c r="Q30" i="29"/>
  <c r="AC30" i="29"/>
  <c r="D30" i="29"/>
  <c r="BJ30" i="29"/>
  <c r="L30" i="29"/>
  <c r="AF30" i="29"/>
  <c r="E30" i="29"/>
  <c r="AS30" i="29"/>
  <c r="H30" i="29"/>
  <c r="AD30" i="29"/>
  <c r="J30" i="29"/>
  <c r="AW30" i="29"/>
  <c r="BG30" i="29"/>
  <c r="AQ30" i="29"/>
  <c r="V30" i="29"/>
  <c r="N30" i="29"/>
  <c r="S30" i="29"/>
  <c r="AM30" i="29"/>
  <c r="AG30" i="29"/>
  <c r="T30" i="29"/>
  <c r="AU30" i="29"/>
  <c r="O30" i="29"/>
  <c r="BB30" i="29"/>
  <c r="AP30" i="29"/>
  <c r="AL30" i="29"/>
  <c r="AO30" i="29"/>
  <c r="Y30" i="29"/>
  <c r="BE30" i="29"/>
  <c r="BI30" i="29"/>
  <c r="BA30" i="29"/>
  <c r="AE30" i="29"/>
  <c r="AB30" i="29"/>
  <c r="AK30" i="29"/>
  <c r="AJ30" i="29"/>
  <c r="AV30" i="29"/>
  <c r="AA30" i="29"/>
  <c r="AZ30" i="29"/>
  <c r="AR30" i="29"/>
  <c r="U30" i="29"/>
  <c r="BL30" i="29"/>
  <c r="AN30" i="29"/>
  <c r="BM30" i="29"/>
  <c r="M30" i="29"/>
  <c r="G30" i="29"/>
  <c r="F30" i="29"/>
  <c r="AY30" i="29"/>
  <c r="K30" i="29"/>
  <c r="BN30" i="29"/>
  <c r="Z30" i="29"/>
  <c r="BK30" i="29"/>
  <c r="AT30" i="29"/>
  <c r="C10" i="58" l="1"/>
  <c r="C10" i="48"/>
  <c r="C10" i="45"/>
  <c r="C10" i="47"/>
  <c r="C9" i="56"/>
  <c r="C9" i="49"/>
  <c r="C9" i="31"/>
  <c r="C9" i="54"/>
  <c r="C9" i="55"/>
  <c r="C10" i="44"/>
  <c r="C10" i="55"/>
  <c r="C9" i="42"/>
  <c r="C10" i="56"/>
  <c r="C9" i="47"/>
  <c r="C9" i="36"/>
  <c r="C10" i="61"/>
  <c r="C9" i="34"/>
  <c r="C10" i="31"/>
  <c r="C10" i="35"/>
  <c r="C10" i="40"/>
  <c r="C10" i="46"/>
  <c r="C9" i="48"/>
  <c r="C10" i="59"/>
  <c r="C10" i="43"/>
  <c r="C9" i="45"/>
  <c r="O15" i="9"/>
  <c r="C9" i="60"/>
  <c r="C10" i="41"/>
  <c r="C9" i="35"/>
  <c r="C10" i="60"/>
  <c r="C9" i="50"/>
  <c r="C9" i="44"/>
  <c r="C10" i="36"/>
  <c r="C10" i="50"/>
  <c r="C9" i="51"/>
  <c r="C9" i="38"/>
  <c r="C10" i="33"/>
  <c r="C10" i="34"/>
  <c r="C10" i="49"/>
  <c r="C10" i="54"/>
  <c r="C10" i="42"/>
  <c r="C10" i="52"/>
  <c r="C9" i="52"/>
  <c r="C10" i="39"/>
  <c r="C9" i="41"/>
  <c r="C9" i="58"/>
  <c r="C10" i="38"/>
  <c r="C9" i="33"/>
  <c r="C9" i="39"/>
  <c r="C10" i="57"/>
  <c r="C9" i="59"/>
  <c r="C9" i="46"/>
  <c r="C10" i="53"/>
  <c r="C9" i="57"/>
  <c r="C9" i="43"/>
  <c r="C9" i="37"/>
  <c r="C10" i="37"/>
  <c r="C9" i="61"/>
  <c r="C9" i="40"/>
  <c r="C9" i="53"/>
  <c r="C10" i="51"/>
  <c r="B9" i="5"/>
  <c r="G9" i="43"/>
  <c r="G10" i="52"/>
  <c r="G9" i="54"/>
  <c r="I9" i="54" s="1"/>
  <c r="J7" i="54" s="1"/>
  <c r="H70" i="54" s="1"/>
  <c r="J69" i="54" s="1"/>
  <c r="D72" i="39"/>
  <c r="O73" i="39" s="1"/>
  <c r="D61" i="51"/>
  <c r="G62" i="51" s="1"/>
  <c r="D24" i="43"/>
  <c r="D61" i="33"/>
  <c r="M67" i="47"/>
  <c r="BB18" i="29" s="1"/>
  <c r="J67" i="41"/>
  <c r="O18" i="29" s="1"/>
  <c r="D72" i="33"/>
  <c r="D61" i="48"/>
  <c r="G62" i="48" s="1"/>
  <c r="G9" i="48"/>
  <c r="F6" i="20"/>
  <c r="G9" i="51"/>
  <c r="L9" i="51" s="1"/>
  <c r="M7" i="51" s="1"/>
  <c r="K70" i="51" s="1"/>
  <c r="P67" i="44"/>
  <c r="CC18" i="29" s="1"/>
  <c r="D61" i="43"/>
  <c r="D35" i="49"/>
  <c r="G36" i="49" s="1"/>
  <c r="D72" i="47"/>
  <c r="O73" i="47" s="1"/>
  <c r="D72" i="57"/>
  <c r="O73" i="57" s="1"/>
  <c r="D72" i="71"/>
  <c r="I73" i="71" s="1"/>
  <c r="D72" i="46"/>
  <c r="D35" i="33"/>
  <c r="Q49" i="14"/>
  <c r="I9" i="43" l="1"/>
  <c r="CD7" i="29"/>
  <c r="AX7" i="29"/>
  <c r="R7" i="29"/>
  <c r="O9" i="48"/>
  <c r="CI8" i="29" s="1"/>
  <c r="CI7" i="29"/>
  <c r="W7" i="29"/>
  <c r="BC7" i="29"/>
  <c r="J29" i="20"/>
  <c r="J11" i="20"/>
  <c r="O9" i="43"/>
  <c r="O62" i="51"/>
  <c r="I62" i="51"/>
  <c r="L62" i="51"/>
  <c r="AC8" i="29"/>
  <c r="AC19" i="29"/>
  <c r="O74" i="46"/>
  <c r="L74" i="46"/>
  <c r="I74" i="46"/>
  <c r="I73" i="46"/>
  <c r="O73" i="46"/>
  <c r="L73" i="46"/>
  <c r="I62" i="48"/>
  <c r="L62" i="48"/>
  <c r="O62" i="48"/>
  <c r="I36" i="49"/>
  <c r="O36" i="49"/>
  <c r="L36" i="49"/>
  <c r="G42" i="33"/>
  <c r="G41" i="33"/>
  <c r="G40" i="33"/>
  <c r="G38" i="33"/>
  <c r="G39" i="33"/>
  <c r="G37" i="33"/>
  <c r="G36" i="33"/>
  <c r="O10" i="52"/>
  <c r="I10" i="52"/>
  <c r="L10" i="52"/>
  <c r="BF8" i="29"/>
  <c r="M69" i="51"/>
  <c r="BF19" i="29" s="1"/>
  <c r="G26" i="43"/>
  <c r="G25" i="43"/>
  <c r="G64" i="33"/>
  <c r="G63" i="33"/>
  <c r="O74" i="71"/>
  <c r="L74" i="71"/>
  <c r="I74" i="71"/>
  <c r="J71" i="71" s="1"/>
  <c r="CZ20" i="29" s="1"/>
  <c r="O73" i="71"/>
  <c r="G63" i="43"/>
  <c r="G64" i="43"/>
  <c r="D72" i="37"/>
  <c r="D61" i="57"/>
  <c r="D72" i="36"/>
  <c r="J67" i="49"/>
  <c r="X18" i="29" s="1"/>
  <c r="D72" i="79"/>
  <c r="D72" i="64"/>
  <c r="D72" i="43"/>
  <c r="D35" i="34"/>
  <c r="D35" i="45"/>
  <c r="D72" i="76"/>
  <c r="D72" i="84"/>
  <c r="D72" i="49"/>
  <c r="S68" i="53"/>
  <c r="M67" i="53" s="1"/>
  <c r="BH18" i="29" s="1"/>
  <c r="L9" i="54"/>
  <c r="D24" i="55"/>
  <c r="J67" i="51"/>
  <c r="Z18" i="29" s="1"/>
  <c r="L74" i="33"/>
  <c r="O74" i="33"/>
  <c r="I74" i="33"/>
  <c r="L73" i="33"/>
  <c r="L73" i="57"/>
  <c r="I73" i="33"/>
  <c r="D61" i="36"/>
  <c r="D72" i="74"/>
  <c r="G62" i="33"/>
  <c r="D35" i="52"/>
  <c r="D72" i="41"/>
  <c r="D35" i="39"/>
  <c r="D72" i="60"/>
  <c r="D61" i="31"/>
  <c r="P67" i="78"/>
  <c r="FB18" i="29" s="1"/>
  <c r="S68" i="52"/>
  <c r="M67" i="52" s="1"/>
  <c r="BG18" i="29" s="1"/>
  <c r="D24" i="45"/>
  <c r="G25" i="45" s="1"/>
  <c r="D61" i="50"/>
  <c r="D72" i="42"/>
  <c r="T68" i="56"/>
  <c r="P67" i="56" s="1"/>
  <c r="CQ18" i="29" s="1"/>
  <c r="D35" i="48"/>
  <c r="L73" i="47"/>
  <c r="D72" i="38"/>
  <c r="D72" i="66"/>
  <c r="R68" i="54"/>
  <c r="J67" i="54" s="1"/>
  <c r="AC18" i="29" s="1"/>
  <c r="BI7" i="29"/>
  <c r="AC7" i="29"/>
  <c r="CO7" i="29"/>
  <c r="O9" i="54"/>
  <c r="D61" i="46"/>
  <c r="J67" i="80"/>
  <c r="DJ18" i="29" s="1"/>
  <c r="D24" i="44"/>
  <c r="P67" i="47"/>
  <c r="CH18" i="29" s="1"/>
  <c r="I74" i="57"/>
  <c r="O74" i="57"/>
  <c r="P71" i="57" s="1"/>
  <c r="BR20" i="29" s="1"/>
  <c r="L74" i="57"/>
  <c r="I73" i="57"/>
  <c r="J18" i="20"/>
  <c r="J16" i="20"/>
  <c r="J38" i="20"/>
  <c r="J31" i="20"/>
  <c r="J32" i="20"/>
  <c r="J25" i="20"/>
  <c r="J17" i="20"/>
  <c r="J22" i="20"/>
  <c r="J14" i="20"/>
  <c r="J30" i="20"/>
  <c r="J12" i="20"/>
  <c r="J15" i="20"/>
  <c r="J23" i="20"/>
  <c r="J36" i="20"/>
  <c r="I74" i="39"/>
  <c r="L74" i="39"/>
  <c r="O74" i="39"/>
  <c r="P71" i="39" s="1"/>
  <c r="BY20" i="29" s="1"/>
  <c r="L73" i="39"/>
  <c r="M41" i="14"/>
  <c r="T68" i="61"/>
  <c r="Q52" i="14"/>
  <c r="M40" i="14"/>
  <c r="S68" i="60"/>
  <c r="Q26" i="14"/>
  <c r="Q45" i="14"/>
  <c r="Q79" i="14"/>
  <c r="R68" i="60"/>
  <c r="Q50" i="14"/>
  <c r="M73" i="14"/>
  <c r="Q84" i="14"/>
  <c r="S68" i="61"/>
  <c r="Q28" i="14"/>
  <c r="R68" i="61"/>
  <c r="T68" i="60"/>
  <c r="M72" i="14"/>
  <c r="Q25" i="14"/>
  <c r="M67" i="33"/>
  <c r="AK18" i="29" s="1"/>
  <c r="R68" i="56"/>
  <c r="J67" i="56" s="1"/>
  <c r="AE18" i="29" s="1"/>
  <c r="M67" i="78"/>
  <c r="EE18" i="29" s="1"/>
  <c r="S68" i="55"/>
  <c r="M67" i="55" s="1"/>
  <c r="BJ18" i="29" s="1"/>
  <c r="P67" i="72"/>
  <c r="EW18" i="29" s="1"/>
  <c r="M67" i="41"/>
  <c r="AU18" i="29" s="1"/>
  <c r="R68" i="65"/>
  <c r="J67" i="65" s="1"/>
  <c r="DA18" i="29" s="1"/>
  <c r="J67" i="72"/>
  <c r="DC18" i="29" s="1"/>
  <c r="R68" i="71"/>
  <c r="J67" i="71" s="1"/>
  <c r="CZ18" i="29" s="1"/>
  <c r="J67" i="78"/>
  <c r="DH18" i="29" s="1"/>
  <c r="M67" i="74"/>
  <c r="EA18" i="29" s="1"/>
  <c r="M71" i="14"/>
  <c r="P67" i="39"/>
  <c r="BY18" i="29" s="1"/>
  <c r="M67" i="72"/>
  <c r="DZ18" i="29" s="1"/>
  <c r="M67" i="38"/>
  <c r="AR18" i="29" s="1"/>
  <c r="J67" i="43"/>
  <c r="R18" i="29" s="1"/>
  <c r="M67" i="42"/>
  <c r="AV18" i="29" s="1"/>
  <c r="M67" i="73"/>
  <c r="DY18" i="29" s="1"/>
  <c r="P67" i="34"/>
  <c r="BT18" i="29" s="1"/>
  <c r="T68" i="52"/>
  <c r="P67" i="52" s="1"/>
  <c r="CM18" i="29" s="1"/>
  <c r="P67" i="40"/>
  <c r="BZ18" i="29" s="1"/>
  <c r="J67" i="37"/>
  <c r="K18" i="29" s="1"/>
  <c r="S68" i="54"/>
  <c r="M67" i="54" s="1"/>
  <c r="BI18" i="29" s="1"/>
  <c r="P67" i="33"/>
  <c r="BQ18" i="29" s="1"/>
  <c r="J67" i="39"/>
  <c r="M18" i="29" s="1"/>
  <c r="P67" i="36"/>
  <c r="BV18" i="29" s="1"/>
  <c r="P67" i="48"/>
  <c r="CI18" i="29" s="1"/>
  <c r="M67" i="80"/>
  <c r="EG18" i="29" s="1"/>
  <c r="P67" i="50"/>
  <c r="CK18" i="29" s="1"/>
  <c r="M67" i="35"/>
  <c r="AO18" i="29" s="1"/>
  <c r="J67" i="58"/>
  <c r="G18" i="29" s="1"/>
  <c r="P67" i="37"/>
  <c r="BW18" i="29" s="1"/>
  <c r="P67" i="73"/>
  <c r="EV18" i="29" s="1"/>
  <c r="M39" i="14"/>
  <c r="J67" i="42"/>
  <c r="P18" i="29" s="1"/>
  <c r="R68" i="66"/>
  <c r="J67" i="66" s="1"/>
  <c r="CY18" i="29" s="1"/>
  <c r="S68" i="45"/>
  <c r="M67" i="45" s="1"/>
  <c r="AY18" i="29" s="1"/>
  <c r="M67" i="50"/>
  <c r="BE18" i="29" s="1"/>
  <c r="T68" i="46"/>
  <c r="P67" i="46" s="1"/>
  <c r="CF18" i="29" s="1"/>
  <c r="R68" i="55"/>
  <c r="J67" i="55" s="1"/>
  <c r="AD18" i="29" s="1"/>
  <c r="P67" i="49"/>
  <c r="CJ18" i="29" s="1"/>
  <c r="P67" i="35"/>
  <c r="BU18" i="29" s="1"/>
  <c r="R68" i="53"/>
  <c r="J67" i="53" s="1"/>
  <c r="AB18" i="29" s="1"/>
  <c r="R68" i="46"/>
  <c r="J67" i="46" s="1"/>
  <c r="T18" i="29" s="1"/>
  <c r="S68" i="56"/>
  <c r="M67" i="56" s="1"/>
  <c r="BK18" i="29" s="1"/>
  <c r="J67" i="35"/>
  <c r="I18" i="29" s="1"/>
  <c r="P67" i="79"/>
  <c r="FC18" i="29" s="1"/>
  <c r="J67" i="73"/>
  <c r="DB18" i="29" s="1"/>
  <c r="T68" i="53"/>
  <c r="P67" i="53" s="1"/>
  <c r="CN18" i="29" s="1"/>
  <c r="R68" i="64"/>
  <c r="J67" i="64" s="1"/>
  <c r="J67" i="31"/>
  <c r="D18" i="29" s="1"/>
  <c r="R68" i="45"/>
  <c r="J67" i="45" s="1"/>
  <c r="S18" i="29" s="1"/>
  <c r="M67" i="34"/>
  <c r="AN18" i="29" s="1"/>
  <c r="P67" i="51"/>
  <c r="CL18" i="29" s="1"/>
  <c r="M67" i="59"/>
  <c r="BA18" i="29" s="1"/>
  <c r="D61" i="37"/>
  <c r="M67" i="57"/>
  <c r="AL18" i="29" s="1"/>
  <c r="P67" i="58"/>
  <c r="BS18" i="29" s="1"/>
  <c r="R68" i="47"/>
  <c r="J67" i="47" s="1"/>
  <c r="V18" i="29" s="1"/>
  <c r="J67" i="33"/>
  <c r="E18" i="29" s="1"/>
  <c r="M67" i="51"/>
  <c r="BF18" i="29" s="1"/>
  <c r="P67" i="41"/>
  <c r="CA18" i="29" s="1"/>
  <c r="J67" i="50"/>
  <c r="Y18" i="29" s="1"/>
  <c r="D35" i="44"/>
  <c r="D61" i="34"/>
  <c r="M67" i="79"/>
  <c r="EF18" i="29" s="1"/>
  <c r="M67" i="31"/>
  <c r="AJ18" i="29" s="1"/>
  <c r="J67" i="79"/>
  <c r="DI18" i="29" s="1"/>
  <c r="D61" i="41"/>
  <c r="J67" i="44"/>
  <c r="Q18" i="29" s="1"/>
  <c r="P67" i="31"/>
  <c r="BP18" i="29" s="1"/>
  <c r="M67" i="49"/>
  <c r="BD18" i="29" s="1"/>
  <c r="D35" i="38"/>
  <c r="D35" i="55"/>
  <c r="D35" i="43"/>
  <c r="J67" i="38"/>
  <c r="L18" i="29" s="1"/>
  <c r="J67" i="48"/>
  <c r="W18" i="29" s="1"/>
  <c r="T68" i="54"/>
  <c r="P67" i="54" s="1"/>
  <c r="CO18" i="29" s="1"/>
  <c r="D61" i="54"/>
  <c r="D35" i="61"/>
  <c r="P67" i="74"/>
  <c r="EX18" i="29" s="1"/>
  <c r="J67" i="34"/>
  <c r="H18" i="29" s="1"/>
  <c r="D35" i="37"/>
  <c r="G39" i="37" s="1"/>
  <c r="D35" i="40"/>
  <c r="M67" i="58"/>
  <c r="AM18" i="29" s="1"/>
  <c r="D35" i="59"/>
  <c r="J67" i="36"/>
  <c r="J18" i="29" s="1"/>
  <c r="S68" i="46"/>
  <c r="M67" i="46" s="1"/>
  <c r="AZ18" i="29" s="1"/>
  <c r="P67" i="42"/>
  <c r="CB18" i="29" s="1"/>
  <c r="D61" i="39"/>
  <c r="D61" i="49"/>
  <c r="M67" i="37"/>
  <c r="AQ18" i="29" s="1"/>
  <c r="P67" i="80"/>
  <c r="FD18" i="29" s="1"/>
  <c r="P67" i="45"/>
  <c r="CE18" i="29" s="1"/>
  <c r="J67" i="40"/>
  <c r="N18" i="29" s="1"/>
  <c r="D61" i="42"/>
  <c r="D35" i="50"/>
  <c r="P67" i="38"/>
  <c r="BX18" i="29" s="1"/>
  <c r="D35" i="58"/>
  <c r="D61" i="52"/>
  <c r="M67" i="39"/>
  <c r="AS18" i="29" s="1"/>
  <c r="J67" i="57"/>
  <c r="F18" i="29" s="1"/>
  <c r="D61" i="58"/>
  <c r="J67" i="74"/>
  <c r="DD18" i="29" s="1"/>
  <c r="D61" i="61"/>
  <c r="D61" i="35"/>
  <c r="D72" i="40"/>
  <c r="D35" i="60"/>
  <c r="D72" i="73"/>
  <c r="D72" i="53"/>
  <c r="D24" i="39"/>
  <c r="D72" i="91"/>
  <c r="M67" i="36"/>
  <c r="AP18" i="29" s="1"/>
  <c r="D61" i="38"/>
  <c r="D35" i="54"/>
  <c r="D61" i="60"/>
  <c r="BF7" i="29"/>
  <c r="CL7" i="29"/>
  <c r="Z7" i="29"/>
  <c r="I9" i="51"/>
  <c r="J7" i="51" s="1"/>
  <c r="H70" i="51" s="1"/>
  <c r="J69" i="51" s="1"/>
  <c r="G64" i="51"/>
  <c r="G63" i="51"/>
  <c r="H48" i="20"/>
  <c r="Q48" i="20" s="1"/>
  <c r="D72" i="75"/>
  <c r="D72" i="88"/>
  <c r="D72" i="86"/>
  <c r="D72" i="78"/>
  <c r="D72" i="58"/>
  <c r="D72" i="77"/>
  <c r="D72" i="83"/>
  <c r="D72" i="54"/>
  <c r="D72" i="45"/>
  <c r="D72" i="61"/>
  <c r="D72" i="35"/>
  <c r="D72" i="44"/>
  <c r="D72" i="85"/>
  <c r="D72" i="59"/>
  <c r="D72" i="31"/>
  <c r="D61" i="59"/>
  <c r="D24" i="58"/>
  <c r="Q23" i="14"/>
  <c r="D24" i="53"/>
  <c r="D24" i="48"/>
  <c r="D24" i="50"/>
  <c r="D24" i="49"/>
  <c r="D24" i="61"/>
  <c r="D24" i="54"/>
  <c r="D24" i="46"/>
  <c r="D24" i="33"/>
  <c r="D24" i="60"/>
  <c r="D24" i="57"/>
  <c r="D24" i="51"/>
  <c r="D24" i="41"/>
  <c r="D24" i="34"/>
  <c r="D24" i="36"/>
  <c r="D24" i="40"/>
  <c r="D24" i="37"/>
  <c r="D24" i="31"/>
  <c r="D24" i="59"/>
  <c r="D24" i="47"/>
  <c r="D24" i="56"/>
  <c r="D35" i="57"/>
  <c r="D72" i="65"/>
  <c r="R68" i="52"/>
  <c r="J67" i="52" s="1"/>
  <c r="AA18" i="29" s="1"/>
  <c r="D72" i="90"/>
  <c r="D72" i="89"/>
  <c r="I73" i="39"/>
  <c r="J13" i="20"/>
  <c r="O74" i="47"/>
  <c r="P71" i="47" s="1"/>
  <c r="CH20" i="29" s="1"/>
  <c r="I74" i="47"/>
  <c r="L74" i="47"/>
  <c r="I73" i="47"/>
  <c r="G42" i="49"/>
  <c r="G39" i="49"/>
  <c r="G40" i="49"/>
  <c r="G41" i="49"/>
  <c r="G38" i="49"/>
  <c r="G37" i="49"/>
  <c r="D35" i="51"/>
  <c r="D24" i="38"/>
  <c r="D61" i="56"/>
  <c r="D61" i="40"/>
  <c r="D35" i="35"/>
  <c r="M67" i="40"/>
  <c r="AT18" i="29" s="1"/>
  <c r="T68" i="55"/>
  <c r="P67" i="55" s="1"/>
  <c r="CP18" i="29" s="1"/>
  <c r="P67" i="59"/>
  <c r="CG18" i="29" s="1"/>
  <c r="D72" i="48"/>
  <c r="D24" i="35"/>
  <c r="P67" i="57"/>
  <c r="BR18" i="29" s="1"/>
  <c r="D24" i="52"/>
  <c r="D35" i="53"/>
  <c r="D72" i="55"/>
  <c r="AW18" i="29"/>
  <c r="D72" i="50"/>
  <c r="L9" i="48"/>
  <c r="BC8" i="29" s="1"/>
  <c r="D72" i="81"/>
  <c r="D35" i="42"/>
  <c r="D61" i="53"/>
  <c r="I9" i="48"/>
  <c r="D35" i="31"/>
  <c r="G36" i="31" s="1"/>
  <c r="I36" i="31" s="1"/>
  <c r="D72" i="51"/>
  <c r="D35" i="56"/>
  <c r="M67" i="48"/>
  <c r="BC18" i="29" s="1"/>
  <c r="D61" i="47"/>
  <c r="O73" i="33"/>
  <c r="G64" i="48"/>
  <c r="G63" i="48"/>
  <c r="L73" i="71"/>
  <c r="D35" i="36"/>
  <c r="G62" i="43"/>
  <c r="D61" i="55"/>
  <c r="O9" i="51"/>
  <c r="D72" i="56"/>
  <c r="D61" i="44"/>
  <c r="D72" i="52"/>
  <c r="D35" i="47"/>
  <c r="D72" i="34"/>
  <c r="D72" i="80"/>
  <c r="J67" i="59"/>
  <c r="U18" i="29" s="1"/>
  <c r="D61" i="45"/>
  <c r="D35" i="41"/>
  <c r="J24" i="20"/>
  <c r="D24" i="42"/>
  <c r="L9" i="43"/>
  <c r="AX8" i="29" s="1"/>
  <c r="CX18" i="29" l="1"/>
  <c r="P7" i="48"/>
  <c r="N70" i="48" s="1"/>
  <c r="P69" i="48" s="1"/>
  <c r="CI19" i="29" s="1"/>
  <c r="AX33" i="29"/>
  <c r="CD33" i="29"/>
  <c r="BC33" i="29"/>
  <c r="W33" i="29"/>
  <c r="R33" i="29"/>
  <c r="CI33" i="29"/>
  <c r="CD8" i="29"/>
  <c r="CI48" i="29"/>
  <c r="BC48" i="29"/>
  <c r="W8" i="29"/>
  <c r="J7" i="48"/>
  <c r="H70" i="48" s="1"/>
  <c r="J69" i="48" s="1"/>
  <c r="W19" i="29" s="1"/>
  <c r="AX48" i="29"/>
  <c r="R8" i="29"/>
  <c r="L24" i="30"/>
  <c r="P24" i="30"/>
  <c r="J71" i="39"/>
  <c r="M20" i="29" s="1"/>
  <c r="L39" i="37"/>
  <c r="O39" i="37"/>
  <c r="I39" i="37"/>
  <c r="P71" i="33"/>
  <c r="BQ20" i="29" s="1"/>
  <c r="P70" i="14"/>
  <c r="T70" i="14" s="1"/>
  <c r="M71" i="71"/>
  <c r="DW20" i="29" s="1"/>
  <c r="P71" i="71"/>
  <c r="ET20" i="29" s="1"/>
  <c r="P71" i="46"/>
  <c r="CF20" i="29" s="1"/>
  <c r="M71" i="39"/>
  <c r="AS20" i="29" s="1"/>
  <c r="J71" i="46"/>
  <c r="T20" i="29" s="1"/>
  <c r="P38" i="14"/>
  <c r="Q38" i="14" s="1"/>
  <c r="Q53" i="14"/>
  <c r="G37" i="41"/>
  <c r="G40" i="41"/>
  <c r="G42" i="41"/>
  <c r="G39" i="41"/>
  <c r="G41" i="41"/>
  <c r="G36" i="41"/>
  <c r="O60" i="18"/>
  <c r="O36" i="18"/>
  <c r="O59" i="18"/>
  <c r="O22" i="18"/>
  <c r="G37" i="42"/>
  <c r="G39" i="42"/>
  <c r="G42" i="42"/>
  <c r="G41" i="42"/>
  <c r="G40" i="42"/>
  <c r="G36" i="42"/>
  <c r="I41" i="49"/>
  <c r="L41" i="49"/>
  <c r="O41" i="49"/>
  <c r="G42" i="36"/>
  <c r="G40" i="36"/>
  <c r="G39" i="36"/>
  <c r="G37" i="36"/>
  <c r="G41" i="36"/>
  <c r="G38" i="36"/>
  <c r="G36" i="36"/>
  <c r="I74" i="81"/>
  <c r="O74" i="81"/>
  <c r="L74" i="81"/>
  <c r="L73" i="81"/>
  <c r="I73" i="81"/>
  <c r="O73" i="81"/>
  <c r="O74" i="80"/>
  <c r="L74" i="80"/>
  <c r="I74" i="80"/>
  <c r="L73" i="80"/>
  <c r="O73" i="80"/>
  <c r="I73" i="80"/>
  <c r="O74" i="56"/>
  <c r="L74" i="56"/>
  <c r="I74" i="56"/>
  <c r="I73" i="56"/>
  <c r="L73" i="56"/>
  <c r="O73" i="56"/>
  <c r="G63" i="47"/>
  <c r="G64" i="47"/>
  <c r="G62" i="47"/>
  <c r="O74" i="55"/>
  <c r="I74" i="55"/>
  <c r="L74" i="55"/>
  <c r="L73" i="55"/>
  <c r="I73" i="55"/>
  <c r="O73" i="55"/>
  <c r="L74" i="48"/>
  <c r="O74" i="48"/>
  <c r="I74" i="48"/>
  <c r="L73" i="48"/>
  <c r="O73" i="48"/>
  <c r="I73" i="48"/>
  <c r="L42" i="49"/>
  <c r="O42" i="49"/>
  <c r="I42" i="49"/>
  <c r="I74" i="65"/>
  <c r="O74" i="65"/>
  <c r="L74" i="65"/>
  <c r="I73" i="65"/>
  <c r="O73" i="65"/>
  <c r="L73" i="65"/>
  <c r="G26" i="40"/>
  <c r="G25" i="40"/>
  <c r="G26" i="46"/>
  <c r="G25" i="46"/>
  <c r="G25" i="58"/>
  <c r="G26" i="58"/>
  <c r="L74" i="85"/>
  <c r="I74" i="85"/>
  <c r="O74" i="85"/>
  <c r="O73" i="85"/>
  <c r="L73" i="85"/>
  <c r="I73" i="85"/>
  <c r="O74" i="77"/>
  <c r="L74" i="77"/>
  <c r="I74" i="77"/>
  <c r="I73" i="77"/>
  <c r="O73" i="77"/>
  <c r="L73" i="77"/>
  <c r="O64" i="51"/>
  <c r="L64" i="51"/>
  <c r="I64" i="51"/>
  <c r="G26" i="39"/>
  <c r="G25" i="39"/>
  <c r="I74" i="72"/>
  <c r="L74" i="72"/>
  <c r="O74" i="72"/>
  <c r="L73" i="72"/>
  <c r="O73" i="72"/>
  <c r="I73" i="72"/>
  <c r="G64" i="52"/>
  <c r="G63" i="52"/>
  <c r="G62" i="52"/>
  <c r="T24" i="30"/>
  <c r="G39" i="55"/>
  <c r="G40" i="55"/>
  <c r="G42" i="55"/>
  <c r="G38" i="55"/>
  <c r="G41" i="55"/>
  <c r="G37" i="55"/>
  <c r="G36" i="55"/>
  <c r="D33" i="53"/>
  <c r="D33" i="57"/>
  <c r="D33" i="55"/>
  <c r="D33" i="33"/>
  <c r="D33" i="54"/>
  <c r="D33" i="35"/>
  <c r="D33" i="46"/>
  <c r="D33" i="43"/>
  <c r="D33" i="47"/>
  <c r="D33" i="58"/>
  <c r="D33" i="52"/>
  <c r="D33" i="49"/>
  <c r="D33" i="48"/>
  <c r="D33" i="50"/>
  <c r="D33" i="40"/>
  <c r="D33" i="61"/>
  <c r="D33" i="38"/>
  <c r="D33" i="42"/>
  <c r="D33" i="41"/>
  <c r="D33" i="37"/>
  <c r="D33" i="56"/>
  <c r="D33" i="59"/>
  <c r="D33" i="51"/>
  <c r="D33" i="39"/>
  <c r="D33" i="44"/>
  <c r="D33" i="45"/>
  <c r="D33" i="36"/>
  <c r="D33" i="34"/>
  <c r="D33" i="31"/>
  <c r="D33" i="60"/>
  <c r="L15" i="14"/>
  <c r="T102" i="14" s="1"/>
  <c r="P109" i="14" s="1"/>
  <c r="N24" i="30"/>
  <c r="J24" i="30"/>
  <c r="CO8" i="29"/>
  <c r="P7" i="54"/>
  <c r="N70" i="54" s="1"/>
  <c r="P69" i="54" s="1"/>
  <c r="CO19" i="29" s="1"/>
  <c r="G64" i="50"/>
  <c r="G63" i="50"/>
  <c r="G62" i="50"/>
  <c r="G64" i="36"/>
  <c r="G63" i="36"/>
  <c r="G62" i="36"/>
  <c r="I63" i="43"/>
  <c r="O63" i="43"/>
  <c r="L63" i="43"/>
  <c r="L64" i="33"/>
  <c r="O64" i="33"/>
  <c r="I64" i="33"/>
  <c r="O37" i="33"/>
  <c r="L37" i="33"/>
  <c r="I37" i="33"/>
  <c r="G64" i="53"/>
  <c r="G63" i="53"/>
  <c r="G62" i="53"/>
  <c r="L74" i="34"/>
  <c r="O74" i="34"/>
  <c r="I74" i="34"/>
  <c r="O73" i="34"/>
  <c r="I73" i="34"/>
  <c r="L73" i="34"/>
  <c r="I63" i="48"/>
  <c r="O63" i="48"/>
  <c r="L63" i="48"/>
  <c r="J71" i="47"/>
  <c r="V20" i="29" s="1"/>
  <c r="G40" i="57"/>
  <c r="G38" i="57"/>
  <c r="G37" i="57"/>
  <c r="G41" i="57"/>
  <c r="G39" i="57"/>
  <c r="G42" i="57"/>
  <c r="G36" i="57"/>
  <c r="G26" i="36"/>
  <c r="G25" i="36"/>
  <c r="G26" i="54"/>
  <c r="G25" i="54"/>
  <c r="G64" i="59"/>
  <c r="G63" i="59"/>
  <c r="G62" i="59"/>
  <c r="L74" i="44"/>
  <c r="I74" i="44"/>
  <c r="O74" i="44"/>
  <c r="L73" i="44"/>
  <c r="O73" i="44"/>
  <c r="I73" i="44"/>
  <c r="L74" i="58"/>
  <c r="O74" i="58"/>
  <c r="I74" i="58"/>
  <c r="L73" i="58"/>
  <c r="I73" i="58"/>
  <c r="O73" i="58"/>
  <c r="Z8" i="29"/>
  <c r="Z19" i="29"/>
  <c r="G39" i="54"/>
  <c r="G37" i="54"/>
  <c r="G38" i="54"/>
  <c r="G42" i="54"/>
  <c r="G41" i="54"/>
  <c r="G40" i="54"/>
  <c r="G36" i="54"/>
  <c r="L74" i="53"/>
  <c r="O74" i="53"/>
  <c r="I74" i="53"/>
  <c r="L73" i="53"/>
  <c r="O73" i="53"/>
  <c r="I73" i="53"/>
  <c r="G64" i="35"/>
  <c r="G63" i="35"/>
  <c r="G62" i="35"/>
  <c r="G40" i="58"/>
  <c r="G38" i="58"/>
  <c r="G42" i="58"/>
  <c r="G39" i="58"/>
  <c r="G41" i="58"/>
  <c r="G37" i="58"/>
  <c r="G36" i="58"/>
  <c r="G38" i="38"/>
  <c r="G37" i="38"/>
  <c r="G39" i="38"/>
  <c r="G41" i="38"/>
  <c r="G42" i="38"/>
  <c r="G40" i="38"/>
  <c r="G36" i="38"/>
  <c r="G64" i="88"/>
  <c r="G63" i="88"/>
  <c r="G62" i="88"/>
  <c r="G40" i="39"/>
  <c r="G39" i="39"/>
  <c r="G38" i="39"/>
  <c r="G42" i="39"/>
  <c r="G41" i="39"/>
  <c r="G37" i="39"/>
  <c r="G36" i="39"/>
  <c r="J71" i="33"/>
  <c r="E20" i="29" s="1"/>
  <c r="O74" i="49"/>
  <c r="L74" i="49"/>
  <c r="I74" i="49"/>
  <c r="L73" i="49"/>
  <c r="I73" i="49"/>
  <c r="O73" i="49"/>
  <c r="L39" i="33"/>
  <c r="O39" i="33"/>
  <c r="I39" i="33"/>
  <c r="G64" i="40"/>
  <c r="G63" i="40"/>
  <c r="G62" i="40"/>
  <c r="G25" i="42"/>
  <c r="G26" i="42"/>
  <c r="G64" i="56"/>
  <c r="G63" i="56"/>
  <c r="G62" i="56"/>
  <c r="P7" i="51"/>
  <c r="N70" i="51" s="1"/>
  <c r="P69" i="51" s="1"/>
  <c r="CL19" i="29" s="1"/>
  <c r="CL8" i="29"/>
  <c r="G42" i="47"/>
  <c r="G40" i="47"/>
  <c r="G41" i="47"/>
  <c r="G39" i="47"/>
  <c r="G38" i="47"/>
  <c r="G37" i="47"/>
  <c r="G36" i="47"/>
  <c r="G64" i="55"/>
  <c r="G63" i="55"/>
  <c r="G62" i="55"/>
  <c r="I64" i="48"/>
  <c r="L64" i="48"/>
  <c r="O64" i="48"/>
  <c r="M7" i="48"/>
  <c r="K70" i="48" s="1"/>
  <c r="M69" i="48" s="1"/>
  <c r="BC19" i="29" s="1"/>
  <c r="L74" i="89"/>
  <c r="I74" i="89"/>
  <c r="O74" i="89"/>
  <c r="I73" i="89"/>
  <c r="O73" i="89"/>
  <c r="L73" i="89"/>
  <c r="G26" i="34"/>
  <c r="G25" i="34"/>
  <c r="G26" i="61"/>
  <c r="G25" i="61"/>
  <c r="I74" i="35"/>
  <c r="O74" i="35"/>
  <c r="L74" i="35"/>
  <c r="I73" i="35"/>
  <c r="L73" i="35"/>
  <c r="O73" i="35"/>
  <c r="O74" i="78"/>
  <c r="L74" i="78"/>
  <c r="I74" i="78"/>
  <c r="I73" i="78"/>
  <c r="O73" i="78"/>
  <c r="L73" i="78"/>
  <c r="G64" i="61"/>
  <c r="G63" i="61"/>
  <c r="G62" i="61"/>
  <c r="G63" i="49"/>
  <c r="G64" i="49"/>
  <c r="G62" i="49"/>
  <c r="G42" i="61"/>
  <c r="G39" i="61"/>
  <c r="G41" i="61"/>
  <c r="G38" i="61"/>
  <c r="G40" i="61"/>
  <c r="G37" i="61"/>
  <c r="G36" i="61"/>
  <c r="G63" i="34"/>
  <c r="G64" i="34"/>
  <c r="G62" i="34"/>
  <c r="G62" i="90"/>
  <c r="G64" i="90"/>
  <c r="G63" i="90"/>
  <c r="I74" i="66"/>
  <c r="O74" i="66"/>
  <c r="L74" i="66"/>
  <c r="L73" i="66"/>
  <c r="O73" i="66"/>
  <c r="I73" i="66"/>
  <c r="G26" i="45"/>
  <c r="I74" i="41"/>
  <c r="O74" i="41"/>
  <c r="L74" i="41"/>
  <c r="O73" i="41"/>
  <c r="I73" i="41"/>
  <c r="L73" i="41"/>
  <c r="I74" i="36"/>
  <c r="O74" i="36"/>
  <c r="L74" i="36"/>
  <c r="I73" i="36"/>
  <c r="L73" i="36"/>
  <c r="O73" i="36"/>
  <c r="O38" i="33"/>
  <c r="L38" i="33"/>
  <c r="I38" i="33"/>
  <c r="L37" i="49"/>
  <c r="I37" i="49"/>
  <c r="O37" i="49"/>
  <c r="G26" i="56"/>
  <c r="G25" i="56"/>
  <c r="I74" i="61"/>
  <c r="L74" i="61"/>
  <c r="O74" i="61"/>
  <c r="L73" i="61"/>
  <c r="I73" i="61"/>
  <c r="O73" i="61"/>
  <c r="G64" i="38"/>
  <c r="G63" i="38"/>
  <c r="G62" i="38"/>
  <c r="L74" i="73"/>
  <c r="O74" i="73"/>
  <c r="I74" i="73"/>
  <c r="O73" i="73"/>
  <c r="I73" i="73"/>
  <c r="L73" i="73"/>
  <c r="G42" i="50"/>
  <c r="G40" i="50"/>
  <c r="G38" i="50"/>
  <c r="G39" i="50"/>
  <c r="G41" i="50"/>
  <c r="G37" i="50"/>
  <c r="G36" i="50"/>
  <c r="G63" i="39"/>
  <c r="G64" i="39"/>
  <c r="G62" i="39"/>
  <c r="G41" i="59"/>
  <c r="G42" i="59"/>
  <c r="G38" i="59"/>
  <c r="G37" i="59"/>
  <c r="G40" i="59"/>
  <c r="G39" i="59"/>
  <c r="G36" i="59"/>
  <c r="G64" i="54"/>
  <c r="G63" i="54"/>
  <c r="G62" i="54"/>
  <c r="G39" i="44"/>
  <c r="G38" i="44"/>
  <c r="G41" i="44"/>
  <c r="G40" i="44"/>
  <c r="G42" i="44"/>
  <c r="G37" i="44"/>
  <c r="G36" i="44"/>
  <c r="G63" i="91"/>
  <c r="G62" i="91"/>
  <c r="G64" i="91"/>
  <c r="L74" i="38"/>
  <c r="O74" i="38"/>
  <c r="I74" i="38"/>
  <c r="L73" i="38"/>
  <c r="I73" i="38"/>
  <c r="O73" i="38"/>
  <c r="G37" i="52"/>
  <c r="G41" i="52"/>
  <c r="G38" i="52"/>
  <c r="G42" i="52"/>
  <c r="G40" i="52"/>
  <c r="G39" i="52"/>
  <c r="G36" i="52"/>
  <c r="O74" i="84"/>
  <c r="I74" i="84"/>
  <c r="L74" i="84"/>
  <c r="L73" i="84"/>
  <c r="O73" i="84"/>
  <c r="I73" i="84"/>
  <c r="O40" i="33"/>
  <c r="L40" i="33"/>
  <c r="I40" i="33"/>
  <c r="G38" i="53"/>
  <c r="G42" i="53"/>
  <c r="G37" i="53"/>
  <c r="G39" i="53"/>
  <c r="G41" i="53"/>
  <c r="G40" i="53"/>
  <c r="G36" i="53"/>
  <c r="G39" i="51"/>
  <c r="G40" i="51"/>
  <c r="G41" i="51"/>
  <c r="G38" i="51"/>
  <c r="G42" i="51"/>
  <c r="G37" i="51"/>
  <c r="G36" i="51"/>
  <c r="I74" i="90"/>
  <c r="L74" i="90"/>
  <c r="O74" i="90"/>
  <c r="I73" i="90"/>
  <c r="L73" i="90"/>
  <c r="O73" i="90"/>
  <c r="G26" i="41"/>
  <c r="G25" i="41"/>
  <c r="G25" i="49"/>
  <c r="G26" i="49"/>
  <c r="L74" i="86"/>
  <c r="O74" i="86"/>
  <c r="I74" i="86"/>
  <c r="I73" i="86"/>
  <c r="L73" i="86"/>
  <c r="O73" i="86"/>
  <c r="G64" i="45"/>
  <c r="G63" i="45"/>
  <c r="G62" i="45"/>
  <c r="O62" i="43"/>
  <c r="L62" i="43"/>
  <c r="I62" i="43"/>
  <c r="G39" i="56"/>
  <c r="G41" i="56"/>
  <c r="G37" i="56"/>
  <c r="G38" i="56"/>
  <c r="G40" i="56"/>
  <c r="G42" i="56"/>
  <c r="G36" i="56"/>
  <c r="G25" i="52"/>
  <c r="G26" i="52"/>
  <c r="G41" i="35"/>
  <c r="G42" i="35"/>
  <c r="G38" i="35"/>
  <c r="G40" i="35"/>
  <c r="G39" i="35"/>
  <c r="G37" i="35"/>
  <c r="G36" i="35"/>
  <c r="L38" i="49"/>
  <c r="I38" i="49"/>
  <c r="O38" i="49"/>
  <c r="G26" i="47"/>
  <c r="G25" i="47"/>
  <c r="G26" i="51"/>
  <c r="G25" i="51"/>
  <c r="G26" i="50"/>
  <c r="G25" i="50"/>
  <c r="I25" i="50" s="1"/>
  <c r="I74" i="45"/>
  <c r="L74" i="45"/>
  <c r="O74" i="45"/>
  <c r="L73" i="45"/>
  <c r="O73" i="45"/>
  <c r="I73" i="45"/>
  <c r="O74" i="88"/>
  <c r="I74" i="88"/>
  <c r="L74" i="88"/>
  <c r="I73" i="88"/>
  <c r="O73" i="88"/>
  <c r="L73" i="88"/>
  <c r="G64" i="58"/>
  <c r="G63" i="58"/>
  <c r="G62" i="58"/>
  <c r="G63" i="42"/>
  <c r="G64" i="42"/>
  <c r="G62" i="42"/>
  <c r="G42" i="46"/>
  <c r="G39" i="46"/>
  <c r="G37" i="46"/>
  <c r="G38" i="46"/>
  <c r="G41" i="46"/>
  <c r="G40" i="46"/>
  <c r="G26" i="44"/>
  <c r="G25" i="44"/>
  <c r="M71" i="47"/>
  <c r="BB20" i="29" s="1"/>
  <c r="L62" i="33"/>
  <c r="I62" i="33"/>
  <c r="O62" i="33"/>
  <c r="I74" i="76"/>
  <c r="L74" i="76"/>
  <c r="O74" i="76"/>
  <c r="L73" i="76"/>
  <c r="I73" i="76"/>
  <c r="O73" i="76"/>
  <c r="G63" i="57"/>
  <c r="G64" i="57"/>
  <c r="G62" i="57"/>
  <c r="O41" i="33"/>
  <c r="I41" i="33"/>
  <c r="L41" i="33"/>
  <c r="G26" i="59"/>
  <c r="G25" i="59"/>
  <c r="G26" i="57"/>
  <c r="G25" i="57"/>
  <c r="G26" i="48"/>
  <c r="G25" i="48"/>
  <c r="L74" i="54"/>
  <c r="O74" i="54"/>
  <c r="I74" i="54"/>
  <c r="L73" i="54"/>
  <c r="I73" i="54"/>
  <c r="O73" i="54"/>
  <c r="L74" i="75"/>
  <c r="O74" i="75"/>
  <c r="I74" i="75"/>
  <c r="L73" i="75"/>
  <c r="O73" i="75"/>
  <c r="I73" i="75"/>
  <c r="L74" i="91"/>
  <c r="O74" i="91"/>
  <c r="I74" i="91"/>
  <c r="L73" i="91"/>
  <c r="O73" i="91"/>
  <c r="I73" i="91"/>
  <c r="G39" i="40"/>
  <c r="G41" i="40"/>
  <c r="G42" i="40"/>
  <c r="G37" i="40"/>
  <c r="G38" i="40"/>
  <c r="G36" i="40"/>
  <c r="G63" i="41"/>
  <c r="G64" i="41"/>
  <c r="G62" i="41"/>
  <c r="G63" i="37"/>
  <c r="G64" i="37"/>
  <c r="G62" i="37"/>
  <c r="V24" i="30"/>
  <c r="G40" i="48"/>
  <c r="G37" i="48"/>
  <c r="G41" i="48"/>
  <c r="G42" i="48"/>
  <c r="G38" i="48"/>
  <c r="G39" i="48"/>
  <c r="G36" i="48"/>
  <c r="G64" i="31"/>
  <c r="G63" i="31"/>
  <c r="G62" i="31"/>
  <c r="G37" i="45"/>
  <c r="G41" i="45"/>
  <c r="G38" i="45"/>
  <c r="G39" i="45"/>
  <c r="G40" i="45"/>
  <c r="G42" i="45"/>
  <c r="G36" i="45"/>
  <c r="I36" i="45" s="1"/>
  <c r="L74" i="43"/>
  <c r="I74" i="43"/>
  <c r="O74" i="43"/>
  <c r="O73" i="43"/>
  <c r="L73" i="43"/>
  <c r="I73" i="43"/>
  <c r="O25" i="43"/>
  <c r="L25" i="43"/>
  <c r="I25" i="43"/>
  <c r="L42" i="33"/>
  <c r="I42" i="33"/>
  <c r="O42" i="33"/>
  <c r="AC48" i="29"/>
  <c r="G26" i="38"/>
  <c r="G25" i="38"/>
  <c r="O74" i="51"/>
  <c r="I74" i="51"/>
  <c r="L74" i="51"/>
  <c r="O73" i="51"/>
  <c r="I73" i="51"/>
  <c r="L73" i="51"/>
  <c r="G26" i="31"/>
  <c r="G25" i="31"/>
  <c r="G26" i="60"/>
  <c r="G25" i="60"/>
  <c r="G26" i="53"/>
  <c r="G25" i="53"/>
  <c r="I74" i="31"/>
  <c r="O74" i="31"/>
  <c r="L74" i="31"/>
  <c r="L73" i="31"/>
  <c r="O73" i="31"/>
  <c r="I73" i="31"/>
  <c r="L74" i="83"/>
  <c r="O74" i="83"/>
  <c r="I74" i="83"/>
  <c r="L73" i="83"/>
  <c r="O73" i="83"/>
  <c r="I73" i="83"/>
  <c r="C49" i="20"/>
  <c r="G64" i="60"/>
  <c r="G63" i="60"/>
  <c r="G62" i="60"/>
  <c r="G39" i="60"/>
  <c r="G37" i="60"/>
  <c r="G40" i="60"/>
  <c r="G42" i="60"/>
  <c r="G41" i="60"/>
  <c r="G38" i="60"/>
  <c r="G36" i="60"/>
  <c r="I74" i="60"/>
  <c r="O74" i="60"/>
  <c r="L74" i="60"/>
  <c r="I73" i="60"/>
  <c r="L73" i="60"/>
  <c r="O73" i="60"/>
  <c r="I74" i="74"/>
  <c r="L74" i="74"/>
  <c r="O74" i="74"/>
  <c r="L73" i="74"/>
  <c r="I73" i="74"/>
  <c r="O73" i="74"/>
  <c r="M71" i="57"/>
  <c r="AL20" i="29" s="1"/>
  <c r="G26" i="55"/>
  <c r="G25" i="55"/>
  <c r="G37" i="34"/>
  <c r="G41" i="34"/>
  <c r="G42" i="34"/>
  <c r="G39" i="34"/>
  <c r="G40" i="34"/>
  <c r="G38" i="34"/>
  <c r="G36" i="34"/>
  <c r="I74" i="64"/>
  <c r="L74" i="64"/>
  <c r="O74" i="64"/>
  <c r="O73" i="64"/>
  <c r="L73" i="64"/>
  <c r="I73" i="64"/>
  <c r="L74" i="37"/>
  <c r="O74" i="37"/>
  <c r="I74" i="37"/>
  <c r="L73" i="37"/>
  <c r="I73" i="37"/>
  <c r="O73" i="37"/>
  <c r="L26" i="43"/>
  <c r="I26" i="43"/>
  <c r="O26" i="43"/>
  <c r="L74" i="52"/>
  <c r="I74" i="52"/>
  <c r="O74" i="52"/>
  <c r="O73" i="52"/>
  <c r="L73" i="52"/>
  <c r="I73" i="52"/>
  <c r="O74" i="50"/>
  <c r="L74" i="50"/>
  <c r="I74" i="50"/>
  <c r="L73" i="50"/>
  <c r="O73" i="50"/>
  <c r="I73" i="50"/>
  <c r="I40" i="49"/>
  <c r="O40" i="49"/>
  <c r="L40" i="49"/>
  <c r="G63" i="44"/>
  <c r="G64" i="44"/>
  <c r="G62" i="44"/>
  <c r="G40" i="31"/>
  <c r="G39" i="31"/>
  <c r="G42" i="31"/>
  <c r="G41" i="31"/>
  <c r="G38" i="31"/>
  <c r="G37" i="31"/>
  <c r="R24" i="30"/>
  <c r="G26" i="35"/>
  <c r="G25" i="35"/>
  <c r="I39" i="49"/>
  <c r="O39" i="49"/>
  <c r="L39" i="49"/>
  <c r="G26" i="37"/>
  <c r="G25" i="37"/>
  <c r="G26" i="33"/>
  <c r="G25" i="33"/>
  <c r="O74" i="59"/>
  <c r="I74" i="59"/>
  <c r="L74" i="59"/>
  <c r="I73" i="59"/>
  <c r="L73" i="59"/>
  <c r="O73" i="59"/>
  <c r="L63" i="51"/>
  <c r="I63" i="51"/>
  <c r="O63" i="51"/>
  <c r="I74" i="40"/>
  <c r="L74" i="40"/>
  <c r="O74" i="40"/>
  <c r="O73" i="40"/>
  <c r="I73" i="40"/>
  <c r="L73" i="40"/>
  <c r="G37" i="37"/>
  <c r="G41" i="37"/>
  <c r="G40" i="37"/>
  <c r="G38" i="37"/>
  <c r="G42" i="37"/>
  <c r="G36" i="37"/>
  <c r="G41" i="43"/>
  <c r="G37" i="43"/>
  <c r="G42" i="43"/>
  <c r="G39" i="43"/>
  <c r="G38" i="43"/>
  <c r="G40" i="43"/>
  <c r="G36" i="43"/>
  <c r="J71" i="57"/>
  <c r="F20" i="29" s="1"/>
  <c r="G64" i="46"/>
  <c r="G63" i="46"/>
  <c r="G62" i="46"/>
  <c r="O74" i="42"/>
  <c r="I74" i="42"/>
  <c r="L74" i="42"/>
  <c r="I73" i="42"/>
  <c r="O73" i="42"/>
  <c r="L73" i="42"/>
  <c r="M71" i="33"/>
  <c r="AK20" i="29" s="1"/>
  <c r="BI8" i="29"/>
  <c r="M7" i="54"/>
  <c r="K70" i="54" s="1"/>
  <c r="M69" i="54" s="1"/>
  <c r="BI19" i="29" s="1"/>
  <c r="I74" i="79"/>
  <c r="L74" i="79"/>
  <c r="O74" i="79"/>
  <c r="I73" i="79"/>
  <c r="L73" i="79"/>
  <c r="O73" i="79"/>
  <c r="I64" i="43"/>
  <c r="L64" i="43"/>
  <c r="O64" i="43"/>
  <c r="L63" i="33"/>
  <c r="I63" i="33"/>
  <c r="O63" i="33"/>
  <c r="BF48" i="29"/>
  <c r="I36" i="33"/>
  <c r="O36" i="33"/>
  <c r="L36" i="33"/>
  <c r="M71" i="46"/>
  <c r="AZ20" i="29" s="1"/>
  <c r="R48" i="29" l="1"/>
  <c r="CD48" i="29"/>
  <c r="W48" i="29"/>
  <c r="G57" i="82"/>
  <c r="J57" i="82" s="1"/>
  <c r="M60" i="51"/>
  <c r="BF16" i="29" s="1"/>
  <c r="T38" i="14"/>
  <c r="M60" i="48"/>
  <c r="BC16" i="29" s="1"/>
  <c r="Q70" i="14"/>
  <c r="P71" i="65"/>
  <c r="EU20" i="29" s="1"/>
  <c r="J60" i="48"/>
  <c r="W16" i="29" s="1"/>
  <c r="J71" i="85"/>
  <c r="DN20" i="29" s="1"/>
  <c r="M71" i="77"/>
  <c r="ED20" i="29" s="1"/>
  <c r="P71" i="81"/>
  <c r="FE20" i="29" s="1"/>
  <c r="P71" i="88"/>
  <c r="FI20" i="29" s="1"/>
  <c r="P71" i="36"/>
  <c r="BV20" i="29" s="1"/>
  <c r="P71" i="35"/>
  <c r="BU20" i="29" s="1"/>
  <c r="P60" i="48"/>
  <c r="CI16" i="29" s="1"/>
  <c r="P60" i="51"/>
  <c r="CL16" i="29" s="1"/>
  <c r="M71" i="84"/>
  <c r="EJ20" i="29" s="1"/>
  <c r="P71" i="54"/>
  <c r="CO20" i="29" s="1"/>
  <c r="P71" i="74"/>
  <c r="EX20" i="29" s="1"/>
  <c r="J71" i="60"/>
  <c r="AG20" i="29" s="1"/>
  <c r="P71" i="51"/>
  <c r="CL20" i="29" s="1"/>
  <c r="J71" i="91"/>
  <c r="DR20" i="29" s="1"/>
  <c r="P71" i="40"/>
  <c r="BZ20" i="29" s="1"/>
  <c r="J71" i="31"/>
  <c r="D20" i="29" s="1"/>
  <c r="M71" i="88"/>
  <c r="EL20" i="29" s="1"/>
  <c r="M71" i="90"/>
  <c r="EP20" i="29" s="1"/>
  <c r="M71" i="89"/>
  <c r="J71" i="36"/>
  <c r="J20" i="29" s="1"/>
  <c r="M71" i="43"/>
  <c r="AX20" i="29" s="1"/>
  <c r="M71" i="40"/>
  <c r="AT20" i="29" s="1"/>
  <c r="J71" i="37"/>
  <c r="K20" i="29" s="1"/>
  <c r="J71" i="54"/>
  <c r="AC20" i="29" s="1"/>
  <c r="P34" i="33"/>
  <c r="BQ14" i="29" s="1"/>
  <c r="J71" i="45"/>
  <c r="S20" i="29" s="1"/>
  <c r="P71" i="49"/>
  <c r="CJ20" i="29" s="1"/>
  <c r="M34" i="49"/>
  <c r="BD14" i="29" s="1"/>
  <c r="M71" i="49"/>
  <c r="BD20" i="29" s="1"/>
  <c r="J71" i="90"/>
  <c r="DS20" i="29" s="1"/>
  <c r="M71" i="36"/>
  <c r="AP20" i="29" s="1"/>
  <c r="M71" i="35"/>
  <c r="AO20" i="29" s="1"/>
  <c r="P71" i="89"/>
  <c r="P71" i="44"/>
  <c r="CC20" i="29" s="1"/>
  <c r="J60" i="51"/>
  <c r="Z16" i="29" s="1"/>
  <c r="M23" i="43"/>
  <c r="AX12" i="29" s="1"/>
  <c r="J71" i="43"/>
  <c r="R20" i="29" s="1"/>
  <c r="J71" i="76"/>
  <c r="DF20" i="29" s="1"/>
  <c r="J71" i="88"/>
  <c r="DO20" i="29" s="1"/>
  <c r="P71" i="84"/>
  <c r="FG20" i="29" s="1"/>
  <c r="P71" i="77"/>
  <c r="FA20" i="29" s="1"/>
  <c r="J71" i="81"/>
  <c r="M71" i="64"/>
  <c r="DU20" i="29" s="1"/>
  <c r="M71" i="83"/>
  <c r="EI20" i="29" s="1"/>
  <c r="M71" i="51"/>
  <c r="BF20" i="29" s="1"/>
  <c r="P23" i="43"/>
  <c r="CD12" i="29" s="1"/>
  <c r="J71" i="59"/>
  <c r="U20" i="29" s="1"/>
  <c r="M71" i="60"/>
  <c r="BM20" i="29" s="1"/>
  <c r="J71" i="38"/>
  <c r="L20" i="29" s="1"/>
  <c r="P71" i="38"/>
  <c r="BX20" i="29" s="1"/>
  <c r="P71" i="78"/>
  <c r="FB20" i="29" s="1"/>
  <c r="J71" i="72"/>
  <c r="DC20" i="29" s="1"/>
  <c r="J71" i="40"/>
  <c r="N20" i="29" s="1"/>
  <c r="M71" i="37"/>
  <c r="AQ20" i="29" s="1"/>
  <c r="P71" i="86"/>
  <c r="FJ20" i="29" s="1"/>
  <c r="M71" i="41"/>
  <c r="AU20" i="29" s="1"/>
  <c r="M71" i="34"/>
  <c r="AN20" i="29" s="1"/>
  <c r="P71" i="72"/>
  <c r="EW20" i="29" s="1"/>
  <c r="P71" i="50"/>
  <c r="CK20" i="29" s="1"/>
  <c r="J71" i="79"/>
  <c r="DI20" i="29" s="1"/>
  <c r="M71" i="74"/>
  <c r="EA20" i="29" s="1"/>
  <c r="J34" i="49"/>
  <c r="X14" i="29" s="1"/>
  <c r="P60" i="43"/>
  <c r="CD16" i="29" s="1"/>
  <c r="M71" i="86"/>
  <c r="EM20" i="29" s="1"/>
  <c r="J71" i="34"/>
  <c r="H20" i="29" s="1"/>
  <c r="J71" i="65"/>
  <c r="DA20" i="29" s="1"/>
  <c r="J71" i="80"/>
  <c r="DJ20" i="29" s="1"/>
  <c r="J71" i="52"/>
  <c r="AA20" i="29" s="1"/>
  <c r="J71" i="42"/>
  <c r="P20" i="29" s="1"/>
  <c r="P71" i="31"/>
  <c r="BP20" i="29" s="1"/>
  <c r="M71" i="75"/>
  <c r="EB20" i="29" s="1"/>
  <c r="P71" i="45"/>
  <c r="CE20" i="29" s="1"/>
  <c r="P71" i="90"/>
  <c r="M71" i="66"/>
  <c r="DV20" i="29" s="1"/>
  <c r="P71" i="34"/>
  <c r="BT20" i="29" s="1"/>
  <c r="M71" i="61"/>
  <c r="BN20" i="29" s="1"/>
  <c r="J71" i="49"/>
  <c r="X20" i="29" s="1"/>
  <c r="M71" i="55"/>
  <c r="BJ20" i="29" s="1"/>
  <c r="P71" i="76"/>
  <c r="EZ20" i="29" s="1"/>
  <c r="P34" i="49"/>
  <c r="CJ14" i="29" s="1"/>
  <c r="J71" i="51"/>
  <c r="Z20" i="29" s="1"/>
  <c r="I25" i="53"/>
  <c r="L25" i="53"/>
  <c r="O25" i="53"/>
  <c r="O37" i="60"/>
  <c r="I37" i="60"/>
  <c r="L37" i="60"/>
  <c r="L40" i="48"/>
  <c r="I40" i="48"/>
  <c r="O40" i="48"/>
  <c r="I62" i="44"/>
  <c r="O62" i="44"/>
  <c r="L62" i="44"/>
  <c r="L36" i="34"/>
  <c r="I36" i="34"/>
  <c r="O36" i="34"/>
  <c r="J34" i="33"/>
  <c r="E14" i="29" s="1"/>
  <c r="M71" i="79"/>
  <c r="EF20" i="29" s="1"/>
  <c r="M71" i="42"/>
  <c r="AV20" i="29" s="1"/>
  <c r="O62" i="46"/>
  <c r="I62" i="46"/>
  <c r="L62" i="46"/>
  <c r="O36" i="37"/>
  <c r="L36" i="37"/>
  <c r="I36" i="37"/>
  <c r="P71" i="59"/>
  <c r="CG20" i="29" s="1"/>
  <c r="L26" i="33"/>
  <c r="I26" i="33"/>
  <c r="O26" i="33"/>
  <c r="L39" i="31"/>
  <c r="I39" i="31"/>
  <c r="O39" i="31"/>
  <c r="L63" i="44"/>
  <c r="O63" i="44"/>
  <c r="I63" i="44"/>
  <c r="J71" i="64"/>
  <c r="CX20" i="29" s="1"/>
  <c r="I40" i="34"/>
  <c r="L40" i="34"/>
  <c r="O40" i="34"/>
  <c r="O36" i="60"/>
  <c r="L36" i="60"/>
  <c r="I36" i="60"/>
  <c r="P71" i="83"/>
  <c r="FF20" i="29" s="1"/>
  <c r="I26" i="31"/>
  <c r="O26" i="31"/>
  <c r="L26" i="31"/>
  <c r="O41" i="45"/>
  <c r="L41" i="45"/>
  <c r="I41" i="45"/>
  <c r="I39" i="48"/>
  <c r="L39" i="48"/>
  <c r="O39" i="48"/>
  <c r="I62" i="37"/>
  <c r="L62" i="37"/>
  <c r="O62" i="37"/>
  <c r="L36" i="40"/>
  <c r="O36" i="40"/>
  <c r="I36" i="40"/>
  <c r="M71" i="91"/>
  <c r="P71" i="75"/>
  <c r="EY20" i="29" s="1"/>
  <c r="I25" i="57"/>
  <c r="O25" i="57"/>
  <c r="L25" i="57"/>
  <c r="P60" i="33"/>
  <c r="BQ16" i="29" s="1"/>
  <c r="I25" i="44"/>
  <c r="O25" i="44"/>
  <c r="L25" i="44"/>
  <c r="O39" i="46"/>
  <c r="I39" i="46"/>
  <c r="L39" i="46"/>
  <c r="L39" i="35"/>
  <c r="I39" i="35"/>
  <c r="O39" i="35"/>
  <c r="O39" i="56"/>
  <c r="I39" i="56"/>
  <c r="L39" i="56"/>
  <c r="L63" i="45"/>
  <c r="O63" i="45"/>
  <c r="I63" i="45"/>
  <c r="O26" i="49"/>
  <c r="L26" i="49"/>
  <c r="I26" i="49"/>
  <c r="I39" i="51"/>
  <c r="O39" i="51"/>
  <c r="L39" i="51"/>
  <c r="L37" i="53"/>
  <c r="O37" i="53"/>
  <c r="I37" i="53"/>
  <c r="O42" i="52"/>
  <c r="I42" i="52"/>
  <c r="L42" i="52"/>
  <c r="L39" i="44"/>
  <c r="I39" i="44"/>
  <c r="O39" i="44"/>
  <c r="I37" i="59"/>
  <c r="O37" i="59"/>
  <c r="L37" i="59"/>
  <c r="I37" i="50"/>
  <c r="O37" i="50"/>
  <c r="L37" i="50"/>
  <c r="J71" i="73"/>
  <c r="DB20" i="29" s="1"/>
  <c r="P71" i="61"/>
  <c r="CT20" i="29" s="1"/>
  <c r="P71" i="41"/>
  <c r="CA20" i="29" s="1"/>
  <c r="O63" i="34"/>
  <c r="I63" i="34"/>
  <c r="L63" i="34"/>
  <c r="O42" i="61"/>
  <c r="I42" i="61"/>
  <c r="L42" i="61"/>
  <c r="L64" i="61"/>
  <c r="I64" i="61"/>
  <c r="O64" i="61"/>
  <c r="O25" i="34"/>
  <c r="I25" i="34"/>
  <c r="L25" i="34"/>
  <c r="O38" i="47"/>
  <c r="L38" i="47"/>
  <c r="I38" i="47"/>
  <c r="O39" i="39"/>
  <c r="I39" i="39"/>
  <c r="L39" i="39"/>
  <c r="I39" i="38"/>
  <c r="L39" i="38"/>
  <c r="O39" i="38"/>
  <c r="I42" i="58"/>
  <c r="O42" i="58"/>
  <c r="L42" i="58"/>
  <c r="M71" i="53"/>
  <c r="BH20" i="29" s="1"/>
  <c r="I38" i="54"/>
  <c r="L38" i="54"/>
  <c r="O38" i="54"/>
  <c r="M71" i="58"/>
  <c r="AM20" i="29" s="1"/>
  <c r="L26" i="36"/>
  <c r="I26" i="36"/>
  <c r="O26" i="36"/>
  <c r="L64" i="36"/>
  <c r="I64" i="36"/>
  <c r="O64" i="36"/>
  <c r="I33" i="51"/>
  <c r="O33" i="51"/>
  <c r="L33" i="51"/>
  <c r="L33" i="40"/>
  <c r="O33" i="40"/>
  <c r="I33" i="40"/>
  <c r="O33" i="46"/>
  <c r="L33" i="46"/>
  <c r="I33" i="46"/>
  <c r="I39" i="55"/>
  <c r="L39" i="55"/>
  <c r="O39" i="55"/>
  <c r="L63" i="52"/>
  <c r="I63" i="52"/>
  <c r="O63" i="52"/>
  <c r="O25" i="39"/>
  <c r="I25" i="39"/>
  <c r="L25" i="39"/>
  <c r="P71" i="85"/>
  <c r="FH20" i="29" s="1"/>
  <c r="O25" i="40"/>
  <c r="I25" i="40"/>
  <c r="L25" i="40"/>
  <c r="M71" i="48"/>
  <c r="BC20" i="29" s="1"/>
  <c r="O62" i="47"/>
  <c r="L62" i="47"/>
  <c r="I62" i="47"/>
  <c r="J71" i="56"/>
  <c r="AE20" i="29" s="1"/>
  <c r="O41" i="36"/>
  <c r="I41" i="36"/>
  <c r="L41" i="36"/>
  <c r="L36" i="42"/>
  <c r="O36" i="42"/>
  <c r="I36" i="42"/>
  <c r="O41" i="34"/>
  <c r="L41" i="34"/>
  <c r="I41" i="34"/>
  <c r="I63" i="60"/>
  <c r="O63" i="60"/>
  <c r="L63" i="60"/>
  <c r="O39" i="40"/>
  <c r="L39" i="40"/>
  <c r="I39" i="40"/>
  <c r="P71" i="42"/>
  <c r="CB20" i="29" s="1"/>
  <c r="L63" i="46"/>
  <c r="I63" i="46"/>
  <c r="O63" i="46"/>
  <c r="O36" i="43"/>
  <c r="I36" i="43"/>
  <c r="L36" i="43"/>
  <c r="I42" i="37"/>
  <c r="O42" i="37"/>
  <c r="L42" i="37"/>
  <c r="M71" i="59"/>
  <c r="BA20" i="29" s="1"/>
  <c r="L25" i="37"/>
  <c r="O25" i="37"/>
  <c r="I25" i="37"/>
  <c r="I40" i="31"/>
  <c r="L40" i="31"/>
  <c r="O40" i="31"/>
  <c r="M71" i="50"/>
  <c r="BE20" i="29" s="1"/>
  <c r="M71" i="52"/>
  <c r="BG20" i="29" s="1"/>
  <c r="L39" i="34"/>
  <c r="I39" i="34"/>
  <c r="O39" i="34"/>
  <c r="P71" i="60"/>
  <c r="CS20" i="29" s="1"/>
  <c r="O38" i="60"/>
  <c r="L38" i="60"/>
  <c r="I38" i="60"/>
  <c r="O25" i="38"/>
  <c r="I25" i="38"/>
  <c r="L25" i="38"/>
  <c r="L37" i="45"/>
  <c r="I37" i="45"/>
  <c r="O37" i="45"/>
  <c r="I38" i="48"/>
  <c r="L38" i="48"/>
  <c r="O38" i="48"/>
  <c r="I64" i="37"/>
  <c r="O64" i="37"/>
  <c r="L64" i="37"/>
  <c r="O38" i="40"/>
  <c r="L38" i="40"/>
  <c r="I38" i="40"/>
  <c r="L26" i="57"/>
  <c r="O26" i="57"/>
  <c r="I26" i="57"/>
  <c r="J60" i="33"/>
  <c r="E16" i="29" s="1"/>
  <c r="I26" i="44"/>
  <c r="O26" i="44"/>
  <c r="L26" i="44"/>
  <c r="I42" i="46"/>
  <c r="O42" i="46"/>
  <c r="L42" i="46"/>
  <c r="O25" i="50"/>
  <c r="L25" i="50"/>
  <c r="O40" i="35"/>
  <c r="I40" i="35"/>
  <c r="L40" i="35"/>
  <c r="J60" i="43"/>
  <c r="R16" i="29" s="1"/>
  <c r="I64" i="45"/>
  <c r="L64" i="45"/>
  <c r="O64" i="45"/>
  <c r="O25" i="49"/>
  <c r="L25" i="49"/>
  <c r="I25" i="49"/>
  <c r="O42" i="53"/>
  <c r="I42" i="53"/>
  <c r="L42" i="53"/>
  <c r="J71" i="84"/>
  <c r="DM20" i="29" s="1"/>
  <c r="I38" i="52"/>
  <c r="L38" i="52"/>
  <c r="O38" i="52"/>
  <c r="L38" i="59"/>
  <c r="O38" i="59"/>
  <c r="I38" i="59"/>
  <c r="O41" i="50"/>
  <c r="L41" i="50"/>
  <c r="I41" i="50"/>
  <c r="P71" i="73"/>
  <c r="EV20" i="29" s="1"/>
  <c r="J71" i="61"/>
  <c r="AH20" i="29" s="1"/>
  <c r="O63" i="90"/>
  <c r="I63" i="90"/>
  <c r="L63" i="90"/>
  <c r="J71" i="78"/>
  <c r="DH20" i="29" s="1"/>
  <c r="L26" i="34"/>
  <c r="O26" i="34"/>
  <c r="I26" i="34"/>
  <c r="O39" i="47"/>
  <c r="I39" i="47"/>
  <c r="L39" i="47"/>
  <c r="L26" i="42"/>
  <c r="O26" i="42"/>
  <c r="I26" i="42"/>
  <c r="L40" i="39"/>
  <c r="I40" i="39"/>
  <c r="O40" i="39"/>
  <c r="L62" i="88"/>
  <c r="I62" i="88"/>
  <c r="O62" i="88"/>
  <c r="L37" i="38"/>
  <c r="I37" i="38"/>
  <c r="O37" i="38"/>
  <c r="L38" i="58"/>
  <c r="O38" i="58"/>
  <c r="I38" i="58"/>
  <c r="I37" i="54"/>
  <c r="O37" i="54"/>
  <c r="L37" i="54"/>
  <c r="L36" i="57"/>
  <c r="I36" i="57"/>
  <c r="O36" i="57"/>
  <c r="L33" i="60"/>
  <c r="I33" i="60"/>
  <c r="O33" i="60"/>
  <c r="L33" i="59"/>
  <c r="O33" i="59"/>
  <c r="I33" i="59"/>
  <c r="L33" i="50"/>
  <c r="I33" i="50"/>
  <c r="O33" i="50"/>
  <c r="O33" i="35"/>
  <c r="L33" i="35"/>
  <c r="I33" i="35"/>
  <c r="I64" i="52"/>
  <c r="L64" i="52"/>
  <c r="O64" i="52"/>
  <c r="I26" i="39"/>
  <c r="L26" i="39"/>
  <c r="O26" i="39"/>
  <c r="L26" i="40"/>
  <c r="I26" i="40"/>
  <c r="O26" i="40"/>
  <c r="L64" i="47"/>
  <c r="O64" i="47"/>
  <c r="I64" i="47"/>
  <c r="O37" i="36"/>
  <c r="I37" i="36"/>
  <c r="L37" i="36"/>
  <c r="L40" i="42"/>
  <c r="I40" i="42"/>
  <c r="O40" i="42"/>
  <c r="I38" i="43"/>
  <c r="O38" i="43"/>
  <c r="L38" i="43"/>
  <c r="L42" i="60"/>
  <c r="O42" i="60"/>
  <c r="I42" i="60"/>
  <c r="O41" i="48"/>
  <c r="L41" i="48"/>
  <c r="I41" i="48"/>
  <c r="O42" i="43"/>
  <c r="I42" i="43"/>
  <c r="L42" i="43"/>
  <c r="L25" i="60"/>
  <c r="O25" i="60"/>
  <c r="I25" i="60"/>
  <c r="I63" i="31"/>
  <c r="O63" i="31"/>
  <c r="L63" i="31"/>
  <c r="BI48" i="29"/>
  <c r="O64" i="46"/>
  <c r="L64" i="46"/>
  <c r="I64" i="46"/>
  <c r="I40" i="43"/>
  <c r="O40" i="43"/>
  <c r="L40" i="43"/>
  <c r="O38" i="37"/>
  <c r="L38" i="37"/>
  <c r="I38" i="37"/>
  <c r="O26" i="37"/>
  <c r="L26" i="37"/>
  <c r="I26" i="37"/>
  <c r="P71" i="52"/>
  <c r="CM20" i="29" s="1"/>
  <c r="P71" i="37"/>
  <c r="BW20" i="29" s="1"/>
  <c r="P71" i="64"/>
  <c r="ER20" i="29" s="1"/>
  <c r="I42" i="34"/>
  <c r="O42" i="34"/>
  <c r="L42" i="34"/>
  <c r="L41" i="60"/>
  <c r="O41" i="60"/>
  <c r="I41" i="60"/>
  <c r="L62" i="60"/>
  <c r="O62" i="60"/>
  <c r="I62" i="60"/>
  <c r="I26" i="38"/>
  <c r="O26" i="38"/>
  <c r="L26" i="38"/>
  <c r="I42" i="48"/>
  <c r="L42" i="48"/>
  <c r="O42" i="48"/>
  <c r="O63" i="37"/>
  <c r="I63" i="37"/>
  <c r="L63" i="37"/>
  <c r="O37" i="40"/>
  <c r="L37" i="40"/>
  <c r="I37" i="40"/>
  <c r="L25" i="59"/>
  <c r="I25" i="59"/>
  <c r="O25" i="59"/>
  <c r="L62" i="57"/>
  <c r="O62" i="57"/>
  <c r="I62" i="57"/>
  <c r="M60" i="33"/>
  <c r="AK16" i="29" s="1"/>
  <c r="O62" i="42"/>
  <c r="I62" i="42"/>
  <c r="L62" i="42"/>
  <c r="L26" i="50"/>
  <c r="I26" i="50"/>
  <c r="O26" i="50"/>
  <c r="O38" i="35"/>
  <c r="L38" i="35"/>
  <c r="I38" i="35"/>
  <c r="L36" i="56"/>
  <c r="I36" i="56"/>
  <c r="O36" i="56"/>
  <c r="M60" i="43"/>
  <c r="AX16" i="29" s="1"/>
  <c r="L25" i="41"/>
  <c r="I25" i="41"/>
  <c r="O25" i="41"/>
  <c r="O36" i="51"/>
  <c r="L36" i="51"/>
  <c r="I36" i="51"/>
  <c r="L38" i="53"/>
  <c r="O38" i="53"/>
  <c r="I38" i="53"/>
  <c r="O41" i="52"/>
  <c r="I41" i="52"/>
  <c r="L41" i="52"/>
  <c r="L64" i="91"/>
  <c r="I64" i="91"/>
  <c r="O64" i="91"/>
  <c r="O36" i="44"/>
  <c r="L36" i="44"/>
  <c r="I36" i="44"/>
  <c r="I62" i="54"/>
  <c r="L62" i="54"/>
  <c r="O62" i="54"/>
  <c r="L42" i="59"/>
  <c r="O42" i="59"/>
  <c r="I42" i="59"/>
  <c r="O39" i="50"/>
  <c r="I39" i="50"/>
  <c r="L39" i="50"/>
  <c r="I64" i="90"/>
  <c r="L64" i="90"/>
  <c r="O64" i="90"/>
  <c r="L36" i="61"/>
  <c r="O36" i="61"/>
  <c r="I36" i="61"/>
  <c r="L62" i="49"/>
  <c r="O62" i="49"/>
  <c r="I62" i="49"/>
  <c r="O41" i="47"/>
  <c r="L41" i="47"/>
  <c r="I41" i="47"/>
  <c r="O25" i="42"/>
  <c r="I25" i="42"/>
  <c r="L25" i="42"/>
  <c r="L63" i="88"/>
  <c r="I63" i="88"/>
  <c r="O63" i="88"/>
  <c r="L38" i="38"/>
  <c r="I38" i="38"/>
  <c r="O38" i="38"/>
  <c r="O40" i="58"/>
  <c r="L40" i="58"/>
  <c r="I40" i="58"/>
  <c r="O39" i="54"/>
  <c r="I39" i="54"/>
  <c r="L39" i="54"/>
  <c r="O62" i="59"/>
  <c r="I62" i="59"/>
  <c r="L62" i="59"/>
  <c r="O42" i="57"/>
  <c r="I42" i="57"/>
  <c r="L42" i="57"/>
  <c r="CO48" i="29"/>
  <c r="L33" i="31"/>
  <c r="I33" i="31"/>
  <c r="O33" i="31"/>
  <c r="I33" i="56"/>
  <c r="L33" i="56"/>
  <c r="O33" i="56"/>
  <c r="L33" i="48"/>
  <c r="I33" i="48"/>
  <c r="O33" i="48"/>
  <c r="O33" i="54"/>
  <c r="L33" i="54"/>
  <c r="I33" i="54"/>
  <c r="L36" i="55"/>
  <c r="O36" i="55"/>
  <c r="I36" i="55"/>
  <c r="J71" i="77"/>
  <c r="DG20" i="29" s="1"/>
  <c r="M71" i="65"/>
  <c r="DX20" i="29" s="1"/>
  <c r="I63" i="47"/>
  <c r="L63" i="47"/>
  <c r="O63" i="47"/>
  <c r="M71" i="81"/>
  <c r="EH20" i="29" s="1"/>
  <c r="I39" i="36"/>
  <c r="O39" i="36"/>
  <c r="L39" i="36"/>
  <c r="L41" i="42"/>
  <c r="I41" i="42"/>
  <c r="O41" i="42"/>
  <c r="G47" i="48"/>
  <c r="L36" i="41"/>
  <c r="O36" i="41"/>
  <c r="I36" i="41"/>
  <c r="L36" i="31"/>
  <c r="O36" i="31"/>
  <c r="L26" i="59"/>
  <c r="I26" i="59"/>
  <c r="O26" i="59"/>
  <c r="L64" i="57"/>
  <c r="I64" i="57"/>
  <c r="O64" i="57"/>
  <c r="O64" i="42"/>
  <c r="L64" i="42"/>
  <c r="I64" i="42"/>
  <c r="O25" i="51"/>
  <c r="L25" i="51"/>
  <c r="I25" i="51"/>
  <c r="I42" i="35"/>
  <c r="O42" i="35"/>
  <c r="L42" i="35"/>
  <c r="I42" i="56"/>
  <c r="L42" i="56"/>
  <c r="O42" i="56"/>
  <c r="I26" i="41"/>
  <c r="O26" i="41"/>
  <c r="L26" i="41"/>
  <c r="I37" i="51"/>
  <c r="O37" i="51"/>
  <c r="L37" i="51"/>
  <c r="O37" i="52"/>
  <c r="L37" i="52"/>
  <c r="I37" i="52"/>
  <c r="I62" i="91"/>
  <c r="L62" i="91"/>
  <c r="O62" i="91"/>
  <c r="L37" i="44"/>
  <c r="O37" i="44"/>
  <c r="I37" i="44"/>
  <c r="L63" i="54"/>
  <c r="I63" i="54"/>
  <c r="O63" i="54"/>
  <c r="L41" i="59"/>
  <c r="O41" i="59"/>
  <c r="I41" i="59"/>
  <c r="O38" i="50"/>
  <c r="I38" i="50"/>
  <c r="L38" i="50"/>
  <c r="O62" i="90"/>
  <c r="I62" i="90"/>
  <c r="L62" i="90"/>
  <c r="L37" i="61"/>
  <c r="O37" i="61"/>
  <c r="I37" i="61"/>
  <c r="O64" i="49"/>
  <c r="L64" i="49"/>
  <c r="I64" i="49"/>
  <c r="I62" i="55"/>
  <c r="L62" i="55"/>
  <c r="O62" i="55"/>
  <c r="L40" i="47"/>
  <c r="O40" i="47"/>
  <c r="I40" i="47"/>
  <c r="CL48" i="29"/>
  <c r="I62" i="56"/>
  <c r="L62" i="56"/>
  <c r="O62" i="56"/>
  <c r="I62" i="40"/>
  <c r="L62" i="40"/>
  <c r="O62" i="40"/>
  <c r="O36" i="39"/>
  <c r="I36" i="39"/>
  <c r="L36" i="39"/>
  <c r="O64" i="88"/>
  <c r="L64" i="88"/>
  <c r="I64" i="88"/>
  <c r="O62" i="35"/>
  <c r="L62" i="35"/>
  <c r="I62" i="35"/>
  <c r="O63" i="59"/>
  <c r="L63" i="59"/>
  <c r="I63" i="59"/>
  <c r="I39" i="57"/>
  <c r="L39" i="57"/>
  <c r="O39" i="57"/>
  <c r="L62" i="53"/>
  <c r="I62" i="53"/>
  <c r="O62" i="53"/>
  <c r="W24" i="30"/>
  <c r="X24" i="30"/>
  <c r="O33" i="34"/>
  <c r="L33" i="34"/>
  <c r="I33" i="34"/>
  <c r="O33" i="37"/>
  <c r="I33" i="37"/>
  <c r="L33" i="37"/>
  <c r="L33" i="49"/>
  <c r="O33" i="49"/>
  <c r="I33" i="49"/>
  <c r="L33" i="33"/>
  <c r="I33" i="33"/>
  <c r="O33" i="33"/>
  <c r="I37" i="55"/>
  <c r="L37" i="55"/>
  <c r="O37" i="55"/>
  <c r="I40" i="36"/>
  <c r="L40" i="36"/>
  <c r="O40" i="36"/>
  <c r="L42" i="42"/>
  <c r="I42" i="42"/>
  <c r="O42" i="42"/>
  <c r="I41" i="41"/>
  <c r="L41" i="41"/>
  <c r="O41" i="41"/>
  <c r="L36" i="46"/>
  <c r="O36" i="46"/>
  <c r="L39" i="43"/>
  <c r="I39" i="43"/>
  <c r="O39" i="43"/>
  <c r="I41" i="37"/>
  <c r="O41" i="37"/>
  <c r="L41" i="37"/>
  <c r="O25" i="35"/>
  <c r="I25" i="35"/>
  <c r="L25" i="35"/>
  <c r="I37" i="31"/>
  <c r="L37" i="31"/>
  <c r="O37" i="31"/>
  <c r="I37" i="34"/>
  <c r="L37" i="34"/>
  <c r="O37" i="34"/>
  <c r="J71" i="74"/>
  <c r="DD20" i="29" s="1"/>
  <c r="O40" i="60"/>
  <c r="I40" i="60"/>
  <c r="L40" i="60"/>
  <c r="L64" i="60"/>
  <c r="I64" i="60"/>
  <c r="O64" i="60"/>
  <c r="O26" i="53"/>
  <c r="L26" i="53"/>
  <c r="I26" i="53"/>
  <c r="J23" i="43"/>
  <c r="R12" i="29" s="1"/>
  <c r="I42" i="45"/>
  <c r="L42" i="45"/>
  <c r="O42" i="45"/>
  <c r="I62" i="31"/>
  <c r="O62" i="31"/>
  <c r="L62" i="31"/>
  <c r="I37" i="48"/>
  <c r="O37" i="48"/>
  <c r="L37" i="48"/>
  <c r="L62" i="41"/>
  <c r="O62" i="41"/>
  <c r="I62" i="41"/>
  <c r="I41" i="40"/>
  <c r="L41" i="40"/>
  <c r="O41" i="40"/>
  <c r="O63" i="57"/>
  <c r="L63" i="57"/>
  <c r="I63" i="57"/>
  <c r="L40" i="46"/>
  <c r="I40" i="46"/>
  <c r="O40" i="46"/>
  <c r="L63" i="42"/>
  <c r="I63" i="42"/>
  <c r="O63" i="42"/>
  <c r="M71" i="45"/>
  <c r="AY20" i="29" s="1"/>
  <c r="L26" i="51"/>
  <c r="O26" i="51"/>
  <c r="I26" i="51"/>
  <c r="I41" i="35"/>
  <c r="O41" i="35"/>
  <c r="L41" i="35"/>
  <c r="O40" i="56"/>
  <c r="I40" i="56"/>
  <c r="L40" i="56"/>
  <c r="J71" i="86"/>
  <c r="DP20" i="29" s="1"/>
  <c r="O42" i="51"/>
  <c r="L42" i="51"/>
  <c r="I42" i="51"/>
  <c r="I36" i="53"/>
  <c r="L36" i="53"/>
  <c r="O36" i="53"/>
  <c r="I63" i="91"/>
  <c r="O63" i="91"/>
  <c r="L63" i="91"/>
  <c r="L42" i="44"/>
  <c r="O42" i="44"/>
  <c r="I42" i="44"/>
  <c r="L64" i="54"/>
  <c r="I64" i="54"/>
  <c r="O64" i="54"/>
  <c r="I62" i="39"/>
  <c r="O62" i="39"/>
  <c r="L62" i="39"/>
  <c r="O40" i="50"/>
  <c r="I40" i="50"/>
  <c r="L40" i="50"/>
  <c r="I25" i="45"/>
  <c r="O25" i="45"/>
  <c r="L25" i="45"/>
  <c r="I40" i="61"/>
  <c r="O40" i="61"/>
  <c r="L40" i="61"/>
  <c r="O63" i="49"/>
  <c r="I63" i="49"/>
  <c r="L63" i="49"/>
  <c r="L63" i="55"/>
  <c r="O63" i="55"/>
  <c r="I63" i="55"/>
  <c r="L42" i="47"/>
  <c r="O42" i="47"/>
  <c r="I42" i="47"/>
  <c r="O63" i="56"/>
  <c r="I63" i="56"/>
  <c r="L63" i="56"/>
  <c r="I63" i="40"/>
  <c r="L63" i="40"/>
  <c r="O63" i="40"/>
  <c r="L37" i="39"/>
  <c r="I37" i="39"/>
  <c r="O37" i="39"/>
  <c r="O36" i="38"/>
  <c r="I36" i="38"/>
  <c r="L36" i="38"/>
  <c r="I36" i="58"/>
  <c r="O36" i="58"/>
  <c r="L36" i="58"/>
  <c r="L63" i="35"/>
  <c r="I63" i="35"/>
  <c r="O63" i="35"/>
  <c r="I36" i="54"/>
  <c r="L36" i="54"/>
  <c r="O36" i="54"/>
  <c r="J71" i="44"/>
  <c r="Q20" i="29" s="1"/>
  <c r="L64" i="59"/>
  <c r="I64" i="59"/>
  <c r="O64" i="59"/>
  <c r="O41" i="57"/>
  <c r="I41" i="57"/>
  <c r="L41" i="57"/>
  <c r="O63" i="53"/>
  <c r="I63" i="53"/>
  <c r="L63" i="53"/>
  <c r="O62" i="50"/>
  <c r="L62" i="50"/>
  <c r="I62" i="50"/>
  <c r="O33" i="36"/>
  <c r="I33" i="36"/>
  <c r="L33" i="36"/>
  <c r="L33" i="41"/>
  <c r="I33" i="41"/>
  <c r="O33" i="41"/>
  <c r="L33" i="52"/>
  <c r="I33" i="52"/>
  <c r="O33" i="52"/>
  <c r="L33" i="55"/>
  <c r="I33" i="55"/>
  <c r="O33" i="55"/>
  <c r="I41" i="55"/>
  <c r="O41" i="55"/>
  <c r="L41" i="55"/>
  <c r="M71" i="72"/>
  <c r="DZ20" i="29" s="1"/>
  <c r="L26" i="58"/>
  <c r="I26" i="58"/>
  <c r="O26" i="58"/>
  <c r="P71" i="55"/>
  <c r="CP20" i="29" s="1"/>
  <c r="L42" i="36"/>
  <c r="I42" i="36"/>
  <c r="O42" i="36"/>
  <c r="O39" i="42"/>
  <c r="L39" i="42"/>
  <c r="I39" i="42"/>
  <c r="L69" i="14"/>
  <c r="M69" i="14" s="1"/>
  <c r="O39" i="41"/>
  <c r="L39" i="41"/>
  <c r="I39" i="41"/>
  <c r="L64" i="41"/>
  <c r="O64" i="41"/>
  <c r="I64" i="41"/>
  <c r="L41" i="46"/>
  <c r="O41" i="46"/>
  <c r="I41" i="46"/>
  <c r="I62" i="58"/>
  <c r="L62" i="58"/>
  <c r="O62" i="58"/>
  <c r="L25" i="47"/>
  <c r="I25" i="47"/>
  <c r="O25" i="47"/>
  <c r="L26" i="52"/>
  <c r="O26" i="52"/>
  <c r="I26" i="52"/>
  <c r="I38" i="56"/>
  <c r="O38" i="56"/>
  <c r="L38" i="56"/>
  <c r="O38" i="51"/>
  <c r="I38" i="51"/>
  <c r="L38" i="51"/>
  <c r="I40" i="53"/>
  <c r="L40" i="53"/>
  <c r="O40" i="53"/>
  <c r="L36" i="52"/>
  <c r="O36" i="52"/>
  <c r="I36" i="52"/>
  <c r="I40" i="44"/>
  <c r="O40" i="44"/>
  <c r="L40" i="44"/>
  <c r="I36" i="59"/>
  <c r="O36" i="59"/>
  <c r="L36" i="59"/>
  <c r="L64" i="39"/>
  <c r="I64" i="39"/>
  <c r="O64" i="39"/>
  <c r="O42" i="50"/>
  <c r="L42" i="50"/>
  <c r="I42" i="50"/>
  <c r="O62" i="38"/>
  <c r="L62" i="38"/>
  <c r="I62" i="38"/>
  <c r="I26" i="45"/>
  <c r="O26" i="45"/>
  <c r="L26" i="45"/>
  <c r="L38" i="61"/>
  <c r="O38" i="61"/>
  <c r="I38" i="61"/>
  <c r="L64" i="55"/>
  <c r="O64" i="55"/>
  <c r="I64" i="55"/>
  <c r="O64" i="56"/>
  <c r="L64" i="56"/>
  <c r="I64" i="56"/>
  <c r="L64" i="40"/>
  <c r="I64" i="40"/>
  <c r="O64" i="40"/>
  <c r="I41" i="39"/>
  <c r="O41" i="39"/>
  <c r="L41" i="39"/>
  <c r="O40" i="38"/>
  <c r="L40" i="38"/>
  <c r="I40" i="38"/>
  <c r="O37" i="58"/>
  <c r="I37" i="58"/>
  <c r="L37" i="58"/>
  <c r="L64" i="35"/>
  <c r="I64" i="35"/>
  <c r="O64" i="35"/>
  <c r="L40" i="54"/>
  <c r="I40" i="54"/>
  <c r="O40" i="54"/>
  <c r="Z48" i="29"/>
  <c r="O25" i="54"/>
  <c r="I25" i="54"/>
  <c r="L25" i="54"/>
  <c r="I37" i="57"/>
  <c r="L37" i="57"/>
  <c r="O37" i="57"/>
  <c r="O64" i="53"/>
  <c r="I64" i="53"/>
  <c r="L64" i="53"/>
  <c r="O63" i="50"/>
  <c r="I63" i="50"/>
  <c r="L63" i="50"/>
  <c r="O33" i="45"/>
  <c r="L33" i="45"/>
  <c r="I33" i="45"/>
  <c r="I33" i="42"/>
  <c r="L33" i="42"/>
  <c r="O33" i="42"/>
  <c r="O33" i="58"/>
  <c r="I33" i="58"/>
  <c r="L33" i="58"/>
  <c r="I33" i="57"/>
  <c r="L33" i="57"/>
  <c r="O33" i="57"/>
  <c r="L38" i="55"/>
  <c r="O38" i="55"/>
  <c r="I38" i="55"/>
  <c r="O25" i="58"/>
  <c r="I25" i="58"/>
  <c r="L25" i="58"/>
  <c r="J71" i="55"/>
  <c r="AD20" i="29" s="1"/>
  <c r="P71" i="80"/>
  <c r="FD20" i="29" s="1"/>
  <c r="O37" i="42"/>
  <c r="L37" i="42"/>
  <c r="I37" i="42"/>
  <c r="L42" i="41"/>
  <c r="O42" i="41"/>
  <c r="I42" i="41"/>
  <c r="L37" i="37"/>
  <c r="I37" i="37"/>
  <c r="O37" i="37"/>
  <c r="O38" i="31"/>
  <c r="L38" i="31"/>
  <c r="I38" i="31"/>
  <c r="O25" i="55"/>
  <c r="I25" i="55"/>
  <c r="L25" i="55"/>
  <c r="I40" i="45"/>
  <c r="O40" i="45"/>
  <c r="L40" i="45"/>
  <c r="O37" i="43"/>
  <c r="I37" i="43"/>
  <c r="L37" i="43"/>
  <c r="I26" i="60"/>
  <c r="L26" i="60"/>
  <c r="O26" i="60"/>
  <c r="L39" i="45"/>
  <c r="I39" i="45"/>
  <c r="O39" i="45"/>
  <c r="I64" i="31"/>
  <c r="L64" i="31"/>
  <c r="O64" i="31"/>
  <c r="I63" i="41"/>
  <c r="L63" i="41"/>
  <c r="O63" i="41"/>
  <c r="O25" i="48"/>
  <c r="I25" i="48"/>
  <c r="L25" i="48"/>
  <c r="O38" i="46"/>
  <c r="I38" i="46"/>
  <c r="L38" i="46"/>
  <c r="L63" i="58"/>
  <c r="I63" i="58"/>
  <c r="O63" i="58"/>
  <c r="O26" i="47"/>
  <c r="I26" i="47"/>
  <c r="L26" i="47"/>
  <c r="I36" i="35"/>
  <c r="L36" i="35"/>
  <c r="O36" i="35"/>
  <c r="L25" i="52"/>
  <c r="I25" i="52"/>
  <c r="O25" i="52"/>
  <c r="L37" i="56"/>
  <c r="I37" i="56"/>
  <c r="O37" i="56"/>
  <c r="I41" i="51"/>
  <c r="O41" i="51"/>
  <c r="L41" i="51"/>
  <c r="L41" i="53"/>
  <c r="I41" i="53"/>
  <c r="O41" i="53"/>
  <c r="L39" i="52"/>
  <c r="O39" i="52"/>
  <c r="I39" i="52"/>
  <c r="I41" i="44"/>
  <c r="L41" i="44"/>
  <c r="O41" i="44"/>
  <c r="O39" i="59"/>
  <c r="I39" i="59"/>
  <c r="L39" i="59"/>
  <c r="O63" i="39"/>
  <c r="L63" i="39"/>
  <c r="I63" i="39"/>
  <c r="O63" i="38"/>
  <c r="I63" i="38"/>
  <c r="L63" i="38"/>
  <c r="L25" i="56"/>
  <c r="O25" i="56"/>
  <c r="I25" i="56"/>
  <c r="J71" i="66"/>
  <c r="CY20" i="29" s="1"/>
  <c r="O62" i="34"/>
  <c r="L62" i="34"/>
  <c r="I62" i="34"/>
  <c r="L41" i="61"/>
  <c r="O41" i="61"/>
  <c r="I41" i="61"/>
  <c r="L62" i="61"/>
  <c r="I62" i="61"/>
  <c r="O62" i="61"/>
  <c r="O25" i="61"/>
  <c r="I25" i="61"/>
  <c r="L25" i="61"/>
  <c r="I36" i="47"/>
  <c r="O36" i="47"/>
  <c r="L36" i="47"/>
  <c r="I42" i="39"/>
  <c r="L42" i="39"/>
  <c r="O42" i="39"/>
  <c r="I42" i="38"/>
  <c r="L42" i="38"/>
  <c r="O42" i="38"/>
  <c r="I41" i="58"/>
  <c r="O41" i="58"/>
  <c r="L41" i="58"/>
  <c r="J71" i="53"/>
  <c r="AB20" i="29" s="1"/>
  <c r="L41" i="54"/>
  <c r="I41" i="54"/>
  <c r="O41" i="54"/>
  <c r="P71" i="58"/>
  <c r="BS20" i="29" s="1"/>
  <c r="M71" i="44"/>
  <c r="AW20" i="29" s="1"/>
  <c r="O26" i="54"/>
  <c r="I26" i="54"/>
  <c r="L26" i="54"/>
  <c r="L38" i="57"/>
  <c r="O38" i="57"/>
  <c r="I38" i="57"/>
  <c r="L62" i="36"/>
  <c r="O62" i="36"/>
  <c r="I62" i="36"/>
  <c r="L64" i="50"/>
  <c r="O64" i="50"/>
  <c r="I64" i="50"/>
  <c r="I33" i="44"/>
  <c r="L33" i="44"/>
  <c r="O33" i="44"/>
  <c r="L33" i="38"/>
  <c r="O33" i="38"/>
  <c r="I33" i="38"/>
  <c r="L33" i="47"/>
  <c r="I33" i="47"/>
  <c r="O33" i="47"/>
  <c r="L33" i="53"/>
  <c r="O33" i="53"/>
  <c r="I33" i="53"/>
  <c r="L42" i="55"/>
  <c r="I42" i="55"/>
  <c r="O42" i="55"/>
  <c r="O25" i="46"/>
  <c r="L25" i="46"/>
  <c r="I25" i="46"/>
  <c r="J71" i="48"/>
  <c r="W20" i="29" s="1"/>
  <c r="P71" i="56"/>
  <c r="CQ20" i="29" s="1"/>
  <c r="M71" i="80"/>
  <c r="EG20" i="29" s="1"/>
  <c r="O36" i="36"/>
  <c r="I36" i="36"/>
  <c r="L36" i="36"/>
  <c r="L40" i="41"/>
  <c r="O40" i="41"/>
  <c r="I40" i="41"/>
  <c r="I40" i="37"/>
  <c r="L40" i="37"/>
  <c r="O40" i="37"/>
  <c r="O36" i="45"/>
  <c r="L36" i="45"/>
  <c r="L42" i="40"/>
  <c r="O42" i="40"/>
  <c r="I42" i="40"/>
  <c r="I26" i="35"/>
  <c r="L26" i="35"/>
  <c r="O26" i="35"/>
  <c r="M34" i="33"/>
  <c r="AK14" i="29" s="1"/>
  <c r="L41" i="31"/>
  <c r="I41" i="31"/>
  <c r="O41" i="31"/>
  <c r="L26" i="55"/>
  <c r="O26" i="55"/>
  <c r="I26" i="55"/>
  <c r="I39" i="60"/>
  <c r="L39" i="60"/>
  <c r="O39" i="60"/>
  <c r="P71" i="79"/>
  <c r="FC20" i="29" s="1"/>
  <c r="I41" i="43"/>
  <c r="O41" i="43"/>
  <c r="L41" i="43"/>
  <c r="O25" i="33"/>
  <c r="I25" i="33"/>
  <c r="L25" i="33"/>
  <c r="I42" i="31"/>
  <c r="L42" i="31"/>
  <c r="O42" i="31"/>
  <c r="O64" i="44"/>
  <c r="L64" i="44"/>
  <c r="I64" i="44"/>
  <c r="J71" i="50"/>
  <c r="Y20" i="29" s="1"/>
  <c r="O38" i="34"/>
  <c r="I38" i="34"/>
  <c r="L38" i="34"/>
  <c r="J71" i="83"/>
  <c r="DL20" i="29" s="1"/>
  <c r="M71" i="31"/>
  <c r="AJ20" i="29" s="1"/>
  <c r="L25" i="31"/>
  <c r="I25" i="31"/>
  <c r="O25" i="31"/>
  <c r="P71" i="43"/>
  <c r="CD20" i="29" s="1"/>
  <c r="O38" i="45"/>
  <c r="I38" i="45"/>
  <c r="L38" i="45"/>
  <c r="O36" i="48"/>
  <c r="L36" i="48"/>
  <c r="I36" i="48"/>
  <c r="P71" i="91"/>
  <c r="J71" i="75"/>
  <c r="DE20" i="29" s="1"/>
  <c r="M71" i="54"/>
  <c r="BI20" i="29" s="1"/>
  <c r="I26" i="48"/>
  <c r="O26" i="48"/>
  <c r="L26" i="48"/>
  <c r="M71" i="76"/>
  <c r="EC20" i="29" s="1"/>
  <c r="I37" i="46"/>
  <c r="L37" i="46"/>
  <c r="O37" i="46"/>
  <c r="O64" i="58"/>
  <c r="I64" i="58"/>
  <c r="L64" i="58"/>
  <c r="L37" i="35"/>
  <c r="O37" i="35"/>
  <c r="I37" i="35"/>
  <c r="I41" i="56"/>
  <c r="L41" i="56"/>
  <c r="O41" i="56"/>
  <c r="L62" i="45"/>
  <c r="I62" i="45"/>
  <c r="O62" i="45"/>
  <c r="I40" i="51"/>
  <c r="O40" i="51"/>
  <c r="L40" i="51"/>
  <c r="L39" i="53"/>
  <c r="I39" i="53"/>
  <c r="O39" i="53"/>
  <c r="L40" i="52"/>
  <c r="I40" i="52"/>
  <c r="O40" i="52"/>
  <c r="M71" i="38"/>
  <c r="AR20" i="29" s="1"/>
  <c r="I38" i="44"/>
  <c r="L38" i="44"/>
  <c r="O38" i="44"/>
  <c r="L40" i="59"/>
  <c r="O40" i="59"/>
  <c r="I40" i="59"/>
  <c r="I36" i="50"/>
  <c r="L36" i="50"/>
  <c r="O36" i="50"/>
  <c r="M71" i="73"/>
  <c r="DY20" i="29" s="1"/>
  <c r="I64" i="38"/>
  <c r="O64" i="38"/>
  <c r="L64" i="38"/>
  <c r="O26" i="56"/>
  <c r="L26" i="56"/>
  <c r="I26" i="56"/>
  <c r="J71" i="41"/>
  <c r="O20" i="29" s="1"/>
  <c r="P71" i="66"/>
  <c r="ES20" i="29" s="1"/>
  <c r="L64" i="34"/>
  <c r="I64" i="34"/>
  <c r="O64" i="34"/>
  <c r="I39" i="61"/>
  <c r="O39" i="61"/>
  <c r="L39" i="61"/>
  <c r="L63" i="61"/>
  <c r="O63" i="61"/>
  <c r="I63" i="61"/>
  <c r="M71" i="78"/>
  <c r="EE20" i="29" s="1"/>
  <c r="J71" i="35"/>
  <c r="I20" i="29" s="1"/>
  <c r="I26" i="61"/>
  <c r="O26" i="61"/>
  <c r="L26" i="61"/>
  <c r="J71" i="89"/>
  <c r="I37" i="47"/>
  <c r="L37" i="47"/>
  <c r="O37" i="47"/>
  <c r="O38" i="39"/>
  <c r="I38" i="39"/>
  <c r="L38" i="39"/>
  <c r="O41" i="38"/>
  <c r="I41" i="38"/>
  <c r="L41" i="38"/>
  <c r="I39" i="58"/>
  <c r="L39" i="58"/>
  <c r="O39" i="58"/>
  <c r="P71" i="53"/>
  <c r="CN20" i="29" s="1"/>
  <c r="L42" i="54"/>
  <c r="I42" i="54"/>
  <c r="O42" i="54"/>
  <c r="J71" i="58"/>
  <c r="G20" i="29" s="1"/>
  <c r="I25" i="36"/>
  <c r="O25" i="36"/>
  <c r="L25" i="36"/>
  <c r="L40" i="57"/>
  <c r="O40" i="57"/>
  <c r="I40" i="57"/>
  <c r="I63" i="36"/>
  <c r="O63" i="36"/>
  <c r="L63" i="36"/>
  <c r="O33" i="39"/>
  <c r="I33" i="39"/>
  <c r="L33" i="39"/>
  <c r="L33" i="61"/>
  <c r="I33" i="61"/>
  <c r="O33" i="61"/>
  <c r="L33" i="43"/>
  <c r="I33" i="43"/>
  <c r="O33" i="43"/>
  <c r="L40" i="55"/>
  <c r="I40" i="55"/>
  <c r="O40" i="55"/>
  <c r="I62" i="52"/>
  <c r="L62" i="52"/>
  <c r="O62" i="52"/>
  <c r="M71" i="85"/>
  <c r="EK20" i="29" s="1"/>
  <c r="L26" i="46"/>
  <c r="I26" i="46"/>
  <c r="O26" i="46"/>
  <c r="P71" i="48"/>
  <c r="CI20" i="29" s="1"/>
  <c r="M71" i="56"/>
  <c r="BK20" i="29" s="1"/>
  <c r="O38" i="36"/>
  <c r="L38" i="36"/>
  <c r="I38" i="36"/>
  <c r="L37" i="41"/>
  <c r="O37" i="41"/>
  <c r="I37" i="41"/>
  <c r="J60" i="90" l="1"/>
  <c r="DS16" i="29" s="1"/>
  <c r="P60" i="90"/>
  <c r="FM16" i="29" s="1"/>
  <c r="M60" i="90"/>
  <c r="EP16" i="29" s="1"/>
  <c r="P57" i="82"/>
  <c r="M57" i="82"/>
  <c r="P60" i="91"/>
  <c r="FL16" i="29" s="1"/>
  <c r="J60" i="91"/>
  <c r="DR16" i="29" s="1"/>
  <c r="M60" i="91"/>
  <c r="EO16" i="29" s="1"/>
  <c r="DK20" i="29"/>
  <c r="R26" i="30"/>
  <c r="P26" i="30"/>
  <c r="P23" i="36"/>
  <c r="BV12" i="29" s="1"/>
  <c r="J26" i="30"/>
  <c r="J60" i="45"/>
  <c r="S16" i="29" s="1"/>
  <c r="P23" i="58"/>
  <c r="BS12" i="29" s="1"/>
  <c r="J23" i="31"/>
  <c r="D12" i="29" s="1"/>
  <c r="M23" i="33"/>
  <c r="AK12" i="29" s="1"/>
  <c r="P60" i="52"/>
  <c r="CM16" i="29" s="1"/>
  <c r="M23" i="36"/>
  <c r="AP12" i="29" s="1"/>
  <c r="L26" i="30"/>
  <c r="P23" i="42"/>
  <c r="CB12" i="29" s="1"/>
  <c r="P23" i="49"/>
  <c r="CJ12" i="29" s="1"/>
  <c r="J23" i="58"/>
  <c r="G12" i="29" s="1"/>
  <c r="P34" i="50"/>
  <c r="CK14" i="29" s="1"/>
  <c r="P23" i="33"/>
  <c r="BQ12" i="29" s="1"/>
  <c r="P60" i="45"/>
  <c r="CE16" i="29" s="1"/>
  <c r="M60" i="52"/>
  <c r="BG16" i="29" s="1"/>
  <c r="J23" i="49"/>
  <c r="X12" i="29" s="1"/>
  <c r="M23" i="58"/>
  <c r="AM12" i="29" s="1"/>
  <c r="M23" i="42"/>
  <c r="AV12" i="29" s="1"/>
  <c r="M23" i="49"/>
  <c r="BD12" i="29" s="1"/>
  <c r="J60" i="52"/>
  <c r="AA16" i="29" s="1"/>
  <c r="J23" i="36"/>
  <c r="J12" i="29" s="1"/>
  <c r="J34" i="48"/>
  <c r="W14" i="29" s="1"/>
  <c r="M23" i="50"/>
  <c r="BE12" i="29" s="1"/>
  <c r="J23" i="52"/>
  <c r="AA12" i="29" s="1"/>
  <c r="M34" i="50"/>
  <c r="BE14" i="29" s="1"/>
  <c r="J34" i="50"/>
  <c r="Y14" i="29" s="1"/>
  <c r="P34" i="48"/>
  <c r="CI14" i="29" s="1"/>
  <c r="M23" i="31"/>
  <c r="AJ12" i="29" s="1"/>
  <c r="P34" i="45"/>
  <c r="CE14" i="29" s="1"/>
  <c r="M60" i="45"/>
  <c r="AY16" i="29" s="1"/>
  <c r="J23" i="33"/>
  <c r="E12" i="29" s="1"/>
  <c r="J34" i="45"/>
  <c r="S14" i="29" s="1"/>
  <c r="M23" i="48"/>
  <c r="BC12" i="29" s="1"/>
  <c r="P23" i="47"/>
  <c r="CH12" i="29" s="1"/>
  <c r="P23" i="37"/>
  <c r="BW12" i="29" s="1"/>
  <c r="M23" i="37"/>
  <c r="AQ12" i="29" s="1"/>
  <c r="P23" i="39"/>
  <c r="BY12" i="29" s="1"/>
  <c r="P23" i="31"/>
  <c r="BP12" i="29" s="1"/>
  <c r="FM20" i="29"/>
  <c r="J23" i="42"/>
  <c r="P12" i="29" s="1"/>
  <c r="M34" i="48"/>
  <c r="BC14" i="29" s="1"/>
  <c r="FL20" i="29"/>
  <c r="J60" i="34"/>
  <c r="H16" i="29" s="1"/>
  <c r="J23" i="56"/>
  <c r="P23" i="55"/>
  <c r="J23" i="54"/>
  <c r="J23" i="47"/>
  <c r="P34" i="54"/>
  <c r="CO14" i="29" s="1"/>
  <c r="J34" i="58"/>
  <c r="G14" i="29" s="1"/>
  <c r="J60" i="39"/>
  <c r="M16" i="29" s="1"/>
  <c r="M34" i="39"/>
  <c r="AS14" i="29" s="1"/>
  <c r="M23" i="51"/>
  <c r="P34" i="55"/>
  <c r="CP14" i="29" s="1"/>
  <c r="J60" i="54"/>
  <c r="AC16" i="29" s="1"/>
  <c r="M23" i="41"/>
  <c r="J23" i="59"/>
  <c r="M23" i="60"/>
  <c r="M60" i="88"/>
  <c r="M23" i="38"/>
  <c r="P23" i="40"/>
  <c r="P23" i="34"/>
  <c r="M23" i="44"/>
  <c r="J23" i="57"/>
  <c r="M34" i="40"/>
  <c r="AT14" i="29" s="1"/>
  <c r="J60" i="46"/>
  <c r="T16" i="29" s="1"/>
  <c r="M60" i="34"/>
  <c r="AN16" i="29" s="1"/>
  <c r="P23" i="56"/>
  <c r="M23" i="52"/>
  <c r="P23" i="54"/>
  <c r="J60" i="38"/>
  <c r="L16" i="29" s="1"/>
  <c r="M23" i="47"/>
  <c r="M34" i="54"/>
  <c r="BI14" i="29" s="1"/>
  <c r="P34" i="53"/>
  <c r="CN14" i="29" s="1"/>
  <c r="P60" i="53"/>
  <c r="CN16" i="29" s="1"/>
  <c r="J34" i="39"/>
  <c r="M14" i="29" s="1"/>
  <c r="P60" i="40"/>
  <c r="BZ16" i="29" s="1"/>
  <c r="P23" i="51"/>
  <c r="M47" i="48"/>
  <c r="P47" i="48"/>
  <c r="J47" i="48"/>
  <c r="M34" i="55"/>
  <c r="BJ14" i="29" s="1"/>
  <c r="J60" i="49"/>
  <c r="X16" i="29" s="1"/>
  <c r="J34" i="44"/>
  <c r="Q14" i="29" s="1"/>
  <c r="J60" i="57"/>
  <c r="F16" i="29" s="1"/>
  <c r="M23" i="59"/>
  <c r="J23" i="38"/>
  <c r="P23" i="44"/>
  <c r="CC12" i="29" s="1"/>
  <c r="P60" i="37"/>
  <c r="BW16" i="29" s="1"/>
  <c r="J34" i="37"/>
  <c r="K14" i="29" s="1"/>
  <c r="P60" i="46"/>
  <c r="CF16" i="29" s="1"/>
  <c r="M60" i="44"/>
  <c r="AW16" i="29" s="1"/>
  <c r="P23" i="53"/>
  <c r="P60" i="61"/>
  <c r="CT16" i="29" s="1"/>
  <c r="P60" i="34"/>
  <c r="BT16" i="29" s="1"/>
  <c r="M23" i="56"/>
  <c r="P34" i="35"/>
  <c r="BU14" i="29" s="1"/>
  <c r="M60" i="38"/>
  <c r="AR16" i="29" s="1"/>
  <c r="M34" i="59"/>
  <c r="BA14" i="29" s="1"/>
  <c r="J34" i="54"/>
  <c r="AC14" i="29" s="1"/>
  <c r="M34" i="38"/>
  <c r="AR14" i="29" s="1"/>
  <c r="M34" i="53"/>
  <c r="BH14" i="29" s="1"/>
  <c r="M60" i="31"/>
  <c r="AJ16" i="29" s="1"/>
  <c r="J60" i="53"/>
  <c r="AB16" i="29" s="1"/>
  <c r="P34" i="39"/>
  <c r="BY14" i="29" s="1"/>
  <c r="M60" i="40"/>
  <c r="AT16" i="29" s="1"/>
  <c r="J34" i="41"/>
  <c r="O14" i="29" s="1"/>
  <c r="P60" i="49"/>
  <c r="CJ16" i="29" s="1"/>
  <c r="M34" i="44"/>
  <c r="AW14" i="29" s="1"/>
  <c r="P60" i="57"/>
  <c r="BR16" i="29" s="1"/>
  <c r="P23" i="38"/>
  <c r="J34" i="42"/>
  <c r="P14" i="29" s="1"/>
  <c r="J60" i="47"/>
  <c r="V16" i="29" s="1"/>
  <c r="J23" i="44"/>
  <c r="EO20" i="29"/>
  <c r="M60" i="37"/>
  <c r="AQ16" i="29" s="1"/>
  <c r="M34" i="37"/>
  <c r="AQ14" i="29" s="1"/>
  <c r="P60" i="44"/>
  <c r="CC16" i="29" s="1"/>
  <c r="M23" i="53"/>
  <c r="M34" i="45"/>
  <c r="AY14" i="29" s="1"/>
  <c r="J60" i="61"/>
  <c r="AH16" i="29" s="1"/>
  <c r="M34" i="35"/>
  <c r="AO14" i="29" s="1"/>
  <c r="P60" i="38"/>
  <c r="BX16" i="29" s="1"/>
  <c r="P34" i="59"/>
  <c r="CG14" i="29" s="1"/>
  <c r="J34" i="52"/>
  <c r="AA14" i="29" s="1"/>
  <c r="P60" i="58"/>
  <c r="BS16" i="29" s="1"/>
  <c r="J34" i="38"/>
  <c r="L14" i="29" s="1"/>
  <c r="J34" i="53"/>
  <c r="AB14" i="29" s="1"/>
  <c r="P60" i="31"/>
  <c r="BP16" i="29" s="1"/>
  <c r="M60" i="53"/>
  <c r="BH16" i="29" s="1"/>
  <c r="J60" i="35"/>
  <c r="I16" i="29" s="1"/>
  <c r="J60" i="40"/>
  <c r="N16" i="29" s="1"/>
  <c r="P34" i="41"/>
  <c r="CA14" i="29" s="1"/>
  <c r="M60" i="49"/>
  <c r="BD16" i="29" s="1"/>
  <c r="P34" i="44"/>
  <c r="CC14" i="29" s="1"/>
  <c r="J34" i="51"/>
  <c r="Z14" i="29" s="1"/>
  <c r="P34" i="56"/>
  <c r="CQ14" i="29" s="1"/>
  <c r="M60" i="57"/>
  <c r="AL16" i="29" s="1"/>
  <c r="J60" i="60"/>
  <c r="AG16" i="29" s="1"/>
  <c r="P34" i="57"/>
  <c r="BR14" i="29" s="1"/>
  <c r="J23" i="37"/>
  <c r="M34" i="43"/>
  <c r="AX14" i="29" s="1"/>
  <c r="P34" i="42"/>
  <c r="CB14" i="29" s="1"/>
  <c r="M60" i="47"/>
  <c r="BB16" i="29" s="1"/>
  <c r="M23" i="39"/>
  <c r="J60" i="37"/>
  <c r="K16" i="29" s="1"/>
  <c r="P34" i="37"/>
  <c r="BW14" i="29" s="1"/>
  <c r="J60" i="44"/>
  <c r="Q16" i="29" s="1"/>
  <c r="J23" i="53"/>
  <c r="E17" i="5"/>
  <c r="J23" i="46"/>
  <c r="M60" i="61"/>
  <c r="BN16" i="29" s="1"/>
  <c r="J34" i="35"/>
  <c r="I14" i="29" s="1"/>
  <c r="J34" i="59"/>
  <c r="U14" i="29" s="1"/>
  <c r="P34" i="52"/>
  <c r="CM14" i="29" s="1"/>
  <c r="M60" i="58"/>
  <c r="AM16" i="29" s="1"/>
  <c r="J60" i="50"/>
  <c r="Y16" i="29" s="1"/>
  <c r="P34" i="38"/>
  <c r="BX14" i="29" s="1"/>
  <c r="M23" i="45"/>
  <c r="J60" i="41"/>
  <c r="O16" i="29" s="1"/>
  <c r="J60" i="31"/>
  <c r="D16" i="29" s="1"/>
  <c r="M23" i="35"/>
  <c r="J34" i="46"/>
  <c r="T14" i="29" s="1"/>
  <c r="M60" i="35"/>
  <c r="AO16" i="29" s="1"/>
  <c r="P60" i="56"/>
  <c r="CQ16" i="29" s="1"/>
  <c r="P60" i="55"/>
  <c r="CP16" i="29" s="1"/>
  <c r="M34" i="41"/>
  <c r="AU14" i="29" s="1"/>
  <c r="M60" i="59"/>
  <c r="BA16" i="29" s="1"/>
  <c r="J34" i="61"/>
  <c r="AH14" i="29" s="1"/>
  <c r="M34" i="51"/>
  <c r="BF14" i="29" s="1"/>
  <c r="J34" i="56"/>
  <c r="AE14" i="29" s="1"/>
  <c r="P60" i="60"/>
  <c r="CS16" i="29" s="1"/>
  <c r="J34" i="57"/>
  <c r="F14" i="29" s="1"/>
  <c r="J34" i="43"/>
  <c r="R14" i="29" s="1"/>
  <c r="M34" i="42"/>
  <c r="AV14" i="29" s="1"/>
  <c r="P60" i="47"/>
  <c r="CH16" i="29" s="1"/>
  <c r="J23" i="39"/>
  <c r="M34" i="36"/>
  <c r="AP14" i="29" s="1"/>
  <c r="M23" i="46"/>
  <c r="J60" i="36"/>
  <c r="J16" i="29" s="1"/>
  <c r="M34" i="47"/>
  <c r="BB14" i="29" s="1"/>
  <c r="M23" i="61"/>
  <c r="T26" i="30"/>
  <c r="M34" i="52"/>
  <c r="BG14" i="29" s="1"/>
  <c r="J60" i="58"/>
  <c r="G16" i="29" s="1"/>
  <c r="M60" i="50"/>
  <c r="BE16" i="29" s="1"/>
  <c r="P23" i="45"/>
  <c r="P60" i="41"/>
  <c r="CA16" i="29" s="1"/>
  <c r="J23" i="35"/>
  <c r="P34" i="46"/>
  <c r="CF14" i="29" s="1"/>
  <c r="P60" i="35"/>
  <c r="BU16" i="29" s="1"/>
  <c r="M60" i="56"/>
  <c r="BK16" i="29" s="1"/>
  <c r="M60" i="55"/>
  <c r="BJ16" i="29" s="1"/>
  <c r="P34" i="31"/>
  <c r="BP14" i="29" s="1"/>
  <c r="J60" i="59"/>
  <c r="U16" i="29" s="1"/>
  <c r="P34" i="61"/>
  <c r="CT14" i="29" s="1"/>
  <c r="P34" i="51"/>
  <c r="CL14" i="29" s="1"/>
  <c r="M34" i="56"/>
  <c r="BK14" i="29" s="1"/>
  <c r="M60" i="42"/>
  <c r="AV16" i="29" s="1"/>
  <c r="M60" i="60"/>
  <c r="BM16" i="29" s="1"/>
  <c r="M34" i="57"/>
  <c r="AL14" i="29" s="1"/>
  <c r="P34" i="43"/>
  <c r="CD14" i="29" s="1"/>
  <c r="J34" i="60"/>
  <c r="AG14" i="29" s="1"/>
  <c r="P34" i="34"/>
  <c r="BT14" i="29" s="1"/>
  <c r="J34" i="36"/>
  <c r="J14" i="29" s="1"/>
  <c r="P23" i="46"/>
  <c r="P60" i="36"/>
  <c r="BV16" i="29" s="1"/>
  <c r="P34" i="47"/>
  <c r="CH14" i="29" s="1"/>
  <c r="J23" i="61"/>
  <c r="J23" i="48"/>
  <c r="W12" i="29" s="1"/>
  <c r="M23" i="55"/>
  <c r="N26" i="30"/>
  <c r="P60" i="50"/>
  <c r="CK16" i="29" s="1"/>
  <c r="M34" i="58"/>
  <c r="AM14" i="29" s="1"/>
  <c r="J23" i="45"/>
  <c r="M60" i="39"/>
  <c r="AS16" i="29" s="1"/>
  <c r="M60" i="41"/>
  <c r="AU16" i="29" s="1"/>
  <c r="P23" i="35"/>
  <c r="M34" i="46"/>
  <c r="AZ14" i="29" s="1"/>
  <c r="J60" i="56"/>
  <c r="AE16" i="29" s="1"/>
  <c r="J60" i="55"/>
  <c r="AD16" i="29" s="1"/>
  <c r="J34" i="31"/>
  <c r="D14" i="29" s="1"/>
  <c r="P60" i="59"/>
  <c r="CG16" i="29" s="1"/>
  <c r="M34" i="61"/>
  <c r="BN14" i="29" s="1"/>
  <c r="P60" i="54"/>
  <c r="CO16" i="29" s="1"/>
  <c r="P23" i="41"/>
  <c r="J60" i="42"/>
  <c r="P16" i="29" s="1"/>
  <c r="J23" i="60"/>
  <c r="P60" i="88"/>
  <c r="P23" i="50"/>
  <c r="V26" i="30"/>
  <c r="M23" i="40"/>
  <c r="M23" i="34"/>
  <c r="M23" i="57"/>
  <c r="J34" i="40"/>
  <c r="N14" i="29" s="1"/>
  <c r="M34" i="60"/>
  <c r="BM14" i="29" s="1"/>
  <c r="J34" i="34"/>
  <c r="H14" i="29" s="1"/>
  <c r="P34" i="36"/>
  <c r="BV14" i="29" s="1"/>
  <c r="M60" i="36"/>
  <c r="AP16" i="29" s="1"/>
  <c r="J34" i="47"/>
  <c r="V14" i="29" s="1"/>
  <c r="P23" i="61"/>
  <c r="P23" i="52"/>
  <c r="P23" i="48"/>
  <c r="CI12" i="29" s="1"/>
  <c r="J23" i="55"/>
  <c r="M23" i="54"/>
  <c r="P34" i="58"/>
  <c r="BS14" i="29" s="1"/>
  <c r="P60" i="39"/>
  <c r="BY16" i="29" s="1"/>
  <c r="J23" i="51"/>
  <c r="M34" i="31"/>
  <c r="AJ14" i="29" s="1"/>
  <c r="J34" i="55"/>
  <c r="AD14" i="29" s="1"/>
  <c r="M60" i="54"/>
  <c r="BI16" i="29" s="1"/>
  <c r="J23" i="41"/>
  <c r="P60" i="42"/>
  <c r="CB16" i="29" s="1"/>
  <c r="P23" i="59"/>
  <c r="P23" i="60"/>
  <c r="J60" i="88"/>
  <c r="J23" i="50"/>
  <c r="J23" i="40"/>
  <c r="J23" i="34"/>
  <c r="P23" i="57"/>
  <c r="P34" i="40"/>
  <c r="BZ14" i="29" s="1"/>
  <c r="P34" i="60"/>
  <c r="CS14" i="29" s="1"/>
  <c r="M60" i="46"/>
  <c r="AZ16" i="29" s="1"/>
  <c r="M34" i="34"/>
  <c r="AN14" i="29" s="1"/>
  <c r="P23" i="30" l="1"/>
  <c r="G17" i="5"/>
  <c r="I17" i="5"/>
  <c r="F17" i="5"/>
  <c r="AL12" i="29"/>
  <c r="DE60" i="29"/>
  <c r="Q12" i="29"/>
  <c r="BK12" i="29"/>
  <c r="BT12" i="29"/>
  <c r="H12" i="29"/>
  <c r="CS12" i="29"/>
  <c r="AT12" i="29"/>
  <c r="BU12" i="29"/>
  <c r="AS12" i="29"/>
  <c r="EY60" i="29"/>
  <c r="BB12" i="29"/>
  <c r="BG12" i="29"/>
  <c r="BM12" i="29"/>
  <c r="DO16" i="29"/>
  <c r="BI12" i="29"/>
  <c r="E15" i="5"/>
  <c r="N12" i="29"/>
  <c r="AH12" i="29"/>
  <c r="AZ12" i="29"/>
  <c r="BX12" i="29"/>
  <c r="L12" i="29"/>
  <c r="BZ12" i="29"/>
  <c r="AC12" i="29"/>
  <c r="CM12" i="29"/>
  <c r="CK12" i="29"/>
  <c r="CG12" i="29"/>
  <c r="CT12" i="29"/>
  <c r="CA12" i="29"/>
  <c r="BJ12" i="29"/>
  <c r="AO12" i="29"/>
  <c r="D17" i="5"/>
  <c r="U12" i="29"/>
  <c r="CP12" i="29"/>
  <c r="CE12" i="29"/>
  <c r="CN12" i="29"/>
  <c r="BA12" i="29"/>
  <c r="CO12" i="29"/>
  <c r="AR12" i="29"/>
  <c r="Y12" i="29"/>
  <c r="AY12" i="29"/>
  <c r="CL12" i="29"/>
  <c r="CQ12" i="29"/>
  <c r="EL16" i="29"/>
  <c r="AU12" i="29"/>
  <c r="BF12" i="29"/>
  <c r="AD12" i="29"/>
  <c r="AN12" i="29"/>
  <c r="I12" i="29"/>
  <c r="T12" i="29"/>
  <c r="EB60" i="29"/>
  <c r="K12" i="29"/>
  <c r="BH12" i="29"/>
  <c r="F12" i="29"/>
  <c r="AE12" i="29"/>
  <c r="FI16" i="29"/>
  <c r="S12" i="29"/>
  <c r="O12" i="29"/>
  <c r="CF12" i="29"/>
  <c r="G15" i="5"/>
  <c r="BR12" i="29"/>
  <c r="Z12" i="29"/>
  <c r="AG12" i="29"/>
  <c r="X26" i="30"/>
  <c r="W26" i="30"/>
  <c r="BN12" i="29"/>
  <c r="M12" i="29"/>
  <c r="AB12" i="29"/>
  <c r="H17" i="5"/>
  <c r="AW12" i="29"/>
  <c r="V12" i="29"/>
  <c r="P21" i="30" l="1"/>
  <c r="F15" i="5"/>
  <c r="I15" i="5"/>
  <c r="H15" i="5"/>
  <c r="D15" i="5"/>
  <c r="L17" i="5"/>
  <c r="P28" i="30"/>
  <c r="L15" i="5" l="1"/>
  <c r="D16" i="14" l="1"/>
  <c r="P89" i="14" l="1"/>
  <c r="P74" i="14"/>
  <c r="P44" i="14"/>
  <c r="AN33" i="29"/>
  <c r="CM33" i="29"/>
  <c r="CJ33" i="29"/>
  <c r="I33" i="29"/>
  <c r="AQ33" i="29"/>
  <c r="AD33" i="29"/>
  <c r="D33" i="29"/>
  <c r="BA33" i="29"/>
  <c r="BU33" i="29"/>
  <c r="H33" i="29"/>
  <c r="V33" i="29"/>
  <c r="K33" i="29"/>
  <c r="CH33" i="29"/>
  <c r="CQ33" i="29"/>
  <c r="AS33" i="29"/>
  <c r="AM33" i="29"/>
  <c r="CE33" i="29"/>
  <c r="BT33" i="29"/>
  <c r="AE33" i="29"/>
  <c r="BF33" i="29"/>
  <c r="X33" i="29"/>
  <c r="BX33" i="29"/>
  <c r="Y33" i="29"/>
  <c r="AB33" i="29"/>
  <c r="BE33" i="29"/>
  <c r="CP33" i="29"/>
  <c r="Q33" i="29"/>
  <c r="U33" i="29"/>
  <c r="BY33" i="29"/>
  <c r="F33" i="29"/>
  <c r="BH33" i="29"/>
  <c r="CR33" i="29"/>
  <c r="AK33" i="29"/>
  <c r="BQ33" i="29"/>
  <c r="O33" i="29"/>
  <c r="T33" i="29"/>
  <c r="BP33" i="29"/>
  <c r="CS33" i="29"/>
  <c r="CN33" i="29"/>
  <c r="M33" i="29"/>
  <c r="J33" i="29"/>
  <c r="S33" i="29"/>
  <c r="AW33" i="29"/>
  <c r="BM33" i="29"/>
  <c r="AO33" i="29"/>
  <c r="BL33" i="29"/>
  <c r="BB33" i="29"/>
  <c r="G33" i="29"/>
  <c r="CL33" i="29"/>
  <c r="BW33" i="29"/>
  <c r="BZ33" i="29"/>
  <c r="P33" i="29"/>
  <c r="BR33" i="29"/>
  <c r="AL33" i="29"/>
  <c r="CK33" i="29"/>
  <c r="AP33" i="29"/>
  <c r="CC33" i="29"/>
  <c r="E33" i="29"/>
  <c r="BJ33" i="29"/>
  <c r="BS33" i="29"/>
  <c r="AU33" i="29"/>
  <c r="AC33" i="29"/>
  <c r="CG33" i="29"/>
  <c r="CB33" i="29"/>
  <c r="AG33" i="29"/>
  <c r="AY33" i="29"/>
  <c r="N33" i="29"/>
  <c r="BV33" i="29"/>
  <c r="AF33" i="29"/>
  <c r="BD33" i="29"/>
  <c r="CO33" i="29"/>
  <c r="AR33" i="29"/>
  <c r="Z33" i="29"/>
  <c r="AT33" i="29"/>
  <c r="AA33" i="29"/>
  <c r="AJ33" i="29"/>
  <c r="BI33" i="29"/>
  <c r="AZ33" i="29"/>
  <c r="AV33" i="29"/>
  <c r="CA33" i="29"/>
  <c r="BK33" i="29"/>
  <c r="L33" i="29"/>
  <c r="CF33" i="29"/>
  <c r="BG33" i="29"/>
  <c r="C32" i="29"/>
  <c r="G40" i="30"/>
  <c r="I40" i="30" s="1"/>
  <c r="DQ32" i="29" l="1"/>
  <c r="EN32" i="29"/>
  <c r="FK32" i="29"/>
  <c r="AX32" i="29"/>
  <c r="W32" i="29"/>
  <c r="CD32" i="29"/>
  <c r="CI32" i="29"/>
  <c r="BC32" i="29"/>
  <c r="R32" i="29"/>
  <c r="M40" i="30"/>
  <c r="S40" i="30"/>
  <c r="Q40" i="30"/>
  <c r="O40" i="30"/>
  <c r="K40" i="30"/>
  <c r="U40" i="30"/>
  <c r="BH32" i="29"/>
  <c r="AJ32" i="29"/>
  <c r="BP32" i="29"/>
  <c r="BN32" i="29"/>
  <c r="BW32" i="29"/>
  <c r="AM32" i="29"/>
  <c r="AE32" i="29"/>
  <c r="Y32" i="29"/>
  <c r="BR32" i="29"/>
  <c r="BU32" i="29"/>
  <c r="CA32" i="29"/>
  <c r="X32" i="29"/>
  <c r="AU32" i="29"/>
  <c r="BQ32" i="29"/>
  <c r="M32" i="29"/>
  <c r="CT32" i="29"/>
  <c r="J32" i="29"/>
  <c r="BF32" i="29"/>
  <c r="BA32" i="29"/>
  <c r="E32" i="29"/>
  <c r="BG32" i="29"/>
  <c r="BM32" i="29"/>
  <c r="AW32" i="29"/>
  <c r="CB32" i="29"/>
  <c r="BD32" i="29"/>
  <c r="CH32" i="29"/>
  <c r="CK32" i="29"/>
  <c r="AL32" i="29"/>
  <c r="AB32" i="29"/>
  <c r="CP32" i="29"/>
  <c r="BV32" i="29"/>
  <c r="CF32" i="29"/>
  <c r="CO32" i="29"/>
  <c r="K32" i="29"/>
  <c r="I32" i="29"/>
  <c r="O32" i="29"/>
  <c r="CC32" i="29"/>
  <c r="Z32" i="29"/>
  <c r="CN32" i="29"/>
  <c r="BB32" i="29"/>
  <c r="AK32" i="29"/>
  <c r="AD32" i="29"/>
  <c r="BI32" i="29"/>
  <c r="CM32" i="29"/>
  <c r="CG32" i="29"/>
  <c r="CS32" i="29"/>
  <c r="AT32" i="29"/>
  <c r="D32" i="29"/>
  <c r="CL32" i="29"/>
  <c r="AR32" i="29"/>
  <c r="AV32" i="29"/>
  <c r="P32" i="29"/>
  <c r="AF32" i="29"/>
  <c r="CQ32" i="29"/>
  <c r="V32" i="29"/>
  <c r="AN32" i="29"/>
  <c r="BT32" i="29"/>
  <c r="AY32" i="29"/>
  <c r="G32" i="29"/>
  <c r="Q32" i="29"/>
  <c r="AC32" i="29"/>
  <c r="AG32" i="29"/>
  <c r="BJ32" i="29"/>
  <c r="BS32" i="29"/>
  <c r="U32" i="29"/>
  <c r="AQ32" i="29"/>
  <c r="N32" i="29"/>
  <c r="AZ32" i="29"/>
  <c r="CJ32" i="29"/>
  <c r="CE32" i="29"/>
  <c r="BK32" i="29"/>
  <c r="AO32" i="29"/>
  <c r="BE32" i="29"/>
  <c r="AS32" i="29"/>
  <c r="BZ32" i="29"/>
  <c r="H32" i="29"/>
  <c r="T32" i="29"/>
  <c r="BY32" i="29"/>
  <c r="AP32" i="29"/>
  <c r="AA32" i="29"/>
  <c r="S32" i="29"/>
  <c r="DX32" i="29"/>
  <c r="BL32" i="29"/>
  <c r="F32" i="29"/>
  <c r="FI32" i="29"/>
  <c r="ER32" i="29"/>
  <c r="DL32" i="29"/>
  <c r="CR32" i="29"/>
  <c r="FE32" i="29"/>
  <c r="DN32" i="29"/>
  <c r="DK32" i="29"/>
  <c r="EC32" i="29"/>
  <c r="EU32" i="29"/>
  <c r="EV32" i="29"/>
  <c r="L32" i="29"/>
  <c r="BX32" i="29"/>
  <c r="FJ32" i="29"/>
  <c r="FD32" i="29"/>
  <c r="DU32" i="29"/>
  <c r="FG32" i="29"/>
  <c r="EL32" i="29"/>
  <c r="CZ32" i="29"/>
  <c r="DE32" i="29"/>
  <c r="CY32" i="29"/>
  <c r="ET32" i="29"/>
  <c r="FM32" i="29"/>
  <c r="DP32" i="29"/>
  <c r="DZ32" i="29"/>
  <c r="DO32" i="29"/>
  <c r="DI32" i="29"/>
  <c r="DH32" i="29"/>
  <c r="EK32" i="29"/>
  <c r="EY32" i="29"/>
  <c r="DV32" i="29"/>
  <c r="FF32" i="29"/>
  <c r="FA32" i="29"/>
  <c r="FH32" i="29"/>
  <c r="EF32" i="29"/>
  <c r="DC32" i="29"/>
  <c r="DW32" i="29"/>
  <c r="DA32" i="29"/>
  <c r="EA32" i="29"/>
  <c r="EX32" i="29"/>
  <c r="AH32" i="29"/>
  <c r="EZ32" i="29"/>
  <c r="DD32" i="29"/>
  <c r="EE32" i="29"/>
  <c r="DR32" i="29"/>
  <c r="EO32" i="29"/>
  <c r="ED32" i="29"/>
  <c r="ES32" i="29"/>
  <c r="EP32" i="29"/>
  <c r="EH32" i="29"/>
  <c r="DM32" i="29"/>
  <c r="FL32" i="29"/>
  <c r="DS32" i="29"/>
  <c r="CX32" i="29"/>
  <c r="DG32" i="29"/>
  <c r="DB32" i="29"/>
  <c r="EG32" i="29"/>
  <c r="EB32" i="29"/>
  <c r="EM32" i="29"/>
  <c r="EW32" i="29"/>
  <c r="FC32" i="29"/>
  <c r="EJ32" i="29"/>
  <c r="EI32" i="29"/>
  <c r="FB32" i="29"/>
  <c r="DJ32" i="29"/>
  <c r="DY32" i="29"/>
  <c r="DF32" i="29"/>
  <c r="Q44" i="14"/>
  <c r="T44" i="14"/>
  <c r="Q74" i="14"/>
  <c r="T74" i="14"/>
  <c r="Q89" i="14"/>
  <c r="T89" i="14"/>
  <c r="U129" i="30" l="1"/>
  <c r="K129" i="30"/>
  <c r="O129" i="30"/>
  <c r="BN34" i="29"/>
  <c r="Q129" i="30"/>
  <c r="AH34" i="29"/>
  <c r="I129" i="30"/>
  <c r="X40" i="30"/>
  <c r="W40" i="30"/>
  <c r="S129" i="30"/>
  <c r="CT34" i="29"/>
  <c r="M129" i="30"/>
  <c r="W129" i="30" l="1"/>
  <c r="CR50" i="29" l="1"/>
  <c r="CR36" i="29"/>
  <c r="AF50" i="29"/>
  <c r="AF36" i="29"/>
  <c r="CR39" i="29" l="1"/>
  <c r="CR54" i="29"/>
  <c r="AF39" i="29"/>
  <c r="AF54" i="29"/>
  <c r="Q10" i="7" l="1"/>
  <c r="Q11" i="7" l="1"/>
  <c r="N77" i="17" l="1"/>
  <c r="M18" i="33" l="1"/>
  <c r="M18" i="31"/>
  <c r="I19" i="37"/>
  <c r="J18" i="37" s="1"/>
  <c r="I19" i="34"/>
  <c r="J18" i="34" s="1"/>
  <c r="L18" i="87"/>
  <c r="M17" i="87" s="1"/>
  <c r="S18" i="87" s="1"/>
  <c r="O19" i="86"/>
  <c r="P18" i="86" s="1"/>
  <c r="M18" i="76"/>
  <c r="M18" i="86"/>
  <c r="I19" i="80"/>
  <c r="J18" i="80" s="1"/>
  <c r="O19" i="76"/>
  <c r="P18" i="76" s="1"/>
  <c r="O19" i="71"/>
  <c r="P18" i="71" s="1"/>
  <c r="I19" i="50"/>
  <c r="J18" i="50" s="1"/>
  <c r="I19" i="41"/>
  <c r="J18" i="41" s="1"/>
  <c r="O19" i="57"/>
  <c r="P18" i="57" s="1"/>
  <c r="I19" i="53"/>
  <c r="J18" i="53" s="1"/>
  <c r="O19" i="43"/>
  <c r="P18" i="43" s="1"/>
  <c r="O19" i="33"/>
  <c r="P18" i="33" s="1"/>
  <c r="M18" i="55"/>
  <c r="I19" i="45"/>
  <c r="J18" i="45" s="1"/>
  <c r="O19" i="36"/>
  <c r="P18" i="36" s="1"/>
  <c r="I19" i="55"/>
  <c r="J18" i="55" s="1"/>
  <c r="O19" i="46"/>
  <c r="P18" i="46" s="1"/>
  <c r="M18" i="36"/>
  <c r="I18" i="87"/>
  <c r="J17" i="87" s="1"/>
  <c r="R18" i="87" s="1"/>
  <c r="M18" i="75"/>
  <c r="M18" i="81"/>
  <c r="M18" i="89"/>
  <c r="O19" i="77"/>
  <c r="P18" i="77" s="1"/>
  <c r="O19" i="84"/>
  <c r="I19" i="66"/>
  <c r="J18" i="66" s="1"/>
  <c r="M18" i="49"/>
  <c r="M18" i="40"/>
  <c r="I19" i="31"/>
  <c r="J18" i="31" s="1"/>
  <c r="M18" i="52"/>
  <c r="I19" i="40"/>
  <c r="J18" i="40" s="1"/>
  <c r="M18" i="65"/>
  <c r="O19" i="54"/>
  <c r="P18" i="54" s="1"/>
  <c r="M18" i="43"/>
  <c r="I19" i="57"/>
  <c r="J18" i="57" s="1"/>
  <c r="M18" i="54"/>
  <c r="I19" i="43"/>
  <c r="J18" i="43" s="1"/>
  <c r="O19" i="35"/>
  <c r="P18" i="35" s="1"/>
  <c r="M18" i="44"/>
  <c r="I19" i="84"/>
  <c r="M18" i="78"/>
  <c r="M18" i="80"/>
  <c r="M18" i="85"/>
  <c r="I19" i="86"/>
  <c r="J18" i="86" s="1"/>
  <c r="I19" i="76"/>
  <c r="J18" i="76" s="1"/>
  <c r="I19" i="73"/>
  <c r="J18" i="73" s="1"/>
  <c r="I19" i="75"/>
  <c r="J18" i="75" s="1"/>
  <c r="P18" i="61"/>
  <c r="O19" i="48"/>
  <c r="P18" i="48" s="1"/>
  <c r="CI63" i="29" s="1"/>
  <c r="O19" i="39"/>
  <c r="P18" i="39" s="1"/>
  <c r="P18" i="65"/>
  <c r="O19" i="51"/>
  <c r="P18" i="51" s="1"/>
  <c r="M18" i="39"/>
  <c r="I19" i="71"/>
  <c r="J18" i="71" s="1"/>
  <c r="I19" i="52"/>
  <c r="J18" i="52" s="1"/>
  <c r="O19" i="44"/>
  <c r="P18" i="44" s="1"/>
  <c r="CC63" i="29" s="1"/>
  <c r="O19" i="53"/>
  <c r="P18" i="53" s="1"/>
  <c r="O19" i="34"/>
  <c r="P18" i="34" s="1"/>
  <c r="O18" i="87"/>
  <c r="P17" i="87" s="1"/>
  <c r="T18" i="87" s="1"/>
  <c r="O19" i="78"/>
  <c r="P18" i="78" s="1"/>
  <c r="M18" i="88"/>
  <c r="I19" i="85"/>
  <c r="J18" i="85" s="1"/>
  <c r="I19" i="89"/>
  <c r="J18" i="89" s="1"/>
  <c r="O19" i="89"/>
  <c r="P18" i="89" s="1"/>
  <c r="O19" i="75"/>
  <c r="P18" i="75" s="1"/>
  <c r="I19" i="81"/>
  <c r="J18" i="81" s="1"/>
  <c r="M18" i="60"/>
  <c r="I19" i="59"/>
  <c r="J18" i="59" s="1"/>
  <c r="M18" i="71"/>
  <c r="I19" i="49"/>
  <c r="J18" i="49" s="1"/>
  <c r="O19" i="38"/>
  <c r="P18" i="38" s="1"/>
  <c r="O19" i="66"/>
  <c r="P18" i="66" s="1"/>
  <c r="M18" i="51"/>
  <c r="O19" i="42"/>
  <c r="P18" i="42" s="1"/>
  <c r="O19" i="31"/>
  <c r="P18" i="31" s="1"/>
  <c r="I19" i="51"/>
  <c r="J18" i="51" s="1"/>
  <c r="M18" i="42"/>
  <c r="O19" i="58"/>
  <c r="P18" i="58" s="1"/>
  <c r="I19" i="78"/>
  <c r="J18" i="78" s="1"/>
  <c r="J18" i="88"/>
  <c r="O19" i="88"/>
  <c r="P18" i="88" s="1"/>
  <c r="O19" i="85"/>
  <c r="P18" i="85" s="1"/>
  <c r="O19" i="79"/>
  <c r="P18" i="79" s="1"/>
  <c r="I19" i="77"/>
  <c r="J18" i="77" s="1"/>
  <c r="O19" i="74"/>
  <c r="P18" i="74" s="1"/>
  <c r="O19" i="56"/>
  <c r="P18" i="56" s="1"/>
  <c r="M18" i="46"/>
  <c r="I19" i="36"/>
  <c r="J18" i="36" s="1"/>
  <c r="M18" i="61"/>
  <c r="M18" i="48"/>
  <c r="BC63" i="29" s="1"/>
  <c r="I19" i="35"/>
  <c r="J18" i="35" s="1"/>
  <c r="O19" i="64"/>
  <c r="P18" i="64" s="1"/>
  <c r="O19" i="50"/>
  <c r="P18" i="50" s="1"/>
  <c r="O19" i="41"/>
  <c r="P18" i="41" s="1"/>
  <c r="I19" i="65"/>
  <c r="J18" i="65" s="1"/>
  <c r="M18" i="50"/>
  <c r="M18" i="41"/>
  <c r="I19" i="33"/>
  <c r="J18" i="33" s="1"/>
  <c r="O19" i="72"/>
  <c r="P18" i="72" s="1"/>
  <c r="M18" i="72"/>
  <c r="M18" i="74"/>
  <c r="O19" i="83"/>
  <c r="P18" i="83" s="1"/>
  <c r="O19" i="81"/>
  <c r="P18" i="81" s="1"/>
  <c r="I19" i="54"/>
  <c r="J18" i="54" s="1"/>
  <c r="O19" i="45"/>
  <c r="P18" i="45" s="1"/>
  <c r="M18" i="35"/>
  <c r="I19" i="60"/>
  <c r="J18" i="60" s="1"/>
  <c r="O19" i="47"/>
  <c r="P18" i="47" s="1"/>
  <c r="M18" i="64"/>
  <c r="I19" i="48"/>
  <c r="J18" i="48" s="1"/>
  <c r="W63" i="29" s="1"/>
  <c r="I19" i="39"/>
  <c r="J18" i="39" s="1"/>
  <c r="M18" i="66"/>
  <c r="O19" i="49"/>
  <c r="P18" i="49" s="1"/>
  <c r="O19" i="40"/>
  <c r="P18" i="40" s="1"/>
  <c r="I19" i="72"/>
  <c r="J18" i="72" s="1"/>
  <c r="M18" i="77"/>
  <c r="M18" i="79"/>
  <c r="I19" i="83"/>
  <c r="J18" i="83" s="1"/>
  <c r="I19" i="79"/>
  <c r="J18" i="79" s="1"/>
  <c r="M18" i="53"/>
  <c r="I19" i="44"/>
  <c r="J18" i="44" s="1"/>
  <c r="M18" i="34"/>
  <c r="M18" i="56"/>
  <c r="BK63" i="29" s="1"/>
  <c r="I19" i="46"/>
  <c r="J18" i="46" s="1"/>
  <c r="I19" i="58"/>
  <c r="J18" i="58" s="1"/>
  <c r="J18" i="61"/>
  <c r="M18" i="47"/>
  <c r="M18" i="38"/>
  <c r="I19" i="64"/>
  <c r="J18" i="64" s="1"/>
  <c r="I19" i="47"/>
  <c r="J18" i="47" s="1"/>
  <c r="I19" i="38"/>
  <c r="J18" i="38" s="1"/>
  <c r="O19" i="73"/>
  <c r="P18" i="73" s="1"/>
  <c r="M18" i="73"/>
  <c r="M18" i="83"/>
  <c r="I19" i="74"/>
  <c r="J18" i="74" s="1"/>
  <c r="O19" i="80"/>
  <c r="P18" i="80" s="1"/>
  <c r="O19" i="52"/>
  <c r="P18" i="52" s="1"/>
  <c r="I19" i="42"/>
  <c r="J18" i="42" s="1"/>
  <c r="M18" i="58"/>
  <c r="O19" i="55"/>
  <c r="P18" i="55" s="1"/>
  <c r="M18" i="45"/>
  <c r="M18" i="57"/>
  <c r="I19" i="56"/>
  <c r="J18" i="56" s="1"/>
  <c r="O19" i="59"/>
  <c r="P18" i="59" s="1"/>
  <c r="O19" i="37"/>
  <c r="P18" i="37" s="1"/>
  <c r="O19" i="60"/>
  <c r="P18" i="60" s="1"/>
  <c r="M18" i="59"/>
  <c r="M18" i="37"/>
  <c r="R19" i="44" l="1"/>
  <c r="R63" i="29"/>
  <c r="CD63" i="29"/>
  <c r="AX63" i="29"/>
  <c r="P18" i="84"/>
  <c r="J18" i="84"/>
  <c r="DM63" i="29" s="1"/>
  <c r="AM63" i="29"/>
  <c r="S19" i="58"/>
  <c r="EV63" i="29"/>
  <c r="T19" i="73"/>
  <c r="T63" i="29"/>
  <c r="R19" i="46"/>
  <c r="ED63" i="29"/>
  <c r="S19" i="77"/>
  <c r="DU63" i="29"/>
  <c r="S19" i="64"/>
  <c r="EA63" i="29"/>
  <c r="S19" i="74"/>
  <c r="CK63" i="29"/>
  <c r="T19" i="50"/>
  <c r="EX63" i="29"/>
  <c r="T19" i="74"/>
  <c r="AV63" i="29"/>
  <c r="S19" i="42"/>
  <c r="DW63" i="29"/>
  <c r="S19" i="71"/>
  <c r="EL63" i="29"/>
  <c r="S19" i="88"/>
  <c r="CZ63" i="29"/>
  <c r="R19" i="71"/>
  <c r="DB63" i="29"/>
  <c r="R19" i="73"/>
  <c r="BU63" i="29"/>
  <c r="T19" i="35"/>
  <c r="BG63" i="29"/>
  <c r="S19" i="52"/>
  <c r="EH63" i="29"/>
  <c r="S19" i="81"/>
  <c r="BJ63" i="29"/>
  <c r="S19" i="55"/>
  <c r="EZ63" i="29"/>
  <c r="T19" i="76"/>
  <c r="S19" i="56"/>
  <c r="DC63" i="29"/>
  <c r="R19" i="72"/>
  <c r="CH63" i="29"/>
  <c r="T19" i="47"/>
  <c r="DZ63" i="29"/>
  <c r="S19" i="72"/>
  <c r="ER63" i="29"/>
  <c r="T19" i="64"/>
  <c r="DG63" i="29"/>
  <c r="R19" i="77"/>
  <c r="Z63" i="29"/>
  <c r="R19" i="51"/>
  <c r="U63" i="29"/>
  <c r="R19" i="59"/>
  <c r="FB63" i="29"/>
  <c r="T19" i="78"/>
  <c r="AS63" i="29"/>
  <c r="S19" i="39"/>
  <c r="DF63" i="29"/>
  <c r="R19" i="76"/>
  <c r="R19" i="43"/>
  <c r="D63" i="29"/>
  <c r="EB63" i="29"/>
  <c r="S19" i="75"/>
  <c r="BQ63" i="29"/>
  <c r="T19" i="33"/>
  <c r="DJ63" i="29"/>
  <c r="R19" i="80"/>
  <c r="P63" i="29"/>
  <c r="R19" i="42"/>
  <c r="V63" i="29"/>
  <c r="R19" i="47"/>
  <c r="AN63" i="29"/>
  <c r="S19" i="34"/>
  <c r="AJ63" i="29"/>
  <c r="AG63" i="29"/>
  <c r="R19" i="60"/>
  <c r="EW63" i="29"/>
  <c r="T19" i="72"/>
  <c r="I63" i="29"/>
  <c r="R19" i="35"/>
  <c r="FC63" i="29"/>
  <c r="T19" i="79"/>
  <c r="BP63" i="29"/>
  <c r="BM63" i="29"/>
  <c r="S19" i="60"/>
  <c r="CL63" i="29"/>
  <c r="T19" i="51"/>
  <c r="DP63" i="29"/>
  <c r="R19" i="86"/>
  <c r="BI63" i="29"/>
  <c r="S19" i="54"/>
  <c r="AT63" i="29"/>
  <c r="S19" i="40"/>
  <c r="T19" i="43"/>
  <c r="EM63" i="29"/>
  <c r="S19" i="86"/>
  <c r="CM63" i="29"/>
  <c r="T19" i="52"/>
  <c r="CG63" i="29"/>
  <c r="T19" i="59"/>
  <c r="FD63" i="29"/>
  <c r="S16" i="30" s="1"/>
  <c r="S18" i="30" s="1"/>
  <c r="T19" i="80"/>
  <c r="CX63" i="29"/>
  <c r="R19" i="64"/>
  <c r="Q63" i="29"/>
  <c r="BZ63" i="29"/>
  <c r="T19" i="40"/>
  <c r="AO63" i="29"/>
  <c r="S19" i="35"/>
  <c r="E63" i="29"/>
  <c r="R19" i="33"/>
  <c r="S19" i="48"/>
  <c r="FH63" i="29"/>
  <c r="T19" i="85"/>
  <c r="CB63" i="29"/>
  <c r="T19" i="42"/>
  <c r="DK63" i="29"/>
  <c r="R19" i="81"/>
  <c r="BT63" i="29"/>
  <c r="T19" i="34"/>
  <c r="EU63" i="29"/>
  <c r="T19" i="65"/>
  <c r="EK63" i="29"/>
  <c r="S19" i="85"/>
  <c r="F63" i="29"/>
  <c r="R19" i="57"/>
  <c r="BD63" i="29"/>
  <c r="S19" i="49"/>
  <c r="AP63" i="29"/>
  <c r="S19" i="36"/>
  <c r="AB63" i="29"/>
  <c r="R19" i="53"/>
  <c r="EC63" i="29"/>
  <c r="S19" i="76"/>
  <c r="BW63" i="29"/>
  <c r="T19" i="37"/>
  <c r="AE63" i="29"/>
  <c r="R19" i="56"/>
  <c r="DD63" i="29"/>
  <c r="R19" i="74"/>
  <c r="AR63" i="29"/>
  <c r="S19" i="38"/>
  <c r="BH63" i="29"/>
  <c r="S19" i="53"/>
  <c r="CJ63" i="29"/>
  <c r="T19" i="49"/>
  <c r="CE63" i="29"/>
  <c r="T19" i="45"/>
  <c r="AU63" i="29"/>
  <c r="S19" i="41"/>
  <c r="BN63" i="29"/>
  <c r="S19" i="61"/>
  <c r="FI63" i="29"/>
  <c r="T19" i="88"/>
  <c r="BF63" i="29"/>
  <c r="S19" i="51"/>
  <c r="EY63" i="29"/>
  <c r="T19" i="75"/>
  <c r="CN63" i="29"/>
  <c r="T19" i="53"/>
  <c r="BY63" i="29"/>
  <c r="T19" i="39"/>
  <c r="EG63" i="29"/>
  <c r="S19" i="80"/>
  <c r="S19" i="43"/>
  <c r="CY63" i="29"/>
  <c r="R19" i="66"/>
  <c r="CF63" i="29"/>
  <c r="T19" i="46"/>
  <c r="BR63" i="29"/>
  <c r="T19" i="57"/>
  <c r="FJ63" i="29"/>
  <c r="T19" i="86"/>
  <c r="CS63" i="29"/>
  <c r="T19" i="60"/>
  <c r="AL63" i="29"/>
  <c r="S19" i="57"/>
  <c r="EJ63" i="29"/>
  <c r="S19" i="84"/>
  <c r="BB63" i="29"/>
  <c r="S19" i="47"/>
  <c r="DI63" i="29"/>
  <c r="R19" i="79"/>
  <c r="DV63" i="29"/>
  <c r="S19" i="66"/>
  <c r="AC63" i="29"/>
  <c r="R19" i="54"/>
  <c r="BE63" i="29"/>
  <c r="S19" i="50"/>
  <c r="J63" i="29"/>
  <c r="R19" i="36"/>
  <c r="DO63" i="29"/>
  <c r="R19" i="88"/>
  <c r="ES63" i="29"/>
  <c r="T19" i="66"/>
  <c r="T19" i="89"/>
  <c r="AK63" i="29"/>
  <c r="S19" i="33"/>
  <c r="T19" i="48"/>
  <c r="EE63" i="29"/>
  <c r="S19" i="78"/>
  <c r="CO63" i="29"/>
  <c r="T19" i="54"/>
  <c r="AD63" i="29"/>
  <c r="R19" i="55"/>
  <c r="O63" i="29"/>
  <c r="R19" i="41"/>
  <c r="BA63" i="29"/>
  <c r="S19" i="59"/>
  <c r="AY63" i="29"/>
  <c r="S19" i="45"/>
  <c r="EI63" i="29"/>
  <c r="S19" i="83"/>
  <c r="AH63" i="29"/>
  <c r="R19" i="61"/>
  <c r="DL63" i="29"/>
  <c r="R19" i="83"/>
  <c r="M63" i="29"/>
  <c r="R19" i="39"/>
  <c r="FE63" i="29"/>
  <c r="T19" i="81"/>
  <c r="DA63" i="29"/>
  <c r="R19" i="65"/>
  <c r="AZ63" i="29"/>
  <c r="S19" i="46"/>
  <c r="DH63" i="29"/>
  <c r="R19" i="78"/>
  <c r="BX63" i="29"/>
  <c r="T19" i="38"/>
  <c r="R19" i="89"/>
  <c r="T19" i="44"/>
  <c r="CT63" i="29"/>
  <c r="T19" i="61"/>
  <c r="R19" i="84"/>
  <c r="DX63" i="29"/>
  <c r="S19" i="65"/>
  <c r="FA63" i="29"/>
  <c r="T19" i="77"/>
  <c r="BV63" i="29"/>
  <c r="T19" i="36"/>
  <c r="Y63" i="29"/>
  <c r="R19" i="50"/>
  <c r="H63" i="29"/>
  <c r="R19" i="34"/>
  <c r="L63" i="29"/>
  <c r="R19" i="38"/>
  <c r="AQ63" i="29"/>
  <c r="S19" i="37"/>
  <c r="CP63" i="29"/>
  <c r="T19" i="55"/>
  <c r="DY63" i="29"/>
  <c r="S19" i="73"/>
  <c r="G63" i="29"/>
  <c r="R19" i="58"/>
  <c r="EF63" i="29"/>
  <c r="S19" i="79"/>
  <c r="R19" i="48"/>
  <c r="FF63" i="29"/>
  <c r="T19" i="83"/>
  <c r="CA63" i="29"/>
  <c r="T19" i="41"/>
  <c r="CQ63" i="29"/>
  <c r="T19" i="56"/>
  <c r="BS63" i="29"/>
  <c r="T19" i="58"/>
  <c r="X63" i="29"/>
  <c r="R19" i="49"/>
  <c r="DN63" i="29"/>
  <c r="R19" i="85"/>
  <c r="AA63" i="29"/>
  <c r="R19" i="52"/>
  <c r="DE63" i="29"/>
  <c r="R19" i="75"/>
  <c r="AW63" i="29"/>
  <c r="M16" i="30" s="1"/>
  <c r="M18" i="30" s="1"/>
  <c r="S19" i="44"/>
  <c r="N63" i="29"/>
  <c r="R19" i="40"/>
  <c r="S19" i="89"/>
  <c r="S63" i="29"/>
  <c r="R19" i="45"/>
  <c r="ET63" i="29"/>
  <c r="T19" i="71"/>
  <c r="K63" i="29"/>
  <c r="R19" i="37"/>
  <c r="I16" i="30" l="1"/>
  <c r="I18" i="30" s="1"/>
  <c r="CI23" i="29"/>
  <c r="CI37" i="29"/>
  <c r="CC37" i="29"/>
  <c r="CC23" i="29"/>
  <c r="CD37" i="29"/>
  <c r="CD23" i="29"/>
  <c r="AX37" i="29"/>
  <c r="AX23" i="29"/>
  <c r="R37" i="29"/>
  <c r="R23" i="29"/>
  <c r="BC23" i="29"/>
  <c r="BC37" i="29"/>
  <c r="W23" i="29"/>
  <c r="W37" i="29"/>
  <c r="O16" i="30"/>
  <c r="O18" i="30" s="1"/>
  <c r="O121" i="30" s="1"/>
  <c r="K16" i="30"/>
  <c r="K18" i="30" s="1"/>
  <c r="K34" i="30" s="1"/>
  <c r="T19" i="84"/>
  <c r="FG37" i="29" s="1"/>
  <c r="FG63" i="29"/>
  <c r="H37" i="29"/>
  <c r="H23" i="29"/>
  <c r="AZ23" i="29"/>
  <c r="AZ37" i="29"/>
  <c r="BA23" i="29"/>
  <c r="BA37" i="29"/>
  <c r="J23" i="29"/>
  <c r="J37" i="29"/>
  <c r="CS23" i="29"/>
  <c r="CS37" i="29"/>
  <c r="CN23" i="29"/>
  <c r="CN37" i="29"/>
  <c r="BH23" i="29"/>
  <c r="BH37" i="29"/>
  <c r="BD37" i="29"/>
  <c r="BD23" i="29"/>
  <c r="CM37" i="29"/>
  <c r="CM23" i="29"/>
  <c r="BP23" i="29"/>
  <c r="BP37" i="29"/>
  <c r="P23" i="29"/>
  <c r="P37" i="29"/>
  <c r="FB37" i="29"/>
  <c r="FB23" i="29"/>
  <c r="BK23" i="29"/>
  <c r="BK37" i="29"/>
  <c r="EL23" i="29"/>
  <c r="EL37" i="29"/>
  <c r="U16" i="30"/>
  <c r="U18" i="30" s="1"/>
  <c r="T37" i="29"/>
  <c r="T23" i="29"/>
  <c r="M121" i="30"/>
  <c r="M34" i="30"/>
  <c r="M52" i="30"/>
  <c r="G23" i="29"/>
  <c r="G37" i="29"/>
  <c r="FA37" i="29"/>
  <c r="FA23" i="29"/>
  <c r="M23" i="29"/>
  <c r="M37" i="29"/>
  <c r="FG23" i="29"/>
  <c r="DV37" i="29"/>
  <c r="DV23" i="29"/>
  <c r="CF37" i="29"/>
  <c r="CF23" i="29"/>
  <c r="FI37" i="29"/>
  <c r="FI23" i="29"/>
  <c r="AE23" i="29"/>
  <c r="AE37" i="29"/>
  <c r="EU23" i="29"/>
  <c r="EU37" i="29"/>
  <c r="BZ37" i="29"/>
  <c r="BZ23" i="29"/>
  <c r="AT23" i="29"/>
  <c r="AT37" i="29"/>
  <c r="EW37" i="29"/>
  <c r="EW23" i="29"/>
  <c r="EB23" i="29"/>
  <c r="EB37" i="29"/>
  <c r="DG23" i="29"/>
  <c r="DG37" i="29"/>
  <c r="EH23" i="29"/>
  <c r="EH37" i="29"/>
  <c r="EX23" i="29"/>
  <c r="EX37" i="29"/>
  <c r="S23" i="29"/>
  <c r="S37" i="29"/>
  <c r="AW37" i="29"/>
  <c r="AW23" i="29"/>
  <c r="FF37" i="29"/>
  <c r="FF23" i="29"/>
  <c r="DN23" i="29"/>
  <c r="DN37" i="29"/>
  <c r="K23" i="29"/>
  <c r="K37" i="29"/>
  <c r="CQ23" i="29"/>
  <c r="CQ37" i="29"/>
  <c r="AQ37" i="29"/>
  <c r="AQ23" i="29"/>
  <c r="CT37" i="29"/>
  <c r="CT23" i="29"/>
  <c r="BX23" i="29"/>
  <c r="BX37" i="29"/>
  <c r="EI37" i="29"/>
  <c r="EI23" i="29"/>
  <c r="ES37" i="29"/>
  <c r="ES23" i="29"/>
  <c r="EJ23" i="29"/>
  <c r="EJ37" i="29"/>
  <c r="EG23" i="29"/>
  <c r="EG37" i="29"/>
  <c r="CE23" i="29"/>
  <c r="CE37" i="29"/>
  <c r="AB37" i="29"/>
  <c r="AB23" i="29"/>
  <c r="CB23" i="29"/>
  <c r="CB37" i="29"/>
  <c r="FD37" i="29"/>
  <c r="FD23" i="29"/>
  <c r="CL37" i="29"/>
  <c r="CL23" i="29"/>
  <c r="AN23" i="29"/>
  <c r="AN37" i="29"/>
  <c r="DF23" i="29"/>
  <c r="DF37" i="29"/>
  <c r="CH23" i="29"/>
  <c r="CH37" i="29"/>
  <c r="DB23" i="29"/>
  <c r="DB37" i="29"/>
  <c r="DU37" i="29"/>
  <c r="DU23" i="29"/>
  <c r="DE23" i="29"/>
  <c r="DE37" i="29"/>
  <c r="DA23" i="29"/>
  <c r="DA37" i="29"/>
  <c r="O37" i="29"/>
  <c r="O23" i="29"/>
  <c r="BE37" i="29"/>
  <c r="BE23" i="29"/>
  <c r="E23" i="29"/>
  <c r="E37" i="29"/>
  <c r="S121" i="30"/>
  <c r="S34" i="30"/>
  <c r="S52" i="30"/>
  <c r="EM37" i="29"/>
  <c r="EM23" i="29"/>
  <c r="FC23" i="29"/>
  <c r="FC37" i="29"/>
  <c r="DJ23" i="29"/>
  <c r="DJ37" i="29"/>
  <c r="U23" i="29"/>
  <c r="U37" i="29"/>
  <c r="EZ37" i="29"/>
  <c r="EZ23" i="29"/>
  <c r="DW37" i="29"/>
  <c r="DW23" i="29"/>
  <c r="EV23" i="29"/>
  <c r="EV37" i="29"/>
  <c r="Y23" i="29"/>
  <c r="Y37" i="29"/>
  <c r="X37" i="29"/>
  <c r="X23" i="29"/>
  <c r="DL23" i="29"/>
  <c r="DL37" i="29"/>
  <c r="CO23" i="29"/>
  <c r="CO37" i="29"/>
  <c r="DI23" i="29"/>
  <c r="DI37" i="29"/>
  <c r="CY23" i="29"/>
  <c r="CY37" i="29"/>
  <c r="BN37" i="29"/>
  <c r="BN23" i="29"/>
  <c r="BW23" i="29"/>
  <c r="BW37" i="29"/>
  <c r="BT23" i="29"/>
  <c r="BT37" i="29"/>
  <c r="Q23" i="29"/>
  <c r="Q37" i="29"/>
  <c r="BI37" i="29"/>
  <c r="BI23" i="29"/>
  <c r="AG23" i="29"/>
  <c r="AG37" i="29"/>
  <c r="D23" i="29"/>
  <c r="D37" i="29"/>
  <c r="ER23" i="29"/>
  <c r="ER37" i="29"/>
  <c r="BG23" i="29"/>
  <c r="BG37" i="29"/>
  <c r="CK23" i="29"/>
  <c r="CK37" i="29"/>
  <c r="FJ37" i="29"/>
  <c r="FJ23" i="29"/>
  <c r="EY23" i="29"/>
  <c r="EY37" i="29"/>
  <c r="AR23" i="29"/>
  <c r="AR37" i="29"/>
  <c r="F23" i="29"/>
  <c r="F37" i="29"/>
  <c r="DY37" i="29"/>
  <c r="DY23" i="29"/>
  <c r="DX23" i="29"/>
  <c r="DX37" i="29"/>
  <c r="ET37" i="29"/>
  <c r="ET23" i="29"/>
  <c r="N23" i="29"/>
  <c r="N37" i="29"/>
  <c r="CA37" i="29"/>
  <c r="CA23" i="29"/>
  <c r="L23" i="29"/>
  <c r="L37" i="29"/>
  <c r="DH23" i="29"/>
  <c r="DH37" i="29"/>
  <c r="AY23" i="29"/>
  <c r="AY37" i="29"/>
  <c r="AK37" i="29"/>
  <c r="AK23" i="29"/>
  <c r="DO23" i="29"/>
  <c r="DO37" i="29"/>
  <c r="AL37" i="29"/>
  <c r="AL23" i="29"/>
  <c r="BY37" i="29"/>
  <c r="BY23" i="29"/>
  <c r="CJ37" i="29"/>
  <c r="CJ23" i="29"/>
  <c r="AP37" i="29"/>
  <c r="AP23" i="29"/>
  <c r="FH23" i="29"/>
  <c r="FH37" i="29"/>
  <c r="CG23" i="29"/>
  <c r="CG37" i="29"/>
  <c r="BM37" i="29"/>
  <c r="BM23" i="29"/>
  <c r="V23" i="29"/>
  <c r="V37" i="29"/>
  <c r="AS37" i="29"/>
  <c r="AS23" i="29"/>
  <c r="DC23" i="29"/>
  <c r="DC37" i="29"/>
  <c r="CZ23" i="29"/>
  <c r="CZ37" i="29"/>
  <c r="ED37" i="29"/>
  <c r="ED23" i="29"/>
  <c r="AA23" i="29"/>
  <c r="AA37" i="29"/>
  <c r="EF23" i="29"/>
  <c r="EF37" i="29"/>
  <c r="BV37" i="29"/>
  <c r="BV23" i="29"/>
  <c r="AD23" i="29"/>
  <c r="AD37" i="29"/>
  <c r="AC23" i="29"/>
  <c r="AC37" i="29"/>
  <c r="BR37" i="29"/>
  <c r="BR23" i="29"/>
  <c r="BF37" i="29"/>
  <c r="BF23" i="29"/>
  <c r="DD23" i="29"/>
  <c r="DD37" i="29"/>
  <c r="EK23" i="29"/>
  <c r="EK37" i="29"/>
  <c r="AO37" i="29"/>
  <c r="AO23" i="29"/>
  <c r="I23" i="29"/>
  <c r="I37" i="29"/>
  <c r="BQ23" i="29"/>
  <c r="BQ37" i="29"/>
  <c r="Z23" i="29"/>
  <c r="Z37" i="29"/>
  <c r="BJ37" i="29"/>
  <c r="BJ23" i="29"/>
  <c r="AV23" i="29"/>
  <c r="AV37" i="29"/>
  <c r="Q16" i="30"/>
  <c r="Q18" i="30" s="1"/>
  <c r="AM23" i="29"/>
  <c r="AM37" i="29"/>
  <c r="FE23" i="29"/>
  <c r="FE37" i="29"/>
  <c r="BS37" i="29"/>
  <c r="BS23" i="29"/>
  <c r="CP23" i="29"/>
  <c r="CP37" i="29"/>
  <c r="DM37" i="29"/>
  <c r="DM23" i="29"/>
  <c r="AH23" i="29"/>
  <c r="AH37" i="29"/>
  <c r="EE23" i="29"/>
  <c r="EE37" i="29"/>
  <c r="BB37" i="29"/>
  <c r="BB23" i="29"/>
  <c r="AU23" i="29"/>
  <c r="AU37" i="29"/>
  <c r="EC37" i="29"/>
  <c r="EC23" i="29"/>
  <c r="DK23" i="29"/>
  <c r="DK37" i="29"/>
  <c r="CX23" i="29"/>
  <c r="CX37" i="29"/>
  <c r="DP23" i="29"/>
  <c r="DP37" i="29"/>
  <c r="AJ37" i="29"/>
  <c r="AJ23" i="29"/>
  <c r="DZ37" i="29"/>
  <c r="DZ23" i="29"/>
  <c r="BU23" i="29"/>
  <c r="BU37" i="29"/>
  <c r="EA37" i="29"/>
  <c r="EA23" i="29"/>
  <c r="BC55" i="29" l="1"/>
  <c r="BC56" i="29" s="1"/>
  <c r="BC51" i="29"/>
  <c r="R51" i="29"/>
  <c r="R55" i="29"/>
  <c r="R56" i="29" s="1"/>
  <c r="AX51" i="29"/>
  <c r="AX55" i="29"/>
  <c r="AX56" i="29" s="1"/>
  <c r="CD51" i="29"/>
  <c r="CD55" i="29"/>
  <c r="CD56" i="29" s="1"/>
  <c r="W55" i="29"/>
  <c r="W56" i="29" s="1"/>
  <c r="CI55" i="29"/>
  <c r="CI56" i="29" s="1"/>
  <c r="W51" i="29"/>
  <c r="CI51" i="29"/>
  <c r="O34" i="30"/>
  <c r="O52" i="30"/>
  <c r="O70" i="30" s="1"/>
  <c r="DK55" i="29"/>
  <c r="DK56" i="29" s="1"/>
  <c r="EA55" i="29"/>
  <c r="EA56" i="29" s="1"/>
  <c r="CX51" i="29"/>
  <c r="EE55" i="29"/>
  <c r="EE56" i="29" s="1"/>
  <c r="AP55" i="29"/>
  <c r="AP56" i="29" s="1"/>
  <c r="AG55" i="29"/>
  <c r="AG56" i="29" s="1"/>
  <c r="AU55" i="29"/>
  <c r="AU56" i="29" s="1"/>
  <c r="EE51" i="29"/>
  <c r="H14" i="7"/>
  <c r="BS55" i="29"/>
  <c r="BS56" i="29" s="1"/>
  <c r="AV55" i="29"/>
  <c r="AV56" i="29" s="1"/>
  <c r="BQ51" i="29"/>
  <c r="Q14" i="7"/>
  <c r="EK51" i="29"/>
  <c r="AC55" i="29"/>
  <c r="AC56" i="29" s="1"/>
  <c r="AA51" i="29"/>
  <c r="DC55" i="29"/>
  <c r="DC56" i="29" s="1"/>
  <c r="BM55" i="29"/>
  <c r="BM56" i="29" s="1"/>
  <c r="CJ51" i="29"/>
  <c r="DO51" i="29"/>
  <c r="CC55" i="29"/>
  <c r="CC56" i="29" s="1"/>
  <c r="ET51" i="29"/>
  <c r="AR55" i="29"/>
  <c r="AR56" i="29" s="1"/>
  <c r="BG55" i="29"/>
  <c r="BG56" i="29" s="1"/>
  <c r="AG51" i="29"/>
  <c r="DI51" i="29"/>
  <c r="X55" i="29"/>
  <c r="X56" i="29" s="1"/>
  <c r="FC55" i="29"/>
  <c r="FC56" i="29" s="1"/>
  <c r="DA51" i="29"/>
  <c r="CL51" i="29"/>
  <c r="ES51" i="29"/>
  <c r="CT51" i="29"/>
  <c r="DN55" i="29"/>
  <c r="DN56" i="29" s="1"/>
  <c r="EB55" i="29"/>
  <c r="EB56" i="29" s="1"/>
  <c r="FI51" i="29"/>
  <c r="FG55" i="29"/>
  <c r="FG56" i="29" s="1"/>
  <c r="T55" i="29"/>
  <c r="T56" i="29" s="1"/>
  <c r="FB51" i="29"/>
  <c r="CM51" i="29"/>
  <c r="BH51" i="29"/>
  <c r="BA55" i="29"/>
  <c r="BA56" i="29" s="1"/>
  <c r="I55" i="29"/>
  <c r="I56" i="29" s="1"/>
  <c r="L55" i="29"/>
  <c r="L56" i="29" s="1"/>
  <c r="BW55" i="29"/>
  <c r="BW56" i="29" s="1"/>
  <c r="Y55" i="29"/>
  <c r="Y56" i="29" s="1"/>
  <c r="DE55" i="29"/>
  <c r="DE56" i="29" s="1"/>
  <c r="CH55" i="29"/>
  <c r="CH56" i="29" s="1"/>
  <c r="CL55" i="29"/>
  <c r="CL56" i="29" s="1"/>
  <c r="CE55" i="29"/>
  <c r="CE56" i="29" s="1"/>
  <c r="ES55" i="29"/>
  <c r="ES56" i="29" s="1"/>
  <c r="EB51" i="29"/>
  <c r="FI55" i="29"/>
  <c r="FI56" i="29" s="1"/>
  <c r="FG51" i="29"/>
  <c r="G55" i="29"/>
  <c r="G56" i="29" s="1"/>
  <c r="U52" i="30"/>
  <c r="U34" i="30"/>
  <c r="U121" i="30"/>
  <c r="FB55" i="29"/>
  <c r="FB56" i="29" s="1"/>
  <c r="CM55" i="29"/>
  <c r="CM56" i="29" s="1"/>
  <c r="CN55" i="29"/>
  <c r="CN56" i="29" s="1"/>
  <c r="BA51" i="29"/>
  <c r="AV51" i="29"/>
  <c r="BG51" i="29"/>
  <c r="CT55" i="29"/>
  <c r="CT56" i="29" s="1"/>
  <c r="FE55" i="29"/>
  <c r="FE56" i="29" s="1"/>
  <c r="W16" i="30"/>
  <c r="J14" i="7"/>
  <c r="ED51" i="29"/>
  <c r="AS51" i="29"/>
  <c r="CG55" i="29"/>
  <c r="CG56" i="29" s="1"/>
  <c r="BY51" i="29"/>
  <c r="AK55" i="29"/>
  <c r="AK56" i="29" s="1"/>
  <c r="L51" i="29"/>
  <c r="DX55" i="29"/>
  <c r="DX56" i="29" s="1"/>
  <c r="EY55" i="29"/>
  <c r="EY56" i="29" s="1"/>
  <c r="ER55" i="29"/>
  <c r="ER56" i="29" s="1"/>
  <c r="BI55" i="29"/>
  <c r="BI56" i="29" s="1"/>
  <c r="BW51" i="29"/>
  <c r="CO51" i="29"/>
  <c r="Y51" i="29"/>
  <c r="EZ55" i="29"/>
  <c r="EZ56" i="29" s="1"/>
  <c r="E51" i="29"/>
  <c r="E13" i="5"/>
  <c r="DE51" i="29"/>
  <c r="CH51" i="29"/>
  <c r="FD51" i="29"/>
  <c r="CE51" i="29"/>
  <c r="AQ51" i="29"/>
  <c r="FF51" i="29"/>
  <c r="EX51" i="29"/>
  <c r="BZ55" i="29"/>
  <c r="BZ56" i="29" s="1"/>
  <c r="CF51" i="29"/>
  <c r="G51" i="29"/>
  <c r="EL55" i="29"/>
  <c r="EL56" i="29" s="1"/>
  <c r="CN51" i="29"/>
  <c r="AZ55" i="29"/>
  <c r="AZ56" i="29" s="1"/>
  <c r="AH55" i="29"/>
  <c r="AH56" i="29" s="1"/>
  <c r="DC51" i="29"/>
  <c r="ET55" i="29"/>
  <c r="ET56" i="29" s="1"/>
  <c r="EZ51" i="29"/>
  <c r="BZ51" i="29"/>
  <c r="DK51" i="29"/>
  <c r="AH51" i="29"/>
  <c r="I13" i="5"/>
  <c r="DD51" i="29"/>
  <c r="DM51" i="29"/>
  <c r="FE51" i="29"/>
  <c r="BJ51" i="29"/>
  <c r="I121" i="30"/>
  <c r="I34" i="30"/>
  <c r="I52" i="30"/>
  <c r="W18" i="30"/>
  <c r="W121" i="30" s="1"/>
  <c r="BV51" i="29"/>
  <c r="ED55" i="29"/>
  <c r="ED56" i="29" s="1"/>
  <c r="AS55" i="29"/>
  <c r="AS56" i="29" s="1"/>
  <c r="CG51" i="29"/>
  <c r="BY55" i="29"/>
  <c r="BY56" i="29" s="1"/>
  <c r="AY55" i="29"/>
  <c r="AY56" i="29" s="1"/>
  <c r="DX51" i="29"/>
  <c r="E14" i="7"/>
  <c r="EY51" i="29"/>
  <c r="ER51" i="29"/>
  <c r="BN51" i="29"/>
  <c r="EV55" i="29"/>
  <c r="EV56" i="29" s="1"/>
  <c r="U55" i="29"/>
  <c r="U56" i="29" s="1"/>
  <c r="R14" i="7"/>
  <c r="EM51" i="29"/>
  <c r="BE51" i="29"/>
  <c r="DF55" i="29"/>
  <c r="DF56" i="29" s="1"/>
  <c r="FD55" i="29"/>
  <c r="FD56" i="29" s="1"/>
  <c r="EG55" i="29"/>
  <c r="EG56" i="29" s="1"/>
  <c r="AQ55" i="29"/>
  <c r="AQ56" i="29" s="1"/>
  <c r="FF55" i="29"/>
  <c r="FF56" i="29" s="1"/>
  <c r="EH55" i="29"/>
  <c r="EH56" i="29" s="1"/>
  <c r="EW51" i="29"/>
  <c r="EU55" i="29"/>
  <c r="EU56" i="29" s="1"/>
  <c r="CF55" i="29"/>
  <c r="CF56" i="29" s="1"/>
  <c r="M55" i="29"/>
  <c r="M56" i="29" s="1"/>
  <c r="EL51" i="29"/>
  <c r="P55" i="29"/>
  <c r="P56" i="29" s="1"/>
  <c r="CS55" i="29"/>
  <c r="CS56" i="29" s="1"/>
  <c r="AZ51" i="29"/>
  <c r="AU51" i="29"/>
  <c r="DD55" i="29"/>
  <c r="DD56" i="29" s="1"/>
  <c r="AK51" i="29"/>
  <c r="BI51" i="29"/>
  <c r="FC51" i="29"/>
  <c r="DN51" i="29"/>
  <c r="AJ55" i="29"/>
  <c r="AJ56" i="29" s="1"/>
  <c r="DP55" i="29"/>
  <c r="DP56" i="29" s="1"/>
  <c r="DM55" i="29"/>
  <c r="DM56" i="29" s="1"/>
  <c r="X16" i="30"/>
  <c r="BV55" i="29"/>
  <c r="BV56" i="29" s="1"/>
  <c r="FH55" i="29"/>
  <c r="FH56" i="29" s="1"/>
  <c r="AY51" i="29"/>
  <c r="CA51" i="29"/>
  <c r="L14" i="7"/>
  <c r="DY51" i="29"/>
  <c r="FJ51" i="29"/>
  <c r="Q55" i="29"/>
  <c r="Q56" i="29" s="1"/>
  <c r="BN55" i="29"/>
  <c r="BN56" i="29" s="1"/>
  <c r="DL55" i="29"/>
  <c r="DL56" i="29" s="1"/>
  <c r="EV51" i="29"/>
  <c r="U51" i="29"/>
  <c r="EM55" i="29"/>
  <c r="EM56" i="29" s="1"/>
  <c r="BE55" i="29"/>
  <c r="BE56" i="29" s="1"/>
  <c r="DU51" i="29"/>
  <c r="DF51" i="29"/>
  <c r="CB55" i="29"/>
  <c r="CB56" i="29" s="1"/>
  <c r="P14" i="7"/>
  <c r="EG51" i="29"/>
  <c r="N14" i="7"/>
  <c r="EI51" i="29"/>
  <c r="CQ55" i="29"/>
  <c r="CQ56" i="29" s="1"/>
  <c r="AW51" i="29"/>
  <c r="EH51" i="29"/>
  <c r="M14" i="7"/>
  <c r="EW55" i="29"/>
  <c r="EW56" i="29" s="1"/>
  <c r="EU51" i="29"/>
  <c r="M51" i="29"/>
  <c r="M70" i="30"/>
  <c r="P51" i="29"/>
  <c r="CS51" i="29"/>
  <c r="H51" i="29"/>
  <c r="AC51" i="29"/>
  <c r="CJ55" i="29"/>
  <c r="CJ56" i="29" s="1"/>
  <c r="AR51" i="29"/>
  <c r="CO55" i="29"/>
  <c r="CO56" i="29" s="1"/>
  <c r="E55" i="29"/>
  <c r="E56" i="29" s="1"/>
  <c r="EX55" i="29"/>
  <c r="EX56" i="29" s="1"/>
  <c r="BU51" i="29"/>
  <c r="I51" i="29"/>
  <c r="DZ51" i="29"/>
  <c r="G14" i="7"/>
  <c r="F14" i="7"/>
  <c r="EC51" i="29"/>
  <c r="BB51" i="29"/>
  <c r="AM55" i="29"/>
  <c r="AM56" i="29" s="1"/>
  <c r="BJ55" i="29"/>
  <c r="BJ56" i="29" s="1"/>
  <c r="BF51" i="29"/>
  <c r="DZ55" i="29"/>
  <c r="DZ56" i="29" s="1"/>
  <c r="DP51" i="29"/>
  <c r="EC55" i="29"/>
  <c r="EC56" i="29" s="1"/>
  <c r="BB55" i="29"/>
  <c r="BB56" i="29" s="1"/>
  <c r="CP55" i="29"/>
  <c r="CP56" i="29" s="1"/>
  <c r="AM51" i="29"/>
  <c r="Z55" i="29"/>
  <c r="Z56" i="29" s="1"/>
  <c r="AO51" i="29"/>
  <c r="BF55" i="29"/>
  <c r="BF56" i="29" s="1"/>
  <c r="AD55" i="29"/>
  <c r="AD56" i="29" s="1"/>
  <c r="EF55" i="29"/>
  <c r="EF56" i="29" s="1"/>
  <c r="CZ55" i="29"/>
  <c r="CZ56" i="29" s="1"/>
  <c r="V55" i="29"/>
  <c r="V56" i="29" s="1"/>
  <c r="FH51" i="29"/>
  <c r="AL51" i="29"/>
  <c r="DH55" i="29"/>
  <c r="DH56" i="29" s="1"/>
  <c r="CA55" i="29"/>
  <c r="CA56" i="29" s="1"/>
  <c r="DY55" i="29"/>
  <c r="DY56" i="29" s="1"/>
  <c r="FJ55" i="29"/>
  <c r="FJ56" i="29" s="1"/>
  <c r="D55" i="29"/>
  <c r="D56" i="29" s="1"/>
  <c r="Q51" i="29"/>
  <c r="H13" i="5"/>
  <c r="CY55" i="29"/>
  <c r="CY56" i="29" s="1"/>
  <c r="DL51" i="29"/>
  <c r="O51" i="29"/>
  <c r="DU55" i="29"/>
  <c r="DU56" i="29" s="1"/>
  <c r="AN55" i="29"/>
  <c r="AN56" i="29" s="1"/>
  <c r="CB51" i="29"/>
  <c r="EJ55" i="29"/>
  <c r="EJ56" i="29" s="1"/>
  <c r="EI55" i="29"/>
  <c r="EI56" i="29" s="1"/>
  <c r="CQ51" i="29"/>
  <c r="AW55" i="29"/>
  <c r="AW56" i="29" s="1"/>
  <c r="AE55" i="29"/>
  <c r="AE56" i="29" s="1"/>
  <c r="DV51" i="29"/>
  <c r="D14" i="7"/>
  <c r="BK55" i="29"/>
  <c r="BK56" i="29" s="1"/>
  <c r="BP55" i="29"/>
  <c r="BP56" i="29" s="1"/>
  <c r="BD51" i="29"/>
  <c r="H55" i="29"/>
  <c r="H56" i="29" s="1"/>
  <c r="AJ51" i="29"/>
  <c r="Q121" i="30"/>
  <c r="Q34" i="30"/>
  <c r="Q52" i="30"/>
  <c r="Z51" i="29"/>
  <c r="AO55" i="29"/>
  <c r="AO56" i="29" s="1"/>
  <c r="BR51" i="29"/>
  <c r="AD51" i="29"/>
  <c r="EF51" i="29"/>
  <c r="I14" i="7"/>
  <c r="CZ51" i="29"/>
  <c r="V51" i="29"/>
  <c r="AP51" i="29"/>
  <c r="AL55" i="29"/>
  <c r="AL56" i="29" s="1"/>
  <c r="DH51" i="29"/>
  <c r="N55" i="29"/>
  <c r="N56" i="29" s="1"/>
  <c r="F55" i="29"/>
  <c r="F56" i="29" s="1"/>
  <c r="CK55" i="29"/>
  <c r="CK56" i="29" s="1"/>
  <c r="D51" i="29"/>
  <c r="G13" i="5"/>
  <c r="BT55" i="29"/>
  <c r="BT56" i="29" s="1"/>
  <c r="CY51" i="29"/>
  <c r="DW51" i="29"/>
  <c r="DJ55" i="29"/>
  <c r="DJ56" i="29" s="1"/>
  <c r="S70" i="30"/>
  <c r="O55" i="29"/>
  <c r="O56" i="29" s="1"/>
  <c r="DB55" i="29"/>
  <c r="DB56" i="29" s="1"/>
  <c r="AN51" i="29"/>
  <c r="AB51" i="29"/>
  <c r="O14" i="7"/>
  <c r="EJ51" i="29"/>
  <c r="BX55" i="29"/>
  <c r="BX56" i="29" s="1"/>
  <c r="K55" i="29"/>
  <c r="K56" i="29" s="1"/>
  <c r="S55" i="29"/>
  <c r="S56" i="29" s="1"/>
  <c r="DG55" i="29"/>
  <c r="DG56" i="29" s="1"/>
  <c r="AT55" i="29"/>
  <c r="AT56" i="29" s="1"/>
  <c r="AE51" i="29"/>
  <c r="DV55" i="29"/>
  <c r="DV56" i="29" s="1"/>
  <c r="FA51" i="29"/>
  <c r="BK51" i="29"/>
  <c r="BP51" i="29"/>
  <c r="BD55" i="29"/>
  <c r="BD56" i="29" s="1"/>
  <c r="J55" i="29"/>
  <c r="J56" i="29" s="1"/>
  <c r="BU55" i="29"/>
  <c r="BU56" i="29" s="1"/>
  <c r="EA51" i="29"/>
  <c r="K14" i="7"/>
  <c r="CX55" i="29"/>
  <c r="CX56" i="29" s="1"/>
  <c r="CP51" i="29"/>
  <c r="BS51" i="29"/>
  <c r="BQ55" i="29"/>
  <c r="BQ56" i="29" s="1"/>
  <c r="EK55" i="29"/>
  <c r="EK56" i="29" s="1"/>
  <c r="BR55" i="29"/>
  <c r="BR56" i="29" s="1"/>
  <c r="AA55" i="29"/>
  <c r="AA56" i="29" s="1"/>
  <c r="BM51" i="29"/>
  <c r="DO55" i="29"/>
  <c r="DO56" i="29" s="1"/>
  <c r="CC51" i="29"/>
  <c r="N51" i="29"/>
  <c r="F13" i="5"/>
  <c r="F51" i="29"/>
  <c r="CK51" i="29"/>
  <c r="BT51" i="29"/>
  <c r="DI55" i="29"/>
  <c r="DI56" i="29" s="1"/>
  <c r="X51" i="29"/>
  <c r="DW55" i="29"/>
  <c r="DW56" i="29" s="1"/>
  <c r="DJ51" i="29"/>
  <c r="DA55" i="29"/>
  <c r="DA56" i="29" s="1"/>
  <c r="DB51" i="29"/>
  <c r="AB55" i="29"/>
  <c r="AB56" i="29" s="1"/>
  <c r="BX51" i="29"/>
  <c r="K51" i="29"/>
  <c r="S51" i="29"/>
  <c r="D13" i="5"/>
  <c r="DG51" i="29"/>
  <c r="AT51" i="29"/>
  <c r="FA55" i="29"/>
  <c r="FA56" i="29" s="1"/>
  <c r="T51" i="29"/>
  <c r="X18" i="30"/>
  <c r="K52" i="30"/>
  <c r="K121" i="30"/>
  <c r="BH55" i="29"/>
  <c r="BH56" i="29" s="1"/>
  <c r="J51" i="29"/>
  <c r="CI52" i="29" l="1"/>
  <c r="W52" i="29"/>
  <c r="AX52" i="29"/>
  <c r="R52" i="29"/>
  <c r="BC52" i="29"/>
  <c r="CD52" i="29"/>
  <c r="BX52" i="29"/>
  <c r="AT52" i="29"/>
  <c r="K52" i="29"/>
  <c r="X52" i="29"/>
  <c r="F52" i="29"/>
  <c r="CP52" i="29"/>
  <c r="BP52" i="29"/>
  <c r="AE52" i="29"/>
  <c r="AB52" i="29"/>
  <c r="T70" i="30"/>
  <c r="AJ52" i="29"/>
  <c r="U14" i="7"/>
  <c r="CQ52" i="29"/>
  <c r="AL52" i="29"/>
  <c r="EC52" i="29"/>
  <c r="I52" i="29"/>
  <c r="AC52" i="29"/>
  <c r="N70" i="30"/>
  <c r="AW52" i="29"/>
  <c r="DU52" i="29"/>
  <c r="EV52" i="29"/>
  <c r="FJ52" i="29"/>
  <c r="CA52" i="29"/>
  <c r="BJ52" i="29"/>
  <c r="DD52" i="29"/>
  <c r="BZ52" i="29"/>
  <c r="EX52" i="29"/>
  <c r="CE52" i="29"/>
  <c r="CO52" i="29"/>
  <c r="BY52" i="29"/>
  <c r="DE42" i="29"/>
  <c r="EB42" i="29"/>
  <c r="EG52" i="29"/>
  <c r="AZ52" i="29"/>
  <c r="EL52" i="29"/>
  <c r="EW52" i="29"/>
  <c r="BE52" i="29"/>
  <c r="CG52" i="29"/>
  <c r="BG52" i="29"/>
  <c r="FB52" i="29"/>
  <c r="CL52" i="29"/>
  <c r="DI52" i="29"/>
  <c r="ET52" i="29"/>
  <c r="AP52" i="29"/>
  <c r="EF52" i="29"/>
  <c r="Z52" i="29"/>
  <c r="DV52" i="29"/>
  <c r="FH52" i="29"/>
  <c r="AM52" i="29"/>
  <c r="DP52" i="29"/>
  <c r="H52" i="29"/>
  <c r="M52" i="29"/>
  <c r="I70" i="30"/>
  <c r="W52" i="30"/>
  <c r="W70" i="30" s="1"/>
  <c r="X52" i="30"/>
  <c r="FE52" i="29"/>
  <c r="EZ52" i="29"/>
  <c r="G52" i="29"/>
  <c r="FF52" i="29"/>
  <c r="FD52" i="29"/>
  <c r="E52" i="29"/>
  <c r="BW52" i="29"/>
  <c r="DG52" i="29"/>
  <c r="AN52" i="29"/>
  <c r="DN52" i="29"/>
  <c r="AK52" i="29"/>
  <c r="BN52" i="29"/>
  <c r="DX52" i="29"/>
  <c r="X34" i="30"/>
  <c r="W34" i="30"/>
  <c r="AV52" i="29"/>
  <c r="FG52" i="29"/>
  <c r="DA52" i="29"/>
  <c r="AG52" i="29"/>
  <c r="CX52" i="29"/>
  <c r="T52" i="29"/>
  <c r="DJ52" i="29"/>
  <c r="BT52" i="29"/>
  <c r="N52" i="29"/>
  <c r="BS52" i="29"/>
  <c r="FA52" i="29"/>
  <c r="EJ52" i="29"/>
  <c r="DW52" i="29"/>
  <c r="D52" i="29"/>
  <c r="DH52" i="29"/>
  <c r="V52" i="29"/>
  <c r="AD52" i="29"/>
  <c r="Q70" i="30"/>
  <c r="O52" i="29"/>
  <c r="Q52" i="29"/>
  <c r="BB52" i="29"/>
  <c r="BU52" i="29"/>
  <c r="AR52" i="29"/>
  <c r="CS52" i="29"/>
  <c r="EU52" i="29"/>
  <c r="EH52" i="29"/>
  <c r="AY52" i="29"/>
  <c r="EM52" i="29"/>
  <c r="DM52" i="29"/>
  <c r="AH52" i="29"/>
  <c r="CN52" i="29"/>
  <c r="CF52" i="29"/>
  <c r="AQ52" i="29"/>
  <c r="CH52" i="29"/>
  <c r="L52" i="29"/>
  <c r="AS52" i="29"/>
  <c r="EK52" i="29"/>
  <c r="J52" i="29"/>
  <c r="L13" i="5"/>
  <c r="EA52" i="29"/>
  <c r="EI52" i="29"/>
  <c r="DY52" i="29"/>
  <c r="FC52" i="29"/>
  <c r="ER52" i="29"/>
  <c r="BA52" i="29"/>
  <c r="BH52" i="29"/>
  <c r="CT52" i="29"/>
  <c r="DO52" i="29"/>
  <c r="AA52" i="29"/>
  <c r="K70" i="30"/>
  <c r="BM52" i="29"/>
  <c r="BK52" i="29"/>
  <c r="CY52" i="29"/>
  <c r="CZ52" i="29"/>
  <c r="BR52" i="29"/>
  <c r="BD52" i="29"/>
  <c r="CB52" i="29"/>
  <c r="DL52" i="29"/>
  <c r="AO52" i="29"/>
  <c r="BF52" i="29"/>
  <c r="DZ52" i="29"/>
  <c r="P52" i="29"/>
  <c r="DF52" i="29"/>
  <c r="U52" i="29"/>
  <c r="DK52" i="29"/>
  <c r="DC52" i="29"/>
  <c r="DE52" i="29"/>
  <c r="Y52" i="29"/>
  <c r="S52" i="29"/>
  <c r="DB52" i="29"/>
  <c r="CK52" i="29"/>
  <c r="CC52" i="29"/>
  <c r="BI52" i="29"/>
  <c r="AU52" i="29"/>
  <c r="EY52" i="29"/>
  <c r="BV52" i="29"/>
  <c r="EY42" i="29"/>
  <c r="ED52" i="29"/>
  <c r="U70" i="30"/>
  <c r="EB52" i="29"/>
  <c r="CM52" i="29"/>
  <c r="FI52" i="29"/>
  <c r="ES52" i="29"/>
  <c r="CJ52" i="29"/>
  <c r="P70" i="30"/>
  <c r="BQ52" i="29"/>
  <c r="EE52" i="29"/>
  <c r="L70" i="30" l="1"/>
  <c r="R70" i="30"/>
  <c r="X70" i="30"/>
  <c r="J70" i="30"/>
  <c r="V70" i="30"/>
  <c r="AF58" i="29" l="1"/>
  <c r="AF42" i="29"/>
  <c r="CR58" i="29"/>
  <c r="BF59" i="29"/>
  <c r="CL59" i="29"/>
  <c r="Z59" i="29"/>
  <c r="G9" i="31"/>
  <c r="I9" i="31" s="1"/>
  <c r="L9" i="31" l="1"/>
  <c r="K70" i="31" s="1"/>
  <c r="M69" i="31" s="1"/>
  <c r="AJ19" i="29" s="1"/>
  <c r="H70" i="31"/>
  <c r="J69" i="31" s="1"/>
  <c r="D19" i="29" s="1"/>
  <c r="D8" i="29"/>
  <c r="AJ7" i="29"/>
  <c r="G9" i="5" s="1"/>
  <c r="D7" i="29"/>
  <c r="BP7" i="29"/>
  <c r="O9" i="31"/>
  <c r="E92" i="15"/>
  <c r="E209" i="15"/>
  <c r="D20" i="15"/>
  <c r="D87" i="15"/>
  <c r="E288" i="15"/>
  <c r="D103" i="15"/>
  <c r="E217" i="15"/>
  <c r="C171" i="15"/>
  <c r="E74" i="15"/>
  <c r="D200" i="15"/>
  <c r="D301" i="15"/>
  <c r="E289" i="15"/>
  <c r="D359" i="15"/>
  <c r="C214" i="15"/>
  <c r="D330" i="15"/>
  <c r="D324" i="15"/>
  <c r="E195" i="15"/>
  <c r="E374" i="15"/>
  <c r="E359" i="15"/>
  <c r="D105" i="15"/>
  <c r="E323" i="15"/>
  <c r="C79" i="15"/>
  <c r="C103" i="15"/>
  <c r="D230" i="15"/>
  <c r="D126" i="15"/>
  <c r="E191" i="15"/>
  <c r="C217" i="15"/>
  <c r="E68" i="15"/>
  <c r="D84" i="15"/>
  <c r="D120" i="15"/>
  <c r="C234" i="15"/>
  <c r="C321" i="15"/>
  <c r="C30" i="15"/>
  <c r="D248" i="15"/>
  <c r="E282" i="15"/>
  <c r="C63" i="15"/>
  <c r="E344" i="15"/>
  <c r="C292" i="15"/>
  <c r="C95" i="15"/>
  <c r="C237" i="15"/>
  <c r="C211" i="15"/>
  <c r="C351" i="15"/>
  <c r="D37" i="15"/>
  <c r="C246" i="15"/>
  <c r="D265" i="15"/>
  <c r="D125" i="15"/>
  <c r="C243" i="15"/>
  <c r="D278" i="15"/>
  <c r="D94" i="15"/>
  <c r="D151" i="15"/>
  <c r="E232" i="15"/>
  <c r="E107" i="15"/>
  <c r="D300" i="15"/>
  <c r="E317" i="15"/>
  <c r="C108" i="15"/>
  <c r="C12" i="15"/>
  <c r="D69" i="15"/>
  <c r="D27" i="15"/>
  <c r="C277" i="15"/>
  <c r="D41" i="15"/>
  <c r="D314" i="15"/>
  <c r="D66" i="15"/>
  <c r="C124" i="15"/>
  <c r="C210" i="15"/>
  <c r="D374" i="15"/>
  <c r="C229" i="15"/>
  <c r="D272" i="15"/>
  <c r="D225" i="15"/>
  <c r="C312" i="15"/>
  <c r="D137" i="15"/>
  <c r="D356" i="15"/>
  <c r="E212" i="15"/>
  <c r="C143" i="15"/>
  <c r="C55" i="15"/>
  <c r="D40" i="15"/>
  <c r="C309" i="15"/>
  <c r="D17" i="15"/>
  <c r="D127" i="15"/>
  <c r="D131" i="15"/>
  <c r="C59" i="15"/>
  <c r="C80" i="15"/>
  <c r="E66" i="15"/>
  <c r="C191" i="15"/>
  <c r="E327" i="15"/>
  <c r="C133" i="15"/>
  <c r="E12" i="15"/>
  <c r="C301" i="15"/>
  <c r="D139" i="15"/>
  <c r="E345" i="15"/>
  <c r="C117" i="15"/>
  <c r="D42" i="15"/>
  <c r="C232" i="15"/>
  <c r="D70" i="15"/>
  <c r="D319" i="15"/>
  <c r="C353" i="15"/>
  <c r="C23" i="15"/>
  <c r="D67" i="15"/>
  <c r="D325" i="15"/>
  <c r="C86" i="15"/>
  <c r="C195" i="15"/>
  <c r="E98" i="15"/>
  <c r="C173" i="15"/>
  <c r="E179" i="15"/>
  <c r="D39" i="15"/>
  <c r="C324" i="15"/>
  <c r="E372" i="15"/>
  <c r="D375" i="15"/>
  <c r="C204" i="15"/>
  <c r="C150" i="15"/>
  <c r="C267" i="15"/>
  <c r="C97" i="15"/>
  <c r="E11" i="15"/>
  <c r="C72" i="15"/>
  <c r="C197" i="15"/>
  <c r="C15" i="15"/>
  <c r="E229" i="15"/>
  <c r="D183" i="15"/>
  <c r="E346" i="15"/>
  <c r="D61" i="15"/>
  <c r="C185" i="15"/>
  <c r="D232" i="15"/>
  <c r="E253" i="15"/>
  <c r="D192" i="15"/>
  <c r="C241" i="15"/>
  <c r="E319" i="15"/>
  <c r="C367" i="15"/>
  <c r="D88" i="15"/>
  <c r="E213" i="15"/>
  <c r="D364" i="15"/>
  <c r="D216" i="15"/>
  <c r="C43" i="15"/>
  <c r="C90" i="15"/>
  <c r="C274" i="15"/>
  <c r="E17" i="15"/>
  <c r="C156" i="15"/>
  <c r="C239" i="15"/>
  <c r="D184" i="15"/>
  <c r="C362" i="15"/>
  <c r="C223" i="15"/>
  <c r="D260" i="15"/>
  <c r="C364" i="15"/>
  <c r="E108" i="15"/>
  <c r="E60" i="15"/>
  <c r="D366" i="15"/>
  <c r="C163" i="15"/>
  <c r="D255" i="15"/>
  <c r="C261" i="15"/>
  <c r="C88" i="15"/>
  <c r="C152" i="15"/>
  <c r="D275" i="15"/>
  <c r="D54" i="15"/>
  <c r="C74" i="15"/>
  <c r="C32" i="15"/>
  <c r="E269" i="15"/>
  <c r="D140" i="15"/>
  <c r="D156" i="15"/>
  <c r="E291" i="15"/>
  <c r="C338" i="15"/>
  <c r="C102" i="15"/>
  <c r="E140" i="15"/>
  <c r="E298" i="15"/>
  <c r="C224" i="15"/>
  <c r="C273" i="15"/>
  <c r="C67" i="15"/>
  <c r="C125" i="15"/>
  <c r="D363" i="15"/>
  <c r="D28" i="15"/>
  <c r="E343" i="15"/>
  <c r="D165" i="15"/>
  <c r="D180" i="15"/>
  <c r="D355" i="15"/>
  <c r="D98" i="15"/>
  <c r="C350" i="15"/>
  <c r="D220" i="15"/>
  <c r="E103" i="15"/>
  <c r="D13" i="15"/>
  <c r="D296" i="15"/>
  <c r="C221" i="15"/>
  <c r="E241" i="15"/>
  <c r="E196" i="15"/>
  <c r="C76" i="15"/>
  <c r="E299" i="15"/>
  <c r="C250" i="15"/>
  <c r="E206" i="15"/>
  <c r="D198" i="15"/>
  <c r="E223" i="15"/>
  <c r="D148" i="15"/>
  <c r="C304" i="15"/>
  <c r="C134" i="15"/>
  <c r="C348" i="15"/>
  <c r="C205" i="15"/>
  <c r="E53" i="15"/>
  <c r="C216" i="15"/>
  <c r="D12" i="15"/>
  <c r="D226" i="15"/>
  <c r="C141" i="15"/>
  <c r="D177" i="15"/>
  <c r="C219" i="15"/>
  <c r="E112" i="15"/>
  <c r="C100" i="15"/>
  <c r="E141" i="15"/>
  <c r="D16" i="15"/>
  <c r="D93" i="15"/>
  <c r="E145" i="15"/>
  <c r="E207" i="15"/>
  <c r="D164" i="15"/>
  <c r="C276" i="15"/>
  <c r="C207" i="15"/>
  <c r="D6" i="15"/>
  <c r="E325" i="15"/>
  <c r="E204" i="15"/>
  <c r="C194" i="15"/>
  <c r="E367" i="15"/>
  <c r="D204" i="15"/>
  <c r="D241" i="15"/>
  <c r="D312" i="15"/>
  <c r="C121" i="15"/>
  <c r="E312" i="15"/>
  <c r="D208" i="15"/>
  <c r="D143" i="15"/>
  <c r="E169" i="15"/>
  <c r="E13" i="15"/>
  <c r="D23" i="15"/>
  <c r="E306" i="15"/>
  <c r="E322" i="15"/>
  <c r="D293" i="15"/>
  <c r="C20" i="15"/>
  <c r="D74" i="15"/>
  <c r="D19" i="15"/>
  <c r="E270" i="15"/>
  <c r="E176" i="15"/>
  <c r="C144" i="15"/>
  <c r="D138" i="15"/>
  <c r="C360" i="15"/>
  <c r="D124" i="15"/>
  <c r="E264" i="15"/>
  <c r="C332" i="15"/>
  <c r="D15" i="15"/>
  <c r="E86" i="15"/>
  <c r="E170" i="15"/>
  <c r="E242" i="15"/>
  <c r="C60" i="15"/>
  <c r="C4" i="15"/>
  <c r="C160" i="15"/>
  <c r="D328" i="15"/>
  <c r="D47" i="15"/>
  <c r="D14" i="15"/>
  <c r="E324" i="15"/>
  <c r="E331" i="15"/>
  <c r="C225" i="15"/>
  <c r="E130" i="15"/>
  <c r="E363" i="15"/>
  <c r="E200" i="15"/>
  <c r="D262" i="15"/>
  <c r="C346" i="15"/>
  <c r="E161" i="15"/>
  <c r="E54" i="15"/>
  <c r="E309" i="15"/>
  <c r="D159" i="15"/>
  <c r="E121" i="15"/>
  <c r="C248" i="15"/>
  <c r="D116" i="15"/>
  <c r="C94" i="15"/>
  <c r="C81" i="15"/>
  <c r="D231" i="15"/>
  <c r="D36" i="15"/>
  <c r="D57" i="15"/>
  <c r="E172" i="15"/>
  <c r="E320" i="15"/>
  <c r="E369" i="15"/>
  <c r="C22" i="15"/>
  <c r="C175" i="15"/>
  <c r="D188" i="15"/>
  <c r="C218" i="15"/>
  <c r="D242" i="15"/>
  <c r="C251" i="15"/>
  <c r="E43" i="15"/>
  <c r="D347" i="15"/>
  <c r="E116" i="15"/>
  <c r="D253" i="15"/>
  <c r="C14" i="15"/>
  <c r="C68" i="15"/>
  <c r="C176" i="15"/>
  <c r="D112" i="15"/>
  <c r="C170" i="15"/>
  <c r="C123" i="15"/>
  <c r="E293" i="15"/>
  <c r="D135" i="15"/>
  <c r="C69" i="15"/>
  <c r="C148" i="15"/>
  <c r="C165" i="15"/>
  <c r="E236" i="15"/>
  <c r="E295" i="15"/>
  <c r="E37" i="15"/>
  <c r="C238" i="15"/>
  <c r="C40" i="15"/>
  <c r="E144" i="15"/>
  <c r="E150" i="15"/>
  <c r="E297" i="15"/>
  <c r="E272" i="15"/>
  <c r="C77" i="15"/>
  <c r="E356" i="15"/>
  <c r="E300" i="15"/>
  <c r="E36" i="15"/>
  <c r="E147" i="15"/>
  <c r="D214" i="15"/>
  <c r="E361" i="15"/>
  <c r="E273" i="15"/>
  <c r="D367" i="15"/>
  <c r="C278" i="15"/>
  <c r="E124" i="15"/>
  <c r="E208" i="15"/>
  <c r="C222" i="15"/>
  <c r="D362" i="15"/>
  <c r="C57" i="15"/>
  <c r="E26" i="15"/>
  <c r="E146" i="15"/>
  <c r="E271" i="15"/>
  <c r="D207" i="15"/>
  <c r="E238" i="15"/>
  <c r="D106" i="15"/>
  <c r="C200" i="15"/>
  <c r="D211" i="15"/>
  <c r="E231" i="15"/>
  <c r="D334" i="15"/>
  <c r="C316" i="15"/>
  <c r="E230" i="15"/>
  <c r="E106" i="15"/>
  <c r="E63" i="15"/>
  <c r="C113" i="15"/>
  <c r="D286" i="15"/>
  <c r="D212" i="15"/>
  <c r="D115" i="15"/>
  <c r="C325" i="15"/>
  <c r="D234" i="15"/>
  <c r="D360" i="15"/>
  <c r="C294" i="15"/>
  <c r="D62" i="15"/>
  <c r="D338" i="15"/>
  <c r="E336" i="15"/>
  <c r="D288" i="15"/>
  <c r="E127" i="15"/>
  <c r="E365" i="15"/>
  <c r="D8" i="15"/>
  <c r="E128" i="15"/>
  <c r="D245" i="15"/>
  <c r="E30" i="15"/>
  <c r="E266" i="15"/>
  <c r="E318" i="15"/>
  <c r="D285" i="15"/>
  <c r="E355" i="15"/>
  <c r="E6" i="15"/>
  <c r="E260" i="15"/>
  <c r="D130" i="15"/>
  <c r="E4" i="15"/>
  <c r="E353" i="15"/>
  <c r="C342" i="15"/>
  <c r="E19" i="15"/>
  <c r="E201" i="15"/>
  <c r="C293" i="15"/>
  <c r="C339" i="15"/>
  <c r="E155" i="15"/>
  <c r="E168" i="15"/>
  <c r="E81" i="15"/>
  <c r="D194" i="15"/>
  <c r="C291" i="15"/>
  <c r="D219" i="15"/>
  <c r="E177" i="15"/>
  <c r="C375" i="15"/>
  <c r="E190" i="15"/>
  <c r="E261" i="15"/>
  <c r="C228" i="15"/>
  <c r="D222" i="15"/>
  <c r="E338" i="15"/>
  <c r="D38" i="15"/>
  <c r="E214" i="15"/>
  <c r="D101" i="15"/>
  <c r="E94" i="15"/>
  <c r="C279" i="15"/>
  <c r="D123" i="15"/>
  <c r="E371" i="15"/>
  <c r="C73" i="15"/>
  <c r="E316" i="15"/>
  <c r="D77" i="15"/>
  <c r="D95" i="15"/>
  <c r="E328" i="15"/>
  <c r="C215" i="15"/>
  <c r="E142" i="15"/>
  <c r="E157" i="15"/>
  <c r="D145" i="15"/>
  <c r="C122" i="15"/>
  <c r="E20" i="15"/>
  <c r="D91" i="15"/>
  <c r="D72" i="15"/>
  <c r="C236" i="15"/>
  <c r="E368" i="15"/>
  <c r="E149" i="15"/>
  <c r="E117" i="15"/>
  <c r="C158" i="15"/>
  <c r="D236" i="15"/>
  <c r="C199" i="15"/>
  <c r="E27" i="15"/>
  <c r="E255" i="15"/>
  <c r="E301" i="15"/>
  <c r="D166" i="15"/>
  <c r="E16" i="15"/>
  <c r="C303" i="15"/>
  <c r="D218" i="15"/>
  <c r="D344" i="15"/>
  <c r="D209" i="15"/>
  <c r="C89" i="15"/>
  <c r="C37" i="15"/>
  <c r="C25" i="15"/>
  <c r="D79" i="15"/>
  <c r="D372" i="15"/>
  <c r="E193" i="15"/>
  <c r="D217" i="15"/>
  <c r="E126" i="15"/>
  <c r="D110" i="15"/>
  <c r="D277" i="15"/>
  <c r="E375" i="15"/>
  <c r="D305" i="15"/>
  <c r="E84" i="15"/>
  <c r="E181" i="15"/>
  <c r="E225" i="15"/>
  <c r="E233" i="15"/>
  <c r="D30" i="15"/>
  <c r="E280" i="15"/>
  <c r="D307" i="15"/>
  <c r="C52" i="15"/>
  <c r="C335" i="15"/>
  <c r="E89" i="15"/>
  <c r="C154" i="15"/>
  <c r="E302" i="15"/>
  <c r="E352" i="15"/>
  <c r="C119" i="15"/>
  <c r="D257" i="15"/>
  <c r="E32" i="15"/>
  <c r="D179" i="15"/>
  <c r="C128" i="15"/>
  <c r="C38" i="15"/>
  <c r="D136" i="15"/>
  <c r="E75" i="15"/>
  <c r="C105" i="15"/>
  <c r="D114" i="15"/>
  <c r="C374" i="15"/>
  <c r="D71" i="15"/>
  <c r="D82" i="15"/>
  <c r="D104" i="15"/>
  <c r="C287" i="15"/>
  <c r="C302" i="15"/>
  <c r="D149" i="15"/>
  <c r="E21" i="15"/>
  <c r="E138" i="15"/>
  <c r="D86" i="15"/>
  <c r="C296" i="15"/>
  <c r="C147" i="15"/>
  <c r="D75" i="15"/>
  <c r="E159" i="15"/>
  <c r="D291" i="15"/>
  <c r="D289" i="15"/>
  <c r="E248" i="15"/>
  <c r="E90" i="15"/>
  <c r="C314" i="15"/>
  <c r="C180" i="15"/>
  <c r="C209" i="15"/>
  <c r="E65" i="15"/>
  <c r="C365" i="15"/>
  <c r="C198" i="15"/>
  <c r="D46" i="15"/>
  <c r="E314" i="15"/>
  <c r="C247" i="15"/>
  <c r="C244" i="15"/>
  <c r="E362" i="15"/>
  <c r="D76" i="15"/>
  <c r="D144" i="15"/>
  <c r="E93" i="15"/>
  <c r="E72" i="15"/>
  <c r="C142" i="15"/>
  <c r="E307" i="15"/>
  <c r="D287" i="15"/>
  <c r="C213" i="15"/>
  <c r="C45" i="15"/>
  <c r="E235" i="15"/>
  <c r="E109" i="15"/>
  <c r="C373" i="15"/>
  <c r="E33" i="15"/>
  <c r="E158" i="15"/>
  <c r="E129" i="15"/>
  <c r="C202" i="15"/>
  <c r="C24" i="15"/>
  <c r="C5" i="15"/>
  <c r="C75" i="15"/>
  <c r="E267" i="15"/>
  <c r="E287" i="15"/>
  <c r="C192" i="15"/>
  <c r="E221" i="15"/>
  <c r="E180" i="15"/>
  <c r="E48" i="15"/>
  <c r="C311" i="15"/>
  <c r="E326" i="15"/>
  <c r="D279" i="15"/>
  <c r="D52" i="15"/>
  <c r="D340" i="15"/>
  <c r="D169" i="15"/>
  <c r="C319" i="15"/>
  <c r="C242" i="15"/>
  <c r="C127" i="15"/>
  <c r="C149" i="15"/>
  <c r="E35" i="15"/>
  <c r="E154" i="15"/>
  <c r="D163" i="15"/>
  <c r="D331" i="15"/>
  <c r="D11" i="15"/>
  <c r="E76" i="15"/>
  <c r="E120" i="15"/>
  <c r="D264" i="15"/>
  <c r="D108" i="15"/>
  <c r="D271" i="15"/>
  <c r="D352" i="15"/>
  <c r="C35" i="15"/>
  <c r="E275" i="15"/>
  <c r="E210" i="15"/>
  <c r="C96" i="15"/>
  <c r="D259" i="15"/>
  <c r="C183" i="15"/>
  <c r="E87" i="15"/>
  <c r="C249" i="15"/>
  <c r="D358" i="15"/>
  <c r="E175" i="15"/>
  <c r="D122" i="15"/>
  <c r="C92" i="15"/>
  <c r="C116" i="15"/>
  <c r="C62" i="15"/>
  <c r="E83" i="15"/>
  <c r="E91" i="15"/>
  <c r="C111" i="15"/>
  <c r="C114" i="15"/>
  <c r="E80" i="15"/>
  <c r="C233" i="15"/>
  <c r="C6" i="15"/>
  <c r="D175" i="15"/>
  <c r="C140" i="15"/>
  <c r="E42" i="15"/>
  <c r="C70" i="15"/>
  <c r="E14" i="15"/>
  <c r="D55" i="15"/>
  <c r="E339" i="15"/>
  <c r="C85" i="15"/>
  <c r="E95" i="15"/>
  <c r="C181" i="15"/>
  <c r="E313" i="15"/>
  <c r="D323" i="15"/>
  <c r="E79" i="15"/>
  <c r="E198" i="15"/>
  <c r="D195" i="15"/>
  <c r="C328" i="15"/>
  <c r="C263" i="15"/>
  <c r="D197" i="15"/>
  <c r="D329" i="15"/>
  <c r="C231" i="15"/>
  <c r="E188" i="15"/>
  <c r="D196" i="15"/>
  <c r="E23" i="15"/>
  <c r="E277" i="15"/>
  <c r="D281" i="15"/>
  <c r="D267" i="15"/>
  <c r="D282" i="15"/>
  <c r="C153" i="15"/>
  <c r="C162" i="15"/>
  <c r="E220" i="15"/>
  <c r="D85" i="15"/>
  <c r="E284" i="15"/>
  <c r="C146" i="15"/>
  <c r="E58" i="15"/>
  <c r="E203" i="15"/>
  <c r="D351" i="15"/>
  <c r="D168" i="15"/>
  <c r="E334" i="15"/>
  <c r="D254" i="15"/>
  <c r="D176" i="15"/>
  <c r="D45" i="15"/>
  <c r="D191" i="15"/>
  <c r="C270" i="15"/>
  <c r="E360" i="15"/>
  <c r="E34" i="15"/>
  <c r="D247" i="15"/>
  <c r="D201" i="15"/>
  <c r="E199" i="15"/>
  <c r="C91" i="15"/>
  <c r="E166" i="15"/>
  <c r="D292" i="15"/>
  <c r="E315" i="15"/>
  <c r="D227" i="15"/>
  <c r="E71" i="15"/>
  <c r="D152" i="15"/>
  <c r="D157" i="15"/>
  <c r="C286" i="15"/>
  <c r="E29" i="15"/>
  <c r="D167" i="15"/>
  <c r="C269" i="15"/>
  <c r="D64" i="15"/>
  <c r="C109" i="15"/>
  <c r="D134" i="15"/>
  <c r="D202" i="15"/>
  <c r="D181" i="15"/>
  <c r="C9" i="15"/>
  <c r="E100" i="15"/>
  <c r="C145" i="15"/>
  <c r="E47" i="15"/>
  <c r="E219" i="15"/>
  <c r="E9" i="15"/>
  <c r="D154" i="15"/>
  <c r="D238" i="15"/>
  <c r="D56" i="15"/>
  <c r="C271" i="15"/>
  <c r="C104" i="15"/>
  <c r="E265" i="15"/>
  <c r="D129" i="15"/>
  <c r="D109" i="15"/>
  <c r="C187" i="15"/>
  <c r="C17" i="15"/>
  <c r="D117" i="15"/>
  <c r="C112" i="15"/>
  <c r="D9" i="15"/>
  <c r="E278" i="15"/>
  <c r="C151" i="15"/>
  <c r="D333" i="15"/>
  <c r="D65" i="15"/>
  <c r="C227" i="15"/>
  <c r="C268" i="15"/>
  <c r="D213" i="15"/>
  <c r="C297" i="15"/>
  <c r="D258" i="15"/>
  <c r="E263" i="15"/>
  <c r="D141" i="15"/>
  <c r="C177" i="15"/>
  <c r="E119" i="15"/>
  <c r="E189" i="15"/>
  <c r="E105" i="15"/>
  <c r="C82" i="15"/>
  <c r="E77" i="15"/>
  <c r="E115" i="15"/>
  <c r="C330" i="15"/>
  <c r="D332" i="15"/>
  <c r="C168" i="15"/>
  <c r="C131" i="15"/>
  <c r="E259" i="15"/>
  <c r="D221" i="15"/>
  <c r="D128" i="15"/>
  <c r="C356" i="15"/>
  <c r="D132" i="15"/>
  <c r="D81" i="15"/>
  <c r="C363" i="15"/>
  <c r="D357" i="15"/>
  <c r="C354" i="15"/>
  <c r="D229" i="15"/>
  <c r="D250" i="15"/>
  <c r="E357" i="15"/>
  <c r="D320" i="15"/>
  <c r="C120" i="15"/>
  <c r="C184" i="15"/>
  <c r="C240" i="15"/>
  <c r="C212" i="15"/>
  <c r="D369" i="15"/>
  <c r="C317" i="15"/>
  <c r="D318" i="15"/>
  <c r="D113" i="15"/>
  <c r="E57" i="15"/>
  <c r="E10" i="15"/>
  <c r="C53" i="15"/>
  <c r="E279" i="15"/>
  <c r="D35" i="15"/>
  <c r="C253" i="15"/>
  <c r="C157" i="15"/>
  <c r="C18" i="15"/>
  <c r="E24" i="15"/>
  <c r="D261" i="15"/>
  <c r="D224" i="15"/>
  <c r="C264" i="15"/>
  <c r="C33" i="15"/>
  <c r="C355" i="15"/>
  <c r="C344" i="15"/>
  <c r="E38" i="15"/>
  <c r="C159" i="15"/>
  <c r="E15" i="15"/>
  <c r="E197" i="15"/>
  <c r="C289" i="15"/>
  <c r="D215" i="15"/>
  <c r="E152" i="15"/>
  <c r="E104" i="15"/>
  <c r="E167" i="15"/>
  <c r="E41" i="15"/>
  <c r="E341" i="15"/>
  <c r="C179" i="15"/>
  <c r="E251" i="15"/>
  <c r="E111" i="15"/>
  <c r="C323" i="15"/>
  <c r="D310" i="15"/>
  <c r="E184" i="15"/>
  <c r="C206" i="15"/>
  <c r="D49" i="15"/>
  <c r="E268" i="15"/>
  <c r="D58" i="15"/>
  <c r="E185" i="15"/>
  <c r="E329" i="15"/>
  <c r="C310" i="15"/>
  <c r="C21" i="15"/>
  <c r="E340" i="15"/>
  <c r="C10" i="15"/>
  <c r="E59" i="15"/>
  <c r="E276" i="15"/>
  <c r="C129" i="15"/>
  <c r="E311" i="15"/>
  <c r="C266" i="15"/>
  <c r="C307" i="15"/>
  <c r="D270" i="15"/>
  <c r="C329" i="15"/>
  <c r="E62" i="15"/>
  <c r="D210" i="15"/>
  <c r="C366" i="15"/>
  <c r="D33" i="15"/>
  <c r="D96" i="15"/>
  <c r="C337" i="15"/>
  <c r="C130" i="15"/>
  <c r="E237" i="15"/>
  <c r="D302" i="15"/>
  <c r="C26" i="15"/>
  <c r="E290" i="15"/>
  <c r="C327" i="15"/>
  <c r="D235" i="15"/>
  <c r="D53" i="15"/>
  <c r="E310" i="15"/>
  <c r="E215" i="15"/>
  <c r="D29" i="15"/>
  <c r="D321" i="15"/>
  <c r="E156" i="15"/>
  <c r="C61" i="15"/>
  <c r="D280" i="15"/>
  <c r="E40" i="15"/>
  <c r="D31" i="15"/>
  <c r="D190" i="15"/>
  <c r="E67" i="15"/>
  <c r="E244" i="15"/>
  <c r="D173" i="15"/>
  <c r="E332" i="15"/>
  <c r="C299" i="15"/>
  <c r="C172" i="15"/>
  <c r="E101" i="15"/>
  <c r="D44" i="15"/>
  <c r="D111" i="15"/>
  <c r="D251" i="15"/>
  <c r="D189" i="15"/>
  <c r="D78" i="15"/>
  <c r="D102" i="15"/>
  <c r="E304" i="15"/>
  <c r="C155" i="15"/>
  <c r="E134" i="15"/>
  <c r="E262" i="15"/>
  <c r="D171" i="15"/>
  <c r="C135" i="15"/>
  <c r="E205" i="15"/>
  <c r="D206" i="15"/>
  <c r="E133" i="15"/>
  <c r="D306" i="15"/>
  <c r="C349" i="15"/>
  <c r="C254" i="15"/>
  <c r="E18" i="15"/>
  <c r="D187" i="15"/>
  <c r="E139" i="15"/>
  <c r="D205" i="15"/>
  <c r="C193" i="15"/>
  <c r="C336" i="15"/>
  <c r="D341" i="15"/>
  <c r="E113" i="15"/>
  <c r="C106" i="15"/>
  <c r="D161" i="15"/>
  <c r="C343" i="15"/>
  <c r="D24" i="15"/>
  <c r="E285" i="15"/>
  <c r="D252" i="15"/>
  <c r="C78" i="15"/>
  <c r="E321" i="15"/>
  <c r="D348" i="15"/>
  <c r="D349" i="15"/>
  <c r="C115" i="15"/>
  <c r="D48" i="15"/>
  <c r="C136" i="15"/>
  <c r="C161" i="15"/>
  <c r="E373" i="15"/>
  <c r="C300" i="15"/>
  <c r="D142" i="15"/>
  <c r="C313" i="15"/>
  <c r="C334" i="15"/>
  <c r="C49" i="15"/>
  <c r="E49" i="15"/>
  <c r="C28" i="15"/>
  <c r="C368" i="15"/>
  <c r="E45" i="15"/>
  <c r="C186" i="15"/>
  <c r="E283" i="15"/>
  <c r="E216" i="15"/>
  <c r="D51" i="15"/>
  <c r="D244" i="15"/>
  <c r="C245" i="15"/>
  <c r="D308" i="15"/>
  <c r="E99" i="15"/>
  <c r="E125" i="15"/>
  <c r="D22" i="15"/>
  <c r="C178" i="15"/>
  <c r="D83" i="15"/>
  <c r="D246" i="15"/>
  <c r="E234" i="15"/>
  <c r="D368" i="15"/>
  <c r="C326" i="15"/>
  <c r="E348" i="15"/>
  <c r="E257" i="15"/>
  <c r="C56" i="15"/>
  <c r="D174" i="15"/>
  <c r="E249" i="15"/>
  <c r="E228" i="15"/>
  <c r="C282" i="15"/>
  <c r="E135" i="15"/>
  <c r="D80" i="15"/>
  <c r="E31" i="15"/>
  <c r="E281" i="15"/>
  <c r="D119" i="15"/>
  <c r="C288" i="15"/>
  <c r="D249" i="15"/>
  <c r="C298" i="15"/>
  <c r="D32" i="15"/>
  <c r="D316" i="15"/>
  <c r="E153" i="15"/>
  <c r="E194" i="15"/>
  <c r="D147" i="15"/>
  <c r="E56" i="15"/>
  <c r="C188" i="15"/>
  <c r="C359" i="15"/>
  <c r="C110" i="15"/>
  <c r="C256" i="15"/>
  <c r="D350" i="15"/>
  <c r="E246" i="15"/>
  <c r="E222" i="15"/>
  <c r="E102" i="15"/>
  <c r="E250" i="15"/>
  <c r="C235" i="15"/>
  <c r="C305" i="15"/>
  <c r="D353" i="15"/>
  <c r="D299" i="15"/>
  <c r="D263" i="15"/>
  <c r="D90" i="15"/>
  <c r="E227" i="15"/>
  <c r="E258" i="15"/>
  <c r="D346" i="15"/>
  <c r="C345" i="15"/>
  <c r="E342" i="15"/>
  <c r="C87" i="15"/>
  <c r="D228" i="15"/>
  <c r="C265" i="15"/>
  <c r="E96" i="15"/>
  <c r="E28" i="15"/>
  <c r="E351" i="15"/>
  <c r="D335" i="15"/>
  <c r="C347" i="15"/>
  <c r="E354" i="15"/>
  <c r="D266" i="15"/>
  <c r="E137" i="15"/>
  <c r="D43" i="15"/>
  <c r="E64" i="15"/>
  <c r="D345" i="15"/>
  <c r="E182" i="15"/>
  <c r="C29" i="15"/>
  <c r="E187" i="15"/>
  <c r="C370" i="15"/>
  <c r="D371" i="15"/>
  <c r="D160" i="15"/>
  <c r="D146" i="15"/>
  <c r="C139" i="15"/>
  <c r="D158" i="15"/>
  <c r="E164" i="15"/>
  <c r="C369" i="15"/>
  <c r="E178" i="15"/>
  <c r="E46" i="15"/>
  <c r="C27" i="15"/>
  <c r="E174" i="15"/>
  <c r="E292" i="15"/>
  <c r="C58" i="15"/>
  <c r="E73" i="15"/>
  <c r="D276" i="15"/>
  <c r="C281" i="15"/>
  <c r="C44" i="15"/>
  <c r="D373" i="15"/>
  <c r="C226" i="15"/>
  <c r="D203" i="15"/>
  <c r="D63" i="15"/>
  <c r="C11" i="15"/>
  <c r="D294" i="15"/>
  <c r="D311" i="15"/>
  <c r="C7" i="15"/>
  <c r="E165" i="15"/>
  <c r="C182" i="15"/>
  <c r="D290" i="15"/>
  <c r="C260" i="15"/>
  <c r="E52" i="15"/>
  <c r="D155" i="15"/>
  <c r="C208" i="15"/>
  <c r="C132" i="15"/>
  <c r="C357" i="15"/>
  <c r="C126" i="15"/>
  <c r="C371" i="15"/>
  <c r="D107" i="15"/>
  <c r="D199" i="15"/>
  <c r="E330" i="15"/>
  <c r="C65" i="15"/>
  <c r="D327" i="15"/>
  <c r="D304" i="15"/>
  <c r="D313" i="15"/>
  <c r="E44" i="15"/>
  <c r="C308" i="15"/>
  <c r="D273" i="15"/>
  <c r="C295" i="15"/>
  <c r="D121" i="15"/>
  <c r="D162" i="15"/>
  <c r="D118" i="15"/>
  <c r="D60" i="15"/>
  <c r="C118" i="15"/>
  <c r="D59" i="15"/>
  <c r="E131" i="15"/>
  <c r="D4" i="15"/>
  <c r="E366" i="15"/>
  <c r="E218" i="15"/>
  <c r="D18" i="15"/>
  <c r="D150" i="15"/>
  <c r="D170" i="15"/>
  <c r="D92" i="15"/>
  <c r="C258" i="15"/>
  <c r="C41" i="15"/>
  <c r="E202" i="15"/>
  <c r="D239" i="15"/>
  <c r="D354" i="15"/>
  <c r="C230" i="15"/>
  <c r="D297" i="15"/>
  <c r="C83" i="15"/>
  <c r="E247" i="15"/>
  <c r="D317" i="15"/>
  <c r="E183" i="15"/>
  <c r="C203" i="15"/>
  <c r="E7" i="15"/>
  <c r="C290" i="15"/>
  <c r="C280" i="15"/>
  <c r="E122" i="15"/>
  <c r="C196" i="15"/>
  <c r="D34" i="15"/>
  <c r="E39" i="15"/>
  <c r="D26" i="15"/>
  <c r="E78" i="15"/>
  <c r="E224" i="15"/>
  <c r="E85" i="15"/>
  <c r="E308" i="15"/>
  <c r="E335" i="15"/>
  <c r="D298" i="15"/>
  <c r="C306" i="15"/>
  <c r="C71" i="15"/>
  <c r="D25" i="15"/>
  <c r="C275" i="15"/>
  <c r="D326" i="15"/>
  <c r="E61" i="15"/>
  <c r="E123" i="15"/>
  <c r="D153" i="15"/>
  <c r="C169" i="15"/>
  <c r="E294" i="15"/>
  <c r="E364" i="15"/>
  <c r="D233" i="15"/>
  <c r="C47" i="15"/>
  <c r="E114" i="15"/>
  <c r="E163" i="15"/>
  <c r="C272" i="15"/>
  <c r="E136" i="15"/>
  <c r="C333" i="15"/>
  <c r="C167" i="15"/>
  <c r="E256" i="15"/>
  <c r="E240" i="15"/>
  <c r="E252" i="15"/>
  <c r="E296" i="15"/>
  <c r="E243" i="15"/>
  <c r="C46" i="15"/>
  <c r="C220" i="15"/>
  <c r="D133" i="15"/>
  <c r="D178" i="15"/>
  <c r="E118" i="15"/>
  <c r="D370" i="15"/>
  <c r="C189" i="15"/>
  <c r="E70" i="15"/>
  <c r="C340" i="15"/>
  <c r="C372" i="15"/>
  <c r="E370" i="15"/>
  <c r="D89" i="15"/>
  <c r="E151" i="15"/>
  <c r="E358" i="15"/>
  <c r="E171" i="15"/>
  <c r="C8" i="15"/>
  <c r="C66" i="15"/>
  <c r="C255" i="15"/>
  <c r="D193" i="15"/>
  <c r="C361" i="15"/>
  <c r="E337" i="15"/>
  <c r="D309" i="15"/>
  <c r="C36" i="15"/>
  <c r="E8" i="15"/>
  <c r="E97" i="15"/>
  <c r="D185" i="15"/>
  <c r="C19" i="15"/>
  <c r="D315" i="15"/>
  <c r="D269" i="15"/>
  <c r="E350" i="15"/>
  <c r="C50" i="15"/>
  <c r="C257" i="15"/>
  <c r="D172" i="15"/>
  <c r="C51" i="15"/>
  <c r="D283" i="15"/>
  <c r="C48" i="15"/>
  <c r="D186" i="15"/>
  <c r="C252" i="15"/>
  <c r="D295" i="15"/>
  <c r="D361" i="15"/>
  <c r="E349" i="15"/>
  <c r="E5" i="15"/>
  <c r="C259" i="15"/>
  <c r="C13" i="15"/>
  <c r="D97" i="15"/>
  <c r="C16" i="15"/>
  <c r="E274" i="15"/>
  <c r="C93" i="15"/>
  <c r="C42" i="15"/>
  <c r="E82" i="15"/>
  <c r="D342" i="15"/>
  <c r="D336" i="15"/>
  <c r="E333" i="15"/>
  <c r="E239" i="15"/>
  <c r="D223" i="15"/>
  <c r="E25" i="15"/>
  <c r="C84" i="15"/>
  <c r="C174" i="15"/>
  <c r="D182" i="15"/>
  <c r="C164" i="15"/>
  <c r="C320" i="15"/>
  <c r="D68" i="15"/>
  <c r="E162" i="15"/>
  <c r="E22" i="15"/>
  <c r="E55" i="15"/>
  <c r="D284" i="15"/>
  <c r="D5" i="15"/>
  <c r="C190" i="15"/>
  <c r="C331" i="15"/>
  <c r="C138" i="15"/>
  <c r="E245" i="15"/>
  <c r="E132" i="15"/>
  <c r="D274" i="15"/>
  <c r="C284" i="15"/>
  <c r="C31" i="15"/>
  <c r="C201" i="15"/>
  <c r="C352" i="15"/>
  <c r="E347" i="15"/>
  <c r="E51" i="15"/>
  <c r="E69" i="15"/>
  <c r="E50" i="15"/>
  <c r="E192" i="15"/>
  <c r="E305" i="15"/>
  <c r="E186" i="15"/>
  <c r="D99" i="15"/>
  <c r="E226" i="15"/>
  <c r="E160" i="15"/>
  <c r="D268" i="15"/>
  <c r="D50" i="15"/>
  <c r="D322" i="15"/>
  <c r="D100" i="15"/>
  <c r="E211" i="15"/>
  <c r="C315" i="15"/>
  <c r="E143" i="15"/>
  <c r="C39" i="15"/>
  <c r="D339" i="15"/>
  <c r="C54" i="15"/>
  <c r="E173" i="15"/>
  <c r="C107" i="15"/>
  <c r="C166" i="15"/>
  <c r="C64" i="15"/>
  <c r="C322" i="15"/>
  <c r="D73" i="15"/>
  <c r="D343" i="15"/>
  <c r="D240" i="15"/>
  <c r="C34" i="15"/>
  <c r="E286" i="15"/>
  <c r="E110" i="15"/>
  <c r="C98" i="15"/>
  <c r="E303" i="15"/>
  <c r="E88" i="15"/>
  <c r="D256" i="15"/>
  <c r="D10" i="15"/>
  <c r="D365" i="15"/>
  <c r="D337" i="15"/>
  <c r="C99" i="15"/>
  <c r="C358" i="15"/>
  <c r="C341" i="15"/>
  <c r="D237" i="15"/>
  <c r="C283" i="15"/>
  <c r="C285" i="15"/>
  <c r="E148" i="15"/>
  <c r="C318" i="15"/>
  <c r="C262" i="15"/>
  <c r="C137" i="15"/>
  <c r="D21" i="15"/>
  <c r="D7" i="15"/>
  <c r="D303" i="15"/>
  <c r="D243" i="15"/>
  <c r="C101" i="15"/>
  <c r="E254" i="15"/>
  <c r="AJ8" i="29" l="1"/>
  <c r="J40" i="27"/>
  <c r="K40" i="27" s="1"/>
  <c r="J86" i="27"/>
  <c r="K86" i="27" s="1"/>
  <c r="J30" i="27"/>
  <c r="K30" i="27" s="1"/>
  <c r="J53" i="27"/>
  <c r="K53" i="27" s="1"/>
  <c r="J41" i="27"/>
  <c r="K41" i="27" s="1"/>
  <c r="J47" i="27"/>
  <c r="K47" i="27" s="1"/>
  <c r="J81" i="27"/>
  <c r="K81" i="27" s="1"/>
  <c r="J71" i="27"/>
  <c r="K71" i="27" s="1"/>
  <c r="J74" i="27"/>
  <c r="K74" i="27" s="1"/>
  <c r="J50" i="27"/>
  <c r="K50" i="27" s="1"/>
  <c r="J66" i="27"/>
  <c r="K66" i="27" s="1"/>
  <c r="J76" i="27"/>
  <c r="K76" i="27" s="1"/>
  <c r="J52" i="27"/>
  <c r="K52" i="27" s="1"/>
  <c r="J80" i="27"/>
  <c r="K80" i="27" s="1"/>
  <c r="J39" i="27"/>
  <c r="K39" i="27" s="1"/>
  <c r="J55" i="27"/>
  <c r="K55" i="27" s="1"/>
  <c r="J62" i="27"/>
  <c r="K62" i="27" s="1"/>
  <c r="J43" i="27"/>
  <c r="K43" i="27" s="1"/>
  <c r="J51" i="27"/>
  <c r="K51" i="27" s="1"/>
  <c r="J68" i="27"/>
  <c r="K68" i="27" s="1"/>
  <c r="J69" i="27"/>
  <c r="K69" i="27" s="1"/>
  <c r="J82" i="27"/>
  <c r="K82" i="27" s="1"/>
  <c r="J67" i="27"/>
  <c r="K67" i="27" s="1"/>
  <c r="J19" i="27"/>
  <c r="K19" i="27" s="1"/>
  <c r="J20" i="27"/>
  <c r="K20" i="27" s="1"/>
  <c r="J63" i="27"/>
  <c r="K63" i="27" s="1"/>
  <c r="J32" i="27"/>
  <c r="K32" i="27" s="1"/>
  <c r="J34" i="27"/>
  <c r="K34" i="27" s="1"/>
  <c r="J35" i="27"/>
  <c r="K35" i="27" s="1"/>
  <c r="J65" i="27"/>
  <c r="K65" i="27" s="1"/>
  <c r="J77" i="27"/>
  <c r="K77" i="27" s="1"/>
  <c r="J25" i="27"/>
  <c r="K25" i="27" s="1"/>
  <c r="J22" i="27"/>
  <c r="K22" i="27" s="1"/>
  <c r="J23" i="27"/>
  <c r="K23" i="27" s="1"/>
  <c r="J24" i="27"/>
  <c r="K24" i="27" s="1"/>
  <c r="J46" i="27"/>
  <c r="K46" i="27" s="1"/>
  <c r="J85" i="27"/>
  <c r="K85" i="27" s="1"/>
  <c r="J31" i="27"/>
  <c r="K31" i="27" s="1"/>
  <c r="J28" i="27"/>
  <c r="K28" i="27" s="1"/>
  <c r="J13" i="27"/>
  <c r="K13" i="27" s="1"/>
  <c r="J70" i="27"/>
  <c r="K70" i="27" s="1"/>
  <c r="J29" i="27"/>
  <c r="K29" i="27" s="1"/>
  <c r="J49" i="27"/>
  <c r="K49" i="27" s="1"/>
  <c r="J58" i="27"/>
  <c r="K58" i="27" s="1"/>
  <c r="J14" i="27"/>
  <c r="K14" i="27" s="1"/>
  <c r="J27" i="27"/>
  <c r="K27" i="27" s="1"/>
  <c r="J83" i="27"/>
  <c r="K83" i="27" s="1"/>
  <c r="J37" i="27"/>
  <c r="K37" i="27" s="1"/>
  <c r="J42" i="27"/>
  <c r="K42" i="27" s="1"/>
  <c r="J84" i="27"/>
  <c r="K84" i="27" s="1"/>
  <c r="J57" i="27"/>
  <c r="K57" i="27" s="1"/>
  <c r="J73" i="27"/>
  <c r="K73" i="27" s="1"/>
  <c r="J26" i="27"/>
  <c r="K26" i="27" s="1"/>
  <c r="J64" i="27"/>
  <c r="K64" i="27" s="1"/>
  <c r="J78" i="27"/>
  <c r="K78" i="27" s="1"/>
  <c r="J48" i="27"/>
  <c r="K48" i="27" s="1"/>
  <c r="J72" i="27"/>
  <c r="K72" i="27" s="1"/>
  <c r="J44" i="27"/>
  <c r="K44" i="27" s="1"/>
  <c r="J21" i="27"/>
  <c r="K21" i="27" s="1"/>
  <c r="J56" i="27"/>
  <c r="K56" i="27" s="1"/>
  <c r="J54" i="27"/>
  <c r="K54" i="27" s="1"/>
  <c r="J61" i="27"/>
  <c r="K61" i="27" s="1"/>
  <c r="J17" i="27"/>
  <c r="K17" i="27" s="1"/>
  <c r="J18" i="27"/>
  <c r="K18" i="27" s="1"/>
  <c r="J45" i="27"/>
  <c r="K45" i="27" s="1"/>
  <c r="J79" i="27"/>
  <c r="K79" i="27" s="1"/>
  <c r="J15" i="27"/>
  <c r="K15" i="27" s="1"/>
  <c r="J59" i="27"/>
  <c r="K59" i="27" s="1"/>
  <c r="J75" i="27"/>
  <c r="K75" i="27" s="1"/>
  <c r="J36" i="27"/>
  <c r="K36" i="27" s="1"/>
  <c r="J33" i="27"/>
  <c r="K33" i="27" s="1"/>
  <c r="J16" i="27"/>
  <c r="K16" i="27" s="1"/>
  <c r="J38" i="27"/>
  <c r="K38" i="27" s="1"/>
  <c r="J60" i="27"/>
  <c r="K60" i="27" s="1"/>
  <c r="N70" i="31"/>
  <c r="P69" i="31" s="1"/>
  <c r="BP19" i="29" s="1"/>
  <c r="BP8" i="29"/>
  <c r="D48" i="29"/>
  <c r="G10" i="5"/>
  <c r="AJ48" i="29"/>
  <c r="BP48" i="29" l="1"/>
  <c r="G11" i="82"/>
  <c r="G11" i="51"/>
  <c r="G11" i="60"/>
  <c r="I11" i="60" s="1"/>
  <c r="R10" i="60" s="1"/>
  <c r="AG9" i="29" s="1"/>
  <c r="AG11" i="29" s="1"/>
  <c r="G11" i="43"/>
  <c r="G11" i="48"/>
  <c r="O11" i="48" s="1"/>
  <c r="G11" i="54"/>
  <c r="O11" i="54" s="1"/>
  <c r="G11" i="31"/>
  <c r="I11" i="31" s="1"/>
  <c r="G11" i="42"/>
  <c r="I11" i="42" s="1"/>
  <c r="R10" i="42" s="1"/>
  <c r="P9" i="29" s="1"/>
  <c r="G11" i="33"/>
  <c r="L11" i="33" s="1"/>
  <c r="S10" i="33" s="1"/>
  <c r="AK9" i="29" s="1"/>
  <c r="E11" i="5" s="1"/>
  <c r="G11" i="38"/>
  <c r="O11" i="38" s="1"/>
  <c r="T10" i="38" s="1"/>
  <c r="BX9" i="29" s="1"/>
  <c r="G10" i="40"/>
  <c r="O10" i="40" s="1"/>
  <c r="G11" i="40"/>
  <c r="L11" i="40" s="1"/>
  <c r="G11" i="39"/>
  <c r="L11" i="39" s="1"/>
  <c r="S10" i="39" s="1"/>
  <c r="AS9" i="29" s="1"/>
  <c r="G9" i="38"/>
  <c r="BX7" i="29" s="1"/>
  <c r="G11" i="35"/>
  <c r="O11" i="35" s="1"/>
  <c r="T10" i="35" s="1"/>
  <c r="BU9" i="29" s="1"/>
  <c r="G9" i="46"/>
  <c r="T7" i="29" s="1"/>
  <c r="G9" i="36"/>
  <c r="L9" i="36" s="1"/>
  <c r="AP8" i="29" s="1"/>
  <c r="G9" i="58"/>
  <c r="I9" i="58" s="1"/>
  <c r="G11" i="37"/>
  <c r="I11" i="37" s="1"/>
  <c r="R10" i="37" s="1"/>
  <c r="K9" i="29" s="1"/>
  <c r="G9" i="50"/>
  <c r="CK7" i="29" s="1"/>
  <c r="G9" i="47"/>
  <c r="L9" i="47" s="1"/>
  <c r="G9" i="37"/>
  <c r="I9" i="37" s="1"/>
  <c r="G9" i="49"/>
  <c r="BD7" i="29" s="1"/>
  <c r="G11" i="56"/>
  <c r="O11" i="56" s="1"/>
  <c r="T10" i="56" s="1"/>
  <c r="CQ9" i="29" s="1"/>
  <c r="G11" i="44"/>
  <c r="L11" i="44" s="1"/>
  <c r="S10" i="44" s="1"/>
  <c r="AW9" i="29" s="1"/>
  <c r="H11" i="5" s="1"/>
  <c r="G11" i="46"/>
  <c r="O11" i="46" s="1"/>
  <c r="T10" i="46" s="1"/>
  <c r="CF9" i="29" s="1"/>
  <c r="G11" i="50"/>
  <c r="O11" i="50" s="1"/>
  <c r="T10" i="50" s="1"/>
  <c r="CK9" i="29" s="1"/>
  <c r="G9" i="44"/>
  <c r="CC7" i="29" s="1"/>
  <c r="G9" i="35"/>
  <c r="AO7" i="29" s="1"/>
  <c r="G11" i="61"/>
  <c r="O11" i="61" s="1"/>
  <c r="T10" i="61" s="1"/>
  <c r="CT9" i="29" s="1"/>
  <c r="CT11" i="29" s="1"/>
  <c r="G11" i="36"/>
  <c r="I11" i="36" s="1"/>
  <c r="R10" i="36" s="1"/>
  <c r="J9" i="29" s="1"/>
  <c r="G11" i="49"/>
  <c r="O11" i="49" s="1"/>
  <c r="T10" i="49" s="1"/>
  <c r="CJ9" i="29" s="1"/>
  <c r="G11" i="45"/>
  <c r="O11" i="45" s="1"/>
  <c r="T10" i="45" s="1"/>
  <c r="CE9" i="29" s="1"/>
  <c r="G11" i="47"/>
  <c r="I11" i="47" s="1"/>
  <c r="R10" i="47" s="1"/>
  <c r="V9" i="29" s="1"/>
  <c r="G11" i="52"/>
  <c r="O11" i="52" s="1"/>
  <c r="T10" i="52" s="1"/>
  <c r="CM9" i="29" s="1"/>
  <c r="G9" i="57"/>
  <c r="I9" i="57" s="1"/>
  <c r="G9" i="55"/>
  <c r="O9" i="55" s="1"/>
  <c r="G11" i="57"/>
  <c r="I11" i="57" s="1"/>
  <c r="R10" i="57" s="1"/>
  <c r="F9" i="29" s="1"/>
  <c r="G11" i="41"/>
  <c r="L11" i="41" s="1"/>
  <c r="S10" i="41" s="1"/>
  <c r="AU9" i="29" s="1"/>
  <c r="G11" i="34"/>
  <c r="O11" i="34" s="1"/>
  <c r="T10" i="34" s="1"/>
  <c r="BT9" i="29" s="1"/>
  <c r="G9" i="52"/>
  <c r="L9" i="52" s="1"/>
  <c r="BG8" i="29" s="1"/>
  <c r="G11" i="58"/>
  <c r="G9" i="40"/>
  <c r="L9" i="40" s="1"/>
  <c r="G9" i="45"/>
  <c r="AY7" i="29" s="1"/>
  <c r="D9" i="5" s="1"/>
  <c r="G9" i="59"/>
  <c r="I9" i="59" s="1"/>
  <c r="G11" i="55"/>
  <c r="O11" i="55" s="1"/>
  <c r="T10" i="55" s="1"/>
  <c r="CP9" i="29" s="1"/>
  <c r="G9" i="53"/>
  <c r="L9" i="53" s="1"/>
  <c r="G11" i="53"/>
  <c r="L11" i="53" s="1"/>
  <c r="S10" i="53" s="1"/>
  <c r="BH9" i="29" s="1"/>
  <c r="G11" i="59"/>
  <c r="L11" i="59" s="1"/>
  <c r="S10" i="59" s="1"/>
  <c r="BA9" i="29" s="1"/>
  <c r="G9" i="33"/>
  <c r="AK7" i="29" s="1"/>
  <c r="E9" i="5" s="1"/>
  <c r="G9" i="34"/>
  <c r="BT7" i="29" s="1"/>
  <c r="G9" i="42"/>
  <c r="L9" i="42" s="1"/>
  <c r="G9" i="39"/>
  <c r="M7" i="29" s="1"/>
  <c r="G9" i="41"/>
  <c r="G9" i="56"/>
  <c r="O9" i="56" s="1"/>
  <c r="P7" i="56" s="1"/>
  <c r="O11" i="44" l="1"/>
  <c r="T10" i="44" s="1"/>
  <c r="CC9" i="29" s="1"/>
  <c r="O11" i="40"/>
  <c r="L11" i="34"/>
  <c r="S10" i="34" s="1"/>
  <c r="AN9" i="29" s="1"/>
  <c r="L9" i="45"/>
  <c r="AY8" i="29" s="1"/>
  <c r="I11" i="61"/>
  <c r="R10" i="61" s="1"/>
  <c r="AH9" i="29" s="1"/>
  <c r="AH11" i="29" s="1"/>
  <c r="O9" i="58"/>
  <c r="BS8" i="29" s="1"/>
  <c r="BS48" i="29" s="1"/>
  <c r="O9" i="36"/>
  <c r="BV8" i="29" s="1"/>
  <c r="L9" i="57"/>
  <c r="AL8" i="29" s="1"/>
  <c r="AL48" i="29" s="1"/>
  <c r="O9" i="45"/>
  <c r="P7" i="45" s="1"/>
  <c r="N70" i="45" s="1"/>
  <c r="P69" i="45" s="1"/>
  <c r="CE19" i="29" s="1"/>
  <c r="L9" i="56"/>
  <c r="O9" i="52"/>
  <c r="P7" i="52" s="1"/>
  <c r="N70" i="52" s="1"/>
  <c r="P69" i="52" s="1"/>
  <c r="CM19" i="29" s="1"/>
  <c r="O11" i="42"/>
  <c r="T10" i="42" s="1"/>
  <c r="CB9" i="29" s="1"/>
  <c r="O9" i="38"/>
  <c r="BX8" i="29" s="1"/>
  <c r="BX48" i="29" s="1"/>
  <c r="CN7" i="29"/>
  <c r="BG7" i="29"/>
  <c r="O9" i="50"/>
  <c r="CK8" i="29" s="1"/>
  <c r="CK11" i="29" s="1"/>
  <c r="O11" i="53"/>
  <c r="T10" i="53" s="1"/>
  <c r="CN9" i="29" s="1"/>
  <c r="CQ8" i="29"/>
  <c r="CQ48" i="29" s="1"/>
  <c r="AA7" i="29"/>
  <c r="BW7" i="29"/>
  <c r="K7" i="29"/>
  <c r="L9" i="35"/>
  <c r="AO8" i="29" s="1"/>
  <c r="AO48" i="29" s="1"/>
  <c r="P7" i="29"/>
  <c r="I11" i="33"/>
  <c r="R10" i="33" s="1"/>
  <c r="E9" i="29" s="1"/>
  <c r="I9" i="35"/>
  <c r="I8" i="29" s="1"/>
  <c r="L9" i="50"/>
  <c r="BE8" i="29" s="1"/>
  <c r="L9" i="58"/>
  <c r="AM8" i="29" s="1"/>
  <c r="BS7" i="29"/>
  <c r="L11" i="36"/>
  <c r="S10" i="36" s="1"/>
  <c r="AP9" i="29" s="1"/>
  <c r="AP11" i="29" s="1"/>
  <c r="AQ7" i="29"/>
  <c r="AM7" i="29"/>
  <c r="CQ7" i="29"/>
  <c r="AL7" i="29"/>
  <c r="L11" i="50"/>
  <c r="S10" i="50" s="1"/>
  <c r="BE9" i="29" s="1"/>
  <c r="L10" i="40"/>
  <c r="S10" i="40" s="1"/>
  <c r="AT9" i="29" s="1"/>
  <c r="F11" i="5" s="1"/>
  <c r="BQ7" i="29"/>
  <c r="I9" i="33"/>
  <c r="I9" i="56"/>
  <c r="E7" i="29"/>
  <c r="I11" i="50"/>
  <c r="R10" i="50" s="1"/>
  <c r="Y9" i="29" s="1"/>
  <c r="L11" i="31"/>
  <c r="M7" i="31" s="1"/>
  <c r="L9" i="39"/>
  <c r="AS8" i="29" s="1"/>
  <c r="AS48" i="29" s="1"/>
  <c r="CE7" i="29"/>
  <c r="BU7" i="29"/>
  <c r="L11" i="57"/>
  <c r="S10" i="57" s="1"/>
  <c r="AL9" i="29" s="1"/>
  <c r="AL11" i="29" s="1"/>
  <c r="I9" i="55"/>
  <c r="O9" i="47"/>
  <c r="CH8" i="29" s="1"/>
  <c r="I9" i="46"/>
  <c r="J7" i="46" s="1"/>
  <c r="H70" i="46" s="1"/>
  <c r="J69" i="46" s="1"/>
  <c r="T19" i="29" s="1"/>
  <c r="AP7" i="29"/>
  <c r="I9" i="38"/>
  <c r="L8" i="29" s="1"/>
  <c r="O9" i="33"/>
  <c r="BQ8" i="29" s="1"/>
  <c r="I11" i="34"/>
  <c r="R10" i="34" s="1"/>
  <c r="H9" i="29" s="1"/>
  <c r="L9" i="59"/>
  <c r="L11" i="61"/>
  <c r="S10" i="61" s="1"/>
  <c r="BN9" i="29" s="1"/>
  <c r="BN11" i="29" s="1"/>
  <c r="O11" i="31"/>
  <c r="I11" i="48"/>
  <c r="R10" i="48" s="1"/>
  <c r="W9" i="29" s="1"/>
  <c r="W11" i="29" s="1"/>
  <c r="AN7" i="29"/>
  <c r="J7" i="29"/>
  <c r="AZ7" i="29"/>
  <c r="AE7" i="29"/>
  <c r="I9" i="52"/>
  <c r="L11" i="35"/>
  <c r="S10" i="35" s="1"/>
  <c r="AO9" i="29" s="1"/>
  <c r="BV7" i="29"/>
  <c r="I9" i="45"/>
  <c r="J7" i="45" s="1"/>
  <c r="O11" i="33"/>
  <c r="T10" i="33" s="1"/>
  <c r="BQ9" i="29" s="1"/>
  <c r="L11" i="42"/>
  <c r="S10" i="42" s="1"/>
  <c r="AV9" i="29" s="1"/>
  <c r="S7" i="29"/>
  <c r="O11" i="41"/>
  <c r="T10" i="41" s="1"/>
  <c r="CA9" i="29" s="1"/>
  <c r="I11" i="44"/>
  <c r="R10" i="44" s="1"/>
  <c r="Q9" i="29" s="1"/>
  <c r="M7" i="45"/>
  <c r="K70" i="45" s="1"/>
  <c r="M69" i="45" s="1"/>
  <c r="AY19" i="29" s="1"/>
  <c r="AS7" i="29"/>
  <c r="I9" i="34"/>
  <c r="BY7" i="29"/>
  <c r="I11" i="55"/>
  <c r="R10" i="55" s="1"/>
  <c r="AD9" i="29" s="1"/>
  <c r="BR7" i="29"/>
  <c r="I11" i="52"/>
  <c r="R10" i="52" s="1"/>
  <c r="AA9" i="29" s="1"/>
  <c r="G7" i="29"/>
  <c r="AT8" i="29"/>
  <c r="M7" i="47"/>
  <c r="BB8" i="29"/>
  <c r="BV48" i="29"/>
  <c r="I11" i="46"/>
  <c r="R10" i="46" s="1"/>
  <c r="T9" i="29" s="1"/>
  <c r="G8" i="29"/>
  <c r="AV8" i="29"/>
  <c r="O9" i="49"/>
  <c r="X7" i="29"/>
  <c r="L9" i="49"/>
  <c r="CJ7" i="29"/>
  <c r="I9" i="49"/>
  <c r="I11" i="38"/>
  <c r="R10" i="38" s="1"/>
  <c r="L9" i="29" s="1"/>
  <c r="L11" i="38"/>
  <c r="S10" i="38" s="1"/>
  <c r="AR9" i="29" s="1"/>
  <c r="O11" i="59"/>
  <c r="T10" i="59" s="1"/>
  <c r="CG9" i="29" s="1"/>
  <c r="I11" i="59"/>
  <c r="R10" i="59" s="1"/>
  <c r="U9" i="29" s="1"/>
  <c r="J7" i="59"/>
  <c r="U8" i="29"/>
  <c r="O9" i="40"/>
  <c r="I9" i="40"/>
  <c r="N7" i="29"/>
  <c r="BZ7" i="29"/>
  <c r="AT7" i="29"/>
  <c r="F9" i="5" s="1"/>
  <c r="AW7" i="29"/>
  <c r="H9" i="5" s="1"/>
  <c r="O9" i="44"/>
  <c r="I9" i="44"/>
  <c r="Q7" i="29"/>
  <c r="J7" i="37"/>
  <c r="K8" i="29"/>
  <c r="L11" i="46"/>
  <c r="S10" i="46" s="1"/>
  <c r="AZ9" i="29" s="1"/>
  <c r="CH7" i="29"/>
  <c r="BB7" i="29"/>
  <c r="V7" i="29"/>
  <c r="I9" i="47"/>
  <c r="L9" i="41"/>
  <c r="O9" i="41"/>
  <c r="AU7" i="29"/>
  <c r="CA7" i="29"/>
  <c r="I9" i="41"/>
  <c r="O7" i="29"/>
  <c r="L9" i="44"/>
  <c r="M7" i="53"/>
  <c r="BH8" i="29"/>
  <c r="F8" i="29"/>
  <c r="J7" i="57"/>
  <c r="AY48" i="29"/>
  <c r="D10" i="5"/>
  <c r="O11" i="58"/>
  <c r="T10" i="58" s="1"/>
  <c r="BS9" i="29" s="1"/>
  <c r="L11" i="58"/>
  <c r="S10" i="58" s="1"/>
  <c r="AM9" i="29" s="1"/>
  <c r="I11" i="58"/>
  <c r="R10" i="58" s="1"/>
  <c r="G9" i="29" s="1"/>
  <c r="L11" i="47"/>
  <c r="S10" i="47" s="1"/>
  <c r="BB9" i="29" s="1"/>
  <c r="O11" i="47"/>
  <c r="T10" i="47" s="1"/>
  <c r="CH9" i="29" s="1"/>
  <c r="AB7" i="29"/>
  <c r="CM7" i="29"/>
  <c r="AP48" i="29"/>
  <c r="T10" i="40"/>
  <c r="BZ9" i="29" s="1"/>
  <c r="L11" i="55"/>
  <c r="S10" i="55" s="1"/>
  <c r="BJ9" i="29" s="1"/>
  <c r="I10" i="40"/>
  <c r="I11" i="41"/>
  <c r="R10" i="41" s="1"/>
  <c r="O9" i="29" s="1"/>
  <c r="AV7" i="29"/>
  <c r="J11" i="30" s="1"/>
  <c r="O9" i="42"/>
  <c r="I9" i="42"/>
  <c r="CB7" i="29"/>
  <c r="I9" i="53"/>
  <c r="BG48" i="29"/>
  <c r="P7" i="55"/>
  <c r="CP8" i="29"/>
  <c r="O11" i="37"/>
  <c r="T10" i="37" s="1"/>
  <c r="BW9" i="29" s="1"/>
  <c r="L11" i="37"/>
  <c r="S10" i="37" s="1"/>
  <c r="AQ9" i="29" s="1"/>
  <c r="O11" i="36"/>
  <c r="T10" i="36" s="1"/>
  <c r="BV9" i="29" s="1"/>
  <c r="BK7" i="29"/>
  <c r="BH7" i="29"/>
  <c r="O9" i="53"/>
  <c r="U7" i="29"/>
  <c r="CG7" i="29"/>
  <c r="O9" i="59"/>
  <c r="BA7" i="29"/>
  <c r="I11" i="49"/>
  <c r="R10" i="49" s="1"/>
  <c r="X9" i="29" s="1"/>
  <c r="L11" i="49"/>
  <c r="S10" i="49" s="1"/>
  <c r="BD9" i="29" s="1"/>
  <c r="I9" i="36"/>
  <c r="O11" i="60"/>
  <c r="L11" i="60"/>
  <c r="N70" i="56"/>
  <c r="P69" i="56" s="1"/>
  <c r="CQ19" i="29" s="1"/>
  <c r="L9" i="34"/>
  <c r="O9" i="34"/>
  <c r="H7" i="29"/>
  <c r="M7" i="52"/>
  <c r="O11" i="51"/>
  <c r="L11" i="51"/>
  <c r="I11" i="51"/>
  <c r="O11" i="39"/>
  <c r="T10" i="39" s="1"/>
  <c r="BY9" i="29" s="1"/>
  <c r="L9" i="38"/>
  <c r="I11" i="56"/>
  <c r="R10" i="56" s="1"/>
  <c r="AE9" i="29" s="1"/>
  <c r="L9" i="46"/>
  <c r="I11" i="39"/>
  <c r="R10" i="39" s="1"/>
  <c r="M9" i="29" s="1"/>
  <c r="O9" i="39"/>
  <c r="I11" i="40"/>
  <c r="L9" i="55"/>
  <c r="L11" i="56"/>
  <c r="S10" i="56" s="1"/>
  <c r="BK9" i="29" s="1"/>
  <c r="L11" i="52"/>
  <c r="S10" i="52" s="1"/>
  <c r="BG9" i="29" s="1"/>
  <c r="BG11" i="29" s="1"/>
  <c r="O9" i="35"/>
  <c r="O11" i="43"/>
  <c r="I11" i="43"/>
  <c r="L11" i="43"/>
  <c r="L9" i="33"/>
  <c r="I11" i="53"/>
  <c r="R10" i="53" s="1"/>
  <c r="AB9" i="29" s="1"/>
  <c r="I9" i="39"/>
  <c r="I7" i="29"/>
  <c r="O9" i="37"/>
  <c r="I9" i="50"/>
  <c r="L7" i="29"/>
  <c r="L9" i="37"/>
  <c r="CP7" i="29"/>
  <c r="BE7" i="29"/>
  <c r="L11" i="45"/>
  <c r="S10" i="45" s="1"/>
  <c r="AY9" i="29" s="1"/>
  <c r="D11" i="5" s="1"/>
  <c r="L11" i="48"/>
  <c r="F7" i="29"/>
  <c r="I11" i="45"/>
  <c r="R10" i="45" s="1"/>
  <c r="S9" i="29" s="1"/>
  <c r="BJ7" i="29"/>
  <c r="Y7" i="29"/>
  <c r="I11" i="35"/>
  <c r="R10" i="35" s="1"/>
  <c r="I9" i="29" s="1"/>
  <c r="O9" i="57"/>
  <c r="O9" i="46"/>
  <c r="T10" i="48"/>
  <c r="CI9" i="29" s="1"/>
  <c r="CI11" i="29" s="1"/>
  <c r="O11" i="82"/>
  <c r="I11" i="82"/>
  <c r="L11" i="82"/>
  <c r="O11" i="57"/>
  <c r="T10" i="57" s="1"/>
  <c r="BR9" i="29" s="1"/>
  <c r="AR7" i="29"/>
  <c r="AD7" i="29"/>
  <c r="CF7" i="29"/>
  <c r="J7" i="31"/>
  <c r="R10" i="31"/>
  <c r="D9" i="29" s="1"/>
  <c r="D11" i="29" s="1"/>
  <c r="L11" i="54"/>
  <c r="T10" i="54"/>
  <c r="CO9" i="29" s="1"/>
  <c r="CO11" i="29" s="1"/>
  <c r="I11" i="54"/>
  <c r="M7" i="57" l="1"/>
  <c r="BS11" i="29"/>
  <c r="BV11" i="29"/>
  <c r="CM8" i="29"/>
  <c r="CM48" i="29" s="1"/>
  <c r="CE8" i="29"/>
  <c r="CE11" i="29" s="1"/>
  <c r="BX11" i="29"/>
  <c r="P7" i="50"/>
  <c r="N70" i="50" s="1"/>
  <c r="P69" i="50" s="1"/>
  <c r="CK19" i="29" s="1"/>
  <c r="T8" i="29"/>
  <c r="T11" i="29" s="1"/>
  <c r="P7" i="38"/>
  <c r="CK48" i="29"/>
  <c r="AS11" i="29"/>
  <c r="M7" i="56"/>
  <c r="K70" i="56" s="1"/>
  <c r="M69" i="56" s="1"/>
  <c r="BK19" i="29" s="1"/>
  <c r="BK8" i="29"/>
  <c r="BK48" i="29" s="1"/>
  <c r="P7" i="47"/>
  <c r="N70" i="47" s="1"/>
  <c r="P69" i="47" s="1"/>
  <c r="CH19" i="29" s="1"/>
  <c r="M7" i="36"/>
  <c r="K70" i="36" s="1"/>
  <c r="M69" i="36" s="1"/>
  <c r="AP19" i="29" s="1"/>
  <c r="P7" i="58"/>
  <c r="N70" i="58" s="1"/>
  <c r="P69" i="58" s="1"/>
  <c r="BS19" i="29" s="1"/>
  <c r="S10" i="31"/>
  <c r="AJ9" i="29" s="1"/>
  <c r="G11" i="5" s="1"/>
  <c r="CQ11" i="29"/>
  <c r="M7" i="50"/>
  <c r="K70" i="50" s="1"/>
  <c r="M69" i="50" s="1"/>
  <c r="BE19" i="29" s="1"/>
  <c r="I11" i="5"/>
  <c r="L11" i="29"/>
  <c r="M7" i="39"/>
  <c r="K70" i="39" s="1"/>
  <c r="M69" i="39" s="1"/>
  <c r="AS19" i="29" s="1"/>
  <c r="P7" i="33"/>
  <c r="N70" i="33" s="1"/>
  <c r="P69" i="33" s="1"/>
  <c r="BQ19" i="29" s="1"/>
  <c r="J7" i="34"/>
  <c r="H70" i="34" s="1"/>
  <c r="J69" i="34" s="1"/>
  <c r="H19" i="29" s="1"/>
  <c r="J7" i="56"/>
  <c r="H70" i="56" s="1"/>
  <c r="J69" i="56" s="1"/>
  <c r="AE19" i="29" s="1"/>
  <c r="AE8" i="29"/>
  <c r="AE48" i="29" s="1"/>
  <c r="S8" i="29"/>
  <c r="S11" i="29" s="1"/>
  <c r="J7" i="33"/>
  <c r="H70" i="33" s="1"/>
  <c r="J69" i="33" s="1"/>
  <c r="E19" i="29" s="1"/>
  <c r="E8" i="29"/>
  <c r="M7" i="40"/>
  <c r="AD8" i="29"/>
  <c r="J7" i="55"/>
  <c r="H70" i="55" s="1"/>
  <c r="J69" i="55" s="1"/>
  <c r="AD19" i="29" s="1"/>
  <c r="H8" i="29"/>
  <c r="H11" i="29" s="1"/>
  <c r="L48" i="29"/>
  <c r="CM11" i="29"/>
  <c r="P7" i="31"/>
  <c r="T10" i="31"/>
  <c r="BP9" i="29" s="1"/>
  <c r="BP11" i="29" s="1"/>
  <c r="J7" i="35"/>
  <c r="H70" i="35" s="1"/>
  <c r="J69" i="35" s="1"/>
  <c r="I19" i="29" s="1"/>
  <c r="M7" i="59"/>
  <c r="K70" i="59" s="1"/>
  <c r="M69" i="59" s="1"/>
  <c r="BA19" i="29" s="1"/>
  <c r="BA8" i="29"/>
  <c r="AA8" i="29"/>
  <c r="J7" i="52"/>
  <c r="H70" i="52" s="1"/>
  <c r="J69" i="52" s="1"/>
  <c r="AA19" i="29" s="1"/>
  <c r="M7" i="58"/>
  <c r="K70" i="58" s="1"/>
  <c r="M69" i="58" s="1"/>
  <c r="AM19" i="29" s="1"/>
  <c r="M7" i="35"/>
  <c r="K70" i="35" s="1"/>
  <c r="M69" i="35" s="1"/>
  <c r="AO19" i="29" s="1"/>
  <c r="AO11" i="29"/>
  <c r="M7" i="42"/>
  <c r="K70" i="42" s="1"/>
  <c r="M69" i="42" s="1"/>
  <c r="AV19" i="29" s="1"/>
  <c r="J7" i="44"/>
  <c r="Q8" i="29"/>
  <c r="P7" i="57"/>
  <c r="BR8" i="29"/>
  <c r="T10" i="43"/>
  <c r="CD9" i="29" s="1"/>
  <c r="CD11" i="29" s="1"/>
  <c r="P7" i="43"/>
  <c r="P7" i="35"/>
  <c r="BU8" i="29"/>
  <c r="F11" i="29"/>
  <c r="F48" i="29"/>
  <c r="J7" i="47"/>
  <c r="V8" i="29"/>
  <c r="J12" i="30"/>
  <c r="AV11" i="29"/>
  <c r="AV48" i="29"/>
  <c r="M7" i="43"/>
  <c r="S10" i="43"/>
  <c r="AX9" i="29" s="1"/>
  <c r="AX11" i="29" s="1"/>
  <c r="R10" i="43"/>
  <c r="R9" i="29" s="1"/>
  <c r="R11" i="29" s="1"/>
  <c r="J7" i="43"/>
  <c r="P7" i="37"/>
  <c r="BW8" i="29"/>
  <c r="M7" i="55"/>
  <c r="BJ8" i="29"/>
  <c r="S10" i="51"/>
  <c r="BF9" i="29" s="1"/>
  <c r="BF11" i="29" s="1"/>
  <c r="BH11" i="29"/>
  <c r="BH48" i="29"/>
  <c r="X8" i="29"/>
  <c r="J7" i="49"/>
  <c r="BB11" i="29"/>
  <c r="BB48" i="29"/>
  <c r="P7" i="44"/>
  <c r="CC8" i="29"/>
  <c r="H70" i="37"/>
  <c r="J69" i="37" s="1"/>
  <c r="K19" i="29" s="1"/>
  <c r="J25" i="30"/>
  <c r="N70" i="38"/>
  <c r="P69" i="38" s="1"/>
  <c r="BX19" i="29" s="1"/>
  <c r="S10" i="82"/>
  <c r="EN9" i="29" s="1"/>
  <c r="J7" i="39"/>
  <c r="M8" i="29"/>
  <c r="T10" i="51"/>
  <c r="CL9" i="29" s="1"/>
  <c r="CL11" i="29" s="1"/>
  <c r="K70" i="53"/>
  <c r="M69" i="53" s="1"/>
  <c r="BH19" i="29" s="1"/>
  <c r="P7" i="41"/>
  <c r="CA8" i="29"/>
  <c r="G11" i="29"/>
  <c r="G48" i="29"/>
  <c r="K70" i="47"/>
  <c r="M69" i="47" s="1"/>
  <c r="BB19" i="29" s="1"/>
  <c r="K70" i="57"/>
  <c r="M69" i="57" s="1"/>
  <c r="AL19" i="29" s="1"/>
  <c r="T10" i="60"/>
  <c r="CS9" i="29" s="1"/>
  <c r="CS11" i="29" s="1"/>
  <c r="J7" i="50"/>
  <c r="Y8" i="29"/>
  <c r="J7" i="38"/>
  <c r="R10" i="51"/>
  <c r="Z9" i="29" s="1"/>
  <c r="Z11" i="29" s="1"/>
  <c r="J8" i="29"/>
  <c r="J7" i="36"/>
  <c r="BQ48" i="29"/>
  <c r="BQ11" i="29"/>
  <c r="P7" i="39"/>
  <c r="BY8" i="29"/>
  <c r="I14" i="5"/>
  <c r="H70" i="45"/>
  <c r="J69" i="45" s="1"/>
  <c r="S19" i="29" s="1"/>
  <c r="M7" i="41"/>
  <c r="AU8" i="29"/>
  <c r="J7" i="40"/>
  <c r="N8" i="29"/>
  <c r="M7" i="49"/>
  <c r="BD8" i="29"/>
  <c r="J7" i="58"/>
  <c r="N70" i="55"/>
  <c r="P69" i="55" s="1"/>
  <c r="CP19" i="29" s="1"/>
  <c r="M7" i="38"/>
  <c r="AR8" i="29"/>
  <c r="M7" i="44"/>
  <c r="AW8" i="29"/>
  <c r="I118" i="30"/>
  <c r="I86" i="30"/>
  <c r="K70" i="52"/>
  <c r="M69" i="52" s="1"/>
  <c r="BG19" i="29" s="1"/>
  <c r="R10" i="54"/>
  <c r="AC9" i="29" s="1"/>
  <c r="AC11" i="29" s="1"/>
  <c r="T10" i="82"/>
  <c r="FK9" i="29" s="1"/>
  <c r="M7" i="33"/>
  <c r="AK8" i="29"/>
  <c r="P7" i="36"/>
  <c r="AY11" i="29"/>
  <c r="BE48" i="29"/>
  <c r="BE11" i="29"/>
  <c r="P7" i="40"/>
  <c r="BZ8" i="29"/>
  <c r="K70" i="40"/>
  <c r="M69" i="40" s="1"/>
  <c r="AT19" i="29" s="1"/>
  <c r="M7" i="34"/>
  <c r="AN8" i="29"/>
  <c r="H70" i="59"/>
  <c r="J69" i="59" s="1"/>
  <c r="U19" i="29" s="1"/>
  <c r="S10" i="54"/>
  <c r="BI9" i="29" s="1"/>
  <c r="BI11" i="29" s="1"/>
  <c r="P7" i="46"/>
  <c r="CF8" i="29"/>
  <c r="M7" i="46"/>
  <c r="AZ8" i="29"/>
  <c r="CN8" i="29"/>
  <c r="P7" i="53"/>
  <c r="I11" i="29"/>
  <c r="I48" i="29"/>
  <c r="CH11" i="29"/>
  <c r="CH48" i="29"/>
  <c r="M7" i="37"/>
  <c r="AQ8" i="29"/>
  <c r="S10" i="60"/>
  <c r="BM9" i="29" s="1"/>
  <c r="BM11" i="29" s="1"/>
  <c r="J7" i="53"/>
  <c r="AB8" i="29"/>
  <c r="K11" i="29"/>
  <c r="K48" i="29"/>
  <c r="P8" i="29"/>
  <c r="J7" i="42"/>
  <c r="H70" i="57"/>
  <c r="J69" i="57" s="1"/>
  <c r="F19" i="29" s="1"/>
  <c r="J7" i="41"/>
  <c r="O8" i="29"/>
  <c r="P7" i="42"/>
  <c r="CB8" i="29"/>
  <c r="R10" i="82"/>
  <c r="DQ9" i="29" s="1"/>
  <c r="S10" i="48"/>
  <c r="BC9" i="29" s="1"/>
  <c r="BC11" i="29" s="1"/>
  <c r="P7" i="34"/>
  <c r="BT8" i="29"/>
  <c r="P7" i="59"/>
  <c r="CG8" i="29"/>
  <c r="CP11" i="29"/>
  <c r="CP48" i="29"/>
  <c r="R10" i="40"/>
  <c r="N9" i="29" s="1"/>
  <c r="U48" i="29"/>
  <c r="U11" i="29"/>
  <c r="CJ8" i="29"/>
  <c r="P7" i="49"/>
  <c r="AM48" i="29"/>
  <c r="AM11" i="29"/>
  <c r="AT11" i="29"/>
  <c r="AT48" i="29"/>
  <c r="F10" i="5"/>
  <c r="T48" i="29" l="1"/>
  <c r="CE48" i="29"/>
  <c r="AJ11" i="29"/>
  <c r="G14" i="5" s="1"/>
  <c r="BK11" i="29"/>
  <c r="S48" i="29"/>
  <c r="AE11" i="29"/>
  <c r="E11" i="29"/>
  <c r="E48" i="29"/>
  <c r="H48" i="29"/>
  <c r="AD48" i="29"/>
  <c r="AD11" i="29"/>
  <c r="BA11" i="29"/>
  <c r="BA48" i="29"/>
  <c r="AA48" i="29"/>
  <c r="AA11" i="29"/>
  <c r="Y11" i="29"/>
  <c r="Y48" i="29"/>
  <c r="H70" i="50"/>
  <c r="J69" i="50" s="1"/>
  <c r="Y19" i="29" s="1"/>
  <c r="N70" i="49"/>
  <c r="P69" i="49" s="1"/>
  <c r="CJ19" i="29" s="1"/>
  <c r="CG11" i="29"/>
  <c r="CG48" i="29"/>
  <c r="CB11" i="29"/>
  <c r="CB48" i="29"/>
  <c r="N70" i="59"/>
  <c r="P69" i="59" s="1"/>
  <c r="CG19" i="29" s="1"/>
  <c r="AN11" i="29"/>
  <c r="AN48" i="29"/>
  <c r="H70" i="39"/>
  <c r="J69" i="39" s="1"/>
  <c r="M19" i="29" s="1"/>
  <c r="AB11" i="29"/>
  <c r="AB48" i="29"/>
  <c r="AK11" i="29"/>
  <c r="E10" i="5"/>
  <c r="AK48" i="29"/>
  <c r="AW11" i="29"/>
  <c r="H10" i="5"/>
  <c r="AW48" i="29"/>
  <c r="K70" i="49"/>
  <c r="M69" i="49" s="1"/>
  <c r="BD19" i="29" s="1"/>
  <c r="H70" i="47"/>
  <c r="J69" i="47" s="1"/>
  <c r="V19" i="29" s="1"/>
  <c r="N70" i="42"/>
  <c r="P69" i="42" s="1"/>
  <c r="CB19" i="29" s="1"/>
  <c r="D14" i="5"/>
  <c r="CA11" i="29"/>
  <c r="CA48" i="29"/>
  <c r="BD11" i="29"/>
  <c r="BD48" i="29"/>
  <c r="N70" i="41"/>
  <c r="P69" i="41" s="1"/>
  <c r="CA19" i="29" s="1"/>
  <c r="H70" i="41"/>
  <c r="J69" i="41" s="1"/>
  <c r="O19" i="29" s="1"/>
  <c r="H70" i="53"/>
  <c r="J69" i="53" s="1"/>
  <c r="AB19" i="29" s="1"/>
  <c r="AZ11" i="29"/>
  <c r="AZ48" i="29"/>
  <c r="K70" i="33"/>
  <c r="M69" i="33" s="1"/>
  <c r="AK19" i="29" s="1"/>
  <c r="K70" i="44"/>
  <c r="M69" i="44" s="1"/>
  <c r="AW19" i="29" s="1"/>
  <c r="N11" i="29"/>
  <c r="N48" i="29"/>
  <c r="H70" i="36"/>
  <c r="J69" i="36" s="1"/>
  <c r="J19" i="29" s="1"/>
  <c r="BJ11" i="29"/>
  <c r="BJ48" i="29"/>
  <c r="K70" i="43"/>
  <c r="M69" i="43" s="1"/>
  <c r="AX19" i="29" s="1"/>
  <c r="H70" i="43"/>
  <c r="J69" i="43" s="1"/>
  <c r="R19" i="29" s="1"/>
  <c r="CJ48" i="29"/>
  <c r="CJ11" i="29"/>
  <c r="BR11" i="29"/>
  <c r="BR48" i="29"/>
  <c r="BT11" i="29"/>
  <c r="BT48" i="29"/>
  <c r="H70" i="58"/>
  <c r="J69" i="58" s="1"/>
  <c r="G19" i="29" s="1"/>
  <c r="N70" i="39"/>
  <c r="P69" i="39" s="1"/>
  <c r="BY19" i="29" s="1"/>
  <c r="K70" i="46"/>
  <c r="M69" i="46" s="1"/>
  <c r="AZ19" i="29" s="1"/>
  <c r="AR11" i="29"/>
  <c r="AR48" i="29"/>
  <c r="H70" i="40"/>
  <c r="J69" i="40" s="1"/>
  <c r="N19" i="29" s="1"/>
  <c r="J11" i="29"/>
  <c r="J48" i="29"/>
  <c r="K70" i="55"/>
  <c r="M69" i="55" s="1"/>
  <c r="BJ19" i="29" s="1"/>
  <c r="M48" i="29"/>
  <c r="M11" i="29"/>
  <c r="N70" i="36"/>
  <c r="P69" i="36" s="1"/>
  <c r="BV19" i="29" s="1"/>
  <c r="CC48" i="29"/>
  <c r="CC11" i="29"/>
  <c r="N70" i="34"/>
  <c r="P69" i="34" s="1"/>
  <c r="BT19" i="29" s="1"/>
  <c r="CF48" i="29"/>
  <c r="CF11" i="29"/>
  <c r="BZ48" i="29"/>
  <c r="BZ11" i="29"/>
  <c r="K70" i="38"/>
  <c r="M69" i="38" s="1"/>
  <c r="AR19" i="29" s="1"/>
  <c r="AU11" i="29"/>
  <c r="AU48" i="29"/>
  <c r="H70" i="49"/>
  <c r="J69" i="49" s="1"/>
  <c r="X19" i="29" s="1"/>
  <c r="BW11" i="29"/>
  <c r="BW48" i="29"/>
  <c r="BU48" i="29"/>
  <c r="BU11" i="29"/>
  <c r="Q11" i="29"/>
  <c r="Q48" i="29"/>
  <c r="N70" i="43"/>
  <c r="P69" i="43" s="1"/>
  <c r="CD19" i="29" s="1"/>
  <c r="I88" i="30"/>
  <c r="I89" i="30"/>
  <c r="I87" i="30"/>
  <c r="I83" i="30"/>
  <c r="I84" i="30"/>
  <c r="I85" i="30"/>
  <c r="K70" i="34"/>
  <c r="M69" i="34" s="1"/>
  <c r="AN19" i="29" s="1"/>
  <c r="H70" i="42"/>
  <c r="J69" i="42" s="1"/>
  <c r="P19" i="29" s="1"/>
  <c r="AQ11" i="29"/>
  <c r="AQ48" i="29"/>
  <c r="N70" i="46"/>
  <c r="P69" i="46" s="1"/>
  <c r="CF19" i="29" s="1"/>
  <c r="N70" i="40"/>
  <c r="P69" i="40" s="1"/>
  <c r="BZ19" i="29" s="1"/>
  <c r="K70" i="41"/>
  <c r="M69" i="41" s="1"/>
  <c r="AU19" i="29" s="1"/>
  <c r="X11" i="29"/>
  <c r="X48" i="29"/>
  <c r="N70" i="37"/>
  <c r="P69" i="37" s="1"/>
  <c r="BW19" i="29" s="1"/>
  <c r="I119" i="30"/>
  <c r="N70" i="35"/>
  <c r="P69" i="35" s="1"/>
  <c r="BU19" i="29" s="1"/>
  <c r="H70" i="44"/>
  <c r="J69" i="44" s="1"/>
  <c r="Q19" i="29" s="1"/>
  <c r="BY11" i="29"/>
  <c r="BY48" i="29"/>
  <c r="N70" i="53"/>
  <c r="P69" i="53" s="1"/>
  <c r="CN19" i="29" s="1"/>
  <c r="N70" i="57"/>
  <c r="P69" i="57" s="1"/>
  <c r="BR19" i="29" s="1"/>
  <c r="O11" i="29"/>
  <c r="O48" i="29"/>
  <c r="CN11" i="29"/>
  <c r="CN48" i="29"/>
  <c r="N70" i="44"/>
  <c r="P69" i="44" s="1"/>
  <c r="CC19" i="29" s="1"/>
  <c r="F14" i="5"/>
  <c r="P11" i="29"/>
  <c r="P48" i="29"/>
  <c r="K70" i="37"/>
  <c r="M69" i="37" s="1"/>
  <c r="AQ19" i="29" s="1"/>
  <c r="H70" i="38"/>
  <c r="J69" i="38" s="1"/>
  <c r="L19" i="29" s="1"/>
  <c r="V11" i="29"/>
  <c r="V48" i="29"/>
  <c r="H14" i="5" l="1"/>
  <c r="E14" i="5"/>
  <c r="L14" i="5" l="1"/>
  <c r="L12" i="14"/>
  <c r="D30" i="47"/>
  <c r="I30" i="47" s="1"/>
  <c r="D30" i="37"/>
  <c r="L30" i="37" s="1"/>
  <c r="D30" i="41"/>
  <c r="L30" i="41" s="1"/>
  <c r="D30" i="43"/>
  <c r="I30" i="43" s="1"/>
  <c r="D30" i="57"/>
  <c r="D30" i="39"/>
  <c r="I30" i="39" s="1"/>
  <c r="D30" i="38"/>
  <c r="D30" i="61"/>
  <c r="L30" i="61" s="1"/>
  <c r="D30" i="31"/>
  <c r="I30" i="31" s="1"/>
  <c r="D30" i="33"/>
  <c r="O30" i="33" s="1"/>
  <c r="D30" i="49"/>
  <c r="L30" i="49" s="1"/>
  <c r="D30" i="58"/>
  <c r="I30" i="58" s="1"/>
  <c r="D30" i="54"/>
  <c r="I30" i="54" s="1"/>
  <c r="D30" i="55"/>
  <c r="O30" i="55" s="1"/>
  <c r="D30" i="40"/>
  <c r="O30" i="40" s="1"/>
  <c r="D30" i="53"/>
  <c r="L30" i="53" s="1"/>
  <c r="D30" i="60"/>
  <c r="O30" i="60" s="1"/>
  <c r="D30" i="52"/>
  <c r="L30" i="52" s="1"/>
  <c r="D30" i="34"/>
  <c r="O30" i="34" s="1"/>
  <c r="D30" i="48"/>
  <c r="I30" i="48" s="1"/>
  <c r="D30" i="51"/>
  <c r="L30" i="51" s="1"/>
  <c r="D30" i="35"/>
  <c r="L30" i="35" s="1"/>
  <c r="D30" i="56"/>
  <c r="L30" i="56" s="1"/>
  <c r="D30" i="50"/>
  <c r="L30" i="50" s="1"/>
  <c r="D30" i="46"/>
  <c r="O30" i="46" s="1"/>
  <c r="D30" i="59"/>
  <c r="O30" i="59" s="1"/>
  <c r="D30" i="44"/>
  <c r="O30" i="44" s="1"/>
  <c r="D30" i="45"/>
  <c r="O30" i="45" s="1"/>
  <c r="D30" i="42"/>
  <c r="O30" i="42" s="1"/>
  <c r="D30" i="36"/>
  <c r="O30" i="36" s="1"/>
  <c r="L30" i="42" l="1"/>
  <c r="O30" i="51"/>
  <c r="O30" i="54"/>
  <c r="O30" i="52"/>
  <c r="L30" i="33"/>
  <c r="O30" i="56"/>
  <c r="I30" i="60"/>
  <c r="I30" i="35"/>
  <c r="O30" i="35"/>
  <c r="L30" i="55"/>
  <c r="I30" i="33"/>
  <c r="I30" i="45"/>
  <c r="I30" i="49"/>
  <c r="L30" i="40"/>
  <c r="I30" i="46"/>
  <c r="I30" i="51"/>
  <c r="I30" i="55"/>
  <c r="O30" i="50"/>
  <c r="O30" i="53"/>
  <c r="L30" i="47"/>
  <c r="L30" i="43"/>
  <c r="O30" i="43"/>
  <c r="L30" i="48"/>
  <c r="O30" i="41"/>
  <c r="L30" i="39"/>
  <c r="L30" i="31"/>
  <c r="O30" i="39"/>
  <c r="L30" i="58"/>
  <c r="I30" i="36"/>
  <c r="I30" i="52"/>
  <c r="L30" i="45"/>
  <c r="I30" i="50"/>
  <c r="L30" i="54"/>
  <c r="O30" i="49"/>
  <c r="O30" i="47"/>
  <c r="O30" i="48"/>
  <c r="I30" i="37"/>
  <c r="I30" i="56"/>
  <c r="I30" i="38"/>
  <c r="L30" i="38"/>
  <c r="O30" i="38"/>
  <c r="I30" i="42"/>
  <c r="L30" i="60"/>
  <c r="T99" i="14"/>
  <c r="P106" i="14" s="1"/>
  <c r="I30" i="53"/>
  <c r="L30" i="46"/>
  <c r="L30" i="59"/>
  <c r="I30" i="59"/>
  <c r="O30" i="61"/>
  <c r="I30" i="61"/>
  <c r="I30" i="40"/>
  <c r="L30" i="57"/>
  <c r="I30" i="57"/>
  <c r="O30" i="57"/>
  <c r="I30" i="41"/>
  <c r="L30" i="34"/>
  <c r="I30" i="34"/>
  <c r="L30" i="36"/>
  <c r="L30" i="44"/>
  <c r="O30" i="58"/>
  <c r="O30" i="31"/>
  <c r="I30" i="44"/>
  <c r="O30" i="37"/>
  <c r="D32" i="39"/>
  <c r="O32" i="39" s="1"/>
  <c r="D32" i="55"/>
  <c r="O32" i="55" s="1"/>
  <c r="D32" i="33"/>
  <c r="O32" i="33" s="1"/>
  <c r="D32" i="40"/>
  <c r="O32" i="40" s="1"/>
  <c r="D32" i="43"/>
  <c r="I32" i="43" s="1"/>
  <c r="D32" i="50"/>
  <c r="I32" i="50" s="1"/>
  <c r="D32" i="53"/>
  <c r="D32" i="56"/>
  <c r="O32" i="56" s="1"/>
  <c r="D32" i="49"/>
  <c r="O32" i="49" s="1"/>
  <c r="L14" i="14"/>
  <c r="T101" i="14" s="1"/>
  <c r="P108" i="14" s="1"/>
  <c r="D32" i="37"/>
  <c r="D32" i="48"/>
  <c r="L32" i="48" s="1"/>
  <c r="D32" i="61"/>
  <c r="O32" i="61" s="1"/>
  <c r="D32" i="57"/>
  <c r="D31" i="51"/>
  <c r="L31" i="51" s="1"/>
  <c r="D32" i="35"/>
  <c r="L32" i="35" s="1"/>
  <c r="D32" i="58"/>
  <c r="L32" i="58" s="1"/>
  <c r="D32" i="51"/>
  <c r="O32" i="51" s="1"/>
  <c r="D32" i="54"/>
  <c r="L32" i="54" s="1"/>
  <c r="D31" i="60"/>
  <c r="L31" i="60" s="1"/>
  <c r="D32" i="31"/>
  <c r="I32" i="31" s="1"/>
  <c r="D32" i="46"/>
  <c r="I32" i="46" s="1"/>
  <c r="D32" i="60"/>
  <c r="L32" i="60" s="1"/>
  <c r="D32" i="45"/>
  <c r="I32" i="45" s="1"/>
  <c r="D31" i="58"/>
  <c r="O31" i="58" s="1"/>
  <c r="D31" i="55"/>
  <c r="D31" i="44"/>
  <c r="O31" i="44" s="1"/>
  <c r="D31" i="35"/>
  <c r="L31" i="35" s="1"/>
  <c r="D32" i="36"/>
  <c r="O32" i="36" s="1"/>
  <c r="D31" i="38"/>
  <c r="L31" i="38" s="1"/>
  <c r="D31" i="34"/>
  <c r="I31" i="34" s="1"/>
  <c r="D31" i="61"/>
  <c r="I31" i="61" s="1"/>
  <c r="D31" i="40"/>
  <c r="I31" i="40" s="1"/>
  <c r="D31" i="42"/>
  <c r="L31" i="42" s="1"/>
  <c r="D32" i="42"/>
  <c r="L32" i="42" s="1"/>
  <c r="D31" i="50"/>
  <c r="I31" i="50" s="1"/>
  <c r="D32" i="52"/>
  <c r="L32" i="52" s="1"/>
  <c r="D31" i="39"/>
  <c r="I31" i="39" s="1"/>
  <c r="D31" i="37"/>
  <c r="I31" i="37" s="1"/>
  <c r="D31" i="46"/>
  <c r="I31" i="46" s="1"/>
  <c r="D31" i="48"/>
  <c r="L31" i="48" s="1"/>
  <c r="D31" i="52"/>
  <c r="I31" i="52" s="1"/>
  <c r="D31" i="41"/>
  <c r="D31" i="59"/>
  <c r="I31" i="59" s="1"/>
  <c r="D31" i="49"/>
  <c r="O31" i="49" s="1"/>
  <c r="D32" i="47"/>
  <c r="L32" i="47" s="1"/>
  <c r="D31" i="45"/>
  <c r="O31" i="45" s="1"/>
  <c r="D32" i="59"/>
  <c r="O32" i="59" s="1"/>
  <c r="D32" i="34"/>
  <c r="L32" i="34" s="1"/>
  <c r="D31" i="36"/>
  <c r="L31" i="36" s="1"/>
  <c r="D31" i="56"/>
  <c r="L31" i="56" s="1"/>
  <c r="D31" i="33"/>
  <c r="I31" i="33" s="1"/>
  <c r="D31" i="53"/>
  <c r="L31" i="53" s="1"/>
  <c r="D32" i="41"/>
  <c r="L32" i="41" s="1"/>
  <c r="D32" i="38"/>
  <c r="O32" i="38" s="1"/>
  <c r="D32" i="44"/>
  <c r="I32" i="44" s="1"/>
  <c r="D31" i="43"/>
  <c r="I31" i="43" s="1"/>
  <c r="L13" i="14"/>
  <c r="T100" i="14" s="1"/>
  <c r="P107" i="14" s="1"/>
  <c r="D31" i="57"/>
  <c r="O31" i="57" s="1"/>
  <c r="D31" i="47"/>
  <c r="I31" i="47" s="1"/>
  <c r="D31" i="31"/>
  <c r="L31" i="31" s="1"/>
  <c r="D31" i="54"/>
  <c r="O31" i="54" s="1"/>
  <c r="J27" i="43" l="1"/>
  <c r="M27" i="35"/>
  <c r="M27" i="42"/>
  <c r="J27" i="50"/>
  <c r="M27" i="60"/>
  <c r="J27" i="46"/>
  <c r="T13" i="29" s="1"/>
  <c r="M27" i="48"/>
  <c r="BC13" i="29" s="1"/>
  <c r="P27" i="49"/>
  <c r="CJ13" i="29" s="1"/>
  <c r="L31" i="54"/>
  <c r="M27" i="54" s="1"/>
  <c r="BI13" i="29" s="1"/>
  <c r="I31" i="49"/>
  <c r="I32" i="52"/>
  <c r="J27" i="52" s="1"/>
  <c r="AA13" i="29" s="1"/>
  <c r="O31" i="52"/>
  <c r="P27" i="52" s="1"/>
  <c r="I32" i="39"/>
  <c r="J27" i="39" s="1"/>
  <c r="M13" i="29" s="1"/>
  <c r="O32" i="41"/>
  <c r="O31" i="42"/>
  <c r="L32" i="61"/>
  <c r="L32" i="33"/>
  <c r="R13" i="29"/>
  <c r="L32" i="46"/>
  <c r="O32" i="52"/>
  <c r="L31" i="59"/>
  <c r="I32" i="60"/>
  <c r="O32" i="60"/>
  <c r="I32" i="40"/>
  <c r="I32" i="38"/>
  <c r="L31" i="40"/>
  <c r="O32" i="54"/>
  <c r="P27" i="54" s="1"/>
  <c r="P24" i="14"/>
  <c r="Q24" i="14" s="1"/>
  <c r="I31" i="54"/>
  <c r="O31" i="61"/>
  <c r="P110" i="14"/>
  <c r="T110" i="14" s="1"/>
  <c r="O32" i="34"/>
  <c r="L32" i="49"/>
  <c r="O32" i="31"/>
  <c r="I32" i="42"/>
  <c r="BM13" i="29"/>
  <c r="I32" i="61"/>
  <c r="I31" i="56"/>
  <c r="L32" i="36"/>
  <c r="L32" i="40"/>
  <c r="I32" i="36"/>
  <c r="Y13" i="29"/>
  <c r="L32" i="45"/>
  <c r="I31" i="44"/>
  <c r="J27" i="44" s="1"/>
  <c r="I32" i="54"/>
  <c r="I32" i="33"/>
  <c r="I31" i="42"/>
  <c r="L32" i="50"/>
  <c r="L32" i="55"/>
  <c r="O32" i="50"/>
  <c r="I32" i="55"/>
  <c r="L31" i="49"/>
  <c r="O31" i="56"/>
  <c r="P27" i="56" s="1"/>
  <c r="L31" i="44"/>
  <c r="O32" i="46"/>
  <c r="L32" i="39"/>
  <c r="O32" i="47"/>
  <c r="O32" i="42"/>
  <c r="I32" i="49"/>
  <c r="I31" i="57"/>
  <c r="AV13" i="29"/>
  <c r="AO13" i="29"/>
  <c r="I32" i="53"/>
  <c r="O32" i="53"/>
  <c r="I31" i="31"/>
  <c r="J27" i="31" s="1"/>
  <c r="O31" i="31"/>
  <c r="L32" i="57"/>
  <c r="I32" i="57"/>
  <c r="I32" i="47"/>
  <c r="J27" i="47" s="1"/>
  <c r="L31" i="46"/>
  <c r="O31" i="46"/>
  <c r="O31" i="37"/>
  <c r="P27" i="37" s="1"/>
  <c r="O32" i="57"/>
  <c r="P27" i="57" s="1"/>
  <c r="L32" i="38"/>
  <c r="M27" i="38" s="1"/>
  <c r="O31" i="33"/>
  <c r="P27" i="33" s="1"/>
  <c r="L31" i="33"/>
  <c r="L32" i="59"/>
  <c r="O31" i="59"/>
  <c r="P27" i="59" s="1"/>
  <c r="O31" i="40"/>
  <c r="P27" i="40" s="1"/>
  <c r="I31" i="51"/>
  <c r="O31" i="51"/>
  <c r="P27" i="51" s="1"/>
  <c r="I31" i="41"/>
  <c r="O31" i="41"/>
  <c r="P27" i="41" s="1"/>
  <c r="O32" i="58"/>
  <c r="P27" i="58" s="1"/>
  <c r="I32" i="58"/>
  <c r="L31" i="39"/>
  <c r="O31" i="39"/>
  <c r="P27" i="39" s="1"/>
  <c r="I32" i="37"/>
  <c r="J27" i="37" s="1"/>
  <c r="L32" i="37"/>
  <c r="O32" i="37"/>
  <c r="O31" i="43"/>
  <c r="L31" i="43"/>
  <c r="O31" i="38"/>
  <c r="P27" i="38" s="1"/>
  <c r="I31" i="38"/>
  <c r="I32" i="34"/>
  <c r="J27" i="34" s="1"/>
  <c r="O31" i="34"/>
  <c r="P27" i="34" s="1"/>
  <c r="L31" i="34"/>
  <c r="M27" i="34" s="1"/>
  <c r="L31" i="41"/>
  <c r="M27" i="41" s="1"/>
  <c r="I31" i="45"/>
  <c r="J27" i="45" s="1"/>
  <c r="I31" i="53"/>
  <c r="O31" i="53"/>
  <c r="I31" i="60"/>
  <c r="O31" i="60"/>
  <c r="L31" i="47"/>
  <c r="M27" i="47" s="1"/>
  <c r="O31" i="47"/>
  <c r="I32" i="59"/>
  <c r="J27" i="59" s="1"/>
  <c r="I31" i="48"/>
  <c r="O31" i="48"/>
  <c r="O31" i="35"/>
  <c r="I31" i="35"/>
  <c r="I31" i="55"/>
  <c r="J27" i="55" s="1"/>
  <c r="O31" i="55"/>
  <c r="P27" i="55" s="1"/>
  <c r="L31" i="45"/>
  <c r="L31" i="37"/>
  <c r="I32" i="48"/>
  <c r="O32" i="48"/>
  <c r="L31" i="55"/>
  <c r="L32" i="53"/>
  <c r="M27" i="53" s="1"/>
  <c r="O32" i="44"/>
  <c r="P27" i="44" s="1"/>
  <c r="I32" i="41"/>
  <c r="O31" i="36"/>
  <c r="P27" i="36" s="1"/>
  <c r="L31" i="52"/>
  <c r="M27" i="52" s="1"/>
  <c r="O32" i="45"/>
  <c r="P27" i="45" s="1"/>
  <c r="L32" i="51"/>
  <c r="M27" i="51" s="1"/>
  <c r="I32" i="35"/>
  <c r="I31" i="58"/>
  <c r="L31" i="58"/>
  <c r="M27" i="58" s="1"/>
  <c r="L32" i="44"/>
  <c r="M27" i="44" s="1"/>
  <c r="L31" i="57"/>
  <c r="M27" i="57" s="1"/>
  <c r="L31" i="61"/>
  <c r="M27" i="61" s="1"/>
  <c r="L32" i="31"/>
  <c r="M27" i="31" s="1"/>
  <c r="I32" i="51"/>
  <c r="O32" i="35"/>
  <c r="L31" i="50"/>
  <c r="O31" i="50"/>
  <c r="P27" i="50" s="1"/>
  <c r="I31" i="36"/>
  <c r="J27" i="36" s="1"/>
  <c r="L32" i="56"/>
  <c r="M27" i="56" s="1"/>
  <c r="I32" i="56"/>
  <c r="L32" i="43"/>
  <c r="O32" i="43"/>
  <c r="J27" i="48" l="1"/>
  <c r="M27" i="37"/>
  <c r="M27" i="46"/>
  <c r="P27" i="53"/>
  <c r="CN13" i="29" s="1"/>
  <c r="J27" i="53"/>
  <c r="M27" i="40"/>
  <c r="P27" i="47"/>
  <c r="P27" i="46"/>
  <c r="CF13" i="29" s="1"/>
  <c r="P27" i="48"/>
  <c r="J27" i="57"/>
  <c r="F13" i="29" s="1"/>
  <c r="P27" i="31"/>
  <c r="BP13" i="29" s="1"/>
  <c r="J27" i="42"/>
  <c r="P13" i="29" s="1"/>
  <c r="J27" i="56"/>
  <c r="AE13" i="29" s="1"/>
  <c r="M27" i="55"/>
  <c r="BJ13" i="29" s="1"/>
  <c r="P27" i="60"/>
  <c r="CS13" i="29" s="1"/>
  <c r="M27" i="59"/>
  <c r="BA13" i="29" s="1"/>
  <c r="M27" i="39"/>
  <c r="AS13" i="29" s="1"/>
  <c r="P27" i="42"/>
  <c r="CB13" i="29" s="1"/>
  <c r="J27" i="38"/>
  <c r="L13" i="29" s="1"/>
  <c r="J27" i="41"/>
  <c r="M27" i="43"/>
  <c r="J27" i="51"/>
  <c r="J27" i="49"/>
  <c r="X13" i="29" s="1"/>
  <c r="P27" i="35"/>
  <c r="P27" i="43"/>
  <c r="J27" i="58"/>
  <c r="J27" i="60"/>
  <c r="AG13" i="29" s="1"/>
  <c r="J27" i="35"/>
  <c r="M27" i="45"/>
  <c r="AY13" i="29" s="1"/>
  <c r="M27" i="33"/>
  <c r="AK13" i="29" s="1"/>
  <c r="J27" i="61"/>
  <c r="AH13" i="29" s="1"/>
  <c r="CM13" i="29"/>
  <c r="Q13" i="29"/>
  <c r="CQ13" i="29"/>
  <c r="M27" i="49"/>
  <c r="BD13" i="29" s="1"/>
  <c r="M27" i="36"/>
  <c r="AP13" i="29" s="1"/>
  <c r="M27" i="50"/>
  <c r="BE13" i="29" s="1"/>
  <c r="J27" i="54"/>
  <c r="AC13" i="29" s="1"/>
  <c r="J27" i="33"/>
  <c r="E13" i="29" s="1"/>
  <c r="P27" i="61"/>
  <c r="CT13" i="29" s="1"/>
  <c r="J27" i="40"/>
  <c r="N13" i="29" s="1"/>
  <c r="O24" i="14"/>
  <c r="BT13" i="29"/>
  <c r="T24" i="14"/>
  <c r="AT13" i="29"/>
  <c r="F16" i="5" s="1"/>
  <c r="AW13" i="29"/>
  <c r="CH13" i="29"/>
  <c r="CK13" i="29"/>
  <c r="AD13" i="29"/>
  <c r="W13" i="29"/>
  <c r="AL13" i="29"/>
  <c r="U13" i="29"/>
  <c r="BK13" i="29"/>
  <c r="CC13" i="29"/>
  <c r="AJ13" i="29"/>
  <c r="H13" i="29"/>
  <c r="K13" i="29"/>
  <c r="BR13" i="29"/>
  <c r="AN13" i="29"/>
  <c r="V13" i="29"/>
  <c r="CG13" i="29"/>
  <c r="S13" i="29"/>
  <c r="AU13" i="29"/>
  <c r="CA13" i="29"/>
  <c r="BY13" i="29"/>
  <c r="CL13" i="29"/>
  <c r="BN13" i="29"/>
  <c r="BS13" i="29"/>
  <c r="AM13" i="29"/>
  <c r="CE13" i="29"/>
  <c r="CP13" i="29"/>
  <c r="BQ13" i="29"/>
  <c r="AR13" i="29"/>
  <c r="CO13" i="29"/>
  <c r="AZ13" i="29"/>
  <c r="D13" i="29"/>
  <c r="BH13" i="29"/>
  <c r="BB13" i="29"/>
  <c r="BX13" i="29"/>
  <c r="J13" i="29"/>
  <c r="BF13" i="29"/>
  <c r="BG13" i="29"/>
  <c r="BV13" i="29"/>
  <c r="BZ13" i="29"/>
  <c r="D16" i="5" l="1"/>
  <c r="BW13" i="29"/>
  <c r="AQ13" i="29"/>
  <c r="AB13" i="29"/>
  <c r="G13" i="29"/>
  <c r="AX13" i="29"/>
  <c r="O13" i="29"/>
  <c r="Z13" i="29"/>
  <c r="G16" i="5"/>
  <c r="E16" i="5"/>
  <c r="BU13" i="29"/>
  <c r="I13" i="29"/>
  <c r="CI13" i="29"/>
  <c r="H16" i="5"/>
  <c r="I16" i="5"/>
  <c r="CD13" i="29"/>
  <c r="L16" i="5" l="1"/>
  <c r="E75" i="53"/>
  <c r="E75" i="76"/>
  <c r="E75" i="57"/>
  <c r="E75" i="91"/>
  <c r="E75" i="44"/>
  <c r="E75" i="34"/>
  <c r="E75" i="58"/>
  <c r="E75" i="60"/>
  <c r="E75" i="51"/>
  <c r="E75" i="71"/>
  <c r="E75" i="86"/>
  <c r="E75" i="59"/>
  <c r="E75" i="31"/>
  <c r="E75" i="89"/>
  <c r="E75" i="39"/>
  <c r="E75" i="80"/>
  <c r="E75" i="79"/>
  <c r="E75" i="77"/>
  <c r="E75" i="73"/>
  <c r="E75" i="36"/>
  <c r="E75" i="43"/>
  <c r="E75" i="75"/>
  <c r="E75" i="72"/>
  <c r="E75" i="38"/>
  <c r="E75" i="37"/>
  <c r="E75" i="56"/>
  <c r="E75" i="78"/>
  <c r="E75" i="45"/>
  <c r="E75" i="83"/>
  <c r="E75" i="49"/>
  <c r="E75" i="35"/>
  <c r="E75" i="65"/>
  <c r="E75" i="54"/>
  <c r="E75" i="61"/>
  <c r="E75" i="64"/>
  <c r="E75" i="55"/>
  <c r="E75" i="41"/>
  <c r="E75" i="90"/>
  <c r="E75" i="50"/>
  <c r="E75" i="85"/>
  <c r="E75" i="48"/>
  <c r="E75" i="33"/>
  <c r="E75" i="46"/>
  <c r="E75" i="40"/>
  <c r="E75" i="52"/>
  <c r="E75" i="81"/>
  <c r="E75" i="42"/>
  <c r="E75" i="88"/>
  <c r="E75" i="74"/>
  <c r="E75" i="82"/>
  <c r="E75" i="66"/>
  <c r="E75" i="47"/>
  <c r="E75" i="84"/>
  <c r="F34" i="20" l="1"/>
  <c r="K36" i="20" s="1"/>
  <c r="M36" i="20" s="1"/>
  <c r="N33" i="20" s="1"/>
  <c r="CA29" i="29" s="1"/>
  <c r="F27" i="20"/>
  <c r="K30" i="20" s="1"/>
  <c r="M30" i="20" s="1"/>
  <c r="F9" i="20"/>
  <c r="K14" i="20" s="1"/>
  <c r="M14" i="20" s="1"/>
  <c r="F20" i="20"/>
  <c r="K22" i="20" s="1"/>
  <c r="M22" i="20" s="1"/>
  <c r="K11" i="20" l="1"/>
  <c r="M11" i="20" s="1"/>
  <c r="K24" i="20"/>
  <c r="M24" i="20" s="1"/>
  <c r="K29" i="20"/>
  <c r="M29" i="20" s="1"/>
  <c r="N26" i="20" s="1"/>
  <c r="BW29" i="29"/>
  <c r="CG29" i="29"/>
  <c r="CC29" i="29"/>
  <c r="S29" i="29"/>
  <c r="K23" i="20"/>
  <c r="M23" i="20" s="1"/>
  <c r="AZ29" i="29"/>
  <c r="BZ29" i="29"/>
  <c r="J29" i="29"/>
  <c r="AK29" i="29"/>
  <c r="BU29" i="29"/>
  <c r="CI29" i="29"/>
  <c r="I29" i="29"/>
  <c r="AT29" i="29"/>
  <c r="BC29" i="29"/>
  <c r="CF29" i="29"/>
  <c r="CS29" i="29"/>
  <c r="CN29" i="29"/>
  <c r="AO29" i="29"/>
  <c r="BQ29" i="29"/>
  <c r="K12" i="20"/>
  <c r="M12" i="20" s="1"/>
  <c r="N19" i="20"/>
  <c r="K15" i="20"/>
  <c r="M15" i="20" s="1"/>
  <c r="K13" i="20"/>
  <c r="M13" i="20" s="1"/>
  <c r="CJ29" i="29"/>
  <c r="BH29" i="29"/>
  <c r="BR29" i="29"/>
  <c r="W29" i="29"/>
  <c r="BI29" i="29"/>
  <c r="AJ29" i="29"/>
  <c r="CO29" i="29"/>
  <c r="BA29" i="29"/>
  <c r="AF29" i="29"/>
  <c r="CB29" i="29"/>
  <c r="BY29" i="29"/>
  <c r="BJ29" i="29"/>
  <c r="U29" i="29"/>
  <c r="BP29" i="29"/>
  <c r="BS29" i="29"/>
  <c r="G29" i="29"/>
  <c r="BV29" i="29"/>
  <c r="AY29" i="29"/>
  <c r="Q29" i="29"/>
  <c r="AC29" i="29"/>
  <c r="BM29" i="29"/>
  <c r="K29" i="29"/>
  <c r="F29" i="29"/>
  <c r="D29" i="29"/>
  <c r="X29" i="29"/>
  <c r="N29" i="29"/>
  <c r="AN29" i="29"/>
  <c r="BL29" i="29"/>
  <c r="AD29" i="29"/>
  <c r="E29" i="29"/>
  <c r="R29" i="29"/>
  <c r="AP29" i="29"/>
  <c r="CP29" i="29"/>
  <c r="AA29" i="29"/>
  <c r="CH29" i="29"/>
  <c r="BF29" i="29"/>
  <c r="BB29" i="29"/>
  <c r="AB29" i="29"/>
  <c r="CD29" i="29"/>
  <c r="BT29" i="29"/>
  <c r="AV29" i="29"/>
  <c r="AW29" i="29"/>
  <c r="BG29" i="29"/>
  <c r="L29" i="29"/>
  <c r="AR29" i="29"/>
  <c r="CK29" i="29"/>
  <c r="AS29" i="29"/>
  <c r="V29" i="29"/>
  <c r="Y29" i="29"/>
  <c r="AX29" i="29"/>
  <c r="CE29" i="29"/>
  <c r="AL29" i="29"/>
  <c r="AM29" i="29"/>
  <c r="O29" i="29"/>
  <c r="H29" i="29"/>
  <c r="CQ29" i="29"/>
  <c r="AE29" i="29"/>
  <c r="AU29" i="29"/>
  <c r="CM29" i="29"/>
  <c r="CR29" i="29"/>
  <c r="Z29" i="29"/>
  <c r="BK29" i="29"/>
  <c r="CL29" i="29"/>
  <c r="P29" i="29"/>
  <c r="M29" i="29"/>
  <c r="T29" i="29"/>
  <c r="AG29" i="29"/>
  <c r="BX29" i="29"/>
  <c r="AQ29" i="29"/>
  <c r="BD29" i="29"/>
  <c r="BE29" i="29"/>
  <c r="N8" i="20" l="1"/>
  <c r="BX28" i="29" s="1"/>
  <c r="BX34" i="29" s="1"/>
  <c r="CK28" i="29"/>
  <c r="CK34" i="29" s="1"/>
  <c r="AU28" i="29"/>
  <c r="AU34" i="29" s="1"/>
  <c r="AN28" i="29"/>
  <c r="AN34" i="29" s="1"/>
  <c r="AJ28" i="29"/>
  <c r="AJ34" i="29" s="1"/>
  <c r="AM28" i="29"/>
  <c r="AM34" i="29" s="1"/>
  <c r="X28" i="29"/>
  <c r="X34" i="29" s="1"/>
  <c r="J28" i="29"/>
  <c r="J34" i="29" s="1"/>
  <c r="BU28" i="29"/>
  <c r="BU34" i="29" s="1"/>
  <c r="AF28" i="29"/>
  <c r="AF34" i="29" s="1"/>
  <c r="BJ28" i="29"/>
  <c r="BJ34" i="29" s="1"/>
  <c r="BD28" i="29"/>
  <c r="BD34" i="29" s="1"/>
  <c r="CO28" i="29"/>
  <c r="CO34" i="29" s="1"/>
  <c r="BG28" i="29"/>
  <c r="BG34" i="29" s="1"/>
  <c r="CA28" i="29"/>
  <c r="CA34" i="29" s="1"/>
  <c r="BM28" i="29"/>
  <c r="BM34" i="29" s="1"/>
  <c r="BC28" i="29" l="1"/>
  <c r="BC34" i="29" s="1"/>
  <c r="CE28" i="29"/>
  <c r="CE34" i="29" s="1"/>
  <c r="BW28" i="29"/>
  <c r="BW34" i="29" s="1"/>
  <c r="O28" i="29"/>
  <c r="O34" i="29" s="1"/>
  <c r="CJ28" i="29"/>
  <c r="CJ34" i="29" s="1"/>
  <c r="CN28" i="29"/>
  <c r="CN34" i="29" s="1"/>
  <c r="AX28" i="29"/>
  <c r="AX34" i="29" s="1"/>
  <c r="T28" i="29"/>
  <c r="T34" i="29" s="1"/>
  <c r="P28" i="29"/>
  <c r="P34" i="29" s="1"/>
  <c r="Q28" i="29"/>
  <c r="Q34" i="29" s="1"/>
  <c r="CM28" i="29"/>
  <c r="CM34" i="29" s="1"/>
  <c r="I28" i="29"/>
  <c r="I34" i="29" s="1"/>
  <c r="BS28" i="29"/>
  <c r="BS34" i="29" s="1"/>
  <c r="W28" i="29"/>
  <c r="W34" i="29" s="1"/>
  <c r="BZ28" i="29"/>
  <c r="BZ34" i="29" s="1"/>
  <c r="CB28" i="29"/>
  <c r="CB34" i="29" s="1"/>
  <c r="R28" i="29"/>
  <c r="R34" i="29" s="1"/>
  <c r="AL28" i="29"/>
  <c r="AL34" i="29" s="1"/>
  <c r="AB28" i="29"/>
  <c r="AB34" i="29" s="1"/>
  <c r="CP28" i="29"/>
  <c r="CP34" i="29" s="1"/>
  <c r="BI28" i="29"/>
  <c r="BI34" i="29" s="1"/>
  <c r="AT28" i="29"/>
  <c r="AT34" i="29" s="1"/>
  <c r="G28" i="29"/>
  <c r="G34" i="29" s="1"/>
  <c r="CD28" i="29"/>
  <c r="CD34" i="29" s="1"/>
  <c r="K28" i="29"/>
  <c r="K34" i="29" s="1"/>
  <c r="BL28" i="29"/>
  <c r="L28" i="29"/>
  <c r="L34" i="29" s="1"/>
  <c r="BK28" i="29"/>
  <c r="BK34" i="29" s="1"/>
  <c r="AR28" i="29"/>
  <c r="AR34" i="29" s="1"/>
  <c r="N28" i="29"/>
  <c r="N34" i="29" s="1"/>
  <c r="AZ28" i="29"/>
  <c r="AZ34" i="29" s="1"/>
  <c r="BA28" i="29"/>
  <c r="BA34" i="29" s="1"/>
  <c r="CG28" i="29"/>
  <c r="CG34" i="29" s="1"/>
  <c r="AO28" i="29"/>
  <c r="AO34" i="29" s="1"/>
  <c r="V28" i="29"/>
  <c r="V34" i="29" s="1"/>
  <c r="CL28" i="29"/>
  <c r="CL34" i="29" s="1"/>
  <c r="CQ28" i="29"/>
  <c r="CQ34" i="29" s="1"/>
  <c r="BH28" i="29"/>
  <c r="BH34" i="29" s="1"/>
  <c r="CH28" i="29"/>
  <c r="CH34" i="29" s="1"/>
  <c r="AA28" i="29"/>
  <c r="AA34" i="29" s="1"/>
  <c r="CC28" i="29"/>
  <c r="CC34" i="29" s="1"/>
  <c r="AS28" i="29"/>
  <c r="AS34" i="29" s="1"/>
  <c r="E28" i="29"/>
  <c r="E34" i="29" s="1"/>
  <c r="BY28" i="29"/>
  <c r="BY34" i="29" s="1"/>
  <c r="F28" i="29"/>
  <c r="F34" i="29" s="1"/>
  <c r="H28" i="29"/>
  <c r="H34" i="29" s="1"/>
  <c r="AV28" i="29"/>
  <c r="AV34" i="29" s="1"/>
  <c r="AG28" i="29"/>
  <c r="AG34" i="29" s="1"/>
  <c r="AY28" i="29"/>
  <c r="AY34" i="29" s="1"/>
  <c r="BF28" i="29"/>
  <c r="BF34" i="29" s="1"/>
  <c r="AC28" i="29"/>
  <c r="AC34" i="29" s="1"/>
  <c r="AP28" i="29"/>
  <c r="AP34" i="29" s="1"/>
  <c r="CR28" i="29"/>
  <c r="CR34" i="29" s="1"/>
  <c r="BQ28" i="29"/>
  <c r="BQ34" i="29" s="1"/>
  <c r="CI28" i="29"/>
  <c r="CI34" i="29" s="1"/>
  <c r="AE28" i="29"/>
  <c r="AE34" i="29" s="1"/>
  <c r="Z28" i="29"/>
  <c r="Z34" i="29" s="1"/>
  <c r="CS28" i="29"/>
  <c r="CS34" i="29" s="1"/>
  <c r="AW28" i="29"/>
  <c r="AW34" i="29" s="1"/>
  <c r="BP28" i="29"/>
  <c r="BP34" i="29" s="1"/>
  <c r="S28" i="29"/>
  <c r="S34" i="29" s="1"/>
  <c r="CF28" i="29"/>
  <c r="CF34" i="29" s="1"/>
  <c r="Y28" i="29"/>
  <c r="Y34" i="29" s="1"/>
  <c r="AD28" i="29"/>
  <c r="AD34" i="29" s="1"/>
  <c r="M28" i="29"/>
  <c r="M34" i="29" s="1"/>
  <c r="BT28" i="29"/>
  <c r="BT34" i="29" s="1"/>
  <c r="U28" i="29"/>
  <c r="U34" i="29" s="1"/>
  <c r="D28" i="29"/>
  <c r="D34" i="29" s="1"/>
  <c r="BE28" i="29"/>
  <c r="BE34" i="29" s="1"/>
  <c r="BV28" i="29"/>
  <c r="BV34" i="29" s="1"/>
  <c r="AQ28" i="29"/>
  <c r="AQ34" i="29" s="1"/>
  <c r="BB28" i="29"/>
  <c r="BB34" i="29" s="1"/>
  <c r="AK28" i="29"/>
  <c r="AK34" i="29" s="1"/>
  <c r="BR28" i="29"/>
  <c r="BR34" i="29" s="1"/>
  <c r="BL47" i="29"/>
  <c r="BL34" i="29"/>
  <c r="BL35" i="29" l="1"/>
  <c r="BL38" i="29" s="1"/>
  <c r="BL44" i="29" s="1"/>
  <c r="BL45" i="29" s="1"/>
  <c r="BL46" i="29" s="1"/>
  <c r="BL49" i="29"/>
  <c r="BL53" i="29" s="1"/>
  <c r="BL57" i="29" s="1"/>
  <c r="D5" i="18"/>
  <c r="S5" i="18" s="1"/>
  <c r="N5" i="18" s="1"/>
  <c r="M15" i="18" s="1"/>
  <c r="J61" i="18" s="1"/>
  <c r="O61" i="18" s="1"/>
  <c r="O17" i="18" l="1"/>
  <c r="O16" i="18"/>
  <c r="N17" i="18"/>
  <c r="N12" i="18"/>
  <c r="N16" i="18"/>
  <c r="O12" i="18"/>
  <c r="M17" i="18"/>
  <c r="O14" i="18"/>
  <c r="M12" i="18"/>
  <c r="M16" i="18"/>
  <c r="H10" i="18"/>
  <c r="O15" i="18"/>
  <c r="O13" i="18"/>
  <c r="J24" i="18" s="1"/>
  <c r="O24" i="18" s="1"/>
  <c r="N15" i="18"/>
  <c r="N13" i="18"/>
  <c r="M13" i="18"/>
  <c r="N14" i="18"/>
  <c r="J46" i="18"/>
  <c r="O46" i="18" s="1"/>
  <c r="J40" i="18"/>
  <c r="O40" i="18" s="1"/>
  <c r="J69" i="18"/>
  <c r="O69" i="18" s="1"/>
  <c r="G51" i="54" s="1"/>
  <c r="J44" i="18"/>
  <c r="O44" i="18" s="1"/>
  <c r="G54" i="88" s="1"/>
  <c r="J64" i="18"/>
  <c r="O64" i="18" s="1"/>
  <c r="G51" i="86" s="1"/>
  <c r="M14" i="18"/>
  <c r="P51" i="54" l="1"/>
  <c r="M51" i="54"/>
  <c r="J51" i="54"/>
  <c r="J54" i="88"/>
  <c r="M54" i="88"/>
  <c r="P54" i="88"/>
  <c r="J39" i="18"/>
  <c r="O39" i="18" s="1"/>
  <c r="J50" i="18"/>
  <c r="O50" i="18" s="1"/>
  <c r="J68" i="18"/>
  <c r="O68" i="18" s="1"/>
  <c r="J49" i="18"/>
  <c r="O49" i="18" s="1"/>
  <c r="J38" i="18"/>
  <c r="O38" i="18" s="1"/>
  <c r="L33" i="14" s="1"/>
  <c r="M33" i="14" s="1"/>
  <c r="J54" i="18"/>
  <c r="O54" i="18" s="1"/>
  <c r="J53" i="18"/>
  <c r="O53" i="18" s="1"/>
  <c r="J45" i="18"/>
  <c r="O45" i="18" s="1"/>
  <c r="J34" i="18"/>
  <c r="O34" i="18" s="1"/>
  <c r="J29" i="18"/>
  <c r="O29" i="18" s="1"/>
  <c r="J30" i="18"/>
  <c r="O30" i="18" s="1"/>
  <c r="J62" i="18"/>
  <c r="O62" i="18" s="1"/>
  <c r="J37" i="18"/>
  <c r="O37" i="18" s="1"/>
  <c r="J51" i="18"/>
  <c r="O51" i="18" s="1"/>
  <c r="J57" i="18"/>
  <c r="O57" i="18" s="1"/>
  <c r="L64" i="14" s="1"/>
  <c r="M64" i="14" s="1"/>
  <c r="J42" i="18"/>
  <c r="O42" i="18" s="1"/>
  <c r="H13" i="18"/>
  <c r="H15" i="18"/>
  <c r="H12" i="18"/>
  <c r="H14" i="18"/>
  <c r="J35" i="18"/>
  <c r="O35" i="18" s="1"/>
  <c r="J56" i="18"/>
  <c r="O56" i="18" s="1"/>
  <c r="J28" i="18"/>
  <c r="O28" i="18" s="1"/>
  <c r="J58" i="18"/>
  <c r="O58" i="18" s="1"/>
  <c r="L65" i="14" s="1"/>
  <c r="M65" i="14" s="1"/>
  <c r="J43" i="18"/>
  <c r="O43" i="18" s="1"/>
  <c r="J27" i="18"/>
  <c r="O27" i="18" s="1"/>
  <c r="J65" i="18"/>
  <c r="O65" i="18" s="1"/>
  <c r="J70" i="18"/>
  <c r="O70" i="18" s="1"/>
  <c r="J33" i="18"/>
  <c r="O33" i="18" s="1"/>
  <c r="G49" i="88" s="1"/>
  <c r="J63" i="18"/>
  <c r="O63" i="18" s="1"/>
  <c r="J47" i="18"/>
  <c r="O47" i="18" s="1"/>
  <c r="J66" i="18"/>
  <c r="O66" i="18" s="1"/>
  <c r="G53" i="86" s="1"/>
  <c r="P51" i="86"/>
  <c r="J51" i="86"/>
  <c r="M51" i="86"/>
  <c r="J55" i="18"/>
  <c r="O55" i="18" s="1"/>
  <c r="J67" i="18"/>
  <c r="O67" i="18" s="1"/>
  <c r="J32" i="18"/>
  <c r="O32" i="18" s="1"/>
  <c r="J26" i="18"/>
  <c r="O26" i="18" s="1"/>
  <c r="J25" i="18"/>
  <c r="O25" i="18" s="1"/>
  <c r="L36" i="14"/>
  <c r="M36" i="14" s="1"/>
  <c r="G47" i="78"/>
  <c r="G47" i="40"/>
  <c r="G46" i="46"/>
  <c r="G46" i="83"/>
  <c r="L35" i="14"/>
  <c r="M35" i="14" s="1"/>
  <c r="L67" i="14"/>
  <c r="M67" i="14" s="1"/>
  <c r="G46" i="55"/>
  <c r="G46" i="72"/>
  <c r="G46" i="34"/>
  <c r="G47" i="86"/>
  <c r="G47" i="76"/>
  <c r="G47" i="74"/>
  <c r="G46" i="35"/>
  <c r="G46" i="82"/>
  <c r="G46" i="48"/>
  <c r="G46" i="65"/>
  <c r="G46" i="64"/>
  <c r="G47" i="84"/>
  <c r="G46" i="81"/>
  <c r="G46" i="85"/>
  <c r="G46" i="71"/>
  <c r="G46" i="31"/>
  <c r="G47" i="80"/>
  <c r="G46" i="58"/>
  <c r="G47" i="77"/>
  <c r="G46" i="57"/>
  <c r="G46" i="73"/>
  <c r="G46" i="43"/>
  <c r="L66" i="14"/>
  <c r="M66" i="14" s="1"/>
  <c r="G46" i="38"/>
  <c r="G46" i="36"/>
  <c r="G46" i="33"/>
  <c r="G46" i="47"/>
  <c r="G46" i="44"/>
  <c r="G46" i="51"/>
  <c r="G46" i="59"/>
  <c r="G47" i="79"/>
  <c r="G46" i="53"/>
  <c r="G46" i="49"/>
  <c r="G46" i="66"/>
  <c r="G46" i="42"/>
  <c r="L68" i="14"/>
  <c r="M68" i="14" s="1"/>
  <c r="G46" i="50"/>
  <c r="G46" i="52"/>
  <c r="G46" i="37"/>
  <c r="L37" i="14"/>
  <c r="M37" i="14" s="1"/>
  <c r="G46" i="45"/>
  <c r="G46" i="41"/>
  <c r="G46" i="54"/>
  <c r="G47" i="88"/>
  <c r="G46" i="39"/>
  <c r="G46" i="60"/>
  <c r="G46" i="56"/>
  <c r="P62" i="14" l="1"/>
  <c r="M49" i="88"/>
  <c r="J49" i="88"/>
  <c r="P49" i="88"/>
  <c r="P46" i="45"/>
  <c r="M46" i="45"/>
  <c r="J46" i="45"/>
  <c r="P46" i="51"/>
  <c r="J46" i="51"/>
  <c r="M46" i="51"/>
  <c r="M47" i="80"/>
  <c r="J47" i="80"/>
  <c r="P47" i="80"/>
  <c r="J47" i="76"/>
  <c r="P47" i="76"/>
  <c r="M47" i="76"/>
  <c r="G51" i="47"/>
  <c r="G47" i="66"/>
  <c r="G56" i="80"/>
  <c r="G51" i="37"/>
  <c r="G51" i="58"/>
  <c r="G51" i="31"/>
  <c r="G51" i="38"/>
  <c r="G47" i="71"/>
  <c r="G55" i="77"/>
  <c r="G52" i="59"/>
  <c r="G51" i="75"/>
  <c r="G54" i="48"/>
  <c r="G52" i="88"/>
  <c r="G52" i="42"/>
  <c r="G51" i="49"/>
  <c r="G51" i="45"/>
  <c r="G51" i="57"/>
  <c r="G52" i="76"/>
  <c r="G55" i="78"/>
  <c r="G54" i="79"/>
  <c r="G51" i="46"/>
  <c r="G51" i="41"/>
  <c r="G51" i="74"/>
  <c r="G46" i="61"/>
  <c r="G51" i="50"/>
  <c r="G46" i="40"/>
  <c r="G47" i="65"/>
  <c r="G51" i="43"/>
  <c r="L31" i="14"/>
  <c r="M31" i="14" s="1"/>
  <c r="G50" i="73"/>
  <c r="G51" i="33"/>
  <c r="G51" i="36"/>
  <c r="G51" i="34"/>
  <c r="G51" i="39"/>
  <c r="G50" i="72"/>
  <c r="G51" i="35"/>
  <c r="G51" i="51"/>
  <c r="G47" i="64"/>
  <c r="G50" i="54"/>
  <c r="G50" i="56"/>
  <c r="G49" i="42"/>
  <c r="G49" i="46"/>
  <c r="G50" i="52"/>
  <c r="G49" i="49"/>
  <c r="G48" i="51"/>
  <c r="G50" i="59"/>
  <c r="G49" i="40"/>
  <c r="G49" i="43"/>
  <c r="G51" i="53"/>
  <c r="G49" i="38"/>
  <c r="G49" i="31"/>
  <c r="G49" i="58"/>
  <c r="G52" i="56"/>
  <c r="G49" i="50"/>
  <c r="G53" i="48"/>
  <c r="G48" i="39"/>
  <c r="G51" i="55"/>
  <c r="G53" i="54"/>
  <c r="G49" i="35"/>
  <c r="G49" i="57"/>
  <c r="G49" i="36"/>
  <c r="G49" i="33"/>
  <c r="G49" i="47"/>
  <c r="G49" i="45"/>
  <c r="G50" i="44"/>
  <c r="G52" i="86"/>
  <c r="G48" i="41"/>
  <c r="G49" i="37"/>
  <c r="G49" i="34"/>
  <c r="G52" i="73"/>
  <c r="G53" i="74"/>
  <c r="G50" i="47"/>
  <c r="G50" i="51"/>
  <c r="G50" i="57"/>
  <c r="G54" i="76"/>
  <c r="G50" i="37"/>
  <c r="G54" i="81"/>
  <c r="G55" i="86"/>
  <c r="G53" i="79"/>
  <c r="G51" i="42"/>
  <c r="G51" i="59"/>
  <c r="G54" i="84"/>
  <c r="G55" i="80"/>
  <c r="G50" i="33"/>
  <c r="G50" i="43"/>
  <c r="G51" i="44"/>
  <c r="G55" i="88"/>
  <c r="G50" i="35"/>
  <c r="G50" i="49"/>
  <c r="G54" i="78"/>
  <c r="G50" i="31"/>
  <c r="G52" i="48"/>
  <c r="G50" i="38"/>
  <c r="G51" i="40"/>
  <c r="G50" i="50"/>
  <c r="G50" i="82"/>
  <c r="G54" i="85"/>
  <c r="G50" i="58"/>
  <c r="G50" i="41"/>
  <c r="G53" i="83"/>
  <c r="G50" i="34"/>
  <c r="G50" i="36"/>
  <c r="G54" i="77"/>
  <c r="G50" i="39"/>
  <c r="G53" i="72"/>
  <c r="G50" i="46"/>
  <c r="G50" i="45"/>
  <c r="J47" i="79"/>
  <c r="P47" i="79"/>
  <c r="M47" i="79"/>
  <c r="T62" i="14"/>
  <c r="Q62" i="14"/>
  <c r="G49" i="76"/>
  <c r="G47" i="57"/>
  <c r="G47" i="31"/>
  <c r="G48" i="90"/>
  <c r="G47" i="34"/>
  <c r="G47" i="43"/>
  <c r="G47" i="61"/>
  <c r="G48" i="71"/>
  <c r="G49" i="74"/>
  <c r="G47" i="47"/>
  <c r="G49" i="78"/>
  <c r="G47" i="46"/>
  <c r="G47" i="51"/>
  <c r="G47" i="53"/>
  <c r="G48" i="66"/>
  <c r="G48" i="64"/>
  <c r="G47" i="54"/>
  <c r="G47" i="33"/>
  <c r="G49" i="84"/>
  <c r="G47" i="60"/>
  <c r="G46" i="91"/>
  <c r="G49" i="75"/>
  <c r="G48" i="81"/>
  <c r="G47" i="41"/>
  <c r="G49" i="77"/>
  <c r="G48" i="40"/>
  <c r="G47" i="36"/>
  <c r="G48" i="72"/>
  <c r="G47" i="45"/>
  <c r="G47" i="42"/>
  <c r="G48" i="65"/>
  <c r="G47" i="50"/>
  <c r="G47" i="82"/>
  <c r="G47" i="35"/>
  <c r="G48" i="73"/>
  <c r="G47" i="49"/>
  <c r="G48" i="83"/>
  <c r="G49" i="79"/>
  <c r="G48" i="48"/>
  <c r="G47" i="38"/>
  <c r="G47" i="58"/>
  <c r="G47" i="56"/>
  <c r="G47" i="37"/>
  <c r="G47" i="55"/>
  <c r="G47" i="39"/>
  <c r="P46" i="33"/>
  <c r="M46" i="33"/>
  <c r="J46" i="33"/>
  <c r="G50" i="55"/>
  <c r="G51" i="56"/>
  <c r="G49" i="41"/>
  <c r="G48" i="57"/>
  <c r="G48" i="31"/>
  <c r="G52" i="54"/>
  <c r="G49" i="39"/>
  <c r="G50" i="42"/>
  <c r="G48" i="45"/>
  <c r="G49" i="59"/>
  <c r="G50" i="53"/>
  <c r="G48" i="46"/>
  <c r="G48" i="33"/>
  <c r="G49" i="44"/>
  <c r="G51" i="48"/>
  <c r="G48" i="50"/>
  <c r="G48" i="36"/>
  <c r="G49" i="52"/>
  <c r="G48" i="37"/>
  <c r="G49" i="51"/>
  <c r="G48" i="47"/>
  <c r="G48" i="34"/>
  <c r="G48" i="49"/>
  <c r="G48" i="43"/>
  <c r="G48" i="58"/>
  <c r="G48" i="38"/>
  <c r="G48" i="35"/>
  <c r="G50" i="40"/>
  <c r="P46" i="55"/>
  <c r="M46" i="55"/>
  <c r="J46" i="55"/>
  <c r="P46" i="38"/>
  <c r="J46" i="38"/>
  <c r="M46" i="38"/>
  <c r="M47" i="84"/>
  <c r="J47" i="84"/>
  <c r="P47" i="84"/>
  <c r="L32" i="14"/>
  <c r="M32" i="14" s="1"/>
  <c r="G47" i="44"/>
  <c r="G48" i="88"/>
  <c r="G47" i="59"/>
  <c r="J47" i="77"/>
  <c r="M47" i="77"/>
  <c r="P47" i="77"/>
  <c r="J47" i="74"/>
  <c r="M47" i="74"/>
  <c r="P47" i="74"/>
  <c r="P46" i="44"/>
  <c r="M46" i="44"/>
  <c r="J46" i="44"/>
  <c r="G53" i="56"/>
  <c r="G54" i="54"/>
  <c r="G52" i="55"/>
  <c r="G52" i="53"/>
  <c r="P46" i="47"/>
  <c r="M46" i="47"/>
  <c r="J46" i="47"/>
  <c r="G48" i="86"/>
  <c r="G47" i="52"/>
  <c r="G47" i="85"/>
  <c r="G49" i="80"/>
  <c r="P46" i="85"/>
  <c r="J46" i="85"/>
  <c r="M46" i="85"/>
  <c r="J46" i="81"/>
  <c r="P46" i="81"/>
  <c r="M46" i="81"/>
  <c r="J46" i="56"/>
  <c r="M46" i="56"/>
  <c r="P46" i="56"/>
  <c r="G49" i="71"/>
  <c r="G49" i="66"/>
  <c r="G49" i="90"/>
  <c r="G50" i="84"/>
  <c r="G49" i="64"/>
  <c r="G50" i="65"/>
  <c r="G49" i="48"/>
  <c r="G48" i="61"/>
  <c r="J46" i="35"/>
  <c r="P46" i="35"/>
  <c r="M46" i="35"/>
  <c r="P46" i="59"/>
  <c r="M46" i="59"/>
  <c r="J46" i="59"/>
  <c r="P46" i="31"/>
  <c r="J46" i="31"/>
  <c r="M46" i="31"/>
  <c r="G57" i="42"/>
  <c r="G57" i="81"/>
  <c r="G57" i="49"/>
  <c r="G57" i="84"/>
  <c r="G57" i="37"/>
  <c r="G57" i="41"/>
  <c r="G57" i="74"/>
  <c r="G57" i="59"/>
  <c r="G57" i="33"/>
  <c r="G57" i="50"/>
  <c r="G57" i="48"/>
  <c r="G57" i="78"/>
  <c r="G57" i="39"/>
  <c r="G57" i="72"/>
  <c r="G57" i="35"/>
  <c r="G57" i="80"/>
  <c r="G57" i="38"/>
  <c r="G57" i="73"/>
  <c r="G57" i="58"/>
  <c r="G57" i="75"/>
  <c r="G57" i="51"/>
  <c r="G57" i="76"/>
  <c r="G57" i="79"/>
  <c r="G57" i="83"/>
  <c r="G57" i="34"/>
  <c r="G57" i="40"/>
  <c r="G57" i="47"/>
  <c r="G57" i="77"/>
  <c r="G57" i="31"/>
  <c r="G57" i="36"/>
  <c r="G57" i="62"/>
  <c r="G57" i="57"/>
  <c r="G57" i="46"/>
  <c r="P46" i="72"/>
  <c r="J46" i="72"/>
  <c r="M46" i="72"/>
  <c r="P46" i="36"/>
  <c r="M46" i="36"/>
  <c r="J46" i="36"/>
  <c r="G49" i="86"/>
  <c r="G48" i="56"/>
  <c r="G48" i="54"/>
  <c r="G48" i="55"/>
  <c r="G48" i="53"/>
  <c r="J46" i="64"/>
  <c r="P46" i="64"/>
  <c r="M46" i="64"/>
  <c r="J46" i="60"/>
  <c r="P46" i="60"/>
  <c r="M46" i="60"/>
  <c r="J46" i="66"/>
  <c r="P46" i="66"/>
  <c r="M46" i="66"/>
  <c r="M46" i="43"/>
  <c r="P46" i="43"/>
  <c r="J46" i="43"/>
  <c r="M46" i="65"/>
  <c r="P46" i="65"/>
  <c r="J46" i="65"/>
  <c r="P46" i="83"/>
  <c r="M46" i="83"/>
  <c r="J46" i="83"/>
  <c r="G48" i="59"/>
  <c r="G48" i="44"/>
  <c r="G48" i="52"/>
  <c r="G50" i="80"/>
  <c r="G48" i="85"/>
  <c r="M46" i="54"/>
  <c r="P46" i="54"/>
  <c r="J46" i="54"/>
  <c r="G50" i="86"/>
  <c r="G49" i="54"/>
  <c r="G49" i="56"/>
  <c r="G49" i="55"/>
  <c r="G49" i="53"/>
  <c r="P46" i="41"/>
  <c r="J46" i="41"/>
  <c r="M46" i="41"/>
  <c r="J47" i="86"/>
  <c r="P47" i="86"/>
  <c r="M47" i="86"/>
  <c r="J46" i="71"/>
  <c r="M46" i="71"/>
  <c r="P46" i="71"/>
  <c r="J46" i="52"/>
  <c r="M46" i="52"/>
  <c r="P46" i="52"/>
  <c r="G50" i="90"/>
  <c r="G48" i="60"/>
  <c r="G51" i="64"/>
  <c r="G51" i="65"/>
  <c r="G51" i="71"/>
  <c r="G49" i="61"/>
  <c r="G51" i="66"/>
  <c r="P46" i="50"/>
  <c r="M46" i="50"/>
  <c r="J46" i="50"/>
  <c r="P46" i="49"/>
  <c r="J46" i="49"/>
  <c r="M46" i="49"/>
  <c r="J46" i="48"/>
  <c r="M46" i="48"/>
  <c r="P46" i="48"/>
  <c r="M53" i="86"/>
  <c r="P53" i="86"/>
  <c r="J53" i="86"/>
  <c r="G49" i="73"/>
  <c r="G51" i="78"/>
  <c r="G50" i="81"/>
  <c r="G50" i="48"/>
  <c r="G49" i="83"/>
  <c r="G51" i="76"/>
  <c r="G50" i="75"/>
  <c r="G51" i="84"/>
  <c r="G51" i="77"/>
  <c r="G48" i="82"/>
  <c r="G50" i="85"/>
  <c r="G49" i="72"/>
  <c r="G50" i="79"/>
  <c r="G50" i="74"/>
  <c r="G48" i="42"/>
  <c r="P47" i="78"/>
  <c r="M47" i="78"/>
  <c r="J47" i="78"/>
  <c r="J46" i="58"/>
  <c r="M46" i="58"/>
  <c r="P46" i="58"/>
  <c r="G55" i="85"/>
  <c r="G53" i="88"/>
  <c r="G47" i="91"/>
  <c r="G54" i="83"/>
  <c r="G55" i="81"/>
  <c r="G55" i="84"/>
  <c r="G56" i="86"/>
  <c r="G51" i="82"/>
  <c r="G46" i="90"/>
  <c r="J46" i="37"/>
  <c r="P46" i="37"/>
  <c r="M46" i="37"/>
  <c r="M46" i="34"/>
  <c r="J46" i="34"/>
  <c r="P46" i="34"/>
  <c r="P46" i="42"/>
  <c r="J46" i="42"/>
  <c r="M46" i="42"/>
  <c r="M46" i="39"/>
  <c r="P46" i="39"/>
  <c r="J46" i="39"/>
  <c r="M46" i="73"/>
  <c r="P46" i="73"/>
  <c r="J46" i="73"/>
  <c r="M46" i="46"/>
  <c r="P46" i="46"/>
  <c r="J46" i="46"/>
  <c r="J47" i="88"/>
  <c r="M47" i="88"/>
  <c r="P47" i="88"/>
  <c r="P46" i="53"/>
  <c r="J46" i="53"/>
  <c r="M46" i="53"/>
  <c r="P46" i="57"/>
  <c r="M46" i="57"/>
  <c r="J46" i="57"/>
  <c r="P46" i="82"/>
  <c r="M46" i="82"/>
  <c r="J46" i="82"/>
  <c r="M47" i="40"/>
  <c r="J47" i="40"/>
  <c r="P47" i="40"/>
  <c r="G50" i="83"/>
  <c r="G49" i="82"/>
  <c r="G52" i="80"/>
  <c r="G52" i="81"/>
  <c r="G51" i="85"/>
  <c r="G52" i="84"/>
  <c r="G51" i="88"/>
  <c r="P29" i="14" l="1"/>
  <c r="M57" i="39"/>
  <c r="J57" i="39"/>
  <c r="P57" i="39"/>
  <c r="M50" i="40"/>
  <c r="J50" i="40"/>
  <c r="P50" i="40"/>
  <c r="M53" i="72"/>
  <c r="P53" i="72"/>
  <c r="J53" i="72"/>
  <c r="J51" i="46"/>
  <c r="P51" i="46"/>
  <c r="M51" i="46"/>
  <c r="P55" i="81"/>
  <c r="M55" i="81"/>
  <c r="J55" i="81"/>
  <c r="P50" i="74"/>
  <c r="J50" i="74"/>
  <c r="M50" i="74"/>
  <c r="J51" i="78"/>
  <c r="M51" i="78"/>
  <c r="P51" i="78"/>
  <c r="M49" i="54"/>
  <c r="J49" i="54"/>
  <c r="P49" i="54"/>
  <c r="J57" i="83"/>
  <c r="M57" i="83"/>
  <c r="P57" i="83"/>
  <c r="J57" i="78"/>
  <c r="P57" i="78"/>
  <c r="M57" i="78"/>
  <c r="J49" i="64"/>
  <c r="P49" i="64"/>
  <c r="M49" i="64"/>
  <c r="P53" i="56"/>
  <c r="J53" i="56"/>
  <c r="M53" i="56"/>
  <c r="J47" i="44"/>
  <c r="M47" i="44"/>
  <c r="P47" i="44"/>
  <c r="M48" i="35"/>
  <c r="P48" i="35"/>
  <c r="J48" i="35"/>
  <c r="M51" i="48"/>
  <c r="J51" i="48"/>
  <c r="P51" i="48"/>
  <c r="M49" i="41"/>
  <c r="J49" i="41"/>
  <c r="P49" i="41"/>
  <c r="P48" i="48"/>
  <c r="M48" i="48"/>
  <c r="J48" i="48"/>
  <c r="J47" i="36"/>
  <c r="P47" i="36"/>
  <c r="M47" i="36"/>
  <c r="P48" i="66"/>
  <c r="M48" i="66"/>
  <c r="J48" i="66"/>
  <c r="M47" i="31"/>
  <c r="J47" i="31"/>
  <c r="P47" i="31"/>
  <c r="J50" i="39"/>
  <c r="P50" i="39"/>
  <c r="M50" i="39"/>
  <c r="J52" i="48"/>
  <c r="M52" i="48"/>
  <c r="P52" i="48"/>
  <c r="J51" i="42"/>
  <c r="M51" i="42"/>
  <c r="P51" i="42"/>
  <c r="P49" i="37"/>
  <c r="J49" i="37"/>
  <c r="M49" i="37"/>
  <c r="P48" i="39"/>
  <c r="J48" i="39"/>
  <c r="M48" i="39"/>
  <c r="J49" i="49"/>
  <c r="P49" i="49"/>
  <c r="M49" i="49"/>
  <c r="P51" i="36"/>
  <c r="J51" i="36"/>
  <c r="M51" i="36"/>
  <c r="P54" i="79"/>
  <c r="M54" i="79"/>
  <c r="J54" i="79"/>
  <c r="M47" i="71"/>
  <c r="P47" i="71"/>
  <c r="J47" i="71"/>
  <c r="M54" i="83"/>
  <c r="J54" i="83"/>
  <c r="P54" i="83"/>
  <c r="M50" i="79"/>
  <c r="P50" i="79"/>
  <c r="J50" i="79"/>
  <c r="P49" i="73"/>
  <c r="J49" i="73"/>
  <c r="M49" i="73"/>
  <c r="J50" i="86"/>
  <c r="M50" i="86"/>
  <c r="P50" i="86"/>
  <c r="P57" i="79"/>
  <c r="M57" i="79"/>
  <c r="J57" i="79"/>
  <c r="P57" i="48"/>
  <c r="M57" i="48"/>
  <c r="J57" i="48"/>
  <c r="M50" i="84"/>
  <c r="P50" i="84"/>
  <c r="J50" i="84"/>
  <c r="M48" i="38"/>
  <c r="P48" i="38"/>
  <c r="J48" i="38"/>
  <c r="M49" i="44"/>
  <c r="J49" i="44"/>
  <c r="P49" i="44"/>
  <c r="J51" i="56"/>
  <c r="P51" i="56"/>
  <c r="M51" i="56"/>
  <c r="J49" i="79"/>
  <c r="P49" i="79"/>
  <c r="M49" i="79"/>
  <c r="M48" i="40"/>
  <c r="J48" i="40"/>
  <c r="P48" i="40"/>
  <c r="J47" i="53"/>
  <c r="M47" i="53"/>
  <c r="P47" i="53"/>
  <c r="J47" i="57"/>
  <c r="P47" i="57"/>
  <c r="M47" i="57"/>
  <c r="J54" i="77"/>
  <c r="P54" i="77"/>
  <c r="M54" i="77"/>
  <c r="P50" i="31"/>
  <c r="J50" i="31"/>
  <c r="M50" i="31"/>
  <c r="P53" i="79"/>
  <c r="J53" i="79"/>
  <c r="M53" i="79"/>
  <c r="M48" i="41"/>
  <c r="P48" i="41"/>
  <c r="J48" i="41"/>
  <c r="M53" i="48"/>
  <c r="J53" i="48"/>
  <c r="P53" i="48"/>
  <c r="M50" i="52"/>
  <c r="P50" i="52"/>
  <c r="J50" i="52"/>
  <c r="J51" i="33"/>
  <c r="M51" i="33"/>
  <c r="P51" i="33"/>
  <c r="J55" i="78"/>
  <c r="P55" i="78"/>
  <c r="M55" i="78"/>
  <c r="P51" i="38"/>
  <c r="J51" i="38"/>
  <c r="M51" i="38"/>
  <c r="J48" i="42"/>
  <c r="P48" i="42"/>
  <c r="M48" i="42"/>
  <c r="J57" i="34"/>
  <c r="M57" i="34"/>
  <c r="P57" i="34"/>
  <c r="P48" i="88"/>
  <c r="M48" i="88"/>
  <c r="J48" i="88"/>
  <c r="J48" i="72"/>
  <c r="P48" i="72"/>
  <c r="M48" i="72"/>
  <c r="P49" i="34"/>
  <c r="M49" i="34"/>
  <c r="J49" i="34"/>
  <c r="P47" i="91"/>
  <c r="M47" i="91"/>
  <c r="J47" i="91"/>
  <c r="P57" i="50"/>
  <c r="J57" i="50"/>
  <c r="M57" i="50"/>
  <c r="J49" i="77"/>
  <c r="P49" i="77"/>
  <c r="M49" i="77"/>
  <c r="M54" i="78"/>
  <c r="P54" i="78"/>
  <c r="J54" i="78"/>
  <c r="M52" i="76"/>
  <c r="J52" i="76"/>
  <c r="P52" i="76"/>
  <c r="P53" i="88"/>
  <c r="M53" i="88"/>
  <c r="J53" i="88"/>
  <c r="P57" i="33"/>
  <c r="J57" i="33"/>
  <c r="M57" i="33"/>
  <c r="M48" i="43"/>
  <c r="J48" i="43"/>
  <c r="P48" i="43"/>
  <c r="M47" i="49"/>
  <c r="J47" i="49"/>
  <c r="P47" i="49"/>
  <c r="P50" i="49"/>
  <c r="J50" i="49"/>
  <c r="M50" i="49"/>
  <c r="T29" i="14"/>
  <c r="T43" i="14" s="1"/>
  <c r="T47" i="14" s="1"/>
  <c r="Q29" i="14"/>
  <c r="Q43" i="14" s="1"/>
  <c r="Q47" i="14" s="1"/>
  <c r="P43" i="14"/>
  <c r="P47" i="14" s="1"/>
  <c r="M57" i="75"/>
  <c r="P57" i="75"/>
  <c r="J57" i="75"/>
  <c r="P48" i="73"/>
  <c r="M48" i="73"/>
  <c r="J48" i="73"/>
  <c r="J50" i="35"/>
  <c r="M50" i="35"/>
  <c r="P50" i="35"/>
  <c r="J51" i="43"/>
  <c r="M51" i="43"/>
  <c r="P51" i="43"/>
  <c r="J51" i="65"/>
  <c r="P51" i="65"/>
  <c r="M51" i="65"/>
  <c r="M57" i="58"/>
  <c r="P57" i="58"/>
  <c r="J57" i="58"/>
  <c r="M48" i="34"/>
  <c r="P48" i="34"/>
  <c r="J48" i="34"/>
  <c r="M47" i="47"/>
  <c r="J47" i="47"/>
  <c r="P47" i="47"/>
  <c r="P54" i="76"/>
  <c r="M54" i="76"/>
  <c r="J54" i="76"/>
  <c r="J47" i="65"/>
  <c r="P47" i="65"/>
  <c r="M47" i="65"/>
  <c r="J51" i="85"/>
  <c r="M51" i="85"/>
  <c r="P51" i="85"/>
  <c r="P51" i="84"/>
  <c r="J51" i="84"/>
  <c r="M51" i="84"/>
  <c r="P51" i="64"/>
  <c r="J51" i="64"/>
  <c r="M51" i="64"/>
  <c r="J50" i="80"/>
  <c r="M50" i="80"/>
  <c r="P50" i="80"/>
  <c r="P48" i="54"/>
  <c r="M48" i="54"/>
  <c r="J48" i="54"/>
  <c r="J57" i="36"/>
  <c r="P57" i="36"/>
  <c r="M57" i="36"/>
  <c r="P57" i="73"/>
  <c r="M57" i="73"/>
  <c r="J57" i="73"/>
  <c r="P57" i="41"/>
  <c r="J57" i="41"/>
  <c r="M57" i="41"/>
  <c r="P48" i="47"/>
  <c r="M48" i="47"/>
  <c r="J48" i="47"/>
  <c r="J48" i="45"/>
  <c r="P48" i="45"/>
  <c r="M48" i="45"/>
  <c r="P47" i="39"/>
  <c r="J47" i="39"/>
  <c r="M47" i="39"/>
  <c r="M47" i="82"/>
  <c r="J47" i="82"/>
  <c r="P47" i="82"/>
  <c r="P46" i="91"/>
  <c r="J46" i="91"/>
  <c r="M46" i="91"/>
  <c r="P49" i="74"/>
  <c r="J49" i="74"/>
  <c r="M49" i="74"/>
  <c r="J50" i="58"/>
  <c r="P50" i="58"/>
  <c r="M50" i="58"/>
  <c r="J51" i="44"/>
  <c r="P51" i="44"/>
  <c r="M51" i="44"/>
  <c r="J50" i="57"/>
  <c r="P50" i="57"/>
  <c r="M50" i="57"/>
  <c r="P49" i="33"/>
  <c r="J49" i="33"/>
  <c r="M49" i="33"/>
  <c r="M49" i="38"/>
  <c r="P49" i="38"/>
  <c r="J49" i="38"/>
  <c r="J47" i="64"/>
  <c r="P47" i="64"/>
  <c r="M47" i="64"/>
  <c r="M46" i="40"/>
  <c r="P46" i="40"/>
  <c r="J46" i="40"/>
  <c r="J52" i="42"/>
  <c r="M52" i="42"/>
  <c r="P52" i="42"/>
  <c r="J47" i="66"/>
  <c r="P47" i="66"/>
  <c r="M47" i="66"/>
  <c r="M49" i="56"/>
  <c r="J49" i="56"/>
  <c r="P49" i="56"/>
  <c r="M57" i="42"/>
  <c r="J57" i="42"/>
  <c r="P57" i="42"/>
  <c r="P48" i="50"/>
  <c r="J48" i="50"/>
  <c r="M48" i="50"/>
  <c r="M48" i="90"/>
  <c r="P48" i="90"/>
  <c r="J48" i="90"/>
  <c r="P48" i="51"/>
  <c r="J48" i="51"/>
  <c r="M48" i="51"/>
  <c r="J49" i="90"/>
  <c r="P49" i="90"/>
  <c r="M49" i="90"/>
  <c r="M48" i="33"/>
  <c r="P48" i="33"/>
  <c r="J48" i="33"/>
  <c r="J50" i="36"/>
  <c r="P50" i="36"/>
  <c r="M50" i="36"/>
  <c r="P52" i="86"/>
  <c r="M52" i="86"/>
  <c r="J52" i="86"/>
  <c r="P51" i="31"/>
  <c r="J51" i="31"/>
  <c r="M51" i="31"/>
  <c r="J57" i="51"/>
  <c r="M57" i="51"/>
  <c r="P57" i="51"/>
  <c r="M47" i="85"/>
  <c r="J47" i="85"/>
  <c r="P47" i="85"/>
  <c r="M47" i="46"/>
  <c r="J47" i="46"/>
  <c r="P47" i="46"/>
  <c r="J50" i="44"/>
  <c r="M50" i="44"/>
  <c r="P50" i="44"/>
  <c r="P51" i="58"/>
  <c r="J51" i="58"/>
  <c r="M51" i="58"/>
  <c r="J48" i="82"/>
  <c r="M48" i="82"/>
  <c r="P48" i="82"/>
  <c r="J57" i="57"/>
  <c r="P57" i="57"/>
  <c r="M57" i="57"/>
  <c r="J47" i="52"/>
  <c r="M47" i="52"/>
  <c r="P47" i="52"/>
  <c r="P50" i="53"/>
  <c r="J50" i="53"/>
  <c r="M50" i="53"/>
  <c r="J53" i="83"/>
  <c r="P53" i="83"/>
  <c r="M53" i="83"/>
  <c r="J49" i="58"/>
  <c r="P49" i="58"/>
  <c r="M49" i="58"/>
  <c r="M57" i="62"/>
  <c r="M43" i="62" s="1"/>
  <c r="M1" i="62" s="1"/>
  <c r="J57" i="62"/>
  <c r="J43" i="62" s="1"/>
  <c r="P57" i="62"/>
  <c r="P43" i="62" s="1"/>
  <c r="P49" i="59"/>
  <c r="M49" i="59"/>
  <c r="J49" i="59"/>
  <c r="M49" i="31"/>
  <c r="P49" i="31"/>
  <c r="J49" i="31"/>
  <c r="J56" i="80"/>
  <c r="M56" i="80"/>
  <c r="P56" i="80"/>
  <c r="P50" i="75"/>
  <c r="M50" i="75"/>
  <c r="J50" i="75"/>
  <c r="P48" i="60"/>
  <c r="J48" i="60"/>
  <c r="M48" i="60"/>
  <c r="M48" i="52"/>
  <c r="J48" i="52"/>
  <c r="P48" i="52"/>
  <c r="M48" i="56"/>
  <c r="P48" i="56"/>
  <c r="J48" i="56"/>
  <c r="J57" i="31"/>
  <c r="P57" i="31"/>
  <c r="M57" i="31"/>
  <c r="M57" i="38"/>
  <c r="J57" i="38"/>
  <c r="P57" i="38"/>
  <c r="M57" i="37"/>
  <c r="P57" i="37"/>
  <c r="J57" i="37"/>
  <c r="P49" i="51"/>
  <c r="J49" i="51"/>
  <c r="M49" i="51"/>
  <c r="J50" i="42"/>
  <c r="M50" i="42"/>
  <c r="P50" i="42"/>
  <c r="M47" i="55"/>
  <c r="J47" i="55"/>
  <c r="P47" i="55"/>
  <c r="M47" i="50"/>
  <c r="P47" i="50"/>
  <c r="J47" i="50"/>
  <c r="J47" i="60"/>
  <c r="M47" i="60"/>
  <c r="P47" i="60"/>
  <c r="P48" i="71"/>
  <c r="M48" i="71"/>
  <c r="J48" i="71"/>
  <c r="M54" i="85"/>
  <c r="J54" i="85"/>
  <c r="P54" i="85"/>
  <c r="J50" i="43"/>
  <c r="P50" i="43"/>
  <c r="M50" i="43"/>
  <c r="M50" i="51"/>
  <c r="J50" i="51"/>
  <c r="P50" i="51"/>
  <c r="J49" i="36"/>
  <c r="M49" i="36"/>
  <c r="P49" i="36"/>
  <c r="M51" i="53"/>
  <c r="J51" i="53"/>
  <c r="P51" i="53"/>
  <c r="M51" i="51"/>
  <c r="P51" i="51"/>
  <c r="J51" i="51"/>
  <c r="M51" i="50"/>
  <c r="J51" i="50"/>
  <c r="P51" i="50"/>
  <c r="J52" i="88"/>
  <c r="M52" i="88"/>
  <c r="P52" i="88"/>
  <c r="J51" i="47"/>
  <c r="P51" i="47"/>
  <c r="M51" i="47"/>
  <c r="M50" i="81"/>
  <c r="P50" i="81"/>
  <c r="J50" i="81"/>
  <c r="J48" i="57"/>
  <c r="M48" i="57"/>
  <c r="P48" i="57"/>
  <c r="M48" i="64"/>
  <c r="J48" i="64"/>
  <c r="P48" i="64"/>
  <c r="M51" i="59"/>
  <c r="P51" i="59"/>
  <c r="J51" i="59"/>
  <c r="M55" i="77"/>
  <c r="J55" i="77"/>
  <c r="P55" i="77"/>
  <c r="P48" i="58"/>
  <c r="J48" i="58"/>
  <c r="M48" i="58"/>
  <c r="P47" i="51"/>
  <c r="J47" i="51"/>
  <c r="M47" i="51"/>
  <c r="M49" i="46"/>
  <c r="J49" i="46"/>
  <c r="P49" i="46"/>
  <c r="M50" i="85"/>
  <c r="P50" i="85"/>
  <c r="J50" i="85"/>
  <c r="P57" i="46"/>
  <c r="J57" i="46"/>
  <c r="M57" i="46"/>
  <c r="J50" i="34"/>
  <c r="P50" i="34"/>
  <c r="M50" i="34"/>
  <c r="P52" i="56"/>
  <c r="J52" i="56"/>
  <c r="M52" i="56"/>
  <c r="M55" i="85"/>
  <c r="J55" i="85"/>
  <c r="P55" i="85"/>
  <c r="J48" i="53"/>
  <c r="P48" i="53"/>
  <c r="M48" i="53"/>
  <c r="J49" i="71"/>
  <c r="M49" i="71"/>
  <c r="P49" i="71"/>
  <c r="M48" i="49"/>
  <c r="J48" i="49"/>
  <c r="P48" i="49"/>
  <c r="P49" i="78"/>
  <c r="M49" i="78"/>
  <c r="J49" i="78"/>
  <c r="J50" i="37"/>
  <c r="M50" i="37"/>
  <c r="P50" i="37"/>
  <c r="J51" i="45"/>
  <c r="M51" i="45"/>
  <c r="P51" i="45"/>
  <c r="J51" i="77"/>
  <c r="M51" i="77"/>
  <c r="P51" i="77"/>
  <c r="M49" i="75"/>
  <c r="P49" i="75"/>
  <c r="J49" i="75"/>
  <c r="P49" i="47"/>
  <c r="M49" i="47"/>
  <c r="J49" i="47"/>
  <c r="P52" i="80"/>
  <c r="M52" i="80"/>
  <c r="J52" i="80"/>
  <c r="P46" i="90"/>
  <c r="M46" i="90"/>
  <c r="J46" i="90"/>
  <c r="P51" i="76"/>
  <c r="M51" i="76"/>
  <c r="J51" i="76"/>
  <c r="J50" i="90"/>
  <c r="P50" i="90"/>
  <c r="M50" i="90"/>
  <c r="P48" i="44"/>
  <c r="J48" i="44"/>
  <c r="M48" i="44"/>
  <c r="P49" i="86"/>
  <c r="M49" i="86"/>
  <c r="J49" i="86"/>
  <c r="J57" i="77"/>
  <c r="M57" i="77"/>
  <c r="P57" i="77"/>
  <c r="J57" i="80"/>
  <c r="P57" i="80"/>
  <c r="M57" i="80"/>
  <c r="P57" i="84"/>
  <c r="M57" i="84"/>
  <c r="J57" i="84"/>
  <c r="J48" i="37"/>
  <c r="M48" i="37"/>
  <c r="P48" i="37"/>
  <c r="M49" i="39"/>
  <c r="J49" i="39"/>
  <c r="P49" i="39"/>
  <c r="M47" i="37"/>
  <c r="J47" i="37"/>
  <c r="P47" i="37"/>
  <c r="M48" i="65"/>
  <c r="P48" i="65"/>
  <c r="J48" i="65"/>
  <c r="P49" i="84"/>
  <c r="J49" i="84"/>
  <c r="M49" i="84"/>
  <c r="P47" i="61"/>
  <c r="M47" i="61"/>
  <c r="J47" i="61"/>
  <c r="M50" i="82"/>
  <c r="P50" i="82"/>
  <c r="J50" i="82"/>
  <c r="P50" i="33"/>
  <c r="M50" i="33"/>
  <c r="J50" i="33"/>
  <c r="J50" i="47"/>
  <c r="P50" i="47"/>
  <c r="M50" i="47"/>
  <c r="J49" i="57"/>
  <c r="M49" i="57"/>
  <c r="P49" i="57"/>
  <c r="M49" i="43"/>
  <c r="P49" i="43"/>
  <c r="J49" i="43"/>
  <c r="P51" i="35"/>
  <c r="M51" i="35"/>
  <c r="J51" i="35"/>
  <c r="P46" i="61"/>
  <c r="M46" i="61"/>
  <c r="J46" i="61"/>
  <c r="M54" i="48"/>
  <c r="J54" i="48"/>
  <c r="P54" i="48"/>
  <c r="P50" i="65"/>
  <c r="J50" i="65"/>
  <c r="M50" i="65"/>
  <c r="M51" i="55"/>
  <c r="P51" i="55"/>
  <c r="J51" i="55"/>
  <c r="P49" i="72"/>
  <c r="J49" i="72"/>
  <c r="M49" i="72"/>
  <c r="P49" i="80"/>
  <c r="M49" i="80"/>
  <c r="J49" i="80"/>
  <c r="P50" i="55"/>
  <c r="J50" i="55"/>
  <c r="M50" i="55"/>
  <c r="M49" i="76"/>
  <c r="J49" i="76"/>
  <c r="P49" i="76"/>
  <c r="M55" i="86"/>
  <c r="J55" i="86"/>
  <c r="P55" i="86"/>
  <c r="P50" i="73"/>
  <c r="M50" i="73"/>
  <c r="J50" i="73"/>
  <c r="P49" i="61"/>
  <c r="J49" i="61"/>
  <c r="M49" i="61"/>
  <c r="P49" i="66"/>
  <c r="J49" i="66"/>
  <c r="M49" i="66"/>
  <c r="J49" i="42"/>
  <c r="M49" i="42"/>
  <c r="P49" i="42"/>
  <c r="M51" i="88"/>
  <c r="P51" i="88"/>
  <c r="J51" i="88"/>
  <c r="J57" i="59"/>
  <c r="M57" i="59"/>
  <c r="P57" i="59"/>
  <c r="J49" i="45"/>
  <c r="P49" i="45"/>
  <c r="M49" i="45"/>
  <c r="J51" i="37"/>
  <c r="P51" i="37"/>
  <c r="M51" i="37"/>
  <c r="P48" i="55"/>
  <c r="M48" i="55"/>
  <c r="J48" i="55"/>
  <c r="P48" i="86"/>
  <c r="M48" i="86"/>
  <c r="J48" i="86"/>
  <c r="J50" i="41"/>
  <c r="M50" i="41"/>
  <c r="P50" i="41"/>
  <c r="M50" i="54"/>
  <c r="P50" i="54"/>
  <c r="J50" i="54"/>
  <c r="M52" i="81"/>
  <c r="P52" i="81"/>
  <c r="J52" i="81"/>
  <c r="P49" i="82"/>
  <c r="M49" i="82"/>
  <c r="J49" i="82"/>
  <c r="M51" i="82"/>
  <c r="J51" i="82"/>
  <c r="P51" i="82"/>
  <c r="M49" i="83"/>
  <c r="P49" i="83"/>
  <c r="J49" i="83"/>
  <c r="P49" i="53"/>
  <c r="J49" i="53"/>
  <c r="M49" i="53"/>
  <c r="M48" i="59"/>
  <c r="P48" i="59"/>
  <c r="J48" i="59"/>
  <c r="M57" i="47"/>
  <c r="P57" i="47"/>
  <c r="J57" i="47"/>
  <c r="P57" i="35"/>
  <c r="J57" i="35"/>
  <c r="M57" i="35"/>
  <c r="M57" i="49"/>
  <c r="J57" i="49"/>
  <c r="P57" i="49"/>
  <c r="P48" i="61"/>
  <c r="J48" i="61"/>
  <c r="M48" i="61"/>
  <c r="P52" i="53"/>
  <c r="J52" i="53"/>
  <c r="M52" i="53"/>
  <c r="M49" i="52"/>
  <c r="P49" i="52"/>
  <c r="J49" i="52"/>
  <c r="J52" i="54"/>
  <c r="P52" i="54"/>
  <c r="M52" i="54"/>
  <c r="J47" i="56"/>
  <c r="M47" i="56"/>
  <c r="P47" i="56"/>
  <c r="J47" i="42"/>
  <c r="P47" i="42"/>
  <c r="M47" i="42"/>
  <c r="J47" i="33"/>
  <c r="P47" i="33"/>
  <c r="M47" i="33"/>
  <c r="M47" i="43"/>
  <c r="P47" i="43"/>
  <c r="J47" i="43"/>
  <c r="P50" i="45"/>
  <c r="J50" i="45"/>
  <c r="M50" i="45"/>
  <c r="J50" i="50"/>
  <c r="M50" i="50"/>
  <c r="P50" i="50"/>
  <c r="M55" i="80"/>
  <c r="J55" i="80"/>
  <c r="P55" i="80"/>
  <c r="P53" i="74"/>
  <c r="J53" i="74"/>
  <c r="M53" i="74"/>
  <c r="P49" i="35"/>
  <c r="J49" i="35"/>
  <c r="M49" i="35"/>
  <c r="J49" i="40"/>
  <c r="M49" i="40"/>
  <c r="P49" i="40"/>
  <c r="P50" i="72"/>
  <c r="M50" i="72"/>
  <c r="J50" i="72"/>
  <c r="M51" i="74"/>
  <c r="J51" i="74"/>
  <c r="P51" i="74"/>
  <c r="M51" i="75"/>
  <c r="J51" i="75"/>
  <c r="P51" i="75"/>
  <c r="J55" i="84"/>
  <c r="M55" i="84"/>
  <c r="P55" i="84"/>
  <c r="M54" i="54"/>
  <c r="P54" i="54"/>
  <c r="J54" i="54"/>
  <c r="P47" i="38"/>
  <c r="J47" i="38"/>
  <c r="M47" i="38"/>
  <c r="M50" i="38"/>
  <c r="J50" i="38"/>
  <c r="P50" i="38"/>
  <c r="M51" i="34"/>
  <c r="P51" i="34"/>
  <c r="J51" i="34"/>
  <c r="P51" i="66"/>
  <c r="M51" i="66"/>
  <c r="J51" i="66"/>
  <c r="M57" i="76"/>
  <c r="P57" i="76"/>
  <c r="J57" i="76"/>
  <c r="M48" i="83"/>
  <c r="J48" i="83"/>
  <c r="P48" i="83"/>
  <c r="J49" i="50"/>
  <c r="P49" i="50"/>
  <c r="M49" i="50"/>
  <c r="M48" i="46"/>
  <c r="J48" i="46"/>
  <c r="P48" i="46"/>
  <c r="M47" i="41"/>
  <c r="P47" i="41"/>
  <c r="J47" i="41"/>
  <c r="P54" i="81"/>
  <c r="M54" i="81"/>
  <c r="J54" i="81"/>
  <c r="J51" i="57"/>
  <c r="M51" i="57"/>
  <c r="P51" i="57"/>
  <c r="P51" i="71"/>
  <c r="M51" i="71"/>
  <c r="J51" i="71"/>
  <c r="M48" i="81"/>
  <c r="J48" i="81"/>
  <c r="P48" i="81"/>
  <c r="M50" i="56"/>
  <c r="J50" i="56"/>
  <c r="P50" i="56"/>
  <c r="P52" i="84"/>
  <c r="J52" i="84"/>
  <c r="M52" i="84"/>
  <c r="M48" i="85"/>
  <c r="P48" i="85"/>
  <c r="J48" i="85"/>
  <c r="J57" i="74"/>
  <c r="P57" i="74"/>
  <c r="M57" i="74"/>
  <c r="J47" i="35"/>
  <c r="M47" i="35"/>
  <c r="P47" i="35"/>
  <c r="J55" i="88"/>
  <c r="M55" i="88"/>
  <c r="P55" i="88"/>
  <c r="P51" i="49"/>
  <c r="M51" i="49"/>
  <c r="J51" i="49"/>
  <c r="J50" i="83"/>
  <c r="P50" i="83"/>
  <c r="M50" i="83"/>
  <c r="P56" i="86"/>
  <c r="J56" i="86"/>
  <c r="M56" i="86"/>
  <c r="M50" i="48"/>
  <c r="J50" i="48"/>
  <c r="P50" i="48"/>
  <c r="M49" i="55"/>
  <c r="P49" i="55"/>
  <c r="J49" i="55"/>
  <c r="P57" i="40"/>
  <c r="J57" i="40"/>
  <c r="M57" i="40"/>
  <c r="J57" i="72"/>
  <c r="P57" i="72"/>
  <c r="M57" i="72"/>
  <c r="M57" i="81"/>
  <c r="P57" i="81"/>
  <c r="J57" i="81"/>
  <c r="M49" i="48"/>
  <c r="J49" i="48"/>
  <c r="P49" i="48"/>
  <c r="M52" i="55"/>
  <c r="P52" i="55"/>
  <c r="J52" i="55"/>
  <c r="P47" i="59"/>
  <c r="M47" i="59"/>
  <c r="J47" i="59"/>
  <c r="J48" i="36"/>
  <c r="P48" i="36"/>
  <c r="M48" i="36"/>
  <c r="J48" i="31"/>
  <c r="P48" i="31"/>
  <c r="M48" i="31"/>
  <c r="M47" i="58"/>
  <c r="P47" i="58"/>
  <c r="J47" i="58"/>
  <c r="P47" i="45"/>
  <c r="J47" i="45"/>
  <c r="M47" i="45"/>
  <c r="J47" i="54"/>
  <c r="M47" i="54"/>
  <c r="P47" i="54"/>
  <c r="J47" i="34"/>
  <c r="M47" i="34"/>
  <c r="P47" i="34"/>
  <c r="J50" i="46"/>
  <c r="M50" i="46"/>
  <c r="P50" i="46"/>
  <c r="P51" i="40"/>
  <c r="M51" i="40"/>
  <c r="J51" i="40"/>
  <c r="M54" i="84"/>
  <c r="J54" i="84"/>
  <c r="P54" i="84"/>
  <c r="J52" i="73"/>
  <c r="P52" i="73"/>
  <c r="M52" i="73"/>
  <c r="M53" i="54"/>
  <c r="J53" i="54"/>
  <c r="P53" i="54"/>
  <c r="M50" i="59"/>
  <c r="J50" i="59"/>
  <c r="P50" i="59"/>
  <c r="M51" i="39"/>
  <c r="J51" i="39"/>
  <c r="P51" i="39"/>
  <c r="M51" i="41"/>
  <c r="P51" i="41"/>
  <c r="J51" i="41"/>
  <c r="M52" i="59"/>
  <c r="J52" i="59"/>
  <c r="P52" i="59"/>
  <c r="M43" i="60" l="1"/>
  <c r="P43" i="39"/>
  <c r="P75" i="39" s="1"/>
  <c r="P1" i="39" s="1"/>
  <c r="P43" i="76"/>
  <c r="M43" i="73"/>
  <c r="DY15" i="29" s="1"/>
  <c r="P43" i="83"/>
  <c r="FF15" i="29" s="1"/>
  <c r="J43" i="52"/>
  <c r="J75" i="52" s="1"/>
  <c r="J1" i="52" s="1"/>
  <c r="P43" i="91"/>
  <c r="FL15" i="29" s="1"/>
  <c r="J43" i="83"/>
  <c r="DL15" i="29" s="1"/>
  <c r="M43" i="52"/>
  <c r="BG15" i="29" s="1"/>
  <c r="J43" i="42"/>
  <c r="J75" i="42" s="1"/>
  <c r="J1" i="42" s="1"/>
  <c r="J43" i="76"/>
  <c r="DF15" i="29" s="1"/>
  <c r="P43" i="65"/>
  <c r="M43" i="78"/>
  <c r="J43" i="60"/>
  <c r="P43" i="60"/>
  <c r="CS15" i="29" s="1"/>
  <c r="M43" i="81"/>
  <c r="P43" i="58"/>
  <c r="P75" i="58" s="1"/>
  <c r="P1" i="58" s="1"/>
  <c r="P43" i="56"/>
  <c r="CQ15" i="29" s="1"/>
  <c r="M43" i="57"/>
  <c r="M75" i="57" s="1"/>
  <c r="M1" i="57" s="1"/>
  <c r="J43" i="82"/>
  <c r="J43" i="41"/>
  <c r="J75" i="41" s="1"/>
  <c r="J1" i="41" s="1"/>
  <c r="P43" i="78"/>
  <c r="FB15" i="29" s="1"/>
  <c r="P43" i="50"/>
  <c r="P75" i="50" s="1"/>
  <c r="P1" i="50" s="1"/>
  <c r="P43" i="79"/>
  <c r="J43" i="57"/>
  <c r="M43" i="51"/>
  <c r="M75" i="51" s="1"/>
  <c r="M1" i="51" s="1"/>
  <c r="M43" i="59"/>
  <c r="BA15" i="29" s="1"/>
  <c r="J43" i="90"/>
  <c r="P43" i="77"/>
  <c r="FA15" i="29" s="1"/>
  <c r="J43" i="43"/>
  <c r="J75" i="43" s="1"/>
  <c r="J1" i="43" s="1"/>
  <c r="J43" i="45"/>
  <c r="S15" i="29" s="1"/>
  <c r="P43" i="41"/>
  <c r="P75" i="41" s="1"/>
  <c r="P1" i="41" s="1"/>
  <c r="J43" i="64"/>
  <c r="M43" i="58"/>
  <c r="M75" i="58" s="1"/>
  <c r="M1" i="58" s="1"/>
  <c r="J43" i="46"/>
  <c r="J75" i="46" s="1"/>
  <c r="J1" i="46" s="1"/>
  <c r="M43" i="90"/>
  <c r="EP15" i="29" s="1"/>
  <c r="J43" i="88"/>
  <c r="J43" i="58"/>
  <c r="G15" i="29" s="1"/>
  <c r="P43" i="82"/>
  <c r="FK15" i="29" s="1"/>
  <c r="J43" i="47"/>
  <c r="V15" i="29" s="1"/>
  <c r="P43" i="86"/>
  <c r="FJ15" i="29" s="1"/>
  <c r="M43" i="77"/>
  <c r="ED15" i="29" s="1"/>
  <c r="M43" i="44"/>
  <c r="AW15" i="29" s="1"/>
  <c r="P43" i="45"/>
  <c r="P75" i="45" s="1"/>
  <c r="P43" i="59"/>
  <c r="P75" i="59" s="1"/>
  <c r="P1" i="59" s="1"/>
  <c r="P43" i="35"/>
  <c r="P75" i="35" s="1"/>
  <c r="P1" i="35" s="1"/>
  <c r="P43" i="42"/>
  <c r="P75" i="42" s="1"/>
  <c r="P1" i="42" s="1"/>
  <c r="J43" i="72"/>
  <c r="DC15" i="29" s="1"/>
  <c r="M43" i="84"/>
  <c r="P43" i="52"/>
  <c r="P75" i="52" s="1"/>
  <c r="J43" i="79"/>
  <c r="M43" i="31"/>
  <c r="M75" i="31" s="1"/>
  <c r="M1" i="31" s="1"/>
  <c r="P43" i="81"/>
  <c r="P43" i="48"/>
  <c r="P75" i="48" s="1"/>
  <c r="M43" i="46"/>
  <c r="AZ15" i="29" s="1"/>
  <c r="J43" i="48"/>
  <c r="W15" i="29" s="1"/>
  <c r="M43" i="38"/>
  <c r="M75" i="38" s="1"/>
  <c r="J43" i="44"/>
  <c r="Q15" i="29" s="1"/>
  <c r="M43" i="82"/>
  <c r="EN15" i="29" s="1"/>
  <c r="J43" i="49"/>
  <c r="X15" i="29" s="1"/>
  <c r="M43" i="74"/>
  <c r="P43" i="49"/>
  <c r="P75" i="49" s="1"/>
  <c r="P1" i="49" s="1"/>
  <c r="M43" i="34"/>
  <c r="J43" i="73"/>
  <c r="DB15" i="29" s="1"/>
  <c r="J43" i="34"/>
  <c r="H15" i="29" s="1"/>
  <c r="J43" i="31"/>
  <c r="D15" i="29" s="1"/>
  <c r="M43" i="48"/>
  <c r="BC15" i="29" s="1"/>
  <c r="M43" i="41"/>
  <c r="AU15" i="29" s="1"/>
  <c r="P43" i="43"/>
  <c r="P75" i="43" s="1"/>
  <c r="P1" i="43" s="1"/>
  <c r="J43" i="53"/>
  <c r="J75" i="53" s="1"/>
  <c r="J1" i="53" s="1"/>
  <c r="J43" i="55"/>
  <c r="J75" i="55" s="1"/>
  <c r="J1" i="55" s="1"/>
  <c r="P43" i="37"/>
  <c r="BW15" i="29" s="1"/>
  <c r="P43" i="44"/>
  <c r="P75" i="44" s="1"/>
  <c r="J43" i="51"/>
  <c r="J75" i="51" s="1"/>
  <c r="J1" i="51" s="1"/>
  <c r="P43" i="85"/>
  <c r="FH15" i="29" s="1"/>
  <c r="M43" i="36"/>
  <c r="AP15" i="29" s="1"/>
  <c r="J43" i="38"/>
  <c r="J75" i="38" s="1"/>
  <c r="J1" i="38" s="1"/>
  <c r="M43" i="39"/>
  <c r="M75" i="39" s="1"/>
  <c r="M1" i="39" s="1"/>
  <c r="J43" i="65"/>
  <c r="P43" i="73"/>
  <c r="M43" i="49"/>
  <c r="M75" i="49" s="1"/>
  <c r="M1" i="49" s="1"/>
  <c r="M43" i="88"/>
  <c r="J43" i="35"/>
  <c r="J75" i="35" s="1"/>
  <c r="J1" i="35" s="1"/>
  <c r="M43" i="83"/>
  <c r="EI15" i="29" s="1"/>
  <c r="M43" i="50"/>
  <c r="M75" i="50" s="1"/>
  <c r="M1" i="50" s="1"/>
  <c r="P43" i="46"/>
  <c r="P75" i="46" s="1"/>
  <c r="P43" i="38"/>
  <c r="P75" i="38" s="1"/>
  <c r="M43" i="43"/>
  <c r="AX15" i="29" s="1"/>
  <c r="J43" i="37"/>
  <c r="K15" i="29" s="1"/>
  <c r="J43" i="71"/>
  <c r="P43" i="51"/>
  <c r="P75" i="51" s="1"/>
  <c r="P1" i="51" s="1"/>
  <c r="P43" i="36"/>
  <c r="P75" i="36" s="1"/>
  <c r="P1" i="36" s="1"/>
  <c r="M43" i="55"/>
  <c r="M75" i="55" s="1"/>
  <c r="J43" i="85"/>
  <c r="DN15" i="29" s="1"/>
  <c r="P43" i="66"/>
  <c r="J43" i="39"/>
  <c r="M15" i="29" s="1"/>
  <c r="M43" i="65"/>
  <c r="P43" i="74"/>
  <c r="EX15" i="29" s="1"/>
  <c r="P43" i="54"/>
  <c r="P75" i="54" s="1"/>
  <c r="P1" i="54" s="1"/>
  <c r="M43" i="54"/>
  <c r="M75" i="54" s="1"/>
  <c r="M1" i="54" s="1"/>
  <c r="M43" i="33"/>
  <c r="M75" i="33" s="1"/>
  <c r="M1" i="33" s="1"/>
  <c r="M43" i="35"/>
  <c r="M75" i="35" s="1"/>
  <c r="M1" i="35" s="1"/>
  <c r="P43" i="55"/>
  <c r="P75" i="55" s="1"/>
  <c r="P1" i="55" s="1"/>
  <c r="J43" i="80"/>
  <c r="M43" i="53"/>
  <c r="M75" i="53" s="1"/>
  <c r="M43" i="85"/>
  <c r="EK15" i="29" s="1"/>
  <c r="J43" i="66"/>
  <c r="P43" i="47"/>
  <c r="CH15" i="29" s="1"/>
  <c r="P43" i="34"/>
  <c r="P75" i="34" s="1"/>
  <c r="P1" i="34" s="1"/>
  <c r="J43" i="56"/>
  <c r="J75" i="56" s="1"/>
  <c r="J43" i="77"/>
  <c r="DG15" i="29" s="1"/>
  <c r="J43" i="54"/>
  <c r="J75" i="54" s="1"/>
  <c r="J43" i="36"/>
  <c r="J75" i="36" s="1"/>
  <c r="J1" i="36" s="1"/>
  <c r="M43" i="66"/>
  <c r="M43" i="47"/>
  <c r="BB15" i="29" s="1"/>
  <c r="P43" i="53"/>
  <c r="CN15" i="29" s="1"/>
  <c r="M43" i="71"/>
  <c r="P43" i="57"/>
  <c r="P75" i="57" s="1"/>
  <c r="P1" i="57" s="1"/>
  <c r="M43" i="64"/>
  <c r="P43" i="64"/>
  <c r="M43" i="45"/>
  <c r="M75" i="45" s="1"/>
  <c r="M1" i="45" s="1"/>
  <c r="P43" i="72"/>
  <c r="EW15" i="29" s="1"/>
  <c r="M43" i="80"/>
  <c r="J43" i="33"/>
  <c r="J75" i="33" s="1"/>
  <c r="J1" i="33" s="1"/>
  <c r="P43" i="80"/>
  <c r="FD15" i="29" s="1"/>
  <c r="P43" i="71"/>
  <c r="P43" i="33"/>
  <c r="P75" i="33" s="1"/>
  <c r="P1" i="33" s="1"/>
  <c r="J43" i="74"/>
  <c r="M43" i="72"/>
  <c r="M43" i="79"/>
  <c r="EF15" i="29" s="1"/>
  <c r="J43" i="84"/>
  <c r="DM15" i="29" s="1"/>
  <c r="M43" i="37"/>
  <c r="AQ15" i="29" s="1"/>
  <c r="P43" i="31"/>
  <c r="M43" i="56"/>
  <c r="BK15" i="29" s="1"/>
  <c r="J43" i="59"/>
  <c r="U15" i="29" s="1"/>
  <c r="J43" i="50"/>
  <c r="J75" i="50" s="1"/>
  <c r="J1" i="50" s="1"/>
  <c r="J43" i="86"/>
  <c r="P43" i="88"/>
  <c r="FI15" i="29" s="1"/>
  <c r="J43" i="81"/>
  <c r="DK15" i="29" s="1"/>
  <c r="M43" i="86"/>
  <c r="EM15" i="29" s="1"/>
  <c r="P43" i="84"/>
  <c r="FG15" i="29" s="1"/>
  <c r="M43" i="42"/>
  <c r="AV15" i="29" s="1"/>
  <c r="M43" i="76"/>
  <c r="EC15" i="29" s="1"/>
  <c r="J43" i="78"/>
  <c r="DH15" i="29" s="1"/>
  <c r="EZ15" i="29"/>
  <c r="EE15" i="29"/>
  <c r="DO15" i="29"/>
  <c r="P1" i="62"/>
  <c r="N1" i="62" s="1"/>
  <c r="CR15" i="29"/>
  <c r="AF15" i="29"/>
  <c r="J1" i="62"/>
  <c r="K1" i="62" s="1"/>
  <c r="J75" i="60"/>
  <c r="J1" i="60" s="1"/>
  <c r="AG15" i="29"/>
  <c r="P43" i="90"/>
  <c r="P43" i="61"/>
  <c r="M75" i="60"/>
  <c r="M1" i="60" s="1"/>
  <c r="BM15" i="29"/>
  <c r="P55" i="14"/>
  <c r="P48" i="14"/>
  <c r="J43" i="61"/>
  <c r="M43" i="61"/>
  <c r="J43" i="40"/>
  <c r="Q48" i="14"/>
  <c r="Q55" i="14"/>
  <c r="P43" i="40"/>
  <c r="M43" i="91"/>
  <c r="T55" i="14"/>
  <c r="T48" i="14"/>
  <c r="BY15" i="29"/>
  <c r="M43" i="40"/>
  <c r="J43" i="91"/>
  <c r="J75" i="45" l="1"/>
  <c r="J1" i="45" s="1"/>
  <c r="EU15" i="29"/>
  <c r="ER15" i="29"/>
  <c r="CZ15" i="29"/>
  <c r="ES15" i="29"/>
  <c r="CP15" i="29"/>
  <c r="CP21" i="29" s="1"/>
  <c r="ET15" i="29"/>
  <c r="AA15" i="29"/>
  <c r="AA47" i="29" s="1"/>
  <c r="M75" i="52"/>
  <c r="M1" i="52" s="1"/>
  <c r="K1" i="52" s="1"/>
  <c r="CE15" i="29"/>
  <c r="CE60" i="29" s="1"/>
  <c r="AL15" i="29"/>
  <c r="AL47" i="29" s="1"/>
  <c r="M75" i="48"/>
  <c r="M1" i="48" s="1"/>
  <c r="M75" i="46"/>
  <c r="M1" i="46" s="1"/>
  <c r="K1" i="46" s="1"/>
  <c r="M75" i="47"/>
  <c r="M1" i="47" s="1"/>
  <c r="BU15" i="29"/>
  <c r="BU47" i="29" s="1"/>
  <c r="DA15" i="29"/>
  <c r="AO15" i="29"/>
  <c r="AO47" i="29" s="1"/>
  <c r="CK15" i="29"/>
  <c r="CK21" i="29" s="1"/>
  <c r="P15" i="29"/>
  <c r="P47" i="29" s="1"/>
  <c r="CD15" i="29"/>
  <c r="CD47" i="29" s="1"/>
  <c r="P75" i="47"/>
  <c r="P1" i="47" s="1"/>
  <c r="J75" i="39"/>
  <c r="J1" i="39" s="1"/>
  <c r="K1" i="39" s="1"/>
  <c r="J75" i="49"/>
  <c r="J1" i="49" s="1"/>
  <c r="K1" i="49" s="1"/>
  <c r="T15" i="29"/>
  <c r="T60" i="29" s="1"/>
  <c r="M75" i="37"/>
  <c r="M1" i="37" s="1"/>
  <c r="AM15" i="29"/>
  <c r="AM21" i="29" s="1"/>
  <c r="P75" i="53"/>
  <c r="P1" i="53" s="1"/>
  <c r="BH15" i="29"/>
  <c r="BH47" i="29" s="1"/>
  <c r="J75" i="44"/>
  <c r="J1" i="44" s="1"/>
  <c r="M75" i="42"/>
  <c r="M1" i="42" s="1"/>
  <c r="K1" i="42" s="1"/>
  <c r="P75" i="60"/>
  <c r="P1" i="60" s="1"/>
  <c r="N1" i="60" s="1"/>
  <c r="DJ15" i="29"/>
  <c r="J75" i="37"/>
  <c r="J1" i="37" s="1"/>
  <c r="J75" i="34"/>
  <c r="J1" i="34" s="1"/>
  <c r="FE15" i="29"/>
  <c r="M75" i="44"/>
  <c r="M1" i="44" s="1"/>
  <c r="DP15" i="29"/>
  <c r="DQ15" i="29"/>
  <c r="CA15" i="29"/>
  <c r="CA21" i="29" s="1"/>
  <c r="EV15" i="29"/>
  <c r="BF15" i="29"/>
  <c r="BF47" i="29" s="1"/>
  <c r="M75" i="41"/>
  <c r="M1" i="41" s="1"/>
  <c r="K1" i="41" s="1"/>
  <c r="DD15" i="29"/>
  <c r="BQ15" i="29"/>
  <c r="BQ47" i="29" s="1"/>
  <c r="CL15" i="29"/>
  <c r="CL47" i="29" s="1"/>
  <c r="K1" i="60"/>
  <c r="J75" i="48"/>
  <c r="J1" i="48" s="1"/>
  <c r="DW15" i="29"/>
  <c r="M1" i="53"/>
  <c r="BD15" i="29"/>
  <c r="BD47" i="29" s="1"/>
  <c r="BS15" i="29"/>
  <c r="BS47" i="29" s="1"/>
  <c r="CX15" i="29"/>
  <c r="P75" i="56"/>
  <c r="P1" i="56" s="1"/>
  <c r="P1" i="48"/>
  <c r="CI15" i="29"/>
  <c r="CI47" i="29" s="1"/>
  <c r="J75" i="47"/>
  <c r="J1" i="47" s="1"/>
  <c r="DV15" i="29"/>
  <c r="AK15" i="29"/>
  <c r="AK60" i="29" s="1"/>
  <c r="E18" i="5" s="1"/>
  <c r="BJ15" i="29"/>
  <c r="BJ47" i="29" s="1"/>
  <c r="N1" i="49"/>
  <c r="BV15" i="29"/>
  <c r="BV21" i="29" s="1"/>
  <c r="AS15" i="29"/>
  <c r="AS21" i="29" s="1"/>
  <c r="O15" i="29"/>
  <c r="O21" i="29" s="1"/>
  <c r="DS15" i="29"/>
  <c r="DS60" i="29" s="1"/>
  <c r="J15" i="29"/>
  <c r="J47" i="29" s="1"/>
  <c r="J75" i="31"/>
  <c r="J1" i="31" s="1"/>
  <c r="K1" i="31" s="1"/>
  <c r="P1" i="45"/>
  <c r="N1" i="45" s="1"/>
  <c r="L15" i="29"/>
  <c r="L47" i="29" s="1"/>
  <c r="EH15" i="29"/>
  <c r="R15" i="29"/>
  <c r="R47" i="29" s="1"/>
  <c r="N1" i="33"/>
  <c r="F15" i="29"/>
  <c r="F60" i="29" s="1"/>
  <c r="DZ15" i="29"/>
  <c r="M1" i="55"/>
  <c r="N1" i="55" s="1"/>
  <c r="P75" i="37"/>
  <c r="P1" i="37" s="1"/>
  <c r="AR15" i="29"/>
  <c r="AR60" i="29" s="1"/>
  <c r="EL15" i="29"/>
  <c r="Z15" i="29"/>
  <c r="Z21" i="29" s="1"/>
  <c r="BT15" i="29"/>
  <c r="BT47" i="29" s="1"/>
  <c r="J75" i="57"/>
  <c r="J1" i="57" s="1"/>
  <c r="K1" i="57" s="1"/>
  <c r="AY15" i="29"/>
  <c r="AY21" i="29" s="1"/>
  <c r="AD15" i="29"/>
  <c r="AD60" i="29" s="1"/>
  <c r="I15" i="29"/>
  <c r="I60" i="29" s="1"/>
  <c r="M1" i="38"/>
  <c r="K1" i="38" s="1"/>
  <c r="CC15" i="29"/>
  <c r="CC21" i="29" s="1"/>
  <c r="J75" i="58"/>
  <c r="J1" i="58" s="1"/>
  <c r="K1" i="58" s="1"/>
  <c r="BR15" i="29"/>
  <c r="BR21" i="29" s="1"/>
  <c r="CY15" i="29"/>
  <c r="CB15" i="29"/>
  <c r="CB47" i="29" s="1"/>
  <c r="N1" i="35"/>
  <c r="FC15" i="29"/>
  <c r="DU15" i="29"/>
  <c r="M75" i="59"/>
  <c r="M1" i="59" s="1"/>
  <c r="N1" i="59" s="1"/>
  <c r="AB15" i="29"/>
  <c r="AB60" i="29" s="1"/>
  <c r="CG15" i="29"/>
  <c r="CG47" i="29" s="1"/>
  <c r="N1" i="54"/>
  <c r="K1" i="50"/>
  <c r="BE15" i="29"/>
  <c r="BE47" i="29" s="1"/>
  <c r="K1" i="51"/>
  <c r="M75" i="34"/>
  <c r="M1" i="34" s="1"/>
  <c r="BI15" i="29"/>
  <c r="BI60" i="29" s="1"/>
  <c r="M75" i="56"/>
  <c r="M1" i="56" s="1"/>
  <c r="CF15" i="29"/>
  <c r="CF47" i="29" s="1"/>
  <c r="CJ15" i="29"/>
  <c r="CJ21" i="29" s="1"/>
  <c r="M75" i="43"/>
  <c r="M1" i="43" s="1"/>
  <c r="K1" i="43" s="1"/>
  <c r="BX15" i="29"/>
  <c r="BX47" i="29" s="1"/>
  <c r="DX15" i="29"/>
  <c r="P1" i="44"/>
  <c r="K1" i="45"/>
  <c r="BP15" i="29"/>
  <c r="BP21" i="29" s="1"/>
  <c r="P1" i="46"/>
  <c r="DI15" i="29"/>
  <c r="P1" i="38"/>
  <c r="AE15" i="29"/>
  <c r="AE60" i="29" s="1"/>
  <c r="J75" i="59"/>
  <c r="J1" i="59" s="1"/>
  <c r="P75" i="31"/>
  <c r="P1" i="31" s="1"/>
  <c r="N1" i="31" s="1"/>
  <c r="EJ15" i="29"/>
  <c r="AJ15" i="29"/>
  <c r="AJ47" i="29" s="1"/>
  <c r="EA15" i="29"/>
  <c r="N27" i="30" s="1"/>
  <c r="J1" i="56"/>
  <c r="E15" i="29"/>
  <c r="E21" i="29" s="1"/>
  <c r="AC15" i="29"/>
  <c r="AC47" i="29" s="1"/>
  <c r="CO15" i="29"/>
  <c r="CO21" i="29" s="1"/>
  <c r="Y15" i="29"/>
  <c r="Y60" i="29" s="1"/>
  <c r="P1" i="52"/>
  <c r="J1" i="54"/>
  <c r="K1" i="54" s="1"/>
  <c r="M75" i="36"/>
  <c r="M1" i="36" s="1"/>
  <c r="N1" i="36" s="1"/>
  <c r="CM15" i="29"/>
  <c r="CM47" i="29" s="1"/>
  <c r="EG15" i="29"/>
  <c r="AN15" i="29"/>
  <c r="AN21" i="29" s="1"/>
  <c r="N1" i="57"/>
  <c r="N1" i="58"/>
  <c r="K1" i="35"/>
  <c r="N1" i="39"/>
  <c r="N1" i="50"/>
  <c r="J75" i="61"/>
  <c r="J1" i="61" s="1"/>
  <c r="AH15" i="29"/>
  <c r="CP47" i="29"/>
  <c r="CP60" i="29"/>
  <c r="FM15" i="29"/>
  <c r="DO60" i="29"/>
  <c r="CN21" i="29"/>
  <c r="CN60" i="29"/>
  <c r="CN47" i="29"/>
  <c r="AU60" i="29"/>
  <c r="AU47" i="29"/>
  <c r="AU21" i="29"/>
  <c r="FL60" i="29"/>
  <c r="D47" i="29"/>
  <c r="D21" i="29"/>
  <c r="D60" i="29"/>
  <c r="FI60" i="29"/>
  <c r="AP21" i="29"/>
  <c r="AP47" i="29"/>
  <c r="AP60" i="29"/>
  <c r="X47" i="29"/>
  <c r="X60" i="29"/>
  <c r="X21" i="29"/>
  <c r="U60" i="29"/>
  <c r="U47" i="29"/>
  <c r="U21" i="29"/>
  <c r="N1" i="51"/>
  <c r="Q47" i="29"/>
  <c r="Q21" i="29"/>
  <c r="Q60" i="29"/>
  <c r="BM47" i="29"/>
  <c r="BM60" i="29"/>
  <c r="BM21" i="29"/>
  <c r="CQ47" i="29"/>
  <c r="CQ60" i="29"/>
  <c r="CQ21" i="29"/>
  <c r="FK60" i="29"/>
  <c r="V60" i="29"/>
  <c r="V47" i="29"/>
  <c r="V21" i="29"/>
  <c r="AG60" i="29"/>
  <c r="AG47" i="29"/>
  <c r="AG21" i="29"/>
  <c r="BC47" i="29"/>
  <c r="BC60" i="29"/>
  <c r="BC21" i="29"/>
  <c r="H60" i="29"/>
  <c r="H21" i="29"/>
  <c r="H47" i="29"/>
  <c r="CS60" i="29"/>
  <c r="CS47" i="29"/>
  <c r="CS21" i="29"/>
  <c r="AV47" i="29"/>
  <c r="AV60" i="29"/>
  <c r="AV21" i="29"/>
  <c r="Q60" i="14"/>
  <c r="Q56" i="14"/>
  <c r="Q58" i="14" s="1"/>
  <c r="Q57" i="14"/>
  <c r="Q75" i="14"/>
  <c r="AQ60" i="29"/>
  <c r="AQ47" i="29"/>
  <c r="AQ21" i="29"/>
  <c r="K1" i="33"/>
  <c r="BA47" i="29"/>
  <c r="BA60" i="29"/>
  <c r="BA21" i="29"/>
  <c r="CE21" i="29"/>
  <c r="CE47" i="29"/>
  <c r="CR47" i="29"/>
  <c r="CR60" i="29"/>
  <c r="CR21" i="29"/>
  <c r="T56" i="14"/>
  <c r="T60" i="14"/>
  <c r="T75" i="14"/>
  <c r="AZ60" i="29"/>
  <c r="AZ47" i="29"/>
  <c r="AZ21" i="29"/>
  <c r="EO15" i="29"/>
  <c r="P27" i="30"/>
  <c r="R27" i="30"/>
  <c r="CT15" i="29"/>
  <c r="P75" i="61"/>
  <c r="P1" i="61" s="1"/>
  <c r="K47" i="29"/>
  <c r="K60" i="29"/>
  <c r="K21" i="29"/>
  <c r="BW21" i="29"/>
  <c r="BW47" i="29"/>
  <c r="BW60" i="29"/>
  <c r="W60" i="29"/>
  <c r="W21" i="29"/>
  <c r="W47" i="29"/>
  <c r="EP60" i="29"/>
  <c r="L27" i="30"/>
  <c r="BK47" i="29"/>
  <c r="BK21" i="29"/>
  <c r="BK60" i="29"/>
  <c r="BY47" i="29"/>
  <c r="BY60" i="29"/>
  <c r="BY21" i="29"/>
  <c r="P75" i="40"/>
  <c r="P1" i="40" s="1"/>
  <c r="BZ15" i="29"/>
  <c r="J75" i="40"/>
  <c r="J1" i="40" s="1"/>
  <c r="N15" i="29"/>
  <c r="CH47" i="29"/>
  <c r="CH60" i="29"/>
  <c r="CH21" i="29"/>
  <c r="AX60" i="29"/>
  <c r="AX47" i="29"/>
  <c r="AX21" i="29"/>
  <c r="AW21" i="29"/>
  <c r="AW47" i="29"/>
  <c r="AW60" i="29"/>
  <c r="H18" i="5" s="1"/>
  <c r="M21" i="29"/>
  <c r="M60" i="29"/>
  <c r="M47" i="29"/>
  <c r="DR15" i="29"/>
  <c r="G21" i="29"/>
  <c r="G47" i="29"/>
  <c r="G60" i="29"/>
  <c r="T27" i="30"/>
  <c r="BB47" i="29"/>
  <c r="BB21" i="29"/>
  <c r="BB60" i="29"/>
  <c r="EN60" i="29"/>
  <c r="M75" i="40"/>
  <c r="M1" i="40" s="1"/>
  <c r="AT15" i="29"/>
  <c r="AF60" i="29"/>
  <c r="AF47" i="29"/>
  <c r="AF21" i="29"/>
  <c r="M75" i="61"/>
  <c r="M1" i="61" s="1"/>
  <c r="BN15" i="29"/>
  <c r="P56" i="14"/>
  <c r="P58" i="14" s="1"/>
  <c r="P57" i="14"/>
  <c r="P60" i="14"/>
  <c r="P75" i="14"/>
  <c r="S60" i="29"/>
  <c r="S47" i="29"/>
  <c r="S21" i="29"/>
  <c r="BG21" i="29"/>
  <c r="BG47" i="29"/>
  <c r="BG60" i="29"/>
  <c r="CL21" i="29" l="1"/>
  <c r="R21" i="29"/>
  <c r="AK21" i="29"/>
  <c r="AK47" i="29"/>
  <c r="T21" i="29"/>
  <c r="N1" i="48"/>
  <c r="AA21" i="29"/>
  <c r="T47" i="29"/>
  <c r="AA60" i="29"/>
  <c r="N1" i="52"/>
  <c r="BQ60" i="29"/>
  <c r="AL21" i="29"/>
  <c r="AL22" i="29" s="1"/>
  <c r="AL60" i="29"/>
  <c r="CL60" i="29"/>
  <c r="R60" i="29"/>
  <c r="BR47" i="29"/>
  <c r="BR60" i="29"/>
  <c r="AO60" i="29"/>
  <c r="BE60" i="29"/>
  <c r="CA47" i="29"/>
  <c r="CA60" i="29"/>
  <c r="AO21" i="29"/>
  <c r="AO24" i="29" s="1"/>
  <c r="AO59" i="29" s="1"/>
  <c r="BU60" i="29"/>
  <c r="P60" i="29"/>
  <c r="BH21" i="29"/>
  <c r="BH24" i="29" s="1"/>
  <c r="BH49" i="29" s="1"/>
  <c r="BH60" i="29"/>
  <c r="CK60" i="29"/>
  <c r="BS21" i="29"/>
  <c r="BS24" i="29" s="1"/>
  <c r="BS59" i="29" s="1"/>
  <c r="CK47" i="29"/>
  <c r="P21" i="29"/>
  <c r="P24" i="29" s="1"/>
  <c r="P59" i="29" s="1"/>
  <c r="BU21" i="29"/>
  <c r="BU24" i="29" s="1"/>
  <c r="BU59" i="29" s="1"/>
  <c r="BS60" i="29"/>
  <c r="K1" i="47"/>
  <c r="N1" i="47"/>
  <c r="CD60" i="29"/>
  <c r="CI60" i="29"/>
  <c r="CD21" i="29"/>
  <c r="CD24" i="29" s="1"/>
  <c r="CD59" i="29" s="1"/>
  <c r="CF60" i="29"/>
  <c r="CI21" i="29"/>
  <c r="CI22" i="29" s="1"/>
  <c r="BT21" i="29"/>
  <c r="BT24" i="29" s="1"/>
  <c r="BT59" i="29" s="1"/>
  <c r="BQ21" i="29"/>
  <c r="BQ24" i="29" s="1"/>
  <c r="BQ59" i="29" s="1"/>
  <c r="BT60" i="29"/>
  <c r="K1" i="48"/>
  <c r="CJ60" i="29"/>
  <c r="L60" i="29"/>
  <c r="J27" i="30"/>
  <c r="K1" i="37"/>
  <c r="CG60" i="29"/>
  <c r="CG21" i="29"/>
  <c r="CG24" i="29" s="1"/>
  <c r="CG59" i="29" s="1"/>
  <c r="AM47" i="29"/>
  <c r="F47" i="29"/>
  <c r="N1" i="46"/>
  <c r="N1" i="37"/>
  <c r="CF21" i="29"/>
  <c r="CF24" i="29" s="1"/>
  <c r="CF59" i="29" s="1"/>
  <c r="BV47" i="29"/>
  <c r="AS60" i="29"/>
  <c r="AM60" i="29"/>
  <c r="BD60" i="29"/>
  <c r="BD21" i="29"/>
  <c r="BD22" i="29" s="1"/>
  <c r="J21" i="29"/>
  <c r="J24" i="29" s="1"/>
  <c r="J59" i="29" s="1"/>
  <c r="K1" i="44"/>
  <c r="J60" i="29"/>
  <c r="BF21" i="29"/>
  <c r="BF22" i="29" s="1"/>
  <c r="N1" i="53"/>
  <c r="CM60" i="29"/>
  <c r="CB21" i="29"/>
  <c r="CB22" i="29" s="1"/>
  <c r="N1" i="42"/>
  <c r="BJ21" i="29"/>
  <c r="BJ22" i="29" s="1"/>
  <c r="CM21" i="29"/>
  <c r="CM22" i="29" s="1"/>
  <c r="I47" i="29"/>
  <c r="I21" i="29"/>
  <c r="I24" i="29" s="1"/>
  <c r="I59" i="29" s="1"/>
  <c r="K1" i="55"/>
  <c r="K1" i="53"/>
  <c r="K1" i="59"/>
  <c r="N1" i="41"/>
  <c r="N1" i="44"/>
  <c r="BF60" i="29"/>
  <c r="F21" i="29"/>
  <c r="F24" i="29" s="1"/>
  <c r="F59" i="29" s="1"/>
  <c r="CJ47" i="29"/>
  <c r="AY60" i="29"/>
  <c r="D18" i="5" s="1"/>
  <c r="O47" i="29"/>
  <c r="DQ60" i="29"/>
  <c r="CO60" i="29"/>
  <c r="AY47" i="29"/>
  <c r="O60" i="29"/>
  <c r="CO47" i="29"/>
  <c r="BJ60" i="29"/>
  <c r="K1" i="40"/>
  <c r="BE21" i="29"/>
  <c r="BE24" i="29" s="1"/>
  <c r="BE59" i="29" s="1"/>
  <c r="AN47" i="29"/>
  <c r="AB47" i="29"/>
  <c r="CC47" i="29"/>
  <c r="V27" i="30"/>
  <c r="Z60" i="29"/>
  <c r="N1" i="38"/>
  <c r="AB21" i="29"/>
  <c r="AB22" i="29" s="1"/>
  <c r="CC60" i="29"/>
  <c r="Z47" i="29"/>
  <c r="AS47" i="29"/>
  <c r="L21" i="29"/>
  <c r="L24" i="29" s="1"/>
  <c r="L59" i="29" s="1"/>
  <c r="BV60" i="29"/>
  <c r="N1" i="56"/>
  <c r="BP60" i="29"/>
  <c r="Y21" i="29"/>
  <c r="Y22" i="29" s="1"/>
  <c r="AJ21" i="29"/>
  <c r="AJ24" i="29" s="1"/>
  <c r="AJ59" i="29" s="1"/>
  <c r="G19" i="5" s="1"/>
  <c r="AR21" i="29"/>
  <c r="AR24" i="29" s="1"/>
  <c r="AR59" i="29" s="1"/>
  <c r="BP47" i="29"/>
  <c r="AD47" i="29"/>
  <c r="BI47" i="29"/>
  <c r="Y47" i="29"/>
  <c r="AJ60" i="29"/>
  <c r="G18" i="5" s="1"/>
  <c r="AR47" i="29"/>
  <c r="AD21" i="29"/>
  <c r="AD24" i="29" s="1"/>
  <c r="AD59" i="29" s="1"/>
  <c r="BI21" i="29"/>
  <c r="BI24" i="29" s="1"/>
  <c r="BI59" i="29" s="1"/>
  <c r="AN60" i="29"/>
  <c r="CB60" i="29"/>
  <c r="N1" i="61"/>
  <c r="EL60" i="29"/>
  <c r="N1" i="34"/>
  <c r="K1" i="34"/>
  <c r="BX21" i="29"/>
  <c r="BX24" i="29" s="1"/>
  <c r="BX59" i="29" s="1"/>
  <c r="E47" i="29"/>
  <c r="BX60" i="29"/>
  <c r="E60" i="29"/>
  <c r="K1" i="36"/>
  <c r="N1" i="43"/>
  <c r="AE21" i="29"/>
  <c r="AE22" i="29" s="1"/>
  <c r="AC60" i="29"/>
  <c r="AE47" i="29"/>
  <c r="AC21" i="29"/>
  <c r="AC22" i="29" s="1"/>
  <c r="K1" i="56"/>
  <c r="K1" i="61"/>
  <c r="N1" i="40"/>
  <c r="P76" i="14"/>
  <c r="P78" i="14" s="1"/>
  <c r="P80" i="14"/>
  <c r="P77" i="14"/>
  <c r="U24" i="29"/>
  <c r="U59" i="29" s="1"/>
  <c r="U22" i="29"/>
  <c r="AA22" i="29"/>
  <c r="AA24" i="29"/>
  <c r="AA59" i="29" s="1"/>
  <c r="AT47" i="29"/>
  <c r="AT60" i="29"/>
  <c r="F18" i="5" s="1"/>
  <c r="AT21" i="29"/>
  <c r="BZ21" i="29"/>
  <c r="BZ47" i="29"/>
  <c r="BZ60" i="29"/>
  <c r="CR22" i="29"/>
  <c r="CR24" i="29"/>
  <c r="CR59" i="29" s="1"/>
  <c r="BV24" i="29"/>
  <c r="BV59" i="29" s="1"/>
  <c r="BV22" i="29"/>
  <c r="Q76" i="14"/>
  <c r="Q78" i="14" s="1"/>
  <c r="Q77" i="14"/>
  <c r="Q80" i="14"/>
  <c r="BC24" i="29"/>
  <c r="BC59" i="29" s="1"/>
  <c r="BC22" i="29"/>
  <c r="CS22" i="29"/>
  <c r="CS24" i="29"/>
  <c r="CS59" i="29" s="1"/>
  <c r="CJ24" i="29"/>
  <c r="CJ59" i="29" s="1"/>
  <c r="CJ22" i="29"/>
  <c r="CC22" i="29"/>
  <c r="CC24" i="29"/>
  <c r="CC59" i="29" s="1"/>
  <c r="CE24" i="29"/>
  <c r="CE59" i="29" s="1"/>
  <c r="CE22" i="29"/>
  <c r="V24" i="29"/>
  <c r="V59" i="29" s="1"/>
  <c r="V22" i="29"/>
  <c r="T76" i="14"/>
  <c r="T80" i="14"/>
  <c r="AV22" i="29"/>
  <c r="AV24" i="29"/>
  <c r="N47" i="29"/>
  <c r="N60" i="29"/>
  <c r="N21" i="29"/>
  <c r="CQ22" i="29"/>
  <c r="CQ24" i="29"/>
  <c r="CQ59" i="29" s="1"/>
  <c r="AU22" i="29"/>
  <c r="AU24" i="29"/>
  <c r="AU59" i="29" s="1"/>
  <c r="BM24" i="29"/>
  <c r="BM59" i="29" s="1"/>
  <c r="BM22" i="29"/>
  <c r="AP22" i="29"/>
  <c r="AP24" i="29"/>
  <c r="AP59" i="29" s="1"/>
  <c r="DR60" i="29"/>
  <c r="CH22" i="29"/>
  <c r="CH24" i="29"/>
  <c r="CH59" i="29" s="1"/>
  <c r="BY22" i="29"/>
  <c r="BY24" i="29"/>
  <c r="BY59" i="29" s="1"/>
  <c r="Z24" i="29"/>
  <c r="Z49" i="29" s="1"/>
  <c r="Z22" i="29"/>
  <c r="X24" i="29"/>
  <c r="X59" i="29" s="1"/>
  <c r="X22" i="29"/>
  <c r="O22" i="29"/>
  <c r="O24" i="29"/>
  <c r="O59" i="29" s="1"/>
  <c r="CN24" i="29"/>
  <c r="CN59" i="29" s="1"/>
  <c r="CN22" i="29"/>
  <c r="AQ24" i="29"/>
  <c r="AQ59" i="29" s="1"/>
  <c r="AQ22" i="29"/>
  <c r="M22" i="29"/>
  <c r="M24" i="29"/>
  <c r="M59" i="29" s="1"/>
  <c r="BW22" i="29"/>
  <c r="BW24" i="29"/>
  <c r="BW59" i="29" s="1"/>
  <c r="AZ24" i="29"/>
  <c r="AZ59" i="29" s="1"/>
  <c r="AZ22" i="29"/>
  <c r="T24" i="29"/>
  <c r="T59" i="29" s="1"/>
  <c r="T22" i="29"/>
  <c r="K22" i="29"/>
  <c r="K24" i="29"/>
  <c r="K59" i="29" s="1"/>
  <c r="AM22" i="29"/>
  <c r="AM24" i="29"/>
  <c r="AM59" i="29" s="1"/>
  <c r="G24" i="29"/>
  <c r="G59" i="29" s="1"/>
  <c r="G22" i="29"/>
  <c r="BN60" i="29"/>
  <c r="I18" i="5" s="1"/>
  <c r="BN47" i="29"/>
  <c r="BN21" i="29"/>
  <c r="BP24" i="29"/>
  <c r="BP59" i="29" s="1"/>
  <c r="BP22" i="29"/>
  <c r="H24" i="29"/>
  <c r="H59" i="29" s="1"/>
  <c r="H22" i="29"/>
  <c r="W24" i="29"/>
  <c r="W59" i="29" s="1"/>
  <c r="W22" i="29"/>
  <c r="CA22" i="29"/>
  <c r="CA24" i="29"/>
  <c r="CA59" i="29" s="1"/>
  <c r="AG24" i="29"/>
  <c r="AG59" i="29" s="1"/>
  <c r="AG22" i="29"/>
  <c r="Q22" i="29"/>
  <c r="Q24" i="29"/>
  <c r="Q59" i="29" s="1"/>
  <c r="D24" i="29"/>
  <c r="D59" i="29" s="1"/>
  <c r="D22" i="29"/>
  <c r="AH60" i="29"/>
  <c r="AH47" i="29"/>
  <c r="AH21" i="29"/>
  <c r="BA22" i="29"/>
  <c r="BA24" i="29"/>
  <c r="BA59" i="29" s="1"/>
  <c r="AX22" i="29"/>
  <c r="AX24" i="29"/>
  <c r="AX59" i="29" s="1"/>
  <c r="E22" i="29"/>
  <c r="E24" i="29"/>
  <c r="E59" i="29" s="1"/>
  <c r="FM60" i="29"/>
  <c r="AS24" i="29"/>
  <c r="AS59" i="29" s="1"/>
  <c r="AS22" i="29"/>
  <c r="S24" i="29"/>
  <c r="S59" i="29" s="1"/>
  <c r="S22" i="29"/>
  <c r="BK22" i="29"/>
  <c r="BK24" i="29"/>
  <c r="BK59" i="29" s="1"/>
  <c r="BR22" i="29"/>
  <c r="BR24" i="29"/>
  <c r="BR59" i="29" s="1"/>
  <c r="R24" i="29"/>
  <c r="R59" i="29" s="1"/>
  <c r="R22" i="29"/>
  <c r="AK24" i="29"/>
  <c r="AK59" i="29" s="1"/>
  <c r="E19" i="5" s="1"/>
  <c r="AK22" i="29"/>
  <c r="CT60" i="29"/>
  <c r="CT21" i="29"/>
  <c r="CT47" i="29"/>
  <c r="CO24" i="29"/>
  <c r="CO59" i="29" s="1"/>
  <c r="CO22" i="29"/>
  <c r="AY22" i="29"/>
  <c r="AY24" i="29"/>
  <c r="AY59" i="29" s="1"/>
  <c r="D19" i="5" s="1"/>
  <c r="EO60" i="29"/>
  <c r="Q19" i="7" s="1"/>
  <c r="AN22" i="29"/>
  <c r="AN24" i="29"/>
  <c r="AN59" i="29" s="1"/>
  <c r="CL24" i="29"/>
  <c r="CL49" i="29" s="1"/>
  <c r="CL22" i="29"/>
  <c r="CP24" i="29"/>
  <c r="CP59" i="29" s="1"/>
  <c r="CP22" i="29"/>
  <c r="BB24" i="29"/>
  <c r="BB59" i="29" s="1"/>
  <c r="BB22" i="29"/>
  <c r="AW22" i="29"/>
  <c r="AW24" i="29"/>
  <c r="AW59" i="29" s="1"/>
  <c r="H19" i="5" s="1"/>
  <c r="CK22" i="29"/>
  <c r="CK24" i="29"/>
  <c r="CK59" i="29" s="1"/>
  <c r="BG22" i="29"/>
  <c r="BG24" i="29"/>
  <c r="BG59" i="29" s="1"/>
  <c r="AF22" i="29"/>
  <c r="AF24" i="29"/>
  <c r="AF59" i="29" s="1"/>
  <c r="CF22" i="29" l="1"/>
  <c r="BT22" i="29"/>
  <c r="AL24" i="29"/>
  <c r="AL59" i="29" s="1"/>
  <c r="CG22" i="29"/>
  <c r="AO22" i="29"/>
  <c r="CD22" i="29"/>
  <c r="K29" i="3" s="1"/>
  <c r="BQ22" i="29"/>
  <c r="K15" i="3" s="1"/>
  <c r="BF24" i="29"/>
  <c r="BF49" i="29" s="1"/>
  <c r="BF50" i="29" s="1"/>
  <c r="CI24" i="29"/>
  <c r="CI59" i="29" s="1"/>
  <c r="BH22" i="29"/>
  <c r="BH35" i="29" s="1"/>
  <c r="P22" i="29"/>
  <c r="P35" i="29" s="1"/>
  <c r="BS22" i="29"/>
  <c r="K17" i="3" s="1"/>
  <c r="BU22" i="29"/>
  <c r="BU25" i="29" s="1"/>
  <c r="X27" i="30"/>
  <c r="CM24" i="29"/>
  <c r="CM59" i="29" s="1"/>
  <c r="BJ24" i="29"/>
  <c r="BJ59" i="29" s="1"/>
  <c r="BD24" i="29"/>
  <c r="BD59" i="29" s="1"/>
  <c r="J22" i="29"/>
  <c r="J35" i="29" s="1"/>
  <c r="AR22" i="29"/>
  <c r="AR25" i="29" s="1"/>
  <c r="CG49" i="29"/>
  <c r="CG50" i="29" s="1"/>
  <c r="CB24" i="29"/>
  <c r="CB59" i="29" s="1"/>
  <c r="F22" i="29"/>
  <c r="E16" i="3" s="1"/>
  <c r="I22" i="29"/>
  <c r="E19" i="3" s="1"/>
  <c r="AX49" i="29"/>
  <c r="AX50" i="29" s="1"/>
  <c r="BE22" i="29"/>
  <c r="BE25" i="29" s="1"/>
  <c r="L22" i="29"/>
  <c r="L35" i="29" s="1"/>
  <c r="AL49" i="29"/>
  <c r="AL50" i="29" s="1"/>
  <c r="I49" i="29"/>
  <c r="I53" i="29" s="1"/>
  <c r="AK49" i="29"/>
  <c r="AK50" i="29" s="1"/>
  <c r="U49" i="29"/>
  <c r="U53" i="29" s="1"/>
  <c r="AC24" i="29"/>
  <c r="AC59" i="29" s="1"/>
  <c r="BI49" i="29"/>
  <c r="BI53" i="29" s="1"/>
  <c r="BI22" i="29"/>
  <c r="BI25" i="29" s="1"/>
  <c r="BX22" i="29"/>
  <c r="K22" i="3" s="1"/>
  <c r="AD22" i="29"/>
  <c r="AD25" i="29" s="1"/>
  <c r="CQ49" i="29"/>
  <c r="CQ53" i="29" s="1"/>
  <c r="AJ22" i="29"/>
  <c r="H14" i="3" s="1"/>
  <c r="M14" i="3" s="1"/>
  <c r="AB24" i="29"/>
  <c r="AB59" i="29" s="1"/>
  <c r="Y24" i="29"/>
  <c r="Y59" i="29" s="1"/>
  <c r="BQ49" i="29"/>
  <c r="BQ53" i="29" s="1"/>
  <c r="AR49" i="29"/>
  <c r="AR53" i="29" s="1"/>
  <c r="BT49" i="29"/>
  <c r="BT53" i="29" s="1"/>
  <c r="AW49" i="29"/>
  <c r="AW50" i="29" s="1"/>
  <c r="H20" i="5"/>
  <c r="AD49" i="29"/>
  <c r="AD50" i="29" s="1"/>
  <c r="AG49" i="29"/>
  <c r="AG50" i="29" s="1"/>
  <c r="G49" i="29"/>
  <c r="G53" i="29" s="1"/>
  <c r="D49" i="29"/>
  <c r="D50" i="29" s="1"/>
  <c r="BW49" i="29"/>
  <c r="BW50" i="29" s="1"/>
  <c r="AE24" i="29"/>
  <c r="AE59" i="29" s="1"/>
  <c r="CJ49" i="29"/>
  <c r="CJ53" i="29" s="1"/>
  <c r="CH49" i="29"/>
  <c r="CH53" i="29" s="1"/>
  <c r="H49" i="29"/>
  <c r="H50" i="29" s="1"/>
  <c r="BV49" i="29"/>
  <c r="BV53" i="29" s="1"/>
  <c r="L18" i="5"/>
  <c r="AN49" i="29"/>
  <c r="AN53" i="29" s="1"/>
  <c r="R49" i="29"/>
  <c r="R50" i="29" s="1"/>
  <c r="W49" i="29"/>
  <c r="W50" i="29" s="1"/>
  <c r="BP49" i="29"/>
  <c r="BP53" i="29" s="1"/>
  <c r="BE49" i="29"/>
  <c r="BE50" i="29" s="1"/>
  <c r="CP49" i="29"/>
  <c r="CP50" i="29" s="1"/>
  <c r="BG49" i="29"/>
  <c r="BG50" i="29" s="1"/>
  <c r="BR49" i="29"/>
  <c r="BR50" i="29" s="1"/>
  <c r="AS49" i="29"/>
  <c r="AS53" i="29" s="1"/>
  <c r="X49" i="29"/>
  <c r="X50" i="29" s="1"/>
  <c r="BB35" i="29"/>
  <c r="H32" i="3"/>
  <c r="M32" i="3" s="1"/>
  <c r="BB25" i="29"/>
  <c r="CO35" i="29"/>
  <c r="CO25" i="29"/>
  <c r="K39" i="3"/>
  <c r="O49" i="29"/>
  <c r="R25" i="29"/>
  <c r="E28" i="3"/>
  <c r="R35" i="29"/>
  <c r="AH24" i="29"/>
  <c r="AH59" i="29" s="1"/>
  <c r="AH22" i="29"/>
  <c r="BT25" i="29"/>
  <c r="K18" i="3"/>
  <c r="BT35" i="29"/>
  <c r="T81" i="14"/>
  <c r="T90" i="14"/>
  <c r="T91" i="14" s="1"/>
  <c r="E41" i="3"/>
  <c r="Q35" i="29"/>
  <c r="E27" i="3"/>
  <c r="Q25" i="29"/>
  <c r="J49" i="29"/>
  <c r="AQ49" i="29"/>
  <c r="CS49" i="29"/>
  <c r="H33" i="3"/>
  <c r="M33" i="3" s="1"/>
  <c r="BC25" i="29"/>
  <c r="BC35" i="29"/>
  <c r="E38" i="3"/>
  <c r="BH53" i="29"/>
  <c r="BH50" i="29"/>
  <c r="CO49" i="29"/>
  <c r="Q49" i="29"/>
  <c r="CD49" i="29"/>
  <c r="AA49" i="29"/>
  <c r="K30" i="3"/>
  <c r="CF25" i="29"/>
  <c r="CF35" i="29"/>
  <c r="T25" i="29"/>
  <c r="E30" i="3"/>
  <c r="T35" i="29"/>
  <c r="BW35" i="29"/>
  <c r="BW25" i="29"/>
  <c r="K21" i="3"/>
  <c r="CK49" i="29"/>
  <c r="K40" i="3"/>
  <c r="CP25" i="29"/>
  <c r="CP35" i="29"/>
  <c r="BA49" i="29"/>
  <c r="AF49" i="29"/>
  <c r="AF53" i="29" s="1"/>
  <c r="AF57" i="29" s="1"/>
  <c r="K35" i="3"/>
  <c r="CK25" i="29"/>
  <c r="CK35" i="29"/>
  <c r="BR25" i="29"/>
  <c r="K16" i="3"/>
  <c r="BR35" i="29"/>
  <c r="E49" i="29"/>
  <c r="H28" i="3"/>
  <c r="M28" i="3" s="1"/>
  <c r="AX35" i="29"/>
  <c r="AX25" i="29"/>
  <c r="H31" i="3"/>
  <c r="M31" i="3" s="1"/>
  <c r="BA35" i="29"/>
  <c r="BA25" i="29"/>
  <c r="E33" i="3"/>
  <c r="W25" i="29"/>
  <c r="W35" i="29"/>
  <c r="BN22" i="29"/>
  <c r="BN24" i="29"/>
  <c r="BN59" i="29" s="1"/>
  <c r="I19" i="5" s="1"/>
  <c r="T49" i="29"/>
  <c r="M35" i="29"/>
  <c r="E23" i="3"/>
  <c r="M25" i="29"/>
  <c r="BY49" i="29"/>
  <c r="H20" i="3"/>
  <c r="M20" i="3" s="1"/>
  <c r="AP35" i="29"/>
  <c r="AP25" i="29"/>
  <c r="H25" i="3"/>
  <c r="M25" i="3" s="1"/>
  <c r="AU35" i="29"/>
  <c r="AU25" i="29"/>
  <c r="L49" i="29"/>
  <c r="CC49" i="29"/>
  <c r="BC49" i="29"/>
  <c r="BV25" i="29"/>
  <c r="K20" i="3"/>
  <c r="BV35" i="29"/>
  <c r="Q90" i="14"/>
  <c r="Q82" i="14"/>
  <c r="Q81" i="14"/>
  <c r="Q83" i="14" s="1"/>
  <c r="F49" i="29"/>
  <c r="S49" i="29"/>
  <c r="CE49" i="29"/>
  <c r="CS25" i="29"/>
  <c r="CS35" i="29"/>
  <c r="K26" i="3"/>
  <c r="CT22" i="29"/>
  <c r="CT24" i="29"/>
  <c r="CT59" i="29" s="1"/>
  <c r="H40" i="3"/>
  <c r="M40" i="3" s="1"/>
  <c r="H25" i="29"/>
  <c r="E18" i="3"/>
  <c r="H35" i="29"/>
  <c r="AM49" i="29"/>
  <c r="M49" i="29"/>
  <c r="AP49" i="29"/>
  <c r="AU49" i="29"/>
  <c r="AL35" i="29"/>
  <c r="AL25" i="29"/>
  <c r="H16" i="3"/>
  <c r="M16" i="3" s="1"/>
  <c r="K27" i="3"/>
  <c r="CC25" i="29"/>
  <c r="CC35" i="29"/>
  <c r="U35" i="29"/>
  <c r="E31" i="3"/>
  <c r="U25" i="29"/>
  <c r="P82" i="14"/>
  <c r="P81" i="14"/>
  <c r="P83" i="14" s="1"/>
  <c r="P90" i="14"/>
  <c r="Z53" i="29"/>
  <c r="Z50" i="29"/>
  <c r="AV59" i="29"/>
  <c r="BS49" i="29"/>
  <c r="E29" i="3"/>
  <c r="S25" i="29"/>
  <c r="S35" i="29"/>
  <c r="H34" i="3"/>
  <c r="M34" i="3" s="1"/>
  <c r="BU49" i="29"/>
  <c r="AQ25" i="29"/>
  <c r="H21" i="3"/>
  <c r="M21" i="3" s="1"/>
  <c r="AQ35" i="29"/>
  <c r="E39" i="3"/>
  <c r="E15" i="3"/>
  <c r="E25" i="29"/>
  <c r="E35" i="29"/>
  <c r="AG25" i="29"/>
  <c r="AG35" i="29"/>
  <c r="H30" i="3"/>
  <c r="M30" i="3" s="1"/>
  <c r="AZ25" i="29"/>
  <c r="AZ35" i="29"/>
  <c r="K38" i="3"/>
  <c r="CN25" i="29"/>
  <c r="CN35" i="29"/>
  <c r="BY25" i="29"/>
  <c r="K23" i="3"/>
  <c r="BY35" i="29"/>
  <c r="BM25" i="29"/>
  <c r="BM35" i="29"/>
  <c r="N24" i="29"/>
  <c r="N59" i="29" s="1"/>
  <c r="N22" i="29"/>
  <c r="H37" i="3"/>
  <c r="M37" i="3" s="1"/>
  <c r="BG35" i="29"/>
  <c r="BG25" i="29"/>
  <c r="BX49" i="29"/>
  <c r="K25" i="3"/>
  <c r="CA35" i="29"/>
  <c r="CA25" i="29"/>
  <c r="CA49" i="29"/>
  <c r="O35" i="29"/>
  <c r="E25" i="3"/>
  <c r="O25" i="29"/>
  <c r="BH59" i="29"/>
  <c r="AV49" i="29"/>
  <c r="V49" i="29"/>
  <c r="CL25" i="29"/>
  <c r="K36" i="3"/>
  <c r="CL35" i="29"/>
  <c r="K49" i="29"/>
  <c r="X35" i="29"/>
  <c r="X25" i="29"/>
  <c r="E34" i="3"/>
  <c r="AA35" i="29"/>
  <c r="E37" i="3"/>
  <c r="AA25" i="29"/>
  <c r="CL53" i="29"/>
  <c r="CL50" i="29"/>
  <c r="AF25" i="29"/>
  <c r="AF35" i="29"/>
  <c r="AF38" i="29" s="1"/>
  <c r="AF44" i="29" s="1"/>
  <c r="AF45" i="29" s="1"/>
  <c r="AF46" i="29" s="1"/>
  <c r="BK35" i="29"/>
  <c r="H41" i="3"/>
  <c r="M41" i="3" s="1"/>
  <c r="BK25" i="29"/>
  <c r="AM25" i="29"/>
  <c r="AM35" i="29"/>
  <c r="H17" i="3"/>
  <c r="M17" i="3" s="1"/>
  <c r="K33" i="3"/>
  <c r="AY25" i="29"/>
  <c r="D22" i="5" s="1"/>
  <c r="H29" i="3"/>
  <c r="M29" i="3" s="1"/>
  <c r="D21" i="5"/>
  <c r="AY35" i="29"/>
  <c r="E14" i="3"/>
  <c r="D25" i="29"/>
  <c r="D35" i="29"/>
  <c r="Z25" i="29"/>
  <c r="E36" i="3"/>
  <c r="Z35" i="29"/>
  <c r="E32" i="3"/>
  <c r="V25" i="29"/>
  <c r="V35" i="29"/>
  <c r="CR35" i="29"/>
  <c r="CR38" i="29" s="1"/>
  <c r="CR44" i="29" s="1"/>
  <c r="CR45" i="29" s="1"/>
  <c r="CR46" i="29" s="1"/>
  <c r="CR25" i="29"/>
  <c r="AJ49" i="29"/>
  <c r="CG25" i="29"/>
  <c r="K31" i="3"/>
  <c r="CG35" i="29"/>
  <c r="BB49" i="29"/>
  <c r="P49" i="29"/>
  <c r="E17" i="3"/>
  <c r="G35" i="29"/>
  <c r="G25" i="29"/>
  <c r="E35" i="3"/>
  <c r="BZ22" i="29"/>
  <c r="BZ24" i="29"/>
  <c r="BZ59" i="29" s="1"/>
  <c r="H26" i="3"/>
  <c r="M26" i="3" s="1"/>
  <c r="AV35" i="29"/>
  <c r="AV25" i="29"/>
  <c r="CE25" i="29"/>
  <c r="K28" i="3"/>
  <c r="CE35" i="29"/>
  <c r="CF49" i="29"/>
  <c r="E21" i="3"/>
  <c r="K25" i="29"/>
  <c r="K35" i="29"/>
  <c r="AO49" i="29"/>
  <c r="D20" i="5"/>
  <c r="AK35" i="29"/>
  <c r="H15" i="3"/>
  <c r="M15" i="3" s="1"/>
  <c r="AK25" i="29"/>
  <c r="E22" i="5" s="1"/>
  <c r="E21" i="5"/>
  <c r="AS25" i="29"/>
  <c r="H23" i="3"/>
  <c r="M23" i="3" s="1"/>
  <c r="AS35" i="29"/>
  <c r="CJ25" i="29"/>
  <c r="K34" i="3"/>
  <c r="CJ35" i="29"/>
  <c r="H19" i="3"/>
  <c r="M19" i="3" s="1"/>
  <c r="AO25" i="29"/>
  <c r="AO35" i="29"/>
  <c r="H27" i="3"/>
  <c r="M27" i="3" s="1"/>
  <c r="H21" i="5"/>
  <c r="AW25" i="29"/>
  <c r="H22" i="5" s="1"/>
  <c r="AW35" i="29"/>
  <c r="H18" i="3"/>
  <c r="M18" i="3" s="1"/>
  <c r="AN35" i="29"/>
  <c r="AN25" i="29"/>
  <c r="AY49" i="29"/>
  <c r="E20" i="5"/>
  <c r="BK49" i="29"/>
  <c r="K37" i="3"/>
  <c r="H36" i="3"/>
  <c r="M36" i="3" s="1"/>
  <c r="BP35" i="29"/>
  <c r="K14" i="3"/>
  <c r="BP25" i="29"/>
  <c r="AZ49" i="29"/>
  <c r="CN49" i="29"/>
  <c r="K32" i="3"/>
  <c r="CH25" i="29"/>
  <c r="CH35" i="29"/>
  <c r="BM49" i="29"/>
  <c r="CQ35" i="29"/>
  <c r="CQ25" i="29"/>
  <c r="K41" i="3"/>
  <c r="CR49" i="29"/>
  <c r="CR53" i="29" s="1"/>
  <c r="CR57" i="29" s="1"/>
  <c r="AT24" i="29"/>
  <c r="AT59" i="29" s="1"/>
  <c r="F19" i="5" s="1"/>
  <c r="AT22" i="29"/>
  <c r="G20" i="5"/>
  <c r="BQ35" i="29" l="1"/>
  <c r="CD25" i="29"/>
  <c r="CD35" i="29"/>
  <c r="CG53" i="29"/>
  <c r="BI50" i="29"/>
  <c r="BF35" i="29"/>
  <c r="BF25" i="29"/>
  <c r="BQ25" i="29"/>
  <c r="AC35" i="29"/>
  <c r="AC36" i="29" s="1"/>
  <c r="AR35" i="29"/>
  <c r="AR38" i="29" s="1"/>
  <c r="CI25" i="29"/>
  <c r="P25" i="29"/>
  <c r="E26" i="3"/>
  <c r="CI35" i="29"/>
  <c r="CI38" i="29" s="1"/>
  <c r="BU35" i="29"/>
  <c r="BU36" i="29" s="1"/>
  <c r="K19" i="3"/>
  <c r="BS35" i="29"/>
  <c r="BS38" i="29" s="1"/>
  <c r="BS25" i="29"/>
  <c r="I25" i="29"/>
  <c r="BF53" i="29"/>
  <c r="BF54" i="29" s="1"/>
  <c r="BH25" i="29"/>
  <c r="H38" i="3"/>
  <c r="M38" i="3" s="1"/>
  <c r="CI49" i="29"/>
  <c r="CI50" i="29" s="1"/>
  <c r="BJ35" i="29"/>
  <c r="BJ36" i="29" s="1"/>
  <c r="H22" i="3"/>
  <c r="M22" i="3" s="1"/>
  <c r="BJ25" i="29"/>
  <c r="CM35" i="29"/>
  <c r="CM36" i="29" s="1"/>
  <c r="CM49" i="29"/>
  <c r="CM50" i="29" s="1"/>
  <c r="CM25" i="29"/>
  <c r="BJ49" i="29"/>
  <c r="BJ53" i="29" s="1"/>
  <c r="CB35" i="29"/>
  <c r="CB36" i="29" s="1"/>
  <c r="CB25" i="29"/>
  <c r="E20" i="3"/>
  <c r="BD25" i="29"/>
  <c r="J25" i="29"/>
  <c r="I35" i="29"/>
  <c r="I36" i="29" s="1"/>
  <c r="BD35" i="29"/>
  <c r="BD38" i="29" s="1"/>
  <c r="AG53" i="29"/>
  <c r="AG54" i="29" s="1"/>
  <c r="AX53" i="29"/>
  <c r="AX57" i="29" s="1"/>
  <c r="AX58" i="29" s="1"/>
  <c r="E40" i="3"/>
  <c r="F25" i="29"/>
  <c r="BD49" i="29"/>
  <c r="BD50" i="29" s="1"/>
  <c r="F35" i="29"/>
  <c r="F36" i="29" s="1"/>
  <c r="H35" i="3"/>
  <c r="M35" i="3" s="1"/>
  <c r="L25" i="29"/>
  <c r="E22" i="3"/>
  <c r="AL53" i="29"/>
  <c r="AL57" i="29" s="1"/>
  <c r="AL58" i="29" s="1"/>
  <c r="AE49" i="29"/>
  <c r="AE50" i="29" s="1"/>
  <c r="I50" i="29"/>
  <c r="AK53" i="29"/>
  <c r="AK57" i="29" s="1"/>
  <c r="AK58" i="29" s="1"/>
  <c r="CB49" i="29"/>
  <c r="CB50" i="29" s="1"/>
  <c r="U50" i="29"/>
  <c r="AR50" i="29"/>
  <c r="AC25" i="29"/>
  <c r="BX25" i="29"/>
  <c r="BE35" i="29"/>
  <c r="BE38" i="29" s="1"/>
  <c r="BI35" i="29"/>
  <c r="BI36" i="29" s="1"/>
  <c r="AD35" i="29"/>
  <c r="AD36" i="29" s="1"/>
  <c r="H39" i="3"/>
  <c r="M39" i="3" s="1"/>
  <c r="I20" i="5"/>
  <c r="AC49" i="29"/>
  <c r="AC50" i="29" s="1"/>
  <c r="AB25" i="29"/>
  <c r="AE25" i="29"/>
  <c r="AE35" i="29"/>
  <c r="AE38" i="29" s="1"/>
  <c r="BW53" i="29"/>
  <c r="BW54" i="29" s="1"/>
  <c r="CP53" i="29"/>
  <c r="CP54" i="29" s="1"/>
  <c r="CJ50" i="29"/>
  <c r="AW53" i="29"/>
  <c r="AW57" i="29" s="1"/>
  <c r="AW58" i="29" s="1"/>
  <c r="CH50" i="29"/>
  <c r="BR53" i="29"/>
  <c r="BR57" i="29" s="1"/>
  <c r="BR58" i="29" s="1"/>
  <c r="W53" i="29"/>
  <c r="W57" i="29" s="1"/>
  <c r="W58" i="29" s="1"/>
  <c r="AS50" i="29"/>
  <c r="X53" i="29"/>
  <c r="X57" i="29" s="1"/>
  <c r="X58" i="29" s="1"/>
  <c r="BX35" i="29"/>
  <c r="BX36" i="29" s="1"/>
  <c r="BQ50" i="29"/>
  <c r="G21" i="5"/>
  <c r="AJ35" i="29"/>
  <c r="AJ38" i="29" s="1"/>
  <c r="CQ50" i="29"/>
  <c r="Y35" i="29"/>
  <c r="Y36" i="29" s="1"/>
  <c r="AJ25" i="29"/>
  <c r="G22" i="5" s="1"/>
  <c r="H53" i="29"/>
  <c r="H57" i="29" s="1"/>
  <c r="H58" i="29" s="1"/>
  <c r="BT50" i="29"/>
  <c r="AB35" i="29"/>
  <c r="AB36" i="29" s="1"/>
  <c r="Y25" i="29"/>
  <c r="Y49" i="29"/>
  <c r="Y53" i="29" s="1"/>
  <c r="AB49" i="29"/>
  <c r="AB50" i="29" s="1"/>
  <c r="BE53" i="29"/>
  <c r="BE54" i="29" s="1"/>
  <c r="G50" i="29"/>
  <c r="R53" i="29"/>
  <c r="R54" i="29" s="1"/>
  <c r="AD53" i="29"/>
  <c r="AD54" i="29" s="1"/>
  <c r="CT49" i="29"/>
  <c r="CT53" i="29" s="1"/>
  <c r="BP50" i="29"/>
  <c r="L19" i="5"/>
  <c r="AN50" i="29"/>
  <c r="D53" i="29"/>
  <c r="D57" i="29" s="1"/>
  <c r="D58" i="29" s="1"/>
  <c r="BG53" i="29"/>
  <c r="BG54" i="29" s="1"/>
  <c r="BZ49" i="29"/>
  <c r="BZ53" i="29" s="1"/>
  <c r="BV50" i="29"/>
  <c r="CE53" i="29"/>
  <c r="CE50" i="29"/>
  <c r="Q91" i="14"/>
  <c r="Q93" i="14" s="1"/>
  <c r="Q92" i="14"/>
  <c r="BY50" i="29"/>
  <c r="BY53" i="29"/>
  <c r="T36" i="29"/>
  <c r="T38" i="29"/>
  <c r="Q50" i="29"/>
  <c r="Q53" i="29"/>
  <c r="CS50" i="29"/>
  <c r="CS53" i="29"/>
  <c r="AQ50" i="29"/>
  <c r="AQ53" i="29"/>
  <c r="P36" i="29"/>
  <c r="P38" i="29"/>
  <c r="BP38" i="29"/>
  <c r="BP36" i="29"/>
  <c r="AN38" i="29"/>
  <c r="AN36" i="29"/>
  <c r="G36" i="29"/>
  <c r="G38" i="29"/>
  <c r="CG36" i="29"/>
  <c r="CG38" i="29"/>
  <c r="CL54" i="29"/>
  <c r="CL57" i="29"/>
  <c r="CL58" i="29" s="1"/>
  <c r="V50" i="29"/>
  <c r="V53" i="29"/>
  <c r="BH36" i="29"/>
  <c r="BH38" i="29"/>
  <c r="BM36" i="29"/>
  <c r="BM38" i="29"/>
  <c r="AG36" i="29"/>
  <c r="AG38" i="29"/>
  <c r="CC38" i="29"/>
  <c r="CC36" i="29"/>
  <c r="CP36" i="29"/>
  <c r="CP38" i="29"/>
  <c r="J50" i="29"/>
  <c r="J53" i="29"/>
  <c r="CH38" i="29"/>
  <c r="CH36" i="29"/>
  <c r="BF38" i="29"/>
  <c r="BF36" i="29"/>
  <c r="CJ36" i="29"/>
  <c r="CJ38" i="29"/>
  <c r="AS36" i="29"/>
  <c r="AS38" i="29"/>
  <c r="AY38" i="29"/>
  <c r="AY36" i="29"/>
  <c r="AV50" i="29"/>
  <c r="AV53" i="29"/>
  <c r="BT57" i="29"/>
  <c r="BT58" i="29" s="1"/>
  <c r="BT54" i="29"/>
  <c r="CJ54" i="29"/>
  <c r="CJ57" i="29"/>
  <c r="CJ58" i="29" s="1"/>
  <c r="BC53" i="29"/>
  <c r="BC50" i="29"/>
  <c r="BR38" i="29"/>
  <c r="BR36" i="29"/>
  <c r="L38" i="29"/>
  <c r="L36" i="29"/>
  <c r="CF50" i="29"/>
  <c r="CF53" i="29"/>
  <c r="CG57" i="29"/>
  <c r="CG58" i="29" s="1"/>
  <c r="CG54" i="29"/>
  <c r="BT36" i="29"/>
  <c r="BT38" i="29"/>
  <c r="BS53" i="29"/>
  <c r="BS50" i="29"/>
  <c r="BA38" i="29"/>
  <c r="BA36" i="29"/>
  <c r="F20" i="5"/>
  <c r="AZ53" i="29"/>
  <c r="AZ50" i="29"/>
  <c r="CE36" i="29"/>
  <c r="CE38" i="29"/>
  <c r="BQ57" i="29"/>
  <c r="BQ58" i="29" s="1"/>
  <c r="BQ54" i="29"/>
  <c r="BQ36" i="29"/>
  <c r="BQ38" i="29"/>
  <c r="X36" i="29"/>
  <c r="X38" i="29"/>
  <c r="O36" i="29"/>
  <c r="O38" i="29"/>
  <c r="P92" i="14"/>
  <c r="P91" i="14"/>
  <c r="P93" i="14" s="1"/>
  <c r="AU53" i="29"/>
  <c r="AU50" i="29"/>
  <c r="H38" i="29"/>
  <c r="H36" i="29"/>
  <c r="AU36" i="29"/>
  <c r="AU38" i="29"/>
  <c r="H43" i="3"/>
  <c r="M43" i="3" s="1"/>
  <c r="I21" i="5"/>
  <c r="BN25" i="29"/>
  <c r="I22" i="5" s="1"/>
  <c r="BN35" i="29"/>
  <c r="Q36" i="29"/>
  <c r="Q38" i="29"/>
  <c r="E43" i="3"/>
  <c r="AH25" i="29"/>
  <c r="AH35" i="29"/>
  <c r="BB36" i="29"/>
  <c r="BB38" i="29"/>
  <c r="Z38" i="29"/>
  <c r="Z36" i="29"/>
  <c r="CF36" i="29"/>
  <c r="CF38" i="29"/>
  <c r="CT35" i="29"/>
  <c r="CT25" i="29"/>
  <c r="K43" i="3"/>
  <c r="CH57" i="29"/>
  <c r="CH58" i="29" s="1"/>
  <c r="CH54" i="29"/>
  <c r="T53" i="29"/>
  <c r="T50" i="29"/>
  <c r="CK50" i="29"/>
  <c r="CK53" i="29"/>
  <c r="CN53" i="29"/>
  <c r="CN50" i="29"/>
  <c r="J36" i="29"/>
  <c r="J38" i="29"/>
  <c r="BK38" i="29"/>
  <c r="BK36" i="29"/>
  <c r="CA38" i="29"/>
  <c r="CA36" i="29"/>
  <c r="BU53" i="29"/>
  <c r="BU50" i="29"/>
  <c r="I54" i="29"/>
  <c r="I57" i="29"/>
  <c r="I58" i="29" s="1"/>
  <c r="L53" i="29"/>
  <c r="L50" i="29"/>
  <c r="CO53" i="29"/>
  <c r="CO50" i="29"/>
  <c r="AW36" i="29"/>
  <c r="AW38" i="29"/>
  <c r="AZ36" i="29"/>
  <c r="AZ38" i="29"/>
  <c r="CQ54" i="29"/>
  <c r="CQ57" i="29"/>
  <c r="CQ58" i="29" s="1"/>
  <c r="AK38" i="29"/>
  <c r="AK36" i="29"/>
  <c r="P50" i="29"/>
  <c r="P53" i="29"/>
  <c r="D36" i="29"/>
  <c r="D38" i="29"/>
  <c r="K53" i="29"/>
  <c r="K50" i="29"/>
  <c r="CA50" i="29"/>
  <c r="CA53" i="29"/>
  <c r="E36" i="29"/>
  <c r="E38" i="29"/>
  <c r="AQ36" i="29"/>
  <c r="AQ38" i="29"/>
  <c r="Z57" i="29"/>
  <c r="Z58" i="29" s="1"/>
  <c r="Z54" i="29"/>
  <c r="AP53" i="29"/>
  <c r="AP50" i="29"/>
  <c r="S50" i="29"/>
  <c r="S53" i="29"/>
  <c r="BP57" i="29"/>
  <c r="BP58" i="29" s="1"/>
  <c r="BP54" i="29"/>
  <c r="BN49" i="29"/>
  <c r="CK36" i="29"/>
  <c r="CK38" i="29"/>
  <c r="BA53" i="29"/>
  <c r="BA50" i="29"/>
  <c r="CD36" i="29"/>
  <c r="CD38" i="29"/>
  <c r="AM38" i="29"/>
  <c r="AM36" i="29"/>
  <c r="U57" i="29"/>
  <c r="U58" i="29" s="1"/>
  <c r="U54" i="29"/>
  <c r="AM50" i="29"/>
  <c r="AM53" i="29"/>
  <c r="AT25" i="29"/>
  <c r="F22" i="5" s="1"/>
  <c r="AT35" i="29"/>
  <c r="F21" i="5"/>
  <c r="H24" i="3"/>
  <c r="M24" i="3" s="1"/>
  <c r="BK50" i="29"/>
  <c r="BK53" i="29"/>
  <c r="K38" i="29"/>
  <c r="K36" i="29"/>
  <c r="V36" i="29"/>
  <c r="V38" i="29"/>
  <c r="BI54" i="29"/>
  <c r="BI57" i="29"/>
  <c r="BI58" i="29" s="1"/>
  <c r="F53" i="29"/>
  <c r="F50" i="29"/>
  <c r="AX38" i="29"/>
  <c r="AX36" i="29"/>
  <c r="BC36" i="29"/>
  <c r="BC38" i="29"/>
  <c r="AH49" i="29"/>
  <c r="BB53" i="29"/>
  <c r="BB50" i="29"/>
  <c r="M53" i="29"/>
  <c r="M50" i="29"/>
  <c r="U38" i="29"/>
  <c r="U36" i="29"/>
  <c r="AJ50" i="29"/>
  <c r="AJ53" i="29"/>
  <c r="CL36" i="29"/>
  <c r="CL38" i="29"/>
  <c r="G57" i="29"/>
  <c r="G58" i="29" s="1"/>
  <c r="G54" i="29"/>
  <c r="BZ35" i="29"/>
  <c r="K24" i="3"/>
  <c r="BZ25" i="29"/>
  <c r="CQ38" i="29"/>
  <c r="CQ36" i="29"/>
  <c r="AT49" i="29"/>
  <c r="AO50" i="29"/>
  <c r="AO53" i="29"/>
  <c r="N25" i="29"/>
  <c r="E24" i="3"/>
  <c r="N35" i="29"/>
  <c r="CS36" i="29"/>
  <c r="CS38" i="29"/>
  <c r="AP38" i="29"/>
  <c r="AP36" i="29"/>
  <c r="W38" i="29"/>
  <c r="W36" i="29"/>
  <c r="AA50" i="29"/>
  <c r="AA53" i="29"/>
  <c r="BH57" i="29"/>
  <c r="BH58" i="29" s="1"/>
  <c r="BH54" i="29"/>
  <c r="R36" i="29"/>
  <c r="R38" i="29"/>
  <c r="M38" i="29"/>
  <c r="M36" i="29"/>
  <c r="AA38" i="29"/>
  <c r="AA36" i="29"/>
  <c r="CC53" i="29"/>
  <c r="CC50" i="29"/>
  <c r="O50" i="29"/>
  <c r="O53" i="29"/>
  <c r="BY36" i="29"/>
  <c r="BY38" i="29"/>
  <c r="AL36" i="29"/>
  <c r="AL38" i="29"/>
  <c r="BM50" i="29"/>
  <c r="BM53" i="29"/>
  <c r="AY50" i="29"/>
  <c r="AY53" i="29"/>
  <c r="AO36" i="29"/>
  <c r="AO38" i="29"/>
  <c r="AN57" i="29"/>
  <c r="AN58" i="29" s="1"/>
  <c r="AN54" i="29"/>
  <c r="AV36" i="29"/>
  <c r="AV38" i="29"/>
  <c r="BX50" i="29"/>
  <c r="BX53" i="29"/>
  <c r="BG36" i="29"/>
  <c r="BG38" i="29"/>
  <c r="BV54" i="29"/>
  <c r="BV57" i="29"/>
  <c r="BV58" i="29" s="1"/>
  <c r="N49" i="29"/>
  <c r="CN36" i="29"/>
  <c r="CN38" i="29"/>
  <c r="AS57" i="29"/>
  <c r="AS58" i="29" s="1"/>
  <c r="AS54" i="29"/>
  <c r="S36" i="29"/>
  <c r="S38" i="29"/>
  <c r="BV38" i="29"/>
  <c r="BV36" i="29"/>
  <c r="E50" i="29"/>
  <c r="E53" i="29"/>
  <c r="AR57" i="29"/>
  <c r="AR58" i="29" s="1"/>
  <c r="AR54" i="29"/>
  <c r="BW38" i="29"/>
  <c r="BW36" i="29"/>
  <c r="CD53" i="29"/>
  <c r="CD50" i="29"/>
  <c r="CO38" i="29"/>
  <c r="CO36" i="29"/>
  <c r="AC38" i="29" l="1"/>
  <c r="BF57" i="29"/>
  <c r="BF58" i="29" s="1"/>
  <c r="AR36" i="29"/>
  <c r="CI36" i="29"/>
  <c r="CM38" i="29"/>
  <c r="CM42" i="29" s="1"/>
  <c r="BU38" i="29"/>
  <c r="BS36" i="29"/>
  <c r="BJ50" i="29"/>
  <c r="CI53" i="29"/>
  <c r="CI54" i="29" s="1"/>
  <c r="BJ38" i="29"/>
  <c r="BJ42" i="29" s="1"/>
  <c r="CM53" i="29"/>
  <c r="CM57" i="29" s="1"/>
  <c r="CM58" i="29" s="1"/>
  <c r="CB38" i="29"/>
  <c r="CB44" i="29" s="1"/>
  <c r="CB45" i="29" s="1"/>
  <c r="CB46" i="29" s="1"/>
  <c r="BR54" i="29"/>
  <c r="AL54" i="29"/>
  <c r="F38" i="29"/>
  <c r="F44" i="29" s="1"/>
  <c r="F45" i="29" s="1"/>
  <c r="F46" i="29" s="1"/>
  <c r="I38" i="29"/>
  <c r="I44" i="29" s="1"/>
  <c r="I45" i="29" s="1"/>
  <c r="I46" i="29" s="1"/>
  <c r="AG57" i="29"/>
  <c r="AG58" i="29" s="1"/>
  <c r="BD36" i="29"/>
  <c r="AE53" i="29"/>
  <c r="AE54" i="29" s="1"/>
  <c r="AX54" i="29"/>
  <c r="BD53" i="29"/>
  <c r="BD54" i="29" s="1"/>
  <c r="CB53" i="29"/>
  <c r="CB54" i="29" s="1"/>
  <c r="BW57" i="29"/>
  <c r="BW58" i="29" s="1"/>
  <c r="AK54" i="29"/>
  <c r="BE36" i="29"/>
  <c r="L20" i="5"/>
  <c r="BI38" i="29"/>
  <c r="BI39" i="29" s="1"/>
  <c r="AW54" i="29"/>
  <c r="AD38" i="29"/>
  <c r="AD42" i="29" s="1"/>
  <c r="AC53" i="29"/>
  <c r="AC57" i="29" s="1"/>
  <c r="AC58" i="29" s="1"/>
  <c r="AE36" i="29"/>
  <c r="CP57" i="29"/>
  <c r="CP58" i="29" s="1"/>
  <c r="W54" i="29"/>
  <c r="Y50" i="29"/>
  <c r="X54" i="29"/>
  <c r="BE57" i="29"/>
  <c r="BE58" i="29" s="1"/>
  <c r="AB38" i="29"/>
  <c r="AB44" i="29" s="1"/>
  <c r="AB45" i="29" s="1"/>
  <c r="AB46" i="29" s="1"/>
  <c r="BX38" i="29"/>
  <c r="BX39" i="29" s="1"/>
  <c r="AB53" i="29"/>
  <c r="AB54" i="29" s="1"/>
  <c r="D54" i="29"/>
  <c r="H54" i="29"/>
  <c r="Y38" i="29"/>
  <c r="Y44" i="29" s="1"/>
  <c r="Y45" i="29" s="1"/>
  <c r="Y46" i="29" s="1"/>
  <c r="CT50" i="29"/>
  <c r="AJ36" i="29"/>
  <c r="AD57" i="29"/>
  <c r="AD58" i="29" s="1"/>
  <c r="R57" i="29"/>
  <c r="R58" i="29" s="1"/>
  <c r="BG57" i="29"/>
  <c r="BG58" i="29" s="1"/>
  <c r="BZ50" i="29"/>
  <c r="J21" i="5"/>
  <c r="J22" i="5"/>
  <c r="L22" i="5"/>
  <c r="L21" i="5"/>
  <c r="CI44" i="29"/>
  <c r="CI45" i="29" s="1"/>
  <c r="CI46" i="29" s="1"/>
  <c r="CI39" i="29"/>
  <c r="CI42" i="29"/>
  <c r="K54" i="29"/>
  <c r="K57" i="29"/>
  <c r="K58" i="29" s="1"/>
  <c r="AK39" i="29"/>
  <c r="AK42" i="29"/>
  <c r="AK44" i="29"/>
  <c r="AK45" i="29" s="1"/>
  <c r="AK46" i="29" s="1"/>
  <c r="X44" i="29"/>
  <c r="X45" i="29" s="1"/>
  <c r="X46" i="29" s="1"/>
  <c r="X39" i="29"/>
  <c r="X42" i="29"/>
  <c r="BC57" i="29"/>
  <c r="BC58" i="29" s="1"/>
  <c r="BC54" i="29"/>
  <c r="CJ44" i="29"/>
  <c r="CJ45" i="29" s="1"/>
  <c r="CJ46" i="29" s="1"/>
  <c r="CJ42" i="29"/>
  <c r="CJ39" i="29"/>
  <c r="F42" i="29"/>
  <c r="BH42" i="29"/>
  <c r="BH44" i="29"/>
  <c r="BH45" i="29" s="1"/>
  <c r="BH46" i="29" s="1"/>
  <c r="BH39" i="29"/>
  <c r="CG42" i="29"/>
  <c r="CG39" i="29"/>
  <c r="CG44" i="29"/>
  <c r="CG45" i="29" s="1"/>
  <c r="CG46" i="29" s="1"/>
  <c r="AQ57" i="29"/>
  <c r="AQ58" i="29" s="1"/>
  <c r="AQ54" i="29"/>
  <c r="BY54" i="29"/>
  <c r="BY57" i="29"/>
  <c r="BY58" i="29" s="1"/>
  <c r="BV39" i="29"/>
  <c r="BV42" i="29"/>
  <c r="BV44" i="29"/>
  <c r="BV45" i="29" s="1"/>
  <c r="BV46" i="29" s="1"/>
  <c r="R44" i="29"/>
  <c r="R45" i="29" s="1"/>
  <c r="R46" i="29" s="1"/>
  <c r="R39" i="29"/>
  <c r="R42" i="29"/>
  <c r="AJ54" i="29"/>
  <c r="AJ57" i="29"/>
  <c r="AJ58" i="29" s="1"/>
  <c r="K39" i="29"/>
  <c r="K44" i="29"/>
  <c r="K45" i="29" s="1"/>
  <c r="K46" i="29" s="1"/>
  <c r="K42" i="29"/>
  <c r="BS44" i="29"/>
  <c r="BS45" i="29" s="1"/>
  <c r="BS46" i="29" s="1"/>
  <c r="BS42" i="29"/>
  <c r="BS39" i="29"/>
  <c r="E39" i="29"/>
  <c r="E44" i="29"/>
  <c r="E45" i="29" s="1"/>
  <c r="E46" i="29" s="1"/>
  <c r="E42" i="29"/>
  <c r="J44" i="29"/>
  <c r="J45" i="29" s="1"/>
  <c r="J46" i="29" s="1"/>
  <c r="J42" i="29"/>
  <c r="J39" i="29"/>
  <c r="CC39" i="29"/>
  <c r="CC42" i="29"/>
  <c r="CC44" i="29"/>
  <c r="CC45" i="29" s="1"/>
  <c r="CC46" i="29" s="1"/>
  <c r="BP44" i="29"/>
  <c r="BP45" i="29" s="1"/>
  <c r="BP46" i="29" s="1"/>
  <c r="BP39" i="29"/>
  <c r="BP42" i="29"/>
  <c r="AY57" i="29"/>
  <c r="AY58" i="29" s="1"/>
  <c r="AY54" i="29"/>
  <c r="Y57" i="29"/>
  <c r="Y58" i="29" s="1"/>
  <c r="Y54" i="29"/>
  <c r="T57" i="29"/>
  <c r="T58" i="29" s="1"/>
  <c r="T54" i="29"/>
  <c r="AH36" i="29"/>
  <c r="AH38" i="29"/>
  <c r="CE42" i="29"/>
  <c r="CE39" i="29"/>
  <c r="CE44" i="29"/>
  <c r="CE45" i="29" s="1"/>
  <c r="CE46" i="29" s="1"/>
  <c r="BA42" i="29"/>
  <c r="BA44" i="29"/>
  <c r="BA45" i="29" s="1"/>
  <c r="BA46" i="29" s="1"/>
  <c r="BA39" i="29"/>
  <c r="BS54" i="29"/>
  <c r="BS57" i="29"/>
  <c r="BS58" i="29" s="1"/>
  <c r="V54" i="29"/>
  <c r="V57" i="29"/>
  <c r="V58" i="29" s="1"/>
  <c r="G44" i="29"/>
  <c r="G45" i="29" s="1"/>
  <c r="G46" i="29" s="1"/>
  <c r="G42" i="29"/>
  <c r="G39" i="29"/>
  <c r="CS57" i="29"/>
  <c r="CS58" i="29" s="1"/>
  <c r="CS54" i="29"/>
  <c r="AA39" i="29"/>
  <c r="AA42" i="29"/>
  <c r="AA44" i="29"/>
  <c r="AA45" i="29" s="1"/>
  <c r="AA46" i="29" s="1"/>
  <c r="BF44" i="29"/>
  <c r="BF45" i="29" s="1"/>
  <c r="BF46" i="29" s="1"/>
  <c r="BF42" i="29"/>
  <c r="BF39" i="29"/>
  <c r="CN44" i="29"/>
  <c r="CN45" i="29" s="1"/>
  <c r="CN46" i="29" s="1"/>
  <c r="CN39" i="29"/>
  <c r="CN42" i="29"/>
  <c r="U39" i="29"/>
  <c r="U42" i="29"/>
  <c r="U44" i="29"/>
  <c r="U45" i="29" s="1"/>
  <c r="U46" i="29" s="1"/>
  <c r="BK54" i="29"/>
  <c r="BK57" i="29"/>
  <c r="BK58" i="29" s="1"/>
  <c r="AV57" i="29"/>
  <c r="AV58" i="29" s="1"/>
  <c r="AV54" i="29"/>
  <c r="N50" i="29"/>
  <c r="N53" i="29"/>
  <c r="CK44" i="29"/>
  <c r="CK45" i="29" s="1"/>
  <c r="CK46" i="29" s="1"/>
  <c r="CK42" i="29"/>
  <c r="CK39" i="29"/>
  <c r="CO42" i="29"/>
  <c r="CO39" i="29"/>
  <c r="CO44" i="29"/>
  <c r="CO45" i="29" s="1"/>
  <c r="CO46" i="29" s="1"/>
  <c r="AA54" i="29"/>
  <c r="AA57" i="29"/>
  <c r="AA58" i="29" s="1"/>
  <c r="AM39" i="29"/>
  <c r="AM42" i="29"/>
  <c r="AM44" i="29"/>
  <c r="AM45" i="29" s="1"/>
  <c r="AM46" i="29" s="1"/>
  <c r="P57" i="29"/>
  <c r="P58" i="29" s="1"/>
  <c r="P54" i="29"/>
  <c r="AZ39" i="29"/>
  <c r="AZ44" i="29"/>
  <c r="AZ45" i="29" s="1"/>
  <c r="AZ46" i="29" s="1"/>
  <c r="AZ42" i="29"/>
  <c r="CT38" i="29"/>
  <c r="CT36" i="29"/>
  <c r="CF54" i="29"/>
  <c r="CF57" i="29"/>
  <c r="CF58" i="29" s="1"/>
  <c r="CD57" i="29"/>
  <c r="CD58" i="29" s="1"/>
  <c r="CD54" i="29"/>
  <c r="O57" i="29"/>
  <c r="O58" i="29" s="1"/>
  <c r="O54" i="29"/>
  <c r="AO57" i="29"/>
  <c r="AO58" i="29" s="1"/>
  <c r="AO54" i="29"/>
  <c r="Q44" i="29"/>
  <c r="Q45" i="29" s="1"/>
  <c r="Q46" i="29" s="1"/>
  <c r="Q39" i="29"/>
  <c r="Q42" i="29"/>
  <c r="AU57" i="29"/>
  <c r="AU58" i="29" s="1"/>
  <c r="AU54" i="29"/>
  <c r="CH39" i="29"/>
  <c r="CH42" i="29"/>
  <c r="CH44" i="29"/>
  <c r="CH45" i="29" s="1"/>
  <c r="CH46" i="29" s="1"/>
  <c r="CE54" i="29"/>
  <c r="CE57" i="29"/>
  <c r="CE58" i="29" s="1"/>
  <c r="Q57" i="29"/>
  <c r="Q58" i="29" s="1"/>
  <c r="Q54" i="29"/>
  <c r="CC57" i="29"/>
  <c r="CC58" i="29" s="1"/>
  <c r="CC54" i="29"/>
  <c r="BB54" i="29"/>
  <c r="BB57" i="29"/>
  <c r="BB58" i="29" s="1"/>
  <c r="BN50" i="29"/>
  <c r="BN53" i="29"/>
  <c r="AP57" i="29"/>
  <c r="AP58" i="29" s="1"/>
  <c r="AP54" i="29"/>
  <c r="CA42" i="29"/>
  <c r="CA39" i="29"/>
  <c r="CA44" i="29"/>
  <c r="CA45" i="29" s="1"/>
  <c r="CA46" i="29" s="1"/>
  <c r="BZ54" i="29"/>
  <c r="BZ57" i="29"/>
  <c r="BZ58" i="29" s="1"/>
  <c r="BR44" i="29"/>
  <c r="BR45" i="29" s="1"/>
  <c r="BR46" i="29" s="1"/>
  <c r="BR39" i="29"/>
  <c r="BR42" i="29"/>
  <c r="BM39" i="29"/>
  <c r="BM42" i="29"/>
  <c r="BM44" i="29"/>
  <c r="BM45" i="29" s="1"/>
  <c r="BM46" i="29" s="1"/>
  <c r="T39" i="29"/>
  <c r="T42" i="29"/>
  <c r="T44" i="29"/>
  <c r="T45" i="29" s="1"/>
  <c r="T46" i="29" s="1"/>
  <c r="BY39" i="29"/>
  <c r="BY42" i="29"/>
  <c r="BY44" i="29"/>
  <c r="BY45" i="29" s="1"/>
  <c r="BY46" i="29" s="1"/>
  <c r="AM54" i="29"/>
  <c r="AM57" i="29"/>
  <c r="AM58" i="29" s="1"/>
  <c r="H44" i="29"/>
  <c r="H45" i="29" s="1"/>
  <c r="H46" i="29" s="1"/>
  <c r="H42" i="29"/>
  <c r="H39" i="29"/>
  <c r="BT44" i="29"/>
  <c r="BT45" i="29" s="1"/>
  <c r="BT46" i="29" s="1"/>
  <c r="BT39" i="29"/>
  <c r="BT42" i="29"/>
  <c r="M44" i="29"/>
  <c r="M45" i="29" s="1"/>
  <c r="M46" i="29" s="1"/>
  <c r="M42" i="29"/>
  <c r="M39" i="29"/>
  <c r="CF39" i="29"/>
  <c r="CF42" i="29"/>
  <c r="CF44" i="29"/>
  <c r="CF45" i="29" s="1"/>
  <c r="CF46" i="29" s="1"/>
  <c r="P42" i="29"/>
  <c r="P39" i="29"/>
  <c r="P44" i="29"/>
  <c r="P45" i="29" s="1"/>
  <c r="P46" i="29" s="1"/>
  <c r="D39" i="29"/>
  <c r="D42" i="29"/>
  <c r="D44" i="29"/>
  <c r="D45" i="29" s="1"/>
  <c r="D46" i="29" s="1"/>
  <c r="CN57" i="29"/>
  <c r="CN58" i="29" s="1"/>
  <c r="CN54" i="29"/>
  <c r="I42" i="29"/>
  <c r="AT53" i="29"/>
  <c r="AT50" i="29"/>
  <c r="AC44" i="29"/>
  <c r="AC45" i="29" s="1"/>
  <c r="AC46" i="29" s="1"/>
  <c r="AC39" i="29"/>
  <c r="AC42" i="29"/>
  <c r="AT38" i="29"/>
  <c r="AT36" i="29"/>
  <c r="AE42" i="29"/>
  <c r="AE39" i="29"/>
  <c r="AE44" i="29"/>
  <c r="AE45" i="29" s="1"/>
  <c r="AE46" i="29" s="1"/>
  <c r="CA54" i="29"/>
  <c r="CA57" i="29"/>
  <c r="CA58" i="29" s="1"/>
  <c r="AW39" i="29"/>
  <c r="AW44" i="29"/>
  <c r="AW45" i="29" s="1"/>
  <c r="AW46" i="29" s="1"/>
  <c r="AW42" i="29"/>
  <c r="Z44" i="29"/>
  <c r="Z45" i="29" s="1"/>
  <c r="Z46" i="29" s="1"/>
  <c r="Z39" i="29"/>
  <c r="Z42" i="29"/>
  <c r="BD42" i="29"/>
  <c r="BD39" i="29"/>
  <c r="BD44" i="29"/>
  <c r="BD45" i="29" s="1"/>
  <c r="BD46" i="29" s="1"/>
  <c r="AZ54" i="29"/>
  <c r="AZ57" i="29"/>
  <c r="AZ58" i="29" s="1"/>
  <c r="AY42" i="29"/>
  <c r="AY39" i="29"/>
  <c r="AY44" i="29"/>
  <c r="AY45" i="29" s="1"/>
  <c r="AY46" i="29" s="1"/>
  <c r="AO44" i="29"/>
  <c r="AO45" i="29" s="1"/>
  <c r="AO46" i="29" s="1"/>
  <c r="AO42" i="29"/>
  <c r="AO39" i="29"/>
  <c r="AP44" i="29"/>
  <c r="AP45" i="29" s="1"/>
  <c r="AP46" i="29" s="1"/>
  <c r="AP39" i="29"/>
  <c r="AP42" i="29"/>
  <c r="CQ42" i="29"/>
  <c r="CQ39" i="29"/>
  <c r="CQ44" i="29"/>
  <c r="CQ45" i="29" s="1"/>
  <c r="CQ46" i="29" s="1"/>
  <c r="S57" i="29"/>
  <c r="S58" i="29" s="1"/>
  <c r="S54" i="29"/>
  <c r="BW42" i="29"/>
  <c r="BW39" i="29"/>
  <c r="BW44" i="29"/>
  <c r="BW45" i="29" s="1"/>
  <c r="BW46" i="29" s="1"/>
  <c r="BM57" i="29"/>
  <c r="BM58" i="29" s="1"/>
  <c r="BM54" i="29"/>
  <c r="CS39" i="29"/>
  <c r="CS44" i="29"/>
  <c r="CS45" i="29" s="1"/>
  <c r="CS46" i="29" s="1"/>
  <c r="CS42" i="29"/>
  <c r="AV39" i="29"/>
  <c r="AV42" i="29"/>
  <c r="AV44" i="29"/>
  <c r="AV45" i="29" s="1"/>
  <c r="AV46" i="29" s="1"/>
  <c r="W39" i="29"/>
  <c r="W42" i="29"/>
  <c r="W44" i="29"/>
  <c r="W45" i="29" s="1"/>
  <c r="W46" i="29" s="1"/>
  <c r="BZ36" i="29"/>
  <c r="BZ38" i="29"/>
  <c r="M54" i="29"/>
  <c r="M57" i="29"/>
  <c r="M58" i="29" s="1"/>
  <c r="CT57" i="29"/>
  <c r="CT58" i="29" s="1"/>
  <c r="CT54" i="29"/>
  <c r="CD42" i="29"/>
  <c r="CD44" i="29"/>
  <c r="CD45" i="29" s="1"/>
  <c r="CD46" i="29" s="1"/>
  <c r="CD39" i="29"/>
  <c r="L54" i="29"/>
  <c r="L57" i="29"/>
  <c r="L58" i="29" s="1"/>
  <c r="BK39" i="29"/>
  <c r="BK42" i="29"/>
  <c r="BK44" i="29"/>
  <c r="BK45" i="29" s="1"/>
  <c r="BK46" i="29" s="1"/>
  <c r="BB44" i="29"/>
  <c r="BB45" i="29" s="1"/>
  <c r="BB46" i="29" s="1"/>
  <c r="BB42" i="29"/>
  <c r="BB39" i="29"/>
  <c r="BE39" i="29"/>
  <c r="BE44" i="29"/>
  <c r="BE45" i="29" s="1"/>
  <c r="BE46" i="29" s="1"/>
  <c r="BE42" i="29"/>
  <c r="AU44" i="29"/>
  <c r="AU45" i="29" s="1"/>
  <c r="AU46" i="29" s="1"/>
  <c r="AU42" i="29"/>
  <c r="AU39" i="29"/>
  <c r="AR44" i="29"/>
  <c r="AR45" i="29" s="1"/>
  <c r="AR46" i="29" s="1"/>
  <c r="AR42" i="29"/>
  <c r="AR39" i="29"/>
  <c r="O44" i="29"/>
  <c r="O45" i="29" s="1"/>
  <c r="O46" i="29" s="1"/>
  <c r="O39" i="29"/>
  <c r="O42" i="29"/>
  <c r="AS44" i="29"/>
  <c r="AS45" i="29" s="1"/>
  <c r="AS46" i="29" s="1"/>
  <c r="AS42" i="29"/>
  <c r="AS39" i="29"/>
  <c r="BU44" i="29"/>
  <c r="BU45" i="29" s="1"/>
  <c r="BU46" i="29" s="1"/>
  <c r="BU42" i="29"/>
  <c r="BU39" i="29"/>
  <c r="CP39" i="29"/>
  <c r="CP44" i="29"/>
  <c r="CP45" i="29" s="1"/>
  <c r="CP46" i="29" s="1"/>
  <c r="CP42" i="29"/>
  <c r="AJ44" i="29"/>
  <c r="AJ45" i="29" s="1"/>
  <c r="AJ46" i="29" s="1"/>
  <c r="AJ39" i="29"/>
  <c r="AJ42" i="29"/>
  <c r="BC44" i="29"/>
  <c r="BC45" i="29" s="1"/>
  <c r="BC46" i="29" s="1"/>
  <c r="BC42" i="29"/>
  <c r="BC39" i="29"/>
  <c r="F57" i="29"/>
  <c r="F58" i="29" s="1"/>
  <c r="F54" i="29"/>
  <c r="CO54" i="29"/>
  <c r="CO57" i="29"/>
  <c r="CO58" i="29" s="1"/>
  <c r="J57" i="29"/>
  <c r="J58" i="29" s="1"/>
  <c r="J54" i="29"/>
  <c r="BA57" i="29"/>
  <c r="BA58" i="29" s="1"/>
  <c r="BA54" i="29"/>
  <c r="V39" i="29"/>
  <c r="V42" i="29"/>
  <c r="V44" i="29"/>
  <c r="V45" i="29" s="1"/>
  <c r="V46" i="29" s="1"/>
  <c r="BU54" i="29"/>
  <c r="BU57" i="29"/>
  <c r="BU58" i="29" s="1"/>
  <c r="BN36" i="29"/>
  <c r="BN38" i="29"/>
  <c r="BQ42" i="29"/>
  <c r="BQ39" i="29"/>
  <c r="BQ44" i="29"/>
  <c r="BQ45" i="29" s="1"/>
  <c r="BQ46" i="29" s="1"/>
  <c r="L42" i="29"/>
  <c r="L39" i="29"/>
  <c r="L44" i="29"/>
  <c r="L45" i="29" s="1"/>
  <c r="L46" i="29" s="1"/>
  <c r="AG44" i="29"/>
  <c r="AG45" i="29" s="1"/>
  <c r="AG46" i="29" s="1"/>
  <c r="AG42" i="29"/>
  <c r="AG39" i="29"/>
  <c r="N38" i="29"/>
  <c r="N36" i="29"/>
  <c r="BG42" i="29"/>
  <c r="BG44" i="29"/>
  <c r="BG45" i="29" s="1"/>
  <c r="BG46" i="29" s="1"/>
  <c r="BG39" i="29"/>
  <c r="E57" i="29"/>
  <c r="E58" i="29" s="1"/>
  <c r="E54" i="29"/>
  <c r="S42" i="29"/>
  <c r="S39" i="29"/>
  <c r="S44" i="29"/>
  <c r="S45" i="29" s="1"/>
  <c r="S46" i="29" s="1"/>
  <c r="BX57" i="29"/>
  <c r="BX58" i="29" s="1"/>
  <c r="BX54" i="29"/>
  <c r="AL44" i="29"/>
  <c r="AL45" i="29" s="1"/>
  <c r="AL46" i="29" s="1"/>
  <c r="AL39" i="29"/>
  <c r="AL42" i="29"/>
  <c r="CL44" i="29"/>
  <c r="CL45" i="29" s="1"/>
  <c r="CL46" i="29" s="1"/>
  <c r="CL42" i="29"/>
  <c r="CL39" i="29"/>
  <c r="AH53" i="29"/>
  <c r="AH50" i="29"/>
  <c r="AX42" i="29"/>
  <c r="AX39" i="29"/>
  <c r="AX44" i="29"/>
  <c r="AX45" i="29" s="1"/>
  <c r="AX46" i="29" s="1"/>
  <c r="AQ44" i="29"/>
  <c r="AQ45" i="29" s="1"/>
  <c r="AQ46" i="29" s="1"/>
  <c r="AQ39" i="29"/>
  <c r="AQ42" i="29"/>
  <c r="CK54" i="29"/>
  <c r="CK57" i="29"/>
  <c r="CK58" i="29" s="1"/>
  <c r="BJ54" i="29"/>
  <c r="BJ57" i="29"/>
  <c r="BJ58" i="29" s="1"/>
  <c r="AN44" i="29"/>
  <c r="AN45" i="29" s="1"/>
  <c r="AN46" i="29" s="1"/>
  <c r="AN42" i="29"/>
  <c r="AN39" i="29"/>
  <c r="CB42" i="29" l="1"/>
  <c r="CM39" i="29"/>
  <c r="CM44" i="29"/>
  <c r="CM45" i="29" s="1"/>
  <c r="CM46" i="29" s="1"/>
  <c r="BJ44" i="29"/>
  <c r="BJ45" i="29" s="1"/>
  <c r="BJ46" i="29" s="1"/>
  <c r="BJ39" i="29"/>
  <c r="CI57" i="29"/>
  <c r="CI58" i="29" s="1"/>
  <c r="CB39" i="29"/>
  <c r="AD44" i="29"/>
  <c r="AD45" i="29" s="1"/>
  <c r="AD46" i="29" s="1"/>
  <c r="I39" i="29"/>
  <c r="AD39" i="29"/>
  <c r="F39" i="29"/>
  <c r="CM54" i="29"/>
  <c r="CB57" i="29"/>
  <c r="CB58" i="29" s="1"/>
  <c r="AE57" i="29"/>
  <c r="AE58" i="29" s="1"/>
  <c r="BD57" i="29"/>
  <c r="BD58" i="29" s="1"/>
  <c r="BI44" i="29"/>
  <c r="BI45" i="29" s="1"/>
  <c r="BI46" i="29" s="1"/>
  <c r="BI42" i="29"/>
  <c r="AC54" i="29"/>
  <c r="BX44" i="29"/>
  <c r="BX45" i="29" s="1"/>
  <c r="BX46" i="29" s="1"/>
  <c r="AB42" i="29"/>
  <c r="AB39" i="29"/>
  <c r="BX42" i="29"/>
  <c r="AB57" i="29"/>
  <c r="AB58" i="29" s="1"/>
  <c r="Y39" i="29"/>
  <c r="Y42" i="29"/>
  <c r="N42" i="29"/>
  <c r="N44" i="29"/>
  <c r="N45" i="29" s="1"/>
  <c r="N46" i="29" s="1"/>
  <c r="N39" i="29"/>
  <c r="BZ42" i="29"/>
  <c r="BZ39" i="29"/>
  <c r="BZ44" i="29"/>
  <c r="BZ45" i="29" s="1"/>
  <c r="BZ46" i="29" s="1"/>
  <c r="AT39" i="29"/>
  <c r="AT42" i="29"/>
  <c r="AT44" i="29"/>
  <c r="AT45" i="29" s="1"/>
  <c r="AT46" i="29" s="1"/>
  <c r="AH39" i="29"/>
  <c r="AH42" i="29"/>
  <c r="AH44" i="29"/>
  <c r="AH45" i="29" s="1"/>
  <c r="AH46" i="29" s="1"/>
  <c r="AT57" i="29"/>
  <c r="AT58" i="29" s="1"/>
  <c r="AT54" i="29"/>
  <c r="AH57" i="29"/>
  <c r="AH58" i="29" s="1"/>
  <c r="AH54" i="29"/>
  <c r="BN44" i="29"/>
  <c r="BN45" i="29" s="1"/>
  <c r="BN46" i="29" s="1"/>
  <c r="BN39" i="29"/>
  <c r="BN42" i="29"/>
  <c r="BN57" i="29"/>
  <c r="BN58" i="29" s="1"/>
  <c r="BN54" i="29"/>
  <c r="CT44" i="29"/>
  <c r="CT45" i="29" s="1"/>
  <c r="CT46" i="29" s="1"/>
  <c r="CT42" i="29"/>
  <c r="CT39" i="29"/>
  <c r="N54" i="29"/>
  <c r="N57" i="29"/>
  <c r="N58" i="29" s="1"/>
  <c r="P13" i="30" l="1"/>
  <c r="O120" i="30" s="1"/>
  <c r="O67" i="30" l="1"/>
  <c r="P67" i="30" s="1"/>
  <c r="D24" i="90"/>
  <c r="G26" i="90" s="1"/>
  <c r="D24" i="92"/>
  <c r="G26" i="92" s="1"/>
  <c r="D24" i="96"/>
  <c r="G26" i="96" s="1"/>
  <c r="G25" i="96"/>
  <c r="O25" i="96" s="1"/>
  <c r="D24" i="94"/>
  <c r="G26" i="94" s="1"/>
  <c r="D24" i="80"/>
  <c r="G25" i="80" s="1"/>
  <c r="D24" i="65"/>
  <c r="D22" i="87"/>
  <c r="G24" i="87" s="1"/>
  <c r="D24" i="89"/>
  <c r="G26" i="89" s="1"/>
  <c r="D24" i="95"/>
  <c r="G26" i="95" s="1"/>
  <c r="D24" i="93"/>
  <c r="G26" i="93" s="1"/>
  <c r="G25" i="93"/>
  <c r="I25" i="93" s="1"/>
  <c r="D24" i="64"/>
  <c r="G26" i="64" s="1"/>
  <c r="G25" i="64"/>
  <c r="L25" i="64" s="1"/>
  <c r="D24" i="76"/>
  <c r="G26" i="76" s="1"/>
  <c r="G25" i="76"/>
  <c r="O25" i="76" s="1"/>
  <c r="D24" i="75"/>
  <c r="G26" i="75" s="1"/>
  <c r="D24" i="84"/>
  <c r="G26" i="84" s="1"/>
  <c r="D24" i="72"/>
  <c r="G26" i="72" s="1"/>
  <c r="D24" i="91"/>
  <c r="G26" i="91" s="1"/>
  <c r="D24" i="79"/>
  <c r="G26" i="79" s="1"/>
  <c r="D24" i="81"/>
  <c r="G26" i="81" s="1"/>
  <c r="D24" i="78"/>
  <c r="G26" i="78" s="1"/>
  <c r="D24" i="83"/>
  <c r="G26" i="83" s="1"/>
  <c r="D24" i="66"/>
  <c r="G26" i="66" s="1"/>
  <c r="D24" i="88"/>
  <c r="G26" i="88" s="1"/>
  <c r="D24" i="85"/>
  <c r="G26" i="85" s="1"/>
  <c r="D24" i="74"/>
  <c r="G26" i="74" s="1"/>
  <c r="D24" i="86"/>
  <c r="G26" i="86" s="1"/>
  <c r="D24" i="73"/>
  <c r="G26" i="73" s="1"/>
  <c r="D24" i="77"/>
  <c r="G26" i="77" s="1"/>
  <c r="D24" i="71"/>
  <c r="G26" i="71" s="1"/>
  <c r="G25" i="90" l="1"/>
  <c r="O25" i="90" s="1"/>
  <c r="G25" i="77"/>
  <c r="I25" i="77" s="1"/>
  <c r="G25" i="81"/>
  <c r="I25" i="81" s="1"/>
  <c r="G25" i="73"/>
  <c r="O25" i="73" s="1"/>
  <c r="G25" i="79"/>
  <c r="L25" i="79" s="1"/>
  <c r="G25" i="66"/>
  <c r="G25" i="85"/>
  <c r="L25" i="85" s="1"/>
  <c r="G25" i="88"/>
  <c r="L25" i="88" s="1"/>
  <c r="G25" i="91"/>
  <c r="O25" i="91" s="1"/>
  <c r="G25" i="95"/>
  <c r="O25" i="95" s="1"/>
  <c r="G23" i="87"/>
  <c r="I23" i="87" s="1"/>
  <c r="G26" i="80"/>
  <c r="L26" i="80" s="1"/>
  <c r="G25" i="86"/>
  <c r="I25" i="86" s="1"/>
  <c r="G25" i="74"/>
  <c r="O25" i="74" s="1"/>
  <c r="G25" i="78"/>
  <c r="G25" i="72"/>
  <c r="L25" i="72" s="1"/>
  <c r="G25" i="75"/>
  <c r="L25" i="75" s="1"/>
  <c r="I25" i="73"/>
  <c r="L26" i="86"/>
  <c r="I26" i="86"/>
  <c r="O26" i="86"/>
  <c r="I25" i="79"/>
  <c r="O25" i="79"/>
  <c r="L25" i="66"/>
  <c r="I26" i="79"/>
  <c r="O26" i="79"/>
  <c r="L26" i="79"/>
  <c r="L26" i="72"/>
  <c r="I26" i="72"/>
  <c r="O26" i="72"/>
  <c r="O25" i="77"/>
  <c r="I25" i="88"/>
  <c r="O25" i="88"/>
  <c r="O26" i="66"/>
  <c r="L26" i="66"/>
  <c r="I26" i="66"/>
  <c r="I26" i="74"/>
  <c r="O26" i="74"/>
  <c r="L26" i="74"/>
  <c r="L26" i="88"/>
  <c r="I26" i="88"/>
  <c r="O26" i="88"/>
  <c r="O25" i="81"/>
  <c r="L25" i="81"/>
  <c r="G25" i="83"/>
  <c r="I26" i="81"/>
  <c r="J23" i="81" s="1"/>
  <c r="L26" i="81"/>
  <c r="O26" i="81"/>
  <c r="O26" i="73"/>
  <c r="P23" i="73" s="1"/>
  <c r="I26" i="73"/>
  <c r="L26" i="73"/>
  <c r="I26" i="83"/>
  <c r="O26" i="83"/>
  <c r="L26" i="83"/>
  <c r="O26" i="75"/>
  <c r="L26" i="75"/>
  <c r="M23" i="75" s="1"/>
  <c r="I26" i="75"/>
  <c r="L25" i="76"/>
  <c r="I25" i="76"/>
  <c r="O25" i="93"/>
  <c r="L25" i="93"/>
  <c r="G25" i="84"/>
  <c r="O26" i="76"/>
  <c r="P23" i="76" s="1"/>
  <c r="I26" i="76"/>
  <c r="L26" i="76"/>
  <c r="O26" i="93"/>
  <c r="L26" i="93"/>
  <c r="I26" i="93"/>
  <c r="J23" i="93" s="1"/>
  <c r="L26" i="84"/>
  <c r="O26" i="84"/>
  <c r="I26" i="84"/>
  <c r="O25" i="64"/>
  <c r="I25" i="64"/>
  <c r="G25" i="71"/>
  <c r="O26" i="85"/>
  <c r="I26" i="85"/>
  <c r="L26" i="85"/>
  <c r="L26" i="91"/>
  <c r="O26" i="91"/>
  <c r="I26" i="91"/>
  <c r="I26" i="64"/>
  <c r="L26" i="64"/>
  <c r="M23" i="64" s="1"/>
  <c r="O26" i="64"/>
  <c r="I26" i="71"/>
  <c r="L26" i="71"/>
  <c r="O26" i="71"/>
  <c r="I26" i="77"/>
  <c r="J23" i="77" s="1"/>
  <c r="L26" i="77"/>
  <c r="O26" i="77"/>
  <c r="O26" i="78"/>
  <c r="L26" i="78"/>
  <c r="I26" i="78"/>
  <c r="G25" i="89"/>
  <c r="I26" i="89"/>
  <c r="L26" i="89"/>
  <c r="O26" i="89"/>
  <c r="L26" i="95"/>
  <c r="O26" i="95"/>
  <c r="I26" i="95"/>
  <c r="I24" i="87"/>
  <c r="L24" i="87"/>
  <c r="O24" i="87"/>
  <c r="I25" i="80"/>
  <c r="O25" i="80"/>
  <c r="L25" i="80"/>
  <c r="G26" i="65"/>
  <c r="G25" i="65"/>
  <c r="I25" i="96"/>
  <c r="L25" i="96"/>
  <c r="L26" i="96"/>
  <c r="I26" i="96"/>
  <c r="O26" i="96"/>
  <c r="P23" i="96" s="1"/>
  <c r="G25" i="94"/>
  <c r="O26" i="94"/>
  <c r="L26" i="94"/>
  <c r="I26" i="94"/>
  <c r="I25" i="90"/>
  <c r="L25" i="90"/>
  <c r="L26" i="90"/>
  <c r="O26" i="90"/>
  <c r="P23" i="90" s="1"/>
  <c r="I26" i="90"/>
  <c r="G25" i="92"/>
  <c r="O26" i="92"/>
  <c r="L26" i="92"/>
  <c r="I26" i="92"/>
  <c r="M23" i="79" l="1"/>
  <c r="L25" i="74"/>
  <c r="M23" i="85"/>
  <c r="M23" i="88"/>
  <c r="L25" i="77"/>
  <c r="P23" i="95"/>
  <c r="O25" i="85"/>
  <c r="P23" i="85" s="1"/>
  <c r="I25" i="85"/>
  <c r="J23" i="85" s="1"/>
  <c r="DN12" i="29" s="1"/>
  <c r="I26" i="80"/>
  <c r="J23" i="80" s="1"/>
  <c r="L23" i="87"/>
  <c r="M21" i="87" s="1"/>
  <c r="O23" i="87"/>
  <c r="P21" i="87" s="1"/>
  <c r="L25" i="86"/>
  <c r="M23" i="86" s="1"/>
  <c r="EM12" i="29" s="1"/>
  <c r="L25" i="73"/>
  <c r="M23" i="73" s="1"/>
  <c r="I25" i="95"/>
  <c r="J23" i="95" s="1"/>
  <c r="J23" i="88"/>
  <c r="DO12" i="29" s="1"/>
  <c r="O26" i="80"/>
  <c r="L25" i="95"/>
  <c r="M23" i="95" s="1"/>
  <c r="J21" i="87"/>
  <c r="O25" i="86"/>
  <c r="P23" i="86" s="1"/>
  <c r="FJ12" i="29" s="1"/>
  <c r="M23" i="77"/>
  <c r="ED12" i="29" s="1"/>
  <c r="J23" i="86"/>
  <c r="DP12" i="29" s="1"/>
  <c r="L25" i="91"/>
  <c r="M23" i="91" s="1"/>
  <c r="EO12" i="29" s="1"/>
  <c r="I25" i="91"/>
  <c r="J23" i="91" s="1"/>
  <c r="DR12" i="29" s="1"/>
  <c r="P23" i="74"/>
  <c r="EX12" i="29" s="1"/>
  <c r="M23" i="72"/>
  <c r="DZ12" i="29" s="1"/>
  <c r="I25" i="66"/>
  <c r="J23" i="66" s="1"/>
  <c r="O25" i="66"/>
  <c r="P23" i="66" s="1"/>
  <c r="M23" i="74"/>
  <c r="EA12" i="29" s="1"/>
  <c r="I25" i="75"/>
  <c r="J23" i="75" s="1"/>
  <c r="DE12" i="29" s="1"/>
  <c r="O25" i="78"/>
  <c r="P23" i="78" s="1"/>
  <c r="FB12" i="29" s="1"/>
  <c r="L25" i="78"/>
  <c r="M23" i="78" s="1"/>
  <c r="EE12" i="29" s="1"/>
  <c r="I25" i="78"/>
  <c r="J23" i="78" s="1"/>
  <c r="DH12" i="29" s="1"/>
  <c r="O25" i="75"/>
  <c r="P23" i="75" s="1"/>
  <c r="O25" i="72"/>
  <c r="P23" i="72" s="1"/>
  <c r="EW12" i="29" s="1"/>
  <c r="I25" i="72"/>
  <c r="J23" i="72" s="1"/>
  <c r="DC12" i="29" s="1"/>
  <c r="I25" i="74"/>
  <c r="J23" i="74" s="1"/>
  <c r="DD12" i="29" s="1"/>
  <c r="J23" i="73"/>
  <c r="DB12" i="29" s="1"/>
  <c r="M23" i="81"/>
  <c r="EH12" i="29" s="1"/>
  <c r="P23" i="81"/>
  <c r="FE12" i="29" s="1"/>
  <c r="P23" i="79"/>
  <c r="FC12" i="29" s="1"/>
  <c r="EF12" i="29"/>
  <c r="DU12" i="29"/>
  <c r="O25" i="83"/>
  <c r="P23" i="83" s="1"/>
  <c r="I25" i="83"/>
  <c r="J23" i="83" s="1"/>
  <c r="L25" i="83"/>
  <c r="M23" i="83" s="1"/>
  <c r="DG12" i="29"/>
  <c r="EB12" i="29"/>
  <c r="P23" i="88"/>
  <c r="DK12" i="29"/>
  <c r="M23" i="96"/>
  <c r="M23" i="66"/>
  <c r="EZ12" i="29"/>
  <c r="O25" i="84"/>
  <c r="P23" i="84" s="1"/>
  <c r="I25" i="84"/>
  <c r="J23" i="84" s="1"/>
  <c r="L25" i="84"/>
  <c r="M23" i="84" s="1"/>
  <c r="EL12" i="29"/>
  <c r="I25" i="89"/>
  <c r="J23" i="89" s="1"/>
  <c r="L25" i="89"/>
  <c r="M23" i="89" s="1"/>
  <c r="O25" i="89"/>
  <c r="P23" i="89" s="1"/>
  <c r="J23" i="90"/>
  <c r="J23" i="64"/>
  <c r="P23" i="77"/>
  <c r="EV12" i="29"/>
  <c r="M23" i="93"/>
  <c r="P23" i="64"/>
  <c r="P23" i="93"/>
  <c r="J23" i="79"/>
  <c r="M23" i="90"/>
  <c r="I25" i="65"/>
  <c r="O25" i="65"/>
  <c r="L25" i="65"/>
  <c r="O26" i="65"/>
  <c r="I26" i="65"/>
  <c r="L26" i="65"/>
  <c r="J23" i="76"/>
  <c r="M23" i="76"/>
  <c r="FM12" i="29"/>
  <c r="M23" i="80"/>
  <c r="P23" i="80"/>
  <c r="EK12" i="29"/>
  <c r="P23" i="91"/>
  <c r="O25" i="92"/>
  <c r="P23" i="92" s="1"/>
  <c r="I25" i="92"/>
  <c r="J23" i="92" s="1"/>
  <c r="L25" i="92"/>
  <c r="M23" i="92" s="1"/>
  <c r="O25" i="71"/>
  <c r="P23" i="71" s="1"/>
  <c r="L25" i="71"/>
  <c r="M23" i="71" s="1"/>
  <c r="I25" i="71"/>
  <c r="J23" i="71" s="1"/>
  <c r="J23" i="96"/>
  <c r="I25" i="94"/>
  <c r="J23" i="94" s="1"/>
  <c r="L25" i="94"/>
  <c r="M23" i="94" s="1"/>
  <c r="O25" i="94"/>
  <c r="P23" i="94" s="1"/>
  <c r="ES12" i="29" l="1"/>
  <c r="CY12" i="29"/>
  <c r="EJ12" i="29"/>
  <c r="D16" i="7"/>
  <c r="R16" i="7"/>
  <c r="G16" i="7"/>
  <c r="EY12" i="29"/>
  <c r="DM12" i="29"/>
  <c r="N21" i="30"/>
  <c r="I16" i="7"/>
  <c r="J16" i="7"/>
  <c r="T21" i="30"/>
  <c r="EI12" i="29"/>
  <c r="ET12" i="29"/>
  <c r="DL12" i="29"/>
  <c r="FH12" i="29"/>
  <c r="CZ12" i="29"/>
  <c r="DV12" i="29"/>
  <c r="DY12" i="29"/>
  <c r="FF12" i="29"/>
  <c r="FG12" i="29"/>
  <c r="FD12" i="29"/>
  <c r="EG12" i="29"/>
  <c r="EC12" i="29"/>
  <c r="P23" i="65"/>
  <c r="DW12" i="29"/>
  <c r="Q16" i="7"/>
  <c r="J23" i="65"/>
  <c r="FA12" i="29"/>
  <c r="DF12" i="29"/>
  <c r="EP12" i="29"/>
  <c r="CX12" i="29"/>
  <c r="M16" i="7"/>
  <c r="K16" i="7"/>
  <c r="ER12" i="29"/>
  <c r="H16" i="7"/>
  <c r="M23" i="65"/>
  <c r="FL12" i="29"/>
  <c r="DJ12" i="29"/>
  <c r="DI12" i="29"/>
  <c r="DS12" i="29"/>
  <c r="FI12" i="29"/>
  <c r="J21" i="30" l="1"/>
  <c r="R21" i="30"/>
  <c r="F16" i="7"/>
  <c r="N16" i="7"/>
  <c r="V21" i="30"/>
  <c r="O16" i="7"/>
  <c r="DX12" i="29"/>
  <c r="EU12" i="29"/>
  <c r="P16" i="7"/>
  <c r="L16" i="7"/>
  <c r="L21" i="30"/>
  <c r="DA12" i="29"/>
  <c r="X21" i="30" l="1"/>
  <c r="E16" i="7"/>
  <c r="U16" i="7" s="1"/>
  <c r="O32" i="16"/>
  <c r="O15" i="16"/>
  <c r="O47" i="16"/>
  <c r="O40" i="16"/>
  <c r="O29" i="16"/>
  <c r="O39" i="16"/>
  <c r="O37" i="16"/>
  <c r="O30" i="16"/>
  <c r="O36" i="16"/>
  <c r="O38" i="16"/>
  <c r="O43" i="16"/>
  <c r="O51" i="16"/>
  <c r="O34" i="16"/>
  <c r="O35" i="16"/>
  <c r="O49" i="16"/>
  <c r="O48" i="16"/>
  <c r="O41" i="16"/>
  <c r="O46" i="16"/>
  <c r="O27" i="16"/>
  <c r="G9" i="80" s="1"/>
  <c r="L9" i="80" s="1"/>
  <c r="O21" i="16"/>
  <c r="G9" i="78" s="1"/>
  <c r="O20" i="16"/>
  <c r="G9" i="77" s="1"/>
  <c r="O18" i="16"/>
  <c r="G9" i="74" s="1"/>
  <c r="O9" i="74" s="1"/>
  <c r="O50" i="16"/>
  <c r="G10" i="79" s="1"/>
  <c r="O17" i="16"/>
  <c r="G9" i="72" s="1"/>
  <c r="O22" i="16"/>
  <c r="G9" i="79" s="1"/>
  <c r="O9" i="79" s="1"/>
  <c r="O33" i="16"/>
  <c r="G9" i="87" s="1"/>
  <c r="O45" i="16"/>
  <c r="G9" i="85" s="1"/>
  <c r="O9" i="85" s="1"/>
  <c r="FH8" i="29" s="1"/>
  <c r="FH48" i="29" s="1"/>
  <c r="O23" i="16"/>
  <c r="G9" i="81" s="1"/>
  <c r="L9" i="81" s="1"/>
  <c r="O26" i="16"/>
  <c r="O9" i="86" s="1"/>
  <c r="O24" i="16"/>
  <c r="G9" i="82" s="1"/>
  <c r="O9" i="82" s="1"/>
  <c r="G9" i="73"/>
  <c r="L9" i="73" s="1"/>
  <c r="O19" i="16"/>
  <c r="G9" i="76" s="1"/>
  <c r="O44" i="16"/>
  <c r="G9" i="88" s="1"/>
  <c r="I9" i="88" s="1"/>
  <c r="J7" i="88" s="1"/>
  <c r="O28" i="16"/>
  <c r="G9" i="75" s="1"/>
  <c r="O31" i="16"/>
  <c r="G9" i="84" s="1"/>
  <c r="L9" i="84" s="1"/>
  <c r="O52" i="16"/>
  <c r="G11" i="84" s="1"/>
  <c r="O25" i="16"/>
  <c r="G9" i="83" s="1"/>
  <c r="O42" i="16"/>
  <c r="G10" i="86" s="1"/>
  <c r="G11" i="66" l="1"/>
  <c r="O11" i="66" s="1"/>
  <c r="EE7" i="29"/>
  <c r="H10" i="7" s="1"/>
  <c r="DH7" i="29"/>
  <c r="I9" i="87"/>
  <c r="L9" i="87"/>
  <c r="DY8" i="29"/>
  <c r="L10" i="86"/>
  <c r="I10" i="86"/>
  <c r="O10" i="86"/>
  <c r="P7" i="86" s="1"/>
  <c r="I11" i="84"/>
  <c r="R10" i="84" s="1"/>
  <c r="DM9" i="29" s="1"/>
  <c r="L11" i="84"/>
  <c r="S10" i="84" s="1"/>
  <c r="EJ9" i="29" s="1"/>
  <c r="O11" i="84"/>
  <c r="T10" i="84" s="1"/>
  <c r="FG9" i="29" s="1"/>
  <c r="FK8" i="29"/>
  <c r="P7" i="82"/>
  <c r="EI7" i="29"/>
  <c r="N10" i="7" s="1"/>
  <c r="I9" i="83"/>
  <c r="O9" i="83"/>
  <c r="DL7" i="29"/>
  <c r="FF7" i="29"/>
  <c r="L9" i="83"/>
  <c r="M7" i="84"/>
  <c r="EJ8" i="29"/>
  <c r="X13" i="88"/>
  <c r="H30" i="88" s="1"/>
  <c r="I30" i="88" s="1"/>
  <c r="J27" i="88" s="1"/>
  <c r="I11" i="66"/>
  <c r="G11" i="89"/>
  <c r="EX8" i="29"/>
  <c r="DO8" i="29"/>
  <c r="H70" i="88"/>
  <c r="J69" i="88" s="1"/>
  <c r="DO19" i="29" s="1"/>
  <c r="DO59" i="29" s="1"/>
  <c r="EH8" i="29"/>
  <c r="M7" i="81"/>
  <c r="M7" i="87"/>
  <c r="K70" i="87"/>
  <c r="M69" i="87" s="1"/>
  <c r="FI7" i="29"/>
  <c r="DO7" i="29"/>
  <c r="EL7" i="29"/>
  <c r="L9" i="88"/>
  <c r="O9" i="88"/>
  <c r="EH7" i="29"/>
  <c r="I9" i="81"/>
  <c r="FE7" i="29"/>
  <c r="DK7" i="29"/>
  <c r="O9" i="81"/>
  <c r="L11" i="66"/>
  <c r="O9" i="75"/>
  <c r="EY7" i="29"/>
  <c r="DE7" i="29"/>
  <c r="EB7" i="29"/>
  <c r="N11" i="30" s="1"/>
  <c r="I9" i="75"/>
  <c r="L9" i="75"/>
  <c r="T10" i="66"/>
  <c r="ES9" i="29" s="1"/>
  <c r="ES11" i="29" s="1"/>
  <c r="I9" i="76"/>
  <c r="O9" i="76"/>
  <c r="EC7" i="29"/>
  <c r="L9" i="76"/>
  <c r="DF7" i="29"/>
  <c r="EZ7" i="29"/>
  <c r="G11" i="80"/>
  <c r="G11" i="65"/>
  <c r="G11" i="94"/>
  <c r="G11" i="79"/>
  <c r="G11" i="75"/>
  <c r="G11" i="64"/>
  <c r="G11" i="76"/>
  <c r="G11" i="95"/>
  <c r="G11" i="83"/>
  <c r="G11" i="73"/>
  <c r="G11" i="77"/>
  <c r="G11" i="71"/>
  <c r="G11" i="81"/>
  <c r="G11" i="96"/>
  <c r="G11" i="72"/>
  <c r="G11" i="93"/>
  <c r="G11" i="92"/>
  <c r="G11" i="74"/>
  <c r="G11" i="86"/>
  <c r="G11" i="91"/>
  <c r="G11" i="90"/>
  <c r="G11" i="88"/>
  <c r="G11" i="87"/>
  <c r="G11" i="78"/>
  <c r="G11" i="85"/>
  <c r="I9" i="82"/>
  <c r="EN7" i="29"/>
  <c r="P11" i="30" s="1"/>
  <c r="FK7" i="29"/>
  <c r="DQ7" i="29"/>
  <c r="L9" i="82"/>
  <c r="FJ8" i="29"/>
  <c r="EJ7" i="29"/>
  <c r="I9" i="84"/>
  <c r="FG7" i="29"/>
  <c r="DM7" i="29"/>
  <c r="O9" i="84"/>
  <c r="I9" i="73"/>
  <c r="DY7" i="29"/>
  <c r="EV7" i="29"/>
  <c r="DB7" i="29"/>
  <c r="O9" i="73"/>
  <c r="EM7" i="29"/>
  <c r="R10" i="7" s="1"/>
  <c r="DP7" i="29"/>
  <c r="FJ7" i="29"/>
  <c r="L9" i="86"/>
  <c r="I9" i="86"/>
  <c r="O9" i="87"/>
  <c r="J7" i="87"/>
  <c r="H70" i="87"/>
  <c r="J69" i="87" s="1"/>
  <c r="O10" i="79"/>
  <c r="L10" i="79"/>
  <c r="I10" i="79"/>
  <c r="N70" i="85"/>
  <c r="P69" i="85" s="1"/>
  <c r="FH19" i="29" s="1"/>
  <c r="FH59" i="29" s="1"/>
  <c r="DN7" i="29"/>
  <c r="L9" i="85"/>
  <c r="I9" i="85"/>
  <c r="EK7" i="29"/>
  <c r="FC8" i="29"/>
  <c r="ED7" i="29"/>
  <c r="FA7" i="29"/>
  <c r="DG7" i="29"/>
  <c r="I9" i="77"/>
  <c r="O9" i="77"/>
  <c r="L9" i="77"/>
  <c r="FH7" i="29"/>
  <c r="P7" i="85"/>
  <c r="O9" i="72"/>
  <c r="I9" i="72"/>
  <c r="DZ7" i="29"/>
  <c r="G10" i="7" s="1"/>
  <c r="L9" i="72"/>
  <c r="DC7" i="29"/>
  <c r="EW7" i="29"/>
  <c r="I9" i="79"/>
  <c r="L9" i="79"/>
  <c r="DI7" i="29"/>
  <c r="FC7" i="29"/>
  <c r="EF7" i="29"/>
  <c r="I10" i="7" s="1"/>
  <c r="I9" i="74"/>
  <c r="EA7" i="29"/>
  <c r="DD7" i="29"/>
  <c r="EX7" i="29"/>
  <c r="L9" i="74"/>
  <c r="M7" i="80"/>
  <c r="EG8" i="29"/>
  <c r="EG7" i="29"/>
  <c r="P10" i="7" s="1"/>
  <c r="FD7" i="29"/>
  <c r="DJ7" i="29"/>
  <c r="I9" i="80"/>
  <c r="O9" i="80"/>
  <c r="I9" i="78"/>
  <c r="O9" i="78"/>
  <c r="L9" i="78"/>
  <c r="FB7" i="29"/>
  <c r="O11" i="93" l="1"/>
  <c r="L11" i="93"/>
  <c r="I11" i="93"/>
  <c r="M86" i="30"/>
  <c r="M118" i="30"/>
  <c r="M7" i="88"/>
  <c r="EL8" i="29"/>
  <c r="K70" i="88"/>
  <c r="M69" i="88" s="1"/>
  <c r="EL19" i="29" s="1"/>
  <c r="EL59" i="29" s="1"/>
  <c r="L11" i="89"/>
  <c r="I11" i="89"/>
  <c r="O11" i="89"/>
  <c r="N70" i="82"/>
  <c r="P69" i="82" s="1"/>
  <c r="FK19" i="29" s="1"/>
  <c r="K70" i="80"/>
  <c r="M69" i="80" s="1"/>
  <c r="EG19" i="29" s="1"/>
  <c r="L11" i="85"/>
  <c r="S10" i="85" s="1"/>
  <c r="EK9" i="29" s="1"/>
  <c r="O11" i="85"/>
  <c r="T10" i="85" s="1"/>
  <c r="FH9" i="29" s="1"/>
  <c r="FH11" i="29" s="1"/>
  <c r="I11" i="85"/>
  <c r="R10" i="85" s="1"/>
  <c r="DN9" i="29" s="1"/>
  <c r="I11" i="81"/>
  <c r="R10" i="81" s="1"/>
  <c r="DK9" i="29" s="1"/>
  <c r="L11" i="81"/>
  <c r="S10" i="81" s="1"/>
  <c r="EH9" i="29" s="1"/>
  <c r="EH11" i="29" s="1"/>
  <c r="M15" i="7" s="1"/>
  <c r="O11" i="81"/>
  <c r="T10" i="81" s="1"/>
  <c r="FE9" i="29" s="1"/>
  <c r="I11" i="80"/>
  <c r="R10" i="80" s="1"/>
  <c r="DJ9" i="29" s="1"/>
  <c r="O11" i="80"/>
  <c r="T10" i="80" s="1"/>
  <c r="FD9" i="29" s="1"/>
  <c r="L11" i="80"/>
  <c r="S10" i="80" s="1"/>
  <c r="EG9" i="29" s="1"/>
  <c r="P12" i="7" s="1"/>
  <c r="R10" i="66"/>
  <c r="CY9" i="29" s="1"/>
  <c r="CY11" i="29" s="1"/>
  <c r="FK48" i="29"/>
  <c r="FK11" i="29"/>
  <c r="O11" i="79"/>
  <c r="I11" i="79"/>
  <c r="R10" i="79" s="1"/>
  <c r="DI9" i="29" s="1"/>
  <c r="L11" i="79"/>
  <c r="L11" i="72"/>
  <c r="S10" i="72" s="1"/>
  <c r="DZ9" i="29" s="1"/>
  <c r="G12" i="7" s="1"/>
  <c r="I11" i="72"/>
  <c r="R10" i="72" s="1"/>
  <c r="DC9" i="29" s="1"/>
  <c r="O11" i="72"/>
  <c r="T10" i="72" s="1"/>
  <c r="EW9" i="29" s="1"/>
  <c r="EX48" i="29"/>
  <c r="P7" i="87"/>
  <c r="N70" i="87"/>
  <c r="P69" i="87" s="1"/>
  <c r="L11" i="78"/>
  <c r="S10" i="78" s="1"/>
  <c r="EE9" i="29" s="1"/>
  <c r="H12" i="7" s="1"/>
  <c r="I11" i="78"/>
  <c r="R10" i="78" s="1"/>
  <c r="DH9" i="29" s="1"/>
  <c r="O11" i="78"/>
  <c r="T10" i="78" s="1"/>
  <c r="FB9" i="29" s="1"/>
  <c r="L11" i="71"/>
  <c r="I11" i="71"/>
  <c r="O11" i="71"/>
  <c r="DO13" i="29"/>
  <c r="L11" i="96"/>
  <c r="O11" i="96"/>
  <c r="I11" i="96"/>
  <c r="I11" i="87"/>
  <c r="R10" i="87" s="1"/>
  <c r="O11" i="87"/>
  <c r="T10" i="87" s="1"/>
  <c r="L11" i="87"/>
  <c r="S10" i="87" s="1"/>
  <c r="P7" i="75"/>
  <c r="N70" i="75"/>
  <c r="P69" i="75" s="1"/>
  <c r="EY19" i="29" s="1"/>
  <c r="EY59" i="29" s="1"/>
  <c r="EY8" i="29"/>
  <c r="V13" i="30"/>
  <c r="O12" i="7"/>
  <c r="DG8" i="29"/>
  <c r="K10" i="7"/>
  <c r="M10" i="7"/>
  <c r="L11" i="65"/>
  <c r="I11" i="65"/>
  <c r="O11" i="65"/>
  <c r="FC48" i="29"/>
  <c r="J7" i="86"/>
  <c r="DP8" i="29"/>
  <c r="EE8" i="29"/>
  <c r="M7" i="86"/>
  <c r="EM8" i="29"/>
  <c r="J7" i="84"/>
  <c r="DM8" i="29"/>
  <c r="O11" i="88"/>
  <c r="T10" i="88" s="1"/>
  <c r="FI9" i="29" s="1"/>
  <c r="I11" i="88"/>
  <c r="L11" i="88"/>
  <c r="S10" i="88" s="1"/>
  <c r="EL9" i="29" s="1"/>
  <c r="L11" i="73"/>
  <c r="I11" i="73"/>
  <c r="R10" i="73" s="1"/>
  <c r="DB9" i="29" s="1"/>
  <c r="O11" i="73"/>
  <c r="T10" i="73" s="1"/>
  <c r="EV9" i="29" s="1"/>
  <c r="EC8" i="29"/>
  <c r="S10" i="66"/>
  <c r="DV9" i="29" s="1"/>
  <c r="O11" i="7"/>
  <c r="EJ48" i="29"/>
  <c r="EJ11" i="29"/>
  <c r="V12" i="30"/>
  <c r="O118" i="30"/>
  <c r="O86" i="30"/>
  <c r="FI8" i="29"/>
  <c r="N70" i="88"/>
  <c r="P69" i="88" s="1"/>
  <c r="FI19" i="29" s="1"/>
  <c r="FI59" i="29" s="1"/>
  <c r="P7" i="88"/>
  <c r="DZ8" i="29"/>
  <c r="EW8" i="29"/>
  <c r="O11" i="90"/>
  <c r="I11" i="90"/>
  <c r="L11" i="90"/>
  <c r="I11" i="83"/>
  <c r="R10" i="83" s="1"/>
  <c r="DL9" i="29" s="1"/>
  <c r="L11" i="83"/>
  <c r="S10" i="83" s="1"/>
  <c r="EI9" i="29" s="1"/>
  <c r="N12" i="7" s="1"/>
  <c r="O11" i="83"/>
  <c r="T10" i="83" s="1"/>
  <c r="FF9" i="29" s="1"/>
  <c r="R11" i="30"/>
  <c r="F10" i="7"/>
  <c r="K70" i="84"/>
  <c r="M69" i="84" s="1"/>
  <c r="EJ19" i="29" s="1"/>
  <c r="M7" i="75"/>
  <c r="K70" i="75"/>
  <c r="M69" i="75" s="1"/>
  <c r="EB19" i="29" s="1"/>
  <c r="EB8" i="29"/>
  <c r="T10" i="79"/>
  <c r="FC9" i="29" s="1"/>
  <c r="FC11" i="29" s="1"/>
  <c r="FG8" i="29"/>
  <c r="P7" i="84"/>
  <c r="DC8" i="29"/>
  <c r="I11" i="95"/>
  <c r="O11" i="95"/>
  <c r="L11" i="95"/>
  <c r="EZ8" i="29"/>
  <c r="P7" i="81"/>
  <c r="FE8" i="29"/>
  <c r="K70" i="81"/>
  <c r="M69" i="81" s="1"/>
  <c r="EH19" i="29" s="1"/>
  <c r="M7" i="83"/>
  <c r="EI8" i="29"/>
  <c r="M7" i="79"/>
  <c r="EF8" i="29"/>
  <c r="L11" i="77"/>
  <c r="S10" i="77" s="1"/>
  <c r="ED9" i="29" s="1"/>
  <c r="O11" i="77"/>
  <c r="T10" i="77" s="1"/>
  <c r="FA9" i="29" s="1"/>
  <c r="I11" i="77"/>
  <c r="R10" i="77" s="1"/>
  <c r="DG9" i="29" s="1"/>
  <c r="DN8" i="29"/>
  <c r="H70" i="85"/>
  <c r="J69" i="85" s="1"/>
  <c r="DN19" i="29" s="1"/>
  <c r="DN59" i="29" s="1"/>
  <c r="J7" i="85"/>
  <c r="O10" i="7"/>
  <c r="V11" i="30"/>
  <c r="FJ48" i="29"/>
  <c r="N70" i="86"/>
  <c r="P69" i="86" s="1"/>
  <c r="FJ19" i="29" s="1"/>
  <c r="O11" i="86"/>
  <c r="T10" i="86" s="1"/>
  <c r="FJ9" i="29" s="1"/>
  <c r="FJ11" i="29" s="1"/>
  <c r="I11" i="86"/>
  <c r="R10" i="86" s="1"/>
  <c r="DP9" i="29" s="1"/>
  <c r="L11" i="86"/>
  <c r="S10" i="86" s="1"/>
  <c r="EM9" i="29" s="1"/>
  <c r="R12" i="7" s="1"/>
  <c r="I11" i="76"/>
  <c r="R10" i="76" s="1"/>
  <c r="DF9" i="29" s="1"/>
  <c r="O11" i="76"/>
  <c r="T10" i="76" s="1"/>
  <c r="EZ9" i="29" s="1"/>
  <c r="L11" i="76"/>
  <c r="S10" i="76" s="1"/>
  <c r="EC9" i="29" s="1"/>
  <c r="DF8" i="29"/>
  <c r="EH48" i="29"/>
  <c r="K11" i="7"/>
  <c r="M11" i="7"/>
  <c r="J7" i="83"/>
  <c r="DL8" i="29"/>
  <c r="J7" i="79"/>
  <c r="DI8" i="29"/>
  <c r="J7" i="75"/>
  <c r="DE8" i="29"/>
  <c r="H70" i="75"/>
  <c r="J69" i="75" s="1"/>
  <c r="DE19" i="29" s="1"/>
  <c r="DE59" i="29" s="1"/>
  <c r="P11" i="7"/>
  <c r="EG48" i="29"/>
  <c r="DB8" i="29"/>
  <c r="P7" i="79"/>
  <c r="DH8" i="29"/>
  <c r="DD8" i="29"/>
  <c r="K70" i="85"/>
  <c r="M69" i="85" s="1"/>
  <c r="EK19" i="29" s="1"/>
  <c r="EK59" i="29" s="1"/>
  <c r="M7" i="85"/>
  <c r="EK8" i="29"/>
  <c r="I11" i="91"/>
  <c r="O11" i="91"/>
  <c r="L11" i="91"/>
  <c r="P7" i="80"/>
  <c r="FD8" i="29"/>
  <c r="ED8" i="29"/>
  <c r="M7" i="82"/>
  <c r="EN8" i="29"/>
  <c r="I11" i="74"/>
  <c r="R10" i="74" s="1"/>
  <c r="DD9" i="29" s="1"/>
  <c r="O11" i="74"/>
  <c r="L11" i="74"/>
  <c r="S10" i="74" s="1"/>
  <c r="EA9" i="29" s="1"/>
  <c r="I11" i="64"/>
  <c r="L11" i="64"/>
  <c r="O11" i="64"/>
  <c r="L11" i="7"/>
  <c r="DY48" i="29"/>
  <c r="L12" i="30"/>
  <c r="S10" i="79"/>
  <c r="EF9" i="29" s="1"/>
  <c r="I12" i="7" s="1"/>
  <c r="L10" i="7"/>
  <c r="L11" i="30"/>
  <c r="O11" i="94"/>
  <c r="I11" i="94"/>
  <c r="L11" i="94"/>
  <c r="DQ8" i="29"/>
  <c r="J7" i="82"/>
  <c r="T11" i="30"/>
  <c r="J10" i="7"/>
  <c r="EA8" i="29"/>
  <c r="FB8" i="29"/>
  <c r="P7" i="78"/>
  <c r="Z13" i="85"/>
  <c r="DJ8" i="29"/>
  <c r="J7" i="80"/>
  <c r="EV8" i="29"/>
  <c r="FA8" i="29"/>
  <c r="O11" i="92"/>
  <c r="I11" i="92"/>
  <c r="L11" i="92"/>
  <c r="O11" i="75"/>
  <c r="T10" i="75" s="1"/>
  <c r="EY9" i="29" s="1"/>
  <c r="L11" i="75"/>
  <c r="S10" i="75" s="1"/>
  <c r="EB9" i="29" s="1"/>
  <c r="N13" i="30" s="1"/>
  <c r="I11" i="75"/>
  <c r="R10" i="75" s="1"/>
  <c r="DE9" i="29" s="1"/>
  <c r="J7" i="81"/>
  <c r="DK8" i="29"/>
  <c r="DO48" i="29"/>
  <c r="FF8" i="29"/>
  <c r="P7" i="83"/>
  <c r="P7" i="77" l="1"/>
  <c r="J7" i="72"/>
  <c r="EG11" i="29"/>
  <c r="P15" i="7" s="1"/>
  <c r="J7" i="76"/>
  <c r="M7" i="72"/>
  <c r="J7" i="78"/>
  <c r="H70" i="78" s="1"/>
  <c r="J69" i="78" s="1"/>
  <c r="DH19" i="29" s="1"/>
  <c r="M7" i="77"/>
  <c r="K70" i="77" s="1"/>
  <c r="M69" i="77" s="1"/>
  <c r="ED19" i="29" s="1"/>
  <c r="J7" i="73"/>
  <c r="H70" i="73" s="1"/>
  <c r="J69" i="73" s="1"/>
  <c r="DB19" i="29" s="1"/>
  <c r="J7" i="77"/>
  <c r="H70" i="77" s="1"/>
  <c r="J69" i="77" s="1"/>
  <c r="DG19" i="29" s="1"/>
  <c r="M7" i="78"/>
  <c r="K70" i="78" s="1"/>
  <c r="M69" i="78" s="1"/>
  <c r="EE19" i="29" s="1"/>
  <c r="M1" i="87"/>
  <c r="J1" i="87"/>
  <c r="DK48" i="29"/>
  <c r="DK11" i="29"/>
  <c r="EF48" i="29"/>
  <c r="I11" i="7"/>
  <c r="EF11" i="29"/>
  <c r="T10" i="95"/>
  <c r="V25" i="30"/>
  <c r="K70" i="72"/>
  <c r="M69" i="72" s="1"/>
  <c r="DZ19" i="29" s="1"/>
  <c r="J13" i="30"/>
  <c r="DV11" i="29"/>
  <c r="R11" i="7"/>
  <c r="EM48" i="29"/>
  <c r="EM11" i="29"/>
  <c r="T10" i="96"/>
  <c r="P7" i="73"/>
  <c r="DB48" i="29"/>
  <c r="DB11" i="29"/>
  <c r="H70" i="80"/>
  <c r="J69" i="80" s="1"/>
  <c r="DJ19" i="29" s="1"/>
  <c r="DZ48" i="29"/>
  <c r="G11" i="7"/>
  <c r="DZ11" i="29"/>
  <c r="T10" i="89"/>
  <c r="P7" i="89"/>
  <c r="DJ48" i="29"/>
  <c r="DJ11" i="29"/>
  <c r="R10" i="94"/>
  <c r="R10" i="64"/>
  <c r="CX9" i="29" s="1"/>
  <c r="CX11" i="29" s="1"/>
  <c r="R10" i="91"/>
  <c r="DR9" i="29" s="1"/>
  <c r="DR11" i="29" s="1"/>
  <c r="DC11" i="29"/>
  <c r="DC48" i="29"/>
  <c r="F11" i="7"/>
  <c r="EC48" i="29"/>
  <c r="R12" i="30"/>
  <c r="EC11" i="29"/>
  <c r="EE11" i="29"/>
  <c r="EE48" i="29"/>
  <c r="H11" i="7"/>
  <c r="R10" i="89"/>
  <c r="J7" i="89"/>
  <c r="M120" i="30"/>
  <c r="M67" i="30"/>
  <c r="N67" i="30" s="1"/>
  <c r="T10" i="94"/>
  <c r="EK48" i="29"/>
  <c r="EK11" i="29"/>
  <c r="N11" i="7"/>
  <c r="EI11" i="29"/>
  <c r="EI48" i="29"/>
  <c r="H70" i="72"/>
  <c r="J69" i="72" s="1"/>
  <c r="DC19" i="29" s="1"/>
  <c r="Q86" i="30"/>
  <c r="Q118" i="30"/>
  <c r="Z13" i="88"/>
  <c r="M7" i="76"/>
  <c r="M7" i="89"/>
  <c r="S10" i="89"/>
  <c r="T10" i="64"/>
  <c r="ER9" i="29" s="1"/>
  <c r="ER11" i="29" s="1"/>
  <c r="U120" i="30"/>
  <c r="U67" i="30"/>
  <c r="V67" i="30" s="1"/>
  <c r="T10" i="71"/>
  <c r="ET9" i="29" s="1"/>
  <c r="ET11" i="29" s="1"/>
  <c r="K12" i="7"/>
  <c r="M12" i="7"/>
  <c r="K70" i="86"/>
  <c r="M69" i="86" s="1"/>
  <c r="EM19" i="29" s="1"/>
  <c r="DE48" i="29"/>
  <c r="DE11" i="29"/>
  <c r="H70" i="76"/>
  <c r="J69" i="76" s="1"/>
  <c r="DF19" i="29" s="1"/>
  <c r="FG48" i="29"/>
  <c r="FG11" i="29"/>
  <c r="FI11" i="29"/>
  <c r="FI48" i="29"/>
  <c r="H70" i="86"/>
  <c r="EY48" i="29"/>
  <c r="EY11" i="29"/>
  <c r="R10" i="71"/>
  <c r="CZ9" i="29" s="1"/>
  <c r="CZ11" i="29" s="1"/>
  <c r="EL48" i="29"/>
  <c r="EL11" i="29"/>
  <c r="S10" i="94"/>
  <c r="K15" i="7"/>
  <c r="DG48" i="29"/>
  <c r="DG11" i="29"/>
  <c r="FB11" i="29"/>
  <c r="FB48" i="29"/>
  <c r="EN48" i="29"/>
  <c r="EN11" i="29"/>
  <c r="P12" i="30"/>
  <c r="DD48" i="29"/>
  <c r="DD11" i="29"/>
  <c r="R13" i="30"/>
  <c r="F12" i="7"/>
  <c r="X13" i="85"/>
  <c r="H30" i="85" s="1"/>
  <c r="I30" i="85" s="1"/>
  <c r="J27" i="85" s="1"/>
  <c r="O83" i="30"/>
  <c r="O89" i="30"/>
  <c r="O87" i="30"/>
  <c r="O85" i="30"/>
  <c r="O88" i="30"/>
  <c r="O84" i="30"/>
  <c r="S10" i="73"/>
  <c r="DY9" i="29" s="1"/>
  <c r="M7" i="73"/>
  <c r="S10" i="71"/>
  <c r="DW9" i="29" s="1"/>
  <c r="DW11" i="29" s="1"/>
  <c r="Y13" i="88"/>
  <c r="DQ11" i="29"/>
  <c r="DQ48" i="29"/>
  <c r="S10" i="64"/>
  <c r="DU9" i="29" s="1"/>
  <c r="K70" i="79"/>
  <c r="M69" i="79" s="1"/>
  <c r="EF19" i="29" s="1"/>
  <c r="R10" i="95"/>
  <c r="S10" i="96"/>
  <c r="N70" i="84"/>
  <c r="P69" i="84" s="1"/>
  <c r="FG19" i="29" s="1"/>
  <c r="T10" i="92"/>
  <c r="M7" i="74"/>
  <c r="K119" i="30"/>
  <c r="K70" i="82"/>
  <c r="M69" i="82" s="1"/>
  <c r="EN19" i="29" s="1"/>
  <c r="J7" i="74"/>
  <c r="DI11" i="29"/>
  <c r="DI48" i="29"/>
  <c r="FE11" i="29"/>
  <c r="FE48" i="29"/>
  <c r="EB48" i="29"/>
  <c r="EB11" i="29"/>
  <c r="N12" i="30"/>
  <c r="S10" i="90"/>
  <c r="EP9" i="29" s="1"/>
  <c r="EP11" i="29" s="1"/>
  <c r="U118" i="30"/>
  <c r="U86" i="30"/>
  <c r="DP48" i="29"/>
  <c r="DP11" i="29"/>
  <c r="R10" i="92"/>
  <c r="DN48" i="29"/>
  <c r="DN11" i="29"/>
  <c r="N70" i="81"/>
  <c r="P69" i="81" s="1"/>
  <c r="FE19" i="29" s="1"/>
  <c r="EB59" i="29"/>
  <c r="R10" i="90"/>
  <c r="DS9" i="29" s="1"/>
  <c r="DS11" i="29" s="1"/>
  <c r="U119" i="30"/>
  <c r="U15" i="30"/>
  <c r="R10" i="88"/>
  <c r="DO9" i="29" s="1"/>
  <c r="DO11" i="29" s="1"/>
  <c r="T10" i="65"/>
  <c r="EU9" i="29" s="1"/>
  <c r="EU11" i="29" s="1"/>
  <c r="M89" i="30"/>
  <c r="M87" i="30"/>
  <c r="M84" i="30"/>
  <c r="M83" i="30"/>
  <c r="M88" i="30"/>
  <c r="M85" i="30"/>
  <c r="S10" i="92"/>
  <c r="N70" i="78"/>
  <c r="P69" i="78" s="1"/>
  <c r="FB19" i="29" s="1"/>
  <c r="DH48" i="29"/>
  <c r="DH11" i="29"/>
  <c r="DL48" i="29"/>
  <c r="DL11" i="29"/>
  <c r="EZ11" i="29"/>
  <c r="EZ48" i="29"/>
  <c r="T10" i="90"/>
  <c r="FM9" i="29" s="1"/>
  <c r="FM11" i="29" s="1"/>
  <c r="O15" i="7"/>
  <c r="R10" i="65"/>
  <c r="DA9" i="29" s="1"/>
  <c r="DA11" i="29" s="1"/>
  <c r="R10" i="93"/>
  <c r="S10" i="91"/>
  <c r="EO9" i="29" s="1"/>
  <c r="H70" i="81"/>
  <c r="J69" i="81" s="1"/>
  <c r="DK19" i="29" s="1"/>
  <c r="T10" i="91"/>
  <c r="FL9" i="29" s="1"/>
  <c r="FL11" i="29" s="1"/>
  <c r="FF11" i="29"/>
  <c r="FF48" i="29"/>
  <c r="FA48" i="29"/>
  <c r="FA11" i="29"/>
  <c r="N70" i="77"/>
  <c r="P69" i="77" s="1"/>
  <c r="FA19" i="29" s="1"/>
  <c r="S118" i="30"/>
  <c r="S86" i="30"/>
  <c r="FD48" i="29"/>
  <c r="FD11" i="29"/>
  <c r="N70" i="79"/>
  <c r="P69" i="79" s="1"/>
  <c r="FC19" i="29" s="1"/>
  <c r="H70" i="83"/>
  <c r="J69" i="83" s="1"/>
  <c r="DL19" i="29" s="1"/>
  <c r="P7" i="76"/>
  <c r="EW48" i="29"/>
  <c r="EW11" i="29"/>
  <c r="DM11" i="29"/>
  <c r="DM48" i="29"/>
  <c r="S10" i="65"/>
  <c r="DX9" i="29" s="1"/>
  <c r="S10" i="93"/>
  <c r="K118" i="30"/>
  <c r="K86" i="30"/>
  <c r="X11" i="30"/>
  <c r="T10" i="74"/>
  <c r="EX9" i="29" s="1"/>
  <c r="EX11" i="29" s="1"/>
  <c r="P7" i="74"/>
  <c r="Y13" i="85"/>
  <c r="DF48" i="29"/>
  <c r="DF11" i="29"/>
  <c r="K70" i="83"/>
  <c r="M69" i="83" s="1"/>
  <c r="EI19" i="29" s="1"/>
  <c r="N70" i="83"/>
  <c r="P69" i="83" s="1"/>
  <c r="FF19" i="29" s="1"/>
  <c r="EA48" i="29"/>
  <c r="EA11" i="29"/>
  <c r="ED48" i="29"/>
  <c r="J11" i="7"/>
  <c r="T12" i="30"/>
  <c r="ED11" i="29"/>
  <c r="H70" i="79"/>
  <c r="J69" i="79" s="1"/>
  <c r="DI19" i="29" s="1"/>
  <c r="EV48" i="29"/>
  <c r="EV11" i="29"/>
  <c r="H70" i="82"/>
  <c r="J69" i="82" s="1"/>
  <c r="DQ19" i="29" s="1"/>
  <c r="N70" i="80"/>
  <c r="P69" i="80" s="1"/>
  <c r="FD19" i="29" s="1"/>
  <c r="J12" i="7"/>
  <c r="T13" i="30"/>
  <c r="S10" i="95"/>
  <c r="P7" i="72"/>
  <c r="H70" i="84"/>
  <c r="J69" i="84" s="1"/>
  <c r="DM19" i="29" s="1"/>
  <c r="R10" i="96"/>
  <c r="P1" i="87"/>
  <c r="T10" i="93"/>
  <c r="J69" i="86" l="1"/>
  <c r="DP19" i="29" s="1"/>
  <c r="N1" i="87"/>
  <c r="K1" i="87"/>
  <c r="K89" i="30"/>
  <c r="K85" i="30"/>
  <c r="K88" i="30"/>
  <c r="K87" i="30"/>
  <c r="K83" i="30"/>
  <c r="K84" i="30"/>
  <c r="H70" i="74"/>
  <c r="J69" i="74" s="1"/>
  <c r="DD19" i="29" s="1"/>
  <c r="N70" i="76"/>
  <c r="P69" i="76" s="1"/>
  <c r="EZ19" i="29" s="1"/>
  <c r="DN13" i="29"/>
  <c r="H15" i="7"/>
  <c r="N70" i="73"/>
  <c r="P69" i="73" s="1"/>
  <c r="EV19" i="29" s="1"/>
  <c r="T25" i="30"/>
  <c r="P25" i="30"/>
  <c r="K70" i="76"/>
  <c r="M69" i="76" s="1"/>
  <c r="EC19" i="29" s="1"/>
  <c r="F15" i="7"/>
  <c r="U83" i="30"/>
  <c r="U89" i="30"/>
  <c r="U87" i="30"/>
  <c r="U84" i="30"/>
  <c r="U88" i="30"/>
  <c r="U85" i="30"/>
  <c r="K70" i="89"/>
  <c r="M69" i="89" s="1"/>
  <c r="Q119" i="30"/>
  <c r="Q15" i="30"/>
  <c r="I15" i="7"/>
  <c r="K70" i="73"/>
  <c r="M69" i="73" s="1"/>
  <c r="DY19" i="29" s="1"/>
  <c r="Q120" i="30"/>
  <c r="Q67" i="30"/>
  <c r="R67" i="30" s="1"/>
  <c r="N70" i="89"/>
  <c r="P69" i="89" s="1"/>
  <c r="R15" i="7"/>
  <c r="N70" i="72"/>
  <c r="P69" i="72" s="1"/>
  <c r="EW19" i="29" s="1"/>
  <c r="M119" i="30"/>
  <c r="M15" i="30"/>
  <c r="X12" i="30"/>
  <c r="L12" i="7"/>
  <c r="L13" i="30"/>
  <c r="DY11" i="29"/>
  <c r="E12" i="7"/>
  <c r="DX11" i="29"/>
  <c r="U48" i="30"/>
  <c r="U19" i="30"/>
  <c r="U122" i="30" s="1"/>
  <c r="Q83" i="30"/>
  <c r="Q88" i="30"/>
  <c r="Q85" i="30"/>
  <c r="Q84" i="30"/>
  <c r="Q89" i="30"/>
  <c r="Q87" i="30"/>
  <c r="H70" i="89"/>
  <c r="J69" i="89" s="1"/>
  <c r="G15" i="7"/>
  <c r="K70" i="74"/>
  <c r="M69" i="74" s="1"/>
  <c r="EA19" i="29" s="1"/>
  <c r="N25" i="30" s="1"/>
  <c r="S67" i="30"/>
  <c r="T67" i="30" s="1"/>
  <c r="S120" i="30"/>
  <c r="S89" i="30"/>
  <c r="S88" i="30"/>
  <c r="S83" i="30"/>
  <c r="S84" i="30"/>
  <c r="S87" i="30"/>
  <c r="S85" i="30"/>
  <c r="O15" i="30"/>
  <c r="O119" i="30"/>
  <c r="I67" i="30"/>
  <c r="J67" i="30" s="1"/>
  <c r="I120" i="30"/>
  <c r="I15" i="30"/>
  <c r="S119" i="30"/>
  <c r="S15" i="30"/>
  <c r="D12" i="7"/>
  <c r="DU11" i="29"/>
  <c r="N70" i="74"/>
  <c r="P69" i="74" s="1"/>
  <c r="EX19" i="29" s="1"/>
  <c r="J15" i="7"/>
  <c r="Q12" i="7"/>
  <c r="EO11" i="29"/>
  <c r="N15" i="7"/>
  <c r="Q48" i="30" l="1"/>
  <c r="Q19" i="30"/>
  <c r="Q122" i="30" s="1"/>
  <c r="M48" i="30"/>
  <c r="M19" i="30"/>
  <c r="M122" i="30" s="1"/>
  <c r="E15" i="7"/>
  <c r="S48" i="30"/>
  <c r="S19" i="30"/>
  <c r="S122" i="30" s="1"/>
  <c r="L25" i="30"/>
  <c r="R25" i="30"/>
  <c r="K67" i="30"/>
  <c r="L67" i="30" s="1"/>
  <c r="K120" i="30"/>
  <c r="K15" i="30"/>
  <c r="W15" i="30" s="1"/>
  <c r="O48" i="30"/>
  <c r="O19" i="30"/>
  <c r="O122" i="30" s="1"/>
  <c r="D15" i="7"/>
  <c r="I48" i="30"/>
  <c r="I19" i="30"/>
  <c r="Q15" i="7"/>
  <c r="X13" i="30"/>
  <c r="L15" i="7"/>
  <c r="X25" i="30" l="1"/>
  <c r="X15" i="30"/>
  <c r="U15" i="7"/>
  <c r="I122" i="30"/>
  <c r="K48" i="30"/>
  <c r="K19" i="30"/>
  <c r="K122" i="30" s="1"/>
  <c r="W19" i="30" l="1"/>
  <c r="W122" i="30" s="1"/>
  <c r="W48" i="30"/>
  <c r="X19" i="30"/>
  <c r="X48" i="30"/>
  <c r="T69" i="93"/>
  <c r="P68" i="93" s="1"/>
  <c r="H51" i="21"/>
  <c r="Q51" i="21" s="1"/>
  <c r="S69" i="92"/>
  <c r="M68" i="92" s="1"/>
  <c r="O73" i="16"/>
  <c r="F9" i="21" s="1"/>
  <c r="D64" i="92"/>
  <c r="G67" i="92" s="1"/>
  <c r="R69" i="94"/>
  <c r="J68" i="94" s="1"/>
  <c r="R68" i="89"/>
  <c r="J67" i="89" s="1"/>
  <c r="O72" i="16"/>
  <c r="E76" i="96" s="1"/>
  <c r="T68" i="89"/>
  <c r="P67" i="89" s="1"/>
  <c r="D73" i="95"/>
  <c r="I75" i="95" s="1"/>
  <c r="D35" i="79"/>
  <c r="D73" i="92"/>
  <c r="L75" i="92" s="1"/>
  <c r="D64" i="93"/>
  <c r="G67" i="93" s="1"/>
  <c r="T69" i="92"/>
  <c r="P68" i="92" s="1"/>
  <c r="R68" i="87"/>
  <c r="M67" i="87" s="1"/>
  <c r="D61" i="75"/>
  <c r="G63" i="75" s="1"/>
  <c r="L63" i="75" s="1"/>
  <c r="D61" i="73"/>
  <c r="G62" i="73" s="1"/>
  <c r="D61" i="86"/>
  <c r="G62" i="86" s="1"/>
  <c r="T69" i="95"/>
  <c r="P68" i="95" s="1"/>
  <c r="D64" i="95"/>
  <c r="G65" i="95" s="1"/>
  <c r="D72" i="87"/>
  <c r="I74" i="87" s="1"/>
  <c r="O74" i="16"/>
  <c r="F32" i="21" s="1"/>
  <c r="K34" i="21" s="1"/>
  <c r="D61" i="66"/>
  <c r="G63" i="66" s="1"/>
  <c r="D61" i="80"/>
  <c r="D35" i="73"/>
  <c r="G36" i="73" s="1"/>
  <c r="L36" i="73" s="1"/>
  <c r="S69" i="96"/>
  <c r="M68" i="96" s="1"/>
  <c r="D35" i="66"/>
  <c r="G36" i="66" s="1"/>
  <c r="I36" i="66" s="1"/>
  <c r="R69" i="96"/>
  <c r="J68" i="96" s="1"/>
  <c r="D61" i="89"/>
  <c r="G62" i="89" s="1"/>
  <c r="D35" i="84"/>
  <c r="G36" i="84" s="1"/>
  <c r="S68" i="89"/>
  <c r="M67" i="89" s="1"/>
  <c r="S69" i="93"/>
  <c r="M68" i="93" s="1"/>
  <c r="T69" i="96"/>
  <c r="P68" i="96" s="1"/>
  <c r="D35" i="83"/>
  <c r="G39" i="83" s="1"/>
  <c r="R69" i="93"/>
  <c r="J68" i="93" s="1"/>
  <c r="R69" i="95"/>
  <c r="J68" i="95" s="1"/>
  <c r="D35" i="72"/>
  <c r="G42" i="72" s="1"/>
  <c r="D61" i="83"/>
  <c r="G63" i="83" s="1"/>
  <c r="D35" i="76"/>
  <c r="G41" i="76" s="1"/>
  <c r="O41" i="76" s="1"/>
  <c r="D61" i="64"/>
  <c r="G62" i="64" s="1"/>
  <c r="D73" i="94"/>
  <c r="L74" i="94" s="1"/>
  <c r="D64" i="94"/>
  <c r="D73" i="93"/>
  <c r="O75" i="93" s="1"/>
  <c r="T69" i="94"/>
  <c r="P68" i="94" s="1"/>
  <c r="D35" i="81"/>
  <c r="G36" i="81" s="1"/>
  <c r="P59" i="16"/>
  <c r="D35" i="71"/>
  <c r="G40" i="71" s="1"/>
  <c r="D61" i="85"/>
  <c r="G63" i="85" s="1"/>
  <c r="D35" i="65"/>
  <c r="G36" i="65" s="1"/>
  <c r="D61" i="78"/>
  <c r="G62" i="78" s="1"/>
  <c r="O62" i="78" s="1"/>
  <c r="S69" i="95"/>
  <c r="M68" i="95" s="1"/>
  <c r="R69" i="92"/>
  <c r="J68" i="92" s="1"/>
  <c r="D35" i="78"/>
  <c r="G38" i="78" s="1"/>
  <c r="D61" i="65"/>
  <c r="G62" i="65" s="1"/>
  <c r="O62" i="65" s="1"/>
  <c r="D35" i="64"/>
  <c r="G41" i="64" s="1"/>
  <c r="D35" i="90"/>
  <c r="G36" i="90" s="1"/>
  <c r="D35" i="80"/>
  <c r="G39" i="80" s="1"/>
  <c r="D61" i="74"/>
  <c r="G62" i="74" s="1"/>
  <c r="L62" i="74" s="1"/>
  <c r="D35" i="96"/>
  <c r="G42" i="96" s="1"/>
  <c r="O58" i="16"/>
  <c r="D64" i="96"/>
  <c r="G65" i="96" s="1"/>
  <c r="D61" i="72"/>
  <c r="G62" i="72" s="1"/>
  <c r="D35" i="86"/>
  <c r="G36" i="86" s="1"/>
  <c r="L36" i="86" s="1"/>
  <c r="D33" i="87"/>
  <c r="D73" i="96"/>
  <c r="L74" i="96" s="1"/>
  <c r="D61" i="77"/>
  <c r="D35" i="93"/>
  <c r="G36" i="93" s="1"/>
  <c r="O36" i="93" s="1"/>
  <c r="D61" i="79"/>
  <c r="G62" i="79" s="1"/>
  <c r="D35" i="74"/>
  <c r="G36" i="74" s="1"/>
  <c r="D35" i="77"/>
  <c r="G37" i="77" s="1"/>
  <c r="O57" i="16"/>
  <c r="D31" i="82" s="1"/>
  <c r="L31" i="82" s="1"/>
  <c r="D35" i="91"/>
  <c r="G39" i="91" s="1"/>
  <c r="D61" i="71"/>
  <c r="D35" i="89"/>
  <c r="G39" i="89" s="1"/>
  <c r="D61" i="84"/>
  <c r="G62" i="84" s="1"/>
  <c r="D35" i="75"/>
  <c r="G36" i="75" s="1"/>
  <c r="D35" i="88"/>
  <c r="G36" i="88" s="1"/>
  <c r="L36" i="88" s="1"/>
  <c r="S69" i="94"/>
  <c r="M68" i="94" s="1"/>
  <c r="D63" i="87"/>
  <c r="D61" i="81"/>
  <c r="G63" i="81" s="1"/>
  <c r="D35" i="85"/>
  <c r="D61" i="76"/>
  <c r="G62" i="76" s="1"/>
  <c r="T68" i="87"/>
  <c r="S68" i="87"/>
  <c r="O55" i="16"/>
  <c r="O56" i="16"/>
  <c r="D30" i="73" s="1"/>
  <c r="F6" i="21"/>
  <c r="J11" i="21"/>
  <c r="D35" i="95"/>
  <c r="G36" i="95" s="1"/>
  <c r="O36" i="95" s="1"/>
  <c r="D35" i="94"/>
  <c r="G36" i="94" s="1"/>
  <c r="L36" i="94" s="1"/>
  <c r="D35" i="92"/>
  <c r="G36" i="92" s="1"/>
  <c r="G65" i="92" l="1"/>
  <c r="O65" i="92" s="1"/>
  <c r="D30" i="83"/>
  <c r="I30" i="83" s="1"/>
  <c r="D30" i="82"/>
  <c r="O30" i="82" s="1"/>
  <c r="D30" i="66"/>
  <c r="L30" i="66" s="1"/>
  <c r="D30" i="64"/>
  <c r="I30" i="64" s="1"/>
  <c r="G37" i="65"/>
  <c r="L37" i="65" s="1"/>
  <c r="DP33" i="29"/>
  <c r="DL33" i="29"/>
  <c r="DF33" i="29"/>
  <c r="ER33" i="29"/>
  <c r="CZ33" i="29"/>
  <c r="DE33" i="29"/>
  <c r="EX33" i="29"/>
  <c r="L30" i="83"/>
  <c r="G42" i="81"/>
  <c r="E76" i="92"/>
  <c r="J67" i="87"/>
  <c r="I75" i="96"/>
  <c r="G36" i="96"/>
  <c r="L36" i="96" s="1"/>
  <c r="G36" i="91"/>
  <c r="L36" i="91" s="1"/>
  <c r="G66" i="92"/>
  <c r="D30" i="78"/>
  <c r="L30" i="78" s="1"/>
  <c r="L74" i="95"/>
  <c r="O38" i="78"/>
  <c r="I38" i="78"/>
  <c r="K11" i="21"/>
  <c r="M11" i="21" s="1"/>
  <c r="K12" i="21"/>
  <c r="K13" i="21"/>
  <c r="I40" i="71"/>
  <c r="L40" i="71"/>
  <c r="G36" i="78"/>
  <c r="G65" i="93"/>
  <c r="I65" i="93" s="1"/>
  <c r="E76" i="93"/>
  <c r="I74" i="92"/>
  <c r="E75" i="87"/>
  <c r="E76" i="95"/>
  <c r="G41" i="89"/>
  <c r="L75" i="93"/>
  <c r="I75" i="92"/>
  <c r="E76" i="94"/>
  <c r="L41" i="76"/>
  <c r="O75" i="92"/>
  <c r="FF33" i="29"/>
  <c r="G38" i="65"/>
  <c r="O38" i="65" s="1"/>
  <c r="D30" i="77"/>
  <c r="I30" i="77" s="1"/>
  <c r="G62" i="66"/>
  <c r="O62" i="66" s="1"/>
  <c r="O75" i="95"/>
  <c r="EV33" i="29"/>
  <c r="G64" i="85"/>
  <c r="L64" i="85" s="1"/>
  <c r="FJ33" i="29"/>
  <c r="L74" i="93"/>
  <c r="L74" i="92"/>
  <c r="EP33" i="29"/>
  <c r="L30" i="73"/>
  <c r="I30" i="73"/>
  <c r="O30" i="73"/>
  <c r="O63" i="81"/>
  <c r="I63" i="81"/>
  <c r="L63" i="81"/>
  <c r="O36" i="75"/>
  <c r="P34" i="75" s="1"/>
  <c r="I36" i="75"/>
  <c r="J34" i="75" s="1"/>
  <c r="L36" i="75"/>
  <c r="M34" i="75" s="1"/>
  <c r="L36" i="92"/>
  <c r="O36" i="92"/>
  <c r="I36" i="92"/>
  <c r="L62" i="76"/>
  <c r="I62" i="76"/>
  <c r="O62" i="76"/>
  <c r="G64" i="87"/>
  <c r="G65" i="87"/>
  <c r="D30" i="86"/>
  <c r="L30" i="82"/>
  <c r="I39" i="91"/>
  <c r="O39" i="91"/>
  <c r="O31" i="82"/>
  <c r="I31" i="82"/>
  <c r="I36" i="86"/>
  <c r="O36" i="86"/>
  <c r="L30" i="64"/>
  <c r="O30" i="64"/>
  <c r="O42" i="96"/>
  <c r="L42" i="96"/>
  <c r="I42" i="96"/>
  <c r="I36" i="95"/>
  <c r="L36" i="95"/>
  <c r="G38" i="95"/>
  <c r="G40" i="95"/>
  <c r="G41" i="95"/>
  <c r="G39" i="95"/>
  <c r="G37" i="95"/>
  <c r="G42" i="95"/>
  <c r="I30" i="82"/>
  <c r="I37" i="77"/>
  <c r="L37" i="77"/>
  <c r="I62" i="72"/>
  <c r="L62" i="72"/>
  <c r="O62" i="72"/>
  <c r="O37" i="77"/>
  <c r="D30" i="76"/>
  <c r="O39" i="89"/>
  <c r="I39" i="89"/>
  <c r="L39" i="89"/>
  <c r="D30" i="72"/>
  <c r="L65" i="96"/>
  <c r="I65" i="96"/>
  <c r="O65" i="96"/>
  <c r="D30" i="84"/>
  <c r="G39" i="85"/>
  <c r="G38" i="85"/>
  <c r="G41" i="85"/>
  <c r="G40" i="85"/>
  <c r="G42" i="85"/>
  <c r="G37" i="85"/>
  <c r="G36" i="85"/>
  <c r="G64" i="81"/>
  <c r="G62" i="81"/>
  <c r="D30" i="71"/>
  <c r="G40" i="75"/>
  <c r="G38" i="75"/>
  <c r="G41" i="75"/>
  <c r="G42" i="75"/>
  <c r="G39" i="75"/>
  <c r="G37" i="75"/>
  <c r="G63" i="77"/>
  <c r="G64" i="77"/>
  <c r="G62" i="77"/>
  <c r="O39" i="80"/>
  <c r="L39" i="80"/>
  <c r="I39" i="80"/>
  <c r="G41" i="92"/>
  <c r="G39" i="92"/>
  <c r="G40" i="92"/>
  <c r="G42" i="92"/>
  <c r="G37" i="92"/>
  <c r="G38" i="92"/>
  <c r="G64" i="76"/>
  <c r="G63" i="76"/>
  <c r="O36" i="88"/>
  <c r="I36" i="88"/>
  <c r="O62" i="84"/>
  <c r="L62" i="84"/>
  <c r="I62" i="84"/>
  <c r="D32" i="81"/>
  <c r="D32" i="76"/>
  <c r="D32" i="65"/>
  <c r="D32" i="80"/>
  <c r="D32" i="64"/>
  <c r="D32" i="90"/>
  <c r="D32" i="89"/>
  <c r="D32" i="71"/>
  <c r="D32" i="91"/>
  <c r="D32" i="83"/>
  <c r="D32" i="73"/>
  <c r="D32" i="78"/>
  <c r="D32" i="84"/>
  <c r="D32" i="66"/>
  <c r="D32" i="72"/>
  <c r="D32" i="79"/>
  <c r="D32" i="86"/>
  <c r="D32" i="77"/>
  <c r="D32" i="74"/>
  <c r="D32" i="82"/>
  <c r="I36" i="90"/>
  <c r="O36" i="90"/>
  <c r="L36" i="90"/>
  <c r="J29" i="21"/>
  <c r="J28" i="21"/>
  <c r="J12" i="21"/>
  <c r="M12" i="21" s="1"/>
  <c r="J22" i="21"/>
  <c r="J14" i="21"/>
  <c r="J35" i="21"/>
  <c r="M35" i="21" s="1"/>
  <c r="J34" i="21"/>
  <c r="M34" i="21" s="1"/>
  <c r="J30" i="21"/>
  <c r="J23" i="21"/>
  <c r="J24" i="21"/>
  <c r="J17" i="21"/>
  <c r="J13" i="21"/>
  <c r="M13" i="21" s="1"/>
  <c r="J15" i="21"/>
  <c r="J18" i="21"/>
  <c r="J16" i="21"/>
  <c r="J36" i="21"/>
  <c r="G37" i="88"/>
  <c r="G39" i="88"/>
  <c r="G42" i="88"/>
  <c r="G41" i="88"/>
  <c r="G38" i="88"/>
  <c r="G40" i="88"/>
  <c r="L36" i="74"/>
  <c r="I36" i="74"/>
  <c r="O36" i="74"/>
  <c r="L39" i="91"/>
  <c r="L41" i="64"/>
  <c r="O41" i="64"/>
  <c r="I41" i="64"/>
  <c r="I36" i="94"/>
  <c r="O36" i="94"/>
  <c r="D30" i="65"/>
  <c r="D30" i="90"/>
  <c r="D30" i="89"/>
  <c r="D30" i="80"/>
  <c r="D30" i="81"/>
  <c r="D30" i="74"/>
  <c r="D30" i="91"/>
  <c r="G42" i="94"/>
  <c r="G37" i="94"/>
  <c r="G38" i="94"/>
  <c r="G39" i="94"/>
  <c r="G40" i="94"/>
  <c r="G41" i="94"/>
  <c r="G64" i="71"/>
  <c r="G63" i="71"/>
  <c r="G62" i="71"/>
  <c r="G37" i="87"/>
  <c r="G38" i="87"/>
  <c r="G40" i="87"/>
  <c r="G36" i="87"/>
  <c r="G39" i="87"/>
  <c r="G41" i="87"/>
  <c r="G35" i="87"/>
  <c r="G34" i="87"/>
  <c r="I30" i="66"/>
  <c r="O30" i="66"/>
  <c r="G66" i="87"/>
  <c r="D30" i="79"/>
  <c r="O62" i="79"/>
  <c r="I62" i="79"/>
  <c r="L62" i="79"/>
  <c r="O75" i="96"/>
  <c r="G40" i="77"/>
  <c r="G39" i="77"/>
  <c r="G38" i="77"/>
  <c r="G41" i="77"/>
  <c r="G36" i="77"/>
  <c r="G64" i="79"/>
  <c r="G63" i="79"/>
  <c r="L75" i="96"/>
  <c r="M72" i="96" s="1"/>
  <c r="G37" i="90"/>
  <c r="G40" i="90"/>
  <c r="G42" i="90"/>
  <c r="G38" i="90"/>
  <c r="G39" i="90"/>
  <c r="L36" i="65"/>
  <c r="I36" i="65"/>
  <c r="O36" i="65"/>
  <c r="I42" i="72"/>
  <c r="O42" i="72"/>
  <c r="L42" i="72"/>
  <c r="I62" i="74"/>
  <c r="O62" i="74"/>
  <c r="O62" i="64"/>
  <c r="I62" i="64"/>
  <c r="L62" i="64"/>
  <c r="O62" i="89"/>
  <c r="I62" i="89"/>
  <c r="L62" i="89"/>
  <c r="G42" i="91"/>
  <c r="G37" i="91"/>
  <c r="G40" i="91"/>
  <c r="G41" i="91"/>
  <c r="G63" i="74"/>
  <c r="G64" i="74"/>
  <c r="L36" i="93"/>
  <c r="G63" i="72"/>
  <c r="G64" i="72"/>
  <c r="G40" i="80"/>
  <c r="G42" i="80"/>
  <c r="G41" i="80"/>
  <c r="G37" i="80"/>
  <c r="G38" i="80"/>
  <c r="G36" i="80"/>
  <c r="G41" i="90"/>
  <c r="D31" i="65"/>
  <c r="G39" i="74"/>
  <c r="G40" i="74"/>
  <c r="G42" i="74"/>
  <c r="G37" i="74"/>
  <c r="G41" i="74"/>
  <c r="G38" i="74"/>
  <c r="O74" i="96"/>
  <c r="I74" i="96"/>
  <c r="G40" i="64"/>
  <c r="G37" i="64"/>
  <c r="G38" i="64"/>
  <c r="G42" i="64"/>
  <c r="G36" i="64"/>
  <c r="G39" i="64"/>
  <c r="L62" i="65"/>
  <c r="I62" i="65"/>
  <c r="G42" i="77"/>
  <c r="I39" i="83"/>
  <c r="L39" i="83"/>
  <c r="O39" i="83"/>
  <c r="D31" i="83"/>
  <c r="D31" i="81"/>
  <c r="D31" i="71"/>
  <c r="D31" i="77"/>
  <c r="D31" i="72"/>
  <c r="D31" i="76"/>
  <c r="D31" i="91"/>
  <c r="D31" i="86"/>
  <c r="D31" i="73"/>
  <c r="D31" i="79"/>
  <c r="D31" i="90"/>
  <c r="D31" i="89"/>
  <c r="D31" i="66"/>
  <c r="D31" i="78"/>
  <c r="D31" i="74"/>
  <c r="D31" i="84"/>
  <c r="D31" i="64"/>
  <c r="D31" i="80"/>
  <c r="G63" i="65"/>
  <c r="G64" i="65"/>
  <c r="D33" i="65"/>
  <c r="D33" i="90"/>
  <c r="D33" i="71"/>
  <c r="D33" i="84"/>
  <c r="D33" i="89"/>
  <c r="D33" i="83"/>
  <c r="D33" i="73"/>
  <c r="D33" i="91"/>
  <c r="D33" i="72"/>
  <c r="D33" i="66"/>
  <c r="D33" i="77"/>
  <c r="D33" i="76"/>
  <c r="D33" i="86"/>
  <c r="D33" i="64"/>
  <c r="D33" i="82"/>
  <c r="D33" i="80"/>
  <c r="D33" i="78"/>
  <c r="D33" i="74"/>
  <c r="D33" i="81"/>
  <c r="D33" i="79"/>
  <c r="I36" i="81"/>
  <c r="O36" i="81"/>
  <c r="L36" i="81"/>
  <c r="G63" i="84"/>
  <c r="G64" i="84"/>
  <c r="I36" i="93"/>
  <c r="G66" i="96"/>
  <c r="G67" i="96"/>
  <c r="G67" i="94"/>
  <c r="G66" i="94"/>
  <c r="G65" i="94"/>
  <c r="L36" i="84"/>
  <c r="I36" i="84"/>
  <c r="O36" i="84"/>
  <c r="G42" i="89"/>
  <c r="G38" i="89"/>
  <c r="G40" i="89"/>
  <c r="G37" i="89"/>
  <c r="G36" i="89"/>
  <c r="G38" i="91"/>
  <c r="G39" i="86"/>
  <c r="G38" i="86"/>
  <c r="G42" i="86"/>
  <c r="G41" i="86"/>
  <c r="G40" i="86"/>
  <c r="G37" i="86"/>
  <c r="G40" i="93"/>
  <c r="G38" i="93"/>
  <c r="G37" i="93"/>
  <c r="G39" i="93"/>
  <c r="G41" i="93"/>
  <c r="G42" i="93"/>
  <c r="G41" i="96"/>
  <c r="G39" i="96"/>
  <c r="G37" i="96"/>
  <c r="G38" i="96"/>
  <c r="G40" i="96"/>
  <c r="I63" i="66"/>
  <c r="L63" i="66"/>
  <c r="O63" i="66"/>
  <c r="L36" i="66"/>
  <c r="O36" i="66"/>
  <c r="O36" i="73"/>
  <c r="I36" i="73"/>
  <c r="I63" i="85"/>
  <c r="L63" i="85"/>
  <c r="O63" i="85"/>
  <c r="I74" i="93"/>
  <c r="O74" i="93"/>
  <c r="P72" i="93" s="1"/>
  <c r="G38" i="66"/>
  <c r="G40" i="66"/>
  <c r="G41" i="66"/>
  <c r="G37" i="66"/>
  <c r="G39" i="66"/>
  <c r="G42" i="66"/>
  <c r="G63" i="64"/>
  <c r="G64" i="64"/>
  <c r="G63" i="89"/>
  <c r="G64" i="89"/>
  <c r="O62" i="86"/>
  <c r="L62" i="86"/>
  <c r="I62" i="86"/>
  <c r="G62" i="83"/>
  <c r="G42" i="84"/>
  <c r="G63" i="80"/>
  <c r="G62" i="80"/>
  <c r="G64" i="80"/>
  <c r="O73" i="87"/>
  <c r="L73" i="87"/>
  <c r="L74" i="87"/>
  <c r="I73" i="87"/>
  <c r="J71" i="87" s="1"/>
  <c r="O74" i="87"/>
  <c r="I62" i="73"/>
  <c r="O62" i="73"/>
  <c r="L62" i="73"/>
  <c r="O63" i="83"/>
  <c r="I63" i="83"/>
  <c r="L63" i="83"/>
  <c r="G39" i="84"/>
  <c r="G41" i="84"/>
  <c r="G38" i="84"/>
  <c r="G37" i="84"/>
  <c r="G40" i="84"/>
  <c r="G38" i="72"/>
  <c r="O65" i="95"/>
  <c r="L65" i="95"/>
  <c r="I65" i="95"/>
  <c r="I62" i="78"/>
  <c r="L62" i="78"/>
  <c r="G40" i="65"/>
  <c r="G41" i="65"/>
  <c r="G42" i="65"/>
  <c r="G39" i="65"/>
  <c r="O36" i="78"/>
  <c r="G63" i="78"/>
  <c r="G64" i="78"/>
  <c r="G38" i="71"/>
  <c r="G37" i="71"/>
  <c r="G36" i="71"/>
  <c r="G42" i="71"/>
  <c r="G41" i="71"/>
  <c r="G39" i="71"/>
  <c r="L38" i="78"/>
  <c r="G38" i="81"/>
  <c r="G39" i="81"/>
  <c r="G40" i="81"/>
  <c r="G41" i="81"/>
  <c r="G37" i="81"/>
  <c r="G39" i="76"/>
  <c r="G38" i="76"/>
  <c r="G42" i="76"/>
  <c r="G37" i="76"/>
  <c r="G40" i="76"/>
  <c r="G36" i="76"/>
  <c r="G62" i="85"/>
  <c r="O40" i="71"/>
  <c r="I42" i="81"/>
  <c r="I74" i="94"/>
  <c r="O74" i="94"/>
  <c r="I75" i="94"/>
  <c r="L75" i="94"/>
  <c r="M72" i="94" s="1"/>
  <c r="O75" i="94"/>
  <c r="I41" i="76"/>
  <c r="G40" i="72"/>
  <c r="G39" i="72"/>
  <c r="G37" i="72"/>
  <c r="G41" i="72"/>
  <c r="G36" i="72"/>
  <c r="G64" i="83"/>
  <c r="G37" i="83"/>
  <c r="G38" i="83"/>
  <c r="G42" i="83"/>
  <c r="G40" i="83"/>
  <c r="G36" i="83"/>
  <c r="G41" i="83"/>
  <c r="G37" i="78"/>
  <c r="G42" i="78"/>
  <c r="G40" i="78"/>
  <c r="G39" i="78"/>
  <c r="G41" i="78"/>
  <c r="I75" i="93"/>
  <c r="G41" i="73"/>
  <c r="G39" i="73"/>
  <c r="G37" i="73"/>
  <c r="G38" i="73"/>
  <c r="G42" i="73"/>
  <c r="G40" i="73"/>
  <c r="G38" i="79"/>
  <c r="G39" i="79"/>
  <c r="G42" i="79"/>
  <c r="G36" i="79"/>
  <c r="G41" i="79"/>
  <c r="G40" i="79"/>
  <c r="G37" i="79"/>
  <c r="G64" i="66"/>
  <c r="G64" i="75"/>
  <c r="O67" i="93"/>
  <c r="L67" i="93"/>
  <c r="I67" i="93"/>
  <c r="G63" i="73"/>
  <c r="G64" i="73"/>
  <c r="I63" i="75"/>
  <c r="O63" i="75"/>
  <c r="F20" i="21"/>
  <c r="K22" i="21" s="1"/>
  <c r="F26" i="21"/>
  <c r="G64" i="86"/>
  <c r="G63" i="86"/>
  <c r="G66" i="95"/>
  <c r="G67" i="95"/>
  <c r="G62" i="75"/>
  <c r="M72" i="92"/>
  <c r="P67" i="87"/>
  <c r="I74" i="95"/>
  <c r="J72" i="95" s="1"/>
  <c r="O74" i="92"/>
  <c r="I65" i="92"/>
  <c r="L65" i="92"/>
  <c r="O67" i="92"/>
  <c r="P63" i="92" s="1"/>
  <c r="L67" i="92"/>
  <c r="I67" i="92"/>
  <c r="G66" i="93"/>
  <c r="O74" i="95"/>
  <c r="L75" i="95"/>
  <c r="FA33" i="29"/>
  <c r="DK33" i="29"/>
  <c r="FE33" i="29"/>
  <c r="EC33" i="29"/>
  <c r="EA33" i="29"/>
  <c r="DJ33" i="29"/>
  <c r="EB33" i="29"/>
  <c r="EW33" i="29"/>
  <c r="DQ33" i="29"/>
  <c r="ED33" i="29"/>
  <c r="DZ33" i="29"/>
  <c r="DI33" i="29"/>
  <c r="DH33" i="29"/>
  <c r="DA33" i="29"/>
  <c r="CX33" i="29"/>
  <c r="DW33" i="29"/>
  <c r="EY33" i="29"/>
  <c r="EZ33" i="29"/>
  <c r="FH33" i="29"/>
  <c r="FI33" i="29"/>
  <c r="EI33" i="29"/>
  <c r="EN33" i="29"/>
  <c r="K15" i="21"/>
  <c r="DB33" i="29"/>
  <c r="DM33" i="29"/>
  <c r="DD33" i="29"/>
  <c r="FB33" i="29"/>
  <c r="EM33" i="29"/>
  <c r="EL33" i="29"/>
  <c r="FK33" i="29"/>
  <c r="DU33" i="29"/>
  <c r="EG33" i="29"/>
  <c r="FC33" i="29"/>
  <c r="EK33" i="29"/>
  <c r="K14" i="21"/>
  <c r="EE33" i="29"/>
  <c r="ES33" i="29"/>
  <c r="FD33" i="29"/>
  <c r="EO33" i="29"/>
  <c r="ET33" i="29"/>
  <c r="DC33" i="29"/>
  <c r="DX33" i="29"/>
  <c r="EF33" i="29"/>
  <c r="EU33" i="29"/>
  <c r="DR33" i="29"/>
  <c r="EJ33" i="29"/>
  <c r="CY33" i="29"/>
  <c r="DN33" i="29"/>
  <c r="FL33" i="29"/>
  <c r="DV33" i="29"/>
  <c r="DO33" i="29"/>
  <c r="FM33" i="29"/>
  <c r="DY33" i="29"/>
  <c r="FG33" i="29"/>
  <c r="EH33" i="29"/>
  <c r="DS33" i="29"/>
  <c r="DG33" i="29"/>
  <c r="I30" i="78" l="1"/>
  <c r="O30" i="78"/>
  <c r="I38" i="65"/>
  <c r="O36" i="96"/>
  <c r="O30" i="83"/>
  <c r="O30" i="77"/>
  <c r="L30" i="77"/>
  <c r="P72" i="92"/>
  <c r="I36" i="96"/>
  <c r="I36" i="91"/>
  <c r="O36" i="91"/>
  <c r="O37" i="65"/>
  <c r="M72" i="95"/>
  <c r="I37" i="65"/>
  <c r="J72" i="96"/>
  <c r="P72" i="95"/>
  <c r="L38" i="65"/>
  <c r="I64" i="85"/>
  <c r="O64" i="85"/>
  <c r="Q31" i="21"/>
  <c r="M72" i="93"/>
  <c r="O42" i="81"/>
  <c r="L42" i="81"/>
  <c r="I62" i="66"/>
  <c r="L62" i="66"/>
  <c r="O65" i="93"/>
  <c r="P63" i="93" s="1"/>
  <c r="L65" i="93"/>
  <c r="M63" i="93" s="1"/>
  <c r="L36" i="78"/>
  <c r="I36" i="78"/>
  <c r="J63" i="93"/>
  <c r="P72" i="96"/>
  <c r="J72" i="92"/>
  <c r="L41" i="89"/>
  <c r="O41" i="89"/>
  <c r="I41" i="89"/>
  <c r="L36" i="76"/>
  <c r="O36" i="76"/>
  <c r="I36" i="76"/>
  <c r="I39" i="71"/>
  <c r="O39" i="71"/>
  <c r="L39" i="71"/>
  <c r="L40" i="65"/>
  <c r="O40" i="65"/>
  <c r="I40" i="65"/>
  <c r="L62" i="80"/>
  <c r="I62" i="80"/>
  <c r="O62" i="80"/>
  <c r="L39" i="66"/>
  <c r="I39" i="66"/>
  <c r="O39" i="66"/>
  <c r="O41" i="93"/>
  <c r="I41" i="93"/>
  <c r="L41" i="93"/>
  <c r="L38" i="91"/>
  <c r="I38" i="91"/>
  <c r="O38" i="91"/>
  <c r="L67" i="94"/>
  <c r="I67" i="94"/>
  <c r="O67" i="94"/>
  <c r="O33" i="78"/>
  <c r="L33" i="78"/>
  <c r="I33" i="78"/>
  <c r="I33" i="89"/>
  <c r="L33" i="89"/>
  <c r="O33" i="89"/>
  <c r="I31" i="78"/>
  <c r="L31" i="78"/>
  <c r="O31" i="78"/>
  <c r="I31" i="81"/>
  <c r="O31" i="81"/>
  <c r="L31" i="81"/>
  <c r="L42" i="74"/>
  <c r="O42" i="74"/>
  <c r="I42" i="74"/>
  <c r="I63" i="72"/>
  <c r="O63" i="72"/>
  <c r="L63" i="72"/>
  <c r="I39" i="90"/>
  <c r="L39" i="90"/>
  <c r="O39" i="90"/>
  <c r="I40" i="77"/>
  <c r="L40" i="77"/>
  <c r="O40" i="77"/>
  <c r="L66" i="87"/>
  <c r="O66" i="87"/>
  <c r="I66" i="87"/>
  <c r="I37" i="87"/>
  <c r="O37" i="87"/>
  <c r="L37" i="87"/>
  <c r="I30" i="81"/>
  <c r="O30" i="81"/>
  <c r="L30" i="81"/>
  <c r="I32" i="73"/>
  <c r="O32" i="73"/>
  <c r="L32" i="73"/>
  <c r="I40" i="75"/>
  <c r="O40" i="75"/>
  <c r="L40" i="75"/>
  <c r="O30" i="84"/>
  <c r="L30" i="84"/>
  <c r="I30" i="84"/>
  <c r="L41" i="95"/>
  <c r="I41" i="95"/>
  <c r="O41" i="95"/>
  <c r="O36" i="89"/>
  <c r="L36" i="89"/>
  <c r="I36" i="89"/>
  <c r="I67" i="96"/>
  <c r="J63" i="96" s="1"/>
  <c r="O67" i="96"/>
  <c r="P63" i="96" s="1"/>
  <c r="L67" i="96"/>
  <c r="M63" i="96" s="1"/>
  <c r="L33" i="80"/>
  <c r="O33" i="80"/>
  <c r="I33" i="80"/>
  <c r="I33" i="84"/>
  <c r="O33" i="84"/>
  <c r="L33" i="84"/>
  <c r="O31" i="66"/>
  <c r="I31" i="66"/>
  <c r="L31" i="66"/>
  <c r="I31" i="83"/>
  <c r="O31" i="83"/>
  <c r="L31" i="83"/>
  <c r="L39" i="64"/>
  <c r="I39" i="64"/>
  <c r="O39" i="64"/>
  <c r="I40" i="74"/>
  <c r="L40" i="74"/>
  <c r="O40" i="74"/>
  <c r="O38" i="90"/>
  <c r="I38" i="90"/>
  <c r="L38" i="90"/>
  <c r="L62" i="71"/>
  <c r="O62" i="71"/>
  <c r="I62" i="71"/>
  <c r="O30" i="80"/>
  <c r="L30" i="80"/>
  <c r="I30" i="80"/>
  <c r="L32" i="83"/>
  <c r="I32" i="83"/>
  <c r="O32" i="83"/>
  <c r="O30" i="71"/>
  <c r="L30" i="71"/>
  <c r="I30" i="71"/>
  <c r="L40" i="95"/>
  <c r="O40" i="95"/>
  <c r="I40" i="95"/>
  <c r="O37" i="66"/>
  <c r="L37" i="66"/>
  <c r="I37" i="66"/>
  <c r="O40" i="73"/>
  <c r="L40" i="73"/>
  <c r="I40" i="73"/>
  <c r="I41" i="83"/>
  <c r="L41" i="83"/>
  <c r="O41" i="83"/>
  <c r="L37" i="76"/>
  <c r="I37" i="76"/>
  <c r="O37" i="76"/>
  <c r="L42" i="71"/>
  <c r="I42" i="71"/>
  <c r="O42" i="71"/>
  <c r="I42" i="84"/>
  <c r="O42" i="84"/>
  <c r="L42" i="84"/>
  <c r="I41" i="66"/>
  <c r="L41" i="66"/>
  <c r="O41" i="66"/>
  <c r="I37" i="93"/>
  <c r="L37" i="93"/>
  <c r="O37" i="93"/>
  <c r="I37" i="89"/>
  <c r="L37" i="89"/>
  <c r="O37" i="89"/>
  <c r="O33" i="82"/>
  <c r="L33" i="82"/>
  <c r="I33" i="82"/>
  <c r="I33" i="71"/>
  <c r="O33" i="71"/>
  <c r="L33" i="71"/>
  <c r="I31" i="89"/>
  <c r="O31" i="89"/>
  <c r="L31" i="89"/>
  <c r="O36" i="64"/>
  <c r="I36" i="64"/>
  <c r="L36" i="64"/>
  <c r="L39" i="74"/>
  <c r="O39" i="74"/>
  <c r="I39" i="74"/>
  <c r="O42" i="90"/>
  <c r="L42" i="90"/>
  <c r="I42" i="90"/>
  <c r="L63" i="71"/>
  <c r="I63" i="71"/>
  <c r="O63" i="71"/>
  <c r="O30" i="89"/>
  <c r="L30" i="89"/>
  <c r="I30" i="89"/>
  <c r="I40" i="88"/>
  <c r="L40" i="88"/>
  <c r="O40" i="88"/>
  <c r="I32" i="91"/>
  <c r="L32" i="91"/>
  <c r="O32" i="91"/>
  <c r="I62" i="81"/>
  <c r="L62" i="81"/>
  <c r="O62" i="81"/>
  <c r="L38" i="95"/>
  <c r="I38" i="95"/>
  <c r="O38" i="95"/>
  <c r="L39" i="93"/>
  <c r="I39" i="93"/>
  <c r="O39" i="93"/>
  <c r="L63" i="86"/>
  <c r="I63" i="86"/>
  <c r="O63" i="86"/>
  <c r="I64" i="75"/>
  <c r="O64" i="75"/>
  <c r="L64" i="75"/>
  <c r="I36" i="83"/>
  <c r="O36" i="83"/>
  <c r="L36" i="83"/>
  <c r="L42" i="76"/>
  <c r="I42" i="76"/>
  <c r="O42" i="76"/>
  <c r="O62" i="83"/>
  <c r="L62" i="83"/>
  <c r="I62" i="83"/>
  <c r="I40" i="66"/>
  <c r="L40" i="66"/>
  <c r="O40" i="66"/>
  <c r="L38" i="93"/>
  <c r="I38" i="93"/>
  <c r="O38" i="93"/>
  <c r="I40" i="89"/>
  <c r="L40" i="89"/>
  <c r="O40" i="89"/>
  <c r="L33" i="64"/>
  <c r="O33" i="64"/>
  <c r="I33" i="64"/>
  <c r="L33" i="90"/>
  <c r="O33" i="90"/>
  <c r="I33" i="90"/>
  <c r="I31" i="90"/>
  <c r="L31" i="90"/>
  <c r="O31" i="90"/>
  <c r="L42" i="64"/>
  <c r="I42" i="64"/>
  <c r="O42" i="64"/>
  <c r="I31" i="65"/>
  <c r="O31" i="65"/>
  <c r="L31" i="65"/>
  <c r="I64" i="74"/>
  <c r="O64" i="74"/>
  <c r="L64" i="74"/>
  <c r="L40" i="90"/>
  <c r="O40" i="90"/>
  <c r="I40" i="90"/>
  <c r="L64" i="71"/>
  <c r="I64" i="71"/>
  <c r="O64" i="71"/>
  <c r="I30" i="90"/>
  <c r="O30" i="90"/>
  <c r="L30" i="90"/>
  <c r="I38" i="88"/>
  <c r="O38" i="88"/>
  <c r="L38" i="88"/>
  <c r="I32" i="82"/>
  <c r="J27" i="82" s="1"/>
  <c r="O32" i="82"/>
  <c r="P27" i="82" s="1"/>
  <c r="L32" i="82"/>
  <c r="M27" i="82" s="1"/>
  <c r="L32" i="71"/>
  <c r="O32" i="71"/>
  <c r="I32" i="71"/>
  <c r="O64" i="81"/>
  <c r="I64" i="81"/>
  <c r="L64" i="81"/>
  <c r="I63" i="73"/>
  <c r="O63" i="73"/>
  <c r="L63" i="73"/>
  <c r="L37" i="78"/>
  <c r="O37" i="78"/>
  <c r="I37" i="78"/>
  <c r="I40" i="76"/>
  <c r="L40" i="76"/>
  <c r="O40" i="76"/>
  <c r="O63" i="80"/>
  <c r="I63" i="80"/>
  <c r="L63" i="80"/>
  <c r="O42" i="73"/>
  <c r="I42" i="73"/>
  <c r="L42" i="73"/>
  <c r="O36" i="71"/>
  <c r="I36" i="71"/>
  <c r="L36" i="71"/>
  <c r="L64" i="86"/>
  <c r="O64" i="86"/>
  <c r="I64" i="86"/>
  <c r="J60" i="86" s="1"/>
  <c r="O38" i="73"/>
  <c r="L38" i="73"/>
  <c r="I38" i="73"/>
  <c r="L40" i="83"/>
  <c r="O40" i="83"/>
  <c r="I40" i="83"/>
  <c r="O38" i="76"/>
  <c r="L38" i="76"/>
  <c r="I38" i="76"/>
  <c r="I37" i="71"/>
  <c r="O37" i="71"/>
  <c r="L37" i="71"/>
  <c r="O38" i="66"/>
  <c r="L38" i="66"/>
  <c r="I38" i="66"/>
  <c r="I40" i="93"/>
  <c r="L40" i="93"/>
  <c r="O40" i="93"/>
  <c r="I38" i="89"/>
  <c r="O38" i="89"/>
  <c r="L38" i="89"/>
  <c r="L64" i="84"/>
  <c r="I64" i="84"/>
  <c r="O64" i="84"/>
  <c r="O33" i="86"/>
  <c r="I33" i="86"/>
  <c r="L33" i="86"/>
  <c r="O33" i="65"/>
  <c r="L33" i="65"/>
  <c r="I33" i="65"/>
  <c r="O31" i="79"/>
  <c r="L31" i="79"/>
  <c r="I31" i="79"/>
  <c r="L38" i="64"/>
  <c r="O38" i="64"/>
  <c r="I38" i="64"/>
  <c r="I41" i="90"/>
  <c r="O41" i="90"/>
  <c r="L41" i="90"/>
  <c r="L63" i="74"/>
  <c r="O63" i="74"/>
  <c r="I63" i="74"/>
  <c r="I37" i="90"/>
  <c r="L37" i="90"/>
  <c r="O37" i="90"/>
  <c r="O41" i="94"/>
  <c r="I41" i="94"/>
  <c r="L41" i="94"/>
  <c r="I30" i="65"/>
  <c r="L30" i="65"/>
  <c r="O30" i="65"/>
  <c r="L41" i="88"/>
  <c r="I41" i="88"/>
  <c r="O41" i="88"/>
  <c r="O32" i="74"/>
  <c r="L32" i="74"/>
  <c r="I32" i="74"/>
  <c r="O32" i="89"/>
  <c r="I32" i="89"/>
  <c r="L32" i="89"/>
  <c r="O63" i="76"/>
  <c r="I63" i="76"/>
  <c r="L63" i="76"/>
  <c r="O62" i="77"/>
  <c r="L62" i="77"/>
  <c r="I62" i="77"/>
  <c r="I30" i="72"/>
  <c r="L30" i="72"/>
  <c r="O30" i="72"/>
  <c r="I62" i="75"/>
  <c r="O62" i="75"/>
  <c r="L62" i="75"/>
  <c r="I42" i="78"/>
  <c r="L42" i="78"/>
  <c r="O42" i="78"/>
  <c r="L40" i="72"/>
  <c r="O40" i="72"/>
  <c r="I40" i="72"/>
  <c r="I37" i="73"/>
  <c r="O37" i="73"/>
  <c r="L37" i="73"/>
  <c r="O42" i="89"/>
  <c r="I42" i="89"/>
  <c r="L42" i="89"/>
  <c r="O33" i="76"/>
  <c r="L33" i="76"/>
  <c r="I33" i="76"/>
  <c r="I31" i="73"/>
  <c r="O31" i="73"/>
  <c r="L31" i="73"/>
  <c r="L36" i="80"/>
  <c r="O36" i="80"/>
  <c r="I36" i="80"/>
  <c r="I34" i="87"/>
  <c r="O34" i="87"/>
  <c r="L34" i="87"/>
  <c r="I40" i="94"/>
  <c r="L40" i="94"/>
  <c r="O40" i="94"/>
  <c r="O42" i="88"/>
  <c r="I42" i="88"/>
  <c r="L42" i="88"/>
  <c r="L32" i="77"/>
  <c r="O32" i="77"/>
  <c r="I32" i="77"/>
  <c r="L32" i="90"/>
  <c r="O32" i="90"/>
  <c r="I32" i="90"/>
  <c r="I64" i="76"/>
  <c r="O64" i="76"/>
  <c r="L64" i="76"/>
  <c r="I64" i="77"/>
  <c r="L64" i="77"/>
  <c r="O64" i="77"/>
  <c r="O36" i="85"/>
  <c r="L36" i="85"/>
  <c r="I36" i="85"/>
  <c r="L39" i="79"/>
  <c r="I39" i="79"/>
  <c r="O39" i="79"/>
  <c r="I38" i="71"/>
  <c r="L38" i="71"/>
  <c r="O38" i="71"/>
  <c r="J63" i="92"/>
  <c r="I37" i="79"/>
  <c r="O37" i="79"/>
  <c r="L37" i="79"/>
  <c r="L39" i="73"/>
  <c r="I39" i="73"/>
  <c r="O39" i="73"/>
  <c r="L38" i="83"/>
  <c r="I38" i="83"/>
  <c r="O38" i="83"/>
  <c r="P72" i="94"/>
  <c r="I37" i="81"/>
  <c r="L37" i="81"/>
  <c r="O37" i="81"/>
  <c r="O64" i="78"/>
  <c r="I64" i="78"/>
  <c r="L64" i="78"/>
  <c r="O38" i="72"/>
  <c r="I38" i="72"/>
  <c r="L38" i="72"/>
  <c r="J72" i="93"/>
  <c r="O40" i="96"/>
  <c r="L40" i="96"/>
  <c r="I40" i="96"/>
  <c r="L37" i="86"/>
  <c r="O37" i="86"/>
  <c r="I37" i="86"/>
  <c r="I33" i="77"/>
  <c r="O33" i="77"/>
  <c r="L33" i="77"/>
  <c r="L64" i="65"/>
  <c r="I64" i="65"/>
  <c r="O64" i="65"/>
  <c r="O31" i="86"/>
  <c r="L31" i="86"/>
  <c r="I31" i="86"/>
  <c r="I40" i="64"/>
  <c r="L40" i="64"/>
  <c r="O40" i="64"/>
  <c r="L38" i="80"/>
  <c r="I38" i="80"/>
  <c r="O38" i="80"/>
  <c r="I41" i="91"/>
  <c r="O41" i="91"/>
  <c r="L41" i="91"/>
  <c r="L63" i="79"/>
  <c r="I63" i="79"/>
  <c r="O63" i="79"/>
  <c r="L35" i="87"/>
  <c r="I35" i="87"/>
  <c r="O35" i="87"/>
  <c r="I39" i="94"/>
  <c r="L39" i="94"/>
  <c r="O39" i="94"/>
  <c r="O39" i="88"/>
  <c r="I39" i="88"/>
  <c r="L39" i="88"/>
  <c r="O32" i="86"/>
  <c r="I32" i="86"/>
  <c r="L32" i="86"/>
  <c r="O32" i="64"/>
  <c r="L32" i="64"/>
  <c r="I32" i="64"/>
  <c r="L38" i="92"/>
  <c r="O38" i="92"/>
  <c r="I38" i="92"/>
  <c r="I63" i="77"/>
  <c r="L63" i="77"/>
  <c r="O63" i="77"/>
  <c r="L37" i="85"/>
  <c r="I37" i="85"/>
  <c r="O37" i="85"/>
  <c r="I30" i="86"/>
  <c r="L30" i="86"/>
  <c r="O30" i="86"/>
  <c r="EB14" i="29"/>
  <c r="L37" i="72"/>
  <c r="O37" i="72"/>
  <c r="I37" i="72"/>
  <c r="L38" i="79"/>
  <c r="I38" i="79"/>
  <c r="O38" i="79"/>
  <c r="O67" i="95"/>
  <c r="P63" i="95" s="1"/>
  <c r="L67" i="95"/>
  <c r="M63" i="95" s="1"/>
  <c r="I67" i="95"/>
  <c r="J63" i="95" s="1"/>
  <c r="L41" i="71"/>
  <c r="O41" i="71"/>
  <c r="I41" i="71"/>
  <c r="O64" i="66"/>
  <c r="P60" i="66" s="1"/>
  <c r="ES16" i="29" s="1"/>
  <c r="L64" i="66"/>
  <c r="M60" i="66" s="1"/>
  <c r="DV16" i="29" s="1"/>
  <c r="I64" i="66"/>
  <c r="J60" i="66" s="1"/>
  <c r="CY16" i="29" s="1"/>
  <c r="L37" i="64"/>
  <c r="O37" i="64"/>
  <c r="I37" i="64"/>
  <c r="I40" i="79"/>
  <c r="O40" i="79"/>
  <c r="L40" i="79"/>
  <c r="L41" i="73"/>
  <c r="O41" i="73"/>
  <c r="I41" i="73"/>
  <c r="O37" i="83"/>
  <c r="L37" i="83"/>
  <c r="I37" i="83"/>
  <c r="J72" i="94"/>
  <c r="O41" i="81"/>
  <c r="I41" i="81"/>
  <c r="L41" i="81"/>
  <c r="I63" i="78"/>
  <c r="O63" i="78"/>
  <c r="L63" i="78"/>
  <c r="L40" i="84"/>
  <c r="O40" i="84"/>
  <c r="I40" i="84"/>
  <c r="L64" i="89"/>
  <c r="O64" i="89"/>
  <c r="I64" i="89"/>
  <c r="L38" i="96"/>
  <c r="I38" i="96"/>
  <c r="O38" i="96"/>
  <c r="L40" i="86"/>
  <c r="I40" i="86"/>
  <c r="O40" i="86"/>
  <c r="O33" i="66"/>
  <c r="I33" i="66"/>
  <c r="L33" i="66"/>
  <c r="O63" i="65"/>
  <c r="L63" i="65"/>
  <c r="M60" i="65" s="1"/>
  <c r="DX16" i="29" s="1"/>
  <c r="I63" i="65"/>
  <c r="J60" i="65" s="1"/>
  <c r="DA16" i="29" s="1"/>
  <c r="L31" i="91"/>
  <c r="I31" i="91"/>
  <c r="O31" i="91"/>
  <c r="L37" i="80"/>
  <c r="I37" i="80"/>
  <c r="O37" i="80"/>
  <c r="I40" i="91"/>
  <c r="L40" i="91"/>
  <c r="O40" i="91"/>
  <c r="I64" i="79"/>
  <c r="L64" i="79"/>
  <c r="O64" i="79"/>
  <c r="I41" i="87"/>
  <c r="O41" i="87"/>
  <c r="L41" i="87"/>
  <c r="O38" i="94"/>
  <c r="I38" i="94"/>
  <c r="L38" i="94"/>
  <c r="L37" i="88"/>
  <c r="O37" i="88"/>
  <c r="I37" i="88"/>
  <c r="M14" i="21"/>
  <c r="I32" i="79"/>
  <c r="L32" i="79"/>
  <c r="O32" i="79"/>
  <c r="L32" i="80"/>
  <c r="I32" i="80"/>
  <c r="O32" i="80"/>
  <c r="O37" i="92"/>
  <c r="I37" i="92"/>
  <c r="L37" i="92"/>
  <c r="O37" i="75"/>
  <c r="L37" i="75"/>
  <c r="I37" i="75"/>
  <c r="L42" i="85"/>
  <c r="O42" i="85"/>
  <c r="I42" i="85"/>
  <c r="DE14" i="29"/>
  <c r="DE21" i="29" s="1"/>
  <c r="L39" i="72"/>
  <c r="I39" i="72"/>
  <c r="O39" i="72"/>
  <c r="M63" i="92"/>
  <c r="I39" i="76"/>
  <c r="L39" i="76"/>
  <c r="O39" i="76"/>
  <c r="L63" i="84"/>
  <c r="I63" i="84"/>
  <c r="O63" i="84"/>
  <c r="I41" i="79"/>
  <c r="L41" i="79"/>
  <c r="O41" i="79"/>
  <c r="O64" i="83"/>
  <c r="I64" i="83"/>
  <c r="L64" i="83"/>
  <c r="L63" i="89"/>
  <c r="I63" i="89"/>
  <c r="O63" i="89"/>
  <c r="I37" i="96"/>
  <c r="L37" i="96"/>
  <c r="O37" i="96"/>
  <c r="L41" i="86"/>
  <c r="I41" i="86"/>
  <c r="O41" i="86"/>
  <c r="L33" i="72"/>
  <c r="I33" i="72"/>
  <c r="O33" i="72"/>
  <c r="L31" i="80"/>
  <c r="O31" i="80"/>
  <c r="I31" i="80"/>
  <c r="O31" i="76"/>
  <c r="I31" i="76"/>
  <c r="L31" i="76"/>
  <c r="L41" i="80"/>
  <c r="I41" i="80"/>
  <c r="O41" i="80"/>
  <c r="O37" i="91"/>
  <c r="I37" i="91"/>
  <c r="L37" i="91"/>
  <c r="L36" i="77"/>
  <c r="O36" i="77"/>
  <c r="I36" i="77"/>
  <c r="O39" i="87"/>
  <c r="I39" i="87"/>
  <c r="L39" i="87"/>
  <c r="I37" i="94"/>
  <c r="O37" i="94"/>
  <c r="L37" i="94"/>
  <c r="M22" i="21"/>
  <c r="Q19" i="21" s="1"/>
  <c r="L32" i="72"/>
  <c r="O32" i="72"/>
  <c r="I32" i="72"/>
  <c r="I32" i="65"/>
  <c r="L32" i="65"/>
  <c r="O32" i="65"/>
  <c r="I42" i="92"/>
  <c r="L42" i="92"/>
  <c r="O42" i="92"/>
  <c r="I39" i="75"/>
  <c r="L39" i="75"/>
  <c r="O39" i="75"/>
  <c r="I40" i="85"/>
  <c r="O40" i="85"/>
  <c r="L40" i="85"/>
  <c r="O64" i="87"/>
  <c r="P62" i="87" s="1"/>
  <c r="L64" i="87"/>
  <c r="M62" i="87" s="1"/>
  <c r="I64" i="87"/>
  <c r="J62" i="87" s="1"/>
  <c r="EY14" i="29"/>
  <c r="EY21" i="29" s="1"/>
  <c r="K29" i="21"/>
  <c r="M29" i="21" s="1"/>
  <c r="K28" i="21"/>
  <c r="M28" i="21" s="1"/>
  <c r="L42" i="83"/>
  <c r="O42" i="83"/>
  <c r="I42" i="83"/>
  <c r="O40" i="81"/>
  <c r="I40" i="81"/>
  <c r="L40" i="81"/>
  <c r="I36" i="79"/>
  <c r="L36" i="79"/>
  <c r="O36" i="79"/>
  <c r="I41" i="78"/>
  <c r="O41" i="78"/>
  <c r="L41" i="78"/>
  <c r="O36" i="72"/>
  <c r="L36" i="72"/>
  <c r="I36" i="72"/>
  <c r="O39" i="81"/>
  <c r="I39" i="81"/>
  <c r="L39" i="81"/>
  <c r="L39" i="65"/>
  <c r="I39" i="65"/>
  <c r="O39" i="65"/>
  <c r="O38" i="84"/>
  <c r="L38" i="84"/>
  <c r="I38" i="84"/>
  <c r="M71" i="87"/>
  <c r="I64" i="64"/>
  <c r="O64" i="64"/>
  <c r="L64" i="64"/>
  <c r="L39" i="96"/>
  <c r="O39" i="96"/>
  <c r="I39" i="96"/>
  <c r="L42" i="86"/>
  <c r="O42" i="86"/>
  <c r="I42" i="86"/>
  <c r="I33" i="79"/>
  <c r="L33" i="79"/>
  <c r="O33" i="79"/>
  <c r="L33" i="91"/>
  <c r="I33" i="91"/>
  <c r="O33" i="91"/>
  <c r="O31" i="64"/>
  <c r="L31" i="64"/>
  <c r="I31" i="64"/>
  <c r="J27" i="64" s="1"/>
  <c r="L31" i="72"/>
  <c r="I31" i="72"/>
  <c r="O31" i="72"/>
  <c r="I38" i="74"/>
  <c r="O38" i="74"/>
  <c r="L38" i="74"/>
  <c r="I42" i="80"/>
  <c r="L42" i="80"/>
  <c r="O42" i="80"/>
  <c r="I42" i="91"/>
  <c r="L42" i="91"/>
  <c r="O42" i="91"/>
  <c r="L41" i="77"/>
  <c r="I41" i="77"/>
  <c r="O41" i="77"/>
  <c r="O36" i="87"/>
  <c r="L36" i="87"/>
  <c r="I36" i="87"/>
  <c r="I42" i="94"/>
  <c r="O42" i="94"/>
  <c r="L42" i="94"/>
  <c r="O32" i="66"/>
  <c r="L32" i="66"/>
  <c r="I32" i="66"/>
  <c r="O32" i="76"/>
  <c r="L32" i="76"/>
  <c r="I32" i="76"/>
  <c r="O40" i="92"/>
  <c r="L40" i="92"/>
  <c r="I40" i="92"/>
  <c r="I42" i="75"/>
  <c r="O42" i="75"/>
  <c r="L42" i="75"/>
  <c r="O41" i="85"/>
  <c r="L41" i="85"/>
  <c r="I41" i="85"/>
  <c r="L42" i="95"/>
  <c r="O42" i="95"/>
  <c r="I42" i="95"/>
  <c r="O40" i="78"/>
  <c r="I40" i="78"/>
  <c r="L40" i="78"/>
  <c r="L37" i="84"/>
  <c r="O37" i="84"/>
  <c r="I37" i="84"/>
  <c r="O64" i="73"/>
  <c r="L64" i="73"/>
  <c r="I64" i="73"/>
  <c r="J60" i="73" s="1"/>
  <c r="DB16" i="29" s="1"/>
  <c r="O42" i="79"/>
  <c r="L42" i="79"/>
  <c r="I42" i="79"/>
  <c r="L39" i="78"/>
  <c r="I39" i="78"/>
  <c r="O39" i="78"/>
  <c r="L41" i="72"/>
  <c r="O41" i="72"/>
  <c r="I41" i="72"/>
  <c r="I38" i="81"/>
  <c r="L38" i="81"/>
  <c r="O38" i="81"/>
  <c r="O42" i="65"/>
  <c r="L42" i="65"/>
  <c r="I42" i="65"/>
  <c r="L41" i="84"/>
  <c r="I41" i="84"/>
  <c r="O41" i="84"/>
  <c r="P71" i="87"/>
  <c r="O63" i="64"/>
  <c r="L63" i="64"/>
  <c r="I63" i="64"/>
  <c r="I41" i="96"/>
  <c r="O41" i="96"/>
  <c r="L41" i="96"/>
  <c r="L38" i="86"/>
  <c r="O38" i="86"/>
  <c r="I38" i="86"/>
  <c r="L65" i="94"/>
  <c r="O65" i="94"/>
  <c r="P63" i="94" s="1"/>
  <c r="I65" i="94"/>
  <c r="J63" i="94" s="1"/>
  <c r="O33" i="81"/>
  <c r="I33" i="81"/>
  <c r="L33" i="81"/>
  <c r="I33" i="73"/>
  <c r="L33" i="73"/>
  <c r="O33" i="73"/>
  <c r="O31" i="84"/>
  <c r="L31" i="84"/>
  <c r="I31" i="84"/>
  <c r="O31" i="77"/>
  <c r="I31" i="77"/>
  <c r="L31" i="77"/>
  <c r="I42" i="77"/>
  <c r="L42" i="77"/>
  <c r="O42" i="77"/>
  <c r="I41" i="74"/>
  <c r="O41" i="74"/>
  <c r="L41" i="74"/>
  <c r="I40" i="80"/>
  <c r="L40" i="80"/>
  <c r="O40" i="80"/>
  <c r="O38" i="77"/>
  <c r="I38" i="77"/>
  <c r="L38" i="77"/>
  <c r="L40" i="87"/>
  <c r="O40" i="87"/>
  <c r="I40" i="87"/>
  <c r="O30" i="91"/>
  <c r="I30" i="91"/>
  <c r="L30" i="91"/>
  <c r="O32" i="84"/>
  <c r="I32" i="84"/>
  <c r="L32" i="84"/>
  <c r="O32" i="81"/>
  <c r="L32" i="81"/>
  <c r="I32" i="81"/>
  <c r="L39" i="92"/>
  <c r="I39" i="92"/>
  <c r="O39" i="92"/>
  <c r="I41" i="75"/>
  <c r="O41" i="75"/>
  <c r="L41" i="75"/>
  <c r="L38" i="85"/>
  <c r="O38" i="85"/>
  <c r="I38" i="85"/>
  <c r="I30" i="76"/>
  <c r="O30" i="76"/>
  <c r="L30" i="76"/>
  <c r="I37" i="95"/>
  <c r="O37" i="95"/>
  <c r="L37" i="95"/>
  <c r="O62" i="85"/>
  <c r="L62" i="85"/>
  <c r="M60" i="85" s="1"/>
  <c r="EK16" i="29" s="1"/>
  <c r="I62" i="85"/>
  <c r="I41" i="65"/>
  <c r="O41" i="65"/>
  <c r="L41" i="65"/>
  <c r="O39" i="84"/>
  <c r="L39" i="84"/>
  <c r="I39" i="84"/>
  <c r="L64" i="80"/>
  <c r="O64" i="80"/>
  <c r="I64" i="80"/>
  <c r="I42" i="66"/>
  <c r="O42" i="66"/>
  <c r="L42" i="66"/>
  <c r="O42" i="93"/>
  <c r="L42" i="93"/>
  <c r="I42" i="93"/>
  <c r="L39" i="86"/>
  <c r="I39" i="86"/>
  <c r="O39" i="86"/>
  <c r="O33" i="74"/>
  <c r="L33" i="74"/>
  <c r="I33" i="74"/>
  <c r="O33" i="83"/>
  <c r="L33" i="83"/>
  <c r="I33" i="83"/>
  <c r="L31" i="74"/>
  <c r="I31" i="74"/>
  <c r="O31" i="74"/>
  <c r="O31" i="71"/>
  <c r="L31" i="71"/>
  <c r="I31" i="71"/>
  <c r="O37" i="74"/>
  <c r="L37" i="74"/>
  <c r="I37" i="74"/>
  <c r="O64" i="72"/>
  <c r="I64" i="72"/>
  <c r="J60" i="72" s="1"/>
  <c r="DC16" i="29" s="1"/>
  <c r="L64" i="72"/>
  <c r="I39" i="77"/>
  <c r="L39" i="77"/>
  <c r="O39" i="77"/>
  <c r="I30" i="79"/>
  <c r="O30" i="79"/>
  <c r="L30" i="79"/>
  <c r="I38" i="87"/>
  <c r="L38" i="87"/>
  <c r="O38" i="87"/>
  <c r="L30" i="74"/>
  <c r="I30" i="74"/>
  <c r="O30" i="74"/>
  <c r="M15" i="21"/>
  <c r="O32" i="78"/>
  <c r="L32" i="78"/>
  <c r="I32" i="78"/>
  <c r="L41" i="92"/>
  <c r="I41" i="92"/>
  <c r="O41" i="92"/>
  <c r="I38" i="75"/>
  <c r="L38" i="75"/>
  <c r="O38" i="75"/>
  <c r="L39" i="85"/>
  <c r="O39" i="85"/>
  <c r="I39" i="85"/>
  <c r="O39" i="95"/>
  <c r="I39" i="95"/>
  <c r="L39" i="95"/>
  <c r="J27" i="86" l="1"/>
  <c r="J27" i="83"/>
  <c r="J60" i="74"/>
  <c r="DD16" i="29" s="1"/>
  <c r="P60" i="85"/>
  <c r="FH16" i="29" s="1"/>
  <c r="P27" i="64"/>
  <c r="M27" i="86"/>
  <c r="P27" i="73"/>
  <c r="P27" i="83"/>
  <c r="P27" i="91"/>
  <c r="M27" i="64"/>
  <c r="DU13" i="29" s="1"/>
  <c r="M27" i="73"/>
  <c r="J27" i="78"/>
  <c r="DH13" i="29" s="1"/>
  <c r="M27" i="74"/>
  <c r="M27" i="66"/>
  <c r="M60" i="84"/>
  <c r="EJ16" i="29" s="1"/>
  <c r="J60" i="85"/>
  <c r="DN16" i="29" s="1"/>
  <c r="M27" i="79"/>
  <c r="M27" i="76"/>
  <c r="M27" i="77"/>
  <c r="ED13" i="29" s="1"/>
  <c r="J27" i="66"/>
  <c r="CY13" i="29" s="1"/>
  <c r="J27" i="77"/>
  <c r="DG13" i="29" s="1"/>
  <c r="M60" i="86"/>
  <c r="EM16" i="29" s="1"/>
  <c r="EM60" i="29" s="1"/>
  <c r="R19" i="7" s="1"/>
  <c r="P27" i="71"/>
  <c r="P27" i="66"/>
  <c r="ES13" i="29" s="1"/>
  <c r="M27" i="83"/>
  <c r="J27" i="79"/>
  <c r="J27" i="76"/>
  <c r="P27" i="77"/>
  <c r="FA13" i="29" s="1"/>
  <c r="M27" i="81"/>
  <c r="P27" i="78"/>
  <c r="P27" i="76"/>
  <c r="EZ13" i="29" s="1"/>
  <c r="J60" i="84"/>
  <c r="DM16" i="29" s="1"/>
  <c r="M27" i="78"/>
  <c r="M63" i="94"/>
  <c r="J27" i="65"/>
  <c r="P27" i="90"/>
  <c r="M27" i="71"/>
  <c r="P27" i="81"/>
  <c r="P27" i="72"/>
  <c r="J27" i="81"/>
  <c r="M27" i="91"/>
  <c r="J27" i="74"/>
  <c r="J27" i="91"/>
  <c r="J75" i="91" s="1"/>
  <c r="J1" i="91" s="1"/>
  <c r="M27" i="72"/>
  <c r="J27" i="89"/>
  <c r="J27" i="80"/>
  <c r="J27" i="84"/>
  <c r="J27" i="72"/>
  <c r="M27" i="89"/>
  <c r="M27" i="80"/>
  <c r="M27" i="84"/>
  <c r="J27" i="90"/>
  <c r="P27" i="86"/>
  <c r="P27" i="89"/>
  <c r="P27" i="80"/>
  <c r="P27" i="84"/>
  <c r="J27" i="73"/>
  <c r="DB13" i="29" s="1"/>
  <c r="P27" i="65"/>
  <c r="P27" i="79"/>
  <c r="FC13" i="29" s="1"/>
  <c r="M27" i="65"/>
  <c r="M27" i="90"/>
  <c r="J27" i="71"/>
  <c r="P27" i="74"/>
  <c r="P60" i="76"/>
  <c r="EZ16" i="29" s="1"/>
  <c r="P60" i="84"/>
  <c r="FG16" i="29" s="1"/>
  <c r="FG60" i="29" s="1"/>
  <c r="P34" i="65"/>
  <c r="M60" i="73"/>
  <c r="DY16" i="29" s="1"/>
  <c r="L28" i="30" s="1"/>
  <c r="P60" i="89"/>
  <c r="J60" i="64"/>
  <c r="CX16" i="29" s="1"/>
  <c r="CX60" i="29" s="1"/>
  <c r="J60" i="75"/>
  <c r="DE16" i="29" s="1"/>
  <c r="M34" i="74"/>
  <c r="EA14" i="29" s="1"/>
  <c r="N23" i="30" s="1"/>
  <c r="ER13" i="29"/>
  <c r="P60" i="86"/>
  <c r="FJ16" i="29" s="1"/>
  <c r="FJ60" i="29" s="1"/>
  <c r="J34" i="73"/>
  <c r="DB14" i="29" s="1"/>
  <c r="P34" i="74"/>
  <c r="EX14" i="29" s="1"/>
  <c r="M60" i="75"/>
  <c r="EB16" i="29" s="1"/>
  <c r="DP16" i="29"/>
  <c r="DP60" i="29" s="1"/>
  <c r="M60" i="72"/>
  <c r="DZ16" i="29" s="1"/>
  <c r="DZ60" i="29" s="1"/>
  <c r="G19" i="7" s="1"/>
  <c r="J34" i="90"/>
  <c r="DS14" i="29" s="1"/>
  <c r="J60" i="78"/>
  <c r="DH16" i="29" s="1"/>
  <c r="DH60" i="29" s="1"/>
  <c r="J34" i="74"/>
  <c r="DD14" i="29" s="1"/>
  <c r="J60" i="79"/>
  <c r="DI16" i="29" s="1"/>
  <c r="DI60" i="29" s="1"/>
  <c r="M60" i="89"/>
  <c r="J34" i="81"/>
  <c r="DK14" i="29" s="1"/>
  <c r="M34" i="81"/>
  <c r="EH14" i="29" s="1"/>
  <c r="K18" i="7" s="1"/>
  <c r="M60" i="64"/>
  <c r="DU16" i="29" s="1"/>
  <c r="DU60" i="29" s="1"/>
  <c r="D19" i="7" s="1"/>
  <c r="P60" i="64"/>
  <c r="ER16" i="29" s="1"/>
  <c r="P34" i="88"/>
  <c r="P75" i="88" s="1"/>
  <c r="P1" i="88" s="1"/>
  <c r="DI13" i="29"/>
  <c r="M60" i="78"/>
  <c r="EE16" i="29" s="1"/>
  <c r="EE60" i="29" s="1"/>
  <c r="H19" i="7" s="1"/>
  <c r="EV13" i="29"/>
  <c r="M60" i="76"/>
  <c r="EC16" i="29" s="1"/>
  <c r="R28" i="30" s="1"/>
  <c r="M60" i="79"/>
  <c r="EF16" i="29" s="1"/>
  <c r="FL13" i="29"/>
  <c r="M34" i="79"/>
  <c r="EF14" i="29" s="1"/>
  <c r="I18" i="7" s="1"/>
  <c r="J34" i="95"/>
  <c r="J76" i="95" s="1"/>
  <c r="J1" i="95" s="1"/>
  <c r="M34" i="65"/>
  <c r="P34" i="92"/>
  <c r="P76" i="92" s="1"/>
  <c r="P1" i="92" s="1"/>
  <c r="P60" i="78"/>
  <c r="FB16" i="29" s="1"/>
  <c r="FB60" i="29" s="1"/>
  <c r="J34" i="86"/>
  <c r="DP14" i="29" s="1"/>
  <c r="M34" i="73"/>
  <c r="DY14" i="29" s="1"/>
  <c r="M34" i="95"/>
  <c r="M76" i="95" s="1"/>
  <c r="M1" i="95" s="1"/>
  <c r="P34" i="94"/>
  <c r="P76" i="94" s="1"/>
  <c r="P1" i="94" s="1"/>
  <c r="J34" i="94"/>
  <c r="J76" i="94" s="1"/>
  <c r="J1" i="94" s="1"/>
  <c r="P34" i="81"/>
  <c r="FE14" i="29" s="1"/>
  <c r="M34" i="90"/>
  <c r="EP14" i="29" s="1"/>
  <c r="P34" i="86"/>
  <c r="FJ14" i="29" s="1"/>
  <c r="J34" i="84"/>
  <c r="DM14" i="29" s="1"/>
  <c r="J34" i="65"/>
  <c r="P60" i="79"/>
  <c r="FC16" i="29" s="1"/>
  <c r="FC60" i="29" s="1"/>
  <c r="P34" i="96"/>
  <c r="P76" i="96" s="1"/>
  <c r="P1" i="96" s="1"/>
  <c r="M34" i="78"/>
  <c r="EE14" i="29" s="1"/>
  <c r="H18" i="7" s="1"/>
  <c r="FK13" i="29"/>
  <c r="FK21" i="29" s="1"/>
  <c r="M34" i="96"/>
  <c r="J60" i="89"/>
  <c r="P34" i="66"/>
  <c r="P60" i="72"/>
  <c r="EW16" i="29" s="1"/>
  <c r="EW60" i="29" s="1"/>
  <c r="P34" i="84"/>
  <c r="FG14" i="29" s="1"/>
  <c r="J34" i="77"/>
  <c r="DG14" i="29" s="1"/>
  <c r="J34" i="96"/>
  <c r="J76" i="96" s="1"/>
  <c r="J1" i="96" s="1"/>
  <c r="P60" i="73"/>
  <c r="EV16" i="29" s="1"/>
  <c r="EV47" i="29" s="1"/>
  <c r="M34" i="84"/>
  <c r="EJ14" i="29" s="1"/>
  <c r="V23" i="30" s="1"/>
  <c r="Q8" i="21"/>
  <c r="DH28" i="29" s="1"/>
  <c r="P60" i="74"/>
  <c r="EX16" i="29" s="1"/>
  <c r="EX60" i="29" s="1"/>
  <c r="M34" i="93"/>
  <c r="P34" i="78"/>
  <c r="FB14" i="29" s="1"/>
  <c r="J34" i="72"/>
  <c r="DC14" i="29" s="1"/>
  <c r="J34" i="88"/>
  <c r="J75" i="88" s="1"/>
  <c r="J1" i="88" s="1"/>
  <c r="P34" i="91"/>
  <c r="FL14" i="29" s="1"/>
  <c r="J60" i="76"/>
  <c r="DF16" i="29" s="1"/>
  <c r="DF60" i="29" s="1"/>
  <c r="P34" i="90"/>
  <c r="FM14" i="29" s="1"/>
  <c r="M34" i="66"/>
  <c r="J34" i="93"/>
  <c r="J76" i="93" s="1"/>
  <c r="J1" i="93" s="1"/>
  <c r="M34" i="91"/>
  <c r="EO14" i="29" s="1"/>
  <c r="Q18" i="7" s="1"/>
  <c r="M34" i="92"/>
  <c r="M76" i="92" s="1"/>
  <c r="M1" i="92" s="1"/>
  <c r="M34" i="88"/>
  <c r="M75" i="88" s="1"/>
  <c r="M1" i="88" s="1"/>
  <c r="J34" i="91"/>
  <c r="DR14" i="29" s="1"/>
  <c r="P34" i="73"/>
  <c r="EV14" i="29" s="1"/>
  <c r="P60" i="75"/>
  <c r="J34" i="92"/>
  <c r="J76" i="92" s="1"/>
  <c r="J1" i="92" s="1"/>
  <c r="FF13" i="29"/>
  <c r="DB60" i="29"/>
  <c r="DB47" i="29"/>
  <c r="FB13" i="29"/>
  <c r="DD60" i="29"/>
  <c r="V28" i="30"/>
  <c r="EJ60" i="29"/>
  <c r="O19" i="7" s="1"/>
  <c r="DX60" i="29"/>
  <c r="E19" i="7" s="1"/>
  <c r="DV60" i="29"/>
  <c r="J28" i="30"/>
  <c r="M76" i="93"/>
  <c r="M1" i="93" s="1"/>
  <c r="ER60" i="29"/>
  <c r="DC60" i="29"/>
  <c r="J34" i="80"/>
  <c r="DJ14" i="29" s="1"/>
  <c r="P34" i="79"/>
  <c r="FC14" i="29" s="1"/>
  <c r="M75" i="82"/>
  <c r="M1" i="82" s="1"/>
  <c r="EN13" i="29"/>
  <c r="M32" i="87"/>
  <c r="M75" i="87" s="1"/>
  <c r="P34" i="64"/>
  <c r="M60" i="80"/>
  <c r="EG16" i="29" s="1"/>
  <c r="P60" i="65"/>
  <c r="EU16" i="29" s="1"/>
  <c r="P32" i="87"/>
  <c r="P75" i="87" s="1"/>
  <c r="P34" i="93"/>
  <c r="J34" i="89"/>
  <c r="EK60" i="29"/>
  <c r="J34" i="79"/>
  <c r="DI14" i="29" s="1"/>
  <c r="EY24" i="29"/>
  <c r="EY22" i="29"/>
  <c r="CY60" i="29"/>
  <c r="J34" i="85"/>
  <c r="J32" i="87"/>
  <c r="J75" i="87" s="1"/>
  <c r="J60" i="77"/>
  <c r="DG16" i="29" s="1"/>
  <c r="M34" i="83"/>
  <c r="EI14" i="29" s="1"/>
  <c r="N18" i="7" s="1"/>
  <c r="M34" i="89"/>
  <c r="DM60" i="29"/>
  <c r="Q25" i="21"/>
  <c r="EF60" i="29"/>
  <c r="I19" i="7" s="1"/>
  <c r="M60" i="77"/>
  <c r="ED16" i="29" s="1"/>
  <c r="DY60" i="29"/>
  <c r="L19" i="7" s="1"/>
  <c r="P34" i="83"/>
  <c r="FF14" i="29" s="1"/>
  <c r="P34" i="89"/>
  <c r="M34" i="86"/>
  <c r="EM14" i="29" s="1"/>
  <c r="R18" i="7" s="1"/>
  <c r="EZ60" i="29"/>
  <c r="P34" i="85"/>
  <c r="P60" i="77"/>
  <c r="FA16" i="29" s="1"/>
  <c r="M34" i="71"/>
  <c r="J34" i="78"/>
  <c r="DH14" i="29" s="1"/>
  <c r="J34" i="83"/>
  <c r="DL14" i="29" s="1"/>
  <c r="DN60" i="29"/>
  <c r="FH60" i="29"/>
  <c r="M34" i="85"/>
  <c r="DA60" i="29"/>
  <c r="DE24" i="29"/>
  <c r="DE22" i="29"/>
  <c r="M60" i="74"/>
  <c r="EA16" i="29" s="1"/>
  <c r="N28" i="30" s="1"/>
  <c r="J34" i="71"/>
  <c r="M76" i="96"/>
  <c r="M1" i="96" s="1"/>
  <c r="M34" i="72"/>
  <c r="DZ14" i="29" s="1"/>
  <c r="G18" i="7" s="1"/>
  <c r="P34" i="77"/>
  <c r="FA14" i="29" s="1"/>
  <c r="EB21" i="29"/>
  <c r="P34" i="80"/>
  <c r="FD14" i="29" s="1"/>
  <c r="J60" i="83"/>
  <c r="DL16" i="29" s="1"/>
  <c r="J60" i="71"/>
  <c r="CZ16" i="29" s="1"/>
  <c r="J34" i="76"/>
  <c r="DF14" i="29" s="1"/>
  <c r="M34" i="77"/>
  <c r="ED14" i="29" s="1"/>
  <c r="ES60" i="29"/>
  <c r="M34" i="80"/>
  <c r="EG14" i="29" s="1"/>
  <c r="P18" i="7" s="1"/>
  <c r="M60" i="83"/>
  <c r="EI16" i="29" s="1"/>
  <c r="P60" i="81"/>
  <c r="FE16" i="29" s="1"/>
  <c r="P60" i="71"/>
  <c r="ET16" i="29" s="1"/>
  <c r="P34" i="76"/>
  <c r="EZ14" i="29" s="1"/>
  <c r="M75" i="75"/>
  <c r="M1" i="75" s="1"/>
  <c r="P60" i="83"/>
  <c r="FF16" i="29" s="1"/>
  <c r="M60" i="81"/>
  <c r="EH16" i="29" s="1"/>
  <c r="M60" i="71"/>
  <c r="DW16" i="29" s="1"/>
  <c r="M34" i="76"/>
  <c r="EC14" i="29" s="1"/>
  <c r="L23" i="30"/>
  <c r="L18" i="7"/>
  <c r="P34" i="71"/>
  <c r="P34" i="95"/>
  <c r="P34" i="72"/>
  <c r="EW14" i="29" s="1"/>
  <c r="EV29" i="29"/>
  <c r="EV34" i="29" s="1"/>
  <c r="DQ29" i="29"/>
  <c r="EC29" i="29"/>
  <c r="FI29" i="29"/>
  <c r="FA29" i="29"/>
  <c r="DV29" i="29"/>
  <c r="DJ29" i="29"/>
  <c r="EP29" i="29"/>
  <c r="ED29" i="29"/>
  <c r="DK29" i="29"/>
  <c r="DX29" i="29"/>
  <c r="EL29" i="29"/>
  <c r="EB29" i="29"/>
  <c r="FB29" i="29"/>
  <c r="FF29" i="29"/>
  <c r="DU29" i="29"/>
  <c r="DS29" i="29"/>
  <c r="DA29" i="29"/>
  <c r="FL29" i="29"/>
  <c r="EN29" i="29"/>
  <c r="EH29" i="29"/>
  <c r="FH29" i="29"/>
  <c r="CY29" i="29"/>
  <c r="FG29" i="29"/>
  <c r="ET29" i="29"/>
  <c r="ES29" i="29"/>
  <c r="CX29" i="29"/>
  <c r="EK29" i="29"/>
  <c r="DB29" i="29"/>
  <c r="DB34" i="29" s="1"/>
  <c r="DN29" i="29"/>
  <c r="DM29" i="29"/>
  <c r="EA29" i="29"/>
  <c r="DI29" i="29"/>
  <c r="DE29" i="29"/>
  <c r="DH29" i="29"/>
  <c r="EG29" i="29"/>
  <c r="DO29" i="29"/>
  <c r="DD29" i="29"/>
  <c r="FK29" i="29"/>
  <c r="CZ29" i="29"/>
  <c r="EZ29" i="29"/>
  <c r="EE29" i="29"/>
  <c r="FM29" i="29"/>
  <c r="EO29" i="29"/>
  <c r="EX29" i="29"/>
  <c r="FE29" i="29"/>
  <c r="FJ29" i="29"/>
  <c r="DG29" i="29"/>
  <c r="EF29" i="29"/>
  <c r="DZ29" i="29"/>
  <c r="DW29" i="29"/>
  <c r="DP29" i="29"/>
  <c r="EI29" i="29"/>
  <c r="FD29" i="29"/>
  <c r="EW29" i="29"/>
  <c r="EY29" i="29"/>
  <c r="ER29" i="29"/>
  <c r="DL29" i="29"/>
  <c r="DC29" i="29"/>
  <c r="EU29" i="29"/>
  <c r="EJ29" i="29"/>
  <c r="DF29" i="29"/>
  <c r="FC29" i="29"/>
  <c r="EM29" i="29"/>
  <c r="DY29" i="29"/>
  <c r="J60" i="81"/>
  <c r="DK16" i="29" s="1"/>
  <c r="M34" i="64"/>
  <c r="P60" i="80"/>
  <c r="FD16" i="29" s="1"/>
  <c r="J75" i="82"/>
  <c r="J1" i="82" s="1"/>
  <c r="DQ13" i="29"/>
  <c r="DQ21" i="29" s="1"/>
  <c r="M34" i="94"/>
  <c r="J34" i="64"/>
  <c r="J34" i="66"/>
  <c r="J60" i="80"/>
  <c r="DJ16" i="29" s="1"/>
  <c r="M18" i="7" l="1"/>
  <c r="DR13" i="29"/>
  <c r="DR21" i="29" s="1"/>
  <c r="DU14" i="29"/>
  <c r="D18" i="7" s="1"/>
  <c r="M75" i="64"/>
  <c r="CZ14" i="29"/>
  <c r="J75" i="71"/>
  <c r="J1" i="71" s="1"/>
  <c r="EU14" i="29"/>
  <c r="P75" i="65"/>
  <c r="P1" i="65" s="1"/>
  <c r="CY14" i="29"/>
  <c r="CY21" i="29" s="1"/>
  <c r="J75" i="66"/>
  <c r="J1" i="66" s="1"/>
  <c r="CX14" i="29"/>
  <c r="J75" i="64"/>
  <c r="J1" i="64" s="1"/>
  <c r="P75" i="91"/>
  <c r="P1" i="91" s="1"/>
  <c r="ES14" i="29"/>
  <c r="ES21" i="29" s="1"/>
  <c r="ES22" i="29" s="1"/>
  <c r="P75" i="66"/>
  <c r="ER14" i="29"/>
  <c r="P75" i="64"/>
  <c r="DV14" i="29"/>
  <c r="J23" i="30" s="1"/>
  <c r="M75" i="66"/>
  <c r="M1" i="66" s="1"/>
  <c r="DA14" i="29"/>
  <c r="J75" i="65"/>
  <c r="J1" i="65" s="1"/>
  <c r="DX14" i="29"/>
  <c r="E18" i="7" s="1"/>
  <c r="M75" i="65"/>
  <c r="M1" i="65" s="1"/>
  <c r="DW14" i="29"/>
  <c r="M75" i="71"/>
  <c r="M1" i="71" s="1"/>
  <c r="ET14" i="29"/>
  <c r="P75" i="71"/>
  <c r="M75" i="73"/>
  <c r="M1" i="73" s="1"/>
  <c r="DY13" i="29"/>
  <c r="DO14" i="29"/>
  <c r="DO21" i="29" s="1"/>
  <c r="DO24" i="29" s="1"/>
  <c r="M75" i="79"/>
  <c r="M1" i="79" s="1"/>
  <c r="EL14" i="29"/>
  <c r="EL21" i="29" s="1"/>
  <c r="EL22" i="29" s="1"/>
  <c r="P75" i="78"/>
  <c r="P1" i="78" s="1"/>
  <c r="O18" i="7"/>
  <c r="EF13" i="29"/>
  <c r="EF21" i="29" s="1"/>
  <c r="CX13" i="29"/>
  <c r="CX21" i="29" s="1"/>
  <c r="DO28" i="29"/>
  <c r="DO47" i="29" s="1"/>
  <c r="FL21" i="29"/>
  <c r="FL22" i="29" s="1"/>
  <c r="DB21" i="29"/>
  <c r="DB24" i="29" s="1"/>
  <c r="DB59" i="29" s="1"/>
  <c r="J75" i="73"/>
  <c r="J1" i="73" s="1"/>
  <c r="J75" i="75"/>
  <c r="J1" i="75" s="1"/>
  <c r="K1" i="75" s="1"/>
  <c r="DJ28" i="29"/>
  <c r="DJ47" i="29" s="1"/>
  <c r="FI14" i="29"/>
  <c r="FI21" i="29" s="1"/>
  <c r="FI24" i="29" s="1"/>
  <c r="FM28" i="29"/>
  <c r="FM34" i="29" s="1"/>
  <c r="DX13" i="29"/>
  <c r="E17" i="7" s="1"/>
  <c r="FD28" i="29"/>
  <c r="FD34" i="29" s="1"/>
  <c r="EY28" i="29"/>
  <c r="EY34" i="29" s="1"/>
  <c r="EY49" i="29" s="1"/>
  <c r="EV21" i="29"/>
  <c r="EV24" i="29" s="1"/>
  <c r="EV59" i="29" s="1"/>
  <c r="P75" i="73"/>
  <c r="P1" i="73" s="1"/>
  <c r="EO28" i="29"/>
  <c r="EO34" i="29" s="1"/>
  <c r="FA28" i="29"/>
  <c r="FA34" i="29" s="1"/>
  <c r="FE28" i="29"/>
  <c r="EI28" i="29"/>
  <c r="EI47" i="29" s="1"/>
  <c r="CY28" i="29"/>
  <c r="CY47" i="29" s="1"/>
  <c r="EC60" i="29"/>
  <c r="F19" i="7" s="1"/>
  <c r="DU28" i="29"/>
  <c r="DU34" i="29" s="1"/>
  <c r="EZ28" i="29"/>
  <c r="EZ47" i="29" s="1"/>
  <c r="DY28" i="29"/>
  <c r="DY47" i="29" s="1"/>
  <c r="ER28" i="29"/>
  <c r="ER47" i="29" s="1"/>
  <c r="DA28" i="29"/>
  <c r="DA47" i="29" s="1"/>
  <c r="DD28" i="29"/>
  <c r="DD47" i="29" s="1"/>
  <c r="EU28" i="29"/>
  <c r="EU34" i="29" s="1"/>
  <c r="FH28" i="29"/>
  <c r="FH47" i="29" s="1"/>
  <c r="DM28" i="29"/>
  <c r="DM47" i="29" s="1"/>
  <c r="DF28" i="29"/>
  <c r="DF47" i="29" s="1"/>
  <c r="EB28" i="29"/>
  <c r="EB47" i="29" s="1"/>
  <c r="FG28" i="29"/>
  <c r="FG34" i="29" s="1"/>
  <c r="EC28" i="29"/>
  <c r="EC47" i="29" s="1"/>
  <c r="DW28" i="29"/>
  <c r="DW34" i="29" s="1"/>
  <c r="FL28" i="29"/>
  <c r="FL47" i="29" s="1"/>
  <c r="EE28" i="29"/>
  <c r="EE47" i="29" s="1"/>
  <c r="FB28" i="29"/>
  <c r="FB47" i="29" s="1"/>
  <c r="DL28" i="29"/>
  <c r="DL47" i="29" s="1"/>
  <c r="ED28" i="29"/>
  <c r="ED34" i="29" s="1"/>
  <c r="EX28" i="29"/>
  <c r="EX47" i="29" s="1"/>
  <c r="EW28" i="29"/>
  <c r="EM28" i="29"/>
  <c r="EM47" i="29" s="1"/>
  <c r="EP28" i="29"/>
  <c r="EP34" i="29" s="1"/>
  <c r="EF28" i="29"/>
  <c r="EF47" i="29" s="1"/>
  <c r="EG28" i="29"/>
  <c r="EG47" i="29" s="1"/>
  <c r="CX28" i="29"/>
  <c r="CX47" i="29" s="1"/>
  <c r="CZ28" i="29"/>
  <c r="CZ34" i="29" s="1"/>
  <c r="EH28" i="29"/>
  <c r="EH47" i="29" s="1"/>
  <c r="DK28" i="29"/>
  <c r="DK47" i="29" s="1"/>
  <c r="EV60" i="29"/>
  <c r="DV28" i="29"/>
  <c r="DV47" i="29" s="1"/>
  <c r="DI28" i="29"/>
  <c r="DI47" i="29" s="1"/>
  <c r="DR28" i="29"/>
  <c r="DR34" i="29" s="1"/>
  <c r="DQ28" i="29"/>
  <c r="FI28" i="29"/>
  <c r="FI47" i="29" s="1"/>
  <c r="EL28" i="29"/>
  <c r="EL47" i="29" s="1"/>
  <c r="FF28" i="29"/>
  <c r="FF47" i="29" s="1"/>
  <c r="ET28" i="29"/>
  <c r="ET34" i="29" s="1"/>
  <c r="DC28" i="29"/>
  <c r="DC47" i="29" s="1"/>
  <c r="DS28" i="29"/>
  <c r="DS34" i="29" s="1"/>
  <c r="FB21" i="29"/>
  <c r="FB24" i="29" s="1"/>
  <c r="FB59" i="29" s="1"/>
  <c r="DG28" i="29"/>
  <c r="DG34" i="29" s="1"/>
  <c r="ES28" i="29"/>
  <c r="ES47" i="29" s="1"/>
  <c r="DX28" i="29"/>
  <c r="DX34" i="29" s="1"/>
  <c r="FJ28" i="29"/>
  <c r="FJ47" i="29" s="1"/>
  <c r="FK28" i="29"/>
  <c r="FK34" i="29" s="1"/>
  <c r="EJ28" i="29"/>
  <c r="EJ47" i="29" s="1"/>
  <c r="DP28" i="29"/>
  <c r="DP34" i="29" s="1"/>
  <c r="DN28" i="29"/>
  <c r="DN47" i="29" s="1"/>
  <c r="EN28" i="29"/>
  <c r="EN47" i="29" s="1"/>
  <c r="EK28" i="29"/>
  <c r="EK47" i="29" s="1"/>
  <c r="P1" i="66"/>
  <c r="P75" i="82"/>
  <c r="P1" i="82" s="1"/>
  <c r="N1" i="82" s="1"/>
  <c r="K1" i="88"/>
  <c r="K1" i="95"/>
  <c r="EZ21" i="29"/>
  <c r="J75" i="77"/>
  <c r="J1" i="77" s="1"/>
  <c r="J75" i="79"/>
  <c r="J1" i="79" s="1"/>
  <c r="FC28" i="29"/>
  <c r="FC47" i="29" s="1"/>
  <c r="DZ28" i="29"/>
  <c r="DZ47" i="29" s="1"/>
  <c r="DE28" i="29"/>
  <c r="DE47" i="29" s="1"/>
  <c r="EA28" i="29"/>
  <c r="EA34" i="29" s="1"/>
  <c r="P75" i="76"/>
  <c r="P1" i="76" s="1"/>
  <c r="K1" i="93"/>
  <c r="DG21" i="29"/>
  <c r="DG24" i="29" s="1"/>
  <c r="DG59" i="29" s="1"/>
  <c r="N1" i="88"/>
  <c r="EY16" i="29"/>
  <c r="P75" i="75"/>
  <c r="P1" i="75" s="1"/>
  <c r="N1" i="75" s="1"/>
  <c r="N1" i="92"/>
  <c r="DI21" i="29"/>
  <c r="DI24" i="29" s="1"/>
  <c r="DI59" i="29" s="1"/>
  <c r="K1" i="82"/>
  <c r="P75" i="79"/>
  <c r="P1" i="79" s="1"/>
  <c r="K1" i="92"/>
  <c r="J75" i="86"/>
  <c r="J1" i="86" s="1"/>
  <c r="DP13" i="29"/>
  <c r="DP21" i="29" s="1"/>
  <c r="DJ34" i="29"/>
  <c r="DH21" i="29"/>
  <c r="M75" i="77"/>
  <c r="M1" i="77" s="1"/>
  <c r="P75" i="83"/>
  <c r="P1" i="83" s="1"/>
  <c r="P75" i="85"/>
  <c r="P1" i="85" s="1"/>
  <c r="FH14" i="29"/>
  <c r="FH21" i="29" s="1"/>
  <c r="EO47" i="29"/>
  <c r="FK24" i="29"/>
  <c r="FK59" i="29" s="1"/>
  <c r="FK22" i="29"/>
  <c r="J75" i="78"/>
  <c r="J1" i="78" s="1"/>
  <c r="T22" i="30"/>
  <c r="J17" i="7"/>
  <c r="ED21" i="29"/>
  <c r="EG60" i="29"/>
  <c r="P19" i="7" s="1"/>
  <c r="D17" i="7"/>
  <c r="DU21" i="29"/>
  <c r="P1" i="64"/>
  <c r="M75" i="80"/>
  <c r="M1" i="80" s="1"/>
  <c r="EG13" i="29"/>
  <c r="EH60" i="29"/>
  <c r="J75" i="89"/>
  <c r="J1" i="89" s="1"/>
  <c r="DS13" i="29"/>
  <c r="DS21" i="29" s="1"/>
  <c r="J75" i="90"/>
  <c r="J1" i="90" s="1"/>
  <c r="T28" i="30"/>
  <c r="X28" i="30" s="1"/>
  <c r="ED60" i="29"/>
  <c r="J19" i="7" s="1"/>
  <c r="DG60" i="29"/>
  <c r="J75" i="81"/>
  <c r="J1" i="81" s="1"/>
  <c r="DK13" i="29"/>
  <c r="DK21" i="29" s="1"/>
  <c r="FE34" i="29"/>
  <c r="P1" i="71"/>
  <c r="ET13" i="29"/>
  <c r="P75" i="89"/>
  <c r="P1" i="89" s="1"/>
  <c r="FF60" i="29"/>
  <c r="DL60" i="29"/>
  <c r="P75" i="84"/>
  <c r="P1" i="84" s="1"/>
  <c r="FG13" i="29"/>
  <c r="FG21" i="29" s="1"/>
  <c r="EI34" i="29"/>
  <c r="M1" i="64"/>
  <c r="ER21" i="29"/>
  <c r="EI60" i="29"/>
  <c r="N19" i="7" s="1"/>
  <c r="DA13" i="29"/>
  <c r="J75" i="85"/>
  <c r="J1" i="85" s="1"/>
  <c r="DN14" i="29"/>
  <c r="DN21" i="29" s="1"/>
  <c r="M75" i="78"/>
  <c r="M1" i="78" s="1"/>
  <c r="EE13" i="29"/>
  <c r="J75" i="83"/>
  <c r="J1" i="83" s="1"/>
  <c r="DL13" i="29"/>
  <c r="DL21" i="29" s="1"/>
  <c r="FH34" i="29"/>
  <c r="DJ60" i="29"/>
  <c r="P76" i="95"/>
  <c r="P1" i="95" s="1"/>
  <c r="N1" i="95" s="1"/>
  <c r="CZ13" i="29"/>
  <c r="CZ21" i="29" s="1"/>
  <c r="L22" i="30"/>
  <c r="L17" i="7"/>
  <c r="DY21" i="29"/>
  <c r="EA60" i="29"/>
  <c r="M75" i="72"/>
  <c r="M1" i="72" s="1"/>
  <c r="DZ13" i="29"/>
  <c r="FD60" i="29"/>
  <c r="EU13" i="29"/>
  <c r="EU21" i="29" s="1"/>
  <c r="J75" i="80"/>
  <c r="J1" i="80" s="1"/>
  <c r="DJ13" i="29"/>
  <c r="DJ21" i="29" s="1"/>
  <c r="DH34" i="29"/>
  <c r="DH47" i="29"/>
  <c r="DW60" i="29"/>
  <c r="EB24" i="29"/>
  <c r="EB22" i="29"/>
  <c r="DV13" i="29"/>
  <c r="J75" i="72"/>
  <c r="J1" i="72" s="1"/>
  <c r="DC13" i="29"/>
  <c r="DC21" i="29" s="1"/>
  <c r="EW34" i="29"/>
  <c r="DM34" i="29"/>
  <c r="K1" i="96"/>
  <c r="CZ60" i="29"/>
  <c r="E52" i="3"/>
  <c r="DE25" i="29"/>
  <c r="FC21" i="29"/>
  <c r="P75" i="90"/>
  <c r="P1" i="90" s="1"/>
  <c r="FM13" i="29"/>
  <c r="FM21" i="29" s="1"/>
  <c r="EY25" i="29"/>
  <c r="K52" i="3"/>
  <c r="P76" i="93"/>
  <c r="P1" i="93" s="1"/>
  <c r="N1" i="93" s="1"/>
  <c r="EM34" i="29"/>
  <c r="DF34" i="29"/>
  <c r="N1" i="96"/>
  <c r="P75" i="86"/>
  <c r="P1" i="86" s="1"/>
  <c r="FJ13" i="29"/>
  <c r="FJ21" i="29" s="1"/>
  <c r="M75" i="84"/>
  <c r="M1" i="84" s="1"/>
  <c r="EJ13" i="29"/>
  <c r="EM13" i="29"/>
  <c r="M75" i="86"/>
  <c r="M1" i="86" s="1"/>
  <c r="M76" i="94"/>
  <c r="M1" i="94" s="1"/>
  <c r="EZ24" i="29"/>
  <c r="EZ59" i="29" s="1"/>
  <c r="EZ22" i="29"/>
  <c r="M75" i="83"/>
  <c r="M1" i="83" s="1"/>
  <c r="EI13" i="29"/>
  <c r="P22" i="30"/>
  <c r="EN21" i="29"/>
  <c r="P75" i="77"/>
  <c r="P1" i="77" s="1"/>
  <c r="P75" i="72"/>
  <c r="P1" i="72" s="1"/>
  <c r="EW13" i="29"/>
  <c r="EW21" i="29" s="1"/>
  <c r="FE60" i="29"/>
  <c r="FE47" i="29"/>
  <c r="M75" i="91"/>
  <c r="M1" i="91" s="1"/>
  <c r="EO13" i="29"/>
  <c r="DQ24" i="29"/>
  <c r="DQ59" i="29" s="1"/>
  <c r="DQ22" i="29"/>
  <c r="M75" i="81"/>
  <c r="M1" i="81" s="1"/>
  <c r="EH13" i="29"/>
  <c r="J75" i="84"/>
  <c r="J1" i="84" s="1"/>
  <c r="DM13" i="29"/>
  <c r="DM21" i="29" s="1"/>
  <c r="J75" i="76"/>
  <c r="J1" i="76" s="1"/>
  <c r="DF13" i="29"/>
  <c r="DF21" i="29" s="1"/>
  <c r="M75" i="74"/>
  <c r="M1" i="74" s="1"/>
  <c r="EA13" i="29"/>
  <c r="J75" i="74"/>
  <c r="J1" i="74" s="1"/>
  <c r="DD13" i="29"/>
  <c r="DD21" i="29" s="1"/>
  <c r="ET60" i="29"/>
  <c r="M75" i="85"/>
  <c r="M1" i="85" s="1"/>
  <c r="EK14" i="29"/>
  <c r="EK21" i="29" s="1"/>
  <c r="EU60" i="29"/>
  <c r="EX34" i="29"/>
  <c r="FA21" i="29"/>
  <c r="M75" i="89"/>
  <c r="M1" i="89" s="1"/>
  <c r="P75" i="80"/>
  <c r="P1" i="80" s="1"/>
  <c r="FD13" i="29"/>
  <c r="FD21" i="29" s="1"/>
  <c r="FE13" i="29"/>
  <c r="FE21" i="29" s="1"/>
  <c r="P75" i="81"/>
  <c r="P1" i="81" s="1"/>
  <c r="M75" i="76"/>
  <c r="M1" i="76" s="1"/>
  <c r="EC13" i="29"/>
  <c r="DK60" i="29"/>
  <c r="P75" i="74"/>
  <c r="P1" i="74" s="1"/>
  <c r="EX13" i="29"/>
  <c r="EX21" i="29" s="1"/>
  <c r="F18" i="7"/>
  <c r="R23" i="30"/>
  <c r="DW13" i="29"/>
  <c r="T23" i="30"/>
  <c r="J18" i="7"/>
  <c r="DR22" i="29"/>
  <c r="DR24" i="29"/>
  <c r="DR59" i="29" s="1"/>
  <c r="FA60" i="29"/>
  <c r="FA47" i="29"/>
  <c r="EP13" i="29"/>
  <c r="EP21" i="29" s="1"/>
  <c r="M75" i="90"/>
  <c r="M1" i="90" s="1"/>
  <c r="ES34" i="29"/>
  <c r="DQ47" i="29"/>
  <c r="DQ34" i="29"/>
  <c r="EW47" i="29"/>
  <c r="FF21" i="29"/>
  <c r="N1" i="79" l="1"/>
  <c r="DX47" i="29"/>
  <c r="DR47" i="29"/>
  <c r="DI34" i="29"/>
  <c r="DW21" i="29"/>
  <c r="FC34" i="29"/>
  <c r="EB34" i="29"/>
  <c r="EB49" i="29" s="1"/>
  <c r="EB53" i="29" s="1"/>
  <c r="FI22" i="29"/>
  <c r="DI22" i="29"/>
  <c r="DI25" i="29" s="1"/>
  <c r="DO22" i="29"/>
  <c r="EJ34" i="29"/>
  <c r="DO34" i="29"/>
  <c r="DO49" i="29" s="1"/>
  <c r="DO53" i="29" s="1"/>
  <c r="EF34" i="29"/>
  <c r="FM47" i="29"/>
  <c r="EP47" i="29"/>
  <c r="DA21" i="29"/>
  <c r="DA22" i="29" s="1"/>
  <c r="I17" i="7"/>
  <c r="FL34" i="29"/>
  <c r="EL34" i="29"/>
  <c r="EC34" i="29"/>
  <c r="CY34" i="29"/>
  <c r="K1" i="73"/>
  <c r="EL24" i="29"/>
  <c r="N1" i="73"/>
  <c r="ES24" i="29"/>
  <c r="ES59" i="29" s="1"/>
  <c r="K1" i="79"/>
  <c r="N1" i="78"/>
  <c r="EV22" i="29"/>
  <c r="K49" i="3" s="1"/>
  <c r="EA21" i="29"/>
  <c r="N30" i="30" s="1"/>
  <c r="M123" i="30" s="1"/>
  <c r="N22" i="30"/>
  <c r="EK34" i="29"/>
  <c r="CZ47" i="29"/>
  <c r="EH34" i="29"/>
  <c r="FG47" i="29"/>
  <c r="DZ34" i="29"/>
  <c r="DK34" i="29"/>
  <c r="DP47" i="29"/>
  <c r="DS47" i="29"/>
  <c r="ER34" i="29"/>
  <c r="EE34" i="29"/>
  <c r="X23" i="30"/>
  <c r="W23" i="30"/>
  <c r="FB34" i="29"/>
  <c r="FB22" i="29"/>
  <c r="FB25" i="29" s="1"/>
  <c r="FL24" i="29"/>
  <c r="FL59" i="29" s="1"/>
  <c r="DA34" i="29"/>
  <c r="DB22" i="29"/>
  <c r="DB35" i="29" s="1"/>
  <c r="DY34" i="29"/>
  <c r="EY47" i="29"/>
  <c r="FF34" i="29"/>
  <c r="EG34" i="29"/>
  <c r="DX21" i="29"/>
  <c r="E21" i="7" s="1"/>
  <c r="DE34" i="29"/>
  <c r="DE49" i="29" s="1"/>
  <c r="DE50" i="29" s="1"/>
  <c r="DU47" i="29"/>
  <c r="FK47" i="29"/>
  <c r="FD47" i="29"/>
  <c r="CX34" i="29"/>
  <c r="EA47" i="29"/>
  <c r="DW47" i="29"/>
  <c r="ET47" i="29"/>
  <c r="EN34" i="29"/>
  <c r="K1" i="65"/>
  <c r="N1" i="65"/>
  <c r="U19" i="7"/>
  <c r="DN34" i="29"/>
  <c r="EZ34" i="29"/>
  <c r="EZ49" i="29" s="1"/>
  <c r="EZ53" i="29" s="1"/>
  <c r="DG22" i="29"/>
  <c r="DG25" i="29" s="1"/>
  <c r="EU47" i="29"/>
  <c r="ED47" i="29"/>
  <c r="DV34" i="29"/>
  <c r="K1" i="64"/>
  <c r="DD34" i="29"/>
  <c r="FJ34" i="29"/>
  <c r="FI34" i="29"/>
  <c r="FI49" i="29" s="1"/>
  <c r="FI53" i="29" s="1"/>
  <c r="N1" i="76"/>
  <c r="K1" i="83"/>
  <c r="DG47" i="29"/>
  <c r="DC34" i="29"/>
  <c r="DL34" i="29"/>
  <c r="N1" i="74"/>
  <c r="EY35" i="29"/>
  <c r="EY36" i="29" s="1"/>
  <c r="K1" i="72"/>
  <c r="N1" i="80"/>
  <c r="N1" i="81"/>
  <c r="K1" i="77"/>
  <c r="DR49" i="29"/>
  <c r="DR53" i="29" s="1"/>
  <c r="FK49" i="29"/>
  <c r="FK50" i="29" s="1"/>
  <c r="N1" i="89"/>
  <c r="N1" i="77"/>
  <c r="N1" i="85"/>
  <c r="U18" i="7"/>
  <c r="N1" i="86"/>
  <c r="N1" i="64"/>
  <c r="K1" i="94"/>
  <c r="N1" i="94"/>
  <c r="K1" i="91"/>
  <c r="N1" i="91"/>
  <c r="K1" i="89"/>
  <c r="EY53" i="29"/>
  <c r="EY50" i="29"/>
  <c r="FC24" i="29"/>
  <c r="FC59" i="29" s="1"/>
  <c r="FC22" i="29"/>
  <c r="DN24" i="29"/>
  <c r="DN22" i="29"/>
  <c r="N1" i="83"/>
  <c r="K1" i="85"/>
  <c r="DM24" i="29"/>
  <c r="DM59" i="29" s="1"/>
  <c r="DM22" i="29"/>
  <c r="K1" i="86"/>
  <c r="H52" i="3"/>
  <c r="M52" i="3" s="1"/>
  <c r="EB25" i="29"/>
  <c r="CZ22" i="29"/>
  <c r="CZ24" i="29"/>
  <c r="K19" i="7"/>
  <c r="M19" i="7"/>
  <c r="J21" i="7"/>
  <c r="ED24" i="29"/>
  <c r="T30" i="30"/>
  <c r="ED22" i="29"/>
  <c r="K63" i="3"/>
  <c r="V22" i="30"/>
  <c r="O17" i="7"/>
  <c r="EJ21" i="29"/>
  <c r="K1" i="80"/>
  <c r="FE24" i="29"/>
  <c r="FE59" i="29" s="1"/>
  <c r="FE22" i="29"/>
  <c r="K1" i="84"/>
  <c r="EG21" i="29"/>
  <c r="P17" i="7"/>
  <c r="K46" i="3"/>
  <c r="H61" i="3"/>
  <c r="M61" i="3" s="1"/>
  <c r="EX24" i="29"/>
  <c r="EX59" i="29" s="1"/>
  <c r="EX22" i="29"/>
  <c r="FD24" i="29"/>
  <c r="FD59" i="29" s="1"/>
  <c r="FD22" i="29"/>
  <c r="M17" i="7"/>
  <c r="K17" i="7"/>
  <c r="EH21" i="29"/>
  <c r="EW24" i="29"/>
  <c r="EW59" i="29" s="1"/>
  <c r="EW22" i="29"/>
  <c r="EV49" i="29"/>
  <c r="FF24" i="29"/>
  <c r="FF59" i="29" s="1"/>
  <c r="FF22" i="29"/>
  <c r="EU24" i="29"/>
  <c r="EU22" i="29"/>
  <c r="FJ24" i="29"/>
  <c r="FJ59" i="29" s="1"/>
  <c r="FJ22" i="29"/>
  <c r="DC24" i="29"/>
  <c r="DC59" i="29" s="1"/>
  <c r="DC22" i="29"/>
  <c r="G17" i="7"/>
  <c r="DZ21" i="29"/>
  <c r="K1" i="81"/>
  <c r="EF24" i="29"/>
  <c r="EF59" i="29" s="1"/>
  <c r="I20" i="7" s="1"/>
  <c r="EF22" i="29"/>
  <c r="I21" i="7"/>
  <c r="DL24" i="29"/>
  <c r="DL59" i="29" s="1"/>
  <c r="DL22" i="29"/>
  <c r="FG24" i="29"/>
  <c r="FG59" i="29" s="1"/>
  <c r="FG22" i="29"/>
  <c r="N1" i="71"/>
  <c r="FK25" i="29"/>
  <c r="FK35" i="29"/>
  <c r="FH24" i="29"/>
  <c r="FH49" i="29" s="1"/>
  <c r="FH22" i="29"/>
  <c r="DP24" i="29"/>
  <c r="DP59" i="29" s="1"/>
  <c r="DP22" i="29"/>
  <c r="K1" i="90"/>
  <c r="R17" i="7"/>
  <c r="EM21" i="29"/>
  <c r="DD24" i="29"/>
  <c r="DD59" i="29" s="1"/>
  <c r="DD22" i="29"/>
  <c r="EZ25" i="29"/>
  <c r="K53" i="3"/>
  <c r="ET21" i="29"/>
  <c r="E61" i="3"/>
  <c r="DO25" i="29"/>
  <c r="N1" i="72"/>
  <c r="DQ25" i="29"/>
  <c r="DQ35" i="29"/>
  <c r="DR25" i="29"/>
  <c r="E63" i="3"/>
  <c r="DR35" i="29"/>
  <c r="DQ49" i="29"/>
  <c r="J22" i="30"/>
  <c r="DV21" i="29"/>
  <c r="DJ24" i="29"/>
  <c r="DJ59" i="29" s="1"/>
  <c r="DJ22" i="29"/>
  <c r="N1" i="84"/>
  <c r="FI25" i="29"/>
  <c r="K61" i="3"/>
  <c r="DU24" i="29"/>
  <c r="D21" i="7"/>
  <c r="DU22" i="29"/>
  <c r="N17" i="7"/>
  <c r="EI21" i="29"/>
  <c r="CX24" i="29"/>
  <c r="CX22" i="29"/>
  <c r="R22" i="30"/>
  <c r="F17" i="7"/>
  <c r="EC21" i="29"/>
  <c r="K1" i="74"/>
  <c r="EN24" i="29"/>
  <c r="EN22" i="29"/>
  <c r="P30" i="30"/>
  <c r="N1" i="90"/>
  <c r="CY24" i="29"/>
  <c r="CY22" i="29"/>
  <c r="K1" i="66"/>
  <c r="H17" i="7"/>
  <c r="EE21" i="29"/>
  <c r="ER24" i="29"/>
  <c r="ER22" i="29"/>
  <c r="E55" i="3"/>
  <c r="DS24" i="29"/>
  <c r="DS22" i="29"/>
  <c r="K1" i="71"/>
  <c r="K1" i="76"/>
  <c r="EK24" i="29"/>
  <c r="EK22" i="29"/>
  <c r="DF24" i="29"/>
  <c r="DF59" i="29" s="1"/>
  <c r="DF22" i="29"/>
  <c r="Q17" i="7"/>
  <c r="EO21" i="29"/>
  <c r="FM24" i="29"/>
  <c r="FM22" i="29"/>
  <c r="DY24" i="29"/>
  <c r="DY22" i="29"/>
  <c r="L21" i="7"/>
  <c r="L30" i="30"/>
  <c r="DI49" i="29"/>
  <c r="DB49" i="29"/>
  <c r="DG49" i="29"/>
  <c r="N1" i="66"/>
  <c r="EP24" i="29"/>
  <c r="EP22" i="29"/>
  <c r="DW24" i="29"/>
  <c r="DW22" i="29"/>
  <c r="FA24" i="29"/>
  <c r="FA59" i="29" s="1"/>
  <c r="FA22" i="29"/>
  <c r="K1" i="78"/>
  <c r="DK24" i="29"/>
  <c r="DK59" i="29" s="1"/>
  <c r="DK22" i="29"/>
  <c r="DH24" i="29"/>
  <c r="DH59" i="29" s="1"/>
  <c r="DH22" i="29"/>
  <c r="DO35" i="29" l="1"/>
  <c r="EB35" i="29"/>
  <c r="DI35" i="29"/>
  <c r="DX22" i="29"/>
  <c r="DX24" i="29"/>
  <c r="DX49" i="29" s="1"/>
  <c r="DX53" i="29" s="1"/>
  <c r="EV25" i="29"/>
  <c r="EA22" i="29"/>
  <c r="EA24" i="29"/>
  <c r="EA59" i="29" s="1"/>
  <c r="EL49" i="29"/>
  <c r="EL50" i="29" s="1"/>
  <c r="DA24" i="29"/>
  <c r="DA49" i="29" s="1"/>
  <c r="DA53" i="29" s="1"/>
  <c r="EV35" i="29"/>
  <c r="EV36" i="29" s="1"/>
  <c r="EL25" i="29"/>
  <c r="ES35" i="29"/>
  <c r="ES38" i="29" s="1"/>
  <c r="EL35" i="29"/>
  <c r="EL36" i="29" s="1"/>
  <c r="ES49" i="29"/>
  <c r="ES25" i="29"/>
  <c r="DG35" i="29"/>
  <c r="DG38" i="29" s="1"/>
  <c r="E54" i="3"/>
  <c r="DE53" i="29"/>
  <c r="DE54" i="29" s="1"/>
  <c r="DY49" i="29"/>
  <c r="DY50" i="29" s="1"/>
  <c r="FL25" i="29"/>
  <c r="DB25" i="29"/>
  <c r="FL35" i="29"/>
  <c r="FL36" i="29" s="1"/>
  <c r="E49" i="3"/>
  <c r="EK49" i="29"/>
  <c r="EK53" i="29" s="1"/>
  <c r="FL49" i="29"/>
  <c r="FL50" i="29" s="1"/>
  <c r="M32" i="30"/>
  <c r="N33" i="30" s="1"/>
  <c r="FB35" i="29"/>
  <c r="FB38" i="29" s="1"/>
  <c r="FI35" i="29"/>
  <c r="FI38" i="29" s="1"/>
  <c r="FB49" i="29"/>
  <c r="FB53" i="29" s="1"/>
  <c r="DE35" i="29"/>
  <c r="DE38" i="29" s="1"/>
  <c r="EN49" i="29"/>
  <c r="EN50" i="29" s="1"/>
  <c r="EZ35" i="29"/>
  <c r="EZ38" i="29" s="1"/>
  <c r="DS49" i="29"/>
  <c r="DS50" i="29" s="1"/>
  <c r="DS59" i="29"/>
  <c r="EP49" i="29"/>
  <c r="EP50" i="29" s="1"/>
  <c r="EP59" i="29"/>
  <c r="FM49" i="29"/>
  <c r="FM53" i="29" s="1"/>
  <c r="FM59" i="29"/>
  <c r="EU49" i="29"/>
  <c r="EU53" i="29" s="1"/>
  <c r="EU59" i="29"/>
  <c r="DW49" i="29"/>
  <c r="DW53" i="29" s="1"/>
  <c r="DW59" i="29"/>
  <c r="CZ49" i="29"/>
  <c r="CZ50" i="29" s="1"/>
  <c r="CZ59" i="29"/>
  <c r="CY49" i="29"/>
  <c r="CY50" i="29" s="1"/>
  <c r="CY59" i="29"/>
  <c r="ER49" i="29"/>
  <c r="ER50" i="29" s="1"/>
  <c r="ER59" i="29"/>
  <c r="DU49" i="29"/>
  <c r="DU53" i="29" s="1"/>
  <c r="DU59" i="29"/>
  <c r="D20" i="7" s="1"/>
  <c r="CX49" i="29"/>
  <c r="CX50" i="29" s="1"/>
  <c r="CX59" i="29"/>
  <c r="DN49" i="29"/>
  <c r="DN50" i="29" s="1"/>
  <c r="FF49" i="29"/>
  <c r="FF53" i="29" s="1"/>
  <c r="FK53" i="29"/>
  <c r="FK57" i="29" s="1"/>
  <c r="FK58" i="29" s="1"/>
  <c r="EB50" i="29"/>
  <c r="DO50" i="29"/>
  <c r="EY38" i="29"/>
  <c r="EY39" i="29" s="1"/>
  <c r="DK49" i="29"/>
  <c r="DK50" i="29" s="1"/>
  <c r="DR50" i="29"/>
  <c r="FC49" i="29"/>
  <c r="FC50" i="29" s="1"/>
  <c r="FG49" i="29"/>
  <c r="FG53" i="29" s="1"/>
  <c r="DH49" i="29"/>
  <c r="DH50" i="29" s="1"/>
  <c r="FI50" i="29"/>
  <c r="EW49" i="29"/>
  <c r="EW53" i="29" s="1"/>
  <c r="DC49" i="29"/>
  <c r="DC50" i="29" s="1"/>
  <c r="EZ50" i="29"/>
  <c r="EA49" i="29"/>
  <c r="EA53" i="29" s="1"/>
  <c r="FA49" i="29"/>
  <c r="FA50" i="29" s="1"/>
  <c r="DF49" i="29"/>
  <c r="DF53" i="29" s="1"/>
  <c r="EX49" i="29"/>
  <c r="EX53" i="29" s="1"/>
  <c r="DP49" i="29"/>
  <c r="DP53" i="29" s="1"/>
  <c r="U17" i="7"/>
  <c r="F21" i="7"/>
  <c r="EC22" i="29"/>
  <c r="EC24" i="29"/>
  <c r="R30" i="30"/>
  <c r="DQ50" i="29"/>
  <c r="DQ53" i="29"/>
  <c r="DO38" i="29"/>
  <c r="DO36" i="29"/>
  <c r="DD49" i="29"/>
  <c r="FF35" i="29"/>
  <c r="FF25" i="29"/>
  <c r="K58" i="3"/>
  <c r="DF25" i="29"/>
  <c r="DF35" i="29"/>
  <c r="E53" i="3"/>
  <c r="DR36" i="29"/>
  <c r="DR38" i="29"/>
  <c r="FD35" i="29"/>
  <c r="K56" i="3"/>
  <c r="FD25" i="29"/>
  <c r="EJ22" i="29"/>
  <c r="EJ24" i="29"/>
  <c r="EJ49" i="29" s="1"/>
  <c r="O21" i="7"/>
  <c r="V30" i="30"/>
  <c r="EM24" i="29"/>
  <c r="EM59" i="29" s="1"/>
  <c r="R20" i="7" s="1"/>
  <c r="EM22" i="29"/>
  <c r="R21" i="7"/>
  <c r="FD49" i="29"/>
  <c r="DB53" i="29"/>
  <c r="DB50" i="29"/>
  <c r="DN25" i="29"/>
  <c r="E60" i="3"/>
  <c r="DN35" i="29"/>
  <c r="FI54" i="29"/>
  <c r="FI57" i="29"/>
  <c r="FI58" i="29" s="1"/>
  <c r="DI36" i="29"/>
  <c r="DI38" i="29"/>
  <c r="CX25" i="29"/>
  <c r="E45" i="3"/>
  <c r="CX35" i="29"/>
  <c r="DQ36" i="29"/>
  <c r="DQ38" i="29"/>
  <c r="FG35" i="29"/>
  <c r="FG25" i="29"/>
  <c r="K59" i="3"/>
  <c r="E48" i="3"/>
  <c r="EX25" i="29"/>
  <c r="EX35" i="29"/>
  <c r="K51" i="3"/>
  <c r="CZ25" i="29"/>
  <c r="E47" i="3"/>
  <c r="CZ35" i="29"/>
  <c r="E50" i="3"/>
  <c r="DC25" i="29"/>
  <c r="DC35" i="29"/>
  <c r="P21" i="7"/>
  <c r="EG24" i="29"/>
  <c r="EG59" i="29" s="1"/>
  <c r="P20" i="7" s="1"/>
  <c r="EG22" i="29"/>
  <c r="DY25" i="29"/>
  <c r="L23" i="7" s="1"/>
  <c r="H49" i="3"/>
  <c r="M49" i="3" s="1"/>
  <c r="L22" i="7"/>
  <c r="DY35" i="29"/>
  <c r="H60" i="3"/>
  <c r="M60" i="3" s="1"/>
  <c r="EK35" i="29"/>
  <c r="EK25" i="29"/>
  <c r="EN59" i="29"/>
  <c r="O35" i="30"/>
  <c r="O74" i="30" s="1"/>
  <c r="O75" i="30" s="1"/>
  <c r="E56" i="3"/>
  <c r="DJ25" i="29"/>
  <c r="DJ35" i="29"/>
  <c r="DR57" i="29"/>
  <c r="DR58" i="29" s="1"/>
  <c r="DR54" i="29"/>
  <c r="DI50" i="29"/>
  <c r="DI53" i="29"/>
  <c r="DH25" i="29"/>
  <c r="DH35" i="29"/>
  <c r="ET24" i="29"/>
  <c r="ET22" i="29"/>
  <c r="H47" i="3"/>
  <c r="M47" i="3" s="1"/>
  <c r="DW25" i="29"/>
  <c r="DW35" i="29"/>
  <c r="ER35" i="29"/>
  <c r="K45" i="3"/>
  <c r="ER25" i="29"/>
  <c r="DK25" i="29"/>
  <c r="E57" i="3"/>
  <c r="DK35" i="29"/>
  <c r="DY59" i="29"/>
  <c r="L20" i="7" s="1"/>
  <c r="K35" i="30"/>
  <c r="K74" i="30" s="1"/>
  <c r="K75" i="30" s="1"/>
  <c r="EI24" i="29"/>
  <c r="EI59" i="29" s="1"/>
  <c r="N20" i="7" s="1"/>
  <c r="EI22" i="29"/>
  <c r="N21" i="7"/>
  <c r="DP35" i="29"/>
  <c r="DP25" i="29"/>
  <c r="E62" i="3"/>
  <c r="E58" i="3"/>
  <c r="DL25" i="29"/>
  <c r="DL35" i="29"/>
  <c r="FJ49" i="29"/>
  <c r="EV50" i="29"/>
  <c r="EV53" i="29"/>
  <c r="EB54" i="29"/>
  <c r="EB57" i="29"/>
  <c r="EB58" i="29" s="1"/>
  <c r="EB38" i="29"/>
  <c r="EB36" i="29"/>
  <c r="FC25" i="29"/>
  <c r="K55" i="3"/>
  <c r="FC35" i="29"/>
  <c r="DO54" i="29"/>
  <c r="DO57" i="29"/>
  <c r="DO58" i="29" s="1"/>
  <c r="EN25" i="29"/>
  <c r="EN35" i="29"/>
  <c r="FM25" i="29"/>
  <c r="K64" i="3"/>
  <c r="FM35" i="29"/>
  <c r="EE22" i="29"/>
  <c r="EE24" i="29"/>
  <c r="EE59" i="29" s="1"/>
  <c r="H20" i="7" s="1"/>
  <c r="H21" i="7"/>
  <c r="DJ49" i="29"/>
  <c r="EZ57" i="29"/>
  <c r="EZ58" i="29" s="1"/>
  <c r="EZ54" i="29"/>
  <c r="DL49" i="29"/>
  <c r="FJ25" i="29"/>
  <c r="K62" i="3"/>
  <c r="FJ35" i="29"/>
  <c r="H54" i="3"/>
  <c r="M54" i="3" s="1"/>
  <c r="ED25" i="29"/>
  <c r="J23" i="7" s="1"/>
  <c r="J22" i="7"/>
  <c r="ED35" i="29"/>
  <c r="K123" i="30"/>
  <c r="K32" i="30"/>
  <c r="DV24" i="29"/>
  <c r="J30" i="30"/>
  <c r="DV22" i="29"/>
  <c r="FH53" i="29"/>
  <c r="FH50" i="29"/>
  <c r="EW25" i="29"/>
  <c r="K50" i="3"/>
  <c r="EW35" i="29"/>
  <c r="S123" i="30"/>
  <c r="S32" i="30"/>
  <c r="X22" i="30"/>
  <c r="H51" i="3"/>
  <c r="M51" i="3" s="1"/>
  <c r="K60" i="3"/>
  <c r="FH25" i="29"/>
  <c r="FH35" i="29"/>
  <c r="EF49" i="29"/>
  <c r="K48" i="3"/>
  <c r="EU35" i="29"/>
  <c r="EU25" i="29"/>
  <c r="FE25" i="29"/>
  <c r="K57" i="3"/>
  <c r="FE35" i="29"/>
  <c r="ED59" i="29"/>
  <c r="J20" i="7" s="1"/>
  <c r="S35" i="30"/>
  <c r="S74" i="30" s="1"/>
  <c r="S75" i="30" s="1"/>
  <c r="FA35" i="29"/>
  <c r="K54" i="3"/>
  <c r="FA25" i="29"/>
  <c r="EP35" i="29"/>
  <c r="H64" i="3"/>
  <c r="M64" i="3" s="1"/>
  <c r="EP25" i="29"/>
  <c r="H48" i="3"/>
  <c r="M48" i="3" s="1"/>
  <c r="E22" i="7"/>
  <c r="DX35" i="29"/>
  <c r="DX25" i="29"/>
  <c r="E23" i="7" s="1"/>
  <c r="G21" i="7"/>
  <c r="DZ24" i="29"/>
  <c r="DZ59" i="29" s="1"/>
  <c r="G20" i="7" s="1"/>
  <c r="DZ22" i="29"/>
  <c r="EH24" i="29"/>
  <c r="EH59" i="29" s="1"/>
  <c r="M21" i="7"/>
  <c r="K21" i="7"/>
  <c r="EH22" i="29"/>
  <c r="FE49" i="29"/>
  <c r="ED49" i="29"/>
  <c r="DM49" i="29"/>
  <c r="EY54" i="29"/>
  <c r="EY57" i="29"/>
  <c r="EY58" i="29" s="1"/>
  <c r="O123" i="30"/>
  <c r="O32" i="30"/>
  <c r="DU25" i="29"/>
  <c r="D23" i="7" s="1"/>
  <c r="D22" i="7"/>
  <c r="H45" i="3"/>
  <c r="M45" i="3" s="1"/>
  <c r="DU35" i="29"/>
  <c r="DB38" i="29"/>
  <c r="DB36" i="29"/>
  <c r="DG50" i="29"/>
  <c r="DG53" i="29"/>
  <c r="EO24" i="29"/>
  <c r="EO22" i="29"/>
  <c r="Q21" i="7"/>
  <c r="DS25" i="29"/>
  <c r="DS35" i="29"/>
  <c r="E64" i="3"/>
  <c r="CY25" i="29"/>
  <c r="E46" i="3"/>
  <c r="CY35" i="29"/>
  <c r="DD35" i="29"/>
  <c r="DD25" i="29"/>
  <c r="E51" i="3"/>
  <c r="FK36" i="29"/>
  <c r="FK38" i="29"/>
  <c r="EF25" i="29"/>
  <c r="I23" i="7" s="1"/>
  <c r="EF35" i="29"/>
  <c r="I22" i="7"/>
  <c r="H55" i="3"/>
  <c r="M55" i="3" s="1"/>
  <c r="DM25" i="29"/>
  <c r="E59" i="3"/>
  <c r="DM35" i="29"/>
  <c r="DX59" i="29" l="1"/>
  <c r="E20" i="7" s="1"/>
  <c r="EL53" i="29"/>
  <c r="EL57" i="29" s="1"/>
  <c r="EL58" i="29" s="1"/>
  <c r="M35" i="30"/>
  <c r="M74" i="30" s="1"/>
  <c r="M75" i="30" s="1"/>
  <c r="EA25" i="29"/>
  <c r="EA35" i="29"/>
  <c r="EA36" i="29" s="1"/>
  <c r="DA35" i="29"/>
  <c r="DA38" i="29" s="1"/>
  <c r="DA25" i="29"/>
  <c r="DA59" i="29"/>
  <c r="EV38" i="29"/>
  <c r="EV44" i="29" s="1"/>
  <c r="EV45" i="29" s="1"/>
  <c r="EV46" i="29" s="1"/>
  <c r="DG36" i="29"/>
  <c r="ES36" i="29"/>
  <c r="EL38" i="29"/>
  <c r="EL39" i="29" s="1"/>
  <c r="DE57" i="29"/>
  <c r="DE58" i="29" s="1"/>
  <c r="ES53" i="29"/>
  <c r="ES50" i="29"/>
  <c r="DY53" i="29"/>
  <c r="EN53" i="29"/>
  <c r="EN57" i="29" s="1"/>
  <c r="EN58" i="29" s="1"/>
  <c r="EL54" i="29"/>
  <c r="FL38" i="29"/>
  <c r="FL42" i="29" s="1"/>
  <c r="DN53" i="29"/>
  <c r="DN57" i="29" s="1"/>
  <c r="DN58" i="29" s="1"/>
  <c r="EK50" i="29"/>
  <c r="EP53" i="29"/>
  <c r="EP57" i="29" s="1"/>
  <c r="EP58" i="29" s="1"/>
  <c r="FB50" i="29"/>
  <c r="FI36" i="29"/>
  <c r="FB36" i="29"/>
  <c r="DE36" i="29"/>
  <c r="N86" i="30"/>
  <c r="N85" i="30" s="1"/>
  <c r="DK53" i="29"/>
  <c r="DK57" i="29" s="1"/>
  <c r="DK58" i="29" s="1"/>
  <c r="M124" i="30"/>
  <c r="T145" i="30" s="1"/>
  <c r="FL53" i="29"/>
  <c r="FL54" i="29" s="1"/>
  <c r="DW50" i="29"/>
  <c r="EZ36" i="29"/>
  <c r="EW50" i="29"/>
  <c r="FK54" i="29"/>
  <c r="EA50" i="29"/>
  <c r="DS53" i="29"/>
  <c r="DS54" i="29" s="1"/>
  <c r="FM50" i="29"/>
  <c r="ER53" i="29"/>
  <c r="ER57" i="29" s="1"/>
  <c r="ER58" i="29" s="1"/>
  <c r="DX50" i="29"/>
  <c r="FF50" i="29"/>
  <c r="EU50" i="29"/>
  <c r="FC53" i="29"/>
  <c r="FC54" i="29" s="1"/>
  <c r="CZ53" i="29"/>
  <c r="CZ54" i="29" s="1"/>
  <c r="CX53" i="29"/>
  <c r="CX57" i="29" s="1"/>
  <c r="CX58" i="29" s="1"/>
  <c r="EY44" i="29"/>
  <c r="EY45" i="29" s="1"/>
  <c r="EY46" i="29" s="1"/>
  <c r="CY53" i="29"/>
  <c r="CY57" i="29" s="1"/>
  <c r="CY58" i="29" s="1"/>
  <c r="DA50" i="29"/>
  <c r="DU50" i="29"/>
  <c r="EO49" i="29"/>
  <c r="EO50" i="29" s="1"/>
  <c r="EO59" i="29"/>
  <c r="Q20" i="7" s="1"/>
  <c r="ET49" i="29"/>
  <c r="ET50" i="29" s="1"/>
  <c r="ET59" i="29"/>
  <c r="I35" i="30"/>
  <c r="DV59" i="29"/>
  <c r="FG50" i="29"/>
  <c r="U21" i="7"/>
  <c r="DH53" i="29"/>
  <c r="DH57" i="29" s="1"/>
  <c r="DH58" i="29" s="1"/>
  <c r="EH49" i="29"/>
  <c r="EH50" i="29" s="1"/>
  <c r="DC53" i="29"/>
  <c r="DC57" i="29" s="1"/>
  <c r="DC58" i="29" s="1"/>
  <c r="FA53" i="29"/>
  <c r="FA57" i="29" s="1"/>
  <c r="FA58" i="29" s="1"/>
  <c r="DF50" i="29"/>
  <c r="EX50" i="29"/>
  <c r="EM49" i="29"/>
  <c r="EM53" i="29" s="1"/>
  <c r="DP50" i="29"/>
  <c r="EG49" i="29"/>
  <c r="EG53" i="29" s="1"/>
  <c r="DZ49" i="29"/>
  <c r="DZ53" i="29" s="1"/>
  <c r="H22" i="7"/>
  <c r="EE25" i="29"/>
  <c r="H23" i="7" s="1"/>
  <c r="EE35" i="29"/>
  <c r="FJ50" i="29"/>
  <c r="FJ53" i="29"/>
  <c r="CZ36" i="29"/>
  <c r="CZ38" i="29"/>
  <c r="U123" i="30"/>
  <c r="U32" i="30"/>
  <c r="DR39" i="29"/>
  <c r="DR42" i="29"/>
  <c r="DR44" i="29"/>
  <c r="DR45" i="29" s="1"/>
  <c r="DR46" i="29" s="1"/>
  <c r="DD53" i="29"/>
  <c r="DD50" i="29"/>
  <c r="DG44" i="29"/>
  <c r="DG45" i="29" s="1"/>
  <c r="DG46" i="29" s="1"/>
  <c r="DG42" i="29"/>
  <c r="DG39" i="29"/>
  <c r="DX38" i="29"/>
  <c r="DX36" i="29"/>
  <c r="EW54" i="29"/>
  <c r="EW57" i="29"/>
  <c r="EW58" i="29" s="1"/>
  <c r="FM38" i="29"/>
  <c r="FM36" i="29"/>
  <c r="FC36" i="29"/>
  <c r="FC38" i="29"/>
  <c r="DW36" i="29"/>
  <c r="DW38" i="29"/>
  <c r="DW54" i="29"/>
  <c r="DW57" i="29"/>
  <c r="DW58" i="29" s="1"/>
  <c r="FG38" i="29"/>
  <c r="FG36" i="29"/>
  <c r="DN36" i="29"/>
  <c r="DN38" i="29"/>
  <c r="EJ50" i="29"/>
  <c r="EJ53" i="29"/>
  <c r="DQ44" i="29"/>
  <c r="DQ45" i="29" s="1"/>
  <c r="DQ46" i="29" s="1"/>
  <c r="DQ42" i="29"/>
  <c r="DQ39" i="29"/>
  <c r="DO44" i="29"/>
  <c r="DO45" i="29" s="1"/>
  <c r="DO46" i="29" s="1"/>
  <c r="DO42" i="29"/>
  <c r="DO39" i="29"/>
  <c r="DM38" i="29"/>
  <c r="DM36" i="29"/>
  <c r="M20" i="7"/>
  <c r="K20" i="7"/>
  <c r="EG35" i="29"/>
  <c r="EG25" i="29"/>
  <c r="P23" i="7" s="1"/>
  <c r="H56" i="3"/>
  <c r="M56" i="3" s="1"/>
  <c r="P22" i="7"/>
  <c r="EJ59" i="29"/>
  <c r="O20" i="7" s="1"/>
  <c r="U35" i="30"/>
  <c r="U74" i="30" s="1"/>
  <c r="U75" i="30" s="1"/>
  <c r="DF36" i="29"/>
  <c r="DF38" i="29"/>
  <c r="DQ57" i="29"/>
  <c r="DQ58" i="29" s="1"/>
  <c r="DQ54" i="29"/>
  <c r="FA36" i="29"/>
  <c r="FA38" i="29"/>
  <c r="DL38" i="29"/>
  <c r="DL36" i="29"/>
  <c r="EU54" i="29"/>
  <c r="EU57" i="29"/>
  <c r="EU58" i="29" s="1"/>
  <c r="DU36" i="29"/>
  <c r="DU38" i="29"/>
  <c r="DZ25" i="29"/>
  <c r="G23" i="7" s="1"/>
  <c r="DZ35" i="29"/>
  <c r="H50" i="3"/>
  <c r="M50" i="3" s="1"/>
  <c r="G22" i="7"/>
  <c r="FM57" i="29"/>
  <c r="FM58" i="29" s="1"/>
  <c r="FM54" i="29"/>
  <c r="EU36" i="29"/>
  <c r="EU38" i="29"/>
  <c r="ET25" i="29"/>
  <c r="ET35" i="29"/>
  <c r="K47" i="3"/>
  <c r="EX57" i="29"/>
  <c r="EX58" i="29" s="1"/>
  <c r="EX54" i="29"/>
  <c r="EX38" i="29"/>
  <c r="EX36" i="29"/>
  <c r="EJ25" i="29"/>
  <c r="O23" i="7" s="1"/>
  <c r="EJ35" i="29"/>
  <c r="O22" i="7"/>
  <c r="H59" i="3"/>
  <c r="M59" i="3" s="1"/>
  <c r="DA57" i="29"/>
  <c r="DA58" i="29" s="1"/>
  <c r="DA54" i="29"/>
  <c r="FI44" i="29"/>
  <c r="FI45" i="29" s="1"/>
  <c r="FI46" i="29" s="1"/>
  <c r="FI39" i="29"/>
  <c r="FI42" i="29"/>
  <c r="DL50" i="29"/>
  <c r="DL53" i="29"/>
  <c r="EB39" i="29"/>
  <c r="EB44" i="29"/>
  <c r="EB45" i="29" s="1"/>
  <c r="EB46" i="29" s="1"/>
  <c r="DK38" i="29"/>
  <c r="DK36" i="29"/>
  <c r="EK36" i="29"/>
  <c r="EK38" i="29"/>
  <c r="EK57" i="29"/>
  <c r="EK58" i="29" s="1"/>
  <c r="EK54" i="29"/>
  <c r="ED53" i="29"/>
  <c r="ED50" i="29"/>
  <c r="EF53" i="29"/>
  <c r="EF50" i="29"/>
  <c r="FH57" i="29"/>
  <c r="FH58" i="29" s="1"/>
  <c r="FH54" i="29"/>
  <c r="ED38" i="29"/>
  <c r="ED36" i="29"/>
  <c r="EN36" i="29"/>
  <c r="EN38" i="29"/>
  <c r="FL44" i="29"/>
  <c r="FL45" i="29" s="1"/>
  <c r="FL46" i="29" s="1"/>
  <c r="DA36" i="29"/>
  <c r="CX36" i="29"/>
  <c r="CX38" i="29"/>
  <c r="DB54" i="29"/>
  <c r="DB57" i="29"/>
  <c r="DB58" i="29" s="1"/>
  <c r="DU54" i="29"/>
  <c r="DU57" i="29"/>
  <c r="DU58" i="29" s="1"/>
  <c r="DG54" i="29"/>
  <c r="DG57" i="29"/>
  <c r="DG58" i="29" s="1"/>
  <c r="FE38" i="29"/>
  <c r="FE36" i="29"/>
  <c r="EW36" i="29"/>
  <c r="EW38" i="29"/>
  <c r="FE50" i="29"/>
  <c r="FE53" i="29"/>
  <c r="DE44" i="29"/>
  <c r="DE45" i="29" s="1"/>
  <c r="DE46" i="29" s="1"/>
  <c r="DE39" i="29"/>
  <c r="DC36" i="29"/>
  <c r="DC38" i="29"/>
  <c r="FD50" i="29"/>
  <c r="FD53" i="29"/>
  <c r="FD38" i="29"/>
  <c r="FD36" i="29"/>
  <c r="Q123" i="30"/>
  <c r="Q32" i="30"/>
  <c r="FJ36" i="29"/>
  <c r="FJ38" i="29"/>
  <c r="FB57" i="29"/>
  <c r="FB58" i="29" s="1"/>
  <c r="FB54" i="29"/>
  <c r="DB39" i="29"/>
  <c r="DB42" i="29"/>
  <c r="DB44" i="29"/>
  <c r="DB45" i="29" s="1"/>
  <c r="DB46" i="29" s="1"/>
  <c r="DM50" i="29"/>
  <c r="DM53" i="29"/>
  <c r="EF38" i="29"/>
  <c r="EF36" i="29"/>
  <c r="FH36" i="29"/>
  <c r="FH38" i="29"/>
  <c r="EP36" i="29"/>
  <c r="EP38" i="29"/>
  <c r="EA57" i="29"/>
  <c r="EA58" i="29" s="1"/>
  <c r="EA54" i="29"/>
  <c r="DJ53" i="29"/>
  <c r="DJ50" i="29"/>
  <c r="DP38" i="29"/>
  <c r="DP36" i="29"/>
  <c r="DP54" i="29"/>
  <c r="DP57" i="29"/>
  <c r="DP58" i="29" s="1"/>
  <c r="FF54" i="29"/>
  <c r="FF57" i="29"/>
  <c r="FF58" i="29" s="1"/>
  <c r="Q35" i="30"/>
  <c r="Q74" i="30" s="1"/>
  <c r="Q75" i="30" s="1"/>
  <c r="EC59" i="29"/>
  <c r="F20" i="7" s="1"/>
  <c r="U20" i="7" s="1"/>
  <c r="K36" i="30"/>
  <c r="K124" i="30"/>
  <c r="S145" i="30" s="1"/>
  <c r="L86" i="30"/>
  <c r="L33" i="30"/>
  <c r="DS38" i="29"/>
  <c r="DS36" i="29"/>
  <c r="FK44" i="29"/>
  <c r="FK45" i="29" s="1"/>
  <c r="FK46" i="29" s="1"/>
  <c r="FK39" i="29"/>
  <c r="FK42" i="29"/>
  <c r="EO25" i="29"/>
  <c r="Q23" i="7" s="1"/>
  <c r="H63" i="3"/>
  <c r="M63" i="3" s="1"/>
  <c r="Q22" i="7"/>
  <c r="EO35" i="29"/>
  <c r="DX57" i="29"/>
  <c r="DX58" i="29" s="1"/>
  <c r="DX54" i="29"/>
  <c r="ES42" i="29"/>
  <c r="ES44" i="29"/>
  <c r="ES45" i="29" s="1"/>
  <c r="ES46" i="29" s="1"/>
  <c r="ES39" i="29"/>
  <c r="H46" i="3"/>
  <c r="M46" i="3" s="1"/>
  <c r="DV25" i="29"/>
  <c r="DV35" i="29"/>
  <c r="EI49" i="29"/>
  <c r="DH36" i="29"/>
  <c r="DH38" i="29"/>
  <c r="DY38" i="29"/>
  <c r="DY36" i="29"/>
  <c r="DI44" i="29"/>
  <c r="DI45" i="29" s="1"/>
  <c r="DI46" i="29" s="1"/>
  <c r="DI39" i="29"/>
  <c r="DI42" i="29"/>
  <c r="FF36" i="29"/>
  <c r="FF38" i="29"/>
  <c r="H53" i="3"/>
  <c r="M53" i="3" s="1"/>
  <c r="F22" i="7"/>
  <c r="EC35" i="29"/>
  <c r="EC25" i="29"/>
  <c r="F23" i="7" s="1"/>
  <c r="O124" i="30"/>
  <c r="U145" i="30" s="1"/>
  <c r="P33" i="30"/>
  <c r="O36" i="30"/>
  <c r="P86" i="30"/>
  <c r="DF57" i="29"/>
  <c r="DF58" i="29" s="1"/>
  <c r="DF54" i="29"/>
  <c r="EA38" i="29"/>
  <c r="DD36" i="29"/>
  <c r="DD38" i="29"/>
  <c r="CY38" i="29"/>
  <c r="CY36" i="29"/>
  <c r="EH25" i="29"/>
  <c r="EH35" i="29"/>
  <c r="H57" i="3"/>
  <c r="M57" i="3" s="1"/>
  <c r="M22" i="7"/>
  <c r="K22" i="7"/>
  <c r="FB39" i="29"/>
  <c r="FB44" i="29"/>
  <c r="FB45" i="29" s="1"/>
  <c r="FB46" i="29" s="1"/>
  <c r="FB42" i="29"/>
  <c r="FG54" i="29"/>
  <c r="FG57" i="29"/>
  <c r="FG58" i="29" s="1"/>
  <c r="T86" i="30"/>
  <c r="S124" i="30"/>
  <c r="W145" i="30" s="1"/>
  <c r="T33" i="30"/>
  <c r="S36" i="30"/>
  <c r="X30" i="30"/>
  <c r="I123" i="30"/>
  <c r="I32" i="30"/>
  <c r="EL42" i="29"/>
  <c r="EV54" i="29"/>
  <c r="EV57" i="29"/>
  <c r="EV58" i="29" s="1"/>
  <c r="ER38" i="29"/>
  <c r="ER36" i="29"/>
  <c r="EZ39" i="29"/>
  <c r="EZ44" i="29"/>
  <c r="EZ45" i="29" s="1"/>
  <c r="EZ46" i="29" s="1"/>
  <c r="EZ42" i="29"/>
  <c r="EM35" i="29"/>
  <c r="H62" i="3"/>
  <c r="M62" i="3" s="1"/>
  <c r="R22" i="7"/>
  <c r="EM25" i="29"/>
  <c r="R23" i="7" s="1"/>
  <c r="DV49" i="29"/>
  <c r="EE49" i="29"/>
  <c r="H58" i="3"/>
  <c r="M58" i="3" s="1"/>
  <c r="EI35" i="29"/>
  <c r="EI25" i="29"/>
  <c r="N23" i="7" s="1"/>
  <c r="N22" i="7"/>
  <c r="DY57" i="29"/>
  <c r="DY58" i="29" s="1"/>
  <c r="DY54" i="29"/>
  <c r="DI54" i="29"/>
  <c r="DI57" i="29"/>
  <c r="DI58" i="29" s="1"/>
  <c r="DJ36" i="29"/>
  <c r="DJ38" i="29"/>
  <c r="EC49" i="29"/>
  <c r="EV42" i="29" l="1"/>
  <c r="M36" i="30"/>
  <c r="M43" i="30" s="1"/>
  <c r="M130" i="30" s="1"/>
  <c r="EV39" i="29"/>
  <c r="EL44" i="29"/>
  <c r="EL45" i="29" s="1"/>
  <c r="EL46" i="29" s="1"/>
  <c r="EN54" i="29"/>
  <c r="DN54" i="29"/>
  <c r="FL39" i="29"/>
  <c r="EP54" i="29"/>
  <c r="ES57" i="29"/>
  <c r="ES58" i="29" s="1"/>
  <c r="ES54" i="29"/>
  <c r="ER54" i="29"/>
  <c r="N84" i="30"/>
  <c r="N87" i="30"/>
  <c r="N89" i="30"/>
  <c r="DK54" i="29"/>
  <c r="N83" i="30"/>
  <c r="N88" i="30"/>
  <c r="FL57" i="29"/>
  <c r="FL58" i="29" s="1"/>
  <c r="CZ57" i="29"/>
  <c r="CZ58" i="29" s="1"/>
  <c r="EO53" i="29"/>
  <c r="EO57" i="29" s="1"/>
  <c r="EO58" i="29" s="1"/>
  <c r="FA54" i="29"/>
  <c r="M125" i="30"/>
  <c r="T146" i="30" s="1"/>
  <c r="DS57" i="29"/>
  <c r="DS58" i="29" s="1"/>
  <c r="M37" i="30"/>
  <c r="FC57" i="29"/>
  <c r="FC58" i="29" s="1"/>
  <c r="CX54" i="29"/>
  <c r="EH53" i="29"/>
  <c r="EH54" i="29" s="1"/>
  <c r="CY54" i="29"/>
  <c r="DH54" i="29"/>
  <c r="X35" i="30"/>
  <c r="EM50" i="29"/>
  <c r="I74" i="30"/>
  <c r="I75" i="30" s="1"/>
  <c r="ET53" i="29"/>
  <c r="ET54" i="29" s="1"/>
  <c r="W35" i="30"/>
  <c r="W74" i="30" s="1"/>
  <c r="W75" i="30" s="1"/>
  <c r="DC54" i="29"/>
  <c r="U22" i="7"/>
  <c r="EG50" i="29"/>
  <c r="DZ50" i="29"/>
  <c r="FF39" i="29"/>
  <c r="FF44" i="29"/>
  <c r="FF45" i="29" s="1"/>
  <c r="FF46" i="29" s="1"/>
  <c r="FF42" i="29"/>
  <c r="FE57" i="29"/>
  <c r="FE58" i="29" s="1"/>
  <c r="FE54" i="29"/>
  <c r="ED44" i="29"/>
  <c r="ED45" i="29" s="1"/>
  <c r="ED46" i="29" s="1"/>
  <c r="ED39" i="29"/>
  <c r="ED42" i="29"/>
  <c r="EX44" i="29"/>
  <c r="EX45" i="29" s="1"/>
  <c r="EX46" i="29" s="1"/>
  <c r="EX39" i="29"/>
  <c r="EX42" i="29"/>
  <c r="FA39" i="29"/>
  <c r="FA42" i="29"/>
  <c r="FA44" i="29"/>
  <c r="FA45" i="29" s="1"/>
  <c r="FA46" i="29" s="1"/>
  <c r="EJ57" i="29"/>
  <c r="EJ58" i="29" s="1"/>
  <c r="EJ54" i="29"/>
  <c r="DX44" i="29"/>
  <c r="DX45" i="29" s="1"/>
  <c r="DX46" i="29" s="1"/>
  <c r="DX42" i="29"/>
  <c r="DX39" i="29"/>
  <c r="T83" i="30"/>
  <c r="T85" i="30"/>
  <c r="T84" i="30"/>
  <c r="T87" i="30"/>
  <c r="T88" i="30"/>
  <c r="T89" i="30"/>
  <c r="EA39" i="29"/>
  <c r="EA44" i="29"/>
  <c r="EA45" i="29" s="1"/>
  <c r="EA46" i="29" s="1"/>
  <c r="EA42" i="29"/>
  <c r="K43" i="30"/>
  <c r="K130" i="30" s="1"/>
  <c r="K41" i="30"/>
  <c r="K125" i="30"/>
  <c r="S146" i="30" s="1"/>
  <c r="K42" i="30"/>
  <c r="K37" i="30"/>
  <c r="K45" i="30"/>
  <c r="FD44" i="29"/>
  <c r="FD45" i="29" s="1"/>
  <c r="FD46" i="29" s="1"/>
  <c r="FD42" i="29"/>
  <c r="FD39" i="29"/>
  <c r="FM42" i="29"/>
  <c r="FM39" i="29"/>
  <c r="FM44" i="29"/>
  <c r="FM45" i="29" s="1"/>
  <c r="FM46" i="29" s="1"/>
  <c r="CZ44" i="29"/>
  <c r="CZ45" i="29" s="1"/>
  <c r="CZ46" i="29" s="1"/>
  <c r="CZ39" i="29"/>
  <c r="CZ42" i="29"/>
  <c r="DV50" i="29"/>
  <c r="DV53" i="29"/>
  <c r="S43" i="30"/>
  <c r="S130" i="30" s="1"/>
  <c r="S45" i="30"/>
  <c r="S41" i="30"/>
  <c r="S42" i="30"/>
  <c r="S125" i="30"/>
  <c r="W146" i="30" s="1"/>
  <c r="S37" i="30"/>
  <c r="EH38" i="29"/>
  <c r="EH36" i="29"/>
  <c r="FD57" i="29"/>
  <c r="FD58" i="29" s="1"/>
  <c r="FD54" i="29"/>
  <c r="U23" i="7"/>
  <c r="CX39" i="29"/>
  <c r="CX44" i="29"/>
  <c r="CX45" i="29" s="1"/>
  <c r="CX46" i="29" s="1"/>
  <c r="CX42" i="29"/>
  <c r="EK44" i="29"/>
  <c r="EK45" i="29" s="1"/>
  <c r="EK46" i="29" s="1"/>
  <c r="EK39" i="29"/>
  <c r="EK42" i="29"/>
  <c r="EG54" i="29"/>
  <c r="EG57" i="29"/>
  <c r="EG58" i="29" s="1"/>
  <c r="DN42" i="29"/>
  <c r="DN44" i="29"/>
  <c r="DN45" i="29" s="1"/>
  <c r="DN46" i="29" s="1"/>
  <c r="DN39" i="29"/>
  <c r="DS44" i="29"/>
  <c r="DS45" i="29" s="1"/>
  <c r="DS46" i="29" s="1"/>
  <c r="DS39" i="29"/>
  <c r="DS42" i="29"/>
  <c r="DP44" i="29"/>
  <c r="DP45" i="29" s="1"/>
  <c r="DP46" i="29" s="1"/>
  <c r="DP39" i="29"/>
  <c r="DP42" i="29"/>
  <c r="FJ39" i="29"/>
  <c r="FJ42" i="29"/>
  <c r="FJ44" i="29"/>
  <c r="FJ45" i="29" s="1"/>
  <c r="FJ46" i="29" s="1"/>
  <c r="DM44" i="29"/>
  <c r="DM45" i="29" s="1"/>
  <c r="DM46" i="29" s="1"/>
  <c r="DM39" i="29"/>
  <c r="DM42" i="29"/>
  <c r="FJ57" i="29"/>
  <c r="FJ58" i="29" s="1"/>
  <c r="FJ54" i="29"/>
  <c r="EC53" i="29"/>
  <c r="EC50" i="29"/>
  <c r="DJ44" i="29"/>
  <c r="DJ45" i="29" s="1"/>
  <c r="DJ46" i="29" s="1"/>
  <c r="DJ42" i="29"/>
  <c r="DJ39" i="29"/>
  <c r="M23" i="7"/>
  <c r="K23" i="7"/>
  <c r="ER39" i="29"/>
  <c r="ER42" i="29"/>
  <c r="ER44" i="29"/>
  <c r="ER45" i="29" s="1"/>
  <c r="ER46" i="29" s="1"/>
  <c r="P88" i="30"/>
  <c r="P89" i="30"/>
  <c r="P83" i="30"/>
  <c r="P84" i="30"/>
  <c r="P85" i="30"/>
  <c r="P87" i="30"/>
  <c r="FH42" i="29"/>
  <c r="FH44" i="29"/>
  <c r="FH45" i="29" s="1"/>
  <c r="FH46" i="29" s="1"/>
  <c r="FH39" i="29"/>
  <c r="DC44" i="29"/>
  <c r="DC45" i="29" s="1"/>
  <c r="DC46" i="29" s="1"/>
  <c r="DC42" i="29"/>
  <c r="DC39" i="29"/>
  <c r="EW44" i="29"/>
  <c r="EW45" i="29" s="1"/>
  <c r="EW46" i="29" s="1"/>
  <c r="EW39" i="29"/>
  <c r="EW42" i="29"/>
  <c r="DZ57" i="29"/>
  <c r="DZ58" i="29" s="1"/>
  <c r="DZ54" i="29"/>
  <c r="DZ36" i="29"/>
  <c r="DZ38" i="29"/>
  <c r="DF39" i="29"/>
  <c r="DF42" i="29"/>
  <c r="DF44" i="29"/>
  <c r="DF45" i="29" s="1"/>
  <c r="DF46" i="29" s="1"/>
  <c r="DA42" i="29"/>
  <c r="DA44" i="29"/>
  <c r="DA45" i="29" s="1"/>
  <c r="DA46" i="29" s="1"/>
  <c r="DA39" i="29"/>
  <c r="EF54" i="29"/>
  <c r="EF57" i="29"/>
  <c r="EF58" i="29" s="1"/>
  <c r="DK44" i="29"/>
  <c r="DK45" i="29" s="1"/>
  <c r="DK46" i="29" s="1"/>
  <c r="DK39" i="29"/>
  <c r="DK42" i="29"/>
  <c r="FG39" i="29"/>
  <c r="FG42" i="29"/>
  <c r="FG44" i="29"/>
  <c r="FG45" i="29" s="1"/>
  <c r="FG46" i="29" s="1"/>
  <c r="EE38" i="29"/>
  <c r="EE36" i="29"/>
  <c r="ET38" i="29"/>
  <c r="ET36" i="29"/>
  <c r="DU44" i="29"/>
  <c r="DU45" i="29" s="1"/>
  <c r="DU46" i="29" s="1"/>
  <c r="DU39" i="29"/>
  <c r="DU42" i="29"/>
  <c r="DD57" i="29"/>
  <c r="DD58" i="29" s="1"/>
  <c r="DD54" i="29"/>
  <c r="O125" i="30"/>
  <c r="U146" i="30" s="1"/>
  <c r="O42" i="30"/>
  <c r="O37" i="30"/>
  <c r="O43" i="30"/>
  <c r="O130" i="30" s="1"/>
  <c r="O41" i="30"/>
  <c r="O45" i="30"/>
  <c r="DY42" i="29"/>
  <c r="DY44" i="29"/>
  <c r="DY45" i="29" s="1"/>
  <c r="DY46" i="29" s="1"/>
  <c r="DY39" i="29"/>
  <c r="EM38" i="29"/>
  <c r="EM36" i="29"/>
  <c r="DH42" i="29"/>
  <c r="DH44" i="29"/>
  <c r="DH45" i="29" s="1"/>
  <c r="DH46" i="29" s="1"/>
  <c r="DH39" i="29"/>
  <c r="DJ57" i="29"/>
  <c r="DJ58" i="29" s="1"/>
  <c r="DJ54" i="29"/>
  <c r="EM54" i="29"/>
  <c r="EM57" i="29"/>
  <c r="EM58" i="29" s="1"/>
  <c r="DM57" i="29"/>
  <c r="DM58" i="29" s="1"/>
  <c r="DM54" i="29"/>
  <c r="DW42" i="29"/>
  <c r="DW39" i="29"/>
  <c r="DW44" i="29"/>
  <c r="DW45" i="29" s="1"/>
  <c r="DW46" i="29" s="1"/>
  <c r="FE39" i="29"/>
  <c r="FE42" i="29"/>
  <c r="FE44" i="29"/>
  <c r="FE45" i="29" s="1"/>
  <c r="FE46" i="29" s="1"/>
  <c r="CY39" i="29"/>
  <c r="CY42" i="29"/>
  <c r="CY44" i="29"/>
  <c r="CY45" i="29" s="1"/>
  <c r="CY46" i="29" s="1"/>
  <c r="EI50" i="29"/>
  <c r="EI53" i="29"/>
  <c r="EN42" i="29"/>
  <c r="EN39" i="29"/>
  <c r="EN44" i="29"/>
  <c r="EN45" i="29" s="1"/>
  <c r="EN46" i="29" s="1"/>
  <c r="ED54" i="29"/>
  <c r="ED57" i="29"/>
  <c r="ED58" i="29" s="1"/>
  <c r="EJ38" i="29"/>
  <c r="EJ36" i="29"/>
  <c r="EO36" i="29"/>
  <c r="EO38" i="29"/>
  <c r="EI38" i="29"/>
  <c r="EI36" i="29"/>
  <c r="X32" i="30"/>
  <c r="J86" i="30"/>
  <c r="J33" i="30"/>
  <c r="I124" i="30"/>
  <c r="R145" i="30" s="1"/>
  <c r="W32" i="30"/>
  <c r="I36" i="30"/>
  <c r="DD44" i="29"/>
  <c r="DD45" i="29" s="1"/>
  <c r="DD46" i="29" s="1"/>
  <c r="DD42" i="29"/>
  <c r="DD39" i="29"/>
  <c r="DV36" i="29"/>
  <c r="DV38" i="29"/>
  <c r="EP44" i="29"/>
  <c r="EP45" i="29" s="1"/>
  <c r="EP46" i="29" s="1"/>
  <c r="EP39" i="29"/>
  <c r="EP42" i="29"/>
  <c r="Q124" i="30"/>
  <c r="V145" i="30" s="1"/>
  <c r="Q36" i="30"/>
  <c r="R86" i="30"/>
  <c r="R33" i="30"/>
  <c r="S22" i="7"/>
  <c r="DL57" i="29"/>
  <c r="DL58" i="29" s="1"/>
  <c r="DL54" i="29"/>
  <c r="EU44" i="29"/>
  <c r="EU45" i="29" s="1"/>
  <c r="EU46" i="29" s="1"/>
  <c r="EU39" i="29"/>
  <c r="EU42" i="29"/>
  <c r="FC39" i="29"/>
  <c r="FC42" i="29"/>
  <c r="FC44" i="29"/>
  <c r="FC45" i="29" s="1"/>
  <c r="FC46" i="29" s="1"/>
  <c r="U124" i="30"/>
  <c r="X145" i="30" s="1"/>
  <c r="V33" i="30"/>
  <c r="V86" i="30"/>
  <c r="U36" i="30"/>
  <c r="EF44" i="29"/>
  <c r="EF45" i="29" s="1"/>
  <c r="EF46" i="29" s="1"/>
  <c r="EF42" i="29"/>
  <c r="EF39" i="29"/>
  <c r="EC36" i="29"/>
  <c r="EC38" i="29"/>
  <c r="EE53" i="29"/>
  <c r="EE50" i="29"/>
  <c r="L84" i="30"/>
  <c r="L87" i="30"/>
  <c r="L85" i="30"/>
  <c r="L88" i="30"/>
  <c r="L83" i="30"/>
  <c r="L89" i="30"/>
  <c r="DL44" i="29"/>
  <c r="DL45" i="29" s="1"/>
  <c r="DL46" i="29" s="1"/>
  <c r="DL39" i="29"/>
  <c r="DL42" i="29"/>
  <c r="EG36" i="29"/>
  <c r="EG38" i="29"/>
  <c r="M42" i="30" l="1"/>
  <c r="M45" i="30"/>
  <c r="M41" i="30"/>
  <c r="EO54" i="29"/>
  <c r="EH57" i="29"/>
  <c r="EH58" i="29" s="1"/>
  <c r="ET57" i="29"/>
  <c r="ET58" i="29" s="1"/>
  <c r="S23" i="7"/>
  <c r="EE44" i="29"/>
  <c r="EE45" i="29" s="1"/>
  <c r="EE46" i="29" s="1"/>
  <c r="EE39" i="29"/>
  <c r="EE42" i="29"/>
  <c r="W36" i="30"/>
  <c r="W125" i="30" s="1"/>
  <c r="I43" i="30"/>
  <c r="I125" i="30"/>
  <c r="R146" i="30" s="1"/>
  <c r="I37" i="30"/>
  <c r="I42" i="30"/>
  <c r="I45" i="30"/>
  <c r="X36" i="30"/>
  <c r="I41" i="30"/>
  <c r="R89" i="30"/>
  <c r="R84" i="30"/>
  <c r="R88" i="30"/>
  <c r="R85" i="30"/>
  <c r="R83" i="30"/>
  <c r="R87" i="30"/>
  <c r="EH44" i="29"/>
  <c r="EH45" i="29" s="1"/>
  <c r="EH46" i="29" s="1"/>
  <c r="EH42" i="29"/>
  <c r="EH39" i="29"/>
  <c r="K128" i="30"/>
  <c r="K46" i="30"/>
  <c r="K77" i="30"/>
  <c r="K78" i="30" s="1"/>
  <c r="DZ44" i="29"/>
  <c r="DZ45" i="29" s="1"/>
  <c r="DZ46" i="29" s="1"/>
  <c r="DZ39" i="29"/>
  <c r="DZ42" i="29"/>
  <c r="EJ44" i="29"/>
  <c r="EJ45" i="29" s="1"/>
  <c r="EJ46" i="29" s="1"/>
  <c r="EJ39" i="29"/>
  <c r="EJ42" i="29"/>
  <c r="EE54" i="29"/>
  <c r="EE57" i="29"/>
  <c r="EE58" i="29" s="1"/>
  <c r="EM44" i="29"/>
  <c r="EM45" i="29" s="1"/>
  <c r="EM46" i="29" s="1"/>
  <c r="EM39" i="29"/>
  <c r="EM42" i="29"/>
  <c r="EI57" i="29"/>
  <c r="EI58" i="29" s="1"/>
  <c r="EI54" i="29"/>
  <c r="S46" i="30"/>
  <c r="S128" i="30"/>
  <c r="S77" i="30"/>
  <c r="S78" i="30" s="1"/>
  <c r="Q125" i="30"/>
  <c r="V146" i="30" s="1"/>
  <c r="Q45" i="30"/>
  <c r="Q41" i="30"/>
  <c r="Q43" i="30"/>
  <c r="Q130" i="30" s="1"/>
  <c r="Q42" i="30"/>
  <c r="Q37" i="30"/>
  <c r="X33" i="30"/>
  <c r="W33" i="30"/>
  <c r="DV39" i="29"/>
  <c r="DV42" i="29"/>
  <c r="DV44" i="29"/>
  <c r="DV45" i="29" s="1"/>
  <c r="DV46" i="29" s="1"/>
  <c r="EI42" i="29"/>
  <c r="EI39" i="29"/>
  <c r="EI44" i="29"/>
  <c r="EI45" i="29" s="1"/>
  <c r="EI46" i="29" s="1"/>
  <c r="EG44" i="29"/>
  <c r="EG45" i="29" s="1"/>
  <c r="EG46" i="29" s="1"/>
  <c r="EG39" i="29"/>
  <c r="EG42" i="29"/>
  <c r="W124" i="30"/>
  <c r="X86" i="30"/>
  <c r="EO39" i="29"/>
  <c r="EO42" i="29"/>
  <c r="EO44" i="29"/>
  <c r="EO45" i="29" s="1"/>
  <c r="EO46" i="29" s="1"/>
  <c r="EC57" i="29"/>
  <c r="EC58" i="29" s="1"/>
  <c r="EC54" i="29"/>
  <c r="EC42" i="29"/>
  <c r="EC39" i="29"/>
  <c r="EC44" i="29"/>
  <c r="EC45" i="29" s="1"/>
  <c r="EC46" i="29" s="1"/>
  <c r="U41" i="30"/>
  <c r="U43" i="30"/>
  <c r="U130" i="30" s="1"/>
  <c r="U45" i="30"/>
  <c r="U42" i="30"/>
  <c r="U125" i="30"/>
  <c r="X146" i="30" s="1"/>
  <c r="U37" i="30"/>
  <c r="ET44" i="29"/>
  <c r="ET45" i="29" s="1"/>
  <c r="ET46" i="29" s="1"/>
  <c r="ET42" i="29"/>
  <c r="ET39" i="29"/>
  <c r="DV54" i="29"/>
  <c r="DV57" i="29"/>
  <c r="DV58" i="29" s="1"/>
  <c r="J89" i="30"/>
  <c r="J88" i="30"/>
  <c r="J87" i="30"/>
  <c r="J85" i="30"/>
  <c r="J84" i="30"/>
  <c r="J83" i="30"/>
  <c r="V87" i="30"/>
  <c r="V88" i="30"/>
  <c r="V83" i="30"/>
  <c r="V84" i="30"/>
  <c r="V89" i="30"/>
  <c r="V85" i="30"/>
  <c r="O46" i="30"/>
  <c r="O128" i="30"/>
  <c r="O77" i="30"/>
  <c r="O78" i="30" s="1"/>
  <c r="M128" i="30" l="1"/>
  <c r="M77" i="30"/>
  <c r="M78" i="30" s="1"/>
  <c r="M46" i="30"/>
  <c r="W41" i="30"/>
  <c r="X41" i="30"/>
  <c r="I128" i="30"/>
  <c r="I46" i="30"/>
  <c r="I77" i="30"/>
  <c r="I78" i="30" s="1"/>
  <c r="U46" i="30"/>
  <c r="U128" i="30"/>
  <c r="U77" i="30"/>
  <c r="U78" i="30" s="1"/>
  <c r="W42" i="30"/>
  <c r="X42" i="30"/>
  <c r="X88" i="30"/>
  <c r="X83" i="30"/>
  <c r="X87" i="30"/>
  <c r="X84" i="30"/>
  <c r="X89" i="30"/>
  <c r="X85" i="30"/>
  <c r="W45" i="30"/>
  <c r="X45" i="30"/>
  <c r="W37" i="30"/>
  <c r="X37" i="30"/>
  <c r="W43" i="30"/>
  <c r="W130" i="30" s="1"/>
  <c r="X43" i="30"/>
  <c r="I130" i="30"/>
  <c r="O131" i="30"/>
  <c r="O49" i="30"/>
  <c r="K131" i="30"/>
  <c r="K49" i="30"/>
  <c r="Q46" i="30"/>
  <c r="Q128" i="30"/>
  <c r="Q77" i="30"/>
  <c r="Q78" i="30" s="1"/>
  <c r="S131" i="30"/>
  <c r="S49" i="30"/>
  <c r="M131" i="30" l="1"/>
  <c r="M49" i="30"/>
  <c r="S50" i="30"/>
  <c r="S66" i="30"/>
  <c r="K66" i="30"/>
  <c r="K50" i="30"/>
  <c r="U131" i="30"/>
  <c r="U49" i="30"/>
  <c r="Q131" i="30"/>
  <c r="Q49" i="30"/>
  <c r="W46" i="30"/>
  <c r="W131" i="30" s="1"/>
  <c r="X46" i="30"/>
  <c r="I131" i="30"/>
  <c r="I49" i="30"/>
  <c r="O66" i="30"/>
  <c r="O50" i="30"/>
  <c r="W128" i="30"/>
  <c r="W77" i="30"/>
  <c r="W78" i="30" s="1"/>
  <c r="M50" i="30" l="1"/>
  <c r="M66" i="30"/>
  <c r="X49" i="30"/>
  <c r="I66" i="30"/>
  <c r="I50" i="30"/>
  <c r="W49" i="30"/>
  <c r="W66" i="30" s="1"/>
  <c r="Q66" i="30"/>
  <c r="Q50" i="30"/>
  <c r="U66" i="30"/>
  <c r="U50" i="30"/>
  <c r="K97" i="30"/>
  <c r="K99" i="30" s="1"/>
  <c r="K102" i="30" s="1"/>
  <c r="K51" i="30"/>
  <c r="K132" i="30"/>
  <c r="K53" i="30"/>
  <c r="K68" i="30"/>
  <c r="K71" i="30" s="1"/>
  <c r="L66" i="30"/>
  <c r="L68" i="30" s="1"/>
  <c r="O97" i="30"/>
  <c r="O99" i="30" s="1"/>
  <c r="O102" i="30" s="1"/>
  <c r="O132" i="30"/>
  <c r="O51" i="30"/>
  <c r="O53" i="30"/>
  <c r="T66" i="30"/>
  <c r="T68" i="30" s="1"/>
  <c r="S68" i="30"/>
  <c r="S71" i="30" s="1"/>
  <c r="O68" i="30"/>
  <c r="O71" i="30" s="1"/>
  <c r="P66" i="30"/>
  <c r="P68" i="30" s="1"/>
  <c r="S97" i="30"/>
  <c r="S99" i="30" s="1"/>
  <c r="S102" i="30" s="1"/>
  <c r="S53" i="30"/>
  <c r="S132" i="30"/>
  <c r="S51" i="30"/>
  <c r="M68" i="30" l="1"/>
  <c r="M71" i="30" s="1"/>
  <c r="N66" i="30"/>
  <c r="N68" i="30" s="1"/>
  <c r="M53" i="30"/>
  <c r="M132" i="30"/>
  <c r="M97" i="30"/>
  <c r="M99" i="30" s="1"/>
  <c r="M102" i="30" s="1"/>
  <c r="M51" i="30"/>
  <c r="U97" i="30"/>
  <c r="U99" i="30" s="1"/>
  <c r="U102" i="30" s="1"/>
  <c r="U53" i="30"/>
  <c r="U132" i="30"/>
  <c r="U51" i="30"/>
  <c r="Q97" i="30"/>
  <c r="Q99" i="30" s="1"/>
  <c r="Q102" i="30" s="1"/>
  <c r="Q53" i="30"/>
  <c r="Q132" i="30"/>
  <c r="Q51" i="30"/>
  <c r="K62" i="30"/>
  <c r="K137" i="30" s="1"/>
  <c r="K54" i="30"/>
  <c r="K133" i="30"/>
  <c r="K59" i="30"/>
  <c r="L59" i="30" s="1"/>
  <c r="K136" i="30" s="1"/>
  <c r="W68" i="30"/>
  <c r="W71" i="30" s="1"/>
  <c r="X66" i="30"/>
  <c r="X68" i="30" s="1"/>
  <c r="K134" i="30"/>
  <c r="S176" i="30"/>
  <c r="L71" i="30"/>
  <c r="I68" i="30"/>
  <c r="I71" i="30" s="1"/>
  <c r="J66" i="30"/>
  <c r="J68" i="30" s="1"/>
  <c r="S62" i="30"/>
  <c r="S137" i="30" s="1"/>
  <c r="S133" i="30"/>
  <c r="S59" i="30"/>
  <c r="T59" i="30" s="1"/>
  <c r="S136" i="30" s="1"/>
  <c r="S54" i="30"/>
  <c r="P71" i="30"/>
  <c r="U176" i="30"/>
  <c r="O134" i="30"/>
  <c r="S134" i="30"/>
  <c r="W176" i="30"/>
  <c r="T71" i="30"/>
  <c r="U68" i="30"/>
  <c r="U71" i="30" s="1"/>
  <c r="V66" i="30"/>
  <c r="V68" i="30" s="1"/>
  <c r="O59" i="30"/>
  <c r="P59" i="30" s="1"/>
  <c r="O136" i="30" s="1"/>
  <c r="O54" i="30"/>
  <c r="O133" i="30"/>
  <c r="O62" i="30"/>
  <c r="O137" i="30" s="1"/>
  <c r="Q68" i="30"/>
  <c r="Q71" i="30" s="1"/>
  <c r="R66" i="30"/>
  <c r="R68" i="30" s="1"/>
  <c r="W50" i="30"/>
  <c r="I51" i="30"/>
  <c r="I97" i="30"/>
  <c r="I99" i="30" s="1"/>
  <c r="I102" i="30" s="1"/>
  <c r="I132" i="30"/>
  <c r="X50" i="30"/>
  <c r="I53" i="30"/>
  <c r="M133" i="30" l="1"/>
  <c r="M62" i="30"/>
  <c r="M137" i="30" s="1"/>
  <c r="M59" i="30"/>
  <c r="N59" i="30" s="1"/>
  <c r="M136" i="30" s="1"/>
  <c r="M54" i="30"/>
  <c r="M134" i="30"/>
  <c r="N71" i="30"/>
  <c r="T176" i="30"/>
  <c r="I54" i="30"/>
  <c r="I62" i="30"/>
  <c r="I137" i="30" s="1"/>
  <c r="X53" i="30"/>
  <c r="I133" i="30"/>
  <c r="I59" i="30"/>
  <c r="J59" i="30" s="1"/>
  <c r="I136" i="30" s="1"/>
  <c r="W53" i="30"/>
  <c r="O135" i="30"/>
  <c r="U177" i="30"/>
  <c r="Q62" i="30"/>
  <c r="Q137" i="30" s="1"/>
  <c r="Q59" i="30"/>
  <c r="R59" i="30" s="1"/>
  <c r="Q136" i="30" s="1"/>
  <c r="Q133" i="30"/>
  <c r="Q54" i="30"/>
  <c r="K135" i="30"/>
  <c r="S177" i="30"/>
  <c r="J71" i="30"/>
  <c r="I134" i="30"/>
  <c r="R176" i="30"/>
  <c r="X51" i="30"/>
  <c r="W51" i="30"/>
  <c r="W134" i="30"/>
  <c r="X71" i="30"/>
  <c r="W135" i="30" s="1"/>
  <c r="U54" i="30"/>
  <c r="U133" i="30"/>
  <c r="U62" i="30"/>
  <c r="U137" i="30" s="1"/>
  <c r="U59" i="30"/>
  <c r="V59" i="30" s="1"/>
  <c r="U136" i="30" s="1"/>
  <c r="V71" i="30"/>
  <c r="U134" i="30"/>
  <c r="X176" i="30"/>
  <c r="S135" i="30"/>
  <c r="W177" i="30"/>
  <c r="W132" i="30"/>
  <c r="W97" i="30"/>
  <c r="W99" i="30" s="1"/>
  <c r="W102" i="30" s="1"/>
  <c r="R71" i="30"/>
  <c r="V176" i="30"/>
  <c r="Q134" i="30"/>
  <c r="M135" i="30" l="1"/>
  <c r="T177" i="30"/>
  <c r="Q135" i="30"/>
  <c r="V177" i="30"/>
  <c r="W59" i="30"/>
  <c r="W62" i="30"/>
  <c r="W137" i="30" s="1"/>
  <c r="W133" i="30"/>
  <c r="R177" i="30"/>
  <c r="I135" i="30"/>
  <c r="X177" i="30"/>
  <c r="U135" i="30"/>
  <c r="W54" i="30"/>
  <c r="X54"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Göttling, Marie Joy Dr. (LEL)</author>
  </authors>
  <commentList>
    <comment ref="I3" authorId="0" shapeId="0" xr:uid="{00000000-0006-0000-0700-000001000000}">
      <text>
        <r>
          <rPr>
            <b/>
            <sz val="8"/>
            <color indexed="81"/>
            <rFont val="Tahoma"/>
            <family val="2"/>
          </rPr>
          <t>Göttling, Marie Joy Dr. (LEL):</t>
        </r>
        <r>
          <rPr>
            <sz val="8"/>
            <color indexed="81"/>
            <rFont val="Tahoma"/>
            <family val="2"/>
          </rPr>
          <t xml:space="preserve">
im Durchschnitt der Erntemonate zum Stichtag 28.11.2017</t>
        </r>
      </text>
    </comment>
    <comment ref="E4" authorId="0" shapeId="0" xr:uid="{00000000-0006-0000-0700-000002000000}">
      <text>
        <r>
          <rPr>
            <b/>
            <sz val="8"/>
            <color indexed="81"/>
            <rFont val="Tahoma"/>
            <family val="2"/>
          </rPr>
          <t>Göttling, Marie Joy Dr. (LEL):</t>
        </r>
        <r>
          <rPr>
            <sz val="8"/>
            <color indexed="81"/>
            <rFont val="Tahoma"/>
            <family val="2"/>
          </rPr>
          <t xml:space="preserve">
Achtung beim Durchschnitt!!!!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KriegK</author>
    <author>Hüsgen, Kerstin (LTZ)</author>
  </authors>
  <commentList>
    <comment ref="X4" authorId="0" shapeId="0" xr:uid="{00000000-0006-0000-1200-000001000000}">
      <text>
        <r>
          <rPr>
            <b/>
            <sz val="8"/>
            <color indexed="81"/>
            <rFont val="Tahoma"/>
            <family val="2"/>
          </rPr>
          <t xml:space="preserve"> = Körnererbsen</t>
        </r>
        <r>
          <rPr>
            <sz val="8"/>
            <color indexed="81"/>
            <rFont val="Tahoma"/>
            <family val="2"/>
          </rPr>
          <t xml:space="preserve">
</t>
        </r>
      </text>
    </comment>
    <comment ref="C10" authorId="1" shapeId="0" xr:uid="{00000000-0006-0000-1200-000002000000}">
      <text>
        <r>
          <rPr>
            <b/>
            <sz val="8"/>
            <color indexed="81"/>
            <rFont val="Tahoma"/>
            <family val="2"/>
          </rPr>
          <t>Hüsgen, Kerstin (LTZ):</t>
        </r>
        <r>
          <rPr>
            <sz val="8"/>
            <color indexed="81"/>
            <rFont val="Tahoma"/>
            <family val="2"/>
          </rPr>
          <t xml:space="preserve">
Atlantis WG durch Atlantis Flex + Biopower ersetzt</t>
        </r>
      </text>
    </comment>
    <comment ref="C27" authorId="1" shapeId="0" xr:uid="{00000000-0006-0000-1200-000004000000}">
      <text>
        <r>
          <rPr>
            <b/>
            <sz val="8"/>
            <color indexed="81"/>
            <rFont val="Tahoma"/>
            <family val="2"/>
          </rPr>
          <t>Hüsgen, Kerstin (LTZ):</t>
        </r>
        <r>
          <rPr>
            <sz val="8"/>
            <color indexed="81"/>
            <rFont val="Tahoma"/>
            <family val="2"/>
          </rPr>
          <t xml:space="preserve">
Camposan Extra durch Cerone 660 ersetzt
</t>
        </r>
      </text>
    </comment>
    <comment ref="C36" authorId="1" shapeId="0" xr:uid="{00000000-0006-0000-1200-000005000000}">
      <text>
        <r>
          <rPr>
            <b/>
            <sz val="8"/>
            <color indexed="81"/>
            <rFont val="Tahoma"/>
            <family val="2"/>
          </rPr>
          <t>Hüsgen, Kerstin (LTZ):</t>
        </r>
        <r>
          <rPr>
            <sz val="8"/>
            <color indexed="81"/>
            <rFont val="Tahoma"/>
            <family val="2"/>
          </rPr>
          <t xml:space="preserve">
Name geändert; früher: Aviator Xpro Duo</t>
        </r>
      </text>
    </comment>
    <comment ref="C37" authorId="1" shapeId="0" xr:uid="{00000000-0006-0000-1200-000006000000}">
      <text>
        <r>
          <rPr>
            <b/>
            <sz val="8"/>
            <color indexed="81"/>
            <rFont val="Tahoma"/>
            <family val="2"/>
          </rPr>
          <t>Hüsgen, Kerstin (LTZ):</t>
        </r>
        <r>
          <rPr>
            <sz val="8"/>
            <color indexed="81"/>
            <rFont val="Tahoma"/>
            <family val="2"/>
          </rPr>
          <t xml:space="preserve">
Name aktualisiert</t>
        </r>
      </text>
    </comment>
    <comment ref="X109" authorId="0" shapeId="0" xr:uid="{00000000-0006-0000-1200-000008000000}">
      <text>
        <r>
          <rPr>
            <b/>
            <sz val="8"/>
            <color indexed="81"/>
            <rFont val="Tahoma"/>
            <family val="2"/>
          </rPr>
          <t xml:space="preserve"> = Körnererbsen</t>
        </r>
        <r>
          <rPr>
            <sz val="8"/>
            <color indexed="81"/>
            <rFont val="Tahoma"/>
            <family val="2"/>
          </rPr>
          <t xml:space="preserve">
</t>
        </r>
      </text>
    </comment>
    <comment ref="C115" authorId="1" shapeId="0" xr:uid="{00000000-0006-0000-1200-000009000000}">
      <text>
        <r>
          <rPr>
            <b/>
            <sz val="8"/>
            <color indexed="81"/>
            <rFont val="Tahoma"/>
            <family val="2"/>
          </rPr>
          <t>Hüsgen, Kerstin (LTZ):</t>
        </r>
        <r>
          <rPr>
            <sz val="8"/>
            <color indexed="81"/>
            <rFont val="Tahoma"/>
            <family val="2"/>
          </rPr>
          <t xml:space="preserve">
Atlantis WG durch Atlantis Flex + Biopower ersetzt</t>
        </r>
      </text>
    </comment>
    <comment ref="C122" authorId="1" shapeId="0" xr:uid="{00000000-0006-0000-1200-00000A000000}">
      <text>
        <r>
          <rPr>
            <b/>
            <sz val="8"/>
            <color indexed="81"/>
            <rFont val="Tahoma"/>
            <family val="2"/>
          </rPr>
          <t>Hüsgen, Kerstin (LTZ):</t>
        </r>
        <r>
          <rPr>
            <sz val="8"/>
            <color indexed="81"/>
            <rFont val="Tahoma"/>
            <family val="2"/>
          </rPr>
          <t xml:space="preserve">
+ Dash eingefügt</t>
        </r>
      </text>
    </comment>
    <comment ref="C132" authorId="1" shapeId="0" xr:uid="{00000000-0006-0000-1200-00000B000000}">
      <text>
        <r>
          <rPr>
            <b/>
            <sz val="8"/>
            <color indexed="81"/>
            <rFont val="Tahoma"/>
            <family val="2"/>
          </rPr>
          <t>Hüsgen, Kerstin (LTZ):</t>
        </r>
        <r>
          <rPr>
            <sz val="8"/>
            <color indexed="81"/>
            <rFont val="Tahoma"/>
            <family val="2"/>
          </rPr>
          <t xml:space="preserve">
Camposan Extra durch Cerone 660 ersetzt
</t>
        </r>
      </text>
    </comment>
    <comment ref="C141" authorId="1" shapeId="0" xr:uid="{00000000-0006-0000-1200-00000C000000}">
      <text>
        <r>
          <rPr>
            <b/>
            <sz val="8"/>
            <color indexed="81"/>
            <rFont val="Tahoma"/>
            <family val="2"/>
          </rPr>
          <t>Hüsgen, Kerstin (LTZ):</t>
        </r>
        <r>
          <rPr>
            <sz val="8"/>
            <color indexed="81"/>
            <rFont val="Tahoma"/>
            <family val="2"/>
          </rPr>
          <t xml:space="preserve">
Name geändert; früher: Aviator Xpro Duo</t>
        </r>
      </text>
    </comment>
    <comment ref="C142" authorId="1" shapeId="0" xr:uid="{00000000-0006-0000-1200-00000D000000}">
      <text>
        <r>
          <rPr>
            <b/>
            <sz val="8"/>
            <color indexed="81"/>
            <rFont val="Tahoma"/>
            <family val="2"/>
          </rPr>
          <t>Hüsgen, Kerstin (LTZ):</t>
        </r>
        <r>
          <rPr>
            <sz val="8"/>
            <color indexed="81"/>
            <rFont val="Tahoma"/>
            <family val="2"/>
          </rPr>
          <t xml:space="preserve">
Name aktualisiert</t>
        </r>
      </text>
    </comment>
    <comment ref="X213" authorId="0" shapeId="0" xr:uid="{00000000-0006-0000-1200-00000E000000}">
      <text>
        <r>
          <rPr>
            <b/>
            <sz val="8"/>
            <color indexed="81"/>
            <rFont val="Tahoma"/>
            <family val="2"/>
          </rPr>
          <t xml:space="preserve"> = Körnererbsen</t>
        </r>
        <r>
          <rPr>
            <sz val="8"/>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Richard Müller</author>
  </authors>
  <commentList>
    <comment ref="E69" authorId="0" shapeId="0" xr:uid="{00000000-0006-0000-1500-000001000000}">
      <text>
        <r>
          <rPr>
            <b/>
            <sz val="8"/>
            <color indexed="81"/>
            <rFont val="Tahoma"/>
            <family val="2"/>
          </rPr>
          <t>75 % A-, 25 % B-Rüben und Schnitzelpreis</t>
        </r>
        <r>
          <rPr>
            <sz val="8"/>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Dörr, Johanna (LEL-SG)</author>
    <author>Zolic, Ena (LEL-SG)</author>
  </authors>
  <commentList>
    <comment ref="D10" authorId="0" shapeId="0" xr:uid="{00000000-0006-0000-1800-000001000000}">
      <text>
        <r>
          <rPr>
            <b/>
            <sz val="9"/>
            <color indexed="81"/>
            <rFont val="Segoe UI"/>
            <family val="2"/>
          </rPr>
          <t>Dörr, Johanna (LEL-SG):</t>
        </r>
        <r>
          <rPr>
            <sz val="9"/>
            <color indexed="81"/>
            <rFont val="Segoe UI"/>
            <family val="2"/>
          </rPr>
          <t xml:space="preserve">
aktuell nach Dünge BW 2024
</t>
        </r>
      </text>
    </comment>
    <comment ref="D28" authorId="1" shapeId="0" xr:uid="{00000000-0006-0000-1800-000002000000}">
      <text>
        <r>
          <rPr>
            <b/>
            <sz val="9"/>
            <color indexed="81"/>
            <rFont val="Segoe UI"/>
            <family val="2"/>
          </rPr>
          <t>Zolic, Ena (LEL-SG):</t>
        </r>
        <r>
          <rPr>
            <sz val="9"/>
            <color indexed="81"/>
            <rFont val="Segoe UI"/>
            <family val="2"/>
          </rPr>
          <t xml:space="preserve">
Differenz Haupternteprodukt und N-Fixierung</t>
        </r>
      </text>
    </comment>
    <comment ref="H28" authorId="1" shapeId="0" xr:uid="{00000000-0006-0000-1800-000003000000}">
      <text>
        <r>
          <rPr>
            <b/>
            <sz val="9"/>
            <color indexed="81"/>
            <rFont val="Segoe UI"/>
            <family val="2"/>
          </rPr>
          <t>Zolic, Ena (LEL-SG):</t>
        </r>
        <r>
          <rPr>
            <sz val="9"/>
            <color indexed="81"/>
            <rFont val="Segoe UI"/>
            <family val="2"/>
          </rPr>
          <t xml:space="preserve">
Differenz Abfuhr Hauptprodukt und Abfuht Haupt- und Nebenernteprodukt</t>
        </r>
      </text>
    </comment>
    <comment ref="D30" authorId="1" shapeId="0" xr:uid="{00000000-0006-0000-1800-000004000000}">
      <text>
        <r>
          <rPr>
            <b/>
            <sz val="9"/>
            <color indexed="81"/>
            <rFont val="Segoe UI"/>
            <family val="2"/>
          </rPr>
          <t>Zolic, Ena (LEL-SG):</t>
        </r>
        <r>
          <rPr>
            <sz val="9"/>
            <color indexed="81"/>
            <rFont val="Segoe UI"/>
            <family val="2"/>
          </rPr>
          <t xml:space="preserve">
Differenz Haupternteprodukt und N-Fixierung</t>
        </r>
      </text>
    </comment>
    <comment ref="H30" authorId="1" shapeId="0" xr:uid="{00000000-0006-0000-1800-000005000000}">
      <text>
        <r>
          <rPr>
            <b/>
            <sz val="9"/>
            <color indexed="81"/>
            <rFont val="Segoe UI"/>
            <family val="2"/>
          </rPr>
          <t>Zolic, Ena (LEL-SG):</t>
        </r>
        <r>
          <rPr>
            <sz val="9"/>
            <color indexed="81"/>
            <rFont val="Segoe UI"/>
            <family val="2"/>
          </rPr>
          <t xml:space="preserve">
Differenz Abfuhr Hauptprodukt und Abfuht Haupt- und Nebenernteprodukt</t>
        </r>
      </text>
    </comment>
    <comment ref="D31" authorId="1" shapeId="0" xr:uid="{00000000-0006-0000-1800-000006000000}">
      <text>
        <r>
          <rPr>
            <b/>
            <sz val="9"/>
            <color indexed="81"/>
            <rFont val="Segoe UI"/>
            <family val="2"/>
          </rPr>
          <t>Zolic, Ena (LEL-SG):</t>
        </r>
        <r>
          <rPr>
            <sz val="9"/>
            <color indexed="81"/>
            <rFont val="Segoe UI"/>
            <family val="2"/>
          </rPr>
          <t xml:space="preserve">
Differenz Haupternteprodukt und N-Fixierung</t>
        </r>
      </text>
    </comment>
    <comment ref="H31" authorId="1" shapeId="0" xr:uid="{00000000-0006-0000-1800-000007000000}">
      <text>
        <r>
          <rPr>
            <b/>
            <sz val="9"/>
            <color indexed="81"/>
            <rFont val="Segoe UI"/>
            <family val="2"/>
          </rPr>
          <t>Zolic, Ena (LEL-SG):</t>
        </r>
        <r>
          <rPr>
            <sz val="9"/>
            <color indexed="81"/>
            <rFont val="Segoe UI"/>
            <family val="2"/>
          </rPr>
          <t xml:space="preserve">
Differenz Abfuhr Hauptprodukt und Abfuht Haupt- und Nebenernteprodukt</t>
        </r>
      </text>
    </comment>
    <comment ref="D32" authorId="1" shapeId="0" xr:uid="{00000000-0006-0000-1800-000008000000}">
      <text>
        <r>
          <rPr>
            <b/>
            <sz val="9"/>
            <color indexed="81"/>
            <rFont val="Segoe UI"/>
            <family val="2"/>
          </rPr>
          <t>Zolic, Ena (LEL-SG):</t>
        </r>
        <r>
          <rPr>
            <sz val="9"/>
            <color indexed="81"/>
            <rFont val="Segoe UI"/>
            <family val="2"/>
          </rPr>
          <t xml:space="preserve">
Differenz Haupternteprodukt und N-Fixierung</t>
        </r>
      </text>
    </comment>
    <comment ref="H32" authorId="1" shapeId="0" xr:uid="{00000000-0006-0000-1800-000009000000}">
      <text>
        <r>
          <rPr>
            <b/>
            <sz val="9"/>
            <color indexed="81"/>
            <rFont val="Segoe UI"/>
            <family val="2"/>
          </rPr>
          <t>Zolic, Ena (LEL-SG):</t>
        </r>
        <r>
          <rPr>
            <sz val="9"/>
            <color indexed="81"/>
            <rFont val="Segoe UI"/>
            <family val="2"/>
          </rPr>
          <t xml:space="preserve">
Differenz Abfuhr Hauptprodukt und Abfuht Haupt- und Nebenernteprodukt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Richard Müller</author>
  </authors>
  <commentList>
    <comment ref="F75" authorId="0" shapeId="0" xr:uid="{00000000-0006-0000-1A00-000001000000}">
      <text>
        <r>
          <rPr>
            <sz val="10"/>
            <color indexed="81"/>
            <rFont val="Arial"/>
            <family val="2"/>
          </rPr>
          <t xml:space="preserve">Summe aller Leistungen abzüglich Direktkosten
(Saatgut, Düngung, Pflanzenschutz, Trocknung/
Konservierung, Lagerung, Vermarktung, Beregnung,
Hagelversicherung, Sonstige variable Kosten).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H25" authorId="0" shapeId="0" xr:uid="{00000000-0006-0000-1B00-000001000000}">
      <text>
        <r>
          <rPr>
            <sz val="8"/>
            <color indexed="81"/>
            <rFont val="Tahoma"/>
            <family val="2"/>
          </rPr>
          <t xml:space="preserve">Einheit = kg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D26" authorId="0" shapeId="0" xr:uid="{00000000-0006-0000-2800-000001000000}">
      <text>
        <r>
          <rPr>
            <sz val="8"/>
            <color indexed="81"/>
            <rFont val="Tahoma"/>
            <family val="2"/>
          </rPr>
          <t xml:space="preserve">hybridsaatgut wi-raps     0,3 einheiten beim saatgut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E30" authorId="0" shapeId="0" xr:uid="{00000000-0006-0000-2A00-000001000000}">
      <text>
        <r>
          <rPr>
            <sz val="8"/>
            <color indexed="81"/>
            <rFont val="Tahoma"/>
            <family val="2"/>
          </rPr>
          <t xml:space="preserve">Differenz zwischen N-Abfuhr und N-Lieferung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E30" authorId="0" shapeId="0" xr:uid="{00000000-0006-0000-2C00-000001000000}">
      <text>
        <r>
          <rPr>
            <sz val="8"/>
            <color indexed="81"/>
            <rFont val="Tahoma"/>
            <family val="2"/>
          </rPr>
          <t xml:space="preserve">Differenz zwischen N-Abfuhr und N-Lieferung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E30" authorId="0" shapeId="0" xr:uid="{00000000-0006-0000-2D00-000001000000}">
      <text>
        <r>
          <rPr>
            <sz val="8"/>
            <color indexed="81"/>
            <rFont val="Tahoma"/>
            <family val="2"/>
          </rPr>
          <t xml:space="preserve">Differenz zwischen N-Abfuhr und N-Lieferung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E30" authorId="0" shapeId="0" xr:uid="{00000000-0006-0000-2E00-000001000000}">
      <text>
        <r>
          <rPr>
            <sz val="8"/>
            <color indexed="81"/>
            <rFont val="Tahoma"/>
            <family val="2"/>
          </rPr>
          <t xml:space="preserve">Differenz zwischen N-Abfuhr und N-Lieferung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Göttling, Marie Joy Dr. (LEL)</author>
  </authors>
  <commentList>
    <comment ref="K3" authorId="0" shapeId="0" xr:uid="{00000000-0006-0000-0800-000001000000}">
      <text>
        <r>
          <rPr>
            <b/>
            <sz val="8"/>
            <color indexed="81"/>
            <rFont val="Tahoma"/>
            <family val="2"/>
          </rPr>
          <t>Göttling, Marie Joy Dr. (LEL):</t>
        </r>
        <r>
          <rPr>
            <sz val="8"/>
            <color indexed="81"/>
            <rFont val="Tahoma"/>
            <family val="2"/>
          </rPr>
          <t xml:space="preserve">
im Durchschnitt der Erntemonate zum Stichtag 28.11.2017</t>
        </r>
      </text>
    </comment>
    <comment ref="F4" authorId="0" shapeId="0" xr:uid="{00000000-0006-0000-0800-000002000000}">
      <text>
        <r>
          <rPr>
            <b/>
            <sz val="8"/>
            <color indexed="81"/>
            <rFont val="Tahoma"/>
            <family val="2"/>
          </rPr>
          <t>Göttling, Marie Joy Dr. (LEL):</t>
        </r>
        <r>
          <rPr>
            <sz val="8"/>
            <color indexed="81"/>
            <rFont val="Tahoma"/>
            <family val="2"/>
          </rPr>
          <t xml:space="preserve">
Achtung beim Durchschnitt!!!!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Göttling, Marie Joy Dr. (LEL)</author>
  </authors>
  <commentList>
    <comment ref="H66" authorId="0" shapeId="0" xr:uid="{00000000-0006-0000-2F00-000001000000}">
      <text>
        <r>
          <rPr>
            <b/>
            <sz val="8"/>
            <color indexed="81"/>
            <rFont val="Tahoma"/>
            <family val="2"/>
          </rPr>
          <t>Göttling, Marie Joy Dr. (LEL):</t>
        </r>
        <r>
          <rPr>
            <sz val="8"/>
            <color indexed="81"/>
            <rFont val="Tahoma"/>
            <family val="2"/>
          </rPr>
          <t xml:space="preserve">
ca 80- ständige AK - Beregnung (15 Akh)</t>
        </r>
      </text>
    </comment>
    <comment ref="K66" authorId="0" shapeId="0" xr:uid="{00000000-0006-0000-2F00-000002000000}">
      <text>
        <r>
          <rPr>
            <b/>
            <sz val="8"/>
            <color indexed="81"/>
            <rFont val="Tahoma"/>
            <family val="2"/>
          </rPr>
          <t>Göttling, Marie Joy Dr. (LEL):</t>
        </r>
        <r>
          <rPr>
            <sz val="8"/>
            <color indexed="81"/>
            <rFont val="Tahoma"/>
            <family val="2"/>
          </rPr>
          <t xml:space="preserve">
ca 80- ständige AK - Beregnung (15 Akh)</t>
        </r>
      </text>
    </comment>
    <comment ref="N66" authorId="0" shapeId="0" xr:uid="{00000000-0006-0000-2F00-000003000000}">
      <text>
        <r>
          <rPr>
            <b/>
            <sz val="8"/>
            <color indexed="81"/>
            <rFont val="Tahoma"/>
            <family val="2"/>
          </rPr>
          <t>Göttling, Marie Joy Dr. (LEL):</t>
        </r>
        <r>
          <rPr>
            <sz val="8"/>
            <color indexed="81"/>
            <rFont val="Tahoma"/>
            <family val="2"/>
          </rPr>
          <t xml:space="preserve">
ca 80- ständige AK - Beregnung (15 Akh)</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Göttling, Marie Joy Dr. (LEL)</author>
  </authors>
  <commentList>
    <comment ref="H66" authorId="0" shapeId="0" xr:uid="{00000000-0006-0000-3000-000001000000}">
      <text>
        <r>
          <rPr>
            <b/>
            <sz val="8"/>
            <color indexed="81"/>
            <rFont val="Tahoma"/>
            <family val="2"/>
          </rPr>
          <t>Göttling, Marie Joy Dr. (LEL):</t>
        </r>
        <r>
          <rPr>
            <sz val="8"/>
            <color indexed="81"/>
            <rFont val="Tahoma"/>
            <family val="2"/>
          </rPr>
          <t xml:space="preserve">
140 - ständige Akh = angestrebter Wert</t>
        </r>
      </text>
    </comment>
    <comment ref="K66" authorId="0" shapeId="0" xr:uid="{00000000-0006-0000-3000-000002000000}">
      <text>
        <r>
          <rPr>
            <b/>
            <sz val="8"/>
            <color indexed="81"/>
            <rFont val="Tahoma"/>
            <family val="2"/>
          </rPr>
          <t>Göttling, Marie Joy Dr. (LEL):</t>
        </r>
        <r>
          <rPr>
            <sz val="8"/>
            <color indexed="81"/>
            <rFont val="Tahoma"/>
            <family val="2"/>
          </rPr>
          <t xml:space="preserve">
140 - ständige Akh = angestrebter Wert</t>
        </r>
      </text>
    </comment>
    <comment ref="N66" authorId="0" shapeId="0" xr:uid="{00000000-0006-0000-3000-000003000000}">
      <text>
        <r>
          <rPr>
            <b/>
            <sz val="8"/>
            <color indexed="81"/>
            <rFont val="Tahoma"/>
            <family val="2"/>
          </rPr>
          <t>Göttling, Marie Joy Dr. (LEL):</t>
        </r>
        <r>
          <rPr>
            <sz val="8"/>
            <color indexed="81"/>
            <rFont val="Tahoma"/>
            <family val="2"/>
          </rPr>
          <t xml:space="preserve">
140 - ständige Akh = angestrebter Wert</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Göttling, Marie Joy Dr. (LEL)</author>
  </authors>
  <commentList>
    <comment ref="H66" authorId="0" shapeId="0" xr:uid="{00000000-0006-0000-3100-000001000000}">
      <text>
        <r>
          <rPr>
            <b/>
            <sz val="8"/>
            <color indexed="81"/>
            <rFont val="Tahoma"/>
            <family val="2"/>
          </rPr>
          <t>Göttling, Marie Joy Dr. (LEL):</t>
        </r>
        <r>
          <rPr>
            <sz val="8"/>
            <color indexed="81"/>
            <rFont val="Tahoma"/>
            <family val="2"/>
          </rPr>
          <t xml:space="preserve">
50- ständige AK</t>
        </r>
      </text>
    </comment>
    <comment ref="K66" authorId="0" shapeId="0" xr:uid="{00000000-0006-0000-3100-000002000000}">
      <text>
        <r>
          <rPr>
            <b/>
            <sz val="8"/>
            <color indexed="81"/>
            <rFont val="Tahoma"/>
            <family val="2"/>
          </rPr>
          <t>Göttling, Marie Joy Dr. (LEL):</t>
        </r>
        <r>
          <rPr>
            <sz val="8"/>
            <color indexed="81"/>
            <rFont val="Tahoma"/>
            <family val="2"/>
          </rPr>
          <t xml:space="preserve">
50- ständige AK</t>
        </r>
      </text>
    </comment>
    <comment ref="N66" authorId="0" shapeId="0" xr:uid="{00000000-0006-0000-3100-000003000000}">
      <text>
        <r>
          <rPr>
            <b/>
            <sz val="8"/>
            <color indexed="81"/>
            <rFont val="Tahoma"/>
            <family val="2"/>
          </rPr>
          <t>Göttling, Marie Joy Dr. (LEL):</t>
        </r>
        <r>
          <rPr>
            <sz val="8"/>
            <color indexed="81"/>
            <rFont val="Tahoma"/>
            <family val="2"/>
          </rPr>
          <t xml:space="preserve">
50- ständige AK</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Göttling, Marie Joy Dr. (LEL)</author>
  </authors>
  <commentList>
    <comment ref="H66" authorId="0" shapeId="0" xr:uid="{00000000-0006-0000-3200-000001000000}">
      <text>
        <r>
          <rPr>
            <b/>
            <sz val="8"/>
            <color indexed="81"/>
            <rFont val="Tahoma"/>
            <family val="2"/>
          </rPr>
          <t>Göttling, Marie Joy Dr. (LEL):</t>
        </r>
        <r>
          <rPr>
            <sz val="8"/>
            <color indexed="81"/>
            <rFont val="Tahoma"/>
            <family val="2"/>
          </rPr>
          <t xml:space="preserve">
60- ständige AK</t>
        </r>
      </text>
    </comment>
    <comment ref="K66" authorId="0" shapeId="0" xr:uid="{00000000-0006-0000-3200-000002000000}">
      <text>
        <r>
          <rPr>
            <b/>
            <sz val="8"/>
            <color indexed="81"/>
            <rFont val="Tahoma"/>
            <family val="2"/>
          </rPr>
          <t>Göttling, Marie Joy Dr. (LEL):</t>
        </r>
        <r>
          <rPr>
            <sz val="8"/>
            <color indexed="81"/>
            <rFont val="Tahoma"/>
            <family val="2"/>
          </rPr>
          <t xml:space="preserve">
60- ständige AK</t>
        </r>
      </text>
    </comment>
    <comment ref="N66" authorId="0" shapeId="0" xr:uid="{00000000-0006-0000-3200-000003000000}">
      <text>
        <r>
          <rPr>
            <b/>
            <sz val="8"/>
            <color indexed="81"/>
            <rFont val="Tahoma"/>
            <family val="2"/>
          </rPr>
          <t>Göttling, Marie Joy Dr. (LEL):</t>
        </r>
        <r>
          <rPr>
            <sz val="8"/>
            <color indexed="81"/>
            <rFont val="Tahoma"/>
            <family val="2"/>
          </rPr>
          <t xml:space="preserve">
60- ständige AK</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H25" authorId="0" shapeId="0" xr:uid="{00000000-0006-0000-3700-000001000000}">
      <text>
        <r>
          <rPr>
            <sz val="8"/>
            <color indexed="81"/>
            <rFont val="Tahoma"/>
            <family val="2"/>
          </rPr>
          <t xml:space="preserve">Enheit=kg
</t>
        </r>
      </text>
    </comment>
    <comment ref="K25" authorId="0" shapeId="0" xr:uid="{00000000-0006-0000-3700-000002000000}">
      <text>
        <r>
          <rPr>
            <sz val="8"/>
            <color indexed="81"/>
            <rFont val="Tahoma"/>
            <family val="2"/>
          </rPr>
          <t xml:space="preserve">Enheit=kg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H25" authorId="0" shapeId="0" xr:uid="{00000000-0006-0000-3800-000001000000}">
      <text>
        <r>
          <rPr>
            <sz val="8"/>
            <color indexed="81"/>
            <rFont val="Tahoma"/>
            <family val="2"/>
          </rPr>
          <t xml:space="preserve">Enheit=kg
</t>
        </r>
      </text>
    </comment>
    <comment ref="K25" authorId="0" shapeId="0" xr:uid="{00000000-0006-0000-3800-000002000000}">
      <text>
        <r>
          <rPr>
            <sz val="8"/>
            <color indexed="81"/>
            <rFont val="Tahoma"/>
            <family val="2"/>
          </rPr>
          <t xml:space="preserve">Enheit=kg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Hinderer, Axel (LEL-SG)</author>
  </authors>
  <commentList>
    <comment ref="E30" authorId="0" shapeId="0" xr:uid="{00000000-0006-0000-3B00-00000100000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Hinderer, Axel (LEL-SG)</author>
  </authors>
  <commentList>
    <comment ref="E30" authorId="0" shapeId="0" xr:uid="{00000000-0006-0000-3D00-00000100000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Hinderer, Axel (LEL-SG)</author>
  </authors>
  <commentList>
    <comment ref="E30" authorId="0" shapeId="0" xr:uid="{00000000-0006-0000-3E00-00000100000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Hinderer, Axel (LEL-SG)</author>
  </authors>
  <commentList>
    <comment ref="E30" authorId="0" shapeId="0" xr:uid="{00000000-0006-0000-3C00-00000100000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Göttling, Marie Joy Dr. (LEL)</author>
  </authors>
  <commentList>
    <comment ref="M3" authorId="0" shapeId="0" xr:uid="{00000000-0006-0000-0900-000001000000}">
      <text>
        <r>
          <rPr>
            <b/>
            <sz val="8"/>
            <color indexed="81"/>
            <rFont val="Tahoma"/>
            <family val="2"/>
          </rPr>
          <t>Göttling, Marie Joy Dr. (LEL):</t>
        </r>
        <r>
          <rPr>
            <sz val="8"/>
            <color indexed="81"/>
            <rFont val="Tahoma"/>
            <family val="2"/>
          </rPr>
          <t xml:space="preserve">
im Durchschnitt der Erntemonate zum Stichtag 28.11.2017</t>
        </r>
      </text>
    </comment>
    <comment ref="G4" authorId="0" shapeId="0" xr:uid="{00000000-0006-0000-0900-000002000000}">
      <text>
        <r>
          <rPr>
            <b/>
            <sz val="8"/>
            <color indexed="81"/>
            <rFont val="Tahoma"/>
            <family val="2"/>
          </rPr>
          <t>Göttling, Marie Joy Dr. (LEL):</t>
        </r>
        <r>
          <rPr>
            <sz val="8"/>
            <color indexed="81"/>
            <rFont val="Tahoma"/>
            <family val="2"/>
          </rPr>
          <t xml:space="preserve">
Achtung beim Durchschnitt!!!!</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E30" authorId="0" shapeId="0" xr:uid="{00000000-0006-0000-4900-000001000000}">
      <text>
        <r>
          <rPr>
            <sz val="8"/>
            <color indexed="81"/>
            <rFont val="Tahoma"/>
            <family val="2"/>
          </rPr>
          <t xml:space="preserve">Differenz zwischen N-Abfuhr und N-Lieferung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Schabel, Katrin (LEL)</author>
    <author>KriegK</author>
  </authors>
  <commentList>
    <comment ref="B7" authorId="0" shapeId="0" xr:uid="{00000000-0006-0000-4E00-00000100000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xr:uid="{00000000-0006-0000-4E00-00000200000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xr:uid="{00000000-0006-0000-4E00-00000300000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xr:uid="{00000000-0006-0000-4E00-000004000000}">
      <text>
        <r>
          <rPr>
            <sz val="10"/>
            <color indexed="81"/>
            <rFont val="Tahoma"/>
            <family val="2"/>
          </rPr>
          <t xml:space="preserve">In der Grundeinstellung ist als Ausgleichsleistung das FAKT D2 für ökologischen Ackerbau dargestellt. Weitere Leistungen können zusätzlich angewählt werden, müssen jedoch auf ihre Kombinierbarkeit überprüft werden (Blatt „Prämien“). </t>
        </r>
      </text>
    </comment>
    <comment ref="B20" authorId="0" shapeId="0" xr:uid="{00000000-0006-0000-4E00-00000500000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1" authorId="0" shapeId="0" xr:uid="{00000000-0006-0000-4E00-00000600000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5" authorId="0" shapeId="0" xr:uid="{00000000-0006-0000-4E00-00000700000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E28" authorId="1" shapeId="0" xr:uid="{00000000-0006-0000-4E00-000008000000}">
      <text>
        <r>
          <rPr>
            <sz val="8"/>
            <color indexed="81"/>
            <rFont val="Tahoma"/>
            <family val="2"/>
          </rPr>
          <t xml:space="preserve">Differenz zwischen N-Abfuhr und N-Lieferung
</t>
        </r>
      </text>
    </comment>
    <comment ref="B32" authorId="0" shapeId="0" xr:uid="{00000000-0006-0000-4E00-000009000000}">
      <text>
        <r>
          <rPr>
            <sz val="10"/>
            <color indexed="81"/>
            <rFont val="Tahoma"/>
            <family val="2"/>
          </rPr>
          <t xml:space="preserve">Einige </t>
        </r>
        <r>
          <rPr>
            <b/>
            <sz val="10"/>
            <color indexed="81"/>
            <rFont val="Tahoma"/>
            <family val="2"/>
          </rPr>
          <t>zugelassene Pflanzenschutzmittel und Präparate</t>
        </r>
        <r>
          <rPr>
            <sz val="10"/>
            <color indexed="81"/>
            <rFont val="Tahoma"/>
            <family val="2"/>
          </rPr>
          <t xml:space="preserve"> können hier individuell eingestellt werden. </t>
        </r>
        <r>
          <rPr>
            <b/>
            <sz val="10"/>
            <color indexed="81"/>
            <rFont val="Tahoma"/>
            <family val="2"/>
          </rPr>
          <t xml:space="preserve">Düngemittel </t>
        </r>
        <r>
          <rPr>
            <sz val="10"/>
            <color indexed="81"/>
            <rFont val="Tahoma"/>
            <family val="2"/>
          </rPr>
          <t xml:space="preserve">sollten nur dann ausgewäht werden keinen Bewertung der Nährstoffabfuhr mit pauschalen Nährstoffpreisen erfolgt (Einstellung siehe Blatt Preise) !   </t>
        </r>
      </text>
    </comment>
    <comment ref="B42" authorId="0" shapeId="0" xr:uid="{00000000-0006-0000-4E00-00000A00000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7" authorId="0" shapeId="0" xr:uid="{00000000-0006-0000-4E00-00000B000000}">
      <text>
        <r>
          <rPr>
            <sz val="10"/>
            <color indexed="81"/>
            <rFont val="Tahoma"/>
            <family val="2"/>
          </rPr>
          <t xml:space="preserve">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2" authorId="0" shapeId="0" xr:uid="{00000000-0006-0000-4E00-00000C000000}">
      <text>
        <r>
          <rPr>
            <sz val="10"/>
            <color indexed="81"/>
            <rFont val="Tahoma"/>
            <family val="2"/>
          </rPr>
          <t xml:space="preserve">Auswahl ist durch die Dropdown felder möglich. Alle Verfahren müssen auf den ha angepasst werden!
Die Daten stammen aus dem Blatt "Arbeitsgänge"
</t>
        </r>
      </text>
    </comment>
    <comment ref="B67" authorId="0" shapeId="0" xr:uid="{00000000-0006-0000-4E00-00000D00000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69" authorId="0" shapeId="0" xr:uid="{00000000-0006-0000-4E00-00000E000000}">
      <text>
        <r>
          <rPr>
            <sz val="10"/>
            <color indexed="81"/>
            <rFont val="Tahoma"/>
            <family val="2"/>
          </rPr>
          <t xml:space="preserve">
Die Hagelversicherung bezieht sich immer auf die versicherte Kultur und ist vom erwarteten Ertrag abhängig. Die Werte stammen aus dem Datenblatt „Sonstige“.</t>
        </r>
      </text>
    </comment>
    <comment ref="B71" authorId="0" shapeId="0" xr:uid="{00000000-0006-0000-4E00-00000F00000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Schabel, Katrin (LEL)</author>
  </authors>
  <commentList>
    <comment ref="B7" authorId="0" shapeId="0" xr:uid="{00000000-0006-0000-5300-00000100000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xr:uid="{00000000-0006-0000-5300-00000200000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xr:uid="{00000000-0006-0000-5300-00000300000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xr:uid="{00000000-0006-0000-5300-00000400000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xr:uid="{00000000-0006-0000-5300-00000500000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xr:uid="{00000000-0006-0000-5300-00000600000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xr:uid="{00000000-0006-0000-5300-00000700000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xr:uid="{00000000-0006-0000-5300-00000800000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xr:uid="{00000000-0006-0000-5300-00000900000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xr:uid="{00000000-0006-0000-5300-00000A00000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xr:uid="{00000000-0006-0000-5300-00000B00000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xr:uid="{00000000-0006-0000-5300-00000C00000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xr:uid="{00000000-0006-0000-5300-00000D00000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xr:uid="{00000000-0006-0000-5300-00000E00000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xr:uid="{00000000-0006-0000-5300-00000F00000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Schabel, Katrin (LEL)</author>
  </authors>
  <commentList>
    <comment ref="B7" authorId="0" shapeId="0" xr:uid="{00000000-0006-0000-5400-00000100000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xr:uid="{00000000-0006-0000-5400-00000200000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xr:uid="{00000000-0006-0000-5400-00000300000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xr:uid="{00000000-0006-0000-5400-00000400000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xr:uid="{00000000-0006-0000-5400-00000500000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xr:uid="{00000000-0006-0000-5400-00000600000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xr:uid="{00000000-0006-0000-5400-00000700000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xr:uid="{00000000-0006-0000-5400-00000800000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xr:uid="{00000000-0006-0000-5400-00000900000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xr:uid="{00000000-0006-0000-5400-00000A00000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xr:uid="{00000000-0006-0000-5400-00000B00000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xr:uid="{00000000-0006-0000-5400-00000C00000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xr:uid="{00000000-0006-0000-5400-00000D00000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xr:uid="{00000000-0006-0000-5400-00000E00000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xr:uid="{00000000-0006-0000-5400-00000F00000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Schabel, Katrin (LEL)</author>
  </authors>
  <commentList>
    <comment ref="B7" authorId="0" shapeId="0" xr:uid="{00000000-0006-0000-5500-00000100000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xr:uid="{00000000-0006-0000-5500-00000200000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xr:uid="{00000000-0006-0000-5500-00000300000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xr:uid="{00000000-0006-0000-5500-00000400000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xr:uid="{00000000-0006-0000-5500-00000500000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xr:uid="{00000000-0006-0000-5500-00000600000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xr:uid="{00000000-0006-0000-5500-00000700000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xr:uid="{00000000-0006-0000-5500-00000800000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xr:uid="{00000000-0006-0000-5500-00000900000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xr:uid="{00000000-0006-0000-5500-00000A00000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xr:uid="{00000000-0006-0000-5500-00000B00000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xr:uid="{00000000-0006-0000-5500-00000C00000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xr:uid="{00000000-0006-0000-5500-00000D00000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xr:uid="{00000000-0006-0000-5500-00000E00000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xr:uid="{00000000-0006-0000-5500-00000F00000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Schabel, Katrin (LEL)</author>
  </authors>
  <commentList>
    <comment ref="B7" authorId="0" shapeId="0" xr:uid="{00000000-0006-0000-5600-00000100000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xr:uid="{00000000-0006-0000-5600-00000200000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xr:uid="{00000000-0006-0000-5600-00000300000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xr:uid="{00000000-0006-0000-5600-00000400000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xr:uid="{00000000-0006-0000-5600-00000500000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xr:uid="{00000000-0006-0000-5600-00000600000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xr:uid="{00000000-0006-0000-5600-00000700000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xr:uid="{00000000-0006-0000-5600-00000800000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xr:uid="{00000000-0006-0000-5600-00000900000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xr:uid="{00000000-0006-0000-5600-00000A00000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xr:uid="{00000000-0006-0000-5600-00000B00000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xr:uid="{00000000-0006-0000-5600-00000C00000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xr:uid="{00000000-0006-0000-5600-00000D00000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xr:uid="{00000000-0006-0000-5600-00000E00000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xr:uid="{00000000-0006-0000-5600-00000F00000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Schabel, Katrin (LEL)</author>
  </authors>
  <commentList>
    <comment ref="B7" authorId="0" shapeId="0" xr:uid="{00000000-0006-0000-5700-00000100000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xr:uid="{00000000-0006-0000-5700-00000200000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xr:uid="{00000000-0006-0000-5700-00000300000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xr:uid="{00000000-0006-0000-5700-00000400000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xr:uid="{00000000-0006-0000-5700-00000500000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xr:uid="{00000000-0006-0000-5700-00000600000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xr:uid="{00000000-0006-0000-5700-00000700000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xr:uid="{00000000-0006-0000-5700-00000800000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xr:uid="{00000000-0006-0000-5700-00000900000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xr:uid="{00000000-0006-0000-5700-00000A00000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xr:uid="{00000000-0006-0000-5700-00000B00000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xr:uid="{00000000-0006-0000-5700-00000C00000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xr:uid="{00000000-0006-0000-5700-00000D00000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xr:uid="{00000000-0006-0000-5700-00000E00000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xr:uid="{00000000-0006-0000-5700-00000F00000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Göttling, Marie Joy Dr. (LEL)</author>
  </authors>
  <commentList>
    <comment ref="O3" authorId="0" shapeId="0" xr:uid="{00000000-0006-0000-0A00-000001000000}">
      <text>
        <r>
          <rPr>
            <b/>
            <sz val="8"/>
            <color indexed="81"/>
            <rFont val="Tahoma"/>
            <family val="2"/>
          </rPr>
          <t>Göttling, Marie Joy Dr. (LEL):</t>
        </r>
        <r>
          <rPr>
            <sz val="8"/>
            <color indexed="81"/>
            <rFont val="Tahoma"/>
            <family val="2"/>
          </rPr>
          <t xml:space="preserve">
im Durchschnitt der Erntemonate zum Stichtag 28.11.2017</t>
        </r>
      </text>
    </comment>
    <comment ref="H4" authorId="0" shapeId="0" xr:uid="{00000000-0006-0000-0A00-000002000000}">
      <text>
        <r>
          <rPr>
            <b/>
            <sz val="8"/>
            <color indexed="81"/>
            <rFont val="Tahoma"/>
            <family val="2"/>
          </rPr>
          <t>Göttling, Marie Joy Dr. (LEL):</t>
        </r>
        <r>
          <rPr>
            <sz val="8"/>
            <color indexed="81"/>
            <rFont val="Tahoma"/>
            <family val="2"/>
          </rPr>
          <t xml:space="preserve">
Achtung beim Durchschnitt!!!!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Richard Müller</author>
  </authors>
  <commentList>
    <comment ref="B5" authorId="0" shapeId="0" xr:uid="{00000000-0006-0000-0200-000001000000}">
      <text>
        <r>
          <rPr>
            <b/>
            <sz val="10"/>
            <color indexed="81"/>
            <rFont val="Arial"/>
            <family val="2"/>
          </rPr>
          <t>Von den insgesamt 33 möglichen Verfahren sollten für 
die grafische Darstellung aus Gründen der Übersicht-
lichkeit maximal 20 Verfahren ausgewählt werden.
Die Auswahl erfolgt, indem im Dropdownfeld "X" 
ausgewählt wird. Um wieder alle Verfahren anzuzeigen, 
ist im Dropdownfeld "(alle)" anzuklicken.</t>
        </r>
        <r>
          <rPr>
            <sz val="10"/>
            <color indexed="81"/>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Zolic, Ena (LEL-SG)</author>
  </authors>
  <commentList>
    <comment ref="L9" authorId="0" shapeId="0" xr:uid="{00000000-0006-0000-0600-000001000000}">
      <text>
        <r>
          <rPr>
            <b/>
            <sz val="9"/>
            <color indexed="81"/>
            <rFont val="Segoe UI"/>
            <family val="2"/>
          </rPr>
          <t>Zolic, Ena (LEL-SG):</t>
        </r>
        <r>
          <rPr>
            <sz val="9"/>
            <color indexed="81"/>
            <rFont val="Segoe UI"/>
            <family val="2"/>
          </rPr>
          <t xml:space="preserve">
ab 2023 optierende Landwirte 9%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Richard Müller</author>
    <author>Mayer, Veronika (LEL)</author>
    <author>SeggerV</author>
    <author>Krieg, Karl (LEL)</author>
  </authors>
  <commentList>
    <comment ref="D8" authorId="0" shapeId="0" xr:uid="{00000000-0006-0000-0F00-000002000000}">
      <text>
        <r>
          <rPr>
            <sz val="10"/>
            <color indexed="81"/>
            <rFont val="Arial"/>
            <family val="2"/>
          </rPr>
          <t xml:space="preserve">1 kW = 1,36 PS
1 PS = 0,736 kW
</t>
        </r>
      </text>
    </comment>
    <comment ref="N22" authorId="1" shapeId="0" xr:uid="{00000000-0006-0000-0F00-000003000000}">
      <text>
        <r>
          <rPr>
            <b/>
            <sz val="8"/>
            <color indexed="81"/>
            <rFont val="Tahoma"/>
            <family val="2"/>
          </rPr>
          <t>Mayer, Veronika (LEL):</t>
        </r>
        <r>
          <rPr>
            <sz val="8"/>
            <color indexed="81"/>
            <rFont val="Tahoma"/>
            <family val="2"/>
          </rPr>
          <t xml:space="preserve">
Arbeitszeit orientiert sich an gewähltem Arbeitsverfahren</t>
        </r>
      </text>
    </comment>
    <comment ref="N49" authorId="2" shapeId="0" xr:uid="{00000000-0006-0000-0F00-000004000000}">
      <text>
        <r>
          <rPr>
            <b/>
            <sz val="8"/>
            <color indexed="81"/>
            <rFont val="Tahoma"/>
            <family val="2"/>
          </rPr>
          <t xml:space="preserve">Arbeitszeit für 6 t mit einem 5,7 t Kipper
</t>
        </r>
        <r>
          <rPr>
            <sz val="8"/>
            <color indexed="81"/>
            <rFont val="Tahoma"/>
            <family val="2"/>
          </rPr>
          <t xml:space="preserve">
</t>
        </r>
      </text>
    </comment>
    <comment ref="D50" authorId="3" shapeId="0" xr:uid="{00000000-0006-0000-0F00-000005000000}">
      <text>
        <r>
          <rPr>
            <b/>
            <sz val="8"/>
            <color indexed="81"/>
            <rFont val="Tahoma"/>
            <family val="2"/>
          </rPr>
          <t>50t * 0,2€/t</t>
        </r>
        <r>
          <rPr>
            <sz val="8"/>
            <color indexed="81"/>
            <rFont val="Tahoma"/>
            <family val="2"/>
          </rPr>
          <t xml:space="preserve">
</t>
        </r>
      </text>
    </comment>
    <comment ref="D51" authorId="3" shapeId="0" xr:uid="{00000000-0006-0000-0F00-000006000000}">
      <text>
        <r>
          <rPr>
            <sz val="8"/>
            <color indexed="81"/>
            <rFont val="Tahoma"/>
            <family val="2"/>
          </rPr>
          <t xml:space="preserve">da Schlepper mit Frontlader 0,20€/t für Transport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Praktikant2</author>
  </authors>
  <commentList>
    <comment ref="I24" authorId="0" shapeId="0" xr:uid="{00000000-0006-0000-1000-000001000000}">
      <text>
        <r>
          <rPr>
            <b/>
            <sz val="8"/>
            <color indexed="81"/>
            <rFont val="Tahoma"/>
            <family val="2"/>
          </rPr>
          <t>Benz:</t>
        </r>
        <r>
          <rPr>
            <sz val="8"/>
            <color indexed="81"/>
            <rFont val="Tahoma"/>
            <family val="2"/>
          </rPr>
          <t xml:space="preserve">
Quelle: HN, Himmelhan und Mitschke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Praktikant2</author>
  </authors>
  <commentList>
    <comment ref="I29" authorId="0" shapeId="0" xr:uid="{00000000-0006-0000-1100-000001000000}">
      <text>
        <r>
          <rPr>
            <b/>
            <sz val="8"/>
            <color indexed="81"/>
            <rFont val="Tahoma"/>
            <family val="2"/>
          </rPr>
          <t>Benz:</t>
        </r>
        <r>
          <rPr>
            <sz val="8"/>
            <color indexed="81"/>
            <rFont val="Tahoma"/>
            <family val="2"/>
          </rPr>
          <t xml:space="preserve">
Quelle: HN, Himmelhan und Mitschke</t>
        </r>
      </text>
    </comment>
  </commentList>
</comments>
</file>

<file path=xl/sharedStrings.xml><?xml version="1.0" encoding="utf-8"?>
<sst xmlns="http://schemas.openxmlformats.org/spreadsheetml/2006/main" count="14544" uniqueCount="1758">
  <si>
    <t>ges. AF</t>
  </si>
  <si>
    <t>109/110</t>
  </si>
  <si>
    <t>Leer_Biomasse</t>
  </si>
  <si>
    <t>Leerformular Biomasse für Biogas</t>
  </si>
  <si>
    <t>Getreide_BG_mGR</t>
  </si>
  <si>
    <t>Getreide für Biogas; mit Güllerücklieferung</t>
  </si>
  <si>
    <t>KleeGS_2j_fS_mGR</t>
  </si>
  <si>
    <t>Kleegrassilage f.Biogas; 2jähr.; frei Silo incl.Einsilieren; mit Güllerückl.</t>
  </si>
  <si>
    <t>GS_5Nu_fS_mGR</t>
  </si>
  <si>
    <t>Grassilage f. Biogas; 5 Nutz.; frei Silo incl. Einsilieren; mit Güllerückl.</t>
  </si>
  <si>
    <t>GS_3Nu_fS_mGR</t>
  </si>
  <si>
    <t>Grassilage f. Biogas; 3 Nutz.; frei Silo incl. Einsilieren; mit Güllerückl.</t>
  </si>
  <si>
    <t>GPS_BG_fS_mGR</t>
  </si>
  <si>
    <t>GPS (WW) für Biogas; frei Silo incl.Einsilieren; mit Güllerücklieferung</t>
  </si>
  <si>
    <t>Silomais_BG_fS_mGR</t>
  </si>
  <si>
    <t>Silomais f.Biogas; frei Silo incl.Einsilieren; mit Güllerücklieferung</t>
  </si>
  <si>
    <t>Silomais_BG_fS_oGR</t>
  </si>
  <si>
    <t>Silomais f.Biogas; frei Silo incl.Einsilieren; o.Güllerücklieferung</t>
  </si>
  <si>
    <t>Silomais_BG_aF_mGR</t>
  </si>
  <si>
    <t>Silomais für Biogas; ab Feld; mit Güllerücklieferung</t>
  </si>
  <si>
    <t>Silomais_BG_aF_oGR</t>
  </si>
  <si>
    <t>Silomais für Biogas; ab Feld; ohne Güllerücklieferung</t>
  </si>
  <si>
    <t xml:space="preserve">     Biomasse für Biogas</t>
  </si>
  <si>
    <t>Kultur A</t>
  </si>
  <si>
    <t>Leerformular Marktfrucht</t>
  </si>
  <si>
    <t>Beg</t>
  </si>
  <si>
    <t xml:space="preserve">     Begrünung</t>
  </si>
  <si>
    <t>FAKT-Brache</t>
  </si>
  <si>
    <t>Brachebegrünung mit Blühmischung (FAKT)</t>
  </si>
  <si>
    <t xml:space="preserve">     Nichtnutzung (Mulchen)</t>
  </si>
  <si>
    <t xml:space="preserve"> Hanf-komb. Nutzung</t>
  </si>
  <si>
    <t>Hanf (komb. Nutzung; ohne Lagerung)</t>
  </si>
  <si>
    <t xml:space="preserve"> Hanf-nur Strohnutzung</t>
  </si>
  <si>
    <t>Hanf (nur Strohnutzung; ohne Lagerung)</t>
  </si>
  <si>
    <t xml:space="preserve">     Faserpflanzen</t>
  </si>
  <si>
    <t>SpKaBer</t>
  </si>
  <si>
    <t>Speisekartoffeln spät, beregnet</t>
  </si>
  <si>
    <t>SpKa</t>
  </si>
  <si>
    <t>Speisekartoffel spät</t>
  </si>
  <si>
    <t>FrühKaFolieBer</t>
  </si>
  <si>
    <t>Frühkartoffel, Folie, beregnet</t>
  </si>
  <si>
    <t>FrühKa</t>
  </si>
  <si>
    <t>Frühkartoffel</t>
  </si>
  <si>
    <t>ZR</t>
  </si>
  <si>
    <t>Zuckerrüben</t>
  </si>
  <si>
    <t xml:space="preserve">     Hackfrüchte</t>
  </si>
  <si>
    <t>W-itriticale-Wi-erbsengemenge</t>
  </si>
  <si>
    <t>Wintertricale/Wintererbsengemenge</t>
  </si>
  <si>
    <t>Lu</t>
  </si>
  <si>
    <t>Lupinen</t>
  </si>
  <si>
    <t>AB</t>
  </si>
  <si>
    <t>Ackerbohnen</t>
  </si>
  <si>
    <t>FE</t>
  </si>
  <si>
    <t>Futtererbsen</t>
  </si>
  <si>
    <t xml:space="preserve">     Eiweißpflanzen</t>
  </si>
  <si>
    <t>Öl</t>
  </si>
  <si>
    <t>Öllein</t>
  </si>
  <si>
    <t>Soja</t>
  </si>
  <si>
    <t>SoBl</t>
  </si>
  <si>
    <t>Sonnenblumen</t>
  </si>
  <si>
    <t>SR</t>
  </si>
  <si>
    <t>Sommerraps</t>
  </si>
  <si>
    <t>WR</t>
  </si>
  <si>
    <t>Winterraps</t>
  </si>
  <si>
    <t xml:space="preserve">     Ölsaaten</t>
  </si>
  <si>
    <t>KH</t>
  </si>
  <si>
    <t>Körnerhirse</t>
  </si>
  <si>
    <t xml:space="preserve">     Hirse</t>
  </si>
  <si>
    <t>KöM</t>
  </si>
  <si>
    <t>Körnermais</t>
  </si>
  <si>
    <t xml:space="preserve">     Mais</t>
  </si>
  <si>
    <t>Du</t>
  </si>
  <si>
    <t>Durum</t>
  </si>
  <si>
    <t>Ha</t>
  </si>
  <si>
    <t>Hafer</t>
  </si>
  <si>
    <t>BG</t>
  </si>
  <si>
    <t>Braugerste</t>
  </si>
  <si>
    <t>SG-Fu</t>
  </si>
  <si>
    <t>Sommergerste (Futter-)</t>
  </si>
  <si>
    <t>SW</t>
  </si>
  <si>
    <t>Sommerweizen</t>
  </si>
  <si>
    <t xml:space="preserve">     Sommergetreide</t>
  </si>
  <si>
    <t>Di</t>
  </si>
  <si>
    <t>Dinkel</t>
  </si>
  <si>
    <t>WG</t>
  </si>
  <si>
    <t>Wintergerste</t>
  </si>
  <si>
    <t>Tr</t>
  </si>
  <si>
    <t>Triticale</t>
  </si>
  <si>
    <t>Wro</t>
  </si>
  <si>
    <t>Winterroggen</t>
  </si>
  <si>
    <t>WW4</t>
  </si>
  <si>
    <t>Winterweizen (Qualitäts-, E-Sorten)</t>
  </si>
  <si>
    <t>WW3</t>
  </si>
  <si>
    <t>Winterweizen (Aufmisch-)</t>
  </si>
  <si>
    <t>WW2</t>
  </si>
  <si>
    <t>Winterweizen (Brot-)</t>
  </si>
  <si>
    <t>WW1</t>
  </si>
  <si>
    <t>Winterweizen (Futter-)</t>
  </si>
  <si>
    <t xml:space="preserve">     Wintergetreide</t>
  </si>
  <si>
    <t>Kostenrechnung</t>
  </si>
  <si>
    <t>C. Kostenrechnung</t>
  </si>
  <si>
    <t>SD8</t>
  </si>
  <si>
    <t xml:space="preserve">     Nährstoffentzüge</t>
  </si>
  <si>
    <t>SD6</t>
  </si>
  <si>
    <t xml:space="preserve">     Trocknungskosten</t>
  </si>
  <si>
    <t>SD2</t>
  </si>
  <si>
    <t xml:space="preserve">     Ausgleichsleistungen / Prämien</t>
  </si>
  <si>
    <t>E2</t>
  </si>
  <si>
    <t>Deckungsbeiträge nach Leistungsniveau - Grafik (ohne Prämien)</t>
  </si>
  <si>
    <t>E1</t>
  </si>
  <si>
    <t>B. Relative Vorzüglichkeit der Produktionsverfahren</t>
  </si>
  <si>
    <t>A. Hinweise für die Benutzer</t>
  </si>
  <si>
    <t>%</t>
  </si>
  <si>
    <t>ha</t>
  </si>
  <si>
    <t>Inhaltsverzeichnis</t>
  </si>
  <si>
    <t>Stand:</t>
  </si>
  <si>
    <t>LEL, Abteilung II</t>
  </si>
  <si>
    <r>
      <rPr>
        <b/>
        <sz val="10"/>
        <rFont val="Arial"/>
        <family val="2"/>
      </rPr>
      <t xml:space="preserve">3.7 Kosten der Arbeitserledigung </t>
    </r>
    <r>
      <rPr>
        <sz val="10"/>
        <rFont val="Arial"/>
        <family val="2"/>
      </rPr>
      <t xml:space="preserve">
Diese Kennzahl ist wichtig, um Betriebe oder Produktionsverfahren mit unterschiedlicher Mechanisierung (z.B. eigener Mähdrescher oder Lohndrusch) vergleichen zu können. Zu den Arbeitserledigungskosten zählen alle Kosten, die in Verbindung mit Arbeit und Maschinen verursacht werden. Hierzu zählen die variablen Maschinenkosten (Maschinenunterhaltung, Treibstoff, Strom), Kosten für Lohnmaschinen, variable Lohnkosten, feste Maschinenkosten (Abschreibung Maschinen, Zinsansatz, Unterhaltung), Kosten für ständige Fremd-AK sowie der Lohnansatz für nichtentlohnte Arbeitskräfte.</t>
    </r>
  </si>
  <si>
    <r>
      <rPr>
        <b/>
        <sz val="10"/>
        <rFont val="Arial"/>
        <family val="2"/>
      </rPr>
      <t xml:space="preserve">3.6 Direktkosten und Direktkostenfreie Leistung  </t>
    </r>
    <r>
      <rPr>
        <sz val="10"/>
        <rFont val="Arial"/>
        <family val="2"/>
      </rPr>
      <t xml:space="preserve">  
Bei der Analyse von Betrieben wird in der Regel die von einer DLG-Arbeitsgruppe erarbeitete Systematik verwendet (vgl. Arbeiten der DLG/Band 197: Die neue Betriebszweigabrechnung). Bedeutend sind hier vor allem die Direktkosten und die Kosten der Arbeitserledigung. Sie werden, um einen Vergleich mit empirischen Betriebszweigabrechnungen zu ermöglichen, in den Zeilen 52 ff. ausgewiesen. Die Direktkosten des Betriebszweiges sind alle Kosten (ohne kalkulatorische Kosten), die einem Betriebszweig direkt zugerechnet werden können und leicht erfassbar sind: Saatgut, Dünger, Pflanzenschutz, Trocknung, Hagelversicherung und sonstige variable Kosten (Beregnung, Trocknung, Lagerung und Vermarktung). Im Gegensatz zu den variablen Kosten bei der DB-Kalkulation werden die variablen Maschinenkosten hier nicht berücksichtigt. Die direktkostenfreie Leistung errechnet sich wie folgt: Summe (Leistungen +Prämien) - Direktkosten. </t>
    </r>
  </si>
  <si>
    <r>
      <rPr>
        <b/>
        <sz val="10"/>
        <rFont val="Arial"/>
        <family val="2"/>
      </rPr>
      <t xml:space="preserve">3.5 Kostendeckender Erlös </t>
    </r>
    <r>
      <rPr>
        <sz val="10"/>
        <rFont val="Arial"/>
        <family val="2"/>
      </rPr>
      <t xml:space="preserve">
Der kostendeckende Erlös für das Hauptprodukt wird ausgewiesen je ha und je dt.
Er ist definiert als die Summe der gesamten Kosten abzüglich der Leistungen der Nebenprodukte.
Der kostendeckende Erlös muss langfristig für das Hauptprodukt erzielt werden, um alle variablen und festen Kosten einschließlich der unterstellten Kostenansätze für die eingesetzten Faktoren (Arbeit, Boden, und Kapital) abzudecken. Kann der kostendeckende Erlös tatsächlich am Markt realisiert werden, entsteht ein (positiver) Unternehmergewinn.      
</t>
    </r>
  </si>
  <si>
    <r>
      <rPr>
        <b/>
        <sz val="10"/>
        <rFont val="Arial"/>
        <family val="2"/>
      </rPr>
      <t xml:space="preserve">3.4 Verwertung knapper Faktoren </t>
    </r>
    <r>
      <rPr>
        <sz val="10"/>
        <rFont val="Arial"/>
        <family val="2"/>
      </rPr>
      <t xml:space="preserve">
Ist das kalkulatorische Betriebszweigergebnis kleiner/größer Null, so weicht die tatsächliche Entlohnung der eingesetzten betrieblichen Faktoren - hier Arbeit und Fläche - vom kalkulatorisch unterstellten Ansatz ab.
Das Arbeitseinkommen stellt die tatsächliche Entlohnung der ständigen AK dar und wird, wie auch der max. langfristig tragbare Pachtpreis der Fläche, inkl. aller Prämien dargestellt. </t>
    </r>
  </si>
  <si>
    <r>
      <rPr>
        <b/>
        <sz val="10"/>
        <rFont val="Arial"/>
        <family val="2"/>
      </rPr>
      <t xml:space="preserve">3.3 Kalkulatorisches Betriebszweigergebnis  </t>
    </r>
    <r>
      <rPr>
        <sz val="10"/>
        <rFont val="Arial"/>
        <family val="2"/>
      </rPr>
      <t xml:space="preserve"> 
Das kalkulatorische Betriebszweigergebnis kann mit dem Begriff des Unternehmergewinns gleichgesetzt werden. Hier werden neben den variablen Kosten auch die festen und kalkulatorischen Kosten den Produktionsverfahren zugeteilt.
Ist das Ergebnis gleich / größer Null, so sind alle Kosten - einschließlich Lohnansatz für die Familien-AK und Pachtansatz für die Fläche - gedeckt. Das kalkulatorische Betriebszweigergebnis dient zur Entlohnung des unternehmerischen Risikos. 
In der Landwirtschaft wird häufig keine zusätzliche Entlohnung des unternehmerischen Risikos erzielt, so dass ein negatives kalkulatorisches Betriebszweigergebnis entsteht. Dies bedeutet, dass die tatsächliche Entlohnung der eingesetzten betrieblichen Faktoren niedriger ist als der verwendete kalkulatorische Ansatz (Lohnansatz, Zinsansatz, Pachtansatz). Das Ergebnis kann allerdings nicht als kurzfristige Entscheidungshilfe für die Weiterführung oder Aufgabe eines Produktionsverfahrens dienen. Vielmehr stellt es eine Orientierungshilfe für die langfristige betriebliche Entwicklung dar (Konkurrenzfähigkeit von Betrieb und Standort).  
</t>
    </r>
  </si>
  <si>
    <r>
      <rPr>
        <b/>
        <sz val="10"/>
        <rFont val="Arial"/>
        <family val="2"/>
      </rPr>
      <t xml:space="preserve">3.1 Deckungsbeitrag (DB)    </t>
    </r>
    <r>
      <rPr>
        <sz val="10"/>
        <rFont val="Arial"/>
        <family val="2"/>
      </rPr>
      <t xml:space="preserve">  
Der Deckungsbeitrag stellt den Betrag dar, der zur Deckung der Fix-und Gemeinkosten beiträgt. Er ist bei kurzfristiger Betrachtungsweise ein Maßstab für die relative Vorzüglichkeit von Produktionsverfahren bei konstanter Kapazitätsausstattung.
Der Deckungsbeitrag ohne Prämien und ohne Zinsansatz ist definiert als die Differenz zwischen Leistungen und variablen Kosten und wird bei der Planung der Betriebsorganisation (z. B. im Investitionskonzept, LEL-Plan) verwendet. Hier sollte der Deckungsbeitrag (DB) ohne jegliche Prämien und ohne Zinsansatz verwendet werden, da es sich um einen kalkulatorischen Ansatz handelt. Eine generelle Berücksichtigung des Zinsansatzes im DB würde zu einer Unterschätzung des Gewinnes für den Ist-Betrieb führen. Bei einer Flächenaufstockung ist dann jedoch - bei exakter Kalkulation - das zusätzliche Umlaufvermögen zu quantifizieren und zu verzinsen. 
</t>
    </r>
  </si>
  <si>
    <t>Fruchtfolge</t>
  </si>
  <si>
    <t>einer</t>
  </si>
  <si>
    <t>Verfahren</t>
  </si>
  <si>
    <t xml:space="preserve">Verfahren </t>
  </si>
  <si>
    <t xml:space="preserve">beitrag </t>
  </si>
  <si>
    <t>beitrag</t>
  </si>
  <si>
    <t>Deckungs-</t>
  </si>
  <si>
    <t>Verfahren)</t>
  </si>
  <si>
    <t>(einzelne</t>
  </si>
  <si>
    <t xml:space="preserve">der </t>
  </si>
  <si>
    <t>rechnung</t>
  </si>
  <si>
    <t>Übersicht</t>
  </si>
  <si>
    <t>Kosten-</t>
  </si>
  <si>
    <t>Futter</t>
  </si>
  <si>
    <t>.....</t>
  </si>
  <si>
    <t>mais</t>
  </si>
  <si>
    <t>weizen</t>
  </si>
  <si>
    <t>Körner-</t>
  </si>
  <si>
    <t>Winter-</t>
  </si>
  <si>
    <t>Berechnungsgrundlagen</t>
  </si>
  <si>
    <t>kosten</t>
  </si>
  <si>
    <t>mittel</t>
  </si>
  <si>
    <t>Gemein-</t>
  </si>
  <si>
    <t>leistungen)</t>
  </si>
  <si>
    <t>Kosten</t>
  </si>
  <si>
    <t>nungs-</t>
  </si>
  <si>
    <t>schutz-</t>
  </si>
  <si>
    <t>(Ausgleichs-</t>
  </si>
  <si>
    <t>Sonstige</t>
  </si>
  <si>
    <t>Trock-</t>
  </si>
  <si>
    <t>Pflanzen-</t>
  </si>
  <si>
    <t>Arbeits-</t>
  </si>
  <si>
    <t>Prämien</t>
  </si>
  <si>
    <t>Preise</t>
  </si>
  <si>
    <t>Stammdaten</t>
  </si>
  <si>
    <t>1 Aufbau der Datei</t>
  </si>
  <si>
    <t>Hinweise</t>
  </si>
  <si>
    <t>x</t>
  </si>
  <si>
    <t>Hackmaschine, angebaut, Mais 4 r, Arbeitsbreite 3 m</t>
  </si>
  <si>
    <t>Grafik</t>
  </si>
  <si>
    <t>€/ha</t>
  </si>
  <si>
    <t>dt/ha</t>
  </si>
  <si>
    <t>(max.20)</t>
  </si>
  <si>
    <r>
      <t>(</t>
    </r>
    <r>
      <rPr>
        <sz val="8"/>
        <color indexed="10"/>
        <rFont val="Arial Narrow"/>
        <family val="2"/>
      </rPr>
      <t>ohne Prämien</t>
    </r>
    <r>
      <rPr>
        <sz val="8"/>
        <rFont val="Arial Narrow"/>
        <family val="2"/>
      </rPr>
      <t xml:space="preserve"> u. Zinsansatz)</t>
    </r>
  </si>
  <si>
    <t>Hauptprodukt</t>
  </si>
  <si>
    <t>Ertrag</t>
  </si>
  <si>
    <t>( x )</t>
  </si>
  <si>
    <t>hoch</t>
  </si>
  <si>
    <t>niedrig</t>
  </si>
  <si>
    <t>für Grafik</t>
  </si>
  <si>
    <t>Leistungsniveau</t>
  </si>
  <si>
    <t xml:space="preserve"> Verfahren</t>
  </si>
  <si>
    <t>Auswahl</t>
  </si>
  <si>
    <t>Marktfrüchte</t>
  </si>
  <si>
    <t>mittleres Leistungsniveau</t>
  </si>
  <si>
    <t>Gewünschtes Leistungsniveau auswählen!</t>
  </si>
  <si>
    <t>hohes Leistungsniveau</t>
  </si>
  <si>
    <t>(ohne Zinsansatz, ohne Prämien)</t>
  </si>
  <si>
    <t>niedriges Leistungsniveau</t>
  </si>
  <si>
    <t>Deckungsbeiträge einzelner Leistungsniveaus</t>
  </si>
  <si>
    <t>Begrünung</t>
  </si>
  <si>
    <t>FAKT - Brachebegrünung</t>
  </si>
  <si>
    <t>Speisekartoffeln spät</t>
  </si>
  <si>
    <t>Frühkartoffeln, Folie, beregnet</t>
  </si>
  <si>
    <t>Frühkartoffeln</t>
  </si>
  <si>
    <t xml:space="preserve">Zuckerrüben </t>
  </si>
  <si>
    <t xml:space="preserve">Blaue Lupine </t>
  </si>
  <si>
    <t xml:space="preserve">Ackerbohnen </t>
  </si>
  <si>
    <t xml:space="preserve">Futtererbsen </t>
  </si>
  <si>
    <t xml:space="preserve">Öllein (Industrie) </t>
  </si>
  <si>
    <t xml:space="preserve">Sojabohne </t>
  </si>
  <si>
    <t xml:space="preserve">Sonnenblumen </t>
  </si>
  <si>
    <t xml:space="preserve">Sommerraps </t>
  </si>
  <si>
    <t>Körnerhirse (Lebens-/Futtermittel)</t>
  </si>
  <si>
    <t xml:space="preserve">Körnermais </t>
  </si>
  <si>
    <t xml:space="preserve">Hafer </t>
  </si>
  <si>
    <t xml:space="preserve">Sommerfuttergerste </t>
  </si>
  <si>
    <t xml:space="preserve">Sommerweizen </t>
  </si>
  <si>
    <t>Winterweizen (Qualität-; E-Sorte)</t>
  </si>
  <si>
    <t xml:space="preserve"> Hohes Leistungsniveau</t>
  </si>
  <si>
    <t>Winterweizen (Aufmisch-; A-Sort.)</t>
  </si>
  <si>
    <t xml:space="preserve"> Mittleres Leistungsniveau</t>
  </si>
  <si>
    <t xml:space="preserve"> Niedriges Leistungsniveau</t>
  </si>
  <si>
    <r>
      <t>Herbst</t>
    </r>
    <r>
      <rPr>
        <b/>
        <sz val="11"/>
        <color indexed="8"/>
        <rFont val="Arial"/>
        <family val="2"/>
      </rPr>
      <t>begrünung</t>
    </r>
    <r>
      <rPr>
        <sz val="11"/>
        <color indexed="8"/>
        <rFont val="Arial"/>
        <family val="2"/>
      </rPr>
      <t xml:space="preserve"> nur in Kombination mit Anbau einer Sommerung (Angabe des %-Anteils je ha AF)!  </t>
    </r>
  </si>
  <si>
    <r>
      <t xml:space="preserve"> Deckungsbeitrag
</t>
    </r>
    <r>
      <rPr>
        <sz val="8"/>
        <rFont val="Arial"/>
        <family val="2"/>
      </rPr>
      <t>(mit allen Prämien;mit Zinsansatz)</t>
    </r>
  </si>
  <si>
    <r>
      <t xml:space="preserve"> Deckungsbeitrag
</t>
    </r>
    <r>
      <rPr>
        <sz val="8"/>
        <rFont val="Arial"/>
        <family val="2"/>
      </rPr>
      <t>(ohne Prämien;ohne Zinsansatz)</t>
    </r>
  </si>
  <si>
    <t xml:space="preserve"> Summe variable Kosten</t>
  </si>
  <si>
    <t xml:space="preserve"> Sonstige variable Kosten</t>
  </si>
  <si>
    <t xml:space="preserve"> Maschinenkosten</t>
  </si>
  <si>
    <t xml:space="preserve"> Pflanzenschutz</t>
  </si>
  <si>
    <t xml:space="preserve"> Düngung</t>
  </si>
  <si>
    <t xml:space="preserve"> Saatgut</t>
  </si>
  <si>
    <t xml:space="preserve"> Leistungen insges.</t>
  </si>
  <si>
    <t>Ausgleichsleistungen</t>
  </si>
  <si>
    <t>Vorfruchtwert</t>
  </si>
  <si>
    <t>Nebenleistung</t>
  </si>
  <si>
    <t>Hauptleistung</t>
  </si>
  <si>
    <t>€/dt</t>
  </si>
  <si>
    <t xml:space="preserve"> Ertrag Hauptprodukt</t>
  </si>
  <si>
    <t xml:space="preserve"> Flächenanteil Fruchtfolge</t>
  </si>
  <si>
    <t xml:space="preserve">Ø DB je ha AF </t>
  </si>
  <si>
    <t>Einh.</t>
  </si>
  <si>
    <t>Zuckerrübenquote</t>
  </si>
  <si>
    <t>Gebäudevermögen</t>
  </si>
  <si>
    <t>Maschinenvermögen</t>
  </si>
  <si>
    <t>Umlaufvermögen</t>
  </si>
  <si>
    <t xml:space="preserve"> Zinssatz (i) für gebundenes Kapital %</t>
  </si>
  <si>
    <t>MgO</t>
  </si>
  <si>
    <t>Magnesium</t>
  </si>
  <si>
    <r>
      <t>K</t>
    </r>
    <r>
      <rPr>
        <vertAlign val="subscript"/>
        <sz val="11"/>
        <rFont val="Arial"/>
        <family val="2"/>
      </rPr>
      <t>2</t>
    </r>
    <r>
      <rPr>
        <sz val="11"/>
        <rFont val="Arial"/>
        <family val="2"/>
      </rPr>
      <t>O</t>
    </r>
  </si>
  <si>
    <t>Kalium</t>
  </si>
  <si>
    <r>
      <t>P</t>
    </r>
    <r>
      <rPr>
        <vertAlign val="subscript"/>
        <sz val="11"/>
        <rFont val="Arial"/>
        <family val="2"/>
      </rPr>
      <t>2</t>
    </r>
    <r>
      <rPr>
        <sz val="11"/>
        <rFont val="Arial"/>
        <family val="2"/>
      </rPr>
      <t>O</t>
    </r>
    <r>
      <rPr>
        <vertAlign val="subscript"/>
        <sz val="11"/>
        <rFont val="Arial"/>
        <family val="2"/>
      </rPr>
      <t>5</t>
    </r>
  </si>
  <si>
    <t>Phosphor</t>
  </si>
  <si>
    <t>N</t>
  </si>
  <si>
    <t>Stickstoff</t>
  </si>
  <si>
    <t>Nährstoffe</t>
  </si>
  <si>
    <t>ohne MwSt.</t>
  </si>
  <si>
    <t xml:space="preserve"> Nährstoffpreise (Reinnährstoff) €/kg </t>
  </si>
  <si>
    <t>Stroh (Großballen) gepresst</t>
  </si>
  <si>
    <t>0,50,-€ weniger</t>
  </si>
  <si>
    <t>Hanf (Kombi-Nutzung) nach Lagerung</t>
  </si>
  <si>
    <t>Hanf (Strohnutzung) ohne Lagerung</t>
  </si>
  <si>
    <t>Marktstelle LEL</t>
  </si>
  <si>
    <t>spät, beregnet, festk.</t>
  </si>
  <si>
    <t>Speisekartoffel</t>
  </si>
  <si>
    <t>Folie, beregnet</t>
  </si>
  <si>
    <t>ab 2017</t>
  </si>
  <si>
    <t>Basis &amp; Mehrrüben</t>
  </si>
  <si>
    <t xml:space="preserve">Überrüben </t>
  </si>
  <si>
    <t>Öllein (Speise-)</t>
  </si>
  <si>
    <t>Sojabohnen</t>
  </si>
  <si>
    <t>Konsum</t>
  </si>
  <si>
    <t>Raps</t>
  </si>
  <si>
    <t>(Futter-)</t>
  </si>
  <si>
    <t>Sommergerste</t>
  </si>
  <si>
    <t>(Qualitäts-, E)</t>
  </si>
  <si>
    <t>Winterweizen</t>
  </si>
  <si>
    <t>(Aufmisch-, A)</t>
  </si>
  <si>
    <t>(Brot-, B)</t>
  </si>
  <si>
    <t>Kulturen</t>
  </si>
  <si>
    <r>
      <t xml:space="preserve"> Erzeugerpreise </t>
    </r>
    <r>
      <rPr>
        <b/>
        <sz val="14"/>
        <rFont val="Arial"/>
        <family val="2"/>
      </rPr>
      <t>Hauptprodukt €/dt</t>
    </r>
  </si>
  <si>
    <t>Sonstige variable Kosten (Mittelwert)</t>
  </si>
  <si>
    <t>Einkauf sonstige Betriebsmittel</t>
  </si>
  <si>
    <t>Einkauf Saatgut</t>
  </si>
  <si>
    <t>ohne Mehrwertsteuer (Option)</t>
  </si>
  <si>
    <t>Verkauf landw. Erzeugnisse</t>
  </si>
  <si>
    <t>mit Mehrwertsteuer (Pauschalierung)</t>
  </si>
  <si>
    <t xml:space="preserve"> Mehrwertsteuersätze %</t>
  </si>
  <si>
    <t>ausgewählt, Nr.:</t>
  </si>
  <si>
    <t>Mehrwertsteuer</t>
  </si>
  <si>
    <t>Aktuell</t>
  </si>
  <si>
    <t>Erntejahr</t>
  </si>
  <si>
    <t>Erzeugerpreise / Nährstoffpreise / Zinsansatz</t>
  </si>
  <si>
    <t>Zahlungsanspruch Ø</t>
  </si>
  <si>
    <t>Nr.</t>
  </si>
  <si>
    <t xml:space="preserve">AZL Berggebiet - Ackerland </t>
  </si>
  <si>
    <t>F4    Reduzierte Bodenbearbeitung mit Strip Till</t>
  </si>
  <si>
    <t>F1    Winterbegrünung</t>
  </si>
  <si>
    <r>
      <t>E2.1 Brachebegrünung mit Blühmischungen (ohne ÖVF-Anrechnung)</t>
    </r>
    <r>
      <rPr>
        <vertAlign val="superscript"/>
        <sz val="10"/>
        <rFont val="Arial"/>
        <family val="2"/>
      </rPr>
      <t xml:space="preserve"> 1)</t>
    </r>
  </si>
  <si>
    <t>E1.2 Begrünungsmischungen im Acker/Gartenbau</t>
  </si>
  <si>
    <t>E1.1 Herbst-Begrünung im Acker/Gartenbau</t>
  </si>
  <si>
    <t xml:space="preserve">D2.2 Beibehaltung Ökolandbau - Acker/Grünl. </t>
  </si>
  <si>
    <t>D2.1 Einführung Ökolandbau - Acker/Grünl. (2 Jahre)</t>
  </si>
  <si>
    <t>Maßnahmen</t>
  </si>
  <si>
    <t xml:space="preserve"> Verfahrensspezifische Ausgleichsleistungen in €/ha</t>
  </si>
  <si>
    <t>Stroh-Quaderballen pres. (Schneidw.)</t>
  </si>
  <si>
    <t>Stroh-Rundballen pressen je dt</t>
  </si>
  <si>
    <t>ZR - Laden, Abfuhr</t>
  </si>
  <si>
    <t>Pressen (10,7 t FM; 250 kg/Ba.)</t>
  </si>
  <si>
    <t>Pressen (8,3 t FM; 250 kg/Ba.)</t>
  </si>
  <si>
    <t>Hemp-Flax(Strohnutzung)</t>
  </si>
  <si>
    <t>KA - Schlägeln (m. Schl.+Fahrer)</t>
  </si>
  <si>
    <t>ZR - Roden, 6-reihig</t>
  </si>
  <si>
    <t>Mähdrescher - Getr. m. Strohhäcksler</t>
  </si>
  <si>
    <t>Mähdrescher - Körnermais</t>
  </si>
  <si>
    <t>Mähdrescher - Erbsen/Ackerbohnen</t>
  </si>
  <si>
    <t xml:space="preserve">Mähdrescher - Raps </t>
  </si>
  <si>
    <t>Mähdrescher - Getreide</t>
  </si>
  <si>
    <t>o. MwSt.</t>
  </si>
  <si>
    <t>Gerät €/ha</t>
  </si>
  <si>
    <t>Art</t>
  </si>
  <si>
    <t>var. Kosten</t>
  </si>
  <si>
    <t xml:space="preserve"> Lohnmaschinen</t>
  </si>
  <si>
    <t>Beregnung (Mobile Beregnungsmaschinen mit Einzelregnern)</t>
  </si>
  <si>
    <t>Folie legen, entfernen, entsorgen</t>
  </si>
  <si>
    <t>Kartoff. wiegen packen 45 t/ha</t>
  </si>
  <si>
    <t>Kartoffeln sortieren 45 t/ha</t>
  </si>
  <si>
    <t>Kartoff. Transp. z. Hof 45 t/ha (10,5 t Kipper)</t>
  </si>
  <si>
    <t/>
  </si>
  <si>
    <t>Transp Kartoffeln/Gemüse z. Hof 25 t/ha (5,7 t NmKipper)</t>
  </si>
  <si>
    <t>Kartoffelbunkerroder, 2 r, 6 t Nutzmasse, 45 t/ha</t>
  </si>
  <si>
    <t>Kartoffelbunkerroder, 1 r, 2 t Nutzmasse, 45 t/ha</t>
  </si>
  <si>
    <t>Bunkerroder 3 t Nutzm. 1 r ohne Ak (bei Handarbeit!)</t>
  </si>
  <si>
    <t>Krautschläger 4 r</t>
  </si>
  <si>
    <t>Häufeln 4 r, Nachauflauf (Kartoffel)</t>
  </si>
  <si>
    <t>Hacken Nachauflauf 4 r</t>
  </si>
  <si>
    <t>Häufeln 4 r, Vorauflauf (Kartoffel)</t>
  </si>
  <si>
    <t>Legemaschine mit Kippbunker 4 r (Kartoffel)</t>
  </si>
  <si>
    <t>Legemaschine mit starrem Bunker 4 r (Kartoffel)</t>
  </si>
  <si>
    <t>Pflanzkartoffeltransport,-laden 2,5 t/ha</t>
  </si>
  <si>
    <t>Kartoffeln vorkeimen</t>
  </si>
  <si>
    <t>Grassilo festwalzen, 12 t FM</t>
  </si>
  <si>
    <t>LW Silage, o. Dosierwalzen; 12 t FM (28 m³, 4 t Nutzl.)</t>
  </si>
  <si>
    <t>Kreiselschwader 7,5m Seitenablage</t>
  </si>
  <si>
    <t>Kreiselwender 5,5m</t>
  </si>
  <si>
    <t>Rotationsmähwerk (Heck) m. Aufb. 2,8 m</t>
  </si>
  <si>
    <t>Mähkomb. Heck/Front (4,5m insges., ohne Aufb.)</t>
  </si>
  <si>
    <t>Wiesenegge 6 m</t>
  </si>
  <si>
    <t>Wiesenwalze 3 m</t>
  </si>
  <si>
    <t>Stroh-Rundballen 4 t/ha laden, abfahren, stapeln, 3-S-Kipp.</t>
  </si>
  <si>
    <t>Silagetransport Mais/GPS, 3S.Kip. (10t Nutzl.), 50 t FM</t>
  </si>
  <si>
    <t>Transp. u. Abkip. Getr. 6 t/ha (13,5 t Ki.)</t>
  </si>
  <si>
    <t>Transp. u. Abkip. Getr. 6 t/ha (5,7 t Ki.)</t>
  </si>
  <si>
    <t>Bunkerroder Möhren 0,5 m Arbeitsbreite</t>
  </si>
  <si>
    <t>Mais/GPS Silage festwalzen, 50 t FM</t>
  </si>
  <si>
    <t>Reihenhackgerät 3 m</t>
  </si>
  <si>
    <t>Hackstriegel 9 m</t>
  </si>
  <si>
    <t>Präparatespritze 6 m</t>
  </si>
  <si>
    <t>Mulchgerät 3 m</t>
  </si>
  <si>
    <t>Pflanzenschutzspritze 12 m, 300 l/ha</t>
  </si>
  <si>
    <t>Kalkstreuer 6 m³,15 m, 2l/ha (ab Feld, mit Beladen)</t>
  </si>
  <si>
    <t>Gülle ausbringen 20 m³/ha, (15 m³ Fass, Schleppschl. 7,5 m</t>
  </si>
  <si>
    <t>Mist/Kompost streuen 20 t/ha  (6 m, 10 t) inkl. Beladen</t>
  </si>
  <si>
    <t xml:space="preserve">Düngerstreuer ab Hof 24 m, 400 kg/ha </t>
  </si>
  <si>
    <t xml:space="preserve">Düngerstreuer ab Hof 12 m, 400 kg/ha </t>
  </si>
  <si>
    <t>Direktsämaschine 3 m</t>
  </si>
  <si>
    <t>Einzelkornsaat 8 r (Mais)</t>
  </si>
  <si>
    <t>Einzelkornsaat 6 r (Rüben)</t>
  </si>
  <si>
    <t>Einzelkornsaat 4 r (Mais, Sonnenblume)</t>
  </si>
  <si>
    <t>Sämaschine 3m</t>
  </si>
  <si>
    <t>Grubber-Kreiselegge-Säkomb. 3 m</t>
  </si>
  <si>
    <t>Kreiselegge-Säkomb. 3 m</t>
  </si>
  <si>
    <t>Bodenfräse 3m</t>
  </si>
  <si>
    <t>Cambridgewalze 4,5 m</t>
  </si>
  <si>
    <t>Kreiselegge 3 m</t>
  </si>
  <si>
    <t>Saatbettkombination 4 m</t>
  </si>
  <si>
    <t>Scheibenegge 5 m</t>
  </si>
  <si>
    <t>Schwergrubber 3 m</t>
  </si>
  <si>
    <t>Drehpflug 2,10 m</t>
  </si>
  <si>
    <t>AKh/ha</t>
  </si>
  <si>
    <t>in €/h (o. Mwst.)</t>
  </si>
  <si>
    <t>Antrieb</t>
  </si>
  <si>
    <t>Schlepper</t>
  </si>
  <si>
    <t>kW /</t>
  </si>
  <si>
    <t>2 ha Schlag</t>
  </si>
  <si>
    <t>variable Kosten</t>
  </si>
  <si>
    <t>Motorbelastung</t>
  </si>
  <si>
    <t xml:space="preserve"> Schlepper</t>
  </si>
  <si>
    <t xml:space="preserve"> Geräte / Arbeitsgänge</t>
  </si>
  <si>
    <t>Schlepper 49-59 kW, Allrad LS</t>
  </si>
  <si>
    <t>Schlepper 49-59 kW, Allrad</t>
  </si>
  <si>
    <t>Schlepper 4 mit Frontlader 2400 daN</t>
  </si>
  <si>
    <t>Schlepper 75-92 kW, Allrad</t>
  </si>
  <si>
    <t>Schlepper 93-111 kW, Allrad</t>
  </si>
  <si>
    <t>Schlepper 112-129 kW, Allrad CVT</t>
  </si>
  <si>
    <t>Schlepper 112-129 kW, Allrad</t>
  </si>
  <si>
    <t>Schlepper 185-215 kW, Allrad</t>
  </si>
  <si>
    <t>€/h</t>
  </si>
  <si>
    <t>l/h</t>
  </si>
  <si>
    <t>Typ</t>
  </si>
  <si>
    <t xml:space="preserve"> Nr.</t>
  </si>
  <si>
    <t>Motorbelastung von ( in €/h )</t>
  </si>
  <si>
    <t xml:space="preserve"> ohne Diesel)</t>
  </si>
  <si>
    <t>€/l</t>
  </si>
  <si>
    <t>Dieselpreis und einer</t>
  </si>
  <si>
    <t>(var. Kosten</t>
  </si>
  <si>
    <t>(ohne MwSt.)</t>
  </si>
  <si>
    <t>verbrauch</t>
  </si>
  <si>
    <t xml:space="preserve">insgesamt bei aktuellem </t>
  </si>
  <si>
    <t>Reparaturkosten</t>
  </si>
  <si>
    <t xml:space="preserve">variable Kosten </t>
  </si>
  <si>
    <t>Diesel-</t>
  </si>
  <si>
    <t>Variable Kosten (ohne MwSt.)</t>
  </si>
  <si>
    <t xml:space="preserve"> €/l</t>
  </si>
  <si>
    <t>Preis Diesel aktuell  in €/l ohne Mwst</t>
  </si>
  <si>
    <t>Gasölverbilligung</t>
  </si>
  <si>
    <t>MwSt.</t>
  </si>
  <si>
    <t>Preis Diesel aktuell  in €/l inkl. Mwst</t>
  </si>
  <si>
    <t>Variable Kosten und Arbeitszeitbedarf; Lohnmaschinen</t>
  </si>
  <si>
    <t>für ständige AK</t>
  </si>
  <si>
    <t xml:space="preserve">€/AKh </t>
  </si>
  <si>
    <t xml:space="preserve">Lohnansatz </t>
  </si>
  <si>
    <t xml:space="preserve">hoch </t>
  </si>
  <si>
    <t>Statistisches Landesamt Baden-Württemberg, 2017: Pachtjahresentgelt 270€/ha Ackerland</t>
  </si>
  <si>
    <t xml:space="preserve">mittel </t>
  </si>
  <si>
    <t xml:space="preserve">niedrig </t>
  </si>
  <si>
    <t>Leistungs-
niveau</t>
  </si>
  <si>
    <t xml:space="preserve">€/ha </t>
  </si>
  <si>
    <t>Pachtzins  223 € (50-100 ha) bzw. 202 € (&gt; 100 ha)</t>
  </si>
  <si>
    <t xml:space="preserve">Rotes Heft 17/18 Tab 21-22 Ackerbaubetriebe konventionell </t>
  </si>
  <si>
    <t>Satz</t>
  </si>
  <si>
    <t>zum Vergleich:</t>
  </si>
  <si>
    <t>aktuell</t>
  </si>
  <si>
    <t>MwSt.-</t>
  </si>
  <si>
    <t>Einheit</t>
  </si>
  <si>
    <r>
      <rPr>
        <vertAlign val="superscript"/>
        <sz val="9"/>
        <rFont val="Arial"/>
        <family val="2"/>
      </rPr>
      <t>1)</t>
    </r>
    <r>
      <rPr>
        <sz val="9"/>
        <rFont val="Arial"/>
        <family val="2"/>
      </rPr>
      <t xml:space="preserve"> Anschaffungswert abzgl. Anteil Lohnarbeiten (ca. 10-20%) und Anteil Restwert (ca. 15%).</t>
    </r>
  </si>
  <si>
    <r>
      <t xml:space="preserve">KTBL (2018/19):  </t>
    </r>
    <r>
      <rPr>
        <sz val="8"/>
        <rFont val="Arial"/>
        <family val="2"/>
      </rPr>
      <t>Offene Remise (77.800€)  S.152 bei 15% Restwert</t>
    </r>
  </si>
  <si>
    <t>Maschinen- und Lagerhalle</t>
  </si>
  <si>
    <t>Unterhaltung:</t>
  </si>
  <si>
    <t>Zinssatz (i):</t>
  </si>
  <si>
    <t xml:space="preserve">Feste Gebäudekosten </t>
  </si>
  <si>
    <t>30 Ballen/ha a 0,8*1,2*2,4 m³+Zuschlag</t>
  </si>
  <si>
    <t>Lager 500 m³ (25,- €/m³)</t>
  </si>
  <si>
    <t>Feste Gebäudekosten Hanf (mit Lagerung)</t>
  </si>
  <si>
    <t>Kartoffellager 300 t (m. Belüftung)</t>
  </si>
  <si>
    <t>Sortier- u. Aufbereitungseinrichtungen</t>
  </si>
  <si>
    <t>Feste Gebäudekosten Kartoffeln Direktvermarktung</t>
  </si>
  <si>
    <r>
      <t>KTBL (2018/19):</t>
    </r>
    <r>
      <rPr>
        <sz val="8"/>
        <rFont val="Arial"/>
        <family val="2"/>
      </rPr>
      <t>Traktorfrondlader (5.000€) S.77; Erdschaufel (1.700€), S.78; Leichtgutschaufel (1.850€) S.79 + 6400€ für Sonstiges und bei 15% Restwert</t>
    </r>
  </si>
  <si>
    <t>Sonstiges</t>
  </si>
  <si>
    <r>
      <t xml:space="preserve">KTBL (2018/19): </t>
    </r>
    <r>
      <rPr>
        <sz val="8"/>
        <rFont val="Arial"/>
        <family val="2"/>
      </rPr>
      <t>Dreiseitenkippanhänger, Einzelachse (7.400€) S.83; Dreiseitenkippanhänger, Tandemachse (16.000€) S.84; Dreiseitenkippanhänger, zwei Achsen (19.000€) S.84; bei 15% Restwert und 10% Lohnarbeiten</t>
    </r>
  </si>
  <si>
    <t>Transport</t>
  </si>
  <si>
    <r>
      <t xml:space="preserve">KTBL (2018/19) und KTBL (Öko 2017): </t>
    </r>
    <r>
      <rPr>
        <sz val="8"/>
        <rFont val="Arial"/>
        <family val="2"/>
      </rPr>
      <t>Mulchgerät (8.900€) S.115(ÖKO); Striegel (6.800€) S.106; Düngestreuer (5.700€) S.98; Pflanzenschutzspritze (9.000+13.700€) S.108 bei 15% Restwert + 10% Lohnarbeiten</t>
    </r>
  </si>
  <si>
    <t>Mineraldüng. / Pflanzenschutz / Pflege</t>
  </si>
  <si>
    <t>Bodenbearbeitung / Bestellung</t>
  </si>
  <si>
    <t xml:space="preserve"> - Gebäude bauliche Anlagen: 74 € (50-100 ha) bzw. 37 € (&gt; 100 ha)</t>
  </si>
  <si>
    <t xml:space="preserve"> - techn.Anlagen, Masch. PKW: 257 € (50-100 ha) bzw. 218 €(&gt;100 ha)</t>
  </si>
  <si>
    <t>Rotes Heft 17/18 Tab 21-22 Ackerbaubetriebe konventionell Abschreibungen</t>
  </si>
  <si>
    <r>
      <t xml:space="preserve">Feste Maschinenkosten </t>
    </r>
    <r>
      <rPr>
        <vertAlign val="superscript"/>
        <sz val="12"/>
        <rFont val="Arial"/>
        <family val="2"/>
      </rPr>
      <t>2)</t>
    </r>
  </si>
  <si>
    <t>€</t>
  </si>
  <si>
    <t>Jahre</t>
  </si>
  <si>
    <t>dauer</t>
  </si>
  <si>
    <t>und Gebäude:</t>
  </si>
  <si>
    <t>Gesamt</t>
  </si>
  <si>
    <t>Fläche</t>
  </si>
  <si>
    <t>Jahres-</t>
  </si>
  <si>
    <r>
      <t xml:space="preserve">Anschaffungswert </t>
    </r>
    <r>
      <rPr>
        <b/>
        <vertAlign val="superscript"/>
        <sz val="10"/>
        <rFont val="Arial"/>
        <family val="2"/>
      </rPr>
      <t>1)</t>
    </r>
  </si>
  <si>
    <t>Nutzungs-</t>
  </si>
  <si>
    <t xml:space="preserve">Mehrwertsteuersatz Maschinen </t>
  </si>
  <si>
    <t>Feste Spezial- und Gemeinkosten</t>
  </si>
  <si>
    <t>Mulchen</t>
  </si>
  <si>
    <t>Legu-Gemenge</t>
  </si>
  <si>
    <t>KulturA</t>
  </si>
  <si>
    <t>Hanf</t>
  </si>
  <si>
    <t>Kart.</t>
  </si>
  <si>
    <t>ZuRüb</t>
  </si>
  <si>
    <t>AckBohn</t>
  </si>
  <si>
    <t>FuErbs</t>
  </si>
  <si>
    <t>SonnBlum</t>
  </si>
  <si>
    <t>SoRaps</t>
  </si>
  <si>
    <t>WiRaps</t>
  </si>
  <si>
    <t>KöMais</t>
  </si>
  <si>
    <t>KöHirse</t>
  </si>
  <si>
    <t>Einkorn</t>
  </si>
  <si>
    <t>BraugerstG</t>
  </si>
  <si>
    <t>SoGerst</t>
  </si>
  <si>
    <t>Soweizen</t>
  </si>
  <si>
    <t>WiGerst</t>
  </si>
  <si>
    <t>Tritic</t>
  </si>
  <si>
    <t>Wirogg</t>
  </si>
  <si>
    <t>Wiweiz</t>
  </si>
  <si>
    <t>Mittel</t>
  </si>
  <si>
    <t>Preis o.MwSt.</t>
  </si>
  <si>
    <t>lfd. Nr.</t>
  </si>
  <si>
    <t>ZEILEN AUSGEBLENDET (Datenspiegelung)</t>
  </si>
  <si>
    <t>I</t>
  </si>
  <si>
    <t>TRICHOGRAMMA</t>
  </si>
  <si>
    <t>Trebon 30 EC</t>
  </si>
  <si>
    <t>H</t>
  </si>
  <si>
    <t>Traxos</t>
  </si>
  <si>
    <t>F</t>
  </si>
  <si>
    <t>Tilmor</t>
  </si>
  <si>
    <t>Teppeki</t>
  </si>
  <si>
    <t>Stomp Aqua</t>
  </si>
  <si>
    <t>Steward</t>
  </si>
  <si>
    <t>Starane XL</t>
  </si>
  <si>
    <t>Shirlan</t>
  </si>
  <si>
    <t>Sencor Liquid</t>
  </si>
  <si>
    <t>Select 240 EC</t>
  </si>
  <si>
    <t>Seguris Opti, Seguris</t>
  </si>
  <si>
    <t>Seguris Opti, Amistar Opti</t>
  </si>
  <si>
    <t>Roundup Rekord</t>
  </si>
  <si>
    <t>Roundup Power Flex</t>
  </si>
  <si>
    <t>Revus</t>
  </si>
  <si>
    <t>Ranman Top</t>
  </si>
  <si>
    <t>Prosaro</t>
  </si>
  <si>
    <t>Propulse</t>
  </si>
  <si>
    <t>Proline</t>
  </si>
  <si>
    <t>Primus Perfect</t>
  </si>
  <si>
    <t>Polyram WG</t>
  </si>
  <si>
    <t>Pointer Plus</t>
  </si>
  <si>
    <t>Osiris</t>
  </si>
  <si>
    <t>Ortiva</t>
  </si>
  <si>
    <t>W</t>
  </si>
  <si>
    <t>Moddus</t>
  </si>
  <si>
    <t>Malibu</t>
  </si>
  <si>
    <t>MaisTer Power</t>
  </si>
  <si>
    <t>Mais Banvel WG</t>
  </si>
  <si>
    <t>Karate Zeon</t>
  </si>
  <si>
    <t>Juwel</t>
  </si>
  <si>
    <t>Input Xpro</t>
  </si>
  <si>
    <t>Input Classic</t>
  </si>
  <si>
    <t>Infinito</t>
  </si>
  <si>
    <t>Hoestar Super</t>
  </si>
  <si>
    <t>Herold SC</t>
  </si>
  <si>
    <t xml:space="preserve">Harmony SX </t>
  </si>
  <si>
    <t>Goltix Gold</t>
  </si>
  <si>
    <t>Fusilade MAX</t>
  </si>
  <si>
    <t>Folicur</t>
  </si>
  <si>
    <t>Focus Ultra</t>
  </si>
  <si>
    <t>Effigo</t>
  </si>
  <si>
    <t xml:space="preserve">Debut </t>
  </si>
  <si>
    <t>Coragen</t>
  </si>
  <si>
    <t>Colzor Trio</t>
  </si>
  <si>
    <t xml:space="preserve">Champion + Diamant Pack, Champion </t>
  </si>
  <si>
    <t>Centium 36 CS</t>
  </si>
  <si>
    <t>CCC 720</t>
  </si>
  <si>
    <t>Carax</t>
  </si>
  <si>
    <t>Cantus Gold</t>
  </si>
  <si>
    <t>Camposan Extra</t>
  </si>
  <si>
    <t>Callisto</t>
  </si>
  <si>
    <t>Butisan Top</t>
  </si>
  <si>
    <t>Broadway</t>
  </si>
  <si>
    <t>Boxer</t>
  </si>
  <si>
    <t>Biscaya</t>
  </si>
  <si>
    <t>Biathlon 4D</t>
  </si>
  <si>
    <t>Betanal Maxx Pro</t>
  </si>
  <si>
    <t>Bandur</t>
  </si>
  <si>
    <t>B235</t>
  </si>
  <si>
    <t>Axial 50</t>
  </si>
  <si>
    <t>Aviator Xpro Duo, Fandango</t>
  </si>
  <si>
    <t>Aviator Xpro Duo, Aviator Xpro</t>
  </si>
  <si>
    <t>Avaunt</t>
  </si>
  <si>
    <t>Preise: Stand 2016; Diese Liste ist beispielhaft und erhebt keinen Anspruch auf Vollständigkeit.</t>
  </si>
  <si>
    <t>Atlantis WG</t>
  </si>
  <si>
    <t>Artus</t>
  </si>
  <si>
    <t>Krautabtötung</t>
  </si>
  <si>
    <t>X</t>
  </si>
  <si>
    <t>Artist</t>
  </si>
  <si>
    <t>Wachstumsregler</t>
  </si>
  <si>
    <t>Ariane C</t>
  </si>
  <si>
    <t>Insektizid</t>
  </si>
  <si>
    <t>Agil-S</t>
  </si>
  <si>
    <t>Herbizid</t>
  </si>
  <si>
    <t>Adexar</t>
  </si>
  <si>
    <t>Fungizid</t>
  </si>
  <si>
    <t>Acrobat plus WG</t>
  </si>
  <si>
    <t>Pflanzenschutzmittel</t>
  </si>
  <si>
    <t>DRUCKBEREICH</t>
  </si>
  <si>
    <t xml:space="preserve">€/dt </t>
  </si>
  <si>
    <t>Erbsen und Ackerbohnen</t>
  </si>
  <si>
    <t>Getreide</t>
  </si>
  <si>
    <t>Trocknungskosten</t>
  </si>
  <si>
    <t xml:space="preserve"> Wasser- u. Bodenverband</t>
  </si>
  <si>
    <t>€/LVZ</t>
  </si>
  <si>
    <t>€/ha   bzw.</t>
  </si>
  <si>
    <t xml:space="preserve"> Berufsgenossenschaft</t>
  </si>
  <si>
    <t xml:space="preserve"> Quelle:</t>
  </si>
  <si>
    <t>Berufsgenossenschaft, Wasser- und Bodenverband</t>
  </si>
  <si>
    <t>€/mm</t>
  </si>
  <si>
    <t xml:space="preserve"> Kosten insgesamt je mm:</t>
  </si>
  <si>
    <t>DLZ 6/2001, S. 26</t>
  </si>
  <si>
    <t xml:space="preserve">Quelle: </t>
  </si>
  <si>
    <t>Beregnung</t>
  </si>
  <si>
    <t>Lohnansatz</t>
  </si>
  <si>
    <t>gesamt</t>
  </si>
  <si>
    <t>Nutzungsdauer</t>
  </si>
  <si>
    <t>m³</t>
  </si>
  <si>
    <t>* Nutzung als Ganzpflanzensilage</t>
  </si>
  <si>
    <t xml:space="preserve"> Zuckerrüben</t>
  </si>
  <si>
    <t xml:space="preserve"> Sonstige</t>
  </si>
  <si>
    <t xml:space="preserve"> Kartoffeln</t>
  </si>
  <si>
    <t xml:space="preserve"> Miscanthus</t>
  </si>
  <si>
    <t xml:space="preserve"> Körnerhirse</t>
  </si>
  <si>
    <t xml:space="preserve"> Topinambur</t>
  </si>
  <si>
    <t xml:space="preserve"> Sojabohnen</t>
  </si>
  <si>
    <t xml:space="preserve"> Durchwachsene Silphie</t>
  </si>
  <si>
    <t xml:space="preserve"> Erbsen</t>
  </si>
  <si>
    <t xml:space="preserve"> Kleegras / Ackergras</t>
  </si>
  <si>
    <t xml:space="preserve"> Ackerbohnen</t>
  </si>
  <si>
    <t xml:space="preserve"> Sonnenblumen für GPS*</t>
  </si>
  <si>
    <t xml:space="preserve"> Öllein</t>
  </si>
  <si>
    <t xml:space="preserve"> Sudangras für GPS*</t>
  </si>
  <si>
    <t xml:space="preserve"> Sonnenblumen</t>
  </si>
  <si>
    <t xml:space="preserve"> Zuckerhirse für GPS*</t>
  </si>
  <si>
    <t xml:space="preserve"> Raps</t>
  </si>
  <si>
    <t xml:space="preserve"> Sommergetreide für GPS*</t>
  </si>
  <si>
    <t xml:space="preserve"> Silomais</t>
  </si>
  <si>
    <t xml:space="preserve"> Wintergetreide für GPS*</t>
  </si>
  <si>
    <t xml:space="preserve"> Körnermais</t>
  </si>
  <si>
    <t xml:space="preserve"> Grünschnittroggen</t>
  </si>
  <si>
    <t xml:space="preserve"> Sommergetreide</t>
  </si>
  <si>
    <t xml:space="preserve"> Hanf</t>
  </si>
  <si>
    <t xml:space="preserve"> Wintergetreide</t>
  </si>
  <si>
    <t>je 1000 € Versicherungssumme</t>
  </si>
  <si>
    <t>Württemberg</t>
  </si>
  <si>
    <t xml:space="preserve"> Kultur</t>
  </si>
  <si>
    <t>Hagelversicherung</t>
  </si>
  <si>
    <t xml:space="preserve"> Vorfruchtwert</t>
  </si>
  <si>
    <t>€/kg</t>
  </si>
  <si>
    <t>kg/ha</t>
  </si>
  <si>
    <t>FAKT-Blühmischung (Brachebegrünung)</t>
  </si>
  <si>
    <t>1) G = Gründüngung; F = Futternutzung.</t>
  </si>
  <si>
    <t>Speisefrühkartoffeln</t>
  </si>
  <si>
    <t xml:space="preserve">F+(G)          </t>
  </si>
  <si>
    <t>120-150</t>
  </si>
  <si>
    <t>Speisekartoffeln</t>
  </si>
  <si>
    <t xml:space="preserve">F          </t>
  </si>
  <si>
    <t>bitterstoffarm</t>
  </si>
  <si>
    <t xml:space="preserve">G          </t>
  </si>
  <si>
    <t>Phacelia</t>
  </si>
  <si>
    <t xml:space="preserve">G+F          </t>
  </si>
  <si>
    <t>Herbstrüben</t>
  </si>
  <si>
    <t>6-8</t>
  </si>
  <si>
    <t>Sareptasenf</t>
  </si>
  <si>
    <t>Alexandrinerklee/einj. Weidelgras</t>
  </si>
  <si>
    <t>80-90</t>
  </si>
  <si>
    <t>Landsberger Gemenge</t>
  </si>
  <si>
    <t xml:space="preserve"> Mischungen</t>
  </si>
  <si>
    <t>Gelbsenf (nematodenresistent)</t>
  </si>
  <si>
    <t>Gelbsenf</t>
  </si>
  <si>
    <t>Liniensorten</t>
  </si>
  <si>
    <t>Ölrettich (nematodenresistent)</t>
  </si>
  <si>
    <t>Hybridsorten</t>
  </si>
  <si>
    <t>Ölrettich</t>
  </si>
  <si>
    <t>400TK/Einheit</t>
  </si>
  <si>
    <t>8-12</t>
  </si>
  <si>
    <t>Sommerrübsen</t>
  </si>
  <si>
    <t>50TK/Einheit</t>
  </si>
  <si>
    <t xml:space="preserve">G+(F)          </t>
  </si>
  <si>
    <t>Winterrübsen</t>
  </si>
  <si>
    <t xml:space="preserve"> Ölsaaten</t>
  </si>
  <si>
    <t>Inkarnatklee</t>
  </si>
  <si>
    <t>Futtergerste</t>
  </si>
  <si>
    <t>Alexandrinerklee</t>
  </si>
  <si>
    <t>Backweizen; B</t>
  </si>
  <si>
    <t>Perserklee</t>
  </si>
  <si>
    <t xml:space="preserve"> Kleesaaten</t>
  </si>
  <si>
    <t>Welsches Weidelgras</t>
  </si>
  <si>
    <t>Einj. Weidelgras</t>
  </si>
  <si>
    <t xml:space="preserve"> Gräser</t>
  </si>
  <si>
    <t>Gemenge (Erb/AB/Wi)</t>
  </si>
  <si>
    <t>Populationssorten</t>
  </si>
  <si>
    <t>Winterwicken</t>
  </si>
  <si>
    <t>Eliteweizen; E</t>
  </si>
  <si>
    <t>Saatwicken</t>
  </si>
  <si>
    <t>Qualitätsweizen; A</t>
  </si>
  <si>
    <t>Futtererbse</t>
  </si>
  <si>
    <t>Hülsenfrüchte</t>
  </si>
  <si>
    <t>Futterweizen; C</t>
  </si>
  <si>
    <t>€/dt bzw. Einh. (o.Mwst.)</t>
  </si>
  <si>
    <t>Saatgutkosten</t>
  </si>
  <si>
    <t>Nutzung</t>
  </si>
  <si>
    <t>Saatmenge</t>
  </si>
  <si>
    <t>Kultur</t>
  </si>
  <si>
    <t>Saat-/Pflanzgutpreis</t>
  </si>
  <si>
    <t xml:space="preserve"> Kulturen</t>
  </si>
  <si>
    <t>Saatgut: Begrünung, Zwischenfrucht</t>
  </si>
  <si>
    <t>Saatgut</t>
  </si>
  <si>
    <t>Kartoffeln</t>
  </si>
  <si>
    <t>Erbsen</t>
  </si>
  <si>
    <t>Sonstige Kosten</t>
  </si>
  <si>
    <t>Begr</t>
  </si>
  <si>
    <t>Leer(1)</t>
  </si>
  <si>
    <t>F33</t>
  </si>
  <si>
    <t>F32</t>
  </si>
  <si>
    <t>F31</t>
  </si>
  <si>
    <t>F30</t>
  </si>
  <si>
    <t>E33</t>
  </si>
  <si>
    <t>E32</t>
  </si>
  <si>
    <t>E31</t>
  </si>
  <si>
    <t>E30</t>
  </si>
  <si>
    <t>K2O</t>
  </si>
  <si>
    <t>P2O5</t>
  </si>
  <si>
    <t>Blattname</t>
  </si>
  <si>
    <t>Anteil Nebenprodukt vom Hauptprodukt</t>
  </si>
  <si>
    <t>Entzug/Ertrag</t>
  </si>
  <si>
    <t>Nährstoffentzug</t>
  </si>
  <si>
    <t>Erzielte Verwertung der Fläche 
(maximaler Pachtpreis)</t>
  </si>
  <si>
    <t>€/AKh</t>
  </si>
  <si>
    <t>Erzielter Stundenlohn</t>
  </si>
  <si>
    <t>Kostendeckender Erlös mit Berücksichtigung von Prämien</t>
  </si>
  <si>
    <t>Kostendeckender Erlös ohne Berücksichtigung von Prämien</t>
  </si>
  <si>
    <t>Betriebszweigergebnis mit Prämien</t>
  </si>
  <si>
    <t>Betriebszweigergebnis ohne Prämien</t>
  </si>
  <si>
    <t>Summe Festkosten, Lohn- und Pachtansatz</t>
  </si>
  <si>
    <t>Pachtansatz</t>
  </si>
  <si>
    <t>Festkosten</t>
  </si>
  <si>
    <t>dt</t>
  </si>
  <si>
    <t>Deckungsbeitrag mit Prämien
 (und Zinsansatz für Umlaufvermögen)</t>
  </si>
  <si>
    <t>Deckungsbeitrag ohne Prämien</t>
  </si>
  <si>
    <t>variable Kosten (ohne Zinsansatz)</t>
  </si>
  <si>
    <t>Leistungen insgesamt</t>
  </si>
  <si>
    <t>Nebenleistungen</t>
  </si>
  <si>
    <t>Preis</t>
  </si>
  <si>
    <t>Ertragsniveau</t>
  </si>
  <si>
    <t>1) Erforderlicher Preis der Hauptkultur zur Erzielung des selben Kalkulatorischen Betriebszweigergebnisses der Vergleichskultur</t>
  </si>
  <si>
    <r>
      <t xml:space="preserve"> Gleichgewichtspreis der Hauptkultur </t>
    </r>
    <r>
      <rPr>
        <b/>
        <vertAlign val="superscript"/>
        <sz val="12"/>
        <rFont val="Arial"/>
        <family val="2"/>
      </rPr>
      <t xml:space="preserve">1) </t>
    </r>
    <r>
      <rPr>
        <sz val="12"/>
        <rFont val="Arial"/>
        <family val="2"/>
      </rPr>
      <t>(incl. Mwst.)</t>
    </r>
  </si>
  <si>
    <t>(Z.62 - 61)</t>
  </si>
  <si>
    <t>Differenz</t>
  </si>
  <si>
    <t xml:space="preserve">      (ohne Prämien aus ZA)</t>
  </si>
  <si>
    <r>
      <t xml:space="preserve"> Kalk. Betriebszweigergebnis der </t>
    </r>
    <r>
      <rPr>
        <b/>
        <sz val="12"/>
        <rFont val="Arial"/>
        <family val="2"/>
      </rPr>
      <t>Hauptkultur</t>
    </r>
    <r>
      <rPr>
        <sz val="12"/>
        <rFont val="Arial"/>
        <family val="2"/>
      </rPr>
      <t xml:space="preserve">       </t>
    </r>
    <r>
      <rPr>
        <sz val="8"/>
        <rFont val="Arial"/>
        <family val="2"/>
      </rPr>
      <t>(Z. 34)</t>
    </r>
  </si>
  <si>
    <r>
      <t xml:space="preserve"> Kalk. Betriebszweigergebnis der </t>
    </r>
    <r>
      <rPr>
        <b/>
        <sz val="12"/>
        <rFont val="Arial"/>
        <family val="2"/>
      </rPr>
      <t>Vergleichskultur</t>
    </r>
  </si>
  <si>
    <t>+50%</t>
  </si>
  <si>
    <t>+20%</t>
  </si>
  <si>
    <t>+10%</t>
  </si>
  <si>
    <t>-10%</t>
  </si>
  <si>
    <t>-25%</t>
  </si>
  <si>
    <t>-50%</t>
  </si>
  <si>
    <t>Marktpreis (ohne Mwst.)</t>
  </si>
  <si>
    <r>
      <t xml:space="preserve">Deckungsbeitrag
</t>
    </r>
    <r>
      <rPr>
        <sz val="9"/>
        <rFont val="Arial"/>
        <family val="2"/>
      </rPr>
      <t>(ohne Prämien, ohne Zinsansatz)</t>
    </r>
    <r>
      <rPr>
        <b/>
        <sz val="9"/>
        <rFont val="Arial"/>
        <family val="2"/>
      </rPr>
      <t/>
    </r>
  </si>
  <si>
    <t xml:space="preserve"> Deckungsbeitrag bei veränderten Preisen</t>
  </si>
  <si>
    <t xml:space="preserve"> (feste u. var. Makost, Lohnmaschinen, var. Lohnkosten, Lohnansatz)</t>
  </si>
  <si>
    <r>
      <t xml:space="preserve"> Direktkosten</t>
    </r>
    <r>
      <rPr>
        <sz val="10"/>
        <rFont val="Arial"/>
        <family val="2"/>
      </rPr>
      <t xml:space="preserve"> </t>
    </r>
    <r>
      <rPr>
        <sz val="8"/>
        <rFont val="Arial"/>
        <family val="2"/>
      </rPr>
      <t>(Summe Z.12 bis 17 + 24)</t>
    </r>
  </si>
  <si>
    <r>
      <t xml:space="preserve">mit Berücksichtigung von Prämien </t>
    </r>
    <r>
      <rPr>
        <sz val="8"/>
        <rFont val="Arial"/>
        <family val="2"/>
      </rPr>
      <t>(Z.47 - 49)</t>
    </r>
  </si>
  <si>
    <t xml:space="preserve">Kostendeckender Erlös für Hauptprodukt </t>
  </si>
  <si>
    <r>
      <t xml:space="preserve">abzgl. Prämien </t>
    </r>
    <r>
      <rPr>
        <sz val="8"/>
        <rFont val="Arial"/>
        <family val="2"/>
      </rPr>
      <t>(Z.10)</t>
    </r>
  </si>
  <si>
    <r>
      <t xml:space="preserve">ohne Berücksichtigung von Prämien </t>
    </r>
    <r>
      <rPr>
        <sz val="8"/>
        <rFont val="Arial"/>
        <family val="2"/>
      </rPr>
      <t>(Z.45 - 46)</t>
    </r>
  </si>
  <si>
    <r>
      <t>Kostendeckender Erlös für</t>
    </r>
    <r>
      <rPr>
        <sz val="12"/>
        <rFont val="Arial"/>
        <family val="2"/>
      </rPr>
      <t xml:space="preserve"> </t>
    </r>
    <r>
      <rPr>
        <b/>
        <sz val="12"/>
        <rFont val="Arial"/>
        <family val="2"/>
      </rPr>
      <t>Hauptprodukt</t>
    </r>
  </si>
  <si>
    <r>
      <t xml:space="preserve"> abzgl. Nebenleistungen </t>
    </r>
    <r>
      <rPr>
        <sz val="8"/>
        <rFont val="Arial"/>
        <family val="2"/>
      </rPr>
      <t>(Z.5 + 6)</t>
    </r>
  </si>
  <si>
    <r>
      <t xml:space="preserve">Summe Kosten </t>
    </r>
    <r>
      <rPr>
        <sz val="8"/>
        <rFont val="Arial"/>
        <family val="2"/>
      </rPr>
      <t>(Z.36)</t>
    </r>
  </si>
  <si>
    <t xml:space="preserve"> Kostendeckender Erlös</t>
  </si>
  <si>
    <t xml:space="preserve">  (Z.40 + 31) </t>
  </si>
  <si>
    <r>
      <t>Fläche,</t>
    </r>
    <r>
      <rPr>
        <sz val="10"/>
        <rFont val="Arial"/>
        <family val="2"/>
      </rPr>
      <t xml:space="preserve"> max. Pachtpreis langfristig, </t>
    </r>
    <r>
      <rPr>
        <b/>
        <sz val="10"/>
        <rFont val="Arial"/>
        <family val="2"/>
      </rPr>
      <t>mit</t>
    </r>
    <r>
      <rPr>
        <sz val="10"/>
        <rFont val="Arial"/>
        <family val="2"/>
      </rPr>
      <t xml:space="preserve"> Prämien</t>
    </r>
  </si>
  <si>
    <r>
      <t>Quote</t>
    </r>
    <r>
      <rPr>
        <sz val="11"/>
        <rFont val="Arial"/>
        <family val="2"/>
      </rPr>
      <t xml:space="preserve"> </t>
    </r>
    <r>
      <rPr>
        <sz val="10"/>
        <rFont val="Arial"/>
        <family val="2"/>
      </rPr>
      <t xml:space="preserve">(max. Kaufpreis/dt Quote)      </t>
    </r>
  </si>
  <si>
    <t xml:space="preserve">  (Z.40 + 28) </t>
  </si>
  <si>
    <r>
      <t>Arbeitseinkommen</t>
    </r>
    <r>
      <rPr>
        <sz val="12"/>
        <rFont val="Arial"/>
        <family val="2"/>
      </rPr>
      <t xml:space="preserve"> </t>
    </r>
    <r>
      <rPr>
        <sz val="10"/>
        <rFont val="Arial"/>
        <family val="2"/>
      </rPr>
      <t xml:space="preserve">(ständige AK); </t>
    </r>
    <r>
      <rPr>
        <b/>
        <sz val="10"/>
        <rFont val="Arial"/>
        <family val="2"/>
      </rPr>
      <t>mit</t>
    </r>
    <r>
      <rPr>
        <sz val="10"/>
        <rFont val="Arial"/>
        <family val="2"/>
      </rPr>
      <t xml:space="preserve"> Prämien            </t>
    </r>
  </si>
  <si>
    <t>€/Akh</t>
  </si>
  <si>
    <t xml:space="preserve"> Verwertung knapper Faktoren</t>
  </si>
  <si>
    <t>Kennwerte</t>
  </si>
  <si>
    <t xml:space="preserve"> mit Prämien</t>
  </si>
  <si>
    <r>
      <t xml:space="preserve"> </t>
    </r>
    <r>
      <rPr>
        <b/>
        <sz val="11"/>
        <rFont val="Arial"/>
        <family val="2"/>
      </rPr>
      <t>€/ha</t>
    </r>
  </si>
  <si>
    <r>
      <t xml:space="preserve"> Kalkulatorisches Betriebszweigergebnis  </t>
    </r>
    <r>
      <rPr>
        <sz val="8"/>
        <rFont val="Arial"/>
        <family val="2"/>
      </rPr>
      <t xml:space="preserve">(Z.37 + 39)         </t>
    </r>
  </si>
  <si>
    <t xml:space="preserve">+ Prämien </t>
  </si>
  <si>
    <t xml:space="preserve"> ohne Prämien </t>
  </si>
  <si>
    <r>
      <t>Summe Kosten</t>
    </r>
    <r>
      <rPr>
        <sz val="11"/>
        <rFont val="Arial"/>
        <family val="2"/>
      </rPr>
      <t xml:space="preserve"> </t>
    </r>
    <r>
      <rPr>
        <sz val="8"/>
        <rFont val="Arial"/>
        <family val="2"/>
      </rPr>
      <t>(var. Kosten, Zinsansatz, Festkosten einschl. Lohnansatz)</t>
    </r>
  </si>
  <si>
    <r>
      <t>Summe Leistungen</t>
    </r>
    <r>
      <rPr>
        <sz val="11"/>
        <rFont val="Arial"/>
        <family val="2"/>
      </rPr>
      <t xml:space="preserve"> </t>
    </r>
    <r>
      <rPr>
        <sz val="8"/>
        <rFont val="Arial"/>
        <family val="2"/>
      </rPr>
      <t>(</t>
    </r>
    <r>
      <rPr>
        <b/>
        <sz val="8"/>
        <rFont val="Arial"/>
        <family val="2"/>
      </rPr>
      <t>ohne</t>
    </r>
    <r>
      <rPr>
        <sz val="8"/>
        <rFont val="Arial"/>
        <family val="2"/>
      </rPr>
      <t xml:space="preserve"> Prämien)</t>
    </r>
  </si>
  <si>
    <t>Kalk. Betriebzweigergebnis</t>
  </si>
  <si>
    <t xml:space="preserve"> Summe Festkosten einschl. Lohnansatz </t>
  </si>
  <si>
    <t>Sonstige Festkosten</t>
  </si>
  <si>
    <t>Kosten für Quote</t>
  </si>
  <si>
    <r>
      <t>Kosten für Fläche und</t>
    </r>
    <r>
      <rPr>
        <sz val="10"/>
        <rFont val="Arial"/>
        <family val="2"/>
      </rPr>
      <t xml:space="preserve"> Zahlungsanspruch (Pachtansatz)</t>
    </r>
  </si>
  <si>
    <t>Feste Gebäudekosten</t>
  </si>
  <si>
    <t>Feste Maschinenkosten</t>
  </si>
  <si>
    <r>
      <t xml:space="preserve">Lohnansatz </t>
    </r>
    <r>
      <rPr>
        <sz val="10"/>
        <rFont val="Arial"/>
        <family val="2"/>
      </rPr>
      <t>(für ständige AK)</t>
    </r>
  </si>
  <si>
    <t>Festkosten u. Arbeit</t>
  </si>
  <si>
    <r>
      <t xml:space="preserve"> Arbeitszeitbedarf</t>
    </r>
    <r>
      <rPr>
        <sz val="12"/>
        <rFont val="Arial"/>
        <family val="2"/>
      </rPr>
      <t xml:space="preserve"> </t>
    </r>
    <r>
      <rPr>
        <sz val="11"/>
        <rFont val="Arial"/>
        <family val="2"/>
      </rPr>
      <t>(ständige AK)</t>
    </r>
  </si>
  <si>
    <r>
      <t xml:space="preserve"> Deckungsbeitrag </t>
    </r>
    <r>
      <rPr>
        <b/>
        <sz val="9"/>
        <rFont val="Arial"/>
        <family val="2"/>
      </rPr>
      <t>mit Prämien, nach Zinsansatz</t>
    </r>
    <r>
      <rPr>
        <b/>
        <sz val="10"/>
        <rFont val="Arial"/>
        <family val="2"/>
      </rPr>
      <t xml:space="preserve"> </t>
    </r>
    <r>
      <rPr>
        <sz val="8"/>
        <rFont val="Arial"/>
        <family val="2"/>
      </rPr>
      <t>(Z.22 + 23 - 24)</t>
    </r>
  </si>
  <si>
    <t>- Zinsansatz Umlaufvermögen</t>
  </si>
  <si>
    <t>+ Prämien</t>
  </si>
  <si>
    <t>Deckungsbeitrag</t>
  </si>
  <si>
    <r>
      <t xml:space="preserve"> Summe variable Kosten </t>
    </r>
    <r>
      <rPr>
        <sz val="8"/>
        <rFont val="Arial"/>
        <family val="2"/>
      </rPr>
      <t>(Summe Z.12 bis 20)</t>
    </r>
  </si>
  <si>
    <r>
      <t xml:space="preserve">Variable Lohnkosten </t>
    </r>
    <r>
      <rPr>
        <sz val="10"/>
        <rFont val="Arial"/>
        <family val="2"/>
      </rPr>
      <t>(nichtständige AK)</t>
    </r>
  </si>
  <si>
    <t>Lohnmaschinen</t>
  </si>
  <si>
    <r>
      <t xml:space="preserve">Variable Maschinenkosten </t>
    </r>
    <r>
      <rPr>
        <sz val="10"/>
        <rFont val="Arial"/>
        <family val="2"/>
      </rPr>
      <t>(eigene Maschinen)</t>
    </r>
  </si>
  <si>
    <t>Sonstige variable Kosten</t>
  </si>
  <si>
    <t>Trocknung / Konservierung</t>
  </si>
  <si>
    <t xml:space="preserve">Pflanzenschutz </t>
  </si>
  <si>
    <t>Düngung</t>
  </si>
  <si>
    <r>
      <t xml:space="preserve"> Summe Leistungen mit Prämien </t>
    </r>
    <r>
      <rPr>
        <sz val="8"/>
        <rFont val="Arial"/>
        <family val="2"/>
      </rPr>
      <t>(Z.7 + 10)</t>
    </r>
  </si>
  <si>
    <r>
      <t xml:space="preserve">Prämien insgesamt </t>
    </r>
    <r>
      <rPr>
        <sz val="8"/>
        <rFont val="Arial"/>
        <family val="2"/>
      </rPr>
      <t>(Z.8 +9 )</t>
    </r>
  </si>
  <si>
    <r>
      <t xml:space="preserve"> Summe Leistungen </t>
    </r>
    <r>
      <rPr>
        <sz val="8"/>
        <rFont val="Arial"/>
        <family val="2"/>
      </rPr>
      <t>(Z.4 + 5 + 6)</t>
    </r>
  </si>
  <si>
    <t>Leistungen</t>
  </si>
  <si>
    <t>dav. Hauptprodukt</t>
  </si>
  <si>
    <t xml:space="preserve">   </t>
  </si>
  <si>
    <t xml:space="preserve"> Ertrag</t>
  </si>
  <si>
    <t xml:space="preserve"> Bewirtschaftungsintensität</t>
  </si>
  <si>
    <t>Verfahrensbeschreibung</t>
  </si>
  <si>
    <t>WRo</t>
  </si>
  <si>
    <t>Link</t>
  </si>
  <si>
    <t>Sonstige Prämien</t>
  </si>
  <si>
    <t>Betriebsprämie</t>
  </si>
  <si>
    <t>Verfahrensbeschreibung (Text)</t>
  </si>
  <si>
    <t>Nebenprodukt (Text)</t>
  </si>
  <si>
    <t>Summe Maschinenkosten (var. + Lohn)</t>
  </si>
  <si>
    <t>Summe sonst. Var. Kosten</t>
  </si>
  <si>
    <t>mit Berücksichtigung von allen Prämien</t>
  </si>
  <si>
    <r>
      <t xml:space="preserve"> Mindesterlös für</t>
    </r>
    <r>
      <rPr>
        <sz val="6"/>
        <rFont val="Arial"/>
        <family val="2"/>
      </rPr>
      <t xml:space="preserve"> Hauptprodukt (langfristig)</t>
    </r>
  </si>
  <si>
    <t xml:space="preserve">   abzgl. Alle Prämien </t>
  </si>
  <si>
    <t>ohne Berücksichtigung von Prämien</t>
  </si>
  <si>
    <t xml:space="preserve">   abzgl. alle Ausgleichsleistungen</t>
  </si>
  <si>
    <t xml:space="preserve">   daraus Stückkosten (Hauptprodukt)</t>
  </si>
  <si>
    <r>
      <t xml:space="preserve"> Summe Kosten </t>
    </r>
    <r>
      <rPr>
        <sz val="6"/>
        <rFont val="Arial"/>
        <family val="2"/>
      </rPr>
      <t>(abzgl. Nebenleistung, Vorfruchtwert)</t>
    </r>
  </si>
  <si>
    <t xml:space="preserve"> Summe Leistungen (Hauptprodukt)</t>
  </si>
  <si>
    <t xml:space="preserve"> Kosten der Arbeitserledigung</t>
  </si>
  <si>
    <t xml:space="preserve">   Fläche o. Geb. u. Masch.festkost.</t>
  </si>
  <si>
    <t xml:space="preserve">   Fläche ohne Gebäudekosten</t>
  </si>
  <si>
    <r>
      <t xml:space="preserve">   Fläche </t>
    </r>
    <r>
      <rPr>
        <sz val="6"/>
        <rFont val="Arial"/>
        <family val="2"/>
      </rPr>
      <t>(= max. Pachtpreis langfristig)</t>
    </r>
  </si>
  <si>
    <r>
      <t xml:space="preserve">   Quote</t>
    </r>
    <r>
      <rPr>
        <sz val="6"/>
        <rFont val="Arial"/>
        <family val="2"/>
      </rPr>
      <t xml:space="preserve"> (max. Kaufpreis/dt Quote)</t>
    </r>
  </si>
  <si>
    <r>
      <t xml:space="preserve">   Arbeit</t>
    </r>
    <r>
      <rPr>
        <sz val="6"/>
        <rFont val="Arial"/>
        <family val="2"/>
      </rPr>
      <t xml:space="preserve"> (ständige AK)</t>
    </r>
  </si>
  <si>
    <t xml:space="preserve"> Kalkul. Betriebszweigerg mit allen Prämien</t>
  </si>
  <si>
    <t xml:space="preserve">   alle Prämien </t>
  </si>
  <si>
    <t xml:space="preserve"> Kalkul. Betriebszweigerg. ohne alle Prämien</t>
  </si>
  <si>
    <t xml:space="preserve"> Summe feste Spezial- u. Gemeinkosten</t>
  </si>
  <si>
    <t xml:space="preserve">   Gemeinkosten</t>
  </si>
  <si>
    <t xml:space="preserve">   Lohnansatz (für ständige AK)</t>
  </si>
  <si>
    <t xml:space="preserve">   Kosten für Quote</t>
  </si>
  <si>
    <t xml:space="preserve">   Kosten für Fläche (Pachtansatz)</t>
  </si>
  <si>
    <t xml:space="preserve">   Feste Gebäudekosten</t>
  </si>
  <si>
    <t xml:space="preserve">   Feste Maschinenkosten</t>
  </si>
  <si>
    <r>
      <t xml:space="preserve"> Arbeitszeitbedarf</t>
    </r>
    <r>
      <rPr>
        <sz val="6"/>
        <rFont val="Arial"/>
        <family val="2"/>
      </rPr>
      <t xml:space="preserve"> (ständige AK)</t>
    </r>
  </si>
  <si>
    <r>
      <t xml:space="preserve"> Deckungsbeitrag </t>
    </r>
    <r>
      <rPr>
        <sz val="6"/>
        <rFont val="Arial"/>
        <family val="2"/>
      </rPr>
      <t>mit allen Prämien, Zinsansatz</t>
    </r>
  </si>
  <si>
    <t xml:space="preserve">   Zinsansatz Umlaufvermögen</t>
  </si>
  <si>
    <t xml:space="preserve"> alle  Ausgleichsleistungen</t>
  </si>
  <si>
    <r>
      <t xml:space="preserve"> Deckungsbeitrag </t>
    </r>
    <r>
      <rPr>
        <sz val="6"/>
        <rFont val="Arial"/>
        <family val="2"/>
      </rPr>
      <t>ohne Prämien, ohne Zinsansatz</t>
    </r>
  </si>
  <si>
    <t xml:space="preserve">   Sonstige variable Kosten</t>
  </si>
  <si>
    <t xml:space="preserve">   Hagelversicherung</t>
  </si>
  <si>
    <t xml:space="preserve">   Trocknung / Konservierung</t>
  </si>
  <si>
    <t xml:space="preserve">   Variable Lohnkosten (nichtständige AK)</t>
  </si>
  <si>
    <t xml:space="preserve">   Lohnmaschinen</t>
  </si>
  <si>
    <t xml:space="preserve">   Variable Maschinenkosten </t>
  </si>
  <si>
    <t xml:space="preserve">   Pflanzenschutz </t>
  </si>
  <si>
    <t xml:space="preserve">   Düngung</t>
  </si>
  <si>
    <t xml:space="preserve">   Saatgut (ggf. mit Begrünung)</t>
  </si>
  <si>
    <t xml:space="preserve"> Summe Leistungen ohne Prämien</t>
  </si>
  <si>
    <t xml:space="preserve">  Vorfruchtwert</t>
  </si>
  <si>
    <t xml:space="preserve">   Nebenleistung</t>
  </si>
  <si>
    <t xml:space="preserve">   Hauptleistung</t>
  </si>
  <si>
    <r>
      <t xml:space="preserve"> Preis </t>
    </r>
    <r>
      <rPr>
        <sz val="6"/>
        <rFont val="Arial"/>
        <family val="2"/>
      </rPr>
      <t>Hauptprodukt (incl. MwSt.)</t>
    </r>
  </si>
  <si>
    <t xml:space="preserve">   dav. Hauptprodukt</t>
  </si>
  <si>
    <t xml:space="preserve"> Leistungsniveau</t>
  </si>
  <si>
    <t>Festleg-ungsdauer:</t>
  </si>
  <si>
    <t xml:space="preserve"> Zinssatz (i):</t>
  </si>
  <si>
    <t>Zinsansatz für Umlaufvermögen</t>
  </si>
  <si>
    <t>mit MwSt.</t>
  </si>
  <si>
    <t>MwSt.-Satz</t>
  </si>
  <si>
    <t xml:space="preserve"> Sonstige variable Kosten [€/ha]</t>
  </si>
  <si>
    <t xml:space="preserve"> Hagelversicherung [€/ha]</t>
  </si>
  <si>
    <t>Konservierungsmittel</t>
  </si>
  <si>
    <t>Anteil % Erntegut</t>
  </si>
  <si>
    <t>WG (%)</t>
  </si>
  <si>
    <t xml:space="preserve"> Trocknung / Konservierung [€/ha]</t>
  </si>
  <si>
    <r>
      <t xml:space="preserve"> Variable Lohnkosten [€/ha]</t>
    </r>
    <r>
      <rPr>
        <sz val="12"/>
        <rFont val="Arial"/>
        <family val="2"/>
      </rPr>
      <t xml:space="preserve"> (nichtständige AK)</t>
    </r>
  </si>
  <si>
    <t xml:space="preserve"> Lohnmaschinen [€/ha]</t>
  </si>
  <si>
    <t>%, max. 10 AKh</t>
  </si>
  <si>
    <t>Mit Zuschl. für allg. Arbeiten</t>
  </si>
  <si>
    <r>
      <t xml:space="preserve"> Arbeitszeitbedarf [AKh/ha]</t>
    </r>
    <r>
      <rPr>
        <sz val="12"/>
        <rFont val="Arial"/>
        <family val="2"/>
      </rPr>
      <t xml:space="preserve"> (ständige AK)</t>
    </r>
  </si>
  <si>
    <t>gänge</t>
  </si>
  <si>
    <t>AKh</t>
  </si>
  <si>
    <t>kW / Antr.</t>
  </si>
  <si>
    <t>AKh/</t>
  </si>
  <si>
    <t>Arb.-</t>
  </si>
  <si>
    <t>je Arbeitsgang</t>
  </si>
  <si>
    <t>Gerät / Arbeitsgang</t>
  </si>
  <si>
    <r>
      <t xml:space="preserve"> Variable Maschinenkosten [€/ha]</t>
    </r>
    <r>
      <rPr>
        <sz val="12"/>
        <rFont val="Arial"/>
        <family val="2"/>
      </rPr>
      <t xml:space="preserve"> (eigene Masch.)</t>
    </r>
  </si>
  <si>
    <t>Einh./ha</t>
  </si>
  <si>
    <t>€/Einh.</t>
  </si>
  <si>
    <t xml:space="preserve"> Pflanzenschutz [€/ha]</t>
  </si>
  <si>
    <t>/dt Stroh</t>
  </si>
  <si>
    <t>/dt Ertrag</t>
  </si>
  <si>
    <t>Nährstoff</t>
  </si>
  <si>
    <t>Zu-/Abschl.</t>
  </si>
  <si>
    <t>Abfuhr kg</t>
  </si>
  <si>
    <t xml:space="preserve"> Düngung [€/ha]</t>
  </si>
  <si>
    <t>Hauptfrucht</t>
  </si>
  <si>
    <t xml:space="preserve"> Saatgut [€/ha]</t>
  </si>
  <si>
    <t>ohne Düngerersparnis</t>
  </si>
  <si>
    <t xml:space="preserve"> Vorfruchtwert [€/ha]</t>
  </si>
  <si>
    <t>Summe Prämien</t>
  </si>
  <si>
    <t>nein</t>
  </si>
  <si>
    <t>abgefahrene Strohmenge</t>
  </si>
  <si>
    <t xml:space="preserve"> Verfahrensspezifische Ausgleichsleist. [€/ha]</t>
  </si>
  <si>
    <r>
      <t xml:space="preserve">€/ha </t>
    </r>
    <r>
      <rPr>
        <sz val="8"/>
        <rFont val="Arial"/>
        <family val="2"/>
      </rPr>
      <t>(bei mittlerem Niveau)</t>
    </r>
  </si>
  <si>
    <t>Strohverkauf ab Feld</t>
  </si>
  <si>
    <t>gilt auch bei Pauschalverkauf des Strohes ab Feld</t>
  </si>
  <si>
    <t>v. Hauptpr.</t>
  </si>
  <si>
    <t>Nebenprodukt Stroh</t>
  </si>
  <si>
    <t>Nährstoffabfuhr Stroh</t>
  </si>
  <si>
    <t>Stroh</t>
  </si>
  <si>
    <t>Summe alle Nebenprodukte ohne Prämien</t>
  </si>
  <si>
    <t>Preis ändern</t>
  </si>
  <si>
    <t xml:space="preserve"> Leistung; Ertrag [€/ha]</t>
  </si>
  <si>
    <t>ab Feld</t>
  </si>
  <si>
    <t>eigene Strohabfuhr</t>
  </si>
  <si>
    <t>eigene Strohabfuhr:</t>
  </si>
  <si>
    <t>Summe Nebenprodukte</t>
  </si>
  <si>
    <t>Hybridsorte</t>
  </si>
  <si>
    <t>Populationssorte</t>
  </si>
  <si>
    <t>Lohndrusch, 2 ha-Schlag</t>
  </si>
  <si>
    <t>Sortiergerste</t>
  </si>
  <si>
    <t xml:space="preserve"> </t>
  </si>
  <si>
    <r>
      <t xml:space="preserve">Körnerhirse </t>
    </r>
    <r>
      <rPr>
        <b/>
        <sz val="12"/>
        <rFont val="Arial"/>
        <family val="2"/>
      </rPr>
      <t>(Lebens-/Futtermittel)</t>
    </r>
  </si>
  <si>
    <t>Liniensorten, inkrustiert</t>
  </si>
  <si>
    <t>00-Sorten, inkrustiert</t>
  </si>
  <si>
    <t>Rhizobium-Impfung, Erstanbau</t>
  </si>
  <si>
    <t>Quelle: Dr. B. Loibl Südzucker (ca. 1€/t und 10km)</t>
  </si>
  <si>
    <t>Rüben Transport (25% der Frachtkosten)</t>
  </si>
  <si>
    <t>Überrüben</t>
  </si>
  <si>
    <t>inkl. Rübenmarkvergütung und Qualitätszuschlägen</t>
  </si>
  <si>
    <t>Quelle: LTZ Klausmann (Vorkeimen)</t>
  </si>
  <si>
    <t>/dt Kraut</t>
  </si>
  <si>
    <t>Stand Feb. 2018</t>
  </si>
  <si>
    <t>Zeilen ausgeblendet !!</t>
  </si>
  <si>
    <t>Mitschke, BD Kartoffelbau Heilbronn</t>
  </si>
  <si>
    <t>LTZ (F.Klausmann)</t>
  </si>
  <si>
    <t>Quelle:</t>
  </si>
  <si>
    <t>Frühkartoffeln, Verkauf ab Feld</t>
  </si>
  <si>
    <t>Quelle: Leistungs-Kostenrechnung Pflanzenbau KTBL (27.08.2018)</t>
  </si>
  <si>
    <t>Wasser ca. 200m³/ha; 0,23 €/m³</t>
  </si>
  <si>
    <t>Folie 0,03 €/m², 3 Jahre</t>
  </si>
  <si>
    <t>Quelle:LTZ Klausmann (Folie, vorkeimen)</t>
  </si>
  <si>
    <t>Frühkartoffeln ab Feld / Folie</t>
  </si>
  <si>
    <t>Quelle: LTZ F. Klausmann (27.02.2018)</t>
  </si>
  <si>
    <t>Speisekartoffeln ab Feld</t>
  </si>
  <si>
    <t>Wasser</t>
  </si>
  <si>
    <t>Stand 09.04.2010</t>
  </si>
  <si>
    <t>Himmelhan, LRA Heilbronn</t>
  </si>
  <si>
    <t>ja</t>
  </si>
  <si>
    <t xml:space="preserve">FAKT - Brachebegrünung mit Blühmischung </t>
  </si>
  <si>
    <t>öVF konforme Mischung</t>
  </si>
  <si>
    <t>Zwischenfrucht (bei ÖVF 2 Arten (ohne FAKT-Teilnahme))</t>
  </si>
  <si>
    <t>Deckungsbeiträge aller Leistungsniveaus</t>
  </si>
  <si>
    <t>FAKT / Begrünung</t>
  </si>
  <si>
    <t>Blühmischung</t>
  </si>
  <si>
    <t>FAKT / Blühmischungen</t>
  </si>
  <si>
    <t xml:space="preserve">     Begrünungen</t>
  </si>
  <si>
    <t>Linsen</t>
  </si>
  <si>
    <t>Sojabohne</t>
  </si>
  <si>
    <t>Roggen</t>
  </si>
  <si>
    <t>Dinkel-entspelzt</t>
  </si>
  <si>
    <t>Dinkel entspelzt</t>
  </si>
  <si>
    <t>Ww-Brot</t>
  </si>
  <si>
    <t>Winterweizen (Brot)</t>
  </si>
  <si>
    <t>Ww-Futter</t>
  </si>
  <si>
    <t>Winterweizen (Futter)</t>
  </si>
  <si>
    <t>Luzernegras2</t>
  </si>
  <si>
    <t>Luzernegras 2-jährig gemulcht</t>
  </si>
  <si>
    <t>Luzernegras1</t>
  </si>
  <si>
    <t>Luzernegras 1-jährig gemulcht</t>
  </si>
  <si>
    <t>Kleegras2</t>
  </si>
  <si>
    <t>Kleegras 2-jährig gemulcht</t>
  </si>
  <si>
    <t>Kleegras1</t>
  </si>
  <si>
    <t>Kleegras 1-jährig gemulcht</t>
  </si>
  <si>
    <t xml:space="preserve">     Gründüngung</t>
  </si>
  <si>
    <t xml:space="preserve">     Vorwort, Aufbau der Datei, Auswahl und Eingabe, allgemeine Informationen</t>
  </si>
  <si>
    <t>Tel. 07171 / 917-100  Fax 917-101  e-Mail: poststelle@lel.bwl.de   Vervielfältigung nur nach Rücksprache mit dem Herausgeber gestattet.</t>
  </si>
  <si>
    <t>© Landesanstalt für Entwicklung der Landwirtschaft und der ländlichen Räume (LEL),Oberbettringer Str. 162, 73525 Schwäbisch Gmünd</t>
  </si>
  <si>
    <t>Kalkulationsdaten</t>
  </si>
  <si>
    <t>Marktfrüchte Öko</t>
  </si>
  <si>
    <t xml:space="preserve">Ø Fruchtfolge  </t>
  </si>
  <si>
    <r>
      <rPr>
        <vertAlign val="superscript"/>
        <sz val="8"/>
        <rFont val="Arial"/>
        <family val="2"/>
      </rPr>
      <t xml:space="preserve">1) </t>
    </r>
    <r>
      <rPr>
        <sz val="8"/>
        <rFont val="Arial"/>
        <family val="2"/>
      </rPr>
      <t xml:space="preserve">Ein negativer Wert bedeutet hier: Wert der Nährstofflieferung (Stickstoff) ist höher als die Nährstoffabfuhr                                                                                                                                                                                                                 </t>
    </r>
    <r>
      <rPr>
        <vertAlign val="superscript"/>
        <sz val="8"/>
        <rFont val="Arial"/>
        <family val="2"/>
      </rPr>
      <t xml:space="preserve">    2)</t>
    </r>
    <r>
      <rPr>
        <sz val="8"/>
        <rFont val="Arial"/>
        <family val="2"/>
      </rPr>
      <t xml:space="preserve"> Trocknung, Hagelversicherung, var. Lohnkosten, Zinsansatz für Umlaufvermögen                                                                                                                                                                                                                                                                 </t>
    </r>
    <r>
      <rPr>
        <vertAlign val="superscript"/>
        <sz val="8"/>
        <rFont val="Arial"/>
        <family val="2"/>
      </rPr>
      <t xml:space="preserve"> 3)</t>
    </r>
    <r>
      <rPr>
        <sz val="8"/>
        <rFont val="Arial"/>
        <family val="2"/>
      </rPr>
      <t xml:space="preserve"> Ohne Zinsansatz</t>
    </r>
  </si>
  <si>
    <r>
      <t xml:space="preserve"> Deckungsbeitrag
 </t>
    </r>
    <r>
      <rPr>
        <sz val="8"/>
        <rFont val="Arial"/>
        <family val="2"/>
      </rPr>
      <t>(mit Prämien und Zinsansatz)</t>
    </r>
  </si>
  <si>
    <r>
      <t xml:space="preserve"> Deckungsbeitrag
 </t>
    </r>
    <r>
      <rPr>
        <sz val="8"/>
        <rFont val="Arial"/>
        <family val="2"/>
      </rPr>
      <t>(ohne Prämien und Zinsansatz)</t>
    </r>
  </si>
  <si>
    <r>
      <t xml:space="preserve"> Summe variable Kosten </t>
    </r>
    <r>
      <rPr>
        <b/>
        <vertAlign val="superscript"/>
        <sz val="9"/>
        <rFont val="Arial"/>
        <family val="2"/>
      </rPr>
      <t>3)</t>
    </r>
  </si>
  <si>
    <r>
      <t xml:space="preserve"> Sonstige variable Kosten </t>
    </r>
    <r>
      <rPr>
        <vertAlign val="superscript"/>
        <sz val="9"/>
        <rFont val="Arial"/>
        <family val="2"/>
      </rPr>
      <t>2)</t>
    </r>
  </si>
  <si>
    <r>
      <t xml:space="preserve"> Düngung </t>
    </r>
    <r>
      <rPr>
        <vertAlign val="superscript"/>
        <sz val="9"/>
        <rFont val="Arial"/>
        <family val="2"/>
      </rPr>
      <t>1)</t>
    </r>
  </si>
  <si>
    <t xml:space="preserve"> Ausgleichsleistungen</t>
  </si>
  <si>
    <t xml:space="preserve"> Nebenleistung</t>
  </si>
  <si>
    <t xml:space="preserve"> Hauptleistung</t>
  </si>
  <si>
    <t xml:space="preserve">2011 31,40 EUR/dt </t>
  </si>
  <si>
    <t xml:space="preserve">2010 26,50 EUR/dt </t>
  </si>
  <si>
    <t xml:space="preserve">2009 21,50 EUR/dt </t>
  </si>
  <si>
    <t xml:space="preserve">2008 28,90 EUR/dt </t>
  </si>
  <si>
    <t xml:space="preserve">2007 28,10 EUR/dt </t>
  </si>
  <si>
    <t xml:space="preserve">2011 36,75 EUR/dt </t>
  </si>
  <si>
    <t xml:space="preserve">2010 34,60 EUR/dt </t>
  </si>
  <si>
    <t xml:space="preserve">2009 23,90 EUR/dt </t>
  </si>
  <si>
    <t xml:space="preserve">2008 52,90 EUR/dt </t>
  </si>
  <si>
    <t xml:space="preserve">2007 48,60 EUR/dt </t>
  </si>
  <si>
    <t xml:space="preserve">2011 36,30 EUR/dt </t>
  </si>
  <si>
    <t xml:space="preserve">2010 31,30 EUR/dt </t>
  </si>
  <si>
    <t xml:space="preserve">2009 32,20 EUR/dt </t>
  </si>
  <si>
    <t xml:space="preserve">2008 42,20 EUR/dt </t>
  </si>
  <si>
    <t xml:space="preserve">2007 32,90 EUR/dt </t>
  </si>
  <si>
    <t xml:space="preserve">2011 36,55 EUR/dt </t>
  </si>
  <si>
    <t xml:space="preserve">2010 30,80 EUR/dt </t>
  </si>
  <si>
    <t xml:space="preserve">2011 32,50 EUR/dt </t>
  </si>
  <si>
    <t xml:space="preserve">2010 19,40 EUR/dt </t>
  </si>
  <si>
    <t xml:space="preserve">2009 20,90 EUR/dt </t>
  </si>
  <si>
    <t xml:space="preserve">2008 34,00 EUR/dt </t>
  </si>
  <si>
    <t xml:space="preserve">2007 33,20 EUR/dt </t>
  </si>
  <si>
    <t xml:space="preserve">2011 29,30 EUR/dt </t>
  </si>
  <si>
    <t xml:space="preserve">2010 18,50 EUR/dt </t>
  </si>
  <si>
    <t xml:space="preserve">2009 22,80 EUR/dt </t>
  </si>
  <si>
    <t xml:space="preserve">2008 43,40 EUR/dt </t>
  </si>
  <si>
    <t xml:space="preserve">2007 31,75 EUR/dt </t>
  </si>
  <si>
    <t xml:space="preserve">2011 36,05 EUR/dt </t>
  </si>
  <si>
    <t xml:space="preserve">2010 31,10 EUR/dt </t>
  </si>
  <si>
    <t xml:space="preserve">2009 37,85 EUR/dt </t>
  </si>
  <si>
    <t xml:space="preserve">2008 65,25 EUR/dt </t>
  </si>
  <si>
    <t xml:space="preserve">2007 51,15 EUR/dt </t>
  </si>
  <si>
    <t xml:space="preserve">2011 35,05 EUR/dt </t>
  </si>
  <si>
    <t xml:space="preserve">2010 27,00 EUR/dt </t>
  </si>
  <si>
    <t xml:space="preserve">2009 25,60 EUR/dt </t>
  </si>
  <si>
    <t xml:space="preserve">2008 39,60 EUR/dt </t>
  </si>
  <si>
    <t xml:space="preserve">2007 36,10 EUR/dt </t>
  </si>
  <si>
    <t xml:space="preserve">2010 21,40 EUR/dt </t>
  </si>
  <si>
    <t xml:space="preserve">2009 18,00 EUR/dt </t>
  </si>
  <si>
    <t xml:space="preserve">2008 28,40 EUR/dt </t>
  </si>
  <si>
    <t xml:space="preserve">2007 26,80 EUR/dt </t>
  </si>
  <si>
    <t>Excel-Trendfunktionen</t>
  </si>
  <si>
    <t>Quelle: Internet; Sächsische LA</t>
  </si>
  <si>
    <t>AMI Ökolandbau Marktdaten (Stand 10.11.2017)</t>
  </si>
  <si>
    <t>KTBL Öko (2017) S.261</t>
  </si>
  <si>
    <t>Futterkartoffeln</t>
  </si>
  <si>
    <t>AMI Ökolandbau Marktdaten (Stand 10.11.2017) nur wenige Daten vorhanden</t>
  </si>
  <si>
    <t>KTBL(2015): Faustzahlen für den ökologischen Landbau, S.342</t>
  </si>
  <si>
    <t xml:space="preserve">Ackerbohnen - lose - , je t - </t>
  </si>
  <si>
    <t>AMI 2016-2018</t>
  </si>
  <si>
    <t>MITTELWERT</t>
  </si>
  <si>
    <t>Linsen Speise</t>
  </si>
  <si>
    <t>Sojabohnen Speise</t>
  </si>
  <si>
    <t>Sojabohnen Futter</t>
  </si>
  <si>
    <t>Mittelwert aus 1. und 2. Schnitt, Umrechnung in Trockenmasse</t>
  </si>
  <si>
    <t>KTBL(2015): Faustzahlen für den ökologischen Landbau, S.411</t>
  </si>
  <si>
    <t>Kleegras dt/TM Silage ohne Pressen/Wickeln</t>
  </si>
  <si>
    <t>KTBL(2015): Faustzahlen für den ökologischen Landbau, S.409</t>
  </si>
  <si>
    <t>Kleegras dt/TM stehend</t>
  </si>
  <si>
    <t>Kartoffeln (ab Feld) kein Lager</t>
  </si>
  <si>
    <t>(Brot, B)</t>
  </si>
  <si>
    <t>(Futter)</t>
  </si>
  <si>
    <t>LEL, Rosa Blatt für die Betriebskalkulation 18/19</t>
  </si>
  <si>
    <t>Phosphat</t>
  </si>
  <si>
    <t>Bemerkung</t>
  </si>
  <si>
    <t>Quelle</t>
  </si>
  <si>
    <t>Nur Auswahl Ja oder Nein zulässig</t>
  </si>
  <si>
    <t>Warntext</t>
  </si>
  <si>
    <t>FAKT (D 2.2) Beibehaltung Öko Ackerbau/Grünland</t>
  </si>
  <si>
    <t>MEKA</t>
  </si>
  <si>
    <t>Tätigkeit</t>
  </si>
  <si>
    <t>Bunkerroder zusätzl. 2 Sortier AK</t>
  </si>
  <si>
    <t>Disteln etc. entfernen</t>
  </si>
  <si>
    <t>Hacken (extensiv) ein Durchgang</t>
  </si>
  <si>
    <t>Kartoffeln Vorkeimen je ha</t>
  </si>
  <si>
    <t>Kartof feln     Ag /ha</t>
  </si>
  <si>
    <t>Akh je Arbeits  gang (Ag)</t>
  </si>
  <si>
    <t>Anhaltswerte Handakh Feld</t>
  </si>
  <si>
    <t>Hanfstroh Transport/ein-/auslag.</t>
  </si>
  <si>
    <t>Hanfstroh Transport 15 km</t>
  </si>
  <si>
    <t>Hanfstroh laden</t>
  </si>
  <si>
    <t>Hanf wenden 5,5 m</t>
  </si>
  <si>
    <t>Beregnung Rohre 2x, 4-5x beregnen</t>
  </si>
  <si>
    <t>Kartoffelsammelroder, 1 r; 1 Sortierkraft, Fest-AK</t>
  </si>
  <si>
    <t>Kalkstreuer 6 m³,15 m, 2t/ha (ab Feld, mit Beladen)</t>
  </si>
  <si>
    <t>Schlepper 185-215 kW, Allrad CVT</t>
  </si>
  <si>
    <t>2) ab 2011 nur der Aufpreis auf den Nennwert. Kosten für den Nennwert werden durch die Dividende abgedeckt</t>
  </si>
  <si>
    <t>incl. PKW</t>
  </si>
  <si>
    <t xml:space="preserve">bei Leistungs-niveau </t>
  </si>
  <si>
    <t>Kostenansätze</t>
  </si>
  <si>
    <t xml:space="preserve">weitere </t>
  </si>
  <si>
    <r>
      <rPr>
        <vertAlign val="superscript"/>
        <sz val="10"/>
        <rFont val="Arial"/>
        <family val="2"/>
      </rPr>
      <t>1)</t>
    </r>
    <r>
      <rPr>
        <sz val="10"/>
        <rFont val="Arial"/>
        <family val="2"/>
      </rPr>
      <t xml:space="preserve"> Anschaffungswert abzüglich Anteil Lohnarbeiten (ca.10-20 %) und Anteil Restwert (ca.15 %)</t>
    </r>
  </si>
  <si>
    <t>Rüben Lager</t>
  </si>
  <si>
    <t>Sortier-und Aufbereitungseinrichtungen</t>
  </si>
  <si>
    <t>wird nicht übernommen!</t>
  </si>
  <si>
    <t>Feste zusätzliche Gebäudekosten Möhren Aufbereitung und Lagerung</t>
  </si>
  <si>
    <t>Feste zusätzliche Gebäudekosten Kartoffel Lagerung und Aufbereitung</t>
  </si>
  <si>
    <t>Maschinenhalle</t>
  </si>
  <si>
    <t>Feste Gebäudekosten allgemein</t>
  </si>
  <si>
    <t>Pflege/Düngung</t>
  </si>
  <si>
    <t>Bodenbearbeitung/Bestellung</t>
  </si>
  <si>
    <t>Versicher. Schlepper:</t>
  </si>
  <si>
    <r>
      <t xml:space="preserve">Feste Maschinenkosten  </t>
    </r>
    <r>
      <rPr>
        <b/>
        <vertAlign val="superscript"/>
        <sz val="12"/>
        <rFont val="Arial"/>
        <family val="2"/>
      </rPr>
      <t>2)</t>
    </r>
  </si>
  <si>
    <t>MwSt.Maschinen/Gebäude:</t>
  </si>
  <si>
    <t>Diese Preise können zum Teil stark von den tatsächlichen Marktpreisen abweichen.</t>
  </si>
  <si>
    <t xml:space="preserve">* berechnet auf Basis Nährstoffkosten und nutzbaren Nährstoffmengen. Siehe dazu Anwendung Nährstoffwert-Wirtschaftsdünger (LEL) </t>
  </si>
  <si>
    <t>Gülle Schwein (m³)*</t>
  </si>
  <si>
    <t>Gülle Rind (m³)*</t>
  </si>
  <si>
    <t>Festmist Schwein (t)*</t>
  </si>
  <si>
    <t>Festmist Rind (t)*</t>
  </si>
  <si>
    <t>Phosphatdünger 26 % (kg)</t>
  </si>
  <si>
    <t>Quelle: KTBL ÖKO (2017) S.266</t>
  </si>
  <si>
    <r>
      <t xml:space="preserve">Quelle: KTBL, Faustzahlen für den Ökolandbau S. 334 (0,6 </t>
    </r>
    <r>
      <rPr>
        <sz val="11"/>
        <rFont val="Arial"/>
        <family val="2"/>
      </rPr>
      <t xml:space="preserve">€ </t>
    </r>
    <r>
      <rPr>
        <sz val="10"/>
        <rFont val="Arial"/>
        <family val="2"/>
      </rPr>
      <t>je qm)</t>
    </r>
  </si>
  <si>
    <t>Quelle: KTBL, Faustzahlen für den Ökolandbau S. 310 (Gaskosten Abflammen)</t>
  </si>
  <si>
    <t>Quelle: KTBL, Faustzahlen für den Ökolandbau S. 72 ( Material und eigene Herstellung und Aufbereitung angesetzt, ohne Kosten der Ausbringung)</t>
  </si>
  <si>
    <t>Bio-dyn-Präparate (je Anw.)</t>
  </si>
  <si>
    <t>Bemerkungen zu den aufgeführten Mitteln</t>
  </si>
  <si>
    <t>Preis je Einheit o.MwSt.</t>
  </si>
  <si>
    <t>Semo-BIO Abfrage 11/2018</t>
  </si>
  <si>
    <t>Blühmischung FAKT</t>
  </si>
  <si>
    <t>Sommerwicke</t>
  </si>
  <si>
    <t>Senf</t>
  </si>
  <si>
    <t>Perserklee/Phacelia</t>
  </si>
  <si>
    <t>Analog Öko-Futterbau LEL 2017/18</t>
  </si>
  <si>
    <t>Grünroggen</t>
  </si>
  <si>
    <t>Luzernegras mehrjährig</t>
  </si>
  <si>
    <t>KTBL 2015: Faustzahlen für den Ökologischen Landbau S.668</t>
  </si>
  <si>
    <t>Kleegras mehrjährig &lt; 50 % Klee</t>
  </si>
  <si>
    <t>Kleegras einjährig &gt; 70 % Klee</t>
  </si>
  <si>
    <t>KTBL 2015: Faustzahlen für den Ökologischen Landbau S. 333</t>
  </si>
  <si>
    <t>KTBL 2017: Leistungs-Kostenrechnung Pflanzenbau</t>
  </si>
  <si>
    <t>KTBL 2017:  Ökologischen Landbau S. 391</t>
  </si>
  <si>
    <t>KTBL 2017:  Ökologischen Landbau S. 367</t>
  </si>
  <si>
    <t>Speisekartoffeln (Sackware)</t>
  </si>
  <si>
    <t>KTBL 2015: Faustzahlen für den Ökologischen Landbau S. 347</t>
  </si>
  <si>
    <t>Herr Mitschke 09/2017</t>
  </si>
  <si>
    <t>KTBL 2017:  Ökologischen Landbau S. 347</t>
  </si>
  <si>
    <t>KTBL Öko 2017 S.432</t>
  </si>
  <si>
    <t>KTBL 2017:  Ökologischen Landbau S. 361</t>
  </si>
  <si>
    <t>KTBL 2017:  Ökologischen Landbau S. 355</t>
  </si>
  <si>
    <t>KTBL 2017:  Ökologischen Landbau S. 341</t>
  </si>
  <si>
    <t>Sommerfuttergerste</t>
  </si>
  <si>
    <t>KTBL Gemüse (2017) S.371 (97500 Bund/ha = 246,75 h/ha; 97500 Bund/ha = 82,5 t; 1dt = 118 Bund; 118 Bund /ha = 0,3 Akh/ha)</t>
  </si>
  <si>
    <t>KTBL 2017:  Ökologischen Landbau S. 317</t>
  </si>
  <si>
    <t>Sommerbraugerste</t>
  </si>
  <si>
    <t>KTBL 2017:  Ökologischen Landbau S. 322</t>
  </si>
  <si>
    <t>KTBL 2017:  Ökologischen Landbau S. 311</t>
  </si>
  <si>
    <t>KTBL Öko 2017 S.267</t>
  </si>
  <si>
    <t>KTBL Öko 2017 S.358</t>
  </si>
  <si>
    <t>KTBL 2017:  Ökologischen Landbau S. 293</t>
  </si>
  <si>
    <t>Saatgutkatalog Bioland Markt 2015</t>
  </si>
  <si>
    <r>
      <t xml:space="preserve">kg/ha bzw.          </t>
    </r>
    <r>
      <rPr>
        <i/>
        <sz val="10"/>
        <rFont val="Arial"/>
        <family val="2"/>
      </rPr>
      <t>Einheit/ ha</t>
    </r>
  </si>
  <si>
    <t>Saatgutpreis ohne Mehrwertsteuer</t>
  </si>
  <si>
    <t>Saatstärke</t>
  </si>
  <si>
    <t>Saatgutpreis</t>
  </si>
  <si>
    <t>mit Prämien</t>
  </si>
  <si>
    <t>ohne Prämien</t>
  </si>
  <si>
    <t xml:space="preserve"> Festleg-ungsdauer:</t>
  </si>
  <si>
    <t xml:space="preserve"> Hagelversicherung</t>
  </si>
  <si>
    <t>Pauschal bei Biogas (0,5-1,5 €/dt)</t>
  </si>
  <si>
    <t xml:space="preserve"> Trocknung (alternativ mit Biogasabwärme)</t>
  </si>
  <si>
    <r>
      <t xml:space="preserve"> Arbeitszeitbedarf</t>
    </r>
    <r>
      <rPr>
        <sz val="12"/>
        <rFont val="Arial"/>
        <family val="2"/>
      </rPr>
      <t xml:space="preserve"> (ständige AK)</t>
    </r>
  </si>
  <si>
    <r>
      <t xml:space="preserve"> davon variable Lohnkosten</t>
    </r>
    <r>
      <rPr>
        <sz val="12"/>
        <rFont val="Arial"/>
        <family val="2"/>
      </rPr>
      <t xml:space="preserve"> (nichtständige AK)</t>
    </r>
  </si>
  <si>
    <t xml:space="preserve"> Arbeitszeitbedarf gesamt</t>
  </si>
  <si>
    <t>KW / Antr.</t>
  </si>
  <si>
    <r>
      <t>Akh +  Variable Maschinenkosten</t>
    </r>
    <r>
      <rPr>
        <sz val="12"/>
        <rFont val="Arial"/>
        <family val="2"/>
      </rPr>
      <t xml:space="preserve"> </t>
    </r>
    <r>
      <rPr>
        <sz val="8"/>
        <rFont val="Arial"/>
        <family val="2"/>
      </rPr>
      <t>(eigene Masch.)</t>
    </r>
  </si>
  <si>
    <t xml:space="preserve"> Pflanzenschutz und Düngemittel</t>
  </si>
  <si>
    <t>kg je ha</t>
  </si>
  <si>
    <t xml:space="preserve"> Prämien aus Zahlungsansprüchen</t>
  </si>
  <si>
    <t xml:space="preserve"> Verfahrensspezifische Ausgleichsleist.</t>
  </si>
  <si>
    <t>Nebenprodukt (incl. MwSt.)</t>
  </si>
  <si>
    <t>Hauptprodukt (incl. MwSt.)</t>
  </si>
  <si>
    <t xml:space="preserve"> Leistung; Ertrag</t>
  </si>
  <si>
    <r>
      <t>in dt FM</t>
    </r>
    <r>
      <rPr>
        <sz val="12"/>
        <rFont val="Arial"/>
        <family val="2"/>
      </rPr>
      <t xml:space="preserve"> (mit 20 % TM)</t>
    </r>
  </si>
  <si>
    <t>Gelbe Felder sind Eingabefelder!</t>
  </si>
  <si>
    <t xml:space="preserve"> Deckungsbeitrag</t>
  </si>
  <si>
    <t>Kleegras 2jährig, 2mal mulchen /Jahr</t>
  </si>
  <si>
    <t>kg/dt Ertrag</t>
  </si>
  <si>
    <t>Abfuhr</t>
  </si>
  <si>
    <t>ktbl</t>
  </si>
  <si>
    <t xml:space="preserve">in dt </t>
  </si>
  <si>
    <t>Hauptprodukt entspelzt=</t>
  </si>
  <si>
    <t>Lohndrusch, 2 ha, inkl Entspelzung</t>
  </si>
  <si>
    <t>Lohnsaat,Lohndrusch, 2 ha-Schlag</t>
  </si>
  <si>
    <t>Lohndrusch,  2 ha-Schlag</t>
  </si>
  <si>
    <t>Baden</t>
  </si>
  <si>
    <t xml:space="preserve">2 ha-Schlag, ohne Einlagerung </t>
  </si>
  <si>
    <t xml:space="preserve"> Leistungsniveau in dt/ha</t>
  </si>
  <si>
    <t>2 ha-Schlag, Lohnernte, ab Feld</t>
  </si>
  <si>
    <t>Feingrubber 4,5 m</t>
  </si>
  <si>
    <t>Futterware</t>
  </si>
  <si>
    <t>Saat: Bis 15. Mai (1jährig) bzw. 15. Sept. (überj.), Mulchen ab Sept. bei Anbau einer Winterkultur</t>
  </si>
  <si>
    <t xml:space="preserve">FAKT-Blühmischung </t>
  </si>
  <si>
    <t>Zwischenfrucht mit Leguminosen</t>
  </si>
  <si>
    <t>FAKT-Begrünung</t>
  </si>
  <si>
    <t>Verwiegung</t>
  </si>
  <si>
    <t>© Statistisches Landesamt Baden-Württemberg, 2017</t>
  </si>
  <si>
    <t>Datenquelle: Ehrenamtliche Ernte- und Betriebsberichterstattung sowie Besondere Ernte- und Qualitätsermittlung.</t>
  </si>
  <si>
    <t>2) Einschließlich Dinkel und Einkorn.</t>
  </si>
  <si>
    <t>1) Einschließlich Corn‑Cob‑Mix.</t>
  </si>
  <si>
    <t>…</t>
  </si>
  <si>
    <t>Silomais</t>
  </si>
  <si>
    <t>Kartoffeln insgesamt</t>
  </si>
  <si>
    <t>Gerste zusammen</t>
  </si>
  <si>
    <t>Roggen und Wintermenggetreide</t>
  </si>
  <si>
    <r>
      <t>Winterweizen</t>
    </r>
    <r>
      <rPr>
        <b/>
        <vertAlign val="superscript"/>
        <sz val="10"/>
        <rFont val="Arial"/>
        <family val="2"/>
      </rPr>
      <t>2)</t>
    </r>
  </si>
  <si>
    <t>Weizen zusammen</t>
  </si>
  <si>
    <t>Getreide zusammen (ohne Körnermais)</t>
  </si>
  <si>
    <r>
      <t>Körnermais</t>
    </r>
    <r>
      <rPr>
        <b/>
        <vertAlign val="superscript"/>
        <sz val="10"/>
        <rFont val="Arial"/>
        <family val="2"/>
      </rPr>
      <t>1)</t>
    </r>
  </si>
  <si>
    <t>Getreide insgesamt (mit Körnermais)</t>
  </si>
  <si>
    <t>Durchschnitt 2017 errechnet</t>
  </si>
  <si>
    <t>Nov</t>
  </si>
  <si>
    <t>Okt</t>
  </si>
  <si>
    <t>Aug</t>
  </si>
  <si>
    <t>Jul</t>
  </si>
  <si>
    <t>Jun</t>
  </si>
  <si>
    <t>Ernte- und Betriebsberichterstattung</t>
  </si>
  <si>
    <t>Fruchtart</t>
  </si>
  <si>
    <t>Erträge der Hauptfeldfrüchte in Baden‑Württemberg 2017</t>
  </si>
  <si>
    <r>
      <t>Weiden</t>
    </r>
    <r>
      <rPr>
        <b/>
        <vertAlign val="superscript"/>
        <sz val="10"/>
        <rFont val="Arial"/>
        <family val="2"/>
      </rPr>
      <t>1)</t>
    </r>
  </si>
  <si>
    <r>
      <t>Wiesen</t>
    </r>
    <r>
      <rPr>
        <b/>
        <vertAlign val="superscript"/>
        <sz val="10"/>
        <rFont val="Arial"/>
        <family val="2"/>
      </rPr>
      <t>1)</t>
    </r>
  </si>
  <si>
    <t>Feldfrüchte</t>
  </si>
  <si>
    <t>Land Baden-Württemberg</t>
  </si>
  <si>
    <t>Feldgras</t>
  </si>
  <si>
    <t>Wiesen</t>
  </si>
  <si>
    <t>Leguminosen, Klee, Luzerne</t>
  </si>
  <si>
    <t>Kleegras,Luzernegemisch</t>
  </si>
  <si>
    <t>Luzerne</t>
  </si>
  <si>
    <t>Spätkartoffeln</t>
  </si>
  <si>
    <t>Körnermais (einschl. CCM)</t>
  </si>
  <si>
    <t>Ø</t>
  </si>
  <si>
    <t>Quelle: Stat.Berichte BW</t>
  </si>
  <si>
    <t>Erträge</t>
  </si>
  <si>
    <r>
      <t xml:space="preserve">Hektarerträge der Feldfrüchte </t>
    </r>
    <r>
      <rPr>
        <b/>
        <sz val="8"/>
        <rFont val="Arial"/>
        <family val="2"/>
      </rPr>
      <t>(Quelle: Statistisches Landesamt Baden- Württemberg 28.11.2017)</t>
    </r>
  </si>
  <si>
    <t>Linsen zur Körnergewinnung</t>
  </si>
  <si>
    <t>Sudangras</t>
  </si>
  <si>
    <t>Sonstige Flächen</t>
  </si>
  <si>
    <t>Pflanzkartoffeln</t>
  </si>
  <si>
    <t>€/KStE</t>
  </si>
  <si>
    <t>Futterrüben</t>
  </si>
  <si>
    <t>KSTE</t>
  </si>
  <si>
    <t>Sommerraps (00) und Rübsen</t>
  </si>
  <si>
    <t>Winterraps (00)</t>
  </si>
  <si>
    <t>Mais zur Saatgutvermehrung</t>
  </si>
  <si>
    <t>€/MJ NEL</t>
  </si>
  <si>
    <t>MJNEL</t>
  </si>
  <si>
    <t>Hirse</t>
  </si>
  <si>
    <t>Körnerleguminosen-Getreidegemenge</t>
  </si>
  <si>
    <t>CCM</t>
  </si>
  <si>
    <t>Saatgetreide (Sommer-)</t>
  </si>
  <si>
    <t>Saatgetreide (Winter-)</t>
  </si>
  <si>
    <t>Sommertriticale</t>
  </si>
  <si>
    <t>Wintertriticale</t>
  </si>
  <si>
    <t>Sommermenggetreide ohne Weizen</t>
  </si>
  <si>
    <t>Sommermenggetreide mit Weizen</t>
  </si>
  <si>
    <t>Sommerhafer</t>
  </si>
  <si>
    <t>Winterhafer</t>
  </si>
  <si>
    <t>Wintermenggetreide ohne Weizen</t>
  </si>
  <si>
    <t>Wintermenggetreide mit Weizen</t>
  </si>
  <si>
    <t>Sommerroggen</t>
  </si>
  <si>
    <t>Hartweizen (Durum)</t>
  </si>
  <si>
    <t>Quelle: Stat. Landesamt</t>
  </si>
  <si>
    <t>Erträge der letzten 3 Jahre</t>
  </si>
  <si>
    <t>Preise der letzten 3 Jahre</t>
  </si>
  <si>
    <t>Quelle: Marktstelle LEL</t>
  </si>
  <si>
    <t>Preise und Erträge wichtiger Ackerkulturen</t>
  </si>
  <si>
    <t>Erträge der letzten 4 Jahre</t>
  </si>
  <si>
    <t>Preise der letzten 4 Jahre</t>
  </si>
  <si>
    <t>Berechnungen der Erträge für die Kalkulation</t>
  </si>
  <si>
    <t>Erträge der letzten 5 Jahre</t>
  </si>
  <si>
    <t>Preise der letzten 5 Jahre</t>
  </si>
  <si>
    <t>=</t>
  </si>
  <si>
    <t>Summe: Dungwert der Gülle:</t>
  </si>
  <si>
    <t>kg MgO/ha</t>
  </si>
  <si>
    <t>MgO:</t>
  </si>
  <si>
    <t>kg K2O/ha</t>
  </si>
  <si>
    <t>K20:</t>
  </si>
  <si>
    <t>kg P2O5/ha</t>
  </si>
  <si>
    <t>P2O5:</t>
  </si>
  <si>
    <t>kg N/ha</t>
  </si>
  <si>
    <t>N:</t>
  </si>
  <si>
    <t>je ha</t>
  </si>
  <si>
    <t>der Gülle</t>
  </si>
  <si>
    <t>Nährstoffbedarf:</t>
  </si>
  <si>
    <t>Lager- und Ausbringverluste</t>
  </si>
  <si>
    <t>K2O:</t>
  </si>
  <si>
    <t>FM :</t>
  </si>
  <si>
    <t>Nährstoffkosten in €/kg (brutto):</t>
  </si>
  <si>
    <t>TM :</t>
  </si>
  <si>
    <t xml:space="preserve">Kalkulation auf Basis </t>
  </si>
  <si>
    <t>Ertrag:</t>
  </si>
  <si>
    <t>Substrat:</t>
  </si>
  <si>
    <t>Bewertung der Nährstoffe in der Biogasgülle:</t>
  </si>
  <si>
    <t>langfristige Preisuntergrenze (frei Fermenter)</t>
  </si>
  <si>
    <t>Vollkosten  (frei Biogas-Fermenter)</t>
  </si>
  <si>
    <t>Lohnansatz Entnahme + Transport</t>
  </si>
  <si>
    <t xml:space="preserve">   Silage Transp. Silo - Fermenter</t>
  </si>
  <si>
    <t xml:space="preserve">   Silage Entnahme</t>
  </si>
  <si>
    <t>(brutto)</t>
  </si>
  <si>
    <t>gang (brutto)</t>
  </si>
  <si>
    <t>(Siloentnahme+Transp.z.Fermenter)</t>
  </si>
  <si>
    <t>je Arbeits-</t>
  </si>
  <si>
    <r>
      <t xml:space="preserve">var. Maschinenkosten </t>
    </r>
    <r>
      <rPr>
        <sz val="12"/>
        <rFont val="Arial"/>
        <family val="2"/>
      </rPr>
      <t>(eigene Masch.)</t>
    </r>
  </si>
  <si>
    <t>langfr. Preisuntergrenze (incl. Einsilieren+ Festkosten Silo)</t>
  </si>
  <si>
    <t>Vollkosten (incl. Festkosten Silo)</t>
  </si>
  <si>
    <t xml:space="preserve"> jährlich</t>
  </si>
  <si>
    <t>Festkosten Silo (Afa, Unterhaltung)</t>
  </si>
  <si>
    <t>langfristige Preisuntergrenze (incl. Einlagern)</t>
  </si>
  <si>
    <t>Vollkosten (incl. Einlagern)</t>
  </si>
  <si>
    <t>Lohnansatz Ernte + Einlagerung</t>
  </si>
  <si>
    <t>gang</t>
  </si>
  <si>
    <t>(Ernte und Einlagerung)</t>
  </si>
  <si>
    <r>
      <t>var. Maschinenkosten</t>
    </r>
    <r>
      <rPr>
        <sz val="12"/>
        <rFont val="Arial"/>
        <family val="2"/>
      </rPr>
      <t xml:space="preserve"> (eigene Masch.)</t>
    </r>
  </si>
  <si>
    <t>Vollkosten  (ab Feld)</t>
  </si>
  <si>
    <t>langfristige Preisuntergrenze (ab Feld)</t>
  </si>
  <si>
    <t>Vollkosten (ab Feld)</t>
  </si>
  <si>
    <t>Summe PRÄMIEN</t>
  </si>
  <si>
    <t>Summe</t>
  </si>
  <si>
    <t>sonstige Festkosten</t>
  </si>
  <si>
    <t>Kosten für Fläche und Zahlungsanspruch (Pachtansatz)</t>
  </si>
  <si>
    <t>Feste Kosten sonst. Gebäude</t>
  </si>
  <si>
    <t>Feste Maschinenkosten (AfA,Versicherung)</t>
  </si>
  <si>
    <t>Produktionsschwelle (ab Feld)</t>
  </si>
  <si>
    <t>(Einzelkosten)</t>
  </si>
  <si>
    <t>variable Kosten incl. Lohnansatz, zurechenb. Feste Masch.k.</t>
  </si>
  <si>
    <t>zurechenbare feste Maschinenkosten</t>
  </si>
  <si>
    <t>zurechenbare feste Lohnkosten (anteiliger Lohnansatz)</t>
  </si>
  <si>
    <t>variable Lohnkosten (Saisonlöhne)</t>
  </si>
  <si>
    <t>Gülleausbringung (im Lohn)</t>
  </si>
  <si>
    <t>(Erzeugung auf dem Feld)</t>
  </si>
  <si>
    <t>sonstige variable Kosten</t>
  </si>
  <si>
    <t>Nährstoffverlust N</t>
  </si>
  <si>
    <t>Pflanzenschutz</t>
  </si>
  <si>
    <t>Zellverknüpfung Nährstoffrücklieferung Ja=1;Nein=2</t>
  </si>
  <si>
    <t>Nein</t>
  </si>
  <si>
    <t>Ja</t>
  </si>
  <si>
    <t xml:space="preserve"> - Nährstoffrücklieferung</t>
  </si>
  <si>
    <t>Saatgut (ggf. incl. Begrünung)</t>
  </si>
  <si>
    <t>je 
Arbeits-
gang</t>
  </si>
  <si>
    <t>(incl. Zuschlag für Rüstzeiten und Bestands- managem.</t>
  </si>
  <si>
    <t>je ha / je t FM</t>
  </si>
  <si>
    <t>ohne Mwst.</t>
  </si>
  <si>
    <t>incl. Mwst.</t>
  </si>
  <si>
    <t xml:space="preserve">gesamt
</t>
  </si>
  <si>
    <t>Kosten /</t>
  </si>
  <si>
    <t>Kosten / Preis</t>
  </si>
  <si>
    <t>Akh/ha</t>
  </si>
  <si>
    <t>Arbeitszeitbedarf</t>
  </si>
  <si>
    <t>Faktor: m³ Biogasgülle/ m³ Substrat</t>
  </si>
  <si>
    <t>Lohnansatz:</t>
  </si>
  <si>
    <t>Wagniszuschlag:</t>
  </si>
  <si>
    <t>Unternehmer-</t>
  </si>
  <si>
    <r>
      <t>K</t>
    </r>
    <r>
      <rPr>
        <b/>
        <vertAlign val="subscript"/>
        <sz val="11"/>
        <rFont val="Arial"/>
        <family val="2"/>
      </rPr>
      <t>2</t>
    </r>
    <r>
      <rPr>
        <b/>
        <sz val="11"/>
        <rFont val="Arial"/>
        <family val="2"/>
      </rPr>
      <t>O:</t>
    </r>
  </si>
  <si>
    <t>Lager-Dichte:</t>
  </si>
  <si>
    <r>
      <t>P</t>
    </r>
    <r>
      <rPr>
        <b/>
        <vertAlign val="subscript"/>
        <sz val="11"/>
        <rFont val="Arial"/>
        <family val="2"/>
      </rPr>
      <t>2</t>
    </r>
    <r>
      <rPr>
        <b/>
        <sz val="11"/>
        <rFont val="Arial"/>
        <family val="2"/>
      </rPr>
      <t>O</t>
    </r>
    <r>
      <rPr>
        <b/>
        <vertAlign val="subscript"/>
        <sz val="11"/>
        <rFont val="Arial"/>
        <family val="2"/>
      </rPr>
      <t>5</t>
    </r>
    <r>
      <rPr>
        <b/>
        <sz val="11"/>
        <rFont val="Arial"/>
        <family val="2"/>
      </rPr>
      <t>:</t>
    </r>
  </si>
  <si>
    <t>Lagerraum:</t>
  </si>
  <si>
    <t>Summe PRÄMIEN:</t>
  </si>
  <si>
    <t>TS-Gehalt:</t>
  </si>
  <si>
    <t>Prämie Energiepflanzen</t>
  </si>
  <si>
    <t>Nährstoffkosten:</t>
  </si>
  <si>
    <t>FM:</t>
  </si>
  <si>
    <t>Nährstoffentzug MgO:</t>
  </si>
  <si>
    <t>TM:</t>
  </si>
  <si>
    <t>AZL</t>
  </si>
  <si>
    <r>
      <t>Nährstoffentzug K</t>
    </r>
    <r>
      <rPr>
        <vertAlign val="subscript"/>
        <sz val="11"/>
        <rFont val="Arial"/>
        <family val="2"/>
      </rPr>
      <t>2</t>
    </r>
    <r>
      <rPr>
        <sz val="11"/>
        <rFont val="Arial"/>
        <family val="2"/>
      </rPr>
      <t>O:</t>
    </r>
  </si>
  <si>
    <t xml:space="preserve">Ertrag: </t>
  </si>
  <si>
    <r>
      <t>Nährstoffentzug P</t>
    </r>
    <r>
      <rPr>
        <vertAlign val="subscript"/>
        <sz val="11"/>
        <rFont val="Arial"/>
        <family val="2"/>
      </rPr>
      <t>2</t>
    </r>
    <r>
      <rPr>
        <sz val="11"/>
        <rFont val="Arial"/>
        <family val="2"/>
      </rPr>
      <t>O</t>
    </r>
    <r>
      <rPr>
        <vertAlign val="subscript"/>
        <sz val="11"/>
        <rFont val="Arial"/>
        <family val="2"/>
      </rPr>
      <t>5</t>
    </r>
    <r>
      <rPr>
        <sz val="11"/>
        <rFont val="Arial"/>
        <family val="2"/>
      </rPr>
      <t>:</t>
    </r>
  </si>
  <si>
    <t xml:space="preserve"> -   abzgl. N-Fixierung:</t>
  </si>
  <si>
    <t>GAP-Prämie</t>
  </si>
  <si>
    <t>Nährstoffentzug N:</t>
  </si>
  <si>
    <t>ohne Güllerücklieferung</t>
  </si>
  <si>
    <t>Zellverknüpfung Nährstoffentzug TM=1; FM = 2</t>
  </si>
  <si>
    <t>Prämienansprüche:</t>
  </si>
  <si>
    <t>Nährstoffentzug:</t>
  </si>
  <si>
    <t>Silomais 170 dt TM</t>
  </si>
  <si>
    <t xml:space="preserve"> - ab Feld,  - ab Silo,  - frei Biogasanlage</t>
  </si>
  <si>
    <t>Preiskalkulation der Biomasseproduktion (Preisuntergrenzen)</t>
  </si>
  <si>
    <t>Maschine</t>
  </si>
  <si>
    <t>Blatt</t>
  </si>
  <si>
    <t>Zeile</t>
  </si>
  <si>
    <t>Zusammenstelllung Maschineneinsatz</t>
  </si>
  <si>
    <t>Sonstige Maschinen</t>
  </si>
  <si>
    <t>Grünland</t>
  </si>
  <si>
    <t>Ernte</t>
  </si>
  <si>
    <t>Pflege</t>
  </si>
  <si>
    <t>Bestellung</t>
  </si>
  <si>
    <t xml:space="preserve">Bodenbearbeitung
</t>
  </si>
  <si>
    <t>Ackerfläche gesamt</t>
  </si>
  <si>
    <t>Festkosten je ha</t>
  </si>
  <si>
    <t>Einsatz ha/Jahr</t>
  </si>
  <si>
    <t>Festkosten/Jahr</t>
  </si>
  <si>
    <t>Restwert</t>
  </si>
  <si>
    <t>Anschaffungs-
kosten</t>
  </si>
  <si>
    <t>Maschinen</t>
  </si>
  <si>
    <t>Zinssatz</t>
  </si>
  <si>
    <t>Bitte hier den Flächenumfang der einzelnen Kulturen eingeben und die im Betrieb vorhanden Maschinen auswählen.</t>
  </si>
  <si>
    <t>Betriebsübersicht</t>
  </si>
  <si>
    <t>Reinigung</t>
  </si>
  <si>
    <t>Transp. u. Abkip. Getr. 4 t/ha (5,7 t Kipper)</t>
  </si>
  <si>
    <t>Striegel 9 m</t>
  </si>
  <si>
    <t>Kreiselegge-Säkomb. 3 m, mechanisch</t>
  </si>
  <si>
    <t>Gerste</t>
  </si>
  <si>
    <t>Linse</t>
  </si>
  <si>
    <t>Stützfrucht Gerste</t>
  </si>
  <si>
    <t>Linsen/Gerste</t>
  </si>
  <si>
    <t>Netzt: 20 % AFA; bis zu 600 AKh, für Pflegearbeiten von Hand (Unkrautbekämpfung); "Datenmaterial für die Betriebsplanung - ökol. Landbau-, Hessisches LA, 1990, S.67</t>
  </si>
  <si>
    <t>6 kg/ha: "Datenmaterial für die Betriebsplanung - ökol. Landbau-, Hessisches LA, 1990, S.67</t>
  </si>
  <si>
    <t>Quelle: KTBL-Datensammlung ököl. Landbau, 2010, S.220</t>
  </si>
  <si>
    <t>SA</t>
  </si>
  <si>
    <t>TE5</t>
  </si>
  <si>
    <r>
      <t>Berechnungsgrundlagen</t>
    </r>
    <r>
      <rPr>
        <sz val="18"/>
        <rFont val="Arial"/>
        <family val="2"/>
      </rPr>
      <t xml:space="preserve"> (Deckungsbeitrag)</t>
    </r>
  </si>
  <si>
    <t>oder grubber ?</t>
  </si>
  <si>
    <t>lfl</t>
  </si>
  <si>
    <t>TE6</t>
  </si>
  <si>
    <t>in Anl. an KTBL. S. 198</t>
  </si>
  <si>
    <t>TE7</t>
  </si>
  <si>
    <t>Quelle: KTBL-Datensammlung ököl. Landbau, 2010, S.165+S.220</t>
  </si>
  <si>
    <t>TE8</t>
  </si>
  <si>
    <t>KTBL. S. 341</t>
  </si>
  <si>
    <t>TE9</t>
  </si>
  <si>
    <t>D2.1 Einführung Ökolandbau - Gartenbau (2 Jahre)</t>
  </si>
  <si>
    <t>D2.1 Einführung Ökolandbau - Dauerkulturen (2 Jahre)</t>
  </si>
  <si>
    <t>D2.2 Beibehaltung Ökolandbau - Gartenbau</t>
  </si>
  <si>
    <t>D2.2 Beibehaltung Ökolandbau - Dauerkulturen</t>
  </si>
  <si>
    <t>A1.2 Fruchtartendiversifizierung (mind. 5-gl.FF) (Ökokombi)</t>
  </si>
  <si>
    <t>Öko-Winterweizen (Futter)</t>
  </si>
  <si>
    <t>Öko-Winterweizen (Brot)</t>
  </si>
  <si>
    <t>Öko-Dinkel</t>
  </si>
  <si>
    <t>Öko-Dinkel, entspelzt</t>
  </si>
  <si>
    <t>Öko-Winterroggen (Brot)</t>
  </si>
  <si>
    <t>Öko-Hafer</t>
  </si>
  <si>
    <t>Öko-Braugerste</t>
  </si>
  <si>
    <t xml:space="preserve">Öko-Körnermais </t>
  </si>
  <si>
    <t xml:space="preserve">Öko-Ackerbohnen </t>
  </si>
  <si>
    <t>Öko-Futtererbsen</t>
  </si>
  <si>
    <t>Öko-Sojabohnen</t>
  </si>
  <si>
    <t>Öko-Winterraps (Ölproduktion)</t>
  </si>
  <si>
    <t>Öko-Sonnenblumen</t>
  </si>
  <si>
    <t>Öko-Speisekartoffeln spät</t>
  </si>
  <si>
    <t>∑</t>
  </si>
  <si>
    <t>mit Mehrwertsteuer</t>
  </si>
  <si>
    <t>Konventioneller und Ökologischer Landbau</t>
  </si>
  <si>
    <t>Absolute M</t>
  </si>
  <si>
    <t>Arelon flüssig</t>
  </si>
  <si>
    <t>Bravo 500</t>
  </si>
  <si>
    <t>Capalo</t>
  </si>
  <si>
    <t>Champion + Diamant Pack, Diamant</t>
  </si>
  <si>
    <t>Credo</t>
  </si>
  <si>
    <t xml:space="preserve">Dual Gold </t>
  </si>
  <si>
    <t>Elumis P Dual Pack, Dual Gold</t>
  </si>
  <si>
    <t>Elumis P Dual Pack, Elumis</t>
  </si>
  <si>
    <t>Elumis P Dual Pack, Peak</t>
  </si>
  <si>
    <t>Gladio</t>
  </si>
  <si>
    <t>Juwel Top</t>
  </si>
  <si>
    <t>Lexus</t>
  </si>
  <si>
    <t>Plenum 50 WG</t>
  </si>
  <si>
    <t>Powertwin Plus</t>
  </si>
  <si>
    <t>Reglone</t>
  </si>
  <si>
    <t>Spectrum</t>
  </si>
  <si>
    <t>Spyrale</t>
  </si>
  <si>
    <t xml:space="preserve">   Kosten für (Aufbereitungseinrichtungen und) Lagerung  </t>
  </si>
  <si>
    <t>Berechnungsgrundlagen (Deckungsbeitrag ohne MwSt.)</t>
  </si>
  <si>
    <t>Hauptprodukt (ohne MwSt)</t>
  </si>
  <si>
    <t>Nebenprodukt (ohne MwSt)</t>
  </si>
  <si>
    <t xml:space="preserve">AMI Ökoprodukte Einkaufspreise des Großhandels und Naturkost-Einzelhandels für Bio-Produkte (Mittelwerte Quartal 1-3, 2019) </t>
  </si>
  <si>
    <t>Prognose 2020</t>
  </si>
  <si>
    <t xml:space="preserve">1) Ein negativer Wert bedeutet hier: Wert der Nährstofflieferung (Stickstoff) ist höher als die Nährstoffabfuhr </t>
  </si>
  <si>
    <t>ha oder %</t>
  </si>
  <si>
    <t>AMI Ökoprodukte Einkaufspreise des Großhandels und Naturkost-Einzelhandels für Bio-Produkte; 2019 Mittelwert 2014 - 2018</t>
  </si>
  <si>
    <t>AMI Markt-Bilanz (2017): Öko-Landbau, S.148; 2019 Mittelwert 2014 - 2018</t>
  </si>
  <si>
    <t>SDÖ1</t>
  </si>
  <si>
    <t>SDÖ4</t>
  </si>
  <si>
    <t>SDÖ5</t>
  </si>
  <si>
    <t xml:space="preserve">     Erzeugerpreise / Nährstoffpreise / Zinsansatz (konventionell)</t>
  </si>
  <si>
    <t xml:space="preserve">     Erzeugerpreise / Nährstoffpreise / Zinsansatz (ökologisch)</t>
  </si>
  <si>
    <t xml:space="preserve">     Festkosten (konventionell)</t>
  </si>
  <si>
    <t xml:space="preserve">     Festkosten (ökologisch)</t>
  </si>
  <si>
    <t xml:space="preserve">     Pflanzenschutzmittel (konventionell)</t>
  </si>
  <si>
    <t xml:space="preserve">     Sonstige Kosten (konventionell)</t>
  </si>
  <si>
    <t xml:space="preserve">     Sonstige Kosten (ökologisch)</t>
  </si>
  <si>
    <t>SDÖ7</t>
  </si>
  <si>
    <t>D.1 Berechnungsgrundlagen (konventionell)</t>
  </si>
  <si>
    <t>D.2 Berechnungsgrundlagen (ökologisch)</t>
  </si>
  <si>
    <t>Übersicht wichtiger Verfahren (konventionell und ökologisch)</t>
  </si>
  <si>
    <t>EK1</t>
  </si>
  <si>
    <t>EÖ1</t>
  </si>
  <si>
    <t xml:space="preserve">(SDK1, </t>
  </si>
  <si>
    <t>SDÖ1)</t>
  </si>
  <si>
    <t>(SD2)</t>
  </si>
  <si>
    <t>Fest-,</t>
  </si>
  <si>
    <t>(SDK4, SDÖ4)</t>
  </si>
  <si>
    <t>(SDK5, SDÖ5)</t>
  </si>
  <si>
    <t>(SD6)</t>
  </si>
  <si>
    <t>(SDK7,</t>
  </si>
  <si>
    <t>Öko-</t>
  </si>
  <si>
    <t>winter-</t>
  </si>
  <si>
    <t>(E1)</t>
  </si>
  <si>
    <t>Ergebnisse / Grafiken</t>
  </si>
  <si>
    <t>Robert Schätzl LfL Bayern (06.11.2019)</t>
  </si>
  <si>
    <t>Marktfrüchte Konventionell</t>
  </si>
  <si>
    <t>SDK1</t>
  </si>
  <si>
    <t>SDK4</t>
  </si>
  <si>
    <t>SDK5</t>
  </si>
  <si>
    <t>SDK7</t>
  </si>
  <si>
    <t>Öko-Wintergerste</t>
  </si>
  <si>
    <t>Kleegras 1jährig, 2mal mulchen</t>
  </si>
  <si>
    <t>Luzernegras 1jährig, 2mal mulchen</t>
  </si>
  <si>
    <t>Luzernegras 2jährig, 2mal mulchen/Jahr</t>
  </si>
  <si>
    <t>Entzug/Nebenprodukt (z. B. Stroh)</t>
  </si>
  <si>
    <t>Martin Schägger LfL Bayern (AMI/ZMP; Preise "frei Rampe") (02.12.2019)</t>
  </si>
  <si>
    <t xml:space="preserve">Fruchtfolge ø </t>
  </si>
  <si>
    <t>Blühm.</t>
  </si>
  <si>
    <t>Entspelzen je dt</t>
  </si>
  <si>
    <t>Atlantis Flex + Biopower</t>
  </si>
  <si>
    <t>Aviator Xpro</t>
  </si>
  <si>
    <t>Fandango</t>
  </si>
  <si>
    <t>Cerone 660</t>
  </si>
  <si>
    <t>Focus Aktiv Pack, Focus Ultra</t>
  </si>
  <si>
    <t>M</t>
  </si>
  <si>
    <t>Molluskizid</t>
  </si>
  <si>
    <t>Spectrum Plus</t>
  </si>
  <si>
    <t>Ascra Xpro</t>
  </si>
  <si>
    <t>Elatus Era</t>
  </si>
  <si>
    <t>Zypar</t>
  </si>
  <si>
    <t>Goltix Titan</t>
  </si>
  <si>
    <t>Kommentar</t>
  </si>
  <si>
    <t>ws</t>
  </si>
  <si>
    <t>KW 33: Prämie - 0,50 €/dt</t>
  </si>
  <si>
    <t>SchAlVO</t>
  </si>
  <si>
    <t>KW 33: Prämie 0,50 €/dt</t>
  </si>
  <si>
    <t>KW 33: Prämie 2,00 €/dt</t>
  </si>
  <si>
    <t>Wirtschaftlichkeit des Ackerbaus</t>
  </si>
  <si>
    <t>AMI; Wert D</t>
  </si>
  <si>
    <t>vbwz</t>
  </si>
  <si>
    <t>Durchschnitt 2018-2020</t>
  </si>
  <si>
    <t>Betanal Tandem + Mero</t>
  </si>
  <si>
    <t>Revytrex</t>
  </si>
  <si>
    <t>Comet</t>
  </si>
  <si>
    <t>Mospilan SG</t>
  </si>
  <si>
    <t>Metafol SC</t>
  </si>
  <si>
    <t>Amistar Gold</t>
  </si>
  <si>
    <t>Wildpflanzenmischung</t>
  </si>
  <si>
    <t>Univoq</t>
  </si>
  <si>
    <t>Quelle 2022</t>
  </si>
  <si>
    <t>Quelle 2016-2021</t>
  </si>
  <si>
    <t>Kommentar (zu 21?)</t>
  </si>
  <si>
    <t>A2 Silageverzicht im gesamten Betrieb (Heumilch)</t>
  </si>
  <si>
    <t>D2 Ökolandbau - Einführung - Acker und Grünland</t>
  </si>
  <si>
    <t>D2 Ökolandbau - Einführung - Gartenbau</t>
  </si>
  <si>
    <t>D2 Ökolandbau - Einführung - Dauerkulturen</t>
  </si>
  <si>
    <t>D2 Ökolandbau - Beibehaltung - Acker und Grünland</t>
  </si>
  <si>
    <t>D2 Ökolandbau - Beibehaltung - Gartenbau</t>
  </si>
  <si>
    <t>D2 Ökolandbau - Beibehaltung - Dauerkulturen</t>
  </si>
  <si>
    <t>E1.2 Begrünungsmischungen im Acker-/Gartenbau</t>
  </si>
  <si>
    <t>E3 Herbizidverzicht im Ackerbau</t>
  </si>
  <si>
    <t>E4 Ausbringung von Trichogramma bei Mais</t>
  </si>
  <si>
    <t>E7 Anlage von Blüh-, Brut- und Rückzugsflächen</t>
  </si>
  <si>
    <t>E8 Brachebegrünung mit mehrjährigen Blühmischungen</t>
  </si>
  <si>
    <t>E9 Anbau von Mais mit Gemengepartnern (Stangenbohnen)</t>
  </si>
  <si>
    <t>E10 Mehrjähriger leguminosenbetonter Ackerfutterbau</t>
  </si>
  <si>
    <t>E12 Fungizidverzicht im Winterweizen-, - dinkel, - triticaleanbau bis zum Ährenschieben (EC 49)</t>
  </si>
  <si>
    <t>E13.1 Erweiterter Drillreihenabstand in Getreide (Lichtäcker)</t>
  </si>
  <si>
    <t>E13.2 Erweiterter Drillreihenabstand mit blühender Untersaat in Getreide</t>
  </si>
  <si>
    <t>E14 Extensive Biomassepflanzen: Mehrjährige artenreiche Wildpflanzenmischungen</t>
  </si>
  <si>
    <t>E15 Extensive Biomassepflanzen: Streifenanbau aus mehrjährigen Biomassepflanzen und Wildpflanzenmischungen</t>
  </si>
  <si>
    <t>F3 Precision Farming (teilflächenspezifische N-Düngung)</t>
  </si>
  <si>
    <t>F4 Reduzierte Bodenbearbeitung mit Strip Till-Verfahren</t>
  </si>
  <si>
    <t>ÖR1 - 1a) zusätzliche Stilllegung AL +1%</t>
  </si>
  <si>
    <t>ÖR1 - 1a) zusätzliche Stilllegung AL +2%</t>
  </si>
  <si>
    <t>ÖR1 - 1a) zusätzliche Stilllegung AL +3%</t>
  </si>
  <si>
    <t>ÖR1 - 1b) Blühstreifen/-flächen AL</t>
  </si>
  <si>
    <t>ÖR1 - 1c) Blühstreifen/-flächen in DK</t>
  </si>
  <si>
    <t>ÖR1 - 1d) Altgrasstreifen 1%</t>
  </si>
  <si>
    <t>ÖR1 - 1d) Altgrasstreifen 2%</t>
  </si>
  <si>
    <t>ÖR1 - 1d) Altgrasstreifen 3-6%</t>
  </si>
  <si>
    <t>ÖR2 - Vielfältige FF</t>
  </si>
  <si>
    <t>ÖR4 - Extensives Grünland</t>
  </si>
  <si>
    <t>ÖR3 - Agroforst</t>
  </si>
  <si>
    <t>ÖR6 - Verzicht auf chem.-synth. Pflanzenschutz</t>
  </si>
  <si>
    <t>ÖR7 - Natura 2000</t>
  </si>
  <si>
    <t>ÖR5 - DGL 4 Kennarten</t>
  </si>
  <si>
    <t>Quelle 2021-2022</t>
  </si>
  <si>
    <t>AMI</t>
  </si>
  <si>
    <t>Kommentar (zu 22)</t>
  </si>
  <si>
    <t xml:space="preserve"> Nicht-verfahrensabhängige Prämien in €/ha</t>
  </si>
  <si>
    <t>AZL Berggebiet - EMZ 20,0 bis 24,9</t>
  </si>
  <si>
    <t>AZL Berggebiet - EMZ 25,0 bis 29,9</t>
  </si>
  <si>
    <t>AZL Berggebiet - EMZ 30,0 bis 34,9</t>
  </si>
  <si>
    <t>AZL Berggebiet - EMZ ab 35,0</t>
  </si>
  <si>
    <t>AZL andere Gebiete - EMZ bis 24,9</t>
  </si>
  <si>
    <t>AZL andere Gebiete - EMZ 25,0 bis 29,9</t>
  </si>
  <si>
    <t>AZL andere Gebiete - EMZ 30,0 bis 34,9</t>
  </si>
  <si>
    <t>AZL andere Gebiete - EMZ 35,0 bis 39,9</t>
  </si>
  <si>
    <t>AZL andere Gebiete - EMZ 40,0 bis 46,6</t>
  </si>
  <si>
    <t>Aus anderen spezifischen Gründen benachteiligte Gebiete</t>
  </si>
  <si>
    <t>n.b.</t>
  </si>
  <si>
    <t>Die EGFL (1.Säule) besteht seit 2023 aus Sektorprogrammen, gekoppelten Tierprämien, Einkommensgrundstützung für Junglandwirte, Umverteilungsprämie, Einkommensgrundstützung und Ökoregelungen.</t>
  </si>
  <si>
    <r>
      <rPr>
        <b/>
        <sz val="14"/>
        <rFont val="Arial"/>
        <family val="2"/>
      </rPr>
      <t>FAKT-Verfahrensspezifische Ausgleichsleistungen in €/ha</t>
    </r>
    <r>
      <rPr>
        <sz val="10"/>
        <rFont val="Arial"/>
        <family val="2"/>
      </rPr>
      <t xml:space="preserve">
aus dem Förderprogramm für Agrarumwelt, Klimaschutz und Tierwohl. 
</t>
    </r>
    <r>
      <rPr>
        <b/>
        <sz val="14"/>
        <rFont val="Arial"/>
        <family val="2"/>
      </rPr>
      <t>und Öko-Regelungen in €/ha</t>
    </r>
  </si>
  <si>
    <t>Prämien aus EGFL in €/ha</t>
  </si>
  <si>
    <t>Einkommensgrundstützung</t>
  </si>
  <si>
    <r>
      <rPr>
        <vertAlign val="superscript"/>
        <sz val="10"/>
        <rFont val="Arial"/>
        <family val="2"/>
      </rPr>
      <t xml:space="preserve">1) </t>
    </r>
    <r>
      <rPr>
        <sz val="10"/>
        <rFont val="Arial"/>
        <family val="2"/>
      </rPr>
      <t>EMZ: Ertragsmesszahl der Gemarkung</t>
    </r>
  </si>
  <si>
    <r>
      <rPr>
        <vertAlign val="superscript"/>
        <sz val="10"/>
        <rFont val="Arial"/>
        <family val="2"/>
      </rPr>
      <t>3)</t>
    </r>
    <r>
      <rPr>
        <sz val="10"/>
        <rFont val="Arial"/>
        <family val="2"/>
      </rPr>
      <t xml:space="preserve"> Individuell wählbare Prämienhöhe</t>
    </r>
  </si>
  <si>
    <t xml:space="preserve"> Prämien aus 1. Säule [€/ha]</t>
  </si>
  <si>
    <r>
      <t xml:space="preserve">Individuelle Prämienhöhe </t>
    </r>
    <r>
      <rPr>
        <vertAlign val="superscript"/>
        <sz val="10"/>
        <rFont val="Arial"/>
        <family val="2"/>
      </rPr>
      <t>3)</t>
    </r>
  </si>
  <si>
    <r>
      <t xml:space="preserve">AZL Berggebiet - EMZ </t>
    </r>
    <r>
      <rPr>
        <vertAlign val="superscript"/>
        <sz val="12"/>
        <rFont val="Arial"/>
        <family val="2"/>
      </rPr>
      <t>1)</t>
    </r>
    <r>
      <rPr>
        <sz val="12"/>
        <rFont val="Arial"/>
        <family val="2"/>
      </rPr>
      <t xml:space="preserve"> bis 19,9</t>
    </r>
  </si>
  <si>
    <t>Umverteilungsprämie 2)</t>
  </si>
  <si>
    <t>Junglandwirtprämie 2)</t>
  </si>
  <si>
    <t xml:space="preserve">Deckungsbeiträge einer konventionellen Fruchtfolge 
</t>
  </si>
  <si>
    <t xml:space="preserve">Deckungsbeiträge einer ökologischen Fruchtfolge 
</t>
  </si>
  <si>
    <t>Substanzverlust berücksichtigen</t>
  </si>
  <si>
    <t>,</t>
  </si>
  <si>
    <t>Fuego Top</t>
  </si>
  <si>
    <t>Abfuhr Haupt und Nebenernteprodukt [kg/dt]</t>
  </si>
  <si>
    <t>N Fixierung [kg/dt]</t>
  </si>
  <si>
    <t>Gülle ausbringen 20 m³/ha, (15 m³ Fass, Schleppschl. 15 m)</t>
  </si>
  <si>
    <t>FAKT-Brachebegrünung</t>
  </si>
  <si>
    <r>
      <t xml:space="preserve">KTBL (2022/23): </t>
    </r>
    <r>
      <rPr>
        <sz val="8"/>
        <rFont val="Arial"/>
        <family val="2"/>
      </rPr>
      <t>Offene Remise (95.000€) S.155 bei 15% Restwert</t>
    </r>
  </si>
  <si>
    <r>
      <t>KTBL (2022/23):</t>
    </r>
    <r>
      <rPr>
        <sz val="8"/>
        <rFont val="Arial"/>
        <family val="2"/>
      </rPr>
      <t>Traktorfrondlader 1.500 daN (5.300€) S.78; Erdschaufel 0,8m³ (1.600€) S.79; Leichtgutschaufel 1,2m³ (1.600€) S.80, + 6.500€ für Sonstiges und bei 15% Restwert</t>
    </r>
  </si>
  <si>
    <t>Statistisches Landesamt Baden-Württemberg, 2020: Pachtjahresentgelt 290€/ha Ackerland</t>
  </si>
  <si>
    <t>Rotes Heft 2022/23 S. 2 Anhang Tabellenteil, Spalte M (5730, 7700) 
(Feste Spezial- und Gemeinkosten - Pachtzinsen/ ha LF - Unterhalt Gebäude - AfA Gebäude - AfA technische Anlagen und Maschinen = Gemeinkosten)</t>
  </si>
  <si>
    <t xml:space="preserve">Rotes Heft 22/23 Tab 21-22 Ackerbaubetriebe konventionell </t>
  </si>
  <si>
    <t>Pachtzins 308 € (50-100 ha) bzw. 246 € (&gt; 100 ha)</t>
  </si>
  <si>
    <t>speise</t>
  </si>
  <si>
    <t>Ernte im Lohn</t>
  </si>
  <si>
    <t>Kraftstoffpreis (brutto)</t>
  </si>
  <si>
    <t>Lupine</t>
  </si>
  <si>
    <t>D2 Ökolandbau- Ausgleich Transaktionskosten</t>
  </si>
  <si>
    <t>Saatbettkombination 4,5 m</t>
  </si>
  <si>
    <t>Drehpflug, 5 Schare</t>
  </si>
  <si>
    <t>Mist/Kompost streuen 20 t/ha  (6 m, 10,5 t) inkl. Beladen</t>
  </si>
  <si>
    <t>Pflanzenschutzspritze 21 m, 300 l/ha</t>
  </si>
  <si>
    <t>Präparatespritze 20 m</t>
  </si>
  <si>
    <t>Transp. u. Abkip. Getr. 6 t/ha (7,5 t Ki.)</t>
  </si>
  <si>
    <t>Silagetransport Mais/GPS, 3S.Kip. (13,5t Nutzl.), 50 t FM</t>
  </si>
  <si>
    <t>Kreiselwender 10,75m</t>
  </si>
  <si>
    <t>(Datengrundlage MR 25/26)</t>
  </si>
  <si>
    <t>Fremdmechanisierung*</t>
  </si>
  <si>
    <t xml:space="preserve">*kompletter Arbeitsgang mit Schlepper, Diesel und Bedienpersonal </t>
  </si>
  <si>
    <t>Hackmaschine, 4m</t>
  </si>
  <si>
    <t>Mähkomb. Heck/Front (4,5m insges., mit Aufb.)</t>
  </si>
  <si>
    <t>Handjäte</t>
  </si>
  <si>
    <t>Modellbetrieb mit 150 ha AF*</t>
  </si>
  <si>
    <t xml:space="preserve">*Folgende Maschinenausstatung wird für die Berechnung der Festkosten angenommen: </t>
  </si>
  <si>
    <t xml:space="preserve">Pflanzenschutzspritze </t>
  </si>
  <si>
    <t>Düngestreuer</t>
  </si>
  <si>
    <t>Kipper (2x)</t>
  </si>
  <si>
    <t xml:space="preserve">Mulcher </t>
  </si>
  <si>
    <t>Cambridgewalze</t>
  </si>
  <si>
    <t>Bodenfräse</t>
  </si>
  <si>
    <t>Modellbetrieb mit 150 ha Ackerfläche*</t>
  </si>
  <si>
    <t>Novodor</t>
  </si>
  <si>
    <t>Neem Azal</t>
  </si>
  <si>
    <t>Sluxx HP</t>
  </si>
  <si>
    <t>Cuprozin Progress</t>
  </si>
  <si>
    <t xml:space="preserve">Insektizid, Bac.thureng. kurstaki, 124,90 je 5 Liter Einheit. 5l/ha max. 4 Anwendungen im Jahr </t>
  </si>
  <si>
    <t>Azadirachtin (Kartoffelkäfer) 2,5 l/ha, 46 € je l, 86,60EUR je 2,50Liter; max. 2 Anwendungen/Jahr</t>
  </si>
  <si>
    <t>Kupferhydroxid (Kraut und Konllenfäule) 2 l/ha, 159,50EUR/5Liter; max 6 Anwendungen im Jahr</t>
  </si>
  <si>
    <t>silico Sec</t>
  </si>
  <si>
    <t>je 15kg</t>
  </si>
  <si>
    <r>
      <t xml:space="preserve">€/dt bzw. </t>
    </r>
    <r>
      <rPr>
        <i/>
        <sz val="10"/>
        <rFont val="Arial"/>
        <family val="2"/>
      </rPr>
      <t>€/Einheit</t>
    </r>
  </si>
  <si>
    <t>Annahmen für Z- Saatgut aus biologischer Herkunft</t>
  </si>
  <si>
    <t>Quelle: versch. Saatgutfirmen; für konv. erzeugtes Saatgut kann ein Abschlag von 10-20 % angenommen werden</t>
  </si>
  <si>
    <t>Impfung empfohlen</t>
  </si>
  <si>
    <t>Aufwandmenge</t>
  </si>
  <si>
    <t>29,50 €/Flasche (ausreichend für 130 kg)</t>
  </si>
  <si>
    <t>31,50 €/Flasche (ausreichend für 200 kg)</t>
  </si>
  <si>
    <t>34,50 €/Flasche (ausreichend für 50 kg)</t>
  </si>
  <si>
    <t xml:space="preserve">Saatmenge </t>
  </si>
  <si>
    <t>in kg/ha</t>
  </si>
  <si>
    <t>210</t>
  </si>
  <si>
    <t>175</t>
  </si>
  <si>
    <t>80</t>
  </si>
  <si>
    <t>5,10-21,2</t>
  </si>
  <si>
    <t>90-112,5</t>
  </si>
  <si>
    <t>Quelle: KTBL Datensammlung, Betriebsplanung Landwirtschaft 2024/25</t>
  </si>
  <si>
    <t>ungeimpft</t>
  </si>
  <si>
    <t>weiß, ungeimpft</t>
  </si>
  <si>
    <t>geimpft</t>
  </si>
  <si>
    <t xml:space="preserve">ohne Beizung </t>
  </si>
  <si>
    <t>1,1Einh./ha</t>
  </si>
  <si>
    <t>0,47Einh./ha</t>
  </si>
  <si>
    <t>EUR/Einh</t>
  </si>
  <si>
    <t>nach Stammdatensammlung: Düngung BW (Stand 31.10.2024) Nährstoffvergleich/Stoffstrombilanz</t>
  </si>
  <si>
    <t>Quelle Dieselpreis: www.shell.de (Mittelwert 2024)</t>
  </si>
  <si>
    <r>
      <t xml:space="preserve"> Nährstoffpreis €/kg </t>
    </r>
    <r>
      <rPr>
        <b/>
        <sz val="10"/>
        <rFont val="Arial Narrow"/>
        <family val="2"/>
      </rPr>
      <t xml:space="preserve"> </t>
    </r>
  </si>
  <si>
    <t xml:space="preserve"> Erzeugerpreise  €/dt </t>
  </si>
  <si>
    <t xml:space="preserve">Öko- Lupine </t>
  </si>
  <si>
    <t xml:space="preserve">Lupine </t>
  </si>
  <si>
    <t>Eisen-III-Phosphat, 7kg/ha, max. 4 Anwendungen im Jahr</t>
  </si>
  <si>
    <t>50.000 Körner/Einheit</t>
  </si>
  <si>
    <t>Strohverkauf individuelle Eingabe</t>
  </si>
  <si>
    <t>Strohverkauf: Individuelle Eingabe</t>
  </si>
  <si>
    <t>Kalidünger 30% (kg)</t>
  </si>
  <si>
    <t>Magnesiumdünger 27% (kg)</t>
  </si>
  <si>
    <t>Stickstoffdünger 13% (kg)</t>
  </si>
  <si>
    <t xml:space="preserve">Kalkdünger </t>
  </si>
  <si>
    <t>Heu, Großballen</t>
  </si>
  <si>
    <t>Stroh Großballen</t>
  </si>
  <si>
    <t>AMI: Durchschnittpreis für Deutschland plus 2 Euro für Bio</t>
  </si>
  <si>
    <t>0</t>
  </si>
  <si>
    <t xml:space="preserve">Nährstoffabzug Düngung </t>
  </si>
  <si>
    <t xml:space="preserve">Eingesetze Düngemenge </t>
  </si>
  <si>
    <t>Düngemittel Öko</t>
  </si>
  <si>
    <t>Nährstoffzusammensetzung</t>
  </si>
  <si>
    <t>[kg/dt bzw. kg/m³]</t>
  </si>
  <si>
    <t>hier ist Mg/t???!</t>
  </si>
  <si>
    <t xml:space="preserve">Düngung BW? </t>
  </si>
  <si>
    <t>Gemeinkosten</t>
  </si>
  <si>
    <t>KA - Vollernter mit Bunker, 2-reihig**</t>
  </si>
  <si>
    <t xml:space="preserve">2 Hand AK Bunkerroder </t>
  </si>
  <si>
    <r>
      <rPr>
        <vertAlign val="superscript"/>
        <sz val="9"/>
        <rFont val="Arial"/>
        <family val="2"/>
      </rPr>
      <t>2)</t>
    </r>
    <r>
      <rPr>
        <sz val="10"/>
        <rFont val="Arial"/>
        <family val="2"/>
      </rPr>
      <t xml:space="preserve"> Umverteilungsprämie: Hektar 1- 40: ca. 69 €/ha; Hektar 41 – 60: ca. 41 €/ha</t>
    </r>
  </si>
  <si>
    <t>Junglandwirtprämie bis 120 ha LF</t>
  </si>
  <si>
    <r>
      <t xml:space="preserve">Umverteilungseinkommensstützung für Nachhaltigkeit bis 40 ha </t>
    </r>
    <r>
      <rPr>
        <vertAlign val="superscript"/>
        <sz val="12"/>
        <rFont val="Arial"/>
        <family val="2"/>
      </rPr>
      <t>2)</t>
    </r>
  </si>
  <si>
    <t>Umverteilungsprämie für 100 ha Betrieb je ha</t>
  </si>
  <si>
    <t>Umverteilungsprämie für 150 ha Betrieb je ha</t>
  </si>
  <si>
    <t xml:space="preserve">Agrardiesel </t>
  </si>
  <si>
    <t>o.MwSt.o.Vergünstigung</t>
  </si>
  <si>
    <t>KA - Vollernter mit Bunker, 2-reihig</t>
  </si>
  <si>
    <t>DB</t>
  </si>
  <si>
    <t>(SD3)</t>
  </si>
  <si>
    <t>SDÖ7)</t>
  </si>
  <si>
    <t xml:space="preserve">Der Deckungsbeitrag mit Prämien und mit Zinsansatz kennzeichnet die relative Vorzüglichkeit einzelner Produktionsverfahren. Er beinhaltet neben den Marktleistungen und variablen Kosten alle Ausgleichsleistungen (FAKT, SchALVO etc.) sowie die Betriebsprämie. Die Summe dieser (bewilligten) Prämien für den geplanten Betrieb ist zum Gesamt-DB zu addieren. Es muss dann jedoch darauf geachtet werden, dass die unterstellten FAKT-Verfahren umfangmäßig auch in der ausgewählten Betriebsorganisation sind. Zugleich stellt der DB die Grundlage für die Vollkostenermittlung dar. 
Zu Beginn der Datei (= erste Arbeitsblätter) sind die Deckungsbeiträge ohne Zinsansatz, ohne Prämien aller Verfahren im Blatt "E1" sowie in "E2" gegenübergestellt. Die MwSt wird dabei je nach Einstellung (Blatt "SD1") berücksichtigt oder nicht.
</t>
  </si>
  <si>
    <t xml:space="preserve"> Deckungsbeitrag ohne Prämien  (Z.7 - 21)</t>
  </si>
  <si>
    <t xml:space="preserve"> Kalkulatorisches Betriebszweigergebnis    (Z.35 - 36)      </t>
  </si>
  <si>
    <t xml:space="preserve"> Direktkostenfreie Leistung (Z.7 +10 - 52)</t>
  </si>
  <si>
    <t xml:space="preserve"> Kosten der Arbeitserledigung (Z.18 + 19 + 20 + 28 + 29)</t>
  </si>
  <si>
    <r>
      <rPr>
        <b/>
        <sz val="10"/>
        <rFont val="Arial"/>
        <family val="2"/>
      </rPr>
      <t xml:space="preserve">2.2 Dateneingabe </t>
    </r>
    <r>
      <rPr>
        <sz val="10"/>
        <rFont val="Arial"/>
        <family val="2"/>
      </rPr>
      <t xml:space="preserve"> 
Die einzelnen EXCEL-Tabellenblätter des Rechenprogramms sind ohne Kennwort geschützt. Für eigene Berechnungen können in die hellgelb hinterlegten Felder Daten eingegeben werden, z. B. Daten des eigenen Betriebes. Die vorhandenen Daten sind hierzu mit den eigenen Betriebsdaten zu überschreiben. </t>
    </r>
  </si>
  <si>
    <t>Schwäbisch Gmünd</t>
  </si>
  <si>
    <r>
      <t>G/F</t>
    </r>
    <r>
      <rPr>
        <vertAlign val="superscript"/>
        <sz val="11"/>
        <rFont val="Arial"/>
        <family val="2"/>
      </rPr>
      <t>1)</t>
    </r>
  </si>
  <si>
    <t>SD3</t>
  </si>
  <si>
    <t>2 Auswahl und Eingabe</t>
  </si>
  <si>
    <t xml:space="preserve">Die Ergebnisse der einzelnen Produktionsverfahren werden im  Arbeitsblatt Kostenrechnung  angezeigt. Die Auswahl erfolgt über das dunkelgelbe Dropdownfeld am oberen rechten Rand  des Arbeitsblattes. 
</t>
  </si>
  <si>
    <t>3 Ergebnisse und Interpretation zur Kostenrechnung</t>
  </si>
  <si>
    <r>
      <t xml:space="preserve">Die </t>
    </r>
    <r>
      <rPr>
        <b/>
        <sz val="10"/>
        <rFont val="Arial"/>
        <family val="2"/>
      </rPr>
      <t>Düngungskosten</t>
    </r>
    <r>
      <rPr>
        <sz val="10"/>
        <rFont val="Arial"/>
        <family val="2"/>
      </rPr>
      <t xml:space="preserve"> werden anhand des Nährstoffbedarfs der Kulturen berechnet. Dabei spielt es keine Rolle, wie gedüngt wird. Wenn beispielsweise mit Wirtschaftsdünger gedüngt wird, können die entsprechenden Maschinenkosten für die Ausbringung bei den variablen Maschinenkosten berücksichtigt werden (Dropdown-Menü). Außerdem kann bei den Düngungskosten der </t>
    </r>
    <r>
      <rPr>
        <i/>
        <sz val="10"/>
        <rFont val="Arial"/>
        <family val="2"/>
      </rPr>
      <t>Abschlag</t>
    </r>
    <r>
      <rPr>
        <sz val="10"/>
        <rFont val="Arial"/>
        <family val="2"/>
      </rPr>
      <t xml:space="preserve"> durch das Ausbringen des Wirtschaftsdüngers erhöht werden. </t>
    </r>
    <r>
      <rPr>
        <b/>
        <sz val="10"/>
        <rFont val="Arial"/>
        <family val="2"/>
      </rPr>
      <t>Diese Angaben müssen jedoch individuell angepasst werden.</t>
    </r>
    <r>
      <rPr>
        <sz val="10"/>
        <rFont val="Arial"/>
        <family val="2"/>
      </rPr>
      <t xml:space="preserve"> </t>
    </r>
  </si>
  <si>
    <t>Nährstoff-</t>
  </si>
  <si>
    <t>entzug</t>
  </si>
  <si>
    <t>(SD8)</t>
  </si>
  <si>
    <t>(2 AK á 12,41 € Mindestlohn)</t>
  </si>
  <si>
    <r>
      <t xml:space="preserve">     Arbeitsgänge </t>
    </r>
    <r>
      <rPr>
        <sz val="9"/>
        <rFont val="Arial"/>
        <family val="2"/>
      </rPr>
      <t>(var. Maschinenkosten, Arbeitszeitbedarf, Lohnmaschinen)</t>
    </r>
  </si>
  <si>
    <t>Vorlage I</t>
  </si>
  <si>
    <t>Vorlage</t>
  </si>
  <si>
    <t xml:space="preserve">Werden zusätzliche Verfahren benötigt, können im Tabellenblatt "Vorlage" neue Verfahren angelegt werden.
In der obersten Zeile der Berechnungsgrundlagen der einzelnen Verfahren ist der Deckungsbeitrag (einschl. Prämien) als Zwischenergebnis für schnelle Simulationen am Bildschirm ablesbar. </t>
  </si>
  <si>
    <t>WW-A</t>
  </si>
  <si>
    <t>WW-E</t>
  </si>
  <si>
    <r>
      <t xml:space="preserve">
</t>
    </r>
    <r>
      <rPr>
        <b/>
        <sz val="10"/>
        <rFont val="Arial"/>
        <family val="2"/>
      </rPr>
      <t>2.1 Auswahl der Arbeitsblätter</t>
    </r>
    <r>
      <rPr>
        <sz val="10"/>
        <rFont val="Arial"/>
        <family val="2"/>
      </rPr>
      <t xml:space="preserve"> 
Es ist für jede Kultur ein Arbeitsblatt mit den Berechnungsgrundlagen vorhanden. Zur Auswahl des gewünschten Arbeitsblattes bieten sich folgende Hilfen an:  
In der horizontalen Bildlaufleiste befinden sich ganz links die Registerlaufpfeile. Indem Sie mit dem Mauszeiger in diesen Bereich fahren und die rechte Maustaste klicken, wird ein Kontextmenü mit einer Liste der Arbeitsblätter angezeigt. Der letzte Listeneintrag "Weitere Blätter..."  öffnet ein Dropdownfenster zur Auswahl aller Arbeitsblätter. Alternativ können Sie auch im Arbeitsblatt "Inhalt" durch Anklicken des entsprechenden Hyperlinks direkt zur gewünschten Kultur (Arbeitsblatt) gelangen. Ebenso ist in jedem Kultur-Arbeitsblatt ein direktes Zurücknavigieren zum Inhaltsverzeichnis per Hyperlink möglich. 
Im Arbeitsblatt E1 können Verfahren konventioneller und ökologischer Wirtschaftsweise ausgewählt werden.
In EK1 bzw. EÖ1 sind beispielhafte Deckungsbeiträge konventioneller bzw. ökologischer Fruchtfolgen veranschaulicht, welche sich wiederum individuell anpassen lassen.
Bei den Arbeitsblättern zu den Stammdaten wird grundsätzlich zwischen konventionell (z.B. SDK1) und ökologisch (z.B. SDÖ1) unterschieden. Bei Stammdaten ohne eine derartige Endung (z.B. SD2) gibt es keine Unterscheidung zwischen konventionell und ökologisch. 
Im Blatt Kostenrechnung können nun sowohl konventionelle als auch ökologische Marktfrüchte ausgewählt und somit gegebenübergestellt werden.
</t>
    </r>
  </si>
  <si>
    <t xml:space="preserve">Dropdown- Listen werden angezeigt, indem das entsprechende Feld mit dem Cursor aktiviert wird (bspw. Maschinenkosten oder Ausgleichzahlungen). Dabei wird ein Dropdownpfeil am Ende des Feldes angezeigt. Die Dateneingaben in den Arbeitsblättern der Stammdaten werden i.d. Regel automatisch in alle Produktionsverfahren übernommen.
In den Berechnungsgrundlagen für die einzelnen Produktionsverfahren sind 3 Ertragsniveaus vorgegeben. Sie können den individuellen Verhältnissen durch Überschreibung angepasst werden. 
Ansonsten sind vor allem die verschiedenen FAKT-Maßnahmen, der Pflanzenschutzaufwand und die Arbeitsgänge den individuellen Verhältnissen anzupassen. 
</t>
  </si>
  <si>
    <r>
      <rPr>
        <b/>
        <sz val="10"/>
        <rFont val="Arial"/>
        <family val="2"/>
      </rPr>
      <t xml:space="preserve">3.2 Festkosten und Arbeit  </t>
    </r>
    <r>
      <rPr>
        <sz val="10"/>
        <rFont val="Arial"/>
        <family val="2"/>
      </rPr>
      <t xml:space="preserve">
Bei langfristiger Betrachtung zur Beurteilung eines Verfahrens sind die unterschiedlichen Festkosten und Arbeitsansprüche zu berücksichtigen. Die festen Maschinen- und Gebäudekosten werden allen Kulturen bzw. Leistungsniveaus einheitlich zugeteilt. Hierzu wird beispielhaft die Maschinen- und Gebäudeausstattung eines Marktfrucht(-modell)-Betriebes mit 150 ha LF herangezogen. 
Auch beim Pachtansatz wird für alle Verfahren ein einheitlicher Wert verwendet. Sowohl beim Pachtpreis als auch bei den festen Maschinen und Gebäudekosten ist es bei einer individuellen Kalkulation unumgänglich, diese Kosten differenzierter zu betrachten. 
 </t>
    </r>
  </si>
  <si>
    <r>
      <t xml:space="preserve">Es wird ein gemeinsamer </t>
    </r>
    <r>
      <rPr>
        <b/>
        <sz val="10"/>
        <rFont val="Arial"/>
        <family val="2"/>
      </rPr>
      <t>Pachtansatz</t>
    </r>
    <r>
      <rPr>
        <sz val="10"/>
        <rFont val="Arial"/>
        <family val="2"/>
      </rPr>
      <t xml:space="preserve"> für die Fläche und zwar zum durchschnittlichen Pachtpreisniveau für Ackerland  bzw. Grünland berücksichtigt. Der Anwender kann im entsprechenden Arbeitsblatt  "SD4" gewünschte Anpassungen beim Pachtpreis selbst vornehmen. Ebenfalls können die  Gemeinkosten sowie die Lohnkosten betriebsindividuell angepasst werden. 
</t>
    </r>
  </si>
  <si>
    <r>
      <rPr>
        <b/>
        <sz val="10"/>
        <rFont val="Arial"/>
        <family val="2"/>
      </rPr>
      <t xml:space="preserve">3.8. Differenzierung nach Leistungsniveau </t>
    </r>
    <r>
      <rPr>
        <sz val="10"/>
        <rFont val="Arial"/>
        <family val="2"/>
      </rPr>
      <t xml:space="preserve">
Faustzahlen bergen die Gefahr, die tatsächliche Situation nur sehr unvollkommen - oder sogar falsch - widerzuspiegeln, da die Ertrags- und Aufwandssituation in verschiedenen Betrieben zum Teil sehr unterschiedlich ist. Eine Differenzierung ist daher unumgänglich. 
In den vorliegenden Kalkulationsgrundlagen werden die Kulturen nach Leistungsniveau, d. h. nach Höhe des Ertrags und der  Anbauintensität, unterschieden. Für jede Kultur ergeben sich dadurch drei Produktionsverfahren (niedrige, mittlere bzw. hohe Bewirtschaftungsintensität). Eine Differenzierung erfolgt allerdings nur auf der Ebene der variablen Kosten und des Arbeitszeitbedarfs. Die festen Maschinen- und Gebäudekosten werden dagegen allen Kulturen bzw. Leistungsniveaus einheitlich zugeteilt. 
</t>
    </r>
  </si>
  <si>
    <t>Markfrüchte konventionell und ökologisch</t>
  </si>
  <si>
    <t xml:space="preserve">     Pflanzenschutzmittel und Düngemittel (ökologisch)</t>
  </si>
  <si>
    <t>Düngemittel</t>
  </si>
  <si>
    <t>Dolophosphat 26% P2O5, 2% MgO, 40% CaO</t>
  </si>
  <si>
    <t>Kaliumsulfat (Patentkali) 30% K2O, 10%Mgo,17,6% S</t>
  </si>
  <si>
    <t>Magnesiumsulfat (Kieserit) 27%Mg, 22%S</t>
  </si>
  <si>
    <t>Federmehlpellets 13 % N</t>
  </si>
  <si>
    <t>Kohlensaurer Kalk  80%CaCO3, 5-10%MgCO3</t>
  </si>
  <si>
    <t>Rohphosphat</t>
  </si>
  <si>
    <t>Schweinegülle 7,5 % TM- Gehalt: 2,95 kg N/m³, 3,7 kg P2O5/m³, 3,7 kg K2O/m³</t>
  </si>
  <si>
    <t>Rindergülle mit mehr als 35% Ackerfutter: 7,5 % TM- Gehalt: 1,5 kg N/m³, 1,3 kg P2O5/m³, 4,3 kg K2O/m³</t>
  </si>
  <si>
    <t>Rinderfestmist mit mehr als 35% Ackerfutter: 25 % TM- Gehalt: 1,63 kg N/t, 4,00 kg P2O5/t, 11,00 kg K2O/t</t>
  </si>
  <si>
    <t>Schweinefestmist 25 % TM- Gehalt: 2,94 kg N/t, 8,2 kg P2O5/t, 6,9 kg K2O/t, 1,2 kg Mg/t</t>
  </si>
  <si>
    <t>Bemerkung zu den aufgeführten Düngemitteln</t>
  </si>
  <si>
    <t>Prämien aus 1. Säule</t>
  </si>
  <si>
    <t>Verfahrensspezifische Ausgleichsleistungen</t>
  </si>
  <si>
    <t xml:space="preserve">Wintergerste </t>
  </si>
  <si>
    <t>Gelbe Felder sind Eingabefelder und können über ein Drop-down Menü oder individuelle Eingabe bearbeitet werden!</t>
  </si>
  <si>
    <r>
      <t xml:space="preserve">Als </t>
    </r>
    <r>
      <rPr>
        <b/>
        <sz val="10"/>
        <rFont val="Arial"/>
        <family val="2"/>
      </rPr>
      <t>Vorfruchtwert</t>
    </r>
    <r>
      <rPr>
        <sz val="10"/>
        <rFont val="Arial"/>
        <family val="2"/>
      </rPr>
      <t xml:space="preserve"> (Zeile 22 der einzelnen Produktionsverfahren) ist kein Wert vorgegeben. Dieser kann durch einen betriebsindividuellen Wert angepasst werden.  </t>
    </r>
  </si>
  <si>
    <t>Butisan Gold</t>
  </si>
  <si>
    <t>Cantus Ultra</t>
  </si>
  <si>
    <t>Elumis P Pack, Elumis</t>
  </si>
  <si>
    <t>Elumis P Pack, Peak</t>
  </si>
  <si>
    <t>Proman</t>
  </si>
  <si>
    <t>Preise: Stand 2024; Diese Liste ist beispielhaft und erhebt keinen Anspruch auf Vollständigkeit.</t>
  </si>
  <si>
    <t>Öko-Lupine</t>
  </si>
  <si>
    <t xml:space="preserve">Erstellung: LEL Schwäbisch Gmünd </t>
  </si>
  <si>
    <t xml:space="preserve">Die Kalkulationsdaten dienen als Beratungshilfe bei der betriebswirtschaftlichen Bewertung von Produktionsverfahren. Sie können als Entscheidungsgrundlage in Anbaufragen herangezogen werden, sowie Faustzahlen für die Betriebsplanung oder Investitionspläne liefern. In allen relevanten Positionen ist die Mehrwertsteuer nach Wahl jeweils enthalten (pauschalierender Betrieb) oder wird nicht berücksichtigt (optierender Betrieb). Die entscheidenden Erfolgskennzahlen sind der Deckungsbeitrag und das kalkulatorische Betriebszweigergebnis. 
</t>
  </si>
  <si>
    <t xml:space="preserve"> Mittelwert oder eigener Wert</t>
  </si>
  <si>
    <t>Mittelwert oder eigener Wert</t>
  </si>
  <si>
    <t xml:space="preserve">Schlepper, Allrad CVT, 120 kW; Schlepper Frontlader 83 kW; Schlepper 54 kW;
200kw Schlepper </t>
  </si>
  <si>
    <t>Schlepper, Allrad CVT, 120 kW; Schlepper Frontlader 83 kW; Schlepper 54 kW; 200kw Schlepper</t>
  </si>
  <si>
    <t>Drehpflug; Schwergrupper; Kreiselegge; Sämaschine; Cambridgewalze; Bodenfräse</t>
  </si>
  <si>
    <t xml:space="preserve"> Kipper (2x)</t>
  </si>
  <si>
    <t xml:space="preserve">Hackstriegel; Mulchgerät </t>
  </si>
  <si>
    <t xml:space="preserve">Mulcher; Pflanzenschutzspritze, Düngestreuer, </t>
  </si>
  <si>
    <t xml:space="preserve">Drehpflug; Schwergrupper; Kreiselegge, Sämaschine; Cambridgewalze, Bodenfräse
</t>
  </si>
  <si>
    <r>
      <t xml:space="preserve">In den Stammdatenblätter SDK 1 und SDÖ 1 ist neben den Jahreswerten auch ein </t>
    </r>
    <r>
      <rPr>
        <b/>
        <sz val="10"/>
        <rFont val="Arial"/>
        <family val="2"/>
      </rPr>
      <t>5-Jahres Durchschnitt</t>
    </r>
    <r>
      <rPr>
        <sz val="10"/>
        <rFont val="Arial"/>
        <family val="2"/>
      </rPr>
      <t xml:space="preserve"> als Ausgangszeitpunkt auswählbar. Die Erzeugerpreise, Diesel sowie Nahrstoffpreise sind dabei als 5-jähriges gestutztes Mittel angegeben. Das </t>
    </r>
    <r>
      <rPr>
        <b/>
        <sz val="10"/>
        <rFont val="Arial"/>
        <family val="2"/>
      </rPr>
      <t>5-jährige gestutzte Mittel</t>
    </r>
    <r>
      <rPr>
        <sz val="10"/>
        <rFont val="Arial"/>
        <family val="2"/>
      </rPr>
      <t xml:space="preserve"> ist eine statistische Einheit, welches den Mittelwert der vergangenen 5-Jahre anzeigt, bereinigt um extreme Ausreiser. Die extremen Ausreiser sind definiert mit den oberen und unteren 20%. Damit werden extrem Schwankungenen in einzelnen Jahren geglättet. </t>
    </r>
  </si>
  <si>
    <t>Transp. u. Abkip.  (7,5 t Ki.)</t>
  </si>
  <si>
    <t>ᴓ</t>
  </si>
  <si>
    <t xml:space="preserve">ᴓ </t>
  </si>
  <si>
    <t xml:space="preserve">Öko-Kleegras einjährig (70:30) </t>
  </si>
  <si>
    <t>Öko-Kleegras zweijährig (50:50)</t>
  </si>
  <si>
    <t>Öko-Luzernegras einjährig (70:30)</t>
  </si>
  <si>
    <t>Öko-Luzernegras zweijährig (50:50)</t>
  </si>
  <si>
    <t>*ᴓ: Erzeuger,- Nährstoff sowie Dieselpreise sind als 5-jähriges gestutztes Mittel dargestellt. Siehe Blatt "Hinw."</t>
  </si>
  <si>
    <t>Stand: 09-2025</t>
  </si>
  <si>
    <t>September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</si>
</sst>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4">
    <numFmt numFmtId="6" formatCode="#,##0\ &quot;€&quot;;[Red]\-#,##0\ &quot;€&quot;"/>
    <numFmt numFmtId="44" formatCode="_-* #,##0.00\ &quot;€&quot;_-;\-* #,##0.00\ &quot;€&quot;_-;_-* &quot;-&quot;??\ &quot;€&quot;_-;_-@_-"/>
    <numFmt numFmtId="164" formatCode="_-* #,##0.00\ _€_-;\-* #,##0.00\ _€_-;_-* &quot;-&quot;??\ _€_-;_-@_-"/>
    <numFmt numFmtId="165" formatCode="#,##0.0"/>
    <numFmt numFmtId="166" formatCode="_-* #,##0.00\ [$€]_-;\-* #,##0.00\ [$€]_-;_-* &quot;-&quot;??\ [$€]_-;_-@_-"/>
    <numFmt numFmtId="167" formatCode="#,##0.00\ &quot;€/m3&quot;\ "/>
    <numFmt numFmtId="168" formatCode="_-* #,##0.00\ _D_M_-;\-* #,##0.00\ _D_M_-;_-* &quot;-&quot;??\ _D_M_-;_-@_-"/>
    <numFmt numFmtId="169" formatCode="#,##0.00_ ;[Red]\-#,##0.00\ "/>
    <numFmt numFmtId="170" formatCode="#,##0\ \ "/>
    <numFmt numFmtId="171" formatCode="#,##0__"/>
    <numFmt numFmtId="172" formatCode="0\ \ \ \ \ "/>
    <numFmt numFmtId="173" formatCode="&quot;Anzahl &quot;0"/>
    <numFmt numFmtId="174" formatCode="#,##0____"/>
    <numFmt numFmtId="175" formatCode="#,##0.00____"/>
    <numFmt numFmtId="176" formatCode="0.00\ \ \ "/>
    <numFmt numFmtId="177" formatCode="0.0"/>
    <numFmt numFmtId="178" formatCode="0.0\ \ \ "/>
    <numFmt numFmtId="179" formatCode="0\ "/>
    <numFmt numFmtId="180" formatCode="0.00\ \ "/>
    <numFmt numFmtId="181" formatCode="0\ \ "/>
    <numFmt numFmtId="182" formatCode="#,##0.00\ "/>
    <numFmt numFmtId="183" formatCode="0\ &quot;kW&quot;"/>
    <numFmt numFmtId="184" formatCode="0.0%"/>
    <numFmt numFmtId="185" formatCode="#,##0.00__"/>
    <numFmt numFmtId="186" formatCode="\ \ @\ "/>
    <numFmt numFmtId="187" formatCode="#,##0.0__"/>
    <numFmt numFmtId="188" formatCode="#,##0\ \ \ \ \ \ "/>
    <numFmt numFmtId="189" formatCode="#,##0\ "/>
    <numFmt numFmtId="190" formatCode="0.00\ \ \ \ \ "/>
    <numFmt numFmtId="191" formatCode="0.00\ &quot;€/dt&quot;"/>
    <numFmt numFmtId="192" formatCode="0.0\ &quot;ct/l&quot;"/>
    <numFmt numFmtId="193" formatCode="0.00\ "/>
    <numFmt numFmtId="194" formatCode="#,##0__;#,##0__;[Black]#,##0__"/>
    <numFmt numFmtId="195" formatCode="0.00&quot; €/dt&quot;"/>
    <numFmt numFmtId="196" formatCode="0.00&quot;    &quot;\ "/>
    <numFmt numFmtId="197" formatCode="#,##0\ &quot;€/ha&quot;"/>
    <numFmt numFmtId="198" formatCode="0.00&quot; €/AKh&quot;"/>
    <numFmt numFmtId="199" formatCode="0.0\ \ "/>
    <numFmt numFmtId="200" formatCode="&quot;Stand:&quot;\ dd/mm/yy"/>
    <numFmt numFmtId="201" formatCode="0\ &quot;Mon.&quot;"/>
    <numFmt numFmtId="202" formatCode="0.0&quot;%&quot;"/>
    <numFmt numFmtId="203" formatCode="#,##0\ \ \ "/>
    <numFmt numFmtId="204" formatCode="#,##0.00\ \ \ \ \ \ "/>
    <numFmt numFmtId="205" formatCode="0.0\ "/>
    <numFmt numFmtId="206" formatCode="0.0\ \ \ \ \ "/>
    <numFmt numFmtId="207" formatCode="General\ \ \ \ \ \ \ \ "/>
    <numFmt numFmtId="208" formatCode="0\ \ \ \ "/>
    <numFmt numFmtId="209" formatCode="[Blue]\+0;[Red]\-0"/>
    <numFmt numFmtId="210" formatCode="0.0\ \ \ \ "/>
    <numFmt numFmtId="211" formatCode="0\ &quot;%&quot;"/>
    <numFmt numFmtId="212" formatCode="0.0000"/>
    <numFmt numFmtId="213" formatCode="0.000"/>
    <numFmt numFmtId="214" formatCode="#,##0\ &quot;€/ha&quot;;[Red]\-#,##0\ &quot;€&quot;"/>
    <numFmt numFmtId="215" formatCode="#,##0.00\ &quot;€/t FM&quot;;[Red]\-#,##0.00\ &quot;€&quot;"/>
    <numFmt numFmtId="216" formatCode="#,##0.0\ &quot;t TM / ha&quot;;[Red]\-#,##0.000\ &quot;€&quot;"/>
    <numFmt numFmtId="217" formatCode="#,##0\ .00\ &quot;€/kg&quot;;#,##0.00;[White]0"/>
    <numFmt numFmtId="218" formatCode="#,##0.0\ &quot;t FM / ha&quot;;[Red]\-#,##0.000\ &quot;€&quot;"/>
    <numFmt numFmtId="219" formatCode="#,##0\ ;[Red]\-#,##0;[White]0"/>
    <numFmt numFmtId="220" formatCode="#,##0.0\ &quot;€&quot;;[Red]\-#,##0.0\ &quot;€&quot;"/>
    <numFmt numFmtId="221" formatCode="0\ &quot;€&quot;;\-0\ &quot;€&quot;;[White]0\ &quot;€&quot;"/>
    <numFmt numFmtId="222" formatCode="#,##0\ &quot;€/ha&quot;;[Red]\-#,##0\ &quot;€&quot;;[White]0"/>
    <numFmt numFmtId="223" formatCode="#,##0.00;#,##0.00;[White]0"/>
    <numFmt numFmtId="224" formatCode="#,##0.00\ &quot;€/m³,km&quot;;[Red]\-#,##0.00\ &quot;€&quot;"/>
    <numFmt numFmtId="225" formatCode="0.0\ &quot;km&quot;"/>
    <numFmt numFmtId="226" formatCode="#,##0.00\ &quot;€/m³&quot;;[Red]\-#,##0.00\ &quot;€&quot;"/>
    <numFmt numFmtId="227" formatCode="#,##0\ &quot;m³/ha&quot;"/>
    <numFmt numFmtId="228" formatCode="#,##0\ &quot;m³ / ha&quot;;[Red]\-#,##0.00\ &quot;€&quot;"/>
    <numFmt numFmtId="229" formatCode="\+#,##0\ &quot;€/ha&quot;;[Red]\-#,##0\ &quot;€&quot;;[White]0"/>
    <numFmt numFmtId="230" formatCode="0.00\ &quot;€/m³&quot;"/>
    <numFmt numFmtId="231" formatCode="&quot;ca.&quot;\ 0"/>
    <numFmt numFmtId="232" formatCode="#,##0.00\ &quot;€ / Akh&quot;;\-\ #,##0.00\ &quot;€/dt&quot;;\ 0.0"/>
    <numFmt numFmtId="233" formatCode="#,##0\ &quot;kg / m³&quot;;[Red]\-#,##0.00\ &quot;€&quot;"/>
    <numFmt numFmtId="234" formatCode="0__;0;[White]0"/>
    <numFmt numFmtId="235" formatCode="#,##0.0\ "/>
  </numFmts>
  <fonts count="200">
    <font>
      <sz val="11"/>
      <color theme="1"/>
      <name val="Arial"/>
      <family val="2"/>
    </font>
    <font>
      <sz val="10"/>
      <color theme="1"/>
      <name val="Arial"/>
      <family val="2"/>
    </font>
    <font>
      <sz val="10"/>
      <color theme="1"/>
      <name val="Arial"/>
      <family val="2"/>
    </font>
    <font>
      <sz val="11"/>
      <color theme="1"/>
      <name val="Arial"/>
      <family val="2"/>
    </font>
    <font>
      <b/>
      <sz val="11"/>
      <color rgb="FF3F3F3F"/>
      <name val="Arial"/>
      <family val="2"/>
    </font>
    <font>
      <sz val="10"/>
      <name val="Arial"/>
      <family val="2"/>
    </font>
    <font>
      <b/>
      <sz val="10"/>
      <name val="Arial"/>
      <family val="2"/>
    </font>
    <font>
      <sz val="11"/>
      <name val="Arial"/>
      <family val="2"/>
    </font>
    <font>
      <u/>
      <sz val="7.2"/>
      <color indexed="12"/>
      <name val="Arial"/>
      <family val="2"/>
    </font>
    <font>
      <b/>
      <u/>
      <sz val="9"/>
      <color indexed="12"/>
      <name val="Arial"/>
      <family val="2"/>
    </font>
    <font>
      <sz val="10"/>
      <name val="Arial"/>
      <family val="2"/>
    </font>
    <font>
      <u/>
      <sz val="10"/>
      <color indexed="12"/>
      <name val="Arial"/>
      <family val="2"/>
    </font>
    <font>
      <sz val="11"/>
      <color indexed="10"/>
      <name val="Arial"/>
      <family val="2"/>
    </font>
    <font>
      <sz val="10"/>
      <color indexed="10"/>
      <name val="Arial"/>
      <family val="2"/>
    </font>
    <font>
      <b/>
      <sz val="11"/>
      <name val="Arial"/>
      <family val="2"/>
    </font>
    <font>
      <b/>
      <sz val="12"/>
      <name val="Arial"/>
      <family val="2"/>
    </font>
    <font>
      <sz val="9"/>
      <name val="Arial"/>
      <family val="2"/>
    </font>
    <font>
      <sz val="12"/>
      <name val="Arial"/>
      <family val="2"/>
    </font>
    <font>
      <b/>
      <sz val="18"/>
      <name val="Arial"/>
      <family val="2"/>
    </font>
    <font>
      <b/>
      <sz val="16"/>
      <name val="Arial"/>
      <family val="2"/>
    </font>
    <font>
      <b/>
      <sz val="20"/>
      <name val="Arial"/>
      <family val="2"/>
    </font>
    <font>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7"/>
      <color indexed="12"/>
      <name val="Arial"/>
      <family val="2"/>
    </font>
    <font>
      <u/>
      <sz val="10"/>
      <color theme="10"/>
      <name val="Arial"/>
      <family val="2"/>
    </font>
    <font>
      <sz val="8"/>
      <color indexed="10"/>
      <name val="Arial"/>
      <family val="2"/>
    </font>
    <font>
      <sz val="11"/>
      <color indexed="60"/>
      <name val="Calibri"/>
      <family val="2"/>
    </font>
    <font>
      <sz val="11"/>
      <color indexed="20"/>
      <name val="Calibri"/>
      <family val="2"/>
    </font>
    <font>
      <sz val="10"/>
      <color indexed="8"/>
      <name val="Calibri"/>
      <family val="2"/>
      <scheme val="minor"/>
    </font>
    <font>
      <sz val="10"/>
      <name val="Helv"/>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sz val="14"/>
      <name val="Arial"/>
      <family val="2"/>
    </font>
    <font>
      <sz val="14"/>
      <name val="Arial"/>
      <family val="2"/>
    </font>
    <font>
      <sz val="13"/>
      <name val="Arial"/>
      <family val="2"/>
    </font>
    <font>
      <i/>
      <sz val="10"/>
      <name val="Arial"/>
      <family val="2"/>
    </font>
    <font>
      <i/>
      <sz val="10"/>
      <color indexed="9"/>
      <name val="Arial"/>
      <family val="2"/>
    </font>
    <font>
      <sz val="8"/>
      <name val="Arial Narrow"/>
      <family val="2"/>
    </font>
    <font>
      <sz val="8"/>
      <color indexed="10"/>
      <name val="Arial Narrow"/>
      <family val="2"/>
    </font>
    <font>
      <sz val="7"/>
      <name val="Arial Narrow"/>
      <family val="2"/>
    </font>
    <font>
      <b/>
      <sz val="10"/>
      <name val="Arial Narrow"/>
      <family val="2"/>
    </font>
    <font>
      <b/>
      <sz val="9"/>
      <color indexed="10"/>
      <name val="Arial"/>
      <family val="2"/>
    </font>
    <font>
      <b/>
      <sz val="10"/>
      <color indexed="9"/>
      <name val="Arial"/>
      <family val="2"/>
    </font>
    <font>
      <sz val="16"/>
      <name val="Arial"/>
      <family val="2"/>
    </font>
    <font>
      <b/>
      <sz val="9"/>
      <name val="Arial"/>
      <family val="2"/>
    </font>
    <font>
      <i/>
      <sz val="16"/>
      <name val="Arial"/>
      <family val="2"/>
    </font>
    <font>
      <b/>
      <sz val="10"/>
      <color indexed="81"/>
      <name val="Arial"/>
      <family val="2"/>
    </font>
    <font>
      <sz val="10"/>
      <color indexed="81"/>
      <name val="Arial"/>
      <family val="2"/>
    </font>
    <font>
      <sz val="12"/>
      <name val="Wingdings 2"/>
      <family val="1"/>
      <charset val="2"/>
    </font>
    <font>
      <sz val="10"/>
      <color indexed="9"/>
      <name val="Arial"/>
      <family val="2"/>
    </font>
    <font>
      <sz val="11"/>
      <color indexed="8"/>
      <name val="Arial"/>
      <family val="2"/>
    </font>
    <font>
      <b/>
      <sz val="11"/>
      <color indexed="8"/>
      <name val="Arial"/>
      <family val="2"/>
    </font>
    <font>
      <b/>
      <sz val="8"/>
      <name val="Arial"/>
      <family val="2"/>
    </font>
    <font>
      <b/>
      <sz val="9"/>
      <name val="Arial Narrow"/>
      <family val="2"/>
    </font>
    <font>
      <b/>
      <sz val="12"/>
      <name val="Arial Narrow"/>
      <family val="2"/>
    </font>
    <font>
      <b/>
      <i/>
      <sz val="14"/>
      <name val="Arial"/>
      <family val="2"/>
    </font>
    <font>
      <b/>
      <sz val="8"/>
      <color indexed="10"/>
      <name val="Arial Narrow"/>
      <family val="2"/>
    </font>
    <font>
      <i/>
      <sz val="14"/>
      <name val="Arial"/>
      <family val="2"/>
    </font>
    <font>
      <b/>
      <sz val="8"/>
      <color indexed="10"/>
      <name val="Arial"/>
      <family val="2"/>
    </font>
    <font>
      <b/>
      <i/>
      <sz val="12"/>
      <name val="Arial"/>
      <family val="2"/>
    </font>
    <font>
      <vertAlign val="superscript"/>
      <sz val="11"/>
      <name val="Arial"/>
      <family val="2"/>
    </font>
    <font>
      <b/>
      <i/>
      <sz val="11"/>
      <name val="Arial"/>
      <family val="2"/>
    </font>
    <font>
      <b/>
      <sz val="14"/>
      <name val="Arial Narrow"/>
      <family val="2"/>
    </font>
    <font>
      <vertAlign val="subscript"/>
      <sz val="11"/>
      <name val="Arial"/>
      <family val="2"/>
    </font>
    <font>
      <b/>
      <sz val="11"/>
      <color indexed="10"/>
      <name val="Arial"/>
      <family val="2"/>
    </font>
    <font>
      <b/>
      <i/>
      <sz val="10"/>
      <name val="Arial"/>
      <family val="2"/>
    </font>
    <font>
      <b/>
      <sz val="6"/>
      <name val="Arial"/>
      <family val="2"/>
    </font>
    <font>
      <b/>
      <sz val="12"/>
      <color indexed="30"/>
      <name val="Arial"/>
      <family val="2"/>
    </font>
    <font>
      <sz val="12"/>
      <color indexed="30"/>
      <name val="Arial"/>
      <family val="2"/>
    </font>
    <font>
      <b/>
      <sz val="9"/>
      <color indexed="63"/>
      <name val="Arial"/>
      <family val="2"/>
    </font>
    <font>
      <vertAlign val="superscript"/>
      <sz val="9"/>
      <name val="Arial"/>
      <family val="2"/>
    </font>
    <font>
      <vertAlign val="superscript"/>
      <sz val="10"/>
      <name val="Arial"/>
      <family val="2"/>
    </font>
    <font>
      <b/>
      <u/>
      <sz val="14"/>
      <name val="Arial"/>
      <family val="2"/>
    </font>
    <font>
      <b/>
      <u/>
      <sz val="12"/>
      <name val="Arial"/>
      <family val="2"/>
    </font>
    <font>
      <u/>
      <sz val="8"/>
      <name val="Arial"/>
      <family val="2"/>
    </font>
    <font>
      <sz val="8"/>
      <color rgb="FFFF0000"/>
      <name val="Arial"/>
      <family val="2"/>
    </font>
    <font>
      <sz val="10"/>
      <color rgb="FFFF0000"/>
      <name val="Arial"/>
      <family val="2"/>
    </font>
    <font>
      <b/>
      <i/>
      <sz val="8"/>
      <name val="Arial"/>
      <family val="2"/>
    </font>
    <font>
      <sz val="8"/>
      <color indexed="81"/>
      <name val="Tahoma"/>
      <family val="2"/>
    </font>
    <font>
      <b/>
      <sz val="8"/>
      <color indexed="81"/>
      <name val="Tahoma"/>
      <family val="2"/>
    </font>
    <font>
      <vertAlign val="superscript"/>
      <sz val="12"/>
      <name val="Arial"/>
      <family val="2"/>
    </font>
    <font>
      <sz val="14"/>
      <color indexed="10"/>
      <name val="Arial"/>
      <family val="2"/>
    </font>
    <font>
      <b/>
      <vertAlign val="superscript"/>
      <sz val="10"/>
      <name val="Arial"/>
      <family val="2"/>
    </font>
    <font>
      <b/>
      <sz val="12"/>
      <color indexed="10"/>
      <name val="Arial"/>
      <family val="2"/>
    </font>
    <font>
      <sz val="12"/>
      <color indexed="10"/>
      <name val="Arial"/>
      <family val="2"/>
    </font>
    <font>
      <b/>
      <sz val="24"/>
      <name val="Arial"/>
      <family val="2"/>
    </font>
    <font>
      <sz val="8"/>
      <color indexed="12"/>
      <name val="Arial"/>
      <family val="2"/>
    </font>
    <font>
      <b/>
      <sz val="12"/>
      <color indexed="12"/>
      <name val="Arial"/>
      <family val="2"/>
    </font>
    <font>
      <b/>
      <sz val="11"/>
      <color indexed="12"/>
      <name val="Arial"/>
      <family val="2"/>
    </font>
    <font>
      <sz val="8"/>
      <color indexed="9"/>
      <name val="Arial"/>
      <family val="2"/>
    </font>
    <font>
      <vertAlign val="superscript"/>
      <sz val="8"/>
      <name val="Arial"/>
      <family val="2"/>
    </font>
    <font>
      <b/>
      <sz val="10"/>
      <color indexed="10"/>
      <name val="Arial"/>
      <family val="2"/>
    </font>
    <font>
      <b/>
      <sz val="15"/>
      <name val="Arial"/>
      <family val="2"/>
    </font>
    <font>
      <sz val="10"/>
      <color indexed="8"/>
      <name val="Arial"/>
      <family val="2"/>
    </font>
    <font>
      <b/>
      <sz val="10"/>
      <color indexed="8"/>
      <name val="Arial"/>
      <family val="2"/>
    </font>
    <font>
      <b/>
      <sz val="18"/>
      <color indexed="8"/>
      <name val="Arial"/>
      <family val="2"/>
    </font>
    <font>
      <b/>
      <vertAlign val="superscript"/>
      <sz val="12"/>
      <name val="Arial"/>
      <family val="2"/>
    </font>
    <font>
      <b/>
      <sz val="13"/>
      <name val="Arial"/>
      <family val="2"/>
    </font>
    <font>
      <i/>
      <sz val="12"/>
      <name val="Arial"/>
      <family val="2"/>
    </font>
    <font>
      <sz val="11"/>
      <color indexed="12"/>
      <name val="Arial"/>
      <family val="2"/>
    </font>
    <font>
      <sz val="24"/>
      <color indexed="9"/>
      <name val="Arial"/>
      <family val="2"/>
    </font>
    <font>
      <sz val="11"/>
      <name val="Arial Narrow"/>
      <family val="2"/>
    </font>
    <font>
      <b/>
      <sz val="18"/>
      <color indexed="10"/>
      <name val="Arial"/>
      <family val="2"/>
    </font>
    <font>
      <sz val="6"/>
      <name val="Arial"/>
      <family val="2"/>
    </font>
    <font>
      <sz val="6"/>
      <color indexed="10"/>
      <name val="Arial"/>
      <family val="2"/>
    </font>
    <font>
      <b/>
      <sz val="6"/>
      <color indexed="10"/>
      <name val="Arial"/>
      <family val="2"/>
    </font>
    <font>
      <i/>
      <sz val="6"/>
      <name val="Arial"/>
      <family val="2"/>
    </font>
    <font>
      <u/>
      <sz val="11"/>
      <name val="Arial"/>
      <family val="2"/>
    </font>
    <font>
      <u/>
      <sz val="9"/>
      <color indexed="12"/>
      <name val="Arial"/>
      <family val="2"/>
    </font>
    <font>
      <b/>
      <sz val="14"/>
      <color indexed="12"/>
      <name val="Arial"/>
      <family val="2"/>
    </font>
    <font>
      <sz val="14"/>
      <color indexed="12"/>
      <name val="Arial"/>
      <family val="2"/>
    </font>
    <font>
      <i/>
      <sz val="11"/>
      <name val="Arial"/>
      <family val="2"/>
    </font>
    <font>
      <sz val="10"/>
      <color theme="0"/>
      <name val="Arial"/>
      <family val="2"/>
    </font>
    <font>
      <sz val="8"/>
      <color indexed="18"/>
      <name val="Arial"/>
      <family val="2"/>
    </font>
    <font>
      <i/>
      <sz val="8"/>
      <name val="Arial"/>
      <family val="2"/>
    </font>
    <font>
      <sz val="8"/>
      <color indexed="8"/>
      <name val="Arial"/>
      <family val="2"/>
    </font>
    <font>
      <sz val="18"/>
      <name val="Arial"/>
      <family val="2"/>
    </font>
    <font>
      <b/>
      <i/>
      <sz val="11"/>
      <color indexed="10"/>
      <name val="Arial"/>
      <family val="2"/>
    </font>
    <font>
      <sz val="10"/>
      <color indexed="10"/>
      <name val="Cambria"/>
      <family val="1"/>
    </font>
    <font>
      <b/>
      <vertAlign val="superscript"/>
      <sz val="9"/>
      <name val="Arial"/>
      <family val="2"/>
    </font>
    <font>
      <sz val="11"/>
      <color indexed="9"/>
      <name val="Arial"/>
      <family val="2"/>
    </font>
    <font>
      <sz val="10"/>
      <color indexed="47"/>
      <name val="Cambria"/>
      <family val="1"/>
    </font>
    <font>
      <b/>
      <sz val="18"/>
      <color indexed="10"/>
      <name val="Cambria"/>
      <family val="1"/>
    </font>
    <font>
      <sz val="9"/>
      <color indexed="10"/>
      <name val="Cambria"/>
      <family val="1"/>
    </font>
    <font>
      <b/>
      <sz val="8"/>
      <color indexed="10"/>
      <name val="Cambria"/>
      <family val="1"/>
    </font>
    <font>
      <sz val="10"/>
      <color indexed="12"/>
      <name val="Arial"/>
      <family val="2"/>
    </font>
    <font>
      <b/>
      <i/>
      <sz val="11"/>
      <color indexed="12"/>
      <name val="Arial"/>
      <family val="2"/>
    </font>
    <font>
      <b/>
      <i/>
      <sz val="12"/>
      <color indexed="12"/>
      <name val="Arial"/>
      <family val="2"/>
    </font>
    <font>
      <sz val="11"/>
      <color rgb="FFFF0000"/>
      <name val="Calibri"/>
      <family val="2"/>
    </font>
    <font>
      <b/>
      <sz val="16"/>
      <color indexed="10"/>
      <name val="Arial"/>
      <family val="2"/>
    </font>
    <font>
      <sz val="10"/>
      <name val="Arial "/>
    </font>
    <font>
      <sz val="9"/>
      <color indexed="10"/>
      <name val="Arial"/>
      <family val="2"/>
    </font>
    <font>
      <strike/>
      <sz val="10"/>
      <name val="Arial"/>
      <family val="2"/>
    </font>
    <font>
      <u/>
      <sz val="11"/>
      <color indexed="10"/>
      <name val="Arial"/>
      <family val="2"/>
    </font>
    <font>
      <b/>
      <u/>
      <sz val="11"/>
      <color indexed="10"/>
      <name val="Arial"/>
      <family val="2"/>
    </font>
    <font>
      <sz val="10"/>
      <name val="Arial Narrow"/>
      <family val="2"/>
    </font>
    <font>
      <sz val="12"/>
      <name val="Arial Narrow"/>
      <family val="2"/>
    </font>
    <font>
      <sz val="11"/>
      <name val="MS Sans Serif"/>
      <family val="2"/>
    </font>
    <font>
      <b/>
      <sz val="12"/>
      <color indexed="52"/>
      <name val="Arial"/>
      <family val="2"/>
    </font>
    <font>
      <sz val="10"/>
      <color indexed="81"/>
      <name val="Tahoma"/>
      <family val="2"/>
    </font>
    <font>
      <b/>
      <sz val="10"/>
      <color indexed="81"/>
      <name val="Tahoma"/>
      <family val="2"/>
    </font>
    <font>
      <i/>
      <sz val="10"/>
      <color indexed="81"/>
      <name val="Tahoma"/>
      <family val="2"/>
    </font>
    <font>
      <b/>
      <sz val="10"/>
      <color indexed="10"/>
      <name val="Arial Narrow"/>
      <family val="2"/>
    </font>
    <font>
      <sz val="10"/>
      <name val="Verdana"/>
      <family val="2"/>
    </font>
    <font>
      <b/>
      <sz val="10"/>
      <color indexed="30"/>
      <name val="Arial"/>
      <family val="2"/>
    </font>
    <font>
      <b/>
      <sz val="9"/>
      <color theme="4"/>
      <name val="Arial"/>
      <family val="2"/>
    </font>
    <font>
      <b/>
      <sz val="9"/>
      <color rgb="FF0000FF"/>
      <name val="Arial"/>
      <family val="2"/>
    </font>
    <font>
      <sz val="12"/>
      <color indexed="12"/>
      <name val="Arial"/>
      <family val="2"/>
    </font>
    <font>
      <b/>
      <sz val="11"/>
      <name val="Arial Narrow"/>
      <family val="2"/>
    </font>
    <font>
      <b/>
      <sz val="11"/>
      <color indexed="10"/>
      <name val="Arial Narrow"/>
      <family val="2"/>
    </font>
    <font>
      <b/>
      <vertAlign val="subscript"/>
      <sz val="11"/>
      <name val="Arial"/>
      <family val="2"/>
    </font>
    <font>
      <b/>
      <u/>
      <sz val="11"/>
      <name val="Arial"/>
      <family val="2"/>
    </font>
    <font>
      <sz val="11"/>
      <color theme="0"/>
      <name val="Arial"/>
      <family val="2"/>
    </font>
    <font>
      <b/>
      <i/>
      <sz val="12"/>
      <color theme="1"/>
      <name val="Arial"/>
      <family val="2"/>
    </font>
    <font>
      <sz val="8"/>
      <color theme="1"/>
      <name val="Arial"/>
      <family val="2"/>
    </font>
    <font>
      <sz val="9"/>
      <color indexed="81"/>
      <name val="Segoe UI"/>
      <family val="2"/>
    </font>
    <font>
      <b/>
      <sz val="9"/>
      <color indexed="81"/>
      <name val="Segoe UI"/>
      <family val="2"/>
    </font>
    <font>
      <sz val="11"/>
      <color theme="1"/>
      <name val="Calibri"/>
      <family val="2"/>
      <scheme val="minor"/>
    </font>
    <font>
      <sz val="11"/>
      <name val="Calibri"/>
      <family val="2"/>
    </font>
    <font>
      <sz val="10"/>
      <name val="Arial"/>
      <family val="2"/>
    </font>
    <font>
      <u/>
      <sz val="11"/>
      <color indexed="12"/>
      <name val="Arial"/>
      <family val="2"/>
    </font>
    <font>
      <sz val="10"/>
      <name val="Arial"/>
      <family val="2"/>
    </font>
    <font>
      <sz val="10"/>
      <color rgb="FF000000"/>
      <name val="Times New Roman"/>
      <family val="1"/>
    </font>
    <font>
      <sz val="10"/>
      <color rgb="FF000000"/>
      <name val="Times New Roman"/>
      <family val="1"/>
    </font>
    <font>
      <sz val="11"/>
      <color rgb="FFFF0000"/>
      <name val="Arial"/>
      <family val="2"/>
    </font>
    <font>
      <b/>
      <i/>
      <sz val="12"/>
      <color rgb="FFFF0000"/>
      <name val="Arial"/>
      <family val="2"/>
    </font>
    <font>
      <b/>
      <sz val="10"/>
      <color rgb="FFFF0000"/>
      <name val="Arial"/>
      <family val="2"/>
    </font>
    <font>
      <sz val="12"/>
      <color rgb="FFFF0000"/>
      <name val="Arial"/>
      <family val="2"/>
    </font>
    <font>
      <sz val="8"/>
      <color rgb="FF33CC33"/>
      <name val="Arial"/>
      <family val="2"/>
    </font>
    <font>
      <sz val="8"/>
      <color rgb="FF0000FF"/>
      <name val="Arial"/>
      <family val="2"/>
    </font>
    <font>
      <sz val="11"/>
      <color rgb="FF1F497D"/>
      <name val="Calibri"/>
      <family val="2"/>
    </font>
    <font>
      <strike/>
      <sz val="11"/>
      <name val="Arial"/>
      <family val="2"/>
    </font>
    <font>
      <b/>
      <sz val="11"/>
      <color rgb="FFFF0000"/>
      <name val="Arial"/>
      <family val="2"/>
    </font>
    <font>
      <i/>
      <sz val="10"/>
      <color indexed="10"/>
      <name val="Arial"/>
      <family val="2"/>
    </font>
    <font>
      <b/>
      <sz val="12"/>
      <color theme="1"/>
      <name val="Arial"/>
      <family val="2"/>
    </font>
    <font>
      <b/>
      <sz val="12"/>
      <color indexed="8"/>
      <name val="Arial"/>
      <family val="2"/>
    </font>
    <font>
      <sz val="10"/>
      <color indexed="18"/>
      <name val="Arial"/>
      <family val="2"/>
    </font>
    <font>
      <b/>
      <u/>
      <sz val="12"/>
      <color indexed="12"/>
      <name val="Arial"/>
      <family val="2"/>
    </font>
    <font>
      <b/>
      <sz val="12"/>
      <color rgb="FFFF0000"/>
      <name val="Calibri"/>
      <family val="2"/>
    </font>
    <font>
      <sz val="8"/>
      <color theme="0"/>
      <name val="Arial"/>
      <family val="2"/>
    </font>
    <font>
      <u/>
      <sz val="10"/>
      <color theme="0"/>
      <name val="Arial"/>
      <family val="2"/>
    </font>
    <font>
      <b/>
      <sz val="12"/>
      <color rgb="FFFF0000"/>
      <name val="Arial"/>
      <family val="2"/>
    </font>
    <font>
      <strike/>
      <sz val="12"/>
      <name val="Arial"/>
      <family val="2"/>
    </font>
    <font>
      <b/>
      <strike/>
      <sz val="14"/>
      <name val="Arial"/>
      <family val="2"/>
    </font>
    <font>
      <i/>
      <sz val="10"/>
      <color theme="0"/>
      <name val="Arial"/>
      <family val="2"/>
    </font>
    <font>
      <sz val="12"/>
      <color theme="0"/>
      <name val="Arial"/>
      <family val="2"/>
    </font>
    <font>
      <sz val="10"/>
      <color rgb="FF99CCFF"/>
      <name val="Arial"/>
      <family val="2"/>
    </font>
    <font>
      <sz val="11"/>
      <color rgb="FF99CCFF"/>
      <name val="Arial"/>
      <family val="2"/>
    </font>
  </fonts>
  <fills count="64">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7"/>
        <bgColor rgb="FFFFFFCC"/>
      </patternFill>
    </fill>
    <fill>
      <patternFill patternType="solid">
        <fgColor indexed="55"/>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theme="0"/>
        <bgColor indexed="64"/>
      </patternFill>
    </fill>
    <fill>
      <patternFill patternType="solid">
        <fgColor indexed="40"/>
        <bgColor indexed="64"/>
      </patternFill>
    </fill>
    <fill>
      <patternFill patternType="solid">
        <fgColor theme="0" tint="-0.249977111117893"/>
        <bgColor indexed="64"/>
      </patternFill>
    </fill>
    <fill>
      <patternFill patternType="solid">
        <fgColor indexed="9"/>
      </patternFill>
    </fill>
    <fill>
      <patternFill patternType="solid">
        <fgColor rgb="FFFFFF99"/>
        <bgColor indexed="64"/>
      </patternFill>
    </fill>
    <fill>
      <patternFill patternType="gray0625"/>
    </fill>
    <fill>
      <patternFill patternType="solid">
        <fgColor theme="0" tint="-0.14999847407452621"/>
        <bgColor indexed="64"/>
      </patternFill>
    </fill>
    <fill>
      <patternFill patternType="solid">
        <fgColor rgb="FFF2F2F2"/>
      </patternFill>
    </fill>
    <fill>
      <patternFill patternType="solid">
        <fgColor rgb="FF92D050"/>
        <bgColor indexed="64"/>
      </patternFill>
    </fill>
    <fill>
      <patternFill patternType="solid">
        <fgColor indexed="3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99CCFF"/>
        <bgColor indexed="64"/>
      </patternFill>
    </fill>
    <fill>
      <patternFill patternType="solid">
        <fgColor rgb="FFCCFFCC"/>
        <bgColor indexed="64"/>
      </patternFill>
    </fill>
    <fill>
      <patternFill patternType="solid">
        <fgColor theme="8" tint="0.39994506668294322"/>
        <bgColor indexed="64"/>
      </patternFill>
    </fill>
    <fill>
      <patternFill patternType="solid">
        <fgColor rgb="FF99FF99"/>
        <bgColor indexed="64"/>
      </patternFill>
    </fill>
    <fill>
      <patternFill patternType="solid">
        <fgColor rgb="FF33CC33"/>
        <bgColor indexed="64"/>
      </patternFill>
    </fill>
    <fill>
      <patternFill patternType="solid">
        <fgColor theme="8" tint="0.59996337778862885"/>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000"/>
        <bgColor indexed="64"/>
      </patternFill>
    </fill>
    <fill>
      <patternFill patternType="solid">
        <fgColor theme="9" tint="0.39997558519241921"/>
        <bgColor indexed="64"/>
      </patternFill>
    </fill>
    <fill>
      <patternFill patternType="solid">
        <fgColor theme="2"/>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5" tint="0.39997558519241921"/>
        <bgColor indexed="64"/>
      </patternFill>
    </fill>
    <fill>
      <patternFill patternType="gray0625">
        <bgColor theme="0"/>
      </patternFill>
    </fill>
  </fills>
  <borders count="307">
    <border>
      <left/>
      <right/>
      <top/>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medium">
        <color indexed="64"/>
      </left>
      <right style="thin">
        <color indexed="64"/>
      </right>
      <top/>
      <bottom style="thin">
        <color indexed="64"/>
      </bottom>
      <diagonal/>
    </border>
    <border>
      <left/>
      <right/>
      <top style="thin">
        <color indexed="62"/>
      </top>
      <bottom style="double">
        <color indexed="62"/>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thick">
        <color indexed="64"/>
      </bottom>
      <diagonal/>
    </border>
    <border>
      <left/>
      <right style="thin">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ashed">
        <color indexed="64"/>
      </left>
      <right style="dashed">
        <color indexed="64"/>
      </right>
      <top style="dashed">
        <color indexed="64"/>
      </top>
      <bottom style="dashed">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diagonal/>
    </border>
    <border>
      <left/>
      <right/>
      <top style="medium">
        <color indexed="64"/>
      </top>
      <bottom/>
      <diagonal/>
    </border>
    <border>
      <left style="thin">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medium">
        <color indexed="64"/>
      </left>
      <right style="thin">
        <color indexed="64"/>
      </right>
      <top/>
      <bottom/>
      <diagonal/>
    </border>
    <border>
      <left/>
      <right/>
      <top style="hair">
        <color indexed="64"/>
      </top>
      <bottom style="hair">
        <color indexed="64"/>
      </bottom>
      <diagonal/>
    </border>
    <border>
      <left style="medium">
        <color indexed="64"/>
      </left>
      <right/>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medium">
        <color indexed="64"/>
      </right>
      <top style="hair">
        <color indexed="64"/>
      </top>
      <bottom/>
      <diagonal/>
    </border>
    <border>
      <left style="thin">
        <color indexed="64"/>
      </left>
      <right style="thin">
        <color indexed="64"/>
      </right>
      <top style="hair">
        <color indexed="64"/>
      </top>
      <bottom/>
      <diagonal/>
    </border>
    <border>
      <left style="thin">
        <color indexed="64"/>
      </left>
      <right/>
      <top/>
      <bottom style="thin">
        <color indexed="64"/>
      </bottom>
      <diagonal/>
    </border>
    <border>
      <left style="thin">
        <color indexed="64"/>
      </left>
      <right/>
      <top/>
      <bottom/>
      <diagonal/>
    </border>
    <border>
      <left/>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double">
        <color indexed="64"/>
      </left>
      <right style="double">
        <color indexed="64"/>
      </right>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double">
        <color indexed="64"/>
      </left>
      <right style="double">
        <color indexed="64"/>
      </right>
      <top/>
      <bottom/>
      <diagonal/>
    </border>
    <border>
      <left style="double">
        <color indexed="64"/>
      </left>
      <right style="thin">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right style="medium">
        <color indexed="64"/>
      </right>
      <top/>
      <bottom/>
      <diagonal/>
    </border>
    <border>
      <left style="hair">
        <color indexed="64"/>
      </left>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right style="hair">
        <color indexed="64"/>
      </right>
      <top/>
      <bottom style="thin">
        <color indexed="64"/>
      </bottom>
      <diagonal/>
    </border>
    <border>
      <left/>
      <right style="hair">
        <color indexed="64"/>
      </right>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diagonal/>
    </border>
    <border>
      <left style="medium">
        <color indexed="64"/>
      </left>
      <right style="thin">
        <color indexed="64"/>
      </right>
      <top style="medium">
        <color indexed="64"/>
      </top>
      <bottom style="thin">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hair">
        <color indexed="64"/>
      </top>
      <bottom style="medium">
        <color indexed="64"/>
      </bottom>
      <diagonal/>
    </border>
    <border>
      <left/>
      <right/>
      <top style="hair">
        <color indexed="64"/>
      </top>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bottom style="dotted">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hair">
        <color indexed="64"/>
      </right>
      <top style="thin">
        <color indexed="64"/>
      </top>
      <bottom style="thin">
        <color indexed="64"/>
      </bottom>
      <diagonal/>
    </border>
    <border>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hair">
        <color indexed="64"/>
      </left>
      <right style="thin">
        <color indexed="64"/>
      </right>
      <top/>
      <bottom style="dotted">
        <color indexed="64"/>
      </bottom>
      <diagonal/>
    </border>
    <border>
      <left style="thin">
        <color indexed="64"/>
      </left>
      <right style="hair">
        <color indexed="64"/>
      </right>
      <top/>
      <bottom style="dotted">
        <color indexed="64"/>
      </bottom>
      <diagonal/>
    </border>
    <border>
      <left style="hair">
        <color indexed="64"/>
      </left>
      <right style="thin">
        <color indexed="64"/>
      </right>
      <top style="dotted">
        <color indexed="64"/>
      </top>
      <bottom/>
      <diagonal/>
    </border>
    <border>
      <left style="thin">
        <color indexed="64"/>
      </left>
      <right style="hair">
        <color indexed="64"/>
      </right>
      <top style="dotted">
        <color indexed="64"/>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bottom style="dotted">
        <color indexed="64"/>
      </bottom>
      <diagonal/>
    </border>
    <border>
      <left style="medium">
        <color indexed="64"/>
      </left>
      <right/>
      <top style="dotted">
        <color indexed="64"/>
      </top>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bottom style="hair">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double">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style="hair">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style="hair">
        <color indexed="64"/>
      </left>
      <right style="hair">
        <color indexed="64"/>
      </right>
      <top style="medium">
        <color indexed="64"/>
      </top>
      <bottom/>
      <diagonal/>
    </border>
    <border>
      <left/>
      <right style="medium">
        <color indexed="64"/>
      </right>
      <top style="thin">
        <color indexed="64"/>
      </top>
      <bottom style="thin">
        <color indexed="64"/>
      </bottom>
      <diagonal/>
    </border>
    <border>
      <left/>
      <right/>
      <top style="medium">
        <color indexed="64"/>
      </top>
      <bottom style="dotted">
        <color indexed="64"/>
      </bottom>
      <diagonal/>
    </border>
    <border>
      <left/>
      <right style="hair">
        <color indexed="64"/>
      </right>
      <top style="thin">
        <color indexed="64"/>
      </top>
      <bottom style="medium">
        <color indexed="64"/>
      </bottom>
      <diagonal/>
    </border>
    <border>
      <left style="medium">
        <color indexed="64"/>
      </left>
      <right/>
      <top style="hair">
        <color indexed="64"/>
      </top>
      <bottom/>
      <diagonal/>
    </border>
    <border>
      <left style="thin">
        <color rgb="FF7F7F7F"/>
      </left>
      <right style="thin">
        <color rgb="FF7F7F7F"/>
      </right>
      <top style="thin">
        <color rgb="FF7F7F7F"/>
      </top>
      <bottom style="thin">
        <color rgb="FF7F7F7F"/>
      </bottom>
      <diagonal/>
    </border>
    <border>
      <left/>
      <right/>
      <top style="thin">
        <color rgb="FFFF0000"/>
      </top>
      <bottom/>
      <diagonal/>
    </border>
    <border>
      <left/>
      <right/>
      <top style="thick">
        <color rgb="FFFF0000"/>
      </top>
      <bottom/>
      <diagonal/>
    </border>
    <border>
      <left style="thin">
        <color indexed="64"/>
      </left>
      <right style="thick">
        <color rgb="FFFF0000"/>
      </right>
      <top/>
      <bottom style="thin">
        <color rgb="FFFF0000"/>
      </bottom>
      <diagonal/>
    </border>
    <border>
      <left/>
      <right style="thin">
        <color rgb="FF3F3F3F"/>
      </right>
      <top/>
      <bottom style="thin">
        <color rgb="FF3F3F3F"/>
      </bottom>
      <diagonal/>
    </border>
    <border>
      <left style="thin">
        <color indexed="64"/>
      </left>
      <right style="thick">
        <color rgb="FFFF0000"/>
      </right>
      <top/>
      <bottom/>
      <diagonal/>
    </border>
    <border>
      <left style="thin">
        <color rgb="FF3F3F3F"/>
      </left>
      <right style="thin">
        <color rgb="FF3F3F3F"/>
      </right>
      <top/>
      <bottom style="thin">
        <color rgb="FF3F3F3F"/>
      </bottom>
      <diagonal/>
    </border>
    <border>
      <left style="thin">
        <color indexed="64"/>
      </left>
      <right style="thin">
        <color indexed="64"/>
      </right>
      <top style="thin">
        <color indexed="64"/>
      </top>
      <bottom style="thick">
        <color rgb="FFFF0000"/>
      </bottom>
      <diagonal/>
    </border>
    <border>
      <left/>
      <right style="thin">
        <color indexed="64"/>
      </right>
      <top style="thin">
        <color indexed="64"/>
      </top>
      <bottom style="thick">
        <color rgb="FFFF0000"/>
      </bottom>
      <diagonal/>
    </border>
    <border>
      <left style="thin">
        <color rgb="FF3F3F3F"/>
      </left>
      <right style="thick">
        <color rgb="FFFF0000"/>
      </right>
      <top/>
      <bottom style="thin">
        <color rgb="FF3F3F3F"/>
      </bottom>
      <diagonal/>
    </border>
    <border>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rgb="FF3F3F3F"/>
      </left>
      <right style="thin">
        <color rgb="FF3F3F3F"/>
      </right>
      <top style="thin">
        <color rgb="FF3F3F3F"/>
      </top>
      <bottom/>
      <diagonal/>
    </border>
    <border>
      <left/>
      <right style="thin">
        <color rgb="FF3F3F3F"/>
      </right>
      <top style="thin">
        <color rgb="FF3F3F3F"/>
      </top>
      <bottom/>
      <diagonal/>
    </border>
    <border>
      <left/>
      <right style="thin">
        <color rgb="FF3F3F3F"/>
      </right>
      <top style="thin">
        <color rgb="FF3F3F3F"/>
      </top>
      <bottom style="thin">
        <color rgb="FF3F3F3F"/>
      </bottom>
      <diagonal/>
    </border>
    <border>
      <left/>
      <right/>
      <top style="thin">
        <color rgb="FF3F3F3F"/>
      </top>
      <bottom style="thin">
        <color rgb="FF3F3F3F"/>
      </bottom>
      <diagonal/>
    </border>
    <border>
      <left style="thin">
        <color rgb="FF3F3F3F"/>
      </left>
      <right style="thin">
        <color indexed="64"/>
      </right>
      <top/>
      <bottom style="thin">
        <color rgb="FF3F3F3F"/>
      </bottom>
      <diagonal/>
    </border>
    <border>
      <left/>
      <right/>
      <top/>
      <bottom style="double">
        <color indexed="10"/>
      </bottom>
      <diagonal/>
    </border>
    <border>
      <left/>
      <right/>
      <top/>
      <bottom style="thick">
        <color rgb="FFFF0000"/>
      </bottom>
      <diagonal/>
    </border>
    <border>
      <left style="thin">
        <color indexed="64"/>
      </left>
      <right style="thick">
        <color rgb="FFFF0000"/>
      </right>
      <top style="double">
        <color indexed="10"/>
      </top>
      <bottom style="thick">
        <color rgb="FFFF0000"/>
      </bottom>
      <diagonal/>
    </border>
    <border>
      <left style="thin">
        <color indexed="23"/>
      </left>
      <right style="thin">
        <color indexed="64"/>
      </right>
      <top style="double">
        <color indexed="10"/>
      </top>
      <bottom style="thick">
        <color rgb="FFFF0000"/>
      </bottom>
      <diagonal/>
    </border>
    <border>
      <left style="thin">
        <color rgb="FF7F7F7F"/>
      </left>
      <right style="thin">
        <color rgb="FF7F7F7F"/>
      </right>
      <top style="double">
        <color indexed="10"/>
      </top>
      <bottom style="thick">
        <color rgb="FFFF0000"/>
      </bottom>
      <diagonal/>
    </border>
    <border>
      <left/>
      <right style="thick">
        <color rgb="FFFF0000"/>
      </right>
      <top/>
      <bottom style="thick">
        <color rgb="FFFF0000"/>
      </bottom>
      <diagonal/>
    </border>
    <border>
      <left style="thick">
        <color rgb="FFFF0000"/>
      </left>
      <right/>
      <top/>
      <bottom style="thick">
        <color rgb="FFFF0000"/>
      </bottom>
      <diagonal/>
    </border>
    <border>
      <left style="thin">
        <color indexed="64"/>
      </left>
      <right style="thick">
        <color rgb="FFFF0000"/>
      </right>
      <top/>
      <bottom style="double">
        <color indexed="10"/>
      </bottom>
      <diagonal/>
    </border>
    <border>
      <left/>
      <right style="thin">
        <color indexed="64"/>
      </right>
      <top/>
      <bottom style="double">
        <color indexed="10"/>
      </bottom>
      <diagonal/>
    </border>
    <border>
      <left style="thin">
        <color indexed="64"/>
      </left>
      <right style="thick">
        <color rgb="FFFF0000"/>
      </right>
      <top style="double">
        <color indexed="10"/>
      </top>
      <bottom style="double">
        <color indexed="10"/>
      </bottom>
      <diagonal/>
    </border>
    <border>
      <left/>
      <right style="thin">
        <color indexed="64"/>
      </right>
      <top style="double">
        <color indexed="10"/>
      </top>
      <bottom style="double">
        <color indexed="10"/>
      </bottom>
      <diagonal/>
    </border>
    <border>
      <left style="thick">
        <color rgb="FFFF0000"/>
      </left>
      <right/>
      <top style="double">
        <color rgb="FFFF0000"/>
      </top>
      <bottom style="double">
        <color rgb="FFFF0000"/>
      </bottom>
      <diagonal/>
    </border>
    <border>
      <left style="thin">
        <color indexed="64"/>
      </left>
      <right style="thick">
        <color rgb="FFFF0000"/>
      </right>
      <top style="thick">
        <color rgb="FFFF0000"/>
      </top>
      <bottom style="double">
        <color indexed="10"/>
      </bottom>
      <diagonal/>
    </border>
    <border>
      <left/>
      <right/>
      <top style="thick">
        <color rgb="FFFF0000"/>
      </top>
      <bottom style="double">
        <color indexed="10"/>
      </bottom>
      <diagonal/>
    </border>
    <border>
      <left/>
      <right style="thin">
        <color indexed="64"/>
      </right>
      <top style="thick">
        <color rgb="FFFF0000"/>
      </top>
      <bottom style="double">
        <color indexed="10"/>
      </bottom>
      <diagonal/>
    </border>
    <border>
      <left/>
      <right style="thick">
        <color rgb="FFFF0000"/>
      </right>
      <top style="thick">
        <color rgb="FFFF0000"/>
      </top>
      <bottom style="double">
        <color indexed="10"/>
      </bottom>
      <diagonal/>
    </border>
    <border>
      <left style="thick">
        <color rgb="FFFF0000"/>
      </left>
      <right/>
      <top style="thick">
        <color rgb="FFFF0000"/>
      </top>
      <bottom style="double">
        <color rgb="FFFF0000"/>
      </bottom>
      <diagonal/>
    </border>
    <border>
      <left style="thin">
        <color indexed="64"/>
      </left>
      <right/>
      <top style="thick">
        <color rgb="FFFF0000"/>
      </top>
      <bottom style="double">
        <color indexed="10"/>
      </bottom>
      <diagonal/>
    </border>
    <border>
      <left style="thin">
        <color indexed="64"/>
      </left>
      <right style="thick">
        <color rgb="FFFF0000"/>
      </right>
      <top style="thin">
        <color indexed="64"/>
      </top>
      <bottom style="thick">
        <color rgb="FFFF0000"/>
      </bottom>
      <diagonal/>
    </border>
    <border>
      <left style="thin">
        <color indexed="64"/>
      </left>
      <right style="thick">
        <color rgb="FFFF0000"/>
      </right>
      <top style="thin">
        <color indexed="64"/>
      </top>
      <bottom style="thin">
        <color indexed="64"/>
      </bottom>
      <diagonal/>
    </border>
    <border>
      <left style="thin">
        <color rgb="FF3F3F3F"/>
      </left>
      <right style="thick">
        <color rgb="FFFF0000"/>
      </right>
      <top style="thin">
        <color rgb="FF3F3F3F"/>
      </top>
      <bottom/>
      <diagonal/>
    </border>
    <border>
      <left style="thin">
        <color rgb="FF3F3F3F"/>
      </left>
      <right style="thick">
        <color rgb="FFFF0000"/>
      </right>
      <top style="thin">
        <color rgb="FF3F3F3F"/>
      </top>
      <bottom style="thin">
        <color rgb="FF3F3F3F"/>
      </bottom>
      <diagonal/>
    </border>
    <border>
      <left/>
      <right/>
      <top style="thin">
        <color indexed="64"/>
      </top>
      <bottom style="double">
        <color indexed="64"/>
      </bottom>
      <diagonal/>
    </border>
    <border>
      <left/>
      <right/>
      <top/>
      <bottom style="double">
        <color indexed="64"/>
      </bottom>
      <diagonal/>
    </border>
    <border>
      <left/>
      <right/>
      <top style="dotted">
        <color indexed="64"/>
      </top>
      <bottom style="thin">
        <color indexed="64"/>
      </bottom>
      <diagonal/>
    </border>
    <border>
      <left style="medium">
        <color indexed="64"/>
      </left>
      <right style="dashed">
        <color indexed="64"/>
      </right>
      <top/>
      <bottom style="medium">
        <color indexed="64"/>
      </bottom>
      <diagonal/>
    </border>
    <border>
      <left style="medium">
        <color indexed="64"/>
      </left>
      <right style="medium">
        <color indexed="64"/>
      </right>
      <top style="dotted">
        <color indexed="64"/>
      </top>
      <bottom/>
      <diagonal/>
    </border>
    <border>
      <left style="medium">
        <color indexed="64"/>
      </left>
      <right style="dashed">
        <color indexed="64"/>
      </right>
      <top/>
      <bottom/>
      <diagonal/>
    </border>
    <border>
      <left style="medium">
        <color indexed="64"/>
      </left>
      <right style="medium">
        <color indexed="64"/>
      </right>
      <top/>
      <bottom style="dotted">
        <color indexed="64"/>
      </bottom>
      <diagonal/>
    </border>
    <border>
      <left style="medium">
        <color indexed="64"/>
      </left>
      <right style="dashed">
        <color indexed="64"/>
      </right>
      <top style="thin">
        <color indexed="64"/>
      </top>
      <bottom style="thin">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style="medium">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otted">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thin">
        <color indexed="64"/>
      </top>
      <bottom style="dotted">
        <color indexed="64"/>
      </bottom>
      <diagonal/>
    </border>
    <border>
      <left style="dashed">
        <color indexed="64"/>
      </left>
      <right style="medium">
        <color indexed="64"/>
      </right>
      <top/>
      <bottom style="thin">
        <color indexed="64"/>
      </bottom>
      <diagonal/>
    </border>
    <border>
      <left style="medium">
        <color indexed="64"/>
      </left>
      <right style="dashed">
        <color indexed="64"/>
      </right>
      <top/>
      <bottom style="thin">
        <color indexed="64"/>
      </bottom>
      <diagonal/>
    </border>
    <border>
      <left style="dashed">
        <color indexed="64"/>
      </left>
      <right style="medium">
        <color indexed="64"/>
      </right>
      <top/>
      <bottom/>
      <diagonal/>
    </border>
    <border>
      <left style="medium">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hair">
        <color indexed="64"/>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right/>
      <top style="hair">
        <color indexed="64"/>
      </top>
      <bottom style="thin">
        <color indexed="64"/>
      </bottom>
      <diagonal/>
    </border>
    <border>
      <left/>
      <right style="medium">
        <color auto="1"/>
      </right>
      <top/>
      <bottom/>
      <diagonal/>
    </border>
    <border>
      <left/>
      <right/>
      <top style="thin">
        <color auto="1"/>
      </top>
      <bottom/>
      <diagonal/>
    </border>
    <border>
      <left/>
      <right style="hair">
        <color indexed="64"/>
      </right>
      <top style="thin">
        <color indexed="64"/>
      </top>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hair">
        <color indexed="64"/>
      </top>
      <bottom/>
      <diagonal/>
    </border>
    <border>
      <left/>
      <right style="hair">
        <color indexed="64"/>
      </right>
      <top style="hair">
        <color indexed="64"/>
      </top>
      <bottom style="hair">
        <color indexed="64"/>
      </bottom>
      <diagonal/>
    </border>
    <border>
      <left/>
      <right style="thin">
        <color theme="1"/>
      </right>
      <top/>
      <bottom/>
      <diagonal/>
    </border>
    <border>
      <left/>
      <right style="thin">
        <color theme="0" tint="-0.14999847407452621"/>
      </right>
      <top/>
      <bottom/>
      <diagonal/>
    </border>
    <border>
      <left style="thin">
        <color indexed="64"/>
      </left>
      <right/>
      <top style="thin">
        <color theme="0" tint="-0.14999847407452621"/>
      </top>
      <bottom/>
      <diagonal/>
    </border>
    <border>
      <left style="thin">
        <color indexed="64"/>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style="thin">
        <color theme="0" tint="-0.14999847407452621"/>
      </bottom>
      <diagonal/>
    </border>
    <border>
      <left/>
      <right style="thin">
        <color theme="0" tint="-0.14999847407452621"/>
      </right>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indexed="64"/>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indexed="64"/>
      </left>
      <right style="thin">
        <color theme="0" tint="-0.14999847407452621"/>
      </right>
      <top style="thin">
        <color theme="0" tint="-0.14999847407452621"/>
      </top>
      <bottom/>
      <diagonal/>
    </border>
    <border>
      <left style="hair">
        <color indexed="64"/>
      </left>
      <right style="thin">
        <color indexed="64"/>
      </right>
      <top/>
      <bottom style="thin">
        <color theme="0" tint="-0.14999847407452621"/>
      </bottom>
      <diagonal/>
    </border>
    <border>
      <left style="thin">
        <color theme="0" tint="-0.14999847407452621"/>
      </left>
      <right style="thin">
        <color theme="0" tint="-0.14999847407452621"/>
      </right>
      <top/>
      <bottom/>
      <diagonal/>
    </border>
    <border>
      <left style="thin">
        <color indexed="64"/>
      </left>
      <right style="hair">
        <color indexed="64"/>
      </right>
      <top/>
      <bottom style="thin">
        <color theme="0" tint="-0.14999847407452621"/>
      </bottom>
      <diagonal/>
    </border>
    <border>
      <left/>
      <right style="thin">
        <color indexed="64"/>
      </right>
      <top/>
      <bottom style="thin">
        <color theme="0" tint="-0.14999847407452621"/>
      </bottom>
      <diagonal/>
    </border>
    <border>
      <left style="thin">
        <color theme="0" tint="-0.14999847407452621"/>
      </left>
      <right/>
      <top/>
      <bottom style="thin">
        <color indexed="64"/>
      </bottom>
      <diagonal/>
    </border>
    <border>
      <left/>
      <right style="thin">
        <color theme="0" tint="-0.14999847407452621"/>
      </right>
      <top/>
      <bottom style="thin">
        <color indexed="64"/>
      </bottom>
      <diagonal/>
    </border>
    <border>
      <left style="thin">
        <color theme="0" tint="-0.14999847407452621"/>
      </left>
      <right/>
      <top/>
      <bottom/>
      <diagonal/>
    </border>
    <border>
      <left style="thin">
        <color theme="0" tint="-0.14999847407452621"/>
      </left>
      <right/>
      <top style="thin">
        <color indexed="64"/>
      </top>
      <bottom/>
      <diagonal/>
    </border>
    <border>
      <left style="thin">
        <color theme="0" tint="-0.14999847407452621"/>
      </left>
      <right/>
      <top style="hair">
        <color indexed="64"/>
      </top>
      <bottom style="thin">
        <color theme="0" tint="-0.14999847407452621"/>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indexed="64"/>
      </left>
      <right/>
      <top style="medium">
        <color indexed="64"/>
      </top>
      <bottom style="thin">
        <color theme="0" tint="-0.14999847407452621"/>
      </bottom>
      <diagonal/>
    </border>
    <border>
      <left style="thin">
        <color indexed="64"/>
      </left>
      <right/>
      <top style="thin">
        <color theme="0" tint="-0.14999847407452621"/>
      </top>
      <bottom style="thin">
        <color indexed="64"/>
      </bottom>
      <diagonal/>
    </border>
    <border>
      <left style="hair">
        <color indexed="64"/>
      </left>
      <right style="hair">
        <color indexed="64"/>
      </right>
      <top style="thin">
        <color indexed="64"/>
      </top>
      <bottom style="thin">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diagonal/>
    </border>
    <border>
      <left/>
      <right style="thin">
        <color theme="1"/>
      </right>
      <top/>
      <bottom style="medium">
        <color indexed="64"/>
      </bottom>
      <diagonal/>
    </border>
  </borders>
  <cellStyleXfs count="182">
    <xf numFmtId="0" fontId="0" fillId="0" borderId="0"/>
    <xf numFmtId="0" fontId="5" fillId="0" borderId="0"/>
    <xf numFmtId="0" fontId="8" fillId="0" borderId="0" applyNumberFormat="0" applyFill="0" applyBorder="0" applyAlignment="0" applyProtection="0">
      <alignment vertical="top"/>
      <protection locked="0"/>
    </xf>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2" borderId="0" applyNumberFormat="0" applyBorder="0" applyAlignment="0" applyProtection="0"/>
    <xf numFmtId="0" fontId="24" fillId="23" borderId="4" applyNumberFormat="0" applyAlignment="0" applyProtection="0"/>
    <xf numFmtId="0" fontId="25" fillId="23" borderId="5" applyNumberFormat="0" applyAlignment="0" applyProtection="0"/>
    <xf numFmtId="4" fontId="10" fillId="0" borderId="3"/>
    <xf numFmtId="165" fontId="10" fillId="0" borderId="6">
      <protection locked="0"/>
    </xf>
    <xf numFmtId="165" fontId="10" fillId="0" borderId="6">
      <protection locked="0"/>
    </xf>
    <xf numFmtId="165" fontId="10" fillId="0" borderId="6">
      <protection locked="0"/>
    </xf>
    <xf numFmtId="165" fontId="10" fillId="0" borderId="6">
      <protection locked="0"/>
    </xf>
    <xf numFmtId="0" fontId="26" fillId="10" borderId="5" applyNumberFormat="0" applyAlignment="0" applyProtection="0"/>
    <xf numFmtId="4" fontId="10" fillId="24" borderId="0">
      <alignment horizontal="right" vertical="center" shrinkToFit="1"/>
      <protection locked="0"/>
    </xf>
    <xf numFmtId="0" fontId="27" fillId="0" borderId="7" applyNumberFormat="0" applyFill="0" applyAlignment="0" applyProtection="0"/>
    <xf numFmtId="0" fontId="28" fillId="0" borderId="0" applyNumberFormat="0" applyFill="0" applyBorder="0" applyAlignment="0" applyProtection="0"/>
    <xf numFmtId="16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44" fontId="10" fillId="0" borderId="0" applyFont="0" applyFill="0" applyBorder="0" applyAlignment="0" applyProtection="0"/>
    <xf numFmtId="167" fontId="7" fillId="0" borderId="8">
      <alignment horizontal="center" vertical="center"/>
    </xf>
    <xf numFmtId="0" fontId="29" fillId="7" borderId="0" applyNumberFormat="0" applyBorder="0" applyAlignment="0" applyProtection="0"/>
    <xf numFmtId="0" fontId="30" fillId="0" borderId="0" applyNumberFormat="0" applyFill="0" applyBorder="0" applyAlignment="0" applyProtection="0">
      <alignment vertical="top"/>
      <protection locked="0"/>
    </xf>
    <xf numFmtId="0" fontId="31" fillId="0" borderId="0" applyNumberFormat="0" applyFill="0" applyBorder="0" applyAlignment="0" applyProtection="0"/>
    <xf numFmtId="168"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0" fontId="10" fillId="4" borderId="3">
      <alignment vertical="center" shrinkToFit="1"/>
    </xf>
    <xf numFmtId="169" fontId="10" fillId="4" borderId="3">
      <alignment vertical="center" shrinkToFit="1"/>
    </xf>
    <xf numFmtId="4" fontId="10" fillId="0" borderId="3">
      <alignment vertical="center" shrinkToFit="1"/>
    </xf>
    <xf numFmtId="4" fontId="10" fillId="0" borderId="9">
      <alignment vertical="center"/>
    </xf>
    <xf numFmtId="0" fontId="32" fillId="0" borderId="0">
      <alignment horizontal="center"/>
    </xf>
    <xf numFmtId="0" fontId="33" fillId="25" borderId="0" applyNumberFormat="0" applyBorder="0" applyAlignment="0" applyProtection="0"/>
    <xf numFmtId="0" fontId="10" fillId="26" borderId="10" applyNumberFormat="0" applyFont="0" applyAlignment="0" applyProtection="0"/>
    <xf numFmtId="0" fontId="10" fillId="26" borderId="10" applyNumberFormat="0" applyFont="0" applyAlignment="0" applyProtection="0"/>
    <xf numFmtId="0" fontId="10" fillId="26" borderId="10" applyNumberFormat="0" applyFont="0" applyAlignment="0" applyProtection="0"/>
    <xf numFmtId="0" fontId="10" fillId="26" borderId="10"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4" fillId="6" borderId="0" applyNumberFormat="0" applyBorder="0" applyAlignment="0" applyProtection="0"/>
    <xf numFmtId="0" fontId="15" fillId="27" borderId="3" applyNumberFormat="0">
      <alignment horizontal="center"/>
    </xf>
    <xf numFmtId="0" fontId="10" fillId="0" borderId="0"/>
    <xf numFmtId="0" fontId="21" fillId="27" borderId="11" applyProtection="0">
      <protection locked="0"/>
    </xf>
    <xf numFmtId="0" fontId="35"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6" fillId="0" borderId="0"/>
    <xf numFmtId="0" fontId="21" fillId="0" borderId="0">
      <protection locked="0"/>
    </xf>
    <xf numFmtId="0" fontId="10" fillId="0" borderId="0">
      <protection locked="0"/>
    </xf>
    <xf numFmtId="0" fontId="36" fillId="0" borderId="0"/>
    <xf numFmtId="0" fontId="17" fillId="0" borderId="0"/>
    <xf numFmtId="170" fontId="7" fillId="28" borderId="12">
      <alignment horizontal="right" vertical="center"/>
    </xf>
    <xf numFmtId="49" fontId="10" fillId="0" borderId="3"/>
    <xf numFmtId="49" fontId="10" fillId="0" borderId="3"/>
    <xf numFmtId="49" fontId="10" fillId="0" borderId="3"/>
    <xf numFmtId="49" fontId="10" fillId="0" borderId="3"/>
    <xf numFmtId="0" fontId="37" fillId="0" borderId="13" applyNumberFormat="0" applyFill="0" applyAlignment="0" applyProtection="0"/>
    <xf numFmtId="0" fontId="38" fillId="0" borderId="14" applyNumberFormat="0" applyFill="0" applyAlignment="0" applyProtection="0"/>
    <xf numFmtId="0" fontId="39" fillId="0" borderId="15"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16" applyNumberFormat="0" applyFill="0" applyAlignment="0" applyProtection="0"/>
    <xf numFmtId="44" fontId="10" fillId="0" borderId="0" applyFont="0" applyFill="0" applyBorder="0" applyAlignment="0" applyProtection="0"/>
    <xf numFmtId="0" fontId="42" fillId="0" borderId="0" applyNumberFormat="0" applyFill="0" applyBorder="0" applyAlignment="0" applyProtection="0"/>
    <xf numFmtId="3" fontId="13" fillId="0" borderId="17">
      <alignment horizontal="center" vertical="center" shrinkToFit="1"/>
    </xf>
    <xf numFmtId="0" fontId="43" fillId="29" borderId="18" applyNumberFormat="0" applyAlignment="0" applyProtection="0"/>
    <xf numFmtId="0" fontId="4" fillId="36" borderId="1" applyNumberFormat="0" applyAlignment="0" applyProtection="0"/>
    <xf numFmtId="0" fontId="99" fillId="0" borderId="0" applyFont="0">
      <alignment vertical="center"/>
    </xf>
    <xf numFmtId="0" fontId="17" fillId="0" borderId="0"/>
    <xf numFmtId="0" fontId="99" fillId="0" borderId="0" applyFont="0">
      <alignment vertical="center"/>
    </xf>
    <xf numFmtId="0" fontId="10" fillId="0" borderId="3">
      <alignment vertical="center"/>
    </xf>
    <xf numFmtId="0" fontId="10" fillId="0" borderId="3">
      <alignment vertical="center"/>
    </xf>
    <xf numFmtId="0" fontId="45" fillId="31" borderId="91">
      <alignment horizontal="left" vertical="center"/>
      <protection locked="0"/>
    </xf>
    <xf numFmtId="0" fontId="12" fillId="0" borderId="204" applyNumberFormat="0" applyFill="0" applyAlignment="0" applyProtection="0"/>
    <xf numFmtId="0" fontId="76" fillId="36" borderId="187" applyNumberFormat="0" applyAlignment="0" applyProtection="0"/>
    <xf numFmtId="9" fontId="5" fillId="0" borderId="0" applyFont="0" applyFill="0" applyBorder="0" applyAlignment="0" applyProtection="0"/>
    <xf numFmtId="0" fontId="169" fillId="0" borderId="0"/>
    <xf numFmtId="0" fontId="170" fillId="0" borderId="0"/>
    <xf numFmtId="0" fontId="171" fillId="0" borderId="0"/>
    <xf numFmtId="9" fontId="5" fillId="0" borderId="0" applyFont="0" applyFill="0" applyBorder="0" applyAlignment="0" applyProtection="0"/>
    <xf numFmtId="0" fontId="3" fillId="0" borderId="0"/>
    <xf numFmtId="0" fontId="5" fillId="0" borderId="3">
      <alignment vertical="center"/>
    </xf>
    <xf numFmtId="0" fontId="5" fillId="0" borderId="3">
      <alignment vertical="center"/>
    </xf>
    <xf numFmtId="0" fontId="173" fillId="0" borderId="0"/>
    <xf numFmtId="166" fontId="5" fillId="0" borderId="0" applyFont="0" applyFill="0" applyBorder="0" applyAlignment="0" applyProtection="0"/>
    <xf numFmtId="0" fontId="30" fillId="0" borderId="0" applyNumberFormat="0" applyFill="0" applyBorder="0" applyAlignment="0" applyProtection="0">
      <alignment vertical="top"/>
      <protection locked="0"/>
    </xf>
    <xf numFmtId="168" fontId="5" fillId="0" borderId="0" applyFont="0" applyFill="0" applyBorder="0" applyAlignment="0" applyProtection="0"/>
    <xf numFmtId="4" fontId="5" fillId="0" borderId="9">
      <alignment vertical="center"/>
    </xf>
    <xf numFmtId="0" fontId="5" fillId="0" borderId="0"/>
    <xf numFmtId="0" fontId="8" fillId="0" borderId="0" applyNumberFormat="0" applyFill="0" applyBorder="0" applyAlignment="0" applyProtection="0">
      <alignment vertical="top"/>
      <protection locked="0"/>
    </xf>
    <xf numFmtId="4" fontId="5" fillId="0" borderId="3"/>
    <xf numFmtId="165" fontId="5" fillId="0" borderId="6">
      <protection locked="0"/>
    </xf>
    <xf numFmtId="165" fontId="5" fillId="0" borderId="6">
      <protection locked="0"/>
    </xf>
    <xf numFmtId="165" fontId="5" fillId="0" borderId="6">
      <protection locked="0"/>
    </xf>
    <xf numFmtId="165" fontId="5" fillId="0" borderId="6">
      <protection locked="0"/>
    </xf>
    <xf numFmtId="4" fontId="5" fillId="24" borderId="0">
      <alignment horizontal="right" vertical="center" shrinkToFit="1"/>
      <protection locked="0"/>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8" fontId="5" fillId="0" borderId="0" applyFont="0" applyFill="0" applyBorder="0" applyAlignment="0" applyProtection="0"/>
    <xf numFmtId="10" fontId="5" fillId="4" borderId="3">
      <alignment vertical="center" shrinkToFit="1"/>
    </xf>
    <xf numFmtId="169" fontId="5" fillId="4" borderId="3">
      <alignment vertical="center" shrinkToFit="1"/>
    </xf>
    <xf numFmtId="0" fontId="5" fillId="26" borderId="10" applyNumberFormat="0" applyFont="0" applyAlignment="0" applyProtection="0"/>
    <xf numFmtId="0" fontId="5" fillId="26" borderId="10" applyNumberFormat="0" applyFont="0" applyAlignment="0" applyProtection="0"/>
    <xf numFmtId="0" fontId="5" fillId="26" borderId="10" applyNumberFormat="0" applyFont="0" applyAlignment="0" applyProtection="0"/>
    <xf numFmtId="0" fontId="5" fillId="26" borderId="10" applyNumberFormat="0" applyFont="0" applyAlignment="0" applyProtection="0"/>
    <xf numFmtId="9" fontId="5" fillId="0" borderId="0" applyFont="0" applyFill="0" applyBorder="0" applyAlignment="0" applyProtection="0"/>
    <xf numFmtId="0" fontId="5" fillId="0" borderId="0"/>
    <xf numFmtId="0" fontId="5" fillId="0" borderId="0"/>
    <xf numFmtId="0" fontId="5" fillId="0" borderId="0">
      <protection locked="0"/>
    </xf>
    <xf numFmtId="49" fontId="5" fillId="0" borderId="3"/>
    <xf numFmtId="49" fontId="5" fillId="0" borderId="3"/>
    <xf numFmtId="49" fontId="5" fillId="0" borderId="3"/>
    <xf numFmtId="49" fontId="5" fillId="0" borderId="3"/>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74" fillId="0" borderId="0"/>
    <xf numFmtId="0" fontId="175" fillId="0" borderId="0"/>
    <xf numFmtId="0" fontId="2" fillId="0" borderId="0"/>
    <xf numFmtId="0" fontId="5" fillId="0" borderId="0"/>
  </cellStyleXfs>
  <cellXfs count="4519">
    <xf numFmtId="0" fontId="0" fillId="0" borderId="0" xfId="0"/>
    <xf numFmtId="0" fontId="5" fillId="0" borderId="0" xfId="1" applyAlignment="1">
      <alignment vertical="center"/>
    </xf>
    <xf numFmtId="3" fontId="5" fillId="0" borderId="0" xfId="1" applyNumberFormat="1" applyAlignment="1">
      <alignment vertical="center"/>
    </xf>
    <xf numFmtId="0" fontId="5" fillId="0" borderId="0" xfId="1" applyAlignment="1">
      <alignment horizontal="left" vertical="center"/>
    </xf>
    <xf numFmtId="0" fontId="5" fillId="0" borderId="0" xfId="1" applyBorder="1" applyAlignment="1">
      <alignment vertical="center"/>
    </xf>
    <xf numFmtId="0" fontId="5" fillId="0" borderId="0" xfId="1" applyBorder="1" applyAlignment="1">
      <alignment horizontal="left" vertical="center"/>
    </xf>
    <xf numFmtId="0" fontId="5" fillId="0" borderId="2" xfId="1" applyBorder="1" applyAlignment="1">
      <alignment horizontal="right" vertical="center"/>
    </xf>
    <xf numFmtId="0" fontId="5" fillId="0" borderId="2" xfId="1" applyBorder="1" applyAlignment="1">
      <alignment horizontal="left" vertical="center"/>
    </xf>
    <xf numFmtId="0" fontId="5" fillId="0" borderId="2" xfId="1" applyBorder="1" applyAlignment="1">
      <alignment vertical="center"/>
    </xf>
    <xf numFmtId="0" fontId="7" fillId="0" borderId="0" xfId="1" applyFont="1" applyBorder="1" applyAlignment="1">
      <alignment horizontal="right" vertical="center"/>
    </xf>
    <xf numFmtId="0" fontId="6" fillId="0" borderId="0" xfId="1" applyFont="1" applyBorder="1" applyAlignment="1">
      <alignment vertical="center"/>
    </xf>
    <xf numFmtId="10" fontId="5" fillId="0" borderId="0" xfId="1" applyNumberFormat="1" applyAlignment="1">
      <alignment vertical="center"/>
    </xf>
    <xf numFmtId="0" fontId="10" fillId="0" borderId="0" xfId="1" applyFont="1"/>
    <xf numFmtId="0" fontId="11" fillId="3" borderId="0" xfId="2" applyFont="1" applyFill="1" applyBorder="1" applyAlignment="1" applyProtection="1">
      <alignment horizontal="left" vertical="center"/>
    </xf>
    <xf numFmtId="0" fontId="10" fillId="0" borderId="0" xfId="1" applyFont="1" applyBorder="1" applyAlignment="1">
      <alignment vertical="center"/>
    </xf>
    <xf numFmtId="0" fontId="6" fillId="0" borderId="0" xfId="1" applyFont="1" applyBorder="1" applyAlignment="1">
      <alignment horizontal="left" vertical="center"/>
    </xf>
    <xf numFmtId="0" fontId="10" fillId="0" borderId="0" xfId="1" applyFont="1" applyBorder="1" applyAlignment="1">
      <alignment horizontal="left" vertical="center"/>
    </xf>
    <xf numFmtId="0" fontId="12" fillId="0" borderId="0" xfId="1" applyFont="1" applyBorder="1" applyAlignment="1">
      <alignment horizontal="right" vertical="center"/>
    </xf>
    <xf numFmtId="0" fontId="13" fillId="0" borderId="0" xfId="1" applyFont="1" applyBorder="1" applyAlignment="1">
      <alignment vertical="center"/>
    </xf>
    <xf numFmtId="0" fontId="14" fillId="0" borderId="0" xfId="1" applyFont="1" applyBorder="1" applyAlignment="1">
      <alignment horizontal="right" vertical="center"/>
    </xf>
    <xf numFmtId="0" fontId="15" fillId="0" borderId="0" xfId="1" applyFont="1" applyBorder="1" applyAlignment="1">
      <alignment vertical="center"/>
    </xf>
    <xf numFmtId="0" fontId="10" fillId="0" borderId="0" xfId="1" applyFont="1" applyBorder="1" applyAlignment="1"/>
    <xf numFmtId="0" fontId="5" fillId="0" borderId="0" xfId="1" applyBorder="1" applyAlignment="1"/>
    <xf numFmtId="0" fontId="6" fillId="0" borderId="0" xfId="1" applyFont="1" applyBorder="1" applyAlignment="1">
      <alignment horizontal="right" vertical="center"/>
    </xf>
    <xf numFmtId="3" fontId="6" fillId="0" borderId="0" xfId="1" applyNumberFormat="1" applyFont="1" applyAlignment="1">
      <alignment horizontal="right" vertical="center"/>
    </xf>
    <xf numFmtId="0" fontId="7" fillId="0" borderId="0" xfId="1" applyFont="1" applyBorder="1" applyAlignment="1">
      <alignment horizontal="left" vertical="center"/>
    </xf>
    <xf numFmtId="0" fontId="5" fillId="4" borderId="0" xfId="1" applyFill="1" applyBorder="1" applyAlignment="1">
      <alignment vertical="center"/>
    </xf>
    <xf numFmtId="0" fontId="5" fillId="0" borderId="0" xfId="1" applyAlignment="1" applyProtection="1">
      <alignment vertical="center"/>
    </xf>
    <xf numFmtId="0" fontId="5" fillId="0" borderId="0" xfId="1" applyBorder="1" applyAlignment="1" applyProtection="1">
      <alignment vertical="center"/>
    </xf>
    <xf numFmtId="0" fontId="5" fillId="0" borderId="0" xfId="1"/>
    <xf numFmtId="0" fontId="10" fillId="0" borderId="0" xfId="1" applyFont="1" applyBorder="1"/>
    <xf numFmtId="0" fontId="10" fillId="0" borderId="0" xfId="1" applyFont="1" applyAlignment="1" applyProtection="1">
      <alignment vertical="center"/>
    </xf>
    <xf numFmtId="0" fontId="10" fillId="0" borderId="19" xfId="1" applyFont="1" applyBorder="1" applyAlignment="1" applyProtection="1">
      <alignment vertical="center"/>
    </xf>
    <xf numFmtId="0" fontId="6" fillId="0" borderId="0" xfId="1" applyFont="1" applyBorder="1" applyAlignment="1" applyProtection="1">
      <alignment vertical="center"/>
    </xf>
    <xf numFmtId="0" fontId="10" fillId="0" borderId="0" xfId="1" applyFont="1" applyBorder="1" applyAlignment="1" applyProtection="1">
      <alignment vertical="center"/>
    </xf>
    <xf numFmtId="0" fontId="10" fillId="0" borderId="0" xfId="1" applyFont="1" applyBorder="1" applyAlignment="1" applyProtection="1">
      <alignment horizontal="left" vertical="center"/>
    </xf>
    <xf numFmtId="0" fontId="7" fillId="0" borderId="0" xfId="1" applyFont="1" applyAlignment="1" applyProtection="1">
      <alignment vertical="center"/>
    </xf>
    <xf numFmtId="0" fontId="7" fillId="0" borderId="19" xfId="1" applyFont="1" applyBorder="1" applyAlignment="1" applyProtection="1">
      <alignment vertical="center"/>
    </xf>
    <xf numFmtId="0" fontId="7" fillId="0" borderId="0" xfId="1" applyFont="1" applyBorder="1" applyAlignment="1" applyProtection="1">
      <alignment horizontal="left" vertical="center"/>
    </xf>
    <xf numFmtId="0" fontId="7" fillId="0" borderId="0" xfId="1" applyFont="1" applyBorder="1" applyAlignment="1" applyProtection="1">
      <alignment vertical="center"/>
    </xf>
    <xf numFmtId="0" fontId="15" fillId="0" borderId="0" xfId="1" applyFont="1" applyBorder="1" applyAlignment="1" applyProtection="1">
      <alignment vertical="center"/>
    </xf>
    <xf numFmtId="0" fontId="44" fillId="0" borderId="0" xfId="1" applyFont="1" applyBorder="1" applyAlignment="1" applyProtection="1">
      <alignment vertical="center"/>
    </xf>
    <xf numFmtId="0" fontId="5" fillId="0" borderId="0" xfId="1" applyAlignment="1" applyProtection="1">
      <alignment vertical="center"/>
      <protection locked="0"/>
    </xf>
    <xf numFmtId="0" fontId="7" fillId="4" borderId="0" xfId="1" applyFont="1" applyFill="1" applyBorder="1" applyAlignment="1" applyProtection="1">
      <alignment vertical="center"/>
    </xf>
    <xf numFmtId="0" fontId="10" fillId="4" borderId="0" xfId="1" applyFont="1" applyFill="1" applyBorder="1" applyAlignment="1" applyProtection="1">
      <alignment vertical="center"/>
    </xf>
    <xf numFmtId="0" fontId="7" fillId="0" borderId="0" xfId="1" applyFont="1" applyAlignment="1" applyProtection="1">
      <alignment vertical="center"/>
      <protection locked="0"/>
    </xf>
    <xf numFmtId="0" fontId="14" fillId="0" borderId="0" xfId="1" applyFont="1" applyAlignment="1" applyProtection="1">
      <alignment vertical="center"/>
    </xf>
    <xf numFmtId="0" fontId="14" fillId="0" borderId="0" xfId="1" applyFont="1" applyBorder="1" applyAlignment="1" applyProtection="1">
      <alignment horizontal="left" vertical="center"/>
    </xf>
    <xf numFmtId="0" fontId="14" fillId="0" borderId="0" xfId="1" applyFont="1" applyBorder="1" applyAlignment="1" applyProtection="1">
      <alignment vertical="center"/>
    </xf>
    <xf numFmtId="0" fontId="45" fillId="0" borderId="0" xfId="1" applyFont="1" applyBorder="1" applyAlignment="1" applyProtection="1">
      <alignment vertical="center"/>
    </xf>
    <xf numFmtId="0" fontId="5" fillId="0" borderId="0" xfId="1" applyBorder="1" applyAlignment="1" applyProtection="1">
      <alignment horizontal="left" vertical="center"/>
    </xf>
    <xf numFmtId="0" fontId="7" fillId="0" borderId="0" xfId="1" applyFont="1" applyBorder="1" applyAlignment="1" applyProtection="1">
      <alignment horizontal="center" vertical="center"/>
    </xf>
    <xf numFmtId="0" fontId="5" fillId="0" borderId="0" xfId="1" applyBorder="1" applyAlignment="1" applyProtection="1">
      <alignment horizontal="centerContinuous" vertical="center"/>
    </xf>
    <xf numFmtId="0" fontId="10" fillId="0" borderId="0" xfId="1" applyFont="1" applyAlignment="1">
      <alignment vertical="center"/>
    </xf>
    <xf numFmtId="0" fontId="7" fillId="0" borderId="0" xfId="1" applyFont="1" applyBorder="1" applyAlignment="1">
      <alignment vertical="center"/>
    </xf>
    <xf numFmtId="0" fontId="10" fillId="0" borderId="0" xfId="1" applyFont="1" applyAlignment="1" applyProtection="1">
      <alignment vertical="center"/>
      <protection locked="0"/>
    </xf>
    <xf numFmtId="171" fontId="46" fillId="30" borderId="0" xfId="1" applyNumberFormat="1" applyFont="1" applyFill="1" applyBorder="1" applyAlignment="1">
      <alignment horizontal="right" vertical="center"/>
    </xf>
    <xf numFmtId="171" fontId="46" fillId="4" borderId="0" xfId="1" applyNumberFormat="1" applyFont="1" applyFill="1" applyBorder="1" applyAlignment="1">
      <alignment horizontal="right" vertical="center"/>
    </xf>
    <xf numFmtId="0" fontId="47" fillId="0" borderId="0" xfId="1" applyFont="1" applyAlignment="1">
      <alignment vertical="center"/>
    </xf>
    <xf numFmtId="0" fontId="47" fillId="0" borderId="0" xfId="1" applyFont="1" applyAlignment="1" applyProtection="1">
      <alignment vertical="center"/>
      <protection locked="0"/>
    </xf>
    <xf numFmtId="0" fontId="15" fillId="31" borderId="36" xfId="1" applyFont="1" applyFill="1" applyBorder="1" applyAlignment="1" applyProtection="1">
      <alignment horizontal="center" vertical="center"/>
      <protection locked="0"/>
    </xf>
    <xf numFmtId="0" fontId="7" fillId="0" borderId="25" xfId="1" applyFont="1" applyBorder="1" applyAlignment="1">
      <alignment vertical="center"/>
    </xf>
    <xf numFmtId="0" fontId="15" fillId="31" borderId="25" xfId="1" applyFont="1" applyFill="1" applyBorder="1" applyAlignment="1" applyProtection="1">
      <alignment horizontal="center" vertical="center"/>
      <protection locked="0"/>
    </xf>
    <xf numFmtId="171" fontId="46" fillId="0" borderId="0" xfId="1" applyNumberFormat="1" applyFont="1" applyFill="1" applyBorder="1" applyAlignment="1">
      <alignment horizontal="right" vertical="center"/>
    </xf>
    <xf numFmtId="172" fontId="10" fillId="30" borderId="34" xfId="1" applyNumberFormat="1" applyFont="1" applyFill="1" applyBorder="1" applyAlignment="1">
      <alignment horizontal="center" vertical="center" wrapText="1"/>
    </xf>
    <xf numFmtId="0" fontId="10" fillId="0" borderId="39" xfId="1" applyFont="1" applyBorder="1" applyAlignment="1">
      <alignment vertical="center"/>
    </xf>
    <xf numFmtId="0" fontId="10" fillId="0" borderId="40" xfId="1" applyFont="1" applyBorder="1" applyAlignment="1">
      <alignment vertical="center"/>
    </xf>
    <xf numFmtId="0" fontId="10" fillId="0" borderId="25" xfId="1" applyFont="1" applyBorder="1" applyAlignment="1">
      <alignment horizontal="center" vertical="center"/>
    </xf>
    <xf numFmtId="172" fontId="10" fillId="0" borderId="41" xfId="1" applyNumberFormat="1" applyFont="1" applyFill="1" applyBorder="1" applyAlignment="1">
      <alignment horizontal="center" vertical="center" wrapText="1"/>
    </xf>
    <xf numFmtId="172" fontId="10" fillId="30" borderId="41" xfId="1" applyNumberFormat="1" applyFont="1" applyFill="1" applyBorder="1" applyAlignment="1">
      <alignment horizontal="center" vertical="center" wrapText="1"/>
    </xf>
    <xf numFmtId="172" fontId="51" fillId="0" borderId="0" xfId="1" applyNumberFormat="1" applyFont="1" applyFill="1" applyBorder="1" applyAlignment="1">
      <alignment horizontal="center" vertical="center" wrapText="1"/>
    </xf>
    <xf numFmtId="172" fontId="51" fillId="30" borderId="0" xfId="1" applyNumberFormat="1" applyFont="1" applyFill="1" applyBorder="1" applyAlignment="1">
      <alignment horizontal="center" vertical="center" wrapText="1"/>
    </xf>
    <xf numFmtId="172" fontId="52" fillId="30" borderId="25" xfId="1" applyNumberFormat="1" applyFont="1" applyFill="1" applyBorder="1" applyAlignment="1">
      <alignment horizontal="center" vertical="center" wrapText="1"/>
    </xf>
    <xf numFmtId="172" fontId="52" fillId="0" borderId="0" xfId="1" applyNumberFormat="1" applyFont="1" applyFill="1" applyBorder="1" applyAlignment="1">
      <alignment horizontal="center" vertical="center" wrapText="1"/>
    </xf>
    <xf numFmtId="172" fontId="52" fillId="30" borderId="0" xfId="1" applyNumberFormat="1" applyFont="1" applyFill="1" applyBorder="1" applyAlignment="1">
      <alignment horizontal="center" vertical="center" wrapText="1"/>
    </xf>
    <xf numFmtId="172" fontId="52" fillId="30" borderId="40" xfId="1" applyNumberFormat="1" applyFont="1" applyFill="1" applyBorder="1" applyAlignment="1">
      <alignment horizontal="center" vertical="center"/>
    </xf>
    <xf numFmtId="172" fontId="52" fillId="0" borderId="0" xfId="1" applyNumberFormat="1" applyFont="1" applyFill="1" applyBorder="1" applyAlignment="1">
      <alignment horizontal="center" vertical="center"/>
    </xf>
    <xf numFmtId="172" fontId="52" fillId="0" borderId="40" xfId="1" applyNumberFormat="1" applyFont="1" applyFill="1" applyBorder="1" applyAlignment="1">
      <alignment horizontal="center" vertical="center"/>
    </xf>
    <xf numFmtId="172" fontId="15" fillId="30" borderId="40" xfId="1" applyNumberFormat="1" applyFont="1" applyFill="1" applyBorder="1" applyAlignment="1">
      <alignment horizontal="centerContinuous" vertical="center"/>
    </xf>
    <xf numFmtId="172" fontId="15" fillId="0" borderId="0" xfId="1" applyNumberFormat="1" applyFont="1" applyFill="1" applyBorder="1" applyAlignment="1">
      <alignment horizontal="centerContinuous" vertical="center"/>
    </xf>
    <xf numFmtId="172" fontId="15" fillId="30" borderId="0" xfId="1" applyNumberFormat="1" applyFont="1" applyFill="1" applyBorder="1" applyAlignment="1">
      <alignment horizontal="centerContinuous" vertical="center"/>
    </xf>
    <xf numFmtId="0" fontId="10" fillId="0" borderId="0" xfId="1" applyFont="1" applyAlignment="1">
      <alignment horizontal="right" vertical="center"/>
    </xf>
    <xf numFmtId="0" fontId="6" fillId="0" borderId="0" xfId="1" applyFont="1" applyAlignment="1">
      <alignment horizontal="right" vertical="center"/>
    </xf>
    <xf numFmtId="0" fontId="54" fillId="0" borderId="0" xfId="1" applyFont="1" applyAlignment="1">
      <alignment horizontal="right" vertical="center"/>
    </xf>
    <xf numFmtId="0" fontId="55" fillId="0" borderId="24" xfId="1" applyFont="1" applyBorder="1" applyAlignment="1">
      <alignment horizontal="centerContinuous" vertical="center"/>
    </xf>
    <xf numFmtId="0" fontId="10" fillId="0" borderId="0" xfId="1" applyFont="1" applyAlignment="1">
      <alignment horizontal="centerContinuous" vertical="center"/>
    </xf>
    <xf numFmtId="0" fontId="19" fillId="0" borderId="0" xfId="1" applyFont="1" applyAlignment="1">
      <alignment horizontal="right" vertical="center"/>
    </xf>
    <xf numFmtId="14" fontId="10" fillId="0" borderId="0" xfId="1" applyNumberFormat="1" applyFont="1" applyAlignment="1">
      <alignment horizontal="left" vertical="center"/>
    </xf>
    <xf numFmtId="0" fontId="10" fillId="0" borderId="0" xfId="1" applyFont="1" applyAlignment="1">
      <alignment horizontal="center" vertical="center"/>
    </xf>
    <xf numFmtId="0" fontId="56" fillId="0" borderId="0" xfId="1" applyFont="1" applyAlignment="1">
      <alignment vertical="center"/>
    </xf>
    <xf numFmtId="0" fontId="57" fillId="0" borderId="0" xfId="1" applyFont="1" applyBorder="1" applyAlignment="1">
      <alignment vertical="center"/>
    </xf>
    <xf numFmtId="0" fontId="19" fillId="0" borderId="0" xfId="1" applyFont="1" applyBorder="1" applyAlignment="1">
      <alignment vertical="center"/>
    </xf>
    <xf numFmtId="0" fontId="15" fillId="0" borderId="0" xfId="1" applyFont="1" applyAlignment="1">
      <alignment horizontal="right" vertical="center"/>
    </xf>
    <xf numFmtId="0" fontId="5" fillId="0" borderId="0" xfId="1" applyAlignment="1">
      <alignment horizontal="center"/>
    </xf>
    <xf numFmtId="0" fontId="60" fillId="0" borderId="0" xfId="1" applyFont="1" applyAlignment="1">
      <alignment horizontal="left"/>
    </xf>
    <xf numFmtId="0" fontId="21" fillId="0" borderId="0" xfId="1" applyFont="1" applyBorder="1" applyAlignment="1">
      <alignment vertical="center"/>
    </xf>
    <xf numFmtId="0" fontId="44" fillId="0" borderId="0" xfId="1" applyFont="1" applyAlignment="1">
      <alignment horizontal="right" vertical="top"/>
    </xf>
    <xf numFmtId="0" fontId="44" fillId="0" borderId="0" xfId="1" applyFont="1" applyAlignment="1">
      <alignment horizontal="right" vertical="center"/>
    </xf>
    <xf numFmtId="0" fontId="19" fillId="0" borderId="0" xfId="1" applyFont="1" applyAlignment="1">
      <alignment horizontal="right" vertical="top"/>
    </xf>
    <xf numFmtId="0" fontId="18" fillId="0" borderId="0" xfId="1" applyFont="1" applyBorder="1" applyAlignment="1">
      <alignment vertical="top"/>
    </xf>
    <xf numFmtId="0" fontId="5" fillId="0" borderId="0" xfId="1" applyProtection="1"/>
    <xf numFmtId="0" fontId="16" fillId="0" borderId="0" xfId="1" applyFont="1" applyProtection="1"/>
    <xf numFmtId="0" fontId="5" fillId="0" borderId="19" xfId="1" applyBorder="1" applyProtection="1"/>
    <xf numFmtId="0" fontId="21" fillId="0" borderId="0" xfId="1" applyFont="1" applyBorder="1" applyProtection="1"/>
    <xf numFmtId="0" fontId="61" fillId="0" borderId="0" xfId="1" applyFont="1" applyProtection="1"/>
    <xf numFmtId="0" fontId="5" fillId="0" borderId="23" xfId="1" applyBorder="1" applyProtection="1"/>
    <xf numFmtId="0" fontId="5" fillId="0" borderId="44" xfId="1" applyBorder="1" applyProtection="1"/>
    <xf numFmtId="0" fontId="5" fillId="0" borderId="2" xfId="1" applyBorder="1" applyProtection="1"/>
    <xf numFmtId="0" fontId="5" fillId="0" borderId="39" xfId="1" applyBorder="1" applyProtection="1"/>
    <xf numFmtId="0" fontId="5" fillId="0" borderId="0" xfId="1" applyBorder="1" applyProtection="1"/>
    <xf numFmtId="0" fontId="5" fillId="0" borderId="40" xfId="1" applyBorder="1" applyProtection="1"/>
    <xf numFmtId="0" fontId="5" fillId="0" borderId="42" xfId="1" applyBorder="1" applyProtection="1"/>
    <xf numFmtId="0" fontId="5" fillId="0" borderId="43" xfId="1" applyBorder="1" applyProtection="1"/>
    <xf numFmtId="0" fontId="21" fillId="0" borderId="23" xfId="1" applyFont="1" applyBorder="1" applyProtection="1"/>
    <xf numFmtId="174" fontId="5" fillId="0" borderId="0" xfId="1" applyNumberFormat="1" applyProtection="1"/>
    <xf numFmtId="174" fontId="15" fillId="0" borderId="0" xfId="1" applyNumberFormat="1" applyFont="1" applyBorder="1" applyProtection="1"/>
    <xf numFmtId="174" fontId="19" fillId="0" borderId="45" xfId="1" applyNumberFormat="1" applyFont="1" applyBorder="1" applyAlignment="1" applyProtection="1">
      <alignment horizontal="right"/>
    </xf>
    <xf numFmtId="174" fontId="7" fillId="0" borderId="46" xfId="1" applyNumberFormat="1" applyFont="1" applyBorder="1" applyProtection="1"/>
    <xf numFmtId="174" fontId="7" fillId="0" borderId="41" xfId="1" applyNumberFormat="1" applyFont="1" applyBorder="1" applyProtection="1"/>
    <xf numFmtId="174" fontId="7" fillId="0" borderId="47" xfId="1" applyNumberFormat="1" applyFont="1" applyBorder="1" applyProtection="1"/>
    <xf numFmtId="174" fontId="7" fillId="0" borderId="48" xfId="1" applyNumberFormat="1" applyFont="1" applyBorder="1" applyProtection="1"/>
    <xf numFmtId="0" fontId="64" fillId="0" borderId="47" xfId="1" applyFont="1" applyBorder="1" applyAlignment="1" applyProtection="1">
      <alignment horizontal="center"/>
      <protection locked="0"/>
    </xf>
    <xf numFmtId="0" fontId="56" fillId="0" borderId="49" xfId="1" applyFont="1" applyBorder="1" applyProtection="1">
      <protection locked="0"/>
    </xf>
    <xf numFmtId="174" fontId="7" fillId="0" borderId="0" xfId="1" applyNumberFormat="1" applyFont="1" applyBorder="1" applyAlignment="1" applyProtection="1">
      <alignment vertical="center"/>
    </xf>
    <xf numFmtId="174" fontId="17" fillId="0" borderId="50" xfId="1" applyNumberFormat="1" applyFont="1" applyBorder="1" applyAlignment="1" applyProtection="1">
      <alignment vertical="center"/>
    </xf>
    <xf numFmtId="174" fontId="7" fillId="0" borderId="19" xfId="1" applyNumberFormat="1" applyFont="1" applyBorder="1" applyAlignment="1" applyProtection="1">
      <alignment vertical="center"/>
    </xf>
    <xf numFmtId="0" fontId="21" fillId="0" borderId="19" xfId="1" applyFont="1" applyBorder="1" applyAlignment="1" applyProtection="1">
      <alignment horizontal="center" vertical="center"/>
    </xf>
    <xf numFmtId="0" fontId="16" fillId="0" borderId="30" xfId="1" applyFont="1" applyFill="1" applyBorder="1" applyAlignment="1" applyProtection="1">
      <alignment vertical="center"/>
    </xf>
    <xf numFmtId="174" fontId="15" fillId="0" borderId="51" xfId="1" applyNumberFormat="1" applyFont="1" applyFill="1" applyBorder="1" applyAlignment="1" applyProtection="1">
      <alignment vertical="center"/>
    </xf>
    <xf numFmtId="174" fontId="7" fillId="0" borderId="52" xfId="1" applyNumberFormat="1" applyFont="1" applyBorder="1" applyAlignment="1" applyProtection="1">
      <alignment vertical="center"/>
    </xf>
    <xf numFmtId="174" fontId="7" fillId="0" borderId="2" xfId="1" applyNumberFormat="1" applyFont="1" applyBorder="1" applyAlignment="1" applyProtection="1">
      <alignment vertical="center"/>
    </xf>
    <xf numFmtId="174" fontId="7" fillId="0" borderId="44" xfId="1" applyNumberFormat="1" applyFont="1" applyBorder="1" applyAlignment="1" applyProtection="1">
      <alignment vertical="center"/>
    </xf>
    <xf numFmtId="0" fontId="64" fillId="0" borderId="44" xfId="1" applyFont="1" applyBorder="1" applyAlignment="1" applyProtection="1">
      <alignment horizontal="center" vertical="center"/>
    </xf>
    <xf numFmtId="174" fontId="7" fillId="0" borderId="3" xfId="1" applyNumberFormat="1" applyFont="1" applyBorder="1" applyAlignment="1" applyProtection="1">
      <alignment vertical="center"/>
    </xf>
    <xf numFmtId="174" fontId="7" fillId="0" borderId="25" xfId="1" applyNumberFormat="1" applyFont="1" applyBorder="1" applyAlignment="1" applyProtection="1">
      <alignment vertical="center"/>
    </xf>
    <xf numFmtId="174" fontId="15" fillId="30" borderId="51" xfId="1" applyNumberFormat="1" applyFont="1" applyFill="1" applyBorder="1" applyAlignment="1" applyProtection="1">
      <alignment vertical="center"/>
    </xf>
    <xf numFmtId="0" fontId="56" fillId="0" borderId="34" xfId="1" applyFont="1" applyBorder="1" applyAlignment="1" applyProtection="1">
      <alignment vertical="center"/>
    </xf>
    <xf numFmtId="174" fontId="5" fillId="0" borderId="0" xfId="1" applyNumberFormat="1" applyBorder="1" applyAlignment="1" applyProtection="1">
      <alignment vertical="center"/>
    </xf>
    <xf numFmtId="174" fontId="17" fillId="30" borderId="53" xfId="1" applyNumberFormat="1" applyFont="1" applyFill="1" applyBorder="1" applyAlignment="1" applyProtection="1">
      <alignment vertical="center"/>
    </xf>
    <xf numFmtId="174" fontId="7" fillId="0" borderId="50" xfId="1" applyNumberFormat="1" applyFont="1" applyBorder="1" applyAlignment="1" applyProtection="1">
      <alignment vertical="center"/>
    </xf>
    <xf numFmtId="0" fontId="16" fillId="0" borderId="25" xfId="1" applyFont="1" applyBorder="1" applyAlignment="1" applyProtection="1">
      <alignment vertical="center"/>
    </xf>
    <xf numFmtId="174" fontId="17" fillId="30" borderId="54" xfId="1" applyNumberFormat="1" applyFont="1" applyFill="1" applyBorder="1" applyAlignment="1" applyProtection="1">
      <alignment vertical="center"/>
    </xf>
    <xf numFmtId="174" fontId="6" fillId="0" borderId="0" xfId="1" applyNumberFormat="1" applyFont="1" applyBorder="1" applyAlignment="1" applyProtection="1">
      <alignment vertical="center"/>
    </xf>
    <xf numFmtId="174" fontId="15" fillId="30" borderId="53" xfId="1" applyNumberFormat="1" applyFont="1" applyFill="1" applyBorder="1" applyAlignment="1" applyProtection="1">
      <alignment vertical="center"/>
    </xf>
    <xf numFmtId="0" fontId="21" fillId="0" borderId="44" xfId="1" applyFont="1" applyBorder="1" applyAlignment="1" applyProtection="1">
      <alignment horizontal="center" vertical="center"/>
    </xf>
    <xf numFmtId="175" fontId="5" fillId="0" borderId="0" xfId="1" applyNumberFormat="1" applyBorder="1" applyAlignment="1" applyProtection="1">
      <alignment vertical="center"/>
    </xf>
    <xf numFmtId="175" fontId="17" fillId="30" borderId="53" xfId="1" applyNumberFormat="1" applyFont="1" applyFill="1" applyBorder="1" applyAlignment="1" applyProtection="1">
      <alignment vertical="center"/>
    </xf>
    <xf numFmtId="175" fontId="7" fillId="0" borderId="50" xfId="1" applyNumberFormat="1" applyFont="1" applyBorder="1" applyAlignment="1" applyProtection="1">
      <alignment vertical="center"/>
    </xf>
    <xf numFmtId="175" fontId="7" fillId="0" borderId="0" xfId="1" applyNumberFormat="1" applyFont="1" applyBorder="1" applyAlignment="1" applyProtection="1">
      <alignment vertical="center"/>
    </xf>
    <xf numFmtId="175" fontId="7" fillId="0" borderId="19" xfId="1" applyNumberFormat="1" applyFont="1" applyBorder="1" applyAlignment="1" applyProtection="1">
      <alignment vertical="center"/>
    </xf>
    <xf numFmtId="0" fontId="44" fillId="0" borderId="55" xfId="1" applyFont="1" applyBorder="1" applyAlignment="1" applyProtection="1">
      <alignment horizontal="center" vertical="top" wrapText="1"/>
    </xf>
    <xf numFmtId="0" fontId="15" fillId="31" borderId="52" xfId="1" applyFont="1" applyFill="1" applyBorder="1" applyAlignment="1" applyProtection="1">
      <alignment horizontal="center" vertical="center" wrapText="1"/>
      <protection locked="0"/>
    </xf>
    <xf numFmtId="0" fontId="15" fillId="31" borderId="2" xfId="1" applyFont="1" applyFill="1" applyBorder="1" applyAlignment="1" applyProtection="1">
      <alignment horizontal="center" vertical="center" wrapText="1"/>
      <protection locked="0"/>
    </xf>
    <xf numFmtId="0" fontId="15" fillId="31" borderId="44" xfId="1" applyFont="1" applyFill="1" applyBorder="1" applyAlignment="1" applyProtection="1">
      <alignment horizontal="center" vertical="center" wrapText="1"/>
      <protection locked="0"/>
    </xf>
    <xf numFmtId="0" fontId="16" fillId="0" borderId="44" xfId="1" applyFont="1" applyBorder="1" applyAlignment="1" applyProtection="1">
      <alignment horizontal="center" vertical="center" wrapText="1"/>
    </xf>
    <xf numFmtId="0" fontId="16" fillId="0" borderId="34" xfId="1" applyFont="1" applyBorder="1" applyAlignment="1" applyProtection="1">
      <alignment vertical="center" wrapText="1"/>
    </xf>
    <xf numFmtId="0" fontId="52" fillId="0" borderId="0" xfId="1" applyFont="1" applyBorder="1" applyAlignment="1" applyProtection="1">
      <alignment horizontal="center" vertical="top" wrapText="1"/>
    </xf>
    <xf numFmtId="0" fontId="66" fillId="0" borderId="55" xfId="1" applyFont="1" applyBorder="1" applyAlignment="1" applyProtection="1">
      <alignment horizontal="center" vertical="top" wrapText="1"/>
    </xf>
    <xf numFmtId="0" fontId="65" fillId="4" borderId="56" xfId="1" applyFont="1" applyFill="1" applyBorder="1" applyAlignment="1" applyProtection="1">
      <alignment horizontal="center" vertical="top" wrapText="1"/>
    </xf>
    <xf numFmtId="0" fontId="16" fillId="0" borderId="58" xfId="1" applyFont="1" applyBorder="1" applyAlignment="1" applyProtection="1">
      <alignment horizontal="center"/>
    </xf>
    <xf numFmtId="0" fontId="5" fillId="0" borderId="3" xfId="1" applyBorder="1" applyProtection="1"/>
    <xf numFmtId="0" fontId="61" fillId="0" borderId="0" xfId="1" applyFont="1"/>
    <xf numFmtId="0" fontId="44" fillId="0" borderId="0" xfId="1" applyFont="1" applyAlignment="1" applyProtection="1">
      <alignment horizontal="right" vertical="center"/>
    </xf>
    <xf numFmtId="0" fontId="61" fillId="0" borderId="0" xfId="1" applyFont="1" applyAlignment="1" applyProtection="1">
      <alignment vertical="center"/>
    </xf>
    <xf numFmtId="0" fontId="67" fillId="0" borderId="0" xfId="1" applyFont="1"/>
    <xf numFmtId="0" fontId="57" fillId="0" borderId="0" xfId="1" applyFont="1"/>
    <xf numFmtId="0" fontId="19" fillId="0" borderId="0" xfId="1" applyFont="1"/>
    <xf numFmtId="174" fontId="7" fillId="0" borderId="0" xfId="1" applyNumberFormat="1" applyFont="1" applyBorder="1" applyProtection="1"/>
    <xf numFmtId="0" fontId="5" fillId="0" borderId="0" xfId="1" applyAlignment="1" applyProtection="1">
      <alignment horizontal="left"/>
    </xf>
    <xf numFmtId="0" fontId="10" fillId="0" borderId="0" xfId="1" applyFont="1" applyFill="1" applyBorder="1" applyAlignment="1" applyProtection="1">
      <alignment horizontal="left" vertical="center"/>
    </xf>
    <xf numFmtId="0" fontId="5" fillId="0" borderId="0" xfId="1" applyBorder="1" applyAlignment="1" applyProtection="1">
      <alignment horizontal="right" vertical="center"/>
    </xf>
    <xf numFmtId="0" fontId="7" fillId="0" borderId="0" xfId="1" applyFont="1" applyFill="1" applyAlignment="1" applyProtection="1">
      <alignment vertical="center"/>
    </xf>
    <xf numFmtId="0" fontId="7" fillId="0" borderId="0" xfId="1" applyFont="1" applyAlignment="1" applyProtection="1">
      <alignment horizontal="right" vertical="center"/>
    </xf>
    <xf numFmtId="0" fontId="7" fillId="0" borderId="0" xfId="1" applyFont="1" applyFill="1" applyBorder="1" applyAlignment="1" applyProtection="1">
      <alignment vertical="center"/>
    </xf>
    <xf numFmtId="49" fontId="7" fillId="0" borderId="0" xfId="1" applyNumberFormat="1" applyFont="1" applyBorder="1" applyAlignment="1" applyProtection="1">
      <alignment vertical="center"/>
    </xf>
    <xf numFmtId="0" fontId="7" fillId="0" borderId="0" xfId="1" applyFont="1" applyBorder="1" applyAlignment="1" applyProtection="1">
      <alignment horizontal="right" vertical="center"/>
    </xf>
    <xf numFmtId="49" fontId="72" fillId="0" borderId="0" xfId="1" applyNumberFormat="1" applyFont="1" applyBorder="1" applyAlignment="1" applyProtection="1">
      <alignment vertical="center"/>
    </xf>
    <xf numFmtId="0" fontId="73" fillId="0" borderId="0" xfId="1" applyFont="1" applyAlignment="1" applyProtection="1">
      <alignment vertical="center"/>
    </xf>
    <xf numFmtId="0" fontId="16" fillId="0" borderId="0" xfId="1" applyFont="1" applyBorder="1" applyAlignment="1" applyProtection="1">
      <alignment horizontal="left" vertical="center"/>
    </xf>
    <xf numFmtId="0" fontId="73" fillId="0" borderId="59" xfId="1" applyFont="1" applyBorder="1" applyAlignment="1" applyProtection="1">
      <alignment vertical="center"/>
    </xf>
    <xf numFmtId="0" fontId="73" fillId="0" borderId="46" xfId="1" applyFont="1" applyBorder="1" applyAlignment="1" applyProtection="1">
      <alignment vertical="center"/>
    </xf>
    <xf numFmtId="0" fontId="73" fillId="0" borderId="41" xfId="1" applyFont="1" applyBorder="1" applyAlignment="1" applyProtection="1">
      <alignment vertical="center"/>
    </xf>
    <xf numFmtId="0" fontId="73" fillId="0" borderId="60" xfId="1" applyFont="1" applyBorder="1" applyAlignment="1" applyProtection="1">
      <alignment vertical="center"/>
    </xf>
    <xf numFmtId="176" fontId="7" fillId="0" borderId="0" xfId="1" applyNumberFormat="1" applyFont="1" applyBorder="1" applyAlignment="1" applyProtection="1">
      <alignment vertical="center"/>
    </xf>
    <xf numFmtId="0" fontId="7" fillId="0" borderId="2" xfId="1" applyFont="1" applyFill="1" applyBorder="1" applyAlignment="1" applyProtection="1">
      <alignment vertical="center"/>
    </xf>
    <xf numFmtId="0" fontId="7" fillId="0" borderId="39" xfId="1" applyFont="1" applyBorder="1" applyAlignment="1" applyProtection="1">
      <alignment vertical="center"/>
    </xf>
    <xf numFmtId="0" fontId="32" fillId="0" borderId="0" xfId="1" applyFont="1" applyAlignment="1" applyProtection="1">
      <alignment horizontal="centerContinuous" vertical="center"/>
    </xf>
    <xf numFmtId="0" fontId="73" fillId="0" borderId="64" xfId="1" applyFont="1" applyBorder="1" applyAlignment="1" applyProtection="1">
      <alignment vertical="center"/>
    </xf>
    <xf numFmtId="0" fontId="73" fillId="0" borderId="40" xfId="1" applyFont="1" applyBorder="1" applyAlignment="1" applyProtection="1">
      <alignment vertical="center"/>
    </xf>
    <xf numFmtId="0" fontId="73" fillId="0" borderId="0" xfId="1" applyFont="1" applyBorder="1" applyAlignment="1" applyProtection="1">
      <alignment vertical="center"/>
    </xf>
    <xf numFmtId="0" fontId="73" fillId="0" borderId="32" xfId="1" applyFont="1" applyBorder="1" applyAlignment="1" applyProtection="1">
      <alignment vertical="center"/>
    </xf>
    <xf numFmtId="176" fontId="7" fillId="31" borderId="0" xfId="1" applyNumberFormat="1" applyFont="1" applyFill="1" applyBorder="1" applyAlignment="1" applyProtection="1">
      <alignment vertical="center"/>
      <protection locked="0"/>
    </xf>
    <xf numFmtId="176" fontId="7" fillId="0" borderId="65" xfId="1" applyNumberFormat="1" applyFont="1" applyFill="1" applyBorder="1" applyAlignment="1" applyProtection="1">
      <alignment vertical="center"/>
    </xf>
    <xf numFmtId="176" fontId="7" fillId="0" borderId="0" xfId="1" applyNumberFormat="1" applyFont="1" applyFill="1" applyBorder="1" applyAlignment="1" applyProtection="1">
      <alignment vertical="center"/>
    </xf>
    <xf numFmtId="176" fontId="7" fillId="0" borderId="66" xfId="1" applyNumberFormat="1" applyFont="1" applyFill="1" applyBorder="1" applyAlignment="1" applyProtection="1">
      <alignment vertical="center"/>
    </xf>
    <xf numFmtId="0" fontId="7" fillId="0" borderId="0" xfId="1" applyFont="1" applyBorder="1" applyAlignment="1" applyProtection="1"/>
    <xf numFmtId="0" fontId="71" fillId="0" borderId="0" xfId="1" applyFont="1" applyAlignment="1" applyProtection="1">
      <alignment vertical="center"/>
    </xf>
    <xf numFmtId="0" fontId="71" fillId="0" borderId="64" xfId="1" applyFont="1" applyBorder="1" applyAlignment="1" applyProtection="1">
      <alignment vertical="center"/>
    </xf>
    <xf numFmtId="0" fontId="71" fillId="0" borderId="40" xfId="1" applyFont="1" applyBorder="1" applyAlignment="1" applyProtection="1">
      <alignment vertical="center"/>
    </xf>
    <xf numFmtId="0" fontId="71" fillId="0" borderId="0" xfId="1" applyFont="1" applyBorder="1" applyAlignment="1" applyProtection="1">
      <alignment vertical="center"/>
    </xf>
    <xf numFmtId="0" fontId="71" fillId="0" borderId="32" xfId="1" applyFont="1" applyBorder="1" applyAlignment="1" applyProtection="1">
      <alignment vertical="center"/>
    </xf>
    <xf numFmtId="0" fontId="45" fillId="0" borderId="0" xfId="1" applyFont="1" applyAlignment="1" applyProtection="1">
      <alignment horizontal="right" vertical="center"/>
    </xf>
    <xf numFmtId="0" fontId="45" fillId="0" borderId="64" xfId="1" applyFont="1" applyBorder="1" applyAlignment="1" applyProtection="1">
      <alignment horizontal="right" vertical="center"/>
    </xf>
    <xf numFmtId="0" fontId="45" fillId="0" borderId="40" xfId="1" applyFont="1" applyBorder="1" applyAlignment="1" applyProtection="1">
      <alignment horizontal="right" vertical="center"/>
    </xf>
    <xf numFmtId="0" fontId="45" fillId="0" borderId="0" xfId="1" applyFont="1" applyBorder="1" applyAlignment="1" applyProtection="1">
      <alignment horizontal="right" vertical="center"/>
    </xf>
    <xf numFmtId="0" fontId="45" fillId="0" borderId="32" xfId="1" applyFont="1" applyBorder="1" applyAlignment="1" applyProtection="1">
      <alignment horizontal="right" vertical="center"/>
    </xf>
    <xf numFmtId="176" fontId="7" fillId="0" borderId="68" xfId="1" applyNumberFormat="1" applyFont="1" applyFill="1" applyBorder="1" applyAlignment="1" applyProtection="1">
      <alignment vertical="center"/>
    </xf>
    <xf numFmtId="176" fontId="7" fillId="0" borderId="69" xfId="1" applyNumberFormat="1" applyFont="1" applyFill="1" applyBorder="1" applyAlignment="1" applyProtection="1">
      <alignment vertical="center"/>
    </xf>
    <xf numFmtId="0" fontId="7" fillId="0" borderId="23" xfId="1" applyFont="1" applyBorder="1" applyAlignment="1" applyProtection="1">
      <alignment vertical="center"/>
    </xf>
    <xf numFmtId="0" fontId="15" fillId="0" borderId="43" xfId="1" applyFont="1" applyBorder="1" applyAlignment="1" applyProtection="1">
      <alignment vertical="center"/>
    </xf>
    <xf numFmtId="0" fontId="14" fillId="4" borderId="0" xfId="1" applyFont="1" applyFill="1" applyBorder="1" applyAlignment="1" applyProtection="1">
      <alignment horizontal="center" vertical="center"/>
    </xf>
    <xf numFmtId="0" fontId="14" fillId="0" borderId="2" xfId="1" applyFont="1" applyFill="1" applyBorder="1" applyAlignment="1" applyProtection="1">
      <alignment horizontal="center" vertical="center"/>
    </xf>
    <xf numFmtId="0" fontId="14" fillId="0" borderId="2" xfId="1" applyFont="1" applyBorder="1" applyAlignment="1" applyProtection="1">
      <alignment horizontal="center" vertical="center"/>
    </xf>
    <xf numFmtId="0" fontId="5" fillId="0" borderId="2" xfId="1" applyBorder="1" applyAlignment="1" applyProtection="1">
      <alignment horizontal="right" vertical="center"/>
    </xf>
    <xf numFmtId="0" fontId="14" fillId="0" borderId="0" xfId="1" applyFont="1" applyBorder="1" applyAlignment="1" applyProtection="1">
      <alignment horizontal="centerContinuous" vertical="center"/>
    </xf>
    <xf numFmtId="0" fontId="5" fillId="0" borderId="23" xfId="1" applyBorder="1" applyAlignment="1" applyProtection="1">
      <alignment vertical="center"/>
    </xf>
    <xf numFmtId="0" fontId="7" fillId="0" borderId="64" xfId="1" applyFont="1" applyBorder="1" applyAlignment="1" applyProtection="1">
      <alignment vertical="center"/>
    </xf>
    <xf numFmtId="0" fontId="7" fillId="0" borderId="40" xfId="1" applyFont="1" applyBorder="1" applyAlignment="1" applyProtection="1">
      <alignment vertical="center"/>
    </xf>
    <xf numFmtId="0" fontId="7" fillId="0" borderId="32" xfId="1" applyFont="1" applyBorder="1" applyAlignment="1" applyProtection="1">
      <alignment vertical="center"/>
    </xf>
    <xf numFmtId="0" fontId="5" fillId="0" borderId="0" xfId="1" applyAlignment="1" applyProtection="1">
      <alignment vertical="top"/>
    </xf>
    <xf numFmtId="0" fontId="5" fillId="0" borderId="0" xfId="1" applyFill="1" applyAlignment="1" applyProtection="1">
      <alignment vertical="top"/>
    </xf>
    <xf numFmtId="0" fontId="5" fillId="0" borderId="0" xfId="1" applyAlignment="1" applyProtection="1">
      <alignment horizontal="right" vertical="top"/>
    </xf>
    <xf numFmtId="0" fontId="7" fillId="0" borderId="2" xfId="1" applyFont="1" applyBorder="1" applyAlignment="1" applyProtection="1">
      <alignment horizontal="right" vertical="center"/>
    </xf>
    <xf numFmtId="0" fontId="7" fillId="0" borderId="2" xfId="1" applyFont="1" applyBorder="1" applyAlignment="1" applyProtection="1">
      <alignment vertical="center"/>
    </xf>
    <xf numFmtId="2" fontId="8" fillId="0" borderId="32" xfId="2" applyNumberFormat="1" applyBorder="1" applyAlignment="1" applyProtection="1">
      <alignment horizontal="left" vertical="center"/>
    </xf>
    <xf numFmtId="0" fontId="7" fillId="0" borderId="23" xfId="1" applyFont="1" applyBorder="1" applyAlignment="1" applyProtection="1">
      <alignment horizontal="right" vertical="center"/>
    </xf>
    <xf numFmtId="0" fontId="5" fillId="0" borderId="0" xfId="1" applyFill="1" applyAlignment="1" applyProtection="1">
      <alignment vertical="center"/>
    </xf>
    <xf numFmtId="0" fontId="7" fillId="0" borderId="32" xfId="1" applyFont="1" applyBorder="1" applyAlignment="1" applyProtection="1">
      <alignment horizontal="left" vertical="center"/>
    </xf>
    <xf numFmtId="0" fontId="5" fillId="0" borderId="39" xfId="1" applyBorder="1" applyAlignment="1" applyProtection="1">
      <alignment vertical="center"/>
    </xf>
    <xf numFmtId="176" fontId="7" fillId="0" borderId="72" xfId="1" applyNumberFormat="1" applyFont="1" applyFill="1" applyBorder="1" applyAlignment="1" applyProtection="1">
      <alignment vertical="center"/>
    </xf>
    <xf numFmtId="0" fontId="10" fillId="0" borderId="0" xfId="1" applyFont="1" applyFill="1" applyBorder="1" applyAlignment="1" applyProtection="1">
      <alignment horizontal="right" vertical="center"/>
    </xf>
    <xf numFmtId="0" fontId="7" fillId="31" borderId="0" xfId="1" applyFont="1" applyFill="1" applyBorder="1" applyAlignment="1" applyProtection="1">
      <alignment vertical="center"/>
      <protection locked="0"/>
    </xf>
    <xf numFmtId="176" fontId="7" fillId="31" borderId="65" xfId="1" applyNumberFormat="1" applyFont="1" applyFill="1" applyBorder="1" applyAlignment="1" applyProtection="1">
      <alignment vertical="center"/>
      <protection locked="0"/>
    </xf>
    <xf numFmtId="0" fontId="21" fillId="0" borderId="0" xfId="1" applyFont="1" applyBorder="1" applyAlignment="1" applyProtection="1">
      <alignment horizontal="right" vertical="center"/>
    </xf>
    <xf numFmtId="0" fontId="49" fillId="0" borderId="0" xfId="1" applyFont="1" applyBorder="1" applyAlignment="1" applyProtection="1">
      <alignment vertical="center"/>
    </xf>
    <xf numFmtId="0" fontId="7" fillId="0" borderId="40" xfId="1" applyFont="1" applyBorder="1" applyAlignment="1" applyProtection="1">
      <alignment horizontal="left" vertical="center"/>
    </xf>
    <xf numFmtId="177" fontId="71" fillId="0" borderId="0" xfId="1" applyNumberFormat="1" applyFont="1" applyBorder="1" applyAlignment="1" applyProtection="1">
      <alignment vertical="center"/>
    </xf>
    <xf numFmtId="0" fontId="45" fillId="0" borderId="73" xfId="1" applyFont="1" applyBorder="1" applyAlignment="1" applyProtection="1">
      <alignment horizontal="right" vertical="center"/>
    </xf>
    <xf numFmtId="0" fontId="77" fillId="0" borderId="74" xfId="1" applyFont="1" applyBorder="1" applyAlignment="1" applyProtection="1">
      <alignment vertical="center"/>
    </xf>
    <xf numFmtId="0" fontId="77" fillId="0" borderId="75" xfId="1" applyFont="1" applyBorder="1" applyAlignment="1" applyProtection="1">
      <alignment vertical="center"/>
    </xf>
    <xf numFmtId="0" fontId="77" fillId="0" borderId="76" xfId="1" applyFont="1" applyBorder="1" applyAlignment="1" applyProtection="1">
      <alignment vertical="center"/>
    </xf>
    <xf numFmtId="0" fontId="14" fillId="0" borderId="2" xfId="1" applyFont="1" applyBorder="1" applyAlignment="1" applyProtection="1">
      <alignment vertical="center"/>
    </xf>
    <xf numFmtId="178" fontId="7" fillId="0" borderId="0" xfId="1" applyNumberFormat="1" applyFont="1" applyBorder="1" applyAlignment="1" applyProtection="1">
      <alignment vertical="center"/>
    </xf>
    <xf numFmtId="178" fontId="7" fillId="0" borderId="65" xfId="1" applyNumberFormat="1" applyFont="1" applyFill="1" applyBorder="1" applyAlignment="1" applyProtection="1">
      <alignment vertical="center"/>
    </xf>
    <xf numFmtId="0" fontId="14" fillId="0" borderId="0" xfId="1" applyFont="1" applyBorder="1" applyAlignment="1" applyProtection="1">
      <alignment horizontal="right" vertical="center"/>
    </xf>
    <xf numFmtId="0" fontId="15" fillId="0" borderId="40" xfId="1" applyFont="1" applyBorder="1" applyAlignment="1" applyProtection="1">
      <alignment vertical="center"/>
    </xf>
    <xf numFmtId="0" fontId="45" fillId="0" borderId="0" xfId="1" applyFont="1" applyAlignment="1" applyProtection="1">
      <alignment horizontal="left" vertical="center"/>
    </xf>
    <xf numFmtId="179" fontId="79" fillId="0" borderId="3" xfId="1" applyNumberFormat="1" applyFont="1" applyBorder="1" applyAlignment="1" applyProtection="1">
      <alignment horizontal="center" vertical="center"/>
    </xf>
    <xf numFmtId="0" fontId="45" fillId="34" borderId="0" xfId="1" applyFont="1" applyFill="1" applyAlignment="1" applyProtection="1">
      <alignment horizontal="left" vertical="center"/>
    </xf>
    <xf numFmtId="0" fontId="76" fillId="0" borderId="0" xfId="1" applyFont="1" applyBorder="1" applyAlignment="1" applyProtection="1">
      <alignment horizontal="center" vertical="center"/>
    </xf>
    <xf numFmtId="0" fontId="14" fillId="0" borderId="0" xfId="1" applyFont="1" applyBorder="1" applyAlignment="1" applyProtection="1">
      <alignment horizontal="center" vertical="center"/>
    </xf>
    <xf numFmtId="0" fontId="5" fillId="0" borderId="2" xfId="1" applyBorder="1" applyAlignment="1" applyProtection="1">
      <alignment vertical="center"/>
    </xf>
    <xf numFmtId="0" fontId="5" fillId="0" borderId="0" xfId="1" applyAlignment="1" applyProtection="1">
      <alignment horizontal="centerContinuous" vertical="center"/>
    </xf>
    <xf numFmtId="0" fontId="45" fillId="0" borderId="0" xfId="1" applyFont="1" applyFill="1" applyBorder="1" applyAlignment="1" applyProtection="1">
      <alignment horizontal="right" vertical="top"/>
    </xf>
    <xf numFmtId="0" fontId="45" fillId="0" borderId="0" xfId="1" applyFont="1" applyBorder="1" applyAlignment="1" applyProtection="1">
      <alignment horizontal="left" vertical="top"/>
    </xf>
    <xf numFmtId="0" fontId="17" fillId="0" borderId="0" xfId="1" applyFont="1" applyBorder="1" applyAlignment="1" applyProtection="1">
      <alignment vertical="top"/>
    </xf>
    <xf numFmtId="0" fontId="17" fillId="0" borderId="0" xfId="1" applyFont="1" applyBorder="1" applyAlignment="1" applyProtection="1">
      <alignment horizontal="right" vertical="top"/>
    </xf>
    <xf numFmtId="14" fontId="7" fillId="0" borderId="0" xfId="1" applyNumberFormat="1" applyFont="1" applyAlignment="1" applyProtection="1">
      <alignment horizontal="left" vertical="top"/>
    </xf>
    <xf numFmtId="0" fontId="7" fillId="0" borderId="0" xfId="1" applyFont="1" applyAlignment="1" applyProtection="1">
      <alignment horizontal="left" vertical="top"/>
    </xf>
    <xf numFmtId="0" fontId="19" fillId="4" borderId="0" xfId="1" applyFont="1" applyFill="1" applyAlignment="1" applyProtection="1">
      <alignment horizontal="right" vertical="top"/>
    </xf>
    <xf numFmtId="0" fontId="19" fillId="0" borderId="0" xfId="1" applyFont="1" applyBorder="1" applyAlignment="1" applyProtection="1">
      <alignment vertical="center"/>
    </xf>
    <xf numFmtId="2" fontId="81" fillId="36" borderId="1" xfId="122" applyNumberFormat="1" applyFont="1" applyProtection="1"/>
    <xf numFmtId="0" fontId="16" fillId="0" borderId="0" xfId="1" applyFont="1" applyBorder="1" applyAlignment="1" applyProtection="1">
      <alignment vertical="center"/>
    </xf>
    <xf numFmtId="9" fontId="5" fillId="0" borderId="0" xfId="1" applyNumberFormat="1" applyAlignment="1" applyProtection="1">
      <alignment vertical="center"/>
    </xf>
    <xf numFmtId="0" fontId="36" fillId="0" borderId="0" xfId="105" applyProtection="1"/>
    <xf numFmtId="3" fontId="7" fillId="0" borderId="34" xfId="1" applyNumberFormat="1" applyFont="1" applyBorder="1" applyAlignment="1" applyProtection="1">
      <alignment vertical="center"/>
    </xf>
    <xf numFmtId="3" fontId="7" fillId="31" borderId="44" xfId="1" applyNumberFormat="1" applyFont="1" applyFill="1" applyBorder="1" applyAlignment="1" applyProtection="1">
      <alignment vertical="center"/>
      <protection locked="0"/>
    </xf>
    <xf numFmtId="3" fontId="7" fillId="33" borderId="62" xfId="1" applyNumberFormat="1" applyFont="1" applyFill="1" applyBorder="1" applyAlignment="1" applyProtection="1">
      <alignment vertical="center"/>
      <protection locked="0"/>
    </xf>
    <xf numFmtId="3" fontId="7" fillId="0" borderId="62" xfId="1" applyNumberFormat="1" applyFont="1" applyFill="1" applyBorder="1" applyAlignment="1" applyProtection="1">
      <alignment vertical="center"/>
    </xf>
    <xf numFmtId="0" fontId="17" fillId="0" borderId="44" xfId="1" applyFont="1" applyFill="1" applyBorder="1" applyAlignment="1" applyProtection="1">
      <alignment vertical="center"/>
    </xf>
    <xf numFmtId="0" fontId="17" fillId="0" borderId="2" xfId="1" applyFont="1" applyFill="1" applyBorder="1" applyAlignment="1" applyProtection="1">
      <alignment vertical="center"/>
    </xf>
    <xf numFmtId="0" fontId="17" fillId="0" borderId="39" xfId="1" applyFont="1" applyFill="1" applyBorder="1" applyAlignment="1" applyProtection="1">
      <alignment vertical="center"/>
    </xf>
    <xf numFmtId="3" fontId="7" fillId="0" borderId="25" xfId="1" applyNumberFormat="1" applyFont="1" applyBorder="1" applyAlignment="1" applyProtection="1">
      <alignment vertical="center"/>
    </xf>
    <xf numFmtId="3" fontId="7" fillId="0" borderId="19" xfId="1" applyNumberFormat="1" applyFont="1" applyFill="1" applyBorder="1" applyAlignment="1" applyProtection="1">
      <alignment vertical="center"/>
    </xf>
    <xf numFmtId="3" fontId="7" fillId="0" borderId="69" xfId="1" applyNumberFormat="1" applyFont="1" applyFill="1" applyBorder="1" applyAlignment="1" applyProtection="1">
      <alignment vertical="center"/>
    </xf>
    <xf numFmtId="0" fontId="17" fillId="0" borderId="42" xfId="1" applyFont="1" applyFill="1" applyBorder="1" applyAlignment="1" applyProtection="1">
      <alignment vertical="center"/>
    </xf>
    <xf numFmtId="0" fontId="17" fillId="0" borderId="23" xfId="1" applyFont="1" applyFill="1" applyBorder="1" applyAlignment="1" applyProtection="1">
      <alignment vertical="center"/>
    </xf>
    <xf numFmtId="0" fontId="17" fillId="0" borderId="43" xfId="1" applyFont="1" applyFill="1" applyBorder="1" applyAlignment="1" applyProtection="1">
      <alignment vertical="center"/>
    </xf>
    <xf numFmtId="179" fontId="7" fillId="0" borderId="40" xfId="1" applyNumberFormat="1" applyFont="1" applyBorder="1" applyAlignment="1" applyProtection="1">
      <alignment vertical="center"/>
    </xf>
    <xf numFmtId="0" fontId="15" fillId="4" borderId="44" xfId="1" applyFont="1" applyFill="1" applyBorder="1" applyAlignment="1" applyProtection="1">
      <alignment horizontal="center" vertical="center"/>
    </xf>
    <xf numFmtId="0" fontId="15" fillId="0" borderId="44" xfId="1" applyFont="1" applyBorder="1" applyAlignment="1" applyProtection="1">
      <alignment horizontal="center" vertical="center"/>
    </xf>
    <xf numFmtId="0" fontId="15" fillId="0" borderId="80" xfId="1" applyFont="1" applyBorder="1" applyAlignment="1" applyProtection="1">
      <alignment horizontal="center" vertical="center"/>
    </xf>
    <xf numFmtId="0" fontId="15" fillId="0" borderId="61" xfId="1" applyFont="1" applyBorder="1" applyAlignment="1" applyProtection="1">
      <alignment horizontal="center" vertical="center"/>
    </xf>
    <xf numFmtId="0" fontId="15" fillId="0" borderId="2" xfId="1" applyFont="1" applyBorder="1" applyAlignment="1" applyProtection="1">
      <alignment horizontal="center" vertical="center"/>
    </xf>
    <xf numFmtId="0" fontId="15" fillId="0" borderId="44" xfId="1" applyFont="1" applyBorder="1" applyAlignment="1" applyProtection="1">
      <alignment horizontal="right" vertical="center"/>
    </xf>
    <xf numFmtId="0" fontId="10" fillId="0" borderId="2" xfId="1" applyFont="1" applyBorder="1" applyAlignment="1" applyProtection="1">
      <alignment vertical="center"/>
    </xf>
    <xf numFmtId="0" fontId="7" fillId="0" borderId="39" xfId="1" applyFont="1" applyBorder="1" applyAlignment="1" applyProtection="1">
      <alignment horizontal="center" vertical="center"/>
    </xf>
    <xf numFmtId="0" fontId="15" fillId="4" borderId="42" xfId="1" applyFont="1" applyFill="1" applyBorder="1" applyAlignment="1" applyProtection="1">
      <alignment horizontal="center" vertical="center"/>
    </xf>
    <xf numFmtId="0" fontId="15" fillId="0" borderId="42" xfId="1" applyFont="1" applyBorder="1" applyAlignment="1" applyProtection="1">
      <alignment horizontal="center" vertical="center"/>
    </xf>
    <xf numFmtId="0" fontId="15" fillId="0" borderId="23" xfId="1" applyFont="1" applyBorder="1" applyAlignment="1" applyProtection="1">
      <alignment horizontal="center" vertical="center"/>
    </xf>
    <xf numFmtId="0" fontId="5" fillId="0" borderId="43" xfId="1" applyBorder="1" applyAlignment="1" applyProtection="1">
      <alignment vertical="center"/>
    </xf>
    <xf numFmtId="0" fontId="44" fillId="0" borderId="36" xfId="1" applyFont="1" applyBorder="1" applyAlignment="1" applyProtection="1">
      <alignment vertical="center"/>
    </xf>
    <xf numFmtId="0" fontId="14" fillId="27" borderId="0" xfId="1" applyFont="1" applyFill="1" applyBorder="1" applyAlignment="1" applyProtection="1">
      <alignment horizontal="left" vertical="top" wrapText="1"/>
    </xf>
    <xf numFmtId="0" fontId="84" fillId="27" borderId="0" xfId="1" applyFont="1" applyFill="1" applyBorder="1" applyAlignment="1" applyProtection="1">
      <alignment vertical="top"/>
    </xf>
    <xf numFmtId="0" fontId="84" fillId="27" borderId="78" xfId="1" applyFont="1" applyFill="1" applyBorder="1" applyAlignment="1" applyProtection="1">
      <alignment vertical="top"/>
    </xf>
    <xf numFmtId="0" fontId="84" fillId="27" borderId="24" xfId="1" applyFont="1" applyFill="1" applyBorder="1" applyAlignment="1" applyProtection="1">
      <alignment vertical="top"/>
    </xf>
    <xf numFmtId="0" fontId="85" fillId="27" borderId="79" xfId="1" applyFont="1" applyFill="1" applyBorder="1" applyAlignment="1" applyProtection="1">
      <alignment vertical="top"/>
    </xf>
    <xf numFmtId="3" fontId="7" fillId="0" borderId="0" xfId="1" applyNumberFormat="1" applyFont="1" applyFill="1" applyBorder="1" applyAlignment="1" applyProtection="1">
      <alignment vertical="center"/>
    </xf>
    <xf numFmtId="3" fontId="7" fillId="31" borderId="19" xfId="1" applyNumberFormat="1" applyFont="1" applyFill="1" applyBorder="1" applyAlignment="1" applyProtection="1">
      <alignment vertical="center"/>
      <protection locked="0"/>
    </xf>
    <xf numFmtId="3" fontId="7" fillId="31" borderId="66" xfId="1" applyNumberFormat="1" applyFont="1" applyFill="1" applyBorder="1" applyAlignment="1" applyProtection="1">
      <alignment vertical="center"/>
      <protection locked="0"/>
    </xf>
    <xf numFmtId="3" fontId="7" fillId="0" borderId="66" xfId="1" applyNumberFormat="1" applyFont="1" applyFill="1" applyBorder="1" applyAlignment="1" applyProtection="1">
      <alignment vertical="center"/>
    </xf>
    <xf numFmtId="0" fontId="76" fillId="0" borderId="0" xfId="1" applyFont="1" applyBorder="1" applyAlignment="1" applyProtection="1">
      <alignment vertical="center"/>
    </xf>
    <xf numFmtId="0" fontId="21" fillId="0" borderId="0" xfId="1" applyFont="1" applyBorder="1" applyAlignment="1" applyProtection="1">
      <alignment horizontal="left" vertical="center"/>
    </xf>
    <xf numFmtId="0" fontId="21" fillId="0" borderId="0" xfId="1" applyFont="1" applyAlignment="1" applyProtection="1">
      <alignment vertical="center"/>
    </xf>
    <xf numFmtId="0" fontId="15" fillId="0" borderId="57" xfId="1" applyFont="1" applyBorder="1" applyAlignment="1" applyProtection="1">
      <alignment horizontal="center" vertical="center"/>
    </xf>
    <xf numFmtId="0" fontId="15" fillId="0" borderId="0" xfId="1" applyFont="1" applyBorder="1" applyAlignment="1" applyProtection="1">
      <alignment horizontal="center" vertical="center"/>
    </xf>
    <xf numFmtId="0" fontId="7" fillId="0" borderId="40" xfId="1" applyFont="1" applyBorder="1" applyAlignment="1" applyProtection="1">
      <alignment horizontal="center" vertical="center"/>
    </xf>
    <xf numFmtId="0" fontId="5" fillId="0" borderId="0" xfId="1" applyFill="1" applyBorder="1" applyAlignment="1" applyProtection="1">
      <alignment vertical="center"/>
    </xf>
    <xf numFmtId="0" fontId="6" fillId="0" borderId="23" xfId="1" applyFont="1" applyBorder="1" applyAlignment="1" applyProtection="1">
      <alignment vertical="center"/>
    </xf>
    <xf numFmtId="0" fontId="17" fillId="0" borderId="0" xfId="1" applyFont="1" applyBorder="1" applyAlignment="1" applyProtection="1">
      <alignment vertical="center"/>
    </xf>
    <xf numFmtId="14" fontId="7" fillId="0" borderId="0" xfId="1" applyNumberFormat="1" applyFont="1" applyAlignment="1" applyProtection="1">
      <alignment horizontal="left" vertical="center"/>
    </xf>
    <xf numFmtId="0" fontId="7" fillId="0" borderId="0" xfId="1" applyFont="1" applyAlignment="1" applyProtection="1">
      <alignment horizontal="left" vertical="center"/>
    </xf>
    <xf numFmtId="0" fontId="17" fillId="0" borderId="0" xfId="1" applyFont="1" applyBorder="1" applyAlignment="1" applyProtection="1">
      <alignment horizontal="right" vertical="center"/>
    </xf>
    <xf numFmtId="0" fontId="45" fillId="0" borderId="0" xfId="1" applyFont="1" applyBorder="1" applyAlignment="1" applyProtection="1">
      <alignment horizontal="left" vertical="center"/>
    </xf>
    <xf numFmtId="0" fontId="18" fillId="0" borderId="0" xfId="1" applyFont="1" applyBorder="1" applyAlignment="1" applyProtection="1">
      <alignment vertical="center"/>
    </xf>
    <xf numFmtId="0" fontId="21" fillId="0" borderId="0" xfId="1" applyFont="1" applyBorder="1" applyAlignment="1" applyProtection="1">
      <alignment vertical="center"/>
    </xf>
    <xf numFmtId="0" fontId="21" fillId="0" borderId="0" xfId="67" applyFont="1" applyAlignment="1" applyProtection="1">
      <alignment vertical="center"/>
    </xf>
    <xf numFmtId="0" fontId="21" fillId="0" borderId="0" xfId="1" applyFont="1" applyAlignment="1" applyProtection="1">
      <alignment horizontal="left" vertical="center"/>
    </xf>
    <xf numFmtId="0" fontId="21" fillId="0" borderId="0" xfId="1" applyFont="1" applyAlignment="1" applyProtection="1">
      <alignment vertical="center"/>
      <protection locked="0"/>
    </xf>
    <xf numFmtId="0" fontId="21" fillId="31" borderId="40" xfId="1" applyFont="1" applyFill="1" applyBorder="1" applyAlignment="1" applyProtection="1">
      <alignment horizontal="left" vertical="center"/>
      <protection locked="0"/>
    </xf>
    <xf numFmtId="0" fontId="10" fillId="0" borderId="0" xfId="67"/>
    <xf numFmtId="0" fontId="21" fillId="0" borderId="0" xfId="67" applyFont="1" applyBorder="1" applyAlignment="1" applyProtection="1">
      <alignment horizontal="left" vertical="center"/>
    </xf>
    <xf numFmtId="4" fontId="21" fillId="0" borderId="0" xfId="67" applyNumberFormat="1" applyFont="1" applyFill="1" applyBorder="1" applyAlignment="1" applyProtection="1">
      <alignment vertical="center"/>
    </xf>
    <xf numFmtId="4" fontId="21" fillId="0" borderId="40" xfId="67" applyNumberFormat="1" applyFont="1" applyFill="1" applyBorder="1" applyAlignment="1" applyProtection="1">
      <alignment vertical="center"/>
    </xf>
    <xf numFmtId="0" fontId="21" fillId="31" borderId="40" xfId="67" applyFont="1" applyFill="1" applyBorder="1" applyAlignment="1" applyProtection="1">
      <alignment horizontal="left" vertical="center"/>
      <protection locked="0"/>
    </xf>
    <xf numFmtId="0" fontId="89" fillId="0" borderId="0" xfId="67" applyFont="1" applyAlignment="1" applyProtection="1">
      <alignment vertical="center"/>
    </xf>
    <xf numFmtId="0" fontId="89" fillId="0" borderId="0" xfId="67" applyFont="1" applyBorder="1" applyAlignment="1" applyProtection="1">
      <alignment vertical="center"/>
    </xf>
    <xf numFmtId="0" fontId="89" fillId="0" borderId="0" xfId="1" applyFont="1" applyBorder="1" applyAlignment="1" applyProtection="1">
      <alignment vertical="center"/>
    </xf>
    <xf numFmtId="0" fontId="21" fillId="0" borderId="0" xfId="67" applyFont="1" applyAlignment="1" applyProtection="1">
      <alignment horizontal="right" vertical="center"/>
    </xf>
    <xf numFmtId="0" fontId="21" fillId="0" borderId="0" xfId="1" applyFont="1" applyAlignment="1" applyProtection="1">
      <alignment horizontal="right" vertical="center"/>
    </xf>
    <xf numFmtId="0" fontId="64" fillId="0" borderId="0" xfId="1" applyFont="1" applyBorder="1" applyAlignment="1" applyProtection="1">
      <alignment vertical="center"/>
    </xf>
    <xf numFmtId="181" fontId="21" fillId="0" borderId="40" xfId="1" applyNumberFormat="1" applyFont="1" applyBorder="1" applyAlignment="1" applyProtection="1">
      <alignment vertical="center"/>
    </xf>
    <xf numFmtId="0" fontId="21" fillId="31" borderId="43" xfId="1" applyFont="1" applyFill="1" applyBorder="1" applyAlignment="1" applyProtection="1">
      <alignment horizontal="left" vertical="center"/>
      <protection locked="0"/>
    </xf>
    <xf numFmtId="0" fontId="16" fillId="0" borderId="2" xfId="1" applyFont="1" applyBorder="1" applyAlignment="1" applyProtection="1">
      <alignment vertical="center"/>
    </xf>
    <xf numFmtId="0" fontId="56" fillId="0" borderId="0" xfId="1" applyFont="1" applyBorder="1" applyAlignment="1" applyProtection="1">
      <alignment vertical="center"/>
    </xf>
    <xf numFmtId="0" fontId="15" fillId="4" borderId="0" xfId="1" applyFont="1" applyFill="1" applyAlignment="1" applyProtection="1">
      <alignment horizontal="right" vertical="center"/>
    </xf>
    <xf numFmtId="14" fontId="21" fillId="0" borderId="0" xfId="1" applyNumberFormat="1" applyFont="1" applyAlignment="1" applyProtection="1">
      <alignment horizontal="left" vertical="center"/>
    </xf>
    <xf numFmtId="0" fontId="21" fillId="0" borderId="0" xfId="1" applyFont="1" applyFill="1" applyBorder="1" applyAlignment="1" applyProtection="1">
      <alignment horizontal="right" vertical="center"/>
    </xf>
    <xf numFmtId="0" fontId="21" fillId="0" borderId="0" xfId="1" applyFont="1" applyFill="1" applyBorder="1" applyAlignment="1" applyProtection="1">
      <alignment horizontal="left" vertical="center"/>
    </xf>
    <xf numFmtId="0" fontId="10" fillId="4" borderId="0" xfId="1" applyFont="1" applyFill="1" applyBorder="1" applyAlignment="1" applyProtection="1">
      <alignment horizontal="right" vertical="center"/>
    </xf>
    <xf numFmtId="0" fontId="16" fillId="0" borderId="0" xfId="1" applyFont="1" applyAlignment="1" applyProtection="1">
      <alignment vertical="center"/>
    </xf>
    <xf numFmtId="186" fontId="16" fillId="0" borderId="44" xfId="1" applyNumberFormat="1" applyFont="1" applyFill="1" applyBorder="1" applyAlignment="1" applyProtection="1">
      <alignment horizontal="right" vertical="center"/>
    </xf>
    <xf numFmtId="186" fontId="16" fillId="0" borderId="39" xfId="1" applyNumberFormat="1" applyFont="1" applyFill="1" applyBorder="1" applyAlignment="1" applyProtection="1">
      <alignment horizontal="right" vertical="center"/>
    </xf>
    <xf numFmtId="171" fontId="10" fillId="0" borderId="66" xfId="61" applyNumberFormat="1" applyFont="1" applyFill="1" applyBorder="1" applyAlignment="1" applyProtection="1">
      <alignment horizontal="right" vertical="center"/>
    </xf>
    <xf numFmtId="0" fontId="10" fillId="0" borderId="0" xfId="1" applyFont="1" applyFill="1" applyBorder="1" applyAlignment="1" applyProtection="1">
      <alignment horizontal="center" vertical="center"/>
    </xf>
    <xf numFmtId="186" fontId="16" fillId="0" borderId="19" xfId="1" applyNumberFormat="1" applyFont="1" applyFill="1" applyBorder="1" applyAlignment="1" applyProtection="1">
      <alignment horizontal="right" vertical="center"/>
    </xf>
    <xf numFmtId="186" fontId="16" fillId="0" borderId="40" xfId="1" applyNumberFormat="1" applyFont="1" applyFill="1" applyBorder="1" applyAlignment="1" applyProtection="1">
      <alignment horizontal="right" vertical="center"/>
    </xf>
    <xf numFmtId="0" fontId="10" fillId="0" borderId="2" xfId="1" applyFont="1" applyFill="1" applyBorder="1" applyAlignment="1" applyProtection="1">
      <alignment horizontal="center" vertical="center"/>
    </xf>
    <xf numFmtId="0" fontId="7" fillId="35" borderId="59" xfId="1" applyFont="1" applyFill="1" applyBorder="1" applyAlignment="1" applyProtection="1">
      <alignment vertical="center"/>
    </xf>
    <xf numFmtId="0" fontId="7" fillId="35" borderId="41" xfId="1" applyFont="1" applyFill="1" applyBorder="1" applyAlignment="1" applyProtection="1">
      <alignment vertical="center"/>
    </xf>
    <xf numFmtId="0" fontId="7" fillId="35" borderId="60" xfId="1" applyFont="1" applyFill="1" applyBorder="1" applyAlignment="1" applyProtection="1">
      <alignment horizontal="left" vertical="center"/>
    </xf>
    <xf numFmtId="0" fontId="7" fillId="35" borderId="64" xfId="1" applyFont="1" applyFill="1" applyBorder="1" applyAlignment="1" applyProtection="1">
      <alignment vertical="center"/>
    </xf>
    <xf numFmtId="0" fontId="7" fillId="35" borderId="0" xfId="1" applyFont="1" applyFill="1" applyBorder="1" applyAlignment="1" applyProtection="1">
      <alignment vertical="center"/>
    </xf>
    <xf numFmtId="0" fontId="7" fillId="35" borderId="32" xfId="1" applyFont="1" applyFill="1" applyBorder="1" applyAlignment="1" applyProtection="1">
      <alignment horizontal="left" vertical="center"/>
    </xf>
    <xf numFmtId="0" fontId="7" fillId="35" borderId="78" xfId="1" applyFont="1" applyFill="1" applyBorder="1" applyAlignment="1" applyProtection="1">
      <alignment vertical="center"/>
    </xf>
    <xf numFmtId="0" fontId="7" fillId="35" borderId="24" xfId="1" applyFont="1" applyFill="1" applyBorder="1" applyAlignment="1" applyProtection="1">
      <alignment vertical="center"/>
    </xf>
    <xf numFmtId="0" fontId="7" fillId="35" borderId="79" xfId="1" applyFont="1" applyFill="1" applyBorder="1" applyAlignment="1" applyProtection="1">
      <alignment vertical="center"/>
    </xf>
    <xf numFmtId="171" fontId="10" fillId="4" borderId="0" xfId="61" applyNumberFormat="1" applyFont="1" applyFill="1" applyBorder="1" applyAlignment="1" applyProtection="1">
      <alignment horizontal="right" vertical="center"/>
    </xf>
    <xf numFmtId="188" fontId="10" fillId="4" borderId="0" xfId="1" applyNumberFormat="1" applyFont="1" applyFill="1" applyBorder="1" applyAlignment="1" applyProtection="1">
      <alignment horizontal="right" vertical="center"/>
    </xf>
    <xf numFmtId="189" fontId="10" fillId="4" borderId="0" xfId="1" applyNumberFormat="1" applyFont="1" applyFill="1" applyBorder="1" applyAlignment="1" applyProtection="1">
      <alignment horizontal="right" vertical="center"/>
    </xf>
    <xf numFmtId="190" fontId="10" fillId="4" borderId="0" xfId="1" applyNumberFormat="1" applyFont="1" applyFill="1" applyBorder="1" applyAlignment="1" applyProtection="1">
      <alignment horizontal="right" vertical="center"/>
    </xf>
    <xf numFmtId="170" fontId="10" fillId="4" borderId="0" xfId="1" applyNumberFormat="1" applyFont="1" applyFill="1" applyBorder="1" applyAlignment="1" applyProtection="1">
      <alignment horizontal="right" vertical="center"/>
    </xf>
    <xf numFmtId="188" fontId="10" fillId="0" borderId="61" xfId="1" applyNumberFormat="1" applyFont="1" applyBorder="1" applyAlignment="1" applyProtection="1">
      <alignment horizontal="right" vertical="center"/>
    </xf>
    <xf numFmtId="189" fontId="10" fillId="31" borderId="61" xfId="1" applyNumberFormat="1" applyFont="1" applyFill="1" applyBorder="1" applyAlignment="1" applyProtection="1">
      <alignment horizontal="right" vertical="center"/>
      <protection locked="0"/>
    </xf>
    <xf numFmtId="190" fontId="10" fillId="4" borderId="61" xfId="1" applyNumberFormat="1" applyFont="1" applyFill="1" applyBorder="1" applyAlignment="1" applyProtection="1">
      <alignment horizontal="right" vertical="center"/>
    </xf>
    <xf numFmtId="170" fontId="10" fillId="4" borderId="61" xfId="1" applyNumberFormat="1" applyFont="1" applyFill="1" applyBorder="1" applyAlignment="1" applyProtection="1">
      <alignment horizontal="right" vertical="center"/>
    </xf>
    <xf numFmtId="170" fontId="10" fillId="31" borderId="61" xfId="1" applyNumberFormat="1" applyFont="1" applyFill="1" applyBorder="1" applyAlignment="1" applyProtection="1">
      <alignment horizontal="right" vertical="center"/>
      <protection locked="0"/>
    </xf>
    <xf numFmtId="189" fontId="10" fillId="31" borderId="63" xfId="1" applyNumberFormat="1" applyFont="1" applyFill="1" applyBorder="1" applyAlignment="1" applyProtection="1">
      <alignment horizontal="right" vertical="center"/>
      <protection locked="0"/>
    </xf>
    <xf numFmtId="0" fontId="10" fillId="31" borderId="2" xfId="1" applyFont="1" applyFill="1" applyBorder="1" applyAlignment="1" applyProtection="1">
      <alignment vertical="center"/>
      <protection locked="0"/>
    </xf>
    <xf numFmtId="188" fontId="10" fillId="0" borderId="65" xfId="1" applyNumberFormat="1" applyFont="1" applyBorder="1" applyAlignment="1" applyProtection="1">
      <alignment horizontal="right" vertical="center"/>
    </xf>
    <xf numFmtId="189" fontId="10" fillId="31" borderId="65" xfId="1" applyNumberFormat="1" applyFont="1" applyFill="1" applyBorder="1" applyAlignment="1" applyProtection="1">
      <alignment horizontal="right" vertical="center"/>
      <protection locked="0"/>
    </xf>
    <xf numFmtId="190" fontId="10" fillId="4" borderId="65" xfId="1" applyNumberFormat="1" applyFont="1" applyFill="1" applyBorder="1" applyAlignment="1" applyProtection="1">
      <alignment horizontal="right" vertical="center"/>
    </xf>
    <xf numFmtId="170" fontId="10" fillId="4" borderId="65" xfId="1" applyNumberFormat="1" applyFont="1" applyFill="1" applyBorder="1" applyAlignment="1" applyProtection="1">
      <alignment horizontal="right" vertical="center"/>
    </xf>
    <xf numFmtId="170" fontId="10" fillId="31" borderId="65" xfId="1" applyNumberFormat="1" applyFont="1" applyFill="1" applyBorder="1" applyAlignment="1" applyProtection="1">
      <alignment horizontal="right" vertical="center"/>
      <protection locked="0"/>
    </xf>
    <xf numFmtId="189" fontId="10" fillId="31" borderId="67" xfId="1" applyNumberFormat="1" applyFont="1" applyFill="1" applyBorder="1" applyAlignment="1" applyProtection="1">
      <alignment horizontal="right" vertical="center"/>
      <protection locked="0"/>
    </xf>
    <xf numFmtId="0" fontId="10" fillId="31" borderId="0" xfId="1" applyFont="1" applyFill="1" applyBorder="1" applyAlignment="1" applyProtection="1">
      <alignment vertical="center"/>
      <protection locked="0"/>
    </xf>
    <xf numFmtId="0" fontId="10" fillId="0" borderId="0" xfId="67" applyFont="1" applyAlignment="1">
      <alignment horizontal="left"/>
    </xf>
    <xf numFmtId="0" fontId="10" fillId="0" borderId="0" xfId="1" applyFont="1" applyBorder="1" applyProtection="1"/>
    <xf numFmtId="0" fontId="7" fillId="0" borderId="89" xfId="1" applyFont="1" applyFill="1" applyBorder="1" applyAlignment="1" applyProtection="1">
      <alignment horizontal="center" vertical="center"/>
    </xf>
    <xf numFmtId="0" fontId="7" fillId="0" borderId="90" xfId="1" applyFont="1" applyFill="1" applyBorder="1" applyAlignment="1" applyProtection="1">
      <alignment horizontal="center" vertical="center"/>
    </xf>
    <xf numFmtId="0" fontId="7" fillId="0" borderId="91" xfId="1" applyFont="1" applyFill="1" applyBorder="1" applyAlignment="1" applyProtection="1">
      <alignment horizontal="center" vertical="center"/>
    </xf>
    <xf numFmtId="0" fontId="10" fillId="0" borderId="90" xfId="1" applyFont="1" applyBorder="1" applyAlignment="1" applyProtection="1">
      <alignment vertical="center"/>
    </xf>
    <xf numFmtId="177" fontId="10" fillId="31" borderId="90" xfId="1" applyNumberFormat="1" applyFont="1" applyFill="1" applyBorder="1" applyAlignment="1" applyProtection="1">
      <alignment horizontal="right" vertical="center"/>
      <protection locked="0"/>
    </xf>
    <xf numFmtId="0" fontId="10" fillId="0" borderId="90" xfId="1" applyFont="1" applyBorder="1" applyAlignment="1" applyProtection="1">
      <alignment horizontal="left" vertical="center"/>
    </xf>
    <xf numFmtId="0" fontId="14" fillId="0" borderId="90" xfId="1" applyFont="1" applyBorder="1" applyAlignment="1" applyProtection="1">
      <alignment vertical="center"/>
    </xf>
    <xf numFmtId="0" fontId="7" fillId="0" borderId="0" xfId="1" applyFont="1" applyFill="1" applyBorder="1" applyAlignment="1" applyProtection="1">
      <alignment horizontal="center" vertical="center"/>
    </xf>
    <xf numFmtId="0" fontId="5" fillId="0" borderId="0" xfId="1" applyBorder="1" applyAlignment="1" applyProtection="1">
      <alignment horizontal="centerContinuous"/>
    </xf>
    <xf numFmtId="0" fontId="7" fillId="0" borderId="0" xfId="1" applyFont="1" applyFill="1" applyBorder="1" applyAlignment="1" applyProtection="1">
      <alignment horizontal="centerContinuous" vertical="center"/>
    </xf>
    <xf numFmtId="0" fontId="7" fillId="0" borderId="40" xfId="1" applyFont="1" applyFill="1" applyBorder="1" applyAlignment="1" applyProtection="1">
      <alignment horizontal="center" vertical="center"/>
    </xf>
    <xf numFmtId="0" fontId="10" fillId="0" borderId="0" xfId="2" applyFont="1" applyBorder="1" applyAlignment="1" applyProtection="1">
      <alignment vertical="center"/>
    </xf>
    <xf numFmtId="177" fontId="10" fillId="4" borderId="0" xfId="2" applyNumberFormat="1" applyFont="1" applyFill="1" applyBorder="1" applyAlignment="1" applyProtection="1">
      <alignment horizontal="right" vertical="center"/>
    </xf>
    <xf numFmtId="0" fontId="10" fillId="0" borderId="0" xfId="2" applyFont="1" applyBorder="1" applyAlignment="1" applyProtection="1">
      <alignment horizontal="left" vertical="center"/>
    </xf>
    <xf numFmtId="186" fontId="17" fillId="0" borderId="0" xfId="1" applyNumberFormat="1" applyFont="1" applyFill="1" applyBorder="1" applyAlignment="1" applyProtection="1">
      <alignment horizontal="right" vertical="center"/>
    </xf>
    <xf numFmtId="0" fontId="15" fillId="0" borderId="0" xfId="1" applyFont="1" applyFill="1" applyBorder="1" applyAlignment="1" applyProtection="1">
      <alignment horizontal="left" vertical="center"/>
    </xf>
    <xf numFmtId="0" fontId="15" fillId="0" borderId="43" xfId="1" applyFont="1" applyFill="1" applyBorder="1" applyAlignment="1" applyProtection="1">
      <alignment horizontal="left" vertical="center"/>
    </xf>
    <xf numFmtId="0" fontId="10" fillId="0" borderId="40" xfId="1" applyFont="1" applyBorder="1" applyAlignment="1" applyProtection="1">
      <alignment vertical="center"/>
    </xf>
    <xf numFmtId="0" fontId="10" fillId="0" borderId="89" xfId="1" applyFont="1" applyFill="1" applyBorder="1" applyAlignment="1" applyProtection="1">
      <alignment horizontal="center" vertical="center"/>
    </xf>
    <xf numFmtId="0" fontId="10" fillId="0" borderId="90" xfId="1" applyFont="1" applyFill="1" applyBorder="1" applyAlignment="1" applyProtection="1">
      <alignment horizontal="center" vertical="center"/>
    </xf>
    <xf numFmtId="0" fontId="10" fillId="0" borderId="91" xfId="1" applyFont="1" applyFill="1" applyBorder="1" applyAlignment="1" applyProtection="1">
      <alignment horizontal="center" vertical="center"/>
    </xf>
    <xf numFmtId="0" fontId="6" fillId="0" borderId="90" xfId="1" applyFont="1" applyBorder="1" applyAlignment="1" applyProtection="1">
      <alignment vertical="center"/>
    </xf>
    <xf numFmtId="0" fontId="10" fillId="0" borderId="91" xfId="1" applyFont="1" applyBorder="1" applyAlignment="1" applyProtection="1">
      <alignment vertical="center"/>
    </xf>
    <xf numFmtId="0" fontId="10" fillId="0" borderId="0" xfId="1" applyFont="1" applyBorder="1" applyAlignment="1" applyProtection="1">
      <alignment horizontal="centerContinuous"/>
    </xf>
    <xf numFmtId="0" fontId="10" fillId="0" borderId="0" xfId="1" applyFont="1" applyFill="1" applyBorder="1" applyAlignment="1" applyProtection="1">
      <alignment horizontal="centerContinuous" vertical="center"/>
    </xf>
    <xf numFmtId="0" fontId="10" fillId="0" borderId="40" xfId="1" applyFont="1" applyFill="1" applyBorder="1" applyAlignment="1" applyProtection="1">
      <alignment horizontal="center" vertical="center"/>
    </xf>
    <xf numFmtId="177" fontId="10" fillId="4" borderId="0" xfId="1" applyNumberFormat="1" applyFont="1" applyFill="1" applyBorder="1" applyAlignment="1" applyProtection="1">
      <alignment horizontal="right" vertical="center"/>
    </xf>
    <xf numFmtId="188" fontId="7" fillId="0" borderId="0" xfId="1" applyNumberFormat="1" applyFont="1" applyBorder="1" applyAlignment="1" applyProtection="1">
      <alignment vertical="center"/>
    </xf>
    <xf numFmtId="0" fontId="16" fillId="0" borderId="0" xfId="67" applyFont="1" applyBorder="1" applyAlignment="1">
      <alignment horizontal="left"/>
    </xf>
    <xf numFmtId="0" fontId="77" fillId="0" borderId="89" xfId="1" applyFont="1" applyBorder="1" applyAlignment="1" applyProtection="1">
      <alignment vertical="center"/>
    </xf>
    <xf numFmtId="0" fontId="77" fillId="0" borderId="90" xfId="1" applyFont="1" applyBorder="1" applyAlignment="1" applyProtection="1">
      <alignment vertical="center"/>
    </xf>
    <xf numFmtId="0" fontId="77" fillId="0" borderId="91" xfId="1" applyFont="1" applyBorder="1" applyAlignment="1" applyProtection="1">
      <alignment vertical="center"/>
    </xf>
    <xf numFmtId="177" fontId="10" fillId="31" borderId="90" xfId="1" applyNumberFormat="1" applyFont="1" applyFill="1" applyBorder="1" applyAlignment="1" applyProtection="1">
      <alignment vertical="center"/>
      <protection locked="0"/>
    </xf>
    <xf numFmtId="0" fontId="73" fillId="35" borderId="64" xfId="1" applyFont="1" applyFill="1" applyBorder="1" applyAlignment="1" applyProtection="1">
      <alignment vertical="center"/>
    </xf>
    <xf numFmtId="0" fontId="73" fillId="35" borderId="0" xfId="1" applyFont="1" applyFill="1" applyBorder="1" applyAlignment="1" applyProtection="1">
      <alignment vertical="center"/>
    </xf>
    <xf numFmtId="0" fontId="7" fillId="35" borderId="32" xfId="1" applyFont="1" applyFill="1" applyBorder="1" applyAlignment="1" applyProtection="1">
      <alignment vertical="center"/>
    </xf>
    <xf numFmtId="0" fontId="77" fillId="0" borderId="0" xfId="1" applyFont="1" applyBorder="1" applyAlignment="1" applyProtection="1">
      <alignment vertical="center"/>
    </xf>
    <xf numFmtId="0" fontId="77" fillId="0" borderId="40" xfId="1" applyFont="1" applyBorder="1" applyAlignment="1" applyProtection="1">
      <alignment vertical="center"/>
    </xf>
    <xf numFmtId="0" fontId="73" fillId="35" borderId="78" xfId="1" applyFont="1" applyFill="1" applyBorder="1" applyAlignment="1" applyProtection="1">
      <alignment vertical="center"/>
    </xf>
    <xf numFmtId="0" fontId="73" fillId="35" borderId="24" xfId="1" applyFont="1" applyFill="1" applyBorder="1" applyAlignment="1" applyProtection="1">
      <alignment vertical="center"/>
    </xf>
    <xf numFmtId="0" fontId="15" fillId="0" borderId="40" xfId="1" applyFont="1" applyFill="1" applyBorder="1" applyAlignment="1" applyProtection="1">
      <alignment horizontal="left" vertical="center"/>
    </xf>
    <xf numFmtId="0" fontId="15" fillId="0" borderId="19" xfId="1" applyFont="1" applyBorder="1" applyAlignment="1" applyProtection="1">
      <alignment vertical="center"/>
    </xf>
    <xf numFmtId="0" fontId="71" fillId="0" borderId="0" xfId="1" applyFont="1" applyAlignment="1" applyProtection="1">
      <alignment vertical="center"/>
      <protection locked="0"/>
    </xf>
    <xf numFmtId="0" fontId="10" fillId="0" borderId="80" xfId="1" applyFont="1" applyFill="1" applyBorder="1" applyAlignment="1" applyProtection="1">
      <alignment horizontal="center" vertical="center"/>
    </xf>
    <xf numFmtId="0" fontId="10" fillId="0" borderId="62" xfId="1" applyFont="1" applyFill="1" applyBorder="1" applyAlignment="1" applyProtection="1">
      <alignment horizontal="center" vertical="center"/>
    </xf>
    <xf numFmtId="0" fontId="10" fillId="0" borderId="63" xfId="1" applyFont="1" applyFill="1" applyBorder="1" applyAlignment="1" applyProtection="1">
      <alignment horizontal="center" vertical="center"/>
    </xf>
    <xf numFmtId="177" fontId="10" fillId="4" borderId="2" xfId="1" applyNumberFormat="1" applyFont="1" applyFill="1" applyBorder="1" applyAlignment="1" applyProtection="1">
      <alignment horizontal="center" vertical="center"/>
    </xf>
    <xf numFmtId="0" fontId="10" fillId="0" borderId="2" xfId="1" applyFont="1" applyBorder="1" applyAlignment="1" applyProtection="1">
      <alignment horizontal="left" vertical="center"/>
    </xf>
    <xf numFmtId="0" fontId="6" fillId="0" borderId="65" xfId="1" applyFont="1" applyFill="1" applyBorder="1" applyAlignment="1" applyProtection="1">
      <alignment horizontal="center" vertical="center"/>
    </xf>
    <xf numFmtId="0" fontId="6" fillId="0" borderId="67" xfId="1" applyFont="1" applyFill="1" applyBorder="1" applyAlignment="1" applyProtection="1">
      <alignment horizontal="center" vertical="center"/>
    </xf>
    <xf numFmtId="177" fontId="10" fillId="4" borderId="0" xfId="1" applyNumberFormat="1" applyFont="1" applyFill="1" applyBorder="1" applyAlignment="1" applyProtection="1">
      <alignment horizontal="center" vertical="center"/>
    </xf>
    <xf numFmtId="0" fontId="45" fillId="0" borderId="0" xfId="1" applyFont="1" applyBorder="1" applyAlignment="1" applyProtection="1">
      <alignment horizontal="right" vertical="top"/>
    </xf>
    <xf numFmtId="0" fontId="10" fillId="0" borderId="0" xfId="1" applyFont="1" applyBorder="1" applyAlignment="1" applyProtection="1">
      <alignment horizontal="left" vertical="top"/>
    </xf>
    <xf numFmtId="0" fontId="44" fillId="0" borderId="0" xfId="1" applyFont="1" applyBorder="1" applyAlignment="1" applyProtection="1">
      <alignment vertical="top"/>
    </xf>
    <xf numFmtId="0" fontId="44" fillId="4" borderId="0" xfId="1" applyFont="1" applyFill="1" applyAlignment="1" applyProtection="1">
      <alignment horizontal="right" vertical="top"/>
    </xf>
    <xf numFmtId="0" fontId="17" fillId="0" borderId="0" xfId="1" applyFont="1" applyBorder="1" applyAlignment="1" applyProtection="1">
      <alignment horizontal="left" vertical="top"/>
    </xf>
    <xf numFmtId="0" fontId="69" fillId="0" borderId="0" xfId="1" applyFont="1" applyBorder="1" applyAlignment="1" applyProtection="1"/>
    <xf numFmtId="14" fontId="10" fillId="0" borderId="0" xfId="1" applyNumberFormat="1" applyFont="1" applyAlignment="1" applyProtection="1">
      <alignment horizontal="left" vertical="top"/>
    </xf>
    <xf numFmtId="0" fontId="10" fillId="0" borderId="0" xfId="1" applyFont="1" applyAlignment="1" applyProtection="1">
      <alignment horizontal="left" vertical="top"/>
    </xf>
    <xf numFmtId="0" fontId="19" fillId="0" borderId="0" xfId="1" applyFont="1" applyBorder="1" applyAlignment="1" applyProtection="1">
      <alignment vertical="top"/>
    </xf>
    <xf numFmtId="0" fontId="44" fillId="31" borderId="95" xfId="106" applyFont="1" applyFill="1" applyBorder="1" applyAlignment="1" applyProtection="1">
      <alignment horizontal="center" vertical="center"/>
      <protection locked="0"/>
    </xf>
    <xf numFmtId="0" fontId="44" fillId="31" borderId="96" xfId="106" applyFont="1" applyFill="1" applyBorder="1" applyAlignment="1" applyProtection="1">
      <alignment horizontal="center" vertical="center"/>
      <protection locked="0"/>
    </xf>
    <xf numFmtId="0" fontId="32" fillId="0" borderId="0" xfId="55">
      <alignment horizontal="center"/>
    </xf>
    <xf numFmtId="0" fontId="32" fillId="0" borderId="0" xfId="55" applyFont="1">
      <alignment horizontal="center"/>
    </xf>
    <xf numFmtId="0" fontId="44" fillId="31" borderId="37" xfId="106" applyFont="1" applyFill="1" applyBorder="1" applyAlignment="1" applyProtection="1">
      <alignment horizontal="center" vertical="center"/>
      <protection locked="0"/>
    </xf>
    <xf numFmtId="0" fontId="44" fillId="31" borderId="99" xfId="106" applyFont="1" applyFill="1" applyBorder="1" applyAlignment="1" applyProtection="1">
      <alignment horizontal="center" vertical="center"/>
      <protection locked="0"/>
    </xf>
    <xf numFmtId="2" fontId="5" fillId="0" borderId="0" xfId="1" applyNumberFormat="1"/>
    <xf numFmtId="2" fontId="5" fillId="0" borderId="0" xfId="1" applyNumberFormat="1" applyAlignment="1">
      <alignment horizontal="center"/>
    </xf>
    <xf numFmtId="177" fontId="5" fillId="0" borderId="0" xfId="1" applyNumberFormat="1" applyAlignment="1">
      <alignment horizontal="center"/>
    </xf>
    <xf numFmtId="177" fontId="5" fillId="0" borderId="0" xfId="1" applyNumberFormat="1"/>
    <xf numFmtId="0" fontId="5" fillId="0" borderId="0" xfId="1" applyBorder="1"/>
    <xf numFmtId="2" fontId="5" fillId="0" borderId="0" xfId="1" applyNumberFormat="1" applyBorder="1"/>
    <xf numFmtId="2" fontId="5" fillId="0" borderId="0" xfId="1" applyNumberFormat="1" applyBorder="1" applyAlignment="1">
      <alignment horizontal="center"/>
    </xf>
    <xf numFmtId="177" fontId="5" fillId="0" borderId="0" xfId="1" applyNumberFormat="1" applyBorder="1" applyAlignment="1">
      <alignment horizontal="center"/>
    </xf>
    <xf numFmtId="177" fontId="5" fillId="0" borderId="0" xfId="1" applyNumberFormat="1" applyBorder="1"/>
    <xf numFmtId="0" fontId="5" fillId="0" borderId="0" xfId="1" applyBorder="1" applyAlignment="1">
      <alignment horizontal="center"/>
    </xf>
    <xf numFmtId="0" fontId="21" fillId="0" borderId="0" xfId="1" applyFont="1" applyBorder="1"/>
    <xf numFmtId="0" fontId="21" fillId="0" borderId="0" xfId="1" applyFont="1" applyBorder="1" applyAlignment="1">
      <alignment horizontal="center"/>
    </xf>
    <xf numFmtId="2" fontId="21" fillId="0" borderId="0" xfId="1" applyNumberFormat="1" applyFont="1" applyBorder="1" applyAlignment="1">
      <alignment horizontal="center"/>
    </xf>
    <xf numFmtId="2" fontId="21" fillId="0" borderId="0" xfId="1" applyNumberFormat="1" applyFont="1" applyBorder="1" applyAlignment="1">
      <alignment horizontal="left"/>
    </xf>
    <xf numFmtId="177" fontId="21" fillId="0" borderId="0" xfId="1" applyNumberFormat="1" applyFont="1" applyBorder="1" applyAlignment="1" applyProtection="1">
      <alignment horizontal="center"/>
      <protection locked="0"/>
    </xf>
    <xf numFmtId="177" fontId="21" fillId="0" borderId="0" xfId="1" applyNumberFormat="1" applyFont="1" applyBorder="1" applyAlignment="1">
      <alignment horizontal="right"/>
    </xf>
    <xf numFmtId="177" fontId="21" fillId="0" borderId="0" xfId="1" applyNumberFormat="1" applyFont="1" applyBorder="1" applyAlignment="1">
      <alignment horizontal="center"/>
    </xf>
    <xf numFmtId="192" fontId="21" fillId="0" borderId="0" xfId="1" applyNumberFormat="1" applyFont="1" applyBorder="1" applyAlignment="1">
      <alignment horizontal="left"/>
    </xf>
    <xf numFmtId="2" fontId="21" fillId="0" borderId="47" xfId="67" applyNumberFormat="1" applyFont="1" applyBorder="1" applyAlignment="1">
      <alignment horizontal="center"/>
    </xf>
    <xf numFmtId="177" fontId="21" fillId="38" borderId="46" xfId="67" applyNumberFormat="1" applyFont="1" applyFill="1" applyBorder="1" applyAlignment="1">
      <alignment horizontal="center"/>
    </xf>
    <xf numFmtId="0" fontId="10" fillId="0" borderId="19" xfId="67" applyBorder="1"/>
    <xf numFmtId="0" fontId="10" fillId="0" borderId="0" xfId="67" applyBorder="1"/>
    <xf numFmtId="2" fontId="21" fillId="0" borderId="19" xfId="67" applyNumberFormat="1" applyFont="1" applyBorder="1" applyAlignment="1">
      <alignment horizontal="center"/>
    </xf>
    <xf numFmtId="0" fontId="21" fillId="0" borderId="0" xfId="1" applyFont="1"/>
    <xf numFmtId="2" fontId="21" fillId="0" borderId="0" xfId="1" applyNumberFormat="1" applyFont="1" applyAlignment="1">
      <alignment horizontal="left"/>
    </xf>
    <xf numFmtId="0" fontId="21" fillId="0" borderId="0" xfId="1" applyFont="1" applyProtection="1">
      <protection locked="0"/>
    </xf>
    <xf numFmtId="2" fontId="6" fillId="0" borderId="44" xfId="67" applyNumberFormat="1" applyFont="1" applyBorder="1" applyAlignment="1">
      <alignment horizontal="center"/>
    </xf>
    <xf numFmtId="0" fontId="6" fillId="0" borderId="39" xfId="67" applyFont="1" applyBorder="1" applyAlignment="1">
      <alignment horizontal="center"/>
    </xf>
    <xf numFmtId="2" fontId="6" fillId="0" borderId="2" xfId="67" applyNumberFormat="1" applyFont="1" applyBorder="1" applyAlignment="1">
      <alignment horizontal="center"/>
    </xf>
    <xf numFmtId="9" fontId="6" fillId="0" borderId="19" xfId="61" applyFont="1" applyBorder="1" applyAlignment="1">
      <alignment horizontal="center"/>
    </xf>
    <xf numFmtId="9" fontId="6" fillId="0" borderId="40" xfId="61" applyFont="1" applyBorder="1" applyAlignment="1">
      <alignment horizontal="center"/>
    </xf>
    <xf numFmtId="0" fontId="6" fillId="0" borderId="0" xfId="67" applyFont="1" applyBorder="1" applyAlignment="1">
      <alignment horizontal="center"/>
    </xf>
    <xf numFmtId="2" fontId="10" fillId="0" borderId="0" xfId="67" applyNumberFormat="1" applyBorder="1" applyAlignment="1">
      <alignment horizontal="center"/>
    </xf>
    <xf numFmtId="9" fontId="6" fillId="0" borderId="43" xfId="61" applyFont="1" applyBorder="1" applyAlignment="1">
      <alignment horizontal="center"/>
    </xf>
    <xf numFmtId="9" fontId="6" fillId="0" borderId="0" xfId="61" applyFont="1" applyBorder="1" applyAlignment="1">
      <alignment horizontal="center"/>
    </xf>
    <xf numFmtId="9" fontId="6" fillId="0" borderId="42" xfId="61" applyFont="1" applyBorder="1" applyAlignment="1">
      <alignment horizontal="center"/>
    </xf>
    <xf numFmtId="177" fontId="5" fillId="4" borderId="0" xfId="1" applyNumberFormat="1" applyFill="1" applyAlignment="1">
      <alignment horizontal="center"/>
    </xf>
    <xf numFmtId="2" fontId="5" fillId="4" borderId="0" xfId="1" applyNumberFormat="1" applyFill="1"/>
    <xf numFmtId="177" fontId="21" fillId="0" borderId="0" xfId="67" applyNumberFormat="1" applyFont="1"/>
    <xf numFmtId="1" fontId="6" fillId="4" borderId="0" xfId="1" applyNumberFormat="1" applyFont="1" applyFill="1"/>
    <xf numFmtId="0" fontId="5" fillId="0" borderId="0" xfId="1" applyAlignment="1">
      <alignment horizontal="right"/>
    </xf>
    <xf numFmtId="177" fontId="19" fillId="0" borderId="0" xfId="1" applyNumberFormat="1" applyFont="1"/>
    <xf numFmtId="0" fontId="32" fillId="0" borderId="0" xfId="55" applyAlignment="1">
      <alignment horizontal="center"/>
    </xf>
    <xf numFmtId="2" fontId="56" fillId="0" borderId="0" xfId="1" applyNumberFormat="1" applyFont="1" applyBorder="1" applyAlignment="1" applyProtection="1">
      <alignment horizontal="center" vertical="center"/>
    </xf>
    <xf numFmtId="2" fontId="16" fillId="0" borderId="59" xfId="1" applyNumberFormat="1" applyFont="1" applyBorder="1" applyAlignment="1" applyProtection="1">
      <alignment horizontal="left" vertical="center"/>
    </xf>
    <xf numFmtId="2" fontId="16" fillId="4" borderId="41" xfId="1" applyNumberFormat="1" applyFont="1" applyFill="1" applyBorder="1" applyAlignment="1" applyProtection="1">
      <alignment vertical="center"/>
    </xf>
    <xf numFmtId="0" fontId="16" fillId="0" borderId="41" xfId="1" applyFont="1" applyBorder="1" applyAlignment="1" applyProtection="1">
      <alignment horizontal="left" vertical="center"/>
    </xf>
    <xf numFmtId="2" fontId="16" fillId="31" borderId="41" xfId="1" applyNumberFormat="1" applyFont="1" applyFill="1" applyBorder="1" applyAlignment="1" applyProtection="1">
      <alignment vertical="center"/>
      <protection locked="0"/>
    </xf>
    <xf numFmtId="0" fontId="5" fillId="0" borderId="41" xfId="1" applyBorder="1" applyAlignment="1" applyProtection="1">
      <alignment vertical="center"/>
    </xf>
    <xf numFmtId="0" fontId="56" fillId="0" borderId="41" xfId="1" applyFont="1" applyBorder="1" applyAlignment="1" applyProtection="1">
      <alignment vertical="center"/>
    </xf>
    <xf numFmtId="0" fontId="16" fillId="0" borderId="60" xfId="1" applyFont="1" applyBorder="1" applyAlignment="1" applyProtection="1">
      <alignment vertical="center"/>
    </xf>
    <xf numFmtId="2" fontId="16" fillId="0" borderId="78" xfId="1" applyNumberFormat="1" applyFont="1" applyBorder="1" applyAlignment="1" applyProtection="1">
      <alignment horizontal="left" vertical="center"/>
    </xf>
    <xf numFmtId="2" fontId="16" fillId="31" borderId="24" xfId="1" applyNumberFormat="1" applyFont="1" applyFill="1" applyBorder="1" applyAlignment="1" applyProtection="1">
      <alignment vertical="center"/>
      <protection locked="0"/>
    </xf>
    <xf numFmtId="0" fontId="16" fillId="0" borderId="24" xfId="1" applyFont="1" applyBorder="1" applyAlignment="1" applyProtection="1">
      <alignment horizontal="left" vertical="center"/>
    </xf>
    <xf numFmtId="0" fontId="5" fillId="0" borderId="24" xfId="1" applyBorder="1" applyAlignment="1" applyProtection="1">
      <alignment vertical="center"/>
    </xf>
    <xf numFmtId="0" fontId="56" fillId="0" borderId="24" xfId="1" applyFont="1" applyBorder="1" applyAlignment="1" applyProtection="1">
      <alignment vertical="center"/>
    </xf>
    <xf numFmtId="0" fontId="16" fillId="0" borderId="79" xfId="1" applyFont="1" applyBorder="1" applyAlignment="1" applyProtection="1">
      <alignment vertical="center"/>
    </xf>
    <xf numFmtId="0" fontId="21" fillId="31" borderId="0" xfId="1" applyFont="1" applyFill="1" applyAlignment="1" applyProtection="1">
      <alignment vertical="center"/>
      <protection locked="0"/>
    </xf>
    <xf numFmtId="0" fontId="99" fillId="0" borderId="0" xfId="1" applyFont="1" applyAlignment="1" applyProtection="1">
      <alignment vertical="center"/>
    </xf>
    <xf numFmtId="2" fontId="5" fillId="0" borderId="0" xfId="1" applyNumberFormat="1" applyAlignment="1" applyProtection="1">
      <alignment vertical="center"/>
    </xf>
    <xf numFmtId="177" fontId="5" fillId="0" borderId="0" xfId="1" applyNumberFormat="1" applyAlignment="1" applyProtection="1">
      <alignment vertical="center"/>
    </xf>
    <xf numFmtId="0" fontId="16" fillId="0" borderId="106" xfId="1" applyFont="1" applyBorder="1" applyAlignment="1" applyProtection="1">
      <alignment vertical="center"/>
    </xf>
    <xf numFmtId="2" fontId="16" fillId="31" borderId="94" xfId="1" applyNumberFormat="1" applyFont="1" applyFill="1" applyBorder="1" applyAlignment="1" applyProtection="1">
      <alignment vertical="center"/>
      <protection locked="0"/>
    </xf>
    <xf numFmtId="0" fontId="16" fillId="0" borderId="94" xfId="1" applyFont="1" applyBorder="1" applyAlignment="1" applyProtection="1">
      <alignment vertical="center"/>
    </xf>
    <xf numFmtId="0" fontId="16" fillId="0" borderId="107" xfId="1" applyFont="1" applyBorder="1" applyAlignment="1" applyProtection="1">
      <alignment vertical="center"/>
    </xf>
    <xf numFmtId="0" fontId="6" fillId="0" borderId="0" xfId="1" applyFont="1" applyAlignment="1" applyProtection="1">
      <alignment horizontal="left" vertical="center"/>
    </xf>
    <xf numFmtId="0" fontId="100" fillId="0" borderId="0" xfId="1" applyFont="1" applyAlignment="1" applyProtection="1">
      <alignment horizontal="left" vertical="center"/>
    </xf>
    <xf numFmtId="0" fontId="6" fillId="0" borderId="0" xfId="1" applyFont="1" applyAlignment="1" applyProtection="1">
      <alignment vertical="center"/>
    </xf>
    <xf numFmtId="0" fontId="5" fillId="0" borderId="44" xfId="1" applyBorder="1" applyAlignment="1" applyProtection="1">
      <alignment vertical="center"/>
    </xf>
    <xf numFmtId="0" fontId="6" fillId="0" borderId="77" xfId="1" applyFont="1" applyBorder="1" applyAlignment="1" applyProtection="1">
      <alignment vertical="center"/>
    </xf>
    <xf numFmtId="0" fontId="6" fillId="0" borderId="43" xfId="1" applyFont="1" applyBorder="1" applyAlignment="1" applyProtection="1">
      <alignment vertical="center"/>
    </xf>
    <xf numFmtId="0" fontId="5" fillId="0" borderId="42" xfId="1" applyBorder="1" applyAlignment="1" applyProtection="1">
      <alignment vertical="center"/>
    </xf>
    <xf numFmtId="0" fontId="5" fillId="0" borderId="40" xfId="1" applyBorder="1" applyAlignment="1" applyProtection="1">
      <alignment vertical="center"/>
    </xf>
    <xf numFmtId="0" fontId="71" fillId="0" borderId="43" xfId="1" applyFont="1" applyBorder="1" applyAlignment="1" applyProtection="1">
      <alignment vertical="center"/>
    </xf>
    <xf numFmtId="0" fontId="101" fillId="0" borderId="0" xfId="55" applyFont="1">
      <alignment horizontal="center"/>
    </xf>
    <xf numFmtId="0" fontId="5" fillId="0" borderId="36" xfId="1" applyBorder="1"/>
    <xf numFmtId="185" fontId="5" fillId="0" borderId="0" xfId="1" applyNumberFormat="1" applyAlignment="1" applyProtection="1">
      <alignment vertical="center"/>
    </xf>
    <xf numFmtId="0" fontId="5" fillId="0" borderId="43" xfId="1" applyBorder="1"/>
    <xf numFmtId="0" fontId="10" fillId="0" borderId="57" xfId="1" applyFont="1" applyBorder="1" applyAlignment="1" applyProtection="1">
      <alignment vertical="center"/>
    </xf>
    <xf numFmtId="177" fontId="103" fillId="0" borderId="0" xfId="1" applyNumberFormat="1" applyFont="1" applyAlignment="1" applyProtection="1">
      <alignment vertical="center"/>
    </xf>
    <xf numFmtId="0" fontId="19" fillId="0" borderId="0" xfId="1" applyFont="1" applyAlignment="1" applyProtection="1">
      <alignment vertical="center"/>
    </xf>
    <xf numFmtId="0" fontId="5" fillId="0" borderId="40" xfId="1" applyBorder="1"/>
    <xf numFmtId="0" fontId="5" fillId="0" borderId="40" xfId="1" applyBorder="1" applyAlignment="1">
      <alignment vertical="center"/>
    </xf>
    <xf numFmtId="0" fontId="5" fillId="0" borderId="0" xfId="1" applyBorder="1" applyAlignment="1">
      <alignment horizontal="right" vertical="center"/>
    </xf>
    <xf numFmtId="0" fontId="5" fillId="0" borderId="0" xfId="1" applyBorder="1" applyAlignment="1">
      <alignment horizontal="left"/>
    </xf>
    <xf numFmtId="0" fontId="7" fillId="0" borderId="40" xfId="1" applyFont="1" applyBorder="1" applyAlignment="1">
      <alignment vertical="center"/>
    </xf>
    <xf numFmtId="49" fontId="7" fillId="0" borderId="40" xfId="1" applyNumberFormat="1" applyFont="1" applyBorder="1" applyAlignment="1">
      <alignment vertical="center"/>
    </xf>
    <xf numFmtId="49" fontId="7" fillId="0" borderId="0" xfId="1" applyNumberFormat="1" applyFont="1" applyBorder="1" applyAlignment="1">
      <alignment vertical="center"/>
    </xf>
    <xf numFmtId="49" fontId="72" fillId="0" borderId="40" xfId="1" applyNumberFormat="1" applyFont="1" applyBorder="1" applyAlignment="1">
      <alignment vertical="center"/>
    </xf>
    <xf numFmtId="0" fontId="73" fillId="0" borderId="0" xfId="1" applyFont="1" applyBorder="1" applyAlignment="1">
      <alignment vertical="center"/>
    </xf>
    <xf numFmtId="0" fontId="73" fillId="0" borderId="40" xfId="1" applyFont="1" applyBorder="1" applyAlignment="1">
      <alignment vertical="center"/>
    </xf>
    <xf numFmtId="0" fontId="16" fillId="0" borderId="0" xfId="1" applyFont="1" applyBorder="1" applyAlignment="1">
      <alignment horizontal="left" vertical="center"/>
    </xf>
    <xf numFmtId="170" fontId="7" fillId="0" borderId="0" xfId="1" applyNumberFormat="1" applyFont="1" applyFill="1" applyBorder="1" applyAlignment="1" applyProtection="1">
      <alignment vertical="center"/>
    </xf>
    <xf numFmtId="170" fontId="7" fillId="0" borderId="40" xfId="1" applyNumberFormat="1" applyFont="1" applyFill="1" applyBorder="1" applyAlignment="1" applyProtection="1">
      <alignment vertical="center"/>
    </xf>
    <xf numFmtId="0" fontId="7" fillId="0" borderId="0" xfId="1" applyFont="1" applyFill="1" applyBorder="1" applyAlignment="1">
      <alignment horizontal="right" vertical="center"/>
    </xf>
    <xf numFmtId="0" fontId="7" fillId="0" borderId="0" xfId="1" applyFont="1" applyFill="1" applyBorder="1" applyAlignment="1">
      <alignment vertical="center"/>
    </xf>
    <xf numFmtId="0" fontId="7" fillId="0" borderId="40" xfId="1" applyFont="1" applyFill="1" applyBorder="1" applyAlignment="1" applyProtection="1">
      <alignment vertical="center"/>
    </xf>
    <xf numFmtId="0" fontId="32" fillId="0" borderId="0" xfId="1" applyFont="1" applyBorder="1" applyAlignment="1">
      <alignment horizontal="centerContinuous" vertical="center"/>
    </xf>
    <xf numFmtId="176" fontId="7" fillId="0" borderId="40" xfId="1" applyNumberFormat="1" applyFont="1" applyFill="1" applyBorder="1" applyAlignment="1" applyProtection="1">
      <alignment vertical="center"/>
    </xf>
    <xf numFmtId="0" fontId="14" fillId="0" borderId="0" xfId="1" applyFont="1" applyBorder="1" applyAlignment="1">
      <alignment vertical="center"/>
    </xf>
    <xf numFmtId="0" fontId="7" fillId="0" borderId="0" xfId="1" applyFont="1" applyBorder="1" applyAlignment="1"/>
    <xf numFmtId="0" fontId="71" fillId="0" borderId="0" xfId="1" applyFont="1" applyBorder="1" applyAlignment="1">
      <alignment vertical="center"/>
    </xf>
    <xf numFmtId="0" fontId="71" fillId="0" borderId="40" xfId="1" applyFont="1" applyBorder="1" applyAlignment="1">
      <alignment vertical="center"/>
    </xf>
    <xf numFmtId="0" fontId="45" fillId="0" borderId="0" xfId="1" applyFont="1" applyBorder="1" applyAlignment="1">
      <alignment horizontal="right" vertical="center"/>
    </xf>
    <xf numFmtId="0" fontId="45" fillId="0" borderId="40" xfId="1" applyFont="1" applyBorder="1" applyAlignment="1">
      <alignment horizontal="right" vertical="center"/>
    </xf>
    <xf numFmtId="0" fontId="14" fillId="0" borderId="0" xfId="1" applyFont="1" applyBorder="1" applyAlignment="1">
      <alignment horizontal="center" vertical="center"/>
    </xf>
    <xf numFmtId="0" fontId="14" fillId="0" borderId="40" xfId="1" applyFont="1" applyBorder="1" applyAlignment="1">
      <alignment horizontal="center" vertical="center"/>
    </xf>
    <xf numFmtId="0" fontId="44" fillId="0" borderId="0" xfId="1" applyFont="1" applyBorder="1" applyAlignment="1">
      <alignment vertical="center"/>
    </xf>
    <xf numFmtId="0" fontId="5" fillId="0" borderId="0" xfId="1" applyBorder="1" applyAlignment="1">
      <alignment horizontal="centerContinuous" vertical="center"/>
    </xf>
    <xf numFmtId="0" fontId="14" fillId="0" borderId="40" xfId="1" applyFont="1" applyBorder="1" applyAlignment="1">
      <alignment horizontal="centerContinuous" vertical="center"/>
    </xf>
    <xf numFmtId="0" fontId="14" fillId="0" borderId="0" xfId="1" applyFont="1" applyBorder="1" applyAlignment="1">
      <alignment horizontal="centerContinuous" vertical="center"/>
    </xf>
    <xf numFmtId="0" fontId="74" fillId="0" borderId="0" xfId="1" applyFont="1" applyBorder="1" applyAlignment="1">
      <alignment vertical="top"/>
    </xf>
    <xf numFmtId="0" fontId="5" fillId="0" borderId="0" xfId="1" applyBorder="1" applyAlignment="1">
      <alignment vertical="top"/>
    </xf>
    <xf numFmtId="0" fontId="5" fillId="0" borderId="40" xfId="1" applyBorder="1" applyAlignment="1">
      <alignment vertical="top"/>
    </xf>
    <xf numFmtId="0" fontId="5" fillId="0" borderId="0" xfId="1" applyBorder="1" applyAlignment="1">
      <alignment horizontal="right" vertical="top"/>
    </xf>
    <xf numFmtId="177" fontId="10" fillId="0" borderId="0" xfId="1" applyNumberFormat="1" applyFont="1" applyBorder="1" applyAlignment="1">
      <alignment horizontal="centerContinuous" vertical="center"/>
    </xf>
    <xf numFmtId="177" fontId="10" fillId="0" borderId="40" xfId="1" applyNumberFormat="1" applyFont="1" applyBorder="1" applyAlignment="1">
      <alignment horizontal="centerContinuous" vertical="center"/>
    </xf>
    <xf numFmtId="0" fontId="7" fillId="0" borderId="0" xfId="1" applyFont="1" applyBorder="1" applyAlignment="1">
      <alignment horizontal="centerContinuous" vertical="center"/>
    </xf>
    <xf numFmtId="0" fontId="5" fillId="0" borderId="40" xfId="1" applyBorder="1" applyAlignment="1">
      <alignment horizontal="centerContinuous" vertical="center"/>
    </xf>
    <xf numFmtId="0" fontId="5" fillId="37" borderId="19" xfId="1" applyFill="1" applyBorder="1" applyProtection="1">
      <protection locked="0"/>
    </xf>
    <xf numFmtId="0" fontId="5" fillId="37" borderId="0" xfId="1" applyFill="1" applyBorder="1" applyProtection="1">
      <protection locked="0"/>
    </xf>
    <xf numFmtId="0" fontId="5" fillId="37" borderId="40" xfId="1" applyFill="1" applyBorder="1" applyProtection="1">
      <protection locked="0"/>
    </xf>
    <xf numFmtId="0" fontId="5" fillId="0" borderId="19" xfId="1" applyBorder="1"/>
    <xf numFmtId="0" fontId="14" fillId="0" borderId="40" xfId="1" applyFont="1" applyBorder="1" applyAlignment="1">
      <alignment vertical="center"/>
    </xf>
    <xf numFmtId="0" fontId="5" fillId="0" borderId="42" xfId="1" applyBorder="1"/>
    <xf numFmtId="0" fontId="5" fillId="0" borderId="23" xfId="1" applyBorder="1"/>
    <xf numFmtId="0" fontId="10" fillId="0" borderId="23" xfId="1" applyFont="1" applyBorder="1"/>
    <xf numFmtId="0" fontId="10" fillId="0" borderId="43" xfId="1" applyFont="1" applyBorder="1"/>
    <xf numFmtId="0" fontId="14" fillId="0" borderId="43" xfId="1" applyFont="1" applyBorder="1" applyAlignment="1">
      <alignment vertical="center"/>
    </xf>
    <xf numFmtId="0" fontId="10" fillId="0" borderId="40" xfId="1" applyFont="1" applyBorder="1"/>
    <xf numFmtId="0" fontId="45" fillId="0" borderId="2" xfId="1" applyFont="1" applyBorder="1" applyAlignment="1">
      <alignment horizontal="right" vertical="center"/>
    </xf>
    <xf numFmtId="2" fontId="6" fillId="30" borderId="44" xfId="1" applyNumberFormat="1" applyFont="1" applyFill="1" applyBorder="1" applyAlignment="1">
      <alignment horizontal="center"/>
    </xf>
    <xf numFmtId="2" fontId="6" fillId="30" borderId="2" xfId="1" applyNumberFormat="1" applyFont="1" applyFill="1" applyBorder="1" applyAlignment="1">
      <alignment horizontal="center"/>
    </xf>
    <xf numFmtId="2" fontId="6" fillId="30" borderId="39" xfId="1" applyNumberFormat="1" applyFont="1" applyFill="1" applyBorder="1" applyAlignment="1">
      <alignment horizontal="center"/>
    </xf>
    <xf numFmtId="2" fontId="6" fillId="30" borderId="44" xfId="1" applyNumberFormat="1" applyFont="1" applyFill="1" applyBorder="1" applyAlignment="1">
      <alignment horizontal="right"/>
    </xf>
    <xf numFmtId="2" fontId="6" fillId="30" borderId="39" xfId="1" applyNumberFormat="1" applyFont="1" applyFill="1" applyBorder="1" applyAlignment="1">
      <alignment horizontal="right"/>
    </xf>
    <xf numFmtId="0" fontId="32" fillId="0" borderId="2" xfId="1" applyFont="1" applyBorder="1" applyAlignment="1">
      <alignment horizontal="centerContinuous" vertical="center"/>
    </xf>
    <xf numFmtId="2" fontId="6" fillId="30" borderId="42" xfId="1" applyNumberFormat="1" applyFont="1" applyFill="1" applyBorder="1" applyAlignment="1">
      <alignment horizontal="centerContinuous"/>
    </xf>
    <xf numFmtId="2" fontId="6" fillId="30" borderId="23" xfId="1" applyNumberFormat="1" applyFont="1" applyFill="1" applyBorder="1" applyAlignment="1">
      <alignment horizontal="centerContinuous"/>
    </xf>
    <xf numFmtId="2" fontId="6" fillId="30" borderId="43" xfId="1" applyNumberFormat="1" applyFont="1" applyFill="1" applyBorder="1" applyAlignment="1">
      <alignment horizontal="centerContinuous"/>
    </xf>
    <xf numFmtId="2" fontId="6" fillId="30" borderId="42" xfId="1" applyNumberFormat="1" applyFont="1" applyFill="1" applyBorder="1" applyAlignment="1">
      <alignment horizontal="right"/>
    </xf>
    <xf numFmtId="2" fontId="6" fillId="30" borderId="43" xfId="1" applyNumberFormat="1" applyFont="1" applyFill="1" applyBorder="1" applyAlignment="1">
      <alignment horizontal="right"/>
    </xf>
    <xf numFmtId="0" fontId="14" fillId="0" borderId="0" xfId="1" applyFont="1" applyBorder="1" applyAlignment="1">
      <alignment horizontal="centerContinuous"/>
    </xf>
    <xf numFmtId="0" fontId="5" fillId="0" borderId="0" xfId="1" applyBorder="1" applyAlignment="1">
      <alignment horizontal="centerContinuous"/>
    </xf>
    <xf numFmtId="0" fontId="45" fillId="0" borderId="0" xfId="1" applyFont="1" applyBorder="1" applyAlignment="1">
      <alignment horizontal="left" vertical="top"/>
    </xf>
    <xf numFmtId="0" fontId="17" fillId="0" borderId="40" xfId="1" applyFont="1" applyBorder="1" applyAlignment="1">
      <alignment vertical="top"/>
    </xf>
    <xf numFmtId="0" fontId="17" fillId="0" borderId="0" xfId="1" applyFont="1" applyBorder="1" applyAlignment="1">
      <alignment vertical="top"/>
    </xf>
    <xf numFmtId="0" fontId="17" fillId="0" borderId="0" xfId="1" applyFont="1" applyBorder="1" applyAlignment="1">
      <alignment horizontal="right" vertical="top"/>
    </xf>
    <xf numFmtId="14" fontId="7" fillId="0" borderId="40" xfId="1" applyNumberFormat="1" applyFont="1" applyBorder="1" applyAlignment="1">
      <alignment horizontal="left" vertical="top"/>
    </xf>
    <xf numFmtId="0" fontId="10" fillId="0" borderId="0" xfId="1" applyFont="1" applyBorder="1" applyAlignment="1">
      <alignment vertical="top"/>
    </xf>
    <xf numFmtId="0" fontId="5" fillId="0" borderId="0" xfId="1" applyBorder="1" applyAlignment="1" applyProtection="1">
      <alignment vertical="center"/>
      <protection locked="0"/>
    </xf>
    <xf numFmtId="0" fontId="10" fillId="0" borderId="0" xfId="1" applyFont="1" applyBorder="1" applyAlignment="1">
      <alignment horizontal="right" vertical="center"/>
    </xf>
    <xf numFmtId="0" fontId="21" fillId="0" borderId="0" xfId="1" applyFont="1" applyAlignment="1">
      <alignment horizontal="center" vertical="center"/>
    </xf>
    <xf numFmtId="0" fontId="5" fillId="0" borderId="0" xfId="1" applyFill="1" applyAlignment="1">
      <alignment vertical="center"/>
    </xf>
    <xf numFmtId="0" fontId="5" fillId="0" borderId="25" xfId="1" applyBorder="1" applyAlignment="1">
      <alignment vertical="center"/>
    </xf>
    <xf numFmtId="0" fontId="21" fillId="0" borderId="25" xfId="1" applyFont="1" applyBorder="1" applyAlignment="1">
      <alignment vertical="center"/>
    </xf>
    <xf numFmtId="0" fontId="5" fillId="0" borderId="36" xfId="1" applyBorder="1" applyAlignment="1">
      <alignment vertical="center"/>
    </xf>
    <xf numFmtId="3" fontId="7" fillId="4" borderId="0" xfId="1" applyNumberFormat="1" applyFont="1" applyFill="1" applyBorder="1" applyAlignment="1">
      <alignment horizontal="right" vertical="center"/>
    </xf>
    <xf numFmtId="0" fontId="7" fillId="4" borderId="0" xfId="1" applyFont="1" applyFill="1" applyBorder="1" applyAlignment="1">
      <alignment horizontal="right" vertical="center"/>
    </xf>
    <xf numFmtId="0" fontId="10" fillId="4" borderId="0" xfId="1" applyFont="1" applyFill="1" applyBorder="1" applyAlignment="1">
      <alignment horizontal="left" vertical="center"/>
    </xf>
    <xf numFmtId="0" fontId="10" fillId="4" borderId="0" xfId="1" applyFont="1" applyFill="1" applyBorder="1" applyAlignment="1">
      <alignment horizontal="right" vertical="center"/>
    </xf>
    <xf numFmtId="4" fontId="7" fillId="4" borderId="0" xfId="1" applyNumberFormat="1" applyFont="1" applyFill="1" applyBorder="1" applyAlignment="1">
      <alignment horizontal="right" vertical="center"/>
    </xf>
    <xf numFmtId="0" fontId="104" fillId="4" borderId="0" xfId="1" applyFont="1" applyFill="1" applyBorder="1" applyAlignment="1" applyProtection="1">
      <alignment horizontal="right" vertical="center"/>
    </xf>
    <xf numFmtId="0" fontId="21" fillId="0" borderId="0" xfId="1" applyFont="1" applyAlignment="1" applyProtection="1">
      <alignment horizontal="center" vertical="center"/>
      <protection locked="0"/>
    </xf>
    <xf numFmtId="188" fontId="5" fillId="0" borderId="0" xfId="1" applyNumberFormat="1" applyBorder="1" applyAlignment="1">
      <alignment horizontal="right" vertical="center"/>
    </xf>
    <xf numFmtId="0" fontId="5" fillId="0" borderId="0" xfId="1" applyFill="1"/>
    <xf numFmtId="0" fontId="105" fillId="0" borderId="34" xfId="1" applyFont="1" applyBorder="1" applyAlignment="1">
      <alignment horizontal="center" wrapText="1"/>
    </xf>
    <xf numFmtId="0" fontId="105" fillId="0" borderId="35" xfId="1" applyFont="1" applyBorder="1" applyAlignment="1">
      <alignment horizontal="center" wrapText="1"/>
    </xf>
    <xf numFmtId="0" fontId="106" fillId="30" borderId="3" xfId="1" applyFont="1" applyFill="1" applyBorder="1" applyAlignment="1">
      <alignment horizontal="center" wrapText="1"/>
    </xf>
    <xf numFmtId="0" fontId="105" fillId="0" borderId="25" xfId="1" applyFont="1" applyBorder="1" applyAlignment="1">
      <alignment horizontal="center" wrapText="1"/>
    </xf>
    <xf numFmtId="172" fontId="106" fillId="0" borderId="58" xfId="1" applyNumberFormat="1" applyFont="1" applyBorder="1" applyAlignment="1"/>
    <xf numFmtId="172" fontId="106" fillId="0" borderId="57" xfId="1" applyNumberFormat="1" applyFont="1" applyBorder="1" applyAlignment="1"/>
    <xf numFmtId="0" fontId="106" fillId="0" borderId="3" xfId="1" applyFont="1" applyBorder="1" applyAlignment="1">
      <alignment horizontal="center" wrapText="1"/>
    </xf>
    <xf numFmtId="0" fontId="105" fillId="0" borderId="27" xfId="1" applyFont="1" applyBorder="1" applyAlignment="1">
      <alignment horizontal="center" wrapText="1"/>
    </xf>
    <xf numFmtId="0" fontId="106" fillId="0" borderId="25" xfId="1" applyFont="1" applyBorder="1" applyAlignment="1">
      <alignment horizontal="center" wrapText="1"/>
    </xf>
    <xf numFmtId="0" fontId="106" fillId="0" borderId="19" xfId="1" applyFont="1" applyBorder="1" applyAlignment="1">
      <alignment horizontal="center"/>
    </xf>
    <xf numFmtId="0" fontId="106" fillId="30" borderId="72" xfId="1" applyFont="1" applyFill="1" applyBorder="1" applyAlignment="1">
      <alignment horizontal="center"/>
    </xf>
    <xf numFmtId="0" fontId="10" fillId="30" borderId="65" xfId="1" applyFont="1" applyFill="1" applyBorder="1" applyAlignment="1">
      <alignment vertical="center"/>
    </xf>
    <xf numFmtId="0" fontId="106" fillId="0" borderId="0" xfId="1" applyFont="1" applyBorder="1" applyAlignment="1">
      <alignment horizontal="center"/>
    </xf>
    <xf numFmtId="0" fontId="10" fillId="0" borderId="25" xfId="1" applyFont="1" applyBorder="1" applyAlignment="1">
      <alignment horizontal="right" vertical="center"/>
    </xf>
    <xf numFmtId="0" fontId="106" fillId="0" borderId="0" xfId="1" applyFont="1" applyBorder="1" applyAlignment="1">
      <alignment horizontal="left" wrapText="1"/>
    </xf>
    <xf numFmtId="0" fontId="10" fillId="0" borderId="40" xfId="1" applyFont="1" applyBorder="1" applyAlignment="1">
      <alignment horizontal="center" vertical="center"/>
    </xf>
    <xf numFmtId="0" fontId="10" fillId="0" borderId="3" xfId="1" applyFont="1" applyBorder="1" applyAlignment="1">
      <alignment horizontal="right" vertical="center"/>
    </xf>
    <xf numFmtId="0" fontId="105" fillId="0" borderId="2" xfId="1" applyFont="1" applyBorder="1"/>
    <xf numFmtId="0" fontId="10" fillId="0" borderId="2" xfId="1" applyFont="1" applyBorder="1" applyAlignment="1">
      <alignment vertical="center"/>
    </xf>
    <xf numFmtId="0" fontId="10" fillId="0" borderId="39" xfId="1" applyFont="1" applyBorder="1" applyAlignment="1">
      <alignment horizontal="center" vertical="center"/>
    </xf>
    <xf numFmtId="0" fontId="10" fillId="0" borderId="23" xfId="1" applyFont="1" applyBorder="1" applyAlignment="1">
      <alignment horizontal="right" vertical="center"/>
    </xf>
    <xf numFmtId="0" fontId="5" fillId="2" borderId="0" xfId="1" applyFill="1" applyBorder="1" applyAlignment="1">
      <alignment vertical="center"/>
    </xf>
    <xf numFmtId="0" fontId="10" fillId="2" borderId="0" xfId="1" applyFont="1" applyFill="1" applyBorder="1" applyAlignment="1">
      <alignment horizontal="left" vertical="center"/>
    </xf>
    <xf numFmtId="0" fontId="10" fillId="2" borderId="0" xfId="1" applyFont="1" applyFill="1" applyBorder="1" applyAlignment="1">
      <alignment horizontal="right" vertical="center"/>
    </xf>
    <xf numFmtId="0" fontId="21" fillId="2" borderId="0" xfId="1" applyFont="1" applyFill="1" applyBorder="1" applyAlignment="1">
      <alignment vertical="center"/>
    </xf>
    <xf numFmtId="0" fontId="21" fillId="2" borderId="0" xfId="1" applyFont="1" applyFill="1" applyAlignment="1">
      <alignment horizontal="center" vertical="center"/>
    </xf>
    <xf numFmtId="0" fontId="5" fillId="2" borderId="0" xfId="1" applyFill="1" applyAlignment="1">
      <alignment vertical="center"/>
    </xf>
    <xf numFmtId="0" fontId="5" fillId="0" borderId="59" xfId="1" applyBorder="1" applyAlignment="1">
      <alignment vertical="center"/>
    </xf>
    <xf numFmtId="0" fontId="5" fillId="0" borderId="46" xfId="1" applyBorder="1" applyAlignment="1">
      <alignment vertical="center"/>
    </xf>
    <xf numFmtId="0" fontId="5" fillId="30" borderId="41" xfId="1" applyFill="1" applyBorder="1" applyAlignment="1">
      <alignment vertical="center"/>
    </xf>
    <xf numFmtId="0" fontId="5" fillId="0" borderId="47" xfId="1" applyBorder="1" applyAlignment="1">
      <alignment vertical="center"/>
    </xf>
    <xf numFmtId="0" fontId="10" fillId="0" borderId="46" xfId="1" applyFont="1" applyBorder="1" applyAlignment="1">
      <alignment horizontal="left" vertical="center"/>
    </xf>
    <xf numFmtId="0" fontId="10" fillId="0" borderId="41" xfId="1" applyFont="1" applyBorder="1" applyAlignment="1">
      <alignment horizontal="right" vertical="center"/>
    </xf>
    <xf numFmtId="0" fontId="5" fillId="0" borderId="41" xfId="1" applyBorder="1" applyAlignment="1">
      <alignment vertical="center"/>
    </xf>
    <xf numFmtId="0" fontId="21" fillId="0" borderId="49" xfId="1" applyFont="1" applyBorder="1" applyAlignment="1">
      <alignment horizontal="center" vertical="center"/>
    </xf>
    <xf numFmtId="0" fontId="21" fillId="0" borderId="30" xfId="1" applyFont="1" applyBorder="1" applyAlignment="1">
      <alignment horizontal="center" vertical="center"/>
    </xf>
    <xf numFmtId="0" fontId="5" fillId="0" borderId="64" xfId="1" applyBorder="1" applyAlignment="1">
      <alignment vertical="center"/>
    </xf>
    <xf numFmtId="0" fontId="5" fillId="30" borderId="0" xfId="1" applyFill="1" applyBorder="1" applyAlignment="1">
      <alignment vertical="center"/>
    </xf>
    <xf numFmtId="0" fontId="5" fillId="0" borderId="19" xfId="1" applyBorder="1" applyAlignment="1">
      <alignment vertical="center"/>
    </xf>
    <xf numFmtId="0" fontId="10" fillId="0" borderId="40" xfId="1" applyFont="1" applyBorder="1" applyAlignment="1">
      <alignment horizontal="left" vertical="center"/>
    </xf>
    <xf numFmtId="185" fontId="5" fillId="0" borderId="19" xfId="1" applyNumberFormat="1" applyBorder="1" applyAlignment="1">
      <alignment vertical="center"/>
    </xf>
    <xf numFmtId="0" fontId="7" fillId="0" borderId="123" xfId="105" applyFont="1" applyBorder="1" applyAlignment="1" applyProtection="1">
      <alignment horizontal="right" vertical="center"/>
    </xf>
    <xf numFmtId="0" fontId="21" fillId="0" borderId="123" xfId="1" applyFont="1" applyBorder="1" applyAlignment="1">
      <alignment vertical="center"/>
    </xf>
    <xf numFmtId="0" fontId="17" fillId="0" borderId="121" xfId="1" applyFont="1" applyBorder="1" applyAlignment="1">
      <alignment vertical="center"/>
    </xf>
    <xf numFmtId="0" fontId="21" fillId="0" borderId="0" xfId="1" applyFont="1" applyBorder="1" applyAlignment="1">
      <alignment horizontal="right" vertical="center"/>
    </xf>
    <xf numFmtId="0" fontId="7" fillId="0" borderId="2" xfId="1" applyFont="1" applyBorder="1" applyAlignment="1">
      <alignment horizontal="right" vertical="center"/>
    </xf>
    <xf numFmtId="0" fontId="17" fillId="0" borderId="39" xfId="1" applyFont="1" applyBorder="1" applyAlignment="1">
      <alignment vertical="center"/>
    </xf>
    <xf numFmtId="0" fontId="17" fillId="0" borderId="0" xfId="1" applyFont="1" applyBorder="1" applyAlignment="1">
      <alignment vertical="center"/>
    </xf>
    <xf numFmtId="0" fontId="5" fillId="0" borderId="124" xfId="1" applyBorder="1" applyAlignment="1">
      <alignment vertical="center"/>
    </xf>
    <xf numFmtId="0" fontId="5" fillId="0" borderId="43" xfId="1" applyBorder="1" applyAlignment="1">
      <alignment vertical="center"/>
    </xf>
    <xf numFmtId="0" fontId="5" fillId="30" borderId="23" xfId="1" applyFill="1" applyBorder="1" applyAlignment="1">
      <alignment vertical="center"/>
    </xf>
    <xf numFmtId="0" fontId="5" fillId="0" borderId="42" xfId="1" applyBorder="1" applyAlignment="1">
      <alignment vertical="center"/>
    </xf>
    <xf numFmtId="0" fontId="10" fillId="0" borderId="43" xfId="1" applyFont="1" applyBorder="1" applyAlignment="1">
      <alignment horizontal="left" vertical="center"/>
    </xf>
    <xf numFmtId="0" fontId="5" fillId="0" borderId="23" xfId="1" applyBorder="1" applyAlignment="1">
      <alignment vertical="center"/>
    </xf>
    <xf numFmtId="0" fontId="7" fillId="32" borderId="0" xfId="1" applyFont="1" applyFill="1" applyBorder="1" applyAlignment="1" applyProtection="1">
      <alignment horizontal="left" vertical="center"/>
      <protection locked="0"/>
    </xf>
    <xf numFmtId="0" fontId="5" fillId="0" borderId="78" xfId="1" applyBorder="1" applyAlignment="1">
      <alignment vertical="center"/>
    </xf>
    <xf numFmtId="0" fontId="5" fillId="0" borderId="126" xfId="1" applyBorder="1" applyAlignment="1">
      <alignment vertical="center"/>
    </xf>
    <xf numFmtId="0" fontId="5" fillId="30" borderId="24" xfId="1" applyFill="1" applyBorder="1" applyAlignment="1">
      <alignment vertical="center"/>
    </xf>
    <xf numFmtId="0" fontId="5" fillId="0" borderId="127" xfId="1" applyBorder="1" applyAlignment="1">
      <alignment vertical="center"/>
    </xf>
    <xf numFmtId="0" fontId="10" fillId="0" borderId="126" xfId="1" applyFont="1" applyBorder="1" applyAlignment="1">
      <alignment horizontal="left" vertical="center"/>
    </xf>
    <xf numFmtId="0" fontId="10" fillId="0" borderId="24" xfId="1" applyFont="1" applyBorder="1" applyAlignment="1">
      <alignment horizontal="right" vertical="center"/>
    </xf>
    <xf numFmtId="0" fontId="5" fillId="0" borderId="24" xfId="1" applyBorder="1" applyAlignment="1">
      <alignment vertical="center"/>
    </xf>
    <xf numFmtId="0" fontId="21" fillId="0" borderId="128" xfId="1" applyFont="1" applyBorder="1" applyAlignment="1">
      <alignment horizontal="center" vertical="center"/>
    </xf>
    <xf numFmtId="0" fontId="5" fillId="3" borderId="0" xfId="1" applyFill="1" applyBorder="1" applyAlignment="1">
      <alignment vertical="center"/>
    </xf>
    <xf numFmtId="188" fontId="7" fillId="0" borderId="44" xfId="1" applyNumberFormat="1" applyFont="1" applyBorder="1" applyAlignment="1">
      <alignment horizontal="right" vertical="center"/>
    </xf>
    <xf numFmtId="195" fontId="5" fillId="0" borderId="39" xfId="1" applyNumberFormat="1" applyBorder="1" applyAlignment="1">
      <alignment horizontal="right" vertical="center"/>
    </xf>
    <xf numFmtId="188" fontId="7" fillId="30" borderId="44" xfId="1" applyNumberFormat="1" applyFont="1" applyFill="1" applyBorder="1" applyAlignment="1">
      <alignment horizontal="right" vertical="center"/>
    </xf>
    <xf numFmtId="0" fontId="7" fillId="0" borderId="44" xfId="1" applyFont="1" applyBorder="1" applyAlignment="1">
      <alignment horizontal="right" vertical="center"/>
    </xf>
    <xf numFmtId="49" fontId="5" fillId="0" borderId="2" xfId="1" applyNumberFormat="1" applyBorder="1" applyAlignment="1">
      <alignment horizontal="left" vertical="center"/>
    </xf>
    <xf numFmtId="0" fontId="5" fillId="0" borderId="39" xfId="1" applyBorder="1" applyAlignment="1">
      <alignment vertical="center"/>
    </xf>
    <xf numFmtId="0" fontId="21" fillId="0" borderId="34" xfId="1" applyFont="1" applyBorder="1" applyAlignment="1">
      <alignment horizontal="center" vertical="center"/>
    </xf>
    <xf numFmtId="188" fontId="7" fillId="0" borderId="19" xfId="1" applyNumberFormat="1" applyFont="1" applyBorder="1" applyAlignment="1">
      <alignment horizontal="right" vertical="center"/>
    </xf>
    <xf numFmtId="195" fontId="5" fillId="0" borderId="40" xfId="1" applyNumberFormat="1" applyBorder="1" applyAlignment="1">
      <alignment horizontal="right" vertical="center"/>
    </xf>
    <xf numFmtId="188" fontId="7" fillId="30" borderId="19" xfId="1" applyNumberFormat="1" applyFont="1" applyFill="1" applyBorder="1" applyAlignment="1">
      <alignment horizontal="right" vertical="center"/>
    </xf>
    <xf numFmtId="49" fontId="5" fillId="0" borderId="0" xfId="1" applyNumberFormat="1" applyBorder="1" applyAlignment="1">
      <alignment horizontal="left" vertical="center"/>
    </xf>
    <xf numFmtId="0" fontId="21" fillId="0" borderId="25" xfId="1" applyFont="1" applyBorder="1" applyAlignment="1">
      <alignment horizontal="center" vertical="center"/>
    </xf>
    <xf numFmtId="188" fontId="14" fillId="0" borderId="58" xfId="1" applyNumberFormat="1" applyFont="1" applyBorder="1" applyAlignment="1">
      <alignment horizontal="right" vertical="center"/>
    </xf>
    <xf numFmtId="195" fontId="5" fillId="0" borderId="77" xfId="1" applyNumberFormat="1" applyBorder="1" applyAlignment="1">
      <alignment horizontal="right" vertical="center"/>
    </xf>
    <xf numFmtId="188" fontId="14" fillId="30" borderId="58" xfId="1" applyNumberFormat="1" applyFont="1" applyFill="1" applyBorder="1" applyAlignment="1">
      <alignment horizontal="right" vertical="center"/>
    </xf>
    <xf numFmtId="0" fontId="7" fillId="0" borderId="57" xfId="1" applyFont="1" applyBorder="1" applyAlignment="1">
      <alignment horizontal="right" vertical="center"/>
    </xf>
    <xf numFmtId="49" fontId="6" fillId="0" borderId="57" xfId="1" applyNumberFormat="1" applyFont="1" applyBorder="1" applyAlignment="1">
      <alignment horizontal="left" vertical="center"/>
    </xf>
    <xf numFmtId="0" fontId="5" fillId="0" borderId="57" xfId="1" applyBorder="1" applyAlignment="1">
      <alignment vertical="center"/>
    </xf>
    <xf numFmtId="188" fontId="7" fillId="0" borderId="42" xfId="1" applyNumberFormat="1" applyFont="1" applyBorder="1" applyAlignment="1">
      <alignment horizontal="right" vertical="center"/>
    </xf>
    <xf numFmtId="195" fontId="5" fillId="0" borderId="43" xfId="1" applyNumberFormat="1" applyBorder="1" applyAlignment="1">
      <alignment horizontal="right" vertical="center"/>
    </xf>
    <xf numFmtId="188" fontId="7" fillId="30" borderId="42" xfId="1" applyNumberFormat="1" applyFont="1" applyFill="1" applyBorder="1" applyAlignment="1">
      <alignment horizontal="right" vertical="center"/>
    </xf>
    <xf numFmtId="0" fontId="10" fillId="3" borderId="0" xfId="67" applyFill="1" applyBorder="1" applyAlignment="1">
      <alignment vertical="center"/>
    </xf>
    <xf numFmtId="0" fontId="7" fillId="0" borderId="2" xfId="67" applyFont="1" applyBorder="1" applyAlignment="1">
      <alignment horizontal="right" vertical="center"/>
    </xf>
    <xf numFmtId="2" fontId="7" fillId="0" borderId="2" xfId="67" applyNumberFormat="1" applyFont="1" applyBorder="1" applyAlignment="1">
      <alignment vertical="center"/>
    </xf>
    <xf numFmtId="0" fontId="7" fillId="0" borderId="2" xfId="67" applyFont="1" applyBorder="1" applyAlignment="1">
      <alignment vertical="center"/>
    </xf>
    <xf numFmtId="0" fontId="14" fillId="0" borderId="2" xfId="67" applyFont="1" applyBorder="1" applyAlignment="1">
      <alignment vertical="center"/>
    </xf>
    <xf numFmtId="0" fontId="21" fillId="0" borderId="25" xfId="67" applyFont="1" applyBorder="1" applyAlignment="1">
      <alignment horizontal="center" vertical="center"/>
    </xf>
    <xf numFmtId="0" fontId="10" fillId="0" borderId="23" xfId="67" applyFont="1" applyBorder="1" applyAlignment="1">
      <alignment horizontal="right" vertical="center"/>
    </xf>
    <xf numFmtId="1" fontId="10" fillId="0" borderId="23" xfId="67" applyNumberFormat="1" applyBorder="1" applyAlignment="1">
      <alignment vertical="center"/>
    </xf>
    <xf numFmtId="0" fontId="10" fillId="0" borderId="23" xfId="67" applyBorder="1" applyAlignment="1">
      <alignment vertical="center"/>
    </xf>
    <xf numFmtId="0" fontId="15" fillId="0" borderId="23" xfId="67" applyFont="1" applyBorder="1" applyAlignment="1">
      <alignment vertical="center"/>
    </xf>
    <xf numFmtId="0" fontId="21" fillId="0" borderId="36" xfId="67" applyFont="1" applyBorder="1" applyAlignment="1" applyProtection="1">
      <alignment horizontal="center" vertical="center"/>
      <protection locked="0"/>
    </xf>
    <xf numFmtId="0" fontId="14" fillId="0" borderId="2" xfId="105" applyFont="1" applyBorder="1" applyAlignment="1" applyProtection="1">
      <alignment horizontal="right" vertical="center"/>
    </xf>
    <xf numFmtId="0" fontId="109" fillId="0" borderId="2" xfId="105" applyFont="1" applyBorder="1" applyAlignment="1" applyProtection="1">
      <alignment vertical="center"/>
    </xf>
    <xf numFmtId="0" fontId="21" fillId="0" borderId="39" xfId="105" applyFont="1" applyBorder="1" applyAlignment="1" applyProtection="1">
      <alignment vertical="center"/>
    </xf>
    <xf numFmtId="0" fontId="14" fillId="0" borderId="0" xfId="105" applyFont="1" applyBorder="1" applyAlignment="1" applyProtection="1">
      <alignment horizontal="right" vertical="center"/>
    </xf>
    <xf numFmtId="0" fontId="109" fillId="0" borderId="0" xfId="105" applyFont="1" applyBorder="1" applyAlignment="1" applyProtection="1">
      <alignment vertical="center"/>
    </xf>
    <xf numFmtId="0" fontId="15" fillId="0" borderId="0" xfId="105" applyFont="1" applyBorder="1" applyAlignment="1" applyProtection="1">
      <alignment vertical="center"/>
    </xf>
    <xf numFmtId="0" fontId="7" fillId="0" borderId="2" xfId="105" applyFont="1" applyBorder="1" applyAlignment="1" applyProtection="1">
      <alignment horizontal="right" vertical="center"/>
    </xf>
    <xf numFmtId="0" fontId="46" fillId="0" borderId="2" xfId="105" applyFont="1" applyBorder="1" applyAlignment="1" applyProtection="1">
      <alignment vertical="center"/>
    </xf>
    <xf numFmtId="0" fontId="14" fillId="0" borderId="19" xfId="105" applyFont="1" applyBorder="1" applyAlignment="1" applyProtection="1">
      <alignment horizontal="right" vertical="center"/>
    </xf>
    <xf numFmtId="0" fontId="46" fillId="0" borderId="0" xfId="105" applyFont="1" applyBorder="1" applyAlignment="1" applyProtection="1">
      <alignment vertical="center"/>
    </xf>
    <xf numFmtId="0" fontId="15" fillId="0" borderId="40" xfId="105" applyFont="1" applyBorder="1" applyAlignment="1" applyProtection="1">
      <alignment vertical="center"/>
    </xf>
    <xf numFmtId="0" fontId="7" fillId="0" borderId="42" xfId="1" applyFont="1" applyBorder="1" applyAlignment="1">
      <alignment horizontal="right" vertical="center"/>
    </xf>
    <xf numFmtId="0" fontId="109" fillId="0" borderId="23" xfId="105" applyFont="1" applyBorder="1" applyAlignment="1" applyProtection="1">
      <alignment vertical="center"/>
    </xf>
    <xf numFmtId="0" fontId="17" fillId="0" borderId="43" xfId="105" applyFont="1" applyBorder="1" applyAlignment="1" applyProtection="1">
      <alignment vertical="center"/>
    </xf>
    <xf numFmtId="0" fontId="21" fillId="0" borderId="36" xfId="1" applyFont="1" applyBorder="1" applyAlignment="1">
      <alignment horizontal="center" vertical="center"/>
    </xf>
    <xf numFmtId="193" fontId="14" fillId="0" borderId="80" xfId="1" applyNumberFormat="1" applyFont="1" applyFill="1" applyBorder="1" applyAlignment="1">
      <alignment vertical="center"/>
    </xf>
    <xf numFmtId="171" fontId="14" fillId="0" borderId="63" xfId="1" applyNumberFormat="1" applyFont="1" applyFill="1" applyBorder="1" applyAlignment="1">
      <alignment vertical="center"/>
    </xf>
    <xf numFmtId="193" fontId="14" fillId="30" borderId="80" xfId="1" applyNumberFormat="1" applyFont="1" applyFill="1" applyBorder="1" applyAlignment="1">
      <alignment vertical="center"/>
    </xf>
    <xf numFmtId="171" fontId="14" fillId="30" borderId="63" xfId="1" applyNumberFormat="1" applyFont="1" applyFill="1" applyBorder="1" applyAlignment="1">
      <alignment vertical="center"/>
    </xf>
    <xf numFmtId="185" fontId="14" fillId="0" borderId="34" xfId="1" applyNumberFormat="1" applyFont="1" applyFill="1" applyBorder="1" applyAlignment="1">
      <alignment vertical="center"/>
    </xf>
    <xf numFmtId="171" fontId="14" fillId="0" borderId="34" xfId="1" applyNumberFormat="1" applyFont="1" applyFill="1" applyBorder="1" applyAlignment="1">
      <alignment vertical="center"/>
    </xf>
    <xf numFmtId="0" fontId="10" fillId="0" borderId="2" xfId="1" applyFont="1" applyFill="1" applyBorder="1" applyAlignment="1">
      <alignment horizontal="right" vertical="center"/>
    </xf>
    <xf numFmtId="0" fontId="109" fillId="0" borderId="2" xfId="105" applyFont="1" applyFill="1" applyBorder="1" applyAlignment="1" applyProtection="1">
      <alignment vertical="center"/>
    </xf>
    <xf numFmtId="0" fontId="15" fillId="0" borderId="2" xfId="105" applyFont="1" applyFill="1" applyBorder="1" applyAlignment="1" applyProtection="1">
      <alignment vertical="center"/>
    </xf>
    <xf numFmtId="0" fontId="15" fillId="0" borderId="39" xfId="105" applyFont="1" applyFill="1" applyBorder="1" applyAlignment="1" applyProtection="1">
      <alignment horizontal="left" vertical="center"/>
    </xf>
    <xf numFmtId="193" fontId="14" fillId="0" borderId="83" xfId="1" applyNumberFormat="1" applyFont="1" applyFill="1" applyBorder="1" applyAlignment="1">
      <alignment vertical="center"/>
    </xf>
    <xf numFmtId="171" fontId="14" fillId="0" borderId="70" xfId="1" applyNumberFormat="1" applyFont="1" applyFill="1" applyBorder="1" applyAlignment="1">
      <alignment vertical="center"/>
    </xf>
    <xf numFmtId="193" fontId="14" fillId="30" borderId="83" xfId="1" applyNumberFormat="1" applyFont="1" applyFill="1" applyBorder="1" applyAlignment="1">
      <alignment vertical="center"/>
    </xf>
    <xf numFmtId="171" fontId="14" fillId="30" borderId="70" xfId="1" applyNumberFormat="1" applyFont="1" applyFill="1" applyBorder="1" applyAlignment="1">
      <alignment vertical="center"/>
    </xf>
    <xf numFmtId="185" fontId="14" fillId="0" borderId="36" xfId="1" applyNumberFormat="1" applyFont="1" applyFill="1" applyBorder="1" applyAlignment="1">
      <alignment vertical="center"/>
    </xf>
    <xf numFmtId="171" fontId="14" fillId="0" borderId="36" xfId="1" applyNumberFormat="1" applyFont="1" applyFill="1" applyBorder="1" applyAlignment="1">
      <alignment vertical="center"/>
    </xf>
    <xf numFmtId="0" fontId="5" fillId="0" borderId="23" xfId="1" applyFill="1" applyBorder="1" applyAlignment="1">
      <alignment horizontal="right" vertical="center"/>
    </xf>
    <xf numFmtId="0" fontId="109" fillId="0" borderId="23" xfId="105" applyFont="1" applyFill="1" applyBorder="1" applyAlignment="1" applyProtection="1">
      <alignment vertical="center"/>
    </xf>
    <xf numFmtId="0" fontId="15" fillId="0" borderId="23" xfId="105" applyFont="1" applyFill="1" applyBorder="1" applyAlignment="1" applyProtection="1">
      <alignment vertical="center"/>
    </xf>
    <xf numFmtId="0" fontId="15" fillId="0" borderId="43" xfId="105" applyFont="1" applyFill="1" applyBorder="1" applyAlignment="1" applyProtection="1">
      <alignment horizontal="left" vertical="center"/>
    </xf>
    <xf numFmtId="193" fontId="7" fillId="4" borderId="80" xfId="1" applyNumberFormat="1" applyFont="1" applyFill="1" applyBorder="1" applyAlignment="1">
      <alignment vertical="center"/>
    </xf>
    <xf numFmtId="171" fontId="7" fillId="0" borderId="67" xfId="1" applyNumberFormat="1" applyFont="1" applyBorder="1" applyAlignment="1">
      <alignment vertical="center"/>
    </xf>
    <xf numFmtId="193" fontId="7" fillId="30" borderId="2" xfId="1" applyNumberFormat="1" applyFont="1" applyFill="1" applyBorder="1" applyAlignment="1">
      <alignment vertical="center"/>
    </xf>
    <xf numFmtId="171" fontId="7" fillId="30" borderId="67" xfId="1" applyNumberFormat="1" applyFont="1" applyFill="1" applyBorder="1" applyAlignment="1">
      <alignment vertical="center"/>
    </xf>
    <xf numFmtId="193" fontId="7" fillId="0" borderId="0" xfId="1" applyNumberFormat="1" applyFont="1" applyBorder="1" applyAlignment="1">
      <alignment vertical="center"/>
    </xf>
    <xf numFmtId="0" fontId="7" fillId="0" borderId="0" xfId="105" applyFont="1" applyBorder="1" applyAlignment="1" applyProtection="1">
      <alignment vertical="center"/>
    </xf>
    <xf numFmtId="0" fontId="10" fillId="0" borderId="0" xfId="105" applyFont="1" applyBorder="1" applyAlignment="1" applyProtection="1">
      <alignment vertical="center"/>
    </xf>
    <xf numFmtId="0" fontId="10" fillId="0" borderId="23" xfId="1" applyFont="1" applyFill="1" applyBorder="1" applyAlignment="1">
      <alignment horizontal="right" vertical="center"/>
    </xf>
    <xf numFmtId="193" fontId="10" fillId="0" borderId="82" xfId="1" applyNumberFormat="1" applyFont="1" applyBorder="1" applyAlignment="1">
      <alignment vertical="center"/>
    </xf>
    <xf numFmtId="193" fontId="10" fillId="30" borderId="0" xfId="1" applyNumberFormat="1" applyFont="1" applyFill="1" applyBorder="1" applyAlignment="1">
      <alignment vertical="center"/>
    </xf>
    <xf numFmtId="171" fontId="7" fillId="30" borderId="129" xfId="1" applyNumberFormat="1" applyFont="1" applyFill="1" applyBorder="1" applyAlignment="1">
      <alignment vertical="center"/>
    </xf>
    <xf numFmtId="193" fontId="10" fillId="0" borderId="0" xfId="1" applyNumberFormat="1" applyFont="1" applyBorder="1" applyAlignment="1">
      <alignment vertical="center"/>
    </xf>
    <xf numFmtId="0" fontId="7" fillId="0" borderId="57" xfId="105" applyFont="1" applyFill="1" applyBorder="1" applyAlignment="1" applyProtection="1">
      <alignment horizontal="left" vertical="center"/>
    </xf>
    <xf numFmtId="0" fontId="17" fillId="0" borderId="0" xfId="105" applyFont="1" applyBorder="1" applyAlignment="1" applyProtection="1">
      <alignment vertical="center"/>
    </xf>
    <xf numFmtId="193" fontId="10" fillId="0" borderId="81" xfId="1" applyNumberFormat="1" applyFont="1" applyFill="1" applyBorder="1" applyAlignment="1">
      <alignment vertical="center"/>
    </xf>
    <xf numFmtId="171" fontId="7" fillId="0" borderId="129" xfId="1" applyNumberFormat="1" applyFont="1" applyFill="1" applyBorder="1" applyAlignment="1">
      <alignment vertical="center"/>
    </xf>
    <xf numFmtId="193" fontId="10" fillId="30" borderId="58" xfId="1" applyNumberFormat="1" applyFont="1" applyFill="1" applyBorder="1" applyAlignment="1">
      <alignment vertical="center"/>
    </xf>
    <xf numFmtId="193" fontId="10" fillId="0" borderId="57" xfId="1" applyNumberFormat="1" applyFont="1" applyFill="1" applyBorder="1" applyAlignment="1">
      <alignment vertical="center"/>
    </xf>
    <xf numFmtId="0" fontId="17" fillId="0" borderId="58" xfId="105" applyFont="1" applyFill="1" applyBorder="1" applyAlignment="1" applyProtection="1">
      <alignment horizontal="left" vertical="center"/>
    </xf>
    <xf numFmtId="0" fontId="17" fillId="0" borderId="57" xfId="105" applyFont="1" applyFill="1" applyBorder="1" applyAlignment="1" applyProtection="1">
      <alignment horizontal="left" vertical="center"/>
    </xf>
    <xf numFmtId="0" fontId="15" fillId="0" borderId="77" xfId="105" applyFont="1" applyFill="1" applyBorder="1" applyAlignment="1" applyProtection="1">
      <alignment horizontal="left" vertical="center"/>
    </xf>
    <xf numFmtId="0" fontId="5" fillId="0" borderId="0" xfId="1" applyAlignment="1"/>
    <xf numFmtId="0" fontId="10" fillId="0" borderId="82" xfId="105" applyFont="1" applyBorder="1" applyAlignment="1" applyProtection="1">
      <alignment horizontal="center"/>
    </xf>
    <xf numFmtId="0" fontId="10" fillId="0" borderId="67" xfId="105" applyFont="1" applyBorder="1" applyAlignment="1" applyProtection="1">
      <alignment horizontal="center"/>
    </xf>
    <xf numFmtId="0" fontId="10" fillId="30" borderId="0" xfId="105" applyFont="1" applyFill="1" applyBorder="1" applyAlignment="1" applyProtection="1">
      <alignment horizontal="center"/>
    </xf>
    <xf numFmtId="0" fontId="10" fillId="30" borderId="67" xfId="105" applyFont="1" applyFill="1" applyBorder="1" applyAlignment="1" applyProtection="1">
      <alignment horizontal="center"/>
    </xf>
    <xf numFmtId="0" fontId="10" fillId="0" borderId="0" xfId="105" applyFont="1" applyBorder="1" applyAlignment="1" applyProtection="1">
      <alignment horizontal="center"/>
    </xf>
    <xf numFmtId="0" fontId="15" fillId="0" borderId="19" xfId="105" applyFont="1" applyBorder="1" applyAlignment="1" applyProtection="1">
      <alignment horizontal="left"/>
    </xf>
    <xf numFmtId="0" fontId="15" fillId="0" borderId="0" xfId="105" applyFont="1" applyBorder="1" applyAlignment="1" applyProtection="1">
      <alignment horizontal="left"/>
    </xf>
    <xf numFmtId="0" fontId="21" fillId="0" borderId="25" xfId="1" applyFont="1" applyBorder="1" applyAlignment="1">
      <alignment horizontal="center"/>
    </xf>
    <xf numFmtId="0" fontId="7" fillId="0" borderId="2" xfId="105" applyFont="1" applyBorder="1" applyAlignment="1" applyProtection="1">
      <alignment vertical="center"/>
    </xf>
    <xf numFmtId="0" fontId="7" fillId="0" borderId="39" xfId="105" applyFont="1" applyBorder="1" applyAlignment="1" applyProtection="1">
      <alignment vertical="center"/>
    </xf>
    <xf numFmtId="0" fontId="7" fillId="0" borderId="0" xfId="105" applyFont="1" applyBorder="1" applyAlignment="1" applyProtection="1">
      <alignment horizontal="right" vertical="center"/>
    </xf>
    <xf numFmtId="0" fontId="7" fillId="0" borderId="40" xfId="105" applyFont="1" applyBorder="1" applyAlignment="1" applyProtection="1">
      <alignment vertical="center"/>
    </xf>
    <xf numFmtId="0" fontId="21" fillId="0" borderId="19" xfId="105" applyFont="1" applyBorder="1" applyAlignment="1" applyProtection="1">
      <alignment horizontal="right" vertical="center"/>
    </xf>
    <xf numFmtId="0" fontId="21" fillId="0" borderId="132" xfId="105" applyFont="1" applyBorder="1" applyAlignment="1" applyProtection="1">
      <alignment horizontal="right"/>
    </xf>
    <xf numFmtId="0" fontId="109" fillId="0" borderId="0" xfId="105" applyFont="1" applyBorder="1" applyAlignment="1" applyProtection="1"/>
    <xf numFmtId="0" fontId="15" fillId="0" borderId="0" xfId="105" applyFont="1" applyBorder="1" applyAlignment="1" applyProtection="1"/>
    <xf numFmtId="0" fontId="7" fillId="0" borderId="135" xfId="105" applyFont="1" applyBorder="1" applyAlignment="1" applyProtection="1">
      <alignment horizontal="right" vertical="center"/>
    </xf>
    <xf numFmtId="0" fontId="109" fillId="0" borderId="135" xfId="105" applyFont="1" applyBorder="1" applyAlignment="1" applyProtection="1">
      <alignment vertical="center"/>
    </xf>
    <xf numFmtId="0" fontId="15" fillId="0" borderId="135" xfId="105" applyFont="1" applyBorder="1" applyAlignment="1" applyProtection="1">
      <alignment vertical="center"/>
    </xf>
    <xf numFmtId="0" fontId="15" fillId="0" borderId="134" xfId="105" applyFont="1" applyBorder="1" applyAlignment="1" applyProtection="1">
      <alignment vertical="center"/>
    </xf>
    <xf numFmtId="4" fontId="14" fillId="0" borderId="136" xfId="1" applyNumberFormat="1" applyFont="1" applyBorder="1" applyAlignment="1">
      <alignment horizontal="center" vertical="center"/>
    </xf>
    <xf numFmtId="3" fontId="14" fillId="0" borderId="137" xfId="1" applyNumberFormat="1" applyFont="1" applyBorder="1" applyAlignment="1">
      <alignment horizontal="center" vertical="center"/>
    </xf>
    <xf numFmtId="4" fontId="14" fillId="30" borderId="122" xfId="1" applyNumberFormat="1" applyFont="1" applyFill="1" applyBorder="1" applyAlignment="1">
      <alignment horizontal="center" vertical="center"/>
    </xf>
    <xf numFmtId="3" fontId="14" fillId="30" borderId="137" xfId="1" applyNumberFormat="1" applyFont="1" applyFill="1" applyBorder="1" applyAlignment="1">
      <alignment horizontal="center" vertical="center"/>
    </xf>
    <xf numFmtId="4" fontId="14" fillId="0" borderId="122" xfId="1" applyNumberFormat="1" applyFont="1" applyBorder="1" applyAlignment="1">
      <alignment horizontal="center" vertical="center"/>
    </xf>
    <xf numFmtId="0" fontId="21" fillId="0" borderId="123" xfId="105" applyFont="1" applyBorder="1" applyAlignment="1" applyProtection="1">
      <alignment horizontal="right" vertical="center"/>
    </xf>
    <xf numFmtId="0" fontId="15" fillId="0" borderId="123" xfId="105" applyFont="1" applyBorder="1" applyAlignment="1" applyProtection="1">
      <alignment vertical="center"/>
    </xf>
    <xf numFmtId="0" fontId="15" fillId="0" borderId="121" xfId="105" applyFont="1" applyBorder="1" applyAlignment="1" applyProtection="1">
      <alignment vertical="center"/>
    </xf>
    <xf numFmtId="4" fontId="14" fillId="0" borderId="138" xfId="1" applyNumberFormat="1" applyFont="1" applyBorder="1" applyAlignment="1">
      <alignment horizontal="center"/>
    </xf>
    <xf numFmtId="3" fontId="14" fillId="0" borderId="139" xfId="1" applyNumberFormat="1" applyFont="1" applyBorder="1" applyAlignment="1">
      <alignment horizontal="center"/>
    </xf>
    <xf numFmtId="4" fontId="14" fillId="30" borderId="130" xfId="1" applyNumberFormat="1" applyFont="1" applyFill="1" applyBorder="1" applyAlignment="1">
      <alignment horizontal="center"/>
    </xf>
    <xf numFmtId="3" fontId="14" fillId="30" borderId="139" xfId="1" applyNumberFormat="1" applyFont="1" applyFill="1" applyBorder="1" applyAlignment="1">
      <alignment horizontal="center"/>
    </xf>
    <xf numFmtId="4" fontId="14" fillId="0" borderId="130" xfId="1" applyNumberFormat="1" applyFont="1" applyBorder="1" applyAlignment="1">
      <alignment horizontal="center"/>
    </xf>
    <xf numFmtId="0" fontId="21" fillId="0" borderId="132" xfId="105" applyFont="1" applyBorder="1" applyAlignment="1" applyProtection="1"/>
    <xf numFmtId="0" fontId="15" fillId="0" borderId="132" xfId="105" applyFont="1" applyBorder="1" applyAlignment="1" applyProtection="1"/>
    <xf numFmtId="0" fontId="15" fillId="0" borderId="131" xfId="105" applyFont="1" applyBorder="1" applyAlignment="1" applyProtection="1"/>
    <xf numFmtId="0" fontId="10" fillId="0" borderId="83" xfId="105" applyFont="1" applyBorder="1" applyAlignment="1" applyProtection="1">
      <alignment horizontal="center" vertical="center"/>
    </xf>
    <xf numFmtId="0" fontId="10" fillId="0" borderId="70" xfId="105" applyFont="1" applyBorder="1" applyAlignment="1" applyProtection="1">
      <alignment horizontal="center" vertical="center"/>
    </xf>
    <xf numFmtId="0" fontId="10" fillId="30" borderId="23" xfId="105" applyFont="1" applyFill="1" applyBorder="1" applyAlignment="1" applyProtection="1">
      <alignment horizontal="center" vertical="center"/>
    </xf>
    <xf numFmtId="0" fontId="10" fillId="30" borderId="70" xfId="105" applyFont="1" applyFill="1" applyBorder="1" applyAlignment="1" applyProtection="1">
      <alignment horizontal="center" vertical="center"/>
    </xf>
    <xf numFmtId="0" fontId="10" fillId="0" borderId="23" xfId="105" applyFont="1" applyBorder="1" applyAlignment="1" applyProtection="1">
      <alignment horizontal="center" vertical="center"/>
    </xf>
    <xf numFmtId="0" fontId="7" fillId="0" borderId="140" xfId="105" applyFont="1" applyBorder="1" applyAlignment="1" applyProtection="1">
      <alignment horizontal="right" vertical="center"/>
    </xf>
    <xf numFmtId="0" fontId="109" fillId="0" borderId="140" xfId="105" applyFont="1" applyBorder="1" applyAlignment="1" applyProtection="1">
      <alignment vertical="center"/>
    </xf>
    <xf numFmtId="0" fontId="7" fillId="0" borderId="44" xfId="105" applyFont="1" applyFill="1" applyBorder="1" applyAlignment="1" applyProtection="1">
      <alignment horizontal="right" vertical="center"/>
    </xf>
    <xf numFmtId="0" fontId="16" fillId="0" borderId="2" xfId="105" applyFont="1" applyFill="1" applyBorder="1" applyAlignment="1" applyProtection="1">
      <alignment vertical="center"/>
    </xf>
    <xf numFmtId="0" fontId="21" fillId="0" borderId="2" xfId="105" applyFont="1" applyFill="1" applyBorder="1" applyAlignment="1" applyProtection="1">
      <alignment vertical="center"/>
    </xf>
    <xf numFmtId="0" fontId="7" fillId="0" borderId="42" xfId="105" applyFont="1" applyFill="1" applyBorder="1" applyAlignment="1" applyProtection="1">
      <alignment horizontal="right" vertical="center"/>
    </xf>
    <xf numFmtId="0" fontId="7" fillId="0" borderId="0" xfId="1" quotePrefix="1" applyFont="1" applyBorder="1" applyAlignment="1">
      <alignment vertical="center"/>
    </xf>
    <xf numFmtId="0" fontId="14" fillId="0" borderId="0" xfId="105" applyFont="1" applyBorder="1" applyAlignment="1" applyProtection="1">
      <alignment vertical="center"/>
    </xf>
    <xf numFmtId="0" fontId="7" fillId="0" borderId="23" xfId="105" applyFont="1" applyBorder="1" applyAlignment="1" applyProtection="1">
      <alignment horizontal="right" vertical="center"/>
    </xf>
    <xf numFmtId="0" fontId="14" fillId="0" borderId="23" xfId="105" applyFont="1" applyBorder="1" applyAlignment="1" applyProtection="1">
      <alignment vertical="center"/>
    </xf>
    <xf numFmtId="0" fontId="15" fillId="0" borderId="23" xfId="105" applyFont="1" applyBorder="1" applyAlignment="1" applyProtection="1">
      <alignment vertical="center"/>
    </xf>
    <xf numFmtId="0" fontId="15" fillId="0" borderId="2" xfId="105" applyFont="1" applyBorder="1" applyAlignment="1" applyProtection="1">
      <alignment vertical="center"/>
    </xf>
    <xf numFmtId="198" fontId="6" fillId="0" borderId="23" xfId="105" applyNumberFormat="1" applyFont="1" applyBorder="1" applyAlignment="1" applyProtection="1">
      <alignment horizontal="center" vertical="center"/>
    </xf>
    <xf numFmtId="0" fontId="7" fillId="0" borderId="23" xfId="105" applyFont="1" applyBorder="1" applyAlignment="1" applyProtection="1">
      <alignment vertical="center"/>
    </xf>
    <xf numFmtId="0" fontId="7" fillId="0" borderId="43" xfId="105" applyFont="1" applyBorder="1" applyAlignment="1" applyProtection="1">
      <alignment vertical="center"/>
    </xf>
    <xf numFmtId="199" fontId="14" fillId="0" borderId="58" xfId="1" applyNumberFormat="1" applyFont="1" applyBorder="1" applyAlignment="1">
      <alignment horizontal="right" vertical="center"/>
    </xf>
    <xf numFmtId="199" fontId="14" fillId="0" borderId="77" xfId="1" applyNumberFormat="1" applyFont="1" applyBorder="1" applyAlignment="1">
      <alignment horizontal="right" vertical="center"/>
    </xf>
    <xf numFmtId="0" fontId="5" fillId="30" borderId="58" xfId="1" applyFill="1" applyBorder="1" applyAlignment="1">
      <alignment vertical="center"/>
    </xf>
    <xf numFmtId="199" fontId="14" fillId="30" borderId="77" xfId="1" applyNumberFormat="1" applyFont="1" applyFill="1" applyBorder="1" applyAlignment="1">
      <alignment horizontal="right" vertical="center"/>
    </xf>
    <xf numFmtId="0" fontId="5" fillId="0" borderId="58" xfId="1" applyBorder="1" applyAlignment="1">
      <alignment vertical="center"/>
    </xf>
    <xf numFmtId="199" fontId="14" fillId="4" borderId="77" xfId="1" applyNumberFormat="1" applyFont="1" applyFill="1" applyBorder="1" applyAlignment="1">
      <alignment horizontal="right" vertical="center"/>
    </xf>
    <xf numFmtId="0" fontId="14" fillId="0" borderId="57" xfId="1" applyFont="1" applyBorder="1" applyAlignment="1">
      <alignment horizontal="right" vertical="center"/>
    </xf>
    <xf numFmtId="0" fontId="109" fillId="0" borderId="57" xfId="105" applyFont="1" applyBorder="1" applyAlignment="1" applyProtection="1">
      <alignment vertical="center"/>
    </xf>
    <xf numFmtId="0" fontId="15" fillId="0" borderId="57" xfId="105" applyFont="1" applyBorder="1" applyAlignment="1" applyProtection="1">
      <alignment vertical="center"/>
    </xf>
    <xf numFmtId="0" fontId="7" fillId="0" borderId="2" xfId="105" applyFont="1" applyFill="1" applyBorder="1" applyAlignment="1" applyProtection="1">
      <alignment horizontal="right" vertical="center"/>
    </xf>
    <xf numFmtId="0" fontId="21" fillId="0" borderId="2" xfId="105" applyFont="1" applyFill="1" applyBorder="1" applyAlignment="1" applyProtection="1">
      <alignment horizontal="left" vertical="center"/>
    </xf>
    <xf numFmtId="0" fontId="14" fillId="0" borderId="23" xfId="105" applyFont="1" applyFill="1" applyBorder="1" applyAlignment="1" applyProtection="1">
      <alignment horizontal="right" vertical="center"/>
    </xf>
    <xf numFmtId="9" fontId="7" fillId="0" borderId="0" xfId="105" applyNumberFormat="1" applyFont="1" applyBorder="1" applyAlignment="1" applyProtection="1">
      <alignment horizontal="right" vertical="center"/>
    </xf>
    <xf numFmtId="0" fontId="7" fillId="0" borderId="0" xfId="105" quotePrefix="1" applyFont="1" applyBorder="1" applyAlignment="1" applyProtection="1">
      <alignment vertical="center"/>
    </xf>
    <xf numFmtId="0" fontId="21" fillId="0" borderId="0" xfId="105" applyFont="1" applyBorder="1" applyAlignment="1" applyProtection="1">
      <alignment vertical="center"/>
    </xf>
    <xf numFmtId="2" fontId="7" fillId="30" borderId="44" xfId="1" applyNumberFormat="1" applyFont="1" applyFill="1" applyBorder="1" applyAlignment="1">
      <alignment horizontal="right" vertical="center"/>
    </xf>
    <xf numFmtId="188" fontId="7" fillId="30" borderId="39" xfId="1" applyNumberFormat="1" applyFont="1" applyFill="1" applyBorder="1" applyAlignment="1">
      <alignment horizontal="right" vertical="center"/>
    </xf>
    <xf numFmtId="2" fontId="7" fillId="39" borderId="44" xfId="1" applyNumberFormat="1" applyFont="1" applyFill="1" applyBorder="1" applyAlignment="1">
      <alignment horizontal="right" vertical="center"/>
    </xf>
    <xf numFmtId="188" fontId="7" fillId="39" borderId="39" xfId="1" applyNumberFormat="1" applyFont="1" applyFill="1" applyBorder="1" applyAlignment="1">
      <alignment horizontal="right" vertical="center"/>
    </xf>
    <xf numFmtId="0" fontId="7" fillId="30" borderId="2" xfId="1" applyFont="1" applyFill="1" applyBorder="1" applyAlignment="1">
      <alignment horizontal="right" vertical="center"/>
    </xf>
    <xf numFmtId="0" fontId="46" fillId="30" borderId="2" xfId="105" applyFont="1" applyFill="1" applyBorder="1" applyAlignment="1" applyProtection="1">
      <alignment vertical="center"/>
    </xf>
    <xf numFmtId="0" fontId="5" fillId="30" borderId="2" xfId="1" applyFill="1" applyBorder="1" applyAlignment="1">
      <alignment vertical="center"/>
    </xf>
    <xf numFmtId="0" fontId="21" fillId="30" borderId="39" xfId="105" applyFont="1" applyFill="1" applyBorder="1" applyAlignment="1" applyProtection="1">
      <alignment vertical="center"/>
    </xf>
    <xf numFmtId="0" fontId="7" fillId="0" borderId="42" xfId="1" applyFont="1" applyFill="1" applyBorder="1" applyAlignment="1">
      <alignment horizontal="right" vertical="center"/>
    </xf>
    <xf numFmtId="0" fontId="46" fillId="0" borderId="23" xfId="105" applyFont="1" applyFill="1" applyBorder="1" applyAlignment="1" applyProtection="1">
      <alignment vertical="center"/>
    </xf>
    <xf numFmtId="0" fontId="5" fillId="0" borderId="23" xfId="1" applyFill="1" applyBorder="1" applyAlignment="1">
      <alignment vertical="center"/>
    </xf>
    <xf numFmtId="0" fontId="17" fillId="0" borderId="0" xfId="105" applyFont="1" applyBorder="1" applyAlignment="1">
      <alignment vertical="center"/>
    </xf>
    <xf numFmtId="0" fontId="7" fillId="0" borderId="0" xfId="105" applyFont="1" applyBorder="1" applyAlignment="1">
      <alignment vertical="center"/>
    </xf>
    <xf numFmtId="0" fontId="7" fillId="0" borderId="0" xfId="105" applyFont="1" applyFill="1" applyBorder="1" applyAlignment="1" applyProtection="1">
      <alignment horizontal="right" vertical="center"/>
    </xf>
    <xf numFmtId="0" fontId="7" fillId="0" borderId="23" xfId="1" applyFont="1" applyBorder="1" applyAlignment="1">
      <alignment horizontal="right" vertical="center"/>
    </xf>
    <xf numFmtId="0" fontId="17" fillId="0" borderId="23" xfId="105" applyFont="1" applyBorder="1" applyAlignment="1" applyProtection="1">
      <alignment vertical="center"/>
    </xf>
    <xf numFmtId="0" fontId="7" fillId="0" borderId="57" xfId="105" applyFont="1" applyFill="1" applyBorder="1" applyAlignment="1" applyProtection="1">
      <alignment horizontal="right" vertical="center"/>
    </xf>
    <xf numFmtId="0" fontId="17" fillId="0" borderId="57" xfId="105" applyFont="1" applyBorder="1" applyAlignment="1" applyProtection="1">
      <alignment vertical="center"/>
    </xf>
    <xf numFmtId="0" fontId="14" fillId="0" borderId="57" xfId="105" applyFont="1" applyBorder="1" applyAlignment="1" applyProtection="1">
      <alignment horizontal="left" vertical="center"/>
    </xf>
    <xf numFmtId="0" fontId="15" fillId="0" borderId="39" xfId="1" applyFont="1" applyBorder="1" applyAlignment="1">
      <alignment vertical="center"/>
    </xf>
    <xf numFmtId="0" fontId="17" fillId="0" borderId="2" xfId="105" applyFont="1" applyBorder="1" applyAlignment="1" applyProtection="1">
      <alignment vertical="center"/>
    </xf>
    <xf numFmtId="0" fontId="14" fillId="0" borderId="2" xfId="105" applyFont="1" applyBorder="1" applyAlignment="1" applyProtection="1">
      <alignment horizontal="left" vertical="center"/>
    </xf>
    <xf numFmtId="0" fontId="7" fillId="0" borderId="40" xfId="105" applyFont="1" applyBorder="1" applyAlignment="1">
      <alignment vertical="center"/>
    </xf>
    <xf numFmtId="0" fontId="21" fillId="0" borderId="25" xfId="1" applyFont="1" applyFill="1" applyBorder="1" applyAlignment="1">
      <alignment horizontal="center" vertical="center"/>
    </xf>
    <xf numFmtId="0" fontId="109" fillId="0" borderId="2" xfId="1" applyFont="1" applyBorder="1" applyAlignment="1">
      <alignment vertical="center"/>
    </xf>
    <xf numFmtId="0" fontId="110" fillId="0" borderId="0" xfId="1" applyFont="1" applyAlignment="1">
      <alignment vertical="center"/>
    </xf>
    <xf numFmtId="0" fontId="14" fillId="0" borderId="2" xfId="1" applyFont="1" applyFill="1" applyBorder="1" applyAlignment="1">
      <alignment horizontal="right" vertical="center"/>
    </xf>
    <xf numFmtId="0" fontId="15" fillId="0" borderId="2" xfId="1" applyFont="1" applyBorder="1" applyAlignment="1">
      <alignment vertical="center"/>
    </xf>
    <xf numFmtId="172" fontId="17" fillId="4" borderId="44" xfId="1" applyNumberFormat="1" applyFont="1" applyFill="1" applyBorder="1" applyAlignment="1">
      <alignment horizontal="right" vertical="center"/>
    </xf>
    <xf numFmtId="0" fontId="7" fillId="0" borderId="39" xfId="1" applyFont="1" applyBorder="1" applyAlignment="1">
      <alignment horizontal="left" vertical="center"/>
    </xf>
    <xf numFmtId="172" fontId="17" fillId="39" borderId="44" xfId="1" applyNumberFormat="1" applyFont="1" applyFill="1" applyBorder="1" applyAlignment="1">
      <alignment horizontal="right" vertical="center"/>
    </xf>
    <xf numFmtId="0" fontId="7" fillId="39" borderId="39" xfId="1" applyFont="1" applyFill="1" applyBorder="1" applyAlignment="1">
      <alignment horizontal="left" vertical="center"/>
    </xf>
    <xf numFmtId="0" fontId="110" fillId="0" borderId="2" xfId="1" applyFont="1" applyBorder="1" applyAlignment="1">
      <alignment vertical="center"/>
    </xf>
    <xf numFmtId="0" fontId="7" fillId="0" borderId="2" xfId="1" applyFont="1" applyBorder="1" applyAlignment="1">
      <alignment vertical="center"/>
    </xf>
    <xf numFmtId="172" fontId="15" fillId="4" borderId="42" xfId="1" applyNumberFormat="1" applyFont="1" applyFill="1" applyBorder="1" applyAlignment="1">
      <alignment horizontal="right" vertical="center"/>
    </xf>
    <xf numFmtId="0" fontId="7" fillId="0" borderId="43" xfId="1" applyFont="1" applyBorder="1" applyAlignment="1">
      <alignment horizontal="left" vertical="center"/>
    </xf>
    <xf numFmtId="172" fontId="15" fillId="39" borderId="42" xfId="1" applyNumberFormat="1" applyFont="1" applyFill="1" applyBorder="1" applyAlignment="1">
      <alignment horizontal="right" vertical="center"/>
    </xf>
    <xf numFmtId="0" fontId="7" fillId="39" borderId="43" xfId="1" applyFont="1" applyFill="1" applyBorder="1" applyAlignment="1">
      <alignment horizontal="left" vertical="center"/>
    </xf>
    <xf numFmtId="0" fontId="14" fillId="0" borderId="23" xfId="1" applyFont="1" applyBorder="1" applyAlignment="1">
      <alignment horizontal="right" vertical="center"/>
    </xf>
    <xf numFmtId="0" fontId="109" fillId="0" borderId="23" xfId="1" applyFont="1" applyBorder="1" applyAlignment="1">
      <alignment vertical="center"/>
    </xf>
    <xf numFmtId="0" fontId="15" fillId="0" borderId="23" xfId="1" applyFont="1" applyBorder="1" applyAlignment="1">
      <alignment vertical="center"/>
    </xf>
    <xf numFmtId="0" fontId="21" fillId="0" borderId="25" xfId="1" applyFont="1" applyBorder="1" applyAlignment="1" applyProtection="1">
      <alignment horizontal="center" vertical="center"/>
    </xf>
    <xf numFmtId="0" fontId="111" fillId="0" borderId="23" xfId="1" applyFont="1" applyBorder="1" applyAlignment="1">
      <alignment horizontal="right" vertical="center"/>
    </xf>
    <xf numFmtId="0" fontId="99" fillId="0" borderId="23" xfId="1" applyFont="1" applyBorder="1" applyAlignment="1">
      <alignment vertical="center"/>
    </xf>
    <xf numFmtId="0" fontId="14" fillId="0" borderId="58" xfId="1" applyFont="1" applyBorder="1" applyAlignment="1">
      <alignment horizontal="right" vertical="center"/>
    </xf>
    <xf numFmtId="0" fontId="5" fillId="0" borderId="57" xfId="1" applyFill="1" applyBorder="1" applyAlignment="1">
      <alignment vertical="center"/>
    </xf>
    <xf numFmtId="0" fontId="15" fillId="0" borderId="77" xfId="1" applyFont="1" applyFill="1" applyBorder="1" applyAlignment="1">
      <alignment vertical="center"/>
    </xf>
    <xf numFmtId="0" fontId="61" fillId="3" borderId="0" xfId="1" applyFont="1" applyFill="1" applyBorder="1" applyAlignment="1">
      <alignment vertical="center"/>
    </xf>
    <xf numFmtId="0" fontId="7" fillId="0" borderId="58" xfId="1" applyFont="1" applyBorder="1" applyAlignment="1">
      <alignment vertical="center"/>
    </xf>
    <xf numFmtId="0" fontId="113" fillId="0" borderId="77" xfId="1" applyFont="1" applyBorder="1" applyAlignment="1">
      <alignment horizontal="left" vertical="center"/>
    </xf>
    <xf numFmtId="0" fontId="14" fillId="4" borderId="58" xfId="1" applyFont="1" applyFill="1" applyBorder="1" applyAlignment="1" applyProtection="1">
      <alignment horizontal="right" vertical="center"/>
    </xf>
    <xf numFmtId="0" fontId="113" fillId="0" borderId="57" xfId="1" applyFont="1" applyBorder="1" applyAlignment="1">
      <alignment horizontal="left" vertical="center"/>
    </xf>
    <xf numFmtId="0" fontId="104" fillId="4" borderId="58" xfId="1" applyFont="1" applyFill="1" applyBorder="1" applyAlignment="1" applyProtection="1">
      <alignment horizontal="right" vertical="center"/>
    </xf>
    <xf numFmtId="0" fontId="104" fillId="0" borderId="57" xfId="1" applyFont="1" applyBorder="1" applyAlignment="1">
      <alignment horizontal="right" vertical="center"/>
    </xf>
    <xf numFmtId="0" fontId="17" fillId="0" borderId="77" xfId="1" applyFont="1" applyBorder="1" applyAlignment="1" applyProtection="1">
      <alignment vertical="center"/>
    </xf>
    <xf numFmtId="0" fontId="114" fillId="0" borderId="57" xfId="1" applyFont="1" applyFill="1" applyBorder="1" applyAlignment="1">
      <alignment horizontal="center" vertical="center"/>
    </xf>
    <xf numFmtId="0" fontId="19" fillId="0" borderId="57" xfId="1" applyFont="1" applyFill="1" applyBorder="1" applyAlignment="1">
      <alignment vertical="center"/>
    </xf>
    <xf numFmtId="0" fontId="19" fillId="0" borderId="77" xfId="1" applyFont="1" applyFill="1" applyBorder="1" applyAlignment="1">
      <alignment vertical="center"/>
    </xf>
    <xf numFmtId="3" fontId="115" fillId="4" borderId="0" xfId="1" applyNumberFormat="1" applyFont="1" applyFill="1" applyAlignment="1">
      <alignment horizontal="right" vertical="center"/>
    </xf>
    <xf numFmtId="3" fontId="115" fillId="4" borderId="0" xfId="1" applyNumberFormat="1" applyFont="1" applyFill="1" applyBorder="1" applyAlignment="1">
      <alignment horizontal="right" vertical="center"/>
    </xf>
    <xf numFmtId="3" fontId="115" fillId="4" borderId="0" xfId="1" applyNumberFormat="1" applyFont="1" applyFill="1" applyBorder="1" applyAlignment="1">
      <alignment horizontal="left" vertical="center"/>
    </xf>
    <xf numFmtId="3" fontId="78" fillId="4" borderId="48" xfId="1" applyNumberFormat="1" applyFont="1" applyFill="1" applyBorder="1" applyAlignment="1">
      <alignment horizontal="right" vertical="center"/>
    </xf>
    <xf numFmtId="3" fontId="78" fillId="4" borderId="47" xfId="1" applyNumberFormat="1" applyFont="1" applyFill="1" applyBorder="1" applyAlignment="1">
      <alignment horizontal="right" vertical="center"/>
    </xf>
    <xf numFmtId="3" fontId="78" fillId="4" borderId="48" xfId="1" applyNumberFormat="1" applyFont="1" applyFill="1" applyBorder="1" applyAlignment="1">
      <alignment horizontal="left" vertical="center"/>
    </xf>
    <xf numFmtId="3" fontId="78" fillId="4" borderId="60" xfId="105" applyNumberFormat="1" applyFont="1" applyFill="1" applyBorder="1" applyAlignment="1" applyProtection="1">
      <alignment horizontal="left" vertical="center"/>
    </xf>
    <xf numFmtId="3" fontId="116" fillId="32" borderId="0" xfId="1" applyNumberFormat="1" applyFont="1" applyFill="1" applyAlignment="1">
      <alignment horizontal="right" vertical="center"/>
    </xf>
    <xf numFmtId="3" fontId="115" fillId="4" borderId="47" xfId="105" applyNumberFormat="1" applyFont="1" applyFill="1" applyBorder="1" applyAlignment="1" applyProtection="1">
      <alignment horizontal="right" vertical="center"/>
    </xf>
    <xf numFmtId="3" fontId="115" fillId="4" borderId="29" xfId="1" applyNumberFormat="1" applyFont="1" applyFill="1" applyBorder="1" applyAlignment="1">
      <alignment horizontal="right" vertical="center"/>
    </xf>
    <xf numFmtId="3" fontId="115" fillId="4" borderId="19" xfId="1" applyNumberFormat="1" applyFont="1" applyFill="1" applyBorder="1" applyAlignment="1">
      <alignment horizontal="right" vertical="center"/>
    </xf>
    <xf numFmtId="3" fontId="115" fillId="4" borderId="32" xfId="1" applyNumberFormat="1" applyFont="1" applyFill="1" applyBorder="1" applyAlignment="1">
      <alignment horizontal="left" vertical="center"/>
    </xf>
    <xf numFmtId="3" fontId="115" fillId="4" borderId="25" xfId="1" applyNumberFormat="1" applyFont="1" applyFill="1" applyBorder="1" applyAlignment="1">
      <alignment horizontal="right" vertical="center"/>
    </xf>
    <xf numFmtId="3" fontId="115" fillId="4" borderId="32" xfId="105" applyNumberFormat="1" applyFont="1" applyFill="1" applyBorder="1" applyAlignment="1" applyProtection="1">
      <alignment horizontal="left" vertical="center"/>
      <protection locked="0"/>
    </xf>
    <xf numFmtId="3" fontId="115" fillId="4" borderId="143" xfId="1" applyNumberFormat="1" applyFont="1" applyFill="1" applyBorder="1" applyAlignment="1">
      <alignment horizontal="right" vertical="center"/>
    </xf>
    <xf numFmtId="3" fontId="115" fillId="4" borderId="127" xfId="1" applyNumberFormat="1" applyFont="1" applyFill="1" applyBorder="1" applyAlignment="1">
      <alignment horizontal="right" vertical="center"/>
    </xf>
    <xf numFmtId="3" fontId="115" fillId="4" borderId="79" xfId="105" applyNumberFormat="1" applyFont="1" applyFill="1" applyBorder="1" applyAlignment="1">
      <alignment horizontal="left" vertical="center"/>
    </xf>
    <xf numFmtId="4" fontId="115" fillId="4" borderId="0" xfId="1" applyNumberFormat="1" applyFont="1" applyFill="1" applyAlignment="1">
      <alignment horizontal="right" vertical="center"/>
    </xf>
    <xf numFmtId="4" fontId="78" fillId="4" borderId="25" xfId="1" applyNumberFormat="1" applyFont="1" applyFill="1" applyBorder="1" applyAlignment="1">
      <alignment horizontal="right" vertical="center"/>
    </xf>
    <xf numFmtId="4" fontId="78" fillId="4" borderId="19" xfId="1" applyNumberFormat="1" applyFont="1" applyFill="1" applyBorder="1" applyAlignment="1">
      <alignment horizontal="right" vertical="center"/>
    </xf>
    <xf numFmtId="4" fontId="78" fillId="4" borderId="29" xfId="1" applyNumberFormat="1" applyFont="1" applyFill="1" applyBorder="1" applyAlignment="1">
      <alignment horizontal="right" vertical="center"/>
    </xf>
    <xf numFmtId="4" fontId="115" fillId="4" borderId="123" xfId="105" applyNumberFormat="1" applyFont="1" applyFill="1" applyBorder="1" applyAlignment="1" applyProtection="1">
      <alignment horizontal="right" vertical="center"/>
    </xf>
    <xf numFmtId="4" fontId="115" fillId="4" borderId="144" xfId="105" applyNumberFormat="1" applyFont="1" applyFill="1" applyBorder="1" applyAlignment="1" applyProtection="1">
      <alignment horizontal="center" vertical="center" wrapText="1"/>
    </xf>
    <xf numFmtId="3" fontId="115" fillId="4" borderId="0" xfId="105" applyNumberFormat="1" applyFont="1" applyFill="1" applyBorder="1" applyAlignment="1" applyProtection="1">
      <alignment horizontal="right" vertical="center"/>
    </xf>
    <xf numFmtId="3" fontId="78" fillId="4" borderId="32" xfId="105" applyNumberFormat="1" applyFont="1" applyFill="1" applyBorder="1" applyAlignment="1" applyProtection="1">
      <alignment horizontal="left" vertical="center"/>
    </xf>
    <xf numFmtId="4" fontId="115" fillId="4" borderId="0" xfId="105" applyNumberFormat="1" applyFont="1" applyFill="1" applyBorder="1" applyAlignment="1" applyProtection="1">
      <alignment horizontal="right" vertical="center"/>
    </xf>
    <xf numFmtId="4" fontId="115" fillId="4" borderId="32" xfId="105" applyNumberFormat="1" applyFont="1" applyFill="1" applyBorder="1" applyAlignment="1" applyProtection="1">
      <alignment horizontal="left" vertical="center"/>
    </xf>
    <xf numFmtId="4" fontId="115" fillId="4" borderId="25" xfId="1" applyNumberFormat="1" applyFont="1" applyFill="1" applyBorder="1" applyAlignment="1">
      <alignment horizontal="right" vertical="center"/>
    </xf>
    <xf numFmtId="4" fontId="115" fillId="4" borderId="19" xfId="1" applyNumberFormat="1" applyFont="1" applyFill="1" applyBorder="1" applyAlignment="1">
      <alignment horizontal="right" vertical="center"/>
    </xf>
    <xf numFmtId="4" fontId="115" fillId="4" borderId="29" xfId="1" applyNumberFormat="1" applyFont="1" applyFill="1" applyBorder="1" applyAlignment="1">
      <alignment horizontal="right" vertical="center"/>
    </xf>
    <xf numFmtId="3" fontId="115" fillId="4" borderId="132" xfId="105" applyNumberFormat="1" applyFont="1" applyFill="1" applyBorder="1" applyAlignment="1" applyProtection="1">
      <alignment horizontal="right" vertical="center"/>
    </xf>
    <xf numFmtId="3" fontId="115" fillId="4" borderId="145" xfId="105" applyNumberFormat="1" applyFont="1" applyFill="1" applyBorder="1" applyAlignment="1" applyProtection="1">
      <alignment horizontal="left" vertical="center"/>
    </xf>
    <xf numFmtId="4" fontId="78" fillId="4" borderId="146" xfId="1" applyNumberFormat="1" applyFont="1" applyFill="1" applyBorder="1" applyAlignment="1">
      <alignment horizontal="right" vertical="center"/>
    </xf>
    <xf numFmtId="4" fontId="78" fillId="4" borderId="122" xfId="1" applyNumberFormat="1" applyFont="1" applyFill="1" applyBorder="1" applyAlignment="1">
      <alignment horizontal="right" vertical="center"/>
    </xf>
    <xf numFmtId="4" fontId="78" fillId="4" borderId="147" xfId="1" applyNumberFormat="1" applyFont="1" applyFill="1" applyBorder="1" applyAlignment="1">
      <alignment horizontal="right" vertical="center"/>
    </xf>
    <xf numFmtId="4" fontId="78" fillId="0" borderId="25" xfId="1" applyNumberFormat="1" applyFont="1" applyFill="1" applyBorder="1" applyAlignment="1">
      <alignment horizontal="right" vertical="center"/>
    </xf>
    <xf numFmtId="4" fontId="78" fillId="0" borderId="19" xfId="1" applyNumberFormat="1" applyFont="1" applyFill="1" applyBorder="1" applyAlignment="1">
      <alignment horizontal="right" vertical="center"/>
    </xf>
    <xf numFmtId="4" fontId="78" fillId="0" borderId="29" xfId="1" applyNumberFormat="1" applyFont="1" applyFill="1" applyBorder="1" applyAlignment="1">
      <alignment horizontal="right" vertical="center"/>
    </xf>
    <xf numFmtId="3" fontId="115" fillId="0" borderId="148" xfId="1" applyNumberFormat="1" applyFont="1" applyFill="1" applyBorder="1" applyAlignment="1">
      <alignment horizontal="right" vertical="center"/>
    </xf>
    <xf numFmtId="3" fontId="115" fillId="0" borderId="130" xfId="1" applyNumberFormat="1" applyFont="1" applyFill="1" applyBorder="1" applyAlignment="1">
      <alignment horizontal="right" vertical="center"/>
    </xf>
    <xf numFmtId="3" fontId="115" fillId="0" borderId="149" xfId="1" applyNumberFormat="1" applyFont="1" applyFill="1" applyBorder="1" applyAlignment="1">
      <alignment horizontal="right" vertical="center"/>
    </xf>
    <xf numFmtId="4" fontId="78" fillId="0" borderId="146" xfId="1" applyNumberFormat="1" applyFont="1" applyFill="1" applyBorder="1" applyAlignment="1">
      <alignment horizontal="right" vertical="center"/>
    </xf>
    <xf numFmtId="4" fontId="78" fillId="0" borderId="122" xfId="1" applyNumberFormat="1" applyFont="1" applyFill="1" applyBorder="1" applyAlignment="1">
      <alignment horizontal="right" vertical="center"/>
    </xf>
    <xf numFmtId="4" fontId="78" fillId="0" borderId="147" xfId="1" applyNumberFormat="1" applyFont="1" applyFill="1" applyBorder="1" applyAlignment="1">
      <alignment horizontal="right" vertical="center"/>
    </xf>
    <xf numFmtId="4" fontId="115" fillId="4" borderId="144" xfId="105" applyNumberFormat="1" applyFont="1" applyFill="1" applyBorder="1" applyAlignment="1" applyProtection="1">
      <alignment horizontal="left" vertical="center"/>
    </xf>
    <xf numFmtId="3" fontId="78" fillId="4" borderId="145" xfId="105" applyNumberFormat="1" applyFont="1" applyFill="1" applyBorder="1" applyAlignment="1" applyProtection="1">
      <alignment horizontal="left" vertical="center"/>
    </xf>
    <xf numFmtId="4" fontId="78" fillId="4" borderId="32" xfId="105" applyNumberFormat="1" applyFont="1" applyFill="1" applyBorder="1" applyAlignment="1" applyProtection="1">
      <alignment horizontal="left" vertical="center"/>
    </xf>
    <xf numFmtId="3" fontId="78" fillId="4" borderId="3" xfId="1" applyNumberFormat="1" applyFont="1" applyFill="1" applyBorder="1" applyAlignment="1">
      <alignment horizontal="right" vertical="center"/>
    </xf>
    <xf numFmtId="3" fontId="78" fillId="4" borderId="58" xfId="1" applyNumberFormat="1" applyFont="1" applyFill="1" applyBorder="1" applyAlignment="1">
      <alignment horizontal="right" vertical="center"/>
    </xf>
    <xf numFmtId="3" fontId="115" fillId="4" borderId="58" xfId="105" applyNumberFormat="1" applyFont="1" applyFill="1" applyBorder="1" applyAlignment="1" applyProtection="1">
      <alignment horizontal="right" vertical="center"/>
    </xf>
    <xf numFmtId="3" fontId="78" fillId="4" borderId="150" xfId="105" applyNumberFormat="1" applyFont="1" applyFill="1" applyBorder="1" applyAlignment="1" applyProtection="1">
      <alignment horizontal="left" vertical="center"/>
    </xf>
    <xf numFmtId="3" fontId="115" fillId="4" borderId="34" xfId="1" applyNumberFormat="1" applyFont="1" applyFill="1" applyBorder="1" applyAlignment="1">
      <alignment horizontal="right" vertical="center"/>
    </xf>
    <xf numFmtId="3" fontId="115" fillId="4" borderId="44" xfId="1" applyNumberFormat="1" applyFont="1" applyFill="1" applyBorder="1" applyAlignment="1">
      <alignment horizontal="right" vertical="center"/>
    </xf>
    <xf numFmtId="3" fontId="115" fillId="4" borderId="32" xfId="105" applyNumberFormat="1" applyFont="1" applyFill="1" applyBorder="1" applyAlignment="1" applyProtection="1">
      <alignment horizontal="left" vertical="center"/>
    </xf>
    <xf numFmtId="3" fontId="78" fillId="4" borderId="25" xfId="1" applyNumberFormat="1" applyFont="1" applyFill="1" applyBorder="1" applyAlignment="1">
      <alignment horizontal="right" vertical="center"/>
    </xf>
    <xf numFmtId="3" fontId="78" fillId="4" borderId="19" xfId="1" applyNumberFormat="1" applyFont="1" applyFill="1" applyBorder="1" applyAlignment="1">
      <alignment horizontal="right" vertical="center"/>
    </xf>
    <xf numFmtId="3" fontId="78" fillId="4" borderId="29" xfId="1" applyNumberFormat="1" applyFont="1" applyFill="1" applyBorder="1" applyAlignment="1">
      <alignment horizontal="right" vertical="center"/>
    </xf>
    <xf numFmtId="3" fontId="115" fillId="4" borderId="36" xfId="1" applyNumberFormat="1" applyFont="1" applyFill="1" applyBorder="1" applyAlignment="1">
      <alignment horizontal="right" vertical="center"/>
    </xf>
    <xf numFmtId="3" fontId="115" fillId="4" borderId="42" xfId="1" applyNumberFormat="1" applyFont="1" applyFill="1" applyBorder="1" applyAlignment="1">
      <alignment horizontal="right" vertical="center"/>
    </xf>
    <xf numFmtId="3" fontId="115" fillId="4" borderId="23" xfId="105" applyNumberFormat="1" applyFont="1" applyFill="1" applyBorder="1" applyAlignment="1" applyProtection="1">
      <alignment horizontal="right" vertical="center"/>
    </xf>
    <xf numFmtId="3" fontId="78" fillId="4" borderId="153" xfId="105" applyNumberFormat="1" applyFont="1" applyFill="1" applyBorder="1" applyAlignment="1" applyProtection="1">
      <alignment horizontal="left" vertical="center"/>
    </xf>
    <xf numFmtId="4" fontId="115" fillId="4" borderId="34" xfId="1" applyNumberFormat="1" applyFont="1" applyFill="1" applyBorder="1" applyAlignment="1">
      <alignment horizontal="right" vertical="center"/>
    </xf>
    <xf numFmtId="4" fontId="115" fillId="4" borderId="44" xfId="1" applyNumberFormat="1" applyFont="1" applyFill="1" applyBorder="1" applyAlignment="1">
      <alignment horizontal="right" vertical="center"/>
    </xf>
    <xf numFmtId="4" fontId="115" fillId="4" borderId="44" xfId="105" applyNumberFormat="1" applyFont="1" applyFill="1" applyBorder="1" applyAlignment="1" applyProtection="1">
      <alignment horizontal="right" vertical="center"/>
    </xf>
    <xf numFmtId="4" fontId="115" fillId="4" borderId="154" xfId="105" applyNumberFormat="1" applyFont="1" applyFill="1" applyBorder="1" applyAlignment="1" applyProtection="1">
      <alignment horizontal="left" vertical="center"/>
    </xf>
    <xf numFmtId="3" fontId="78" fillId="4" borderId="36" xfId="1" applyNumberFormat="1" applyFont="1" applyFill="1" applyBorder="1" applyAlignment="1">
      <alignment horizontal="right" vertical="center"/>
    </xf>
    <xf numFmtId="3" fontId="78" fillId="4" borderId="42" xfId="1" applyNumberFormat="1" applyFont="1" applyFill="1" applyBorder="1" applyAlignment="1">
      <alignment horizontal="right" vertical="center"/>
    </xf>
    <xf numFmtId="3" fontId="78" fillId="4" borderId="152" xfId="1" applyNumberFormat="1" applyFont="1" applyFill="1" applyBorder="1" applyAlignment="1">
      <alignment horizontal="right" vertical="center"/>
    </xf>
    <xf numFmtId="3" fontId="115" fillId="4" borderId="42" xfId="105" applyNumberFormat="1" applyFont="1" applyFill="1" applyBorder="1" applyAlignment="1" applyProtection="1">
      <alignment horizontal="right" vertical="center"/>
    </xf>
    <xf numFmtId="4" fontId="115" fillId="4" borderId="2" xfId="105" applyNumberFormat="1" applyFont="1" applyFill="1" applyBorder="1" applyAlignment="1" applyProtection="1">
      <alignment horizontal="right" vertical="center"/>
    </xf>
    <xf numFmtId="3" fontId="78" fillId="4" borderId="34" xfId="1" applyNumberFormat="1" applyFont="1" applyFill="1" applyBorder="1" applyAlignment="1">
      <alignment horizontal="right" vertical="center"/>
    </xf>
    <xf numFmtId="3" fontId="78" fillId="4" borderId="44" xfId="1" applyNumberFormat="1" applyFont="1" applyFill="1" applyBorder="1" applyAlignment="1">
      <alignment horizontal="right" vertical="center"/>
    </xf>
    <xf numFmtId="3" fontId="115" fillId="4" borderId="2" xfId="105" applyNumberFormat="1" applyFont="1" applyFill="1" applyBorder="1" applyAlignment="1" applyProtection="1">
      <alignment horizontal="right" vertical="center"/>
    </xf>
    <xf numFmtId="3" fontId="78" fillId="4" borderId="154" xfId="105" applyNumberFormat="1" applyFont="1" applyFill="1" applyBorder="1" applyAlignment="1" applyProtection="1">
      <alignment horizontal="left" vertical="center"/>
    </xf>
    <xf numFmtId="4" fontId="117" fillId="4" borderId="0" xfId="105" applyNumberFormat="1" applyFont="1" applyFill="1" applyBorder="1" applyAlignment="1" applyProtection="1">
      <alignment horizontal="right" vertical="center"/>
    </xf>
    <xf numFmtId="3" fontId="115" fillId="0" borderId="25" xfId="1" applyNumberFormat="1" applyFont="1" applyFill="1" applyBorder="1" applyAlignment="1">
      <alignment horizontal="right" vertical="center"/>
    </xf>
    <xf numFmtId="3" fontId="115" fillId="4" borderId="153" xfId="105" applyNumberFormat="1" applyFont="1" applyFill="1" applyBorder="1" applyAlignment="1" applyProtection="1">
      <alignment horizontal="left" vertical="center"/>
    </xf>
    <xf numFmtId="165" fontId="115" fillId="4" borderId="0" xfId="1" applyNumberFormat="1" applyFont="1" applyFill="1" applyAlignment="1">
      <alignment horizontal="right" vertical="center"/>
    </xf>
    <xf numFmtId="165" fontId="78" fillId="4" borderId="25" xfId="1" applyNumberFormat="1" applyFont="1" applyFill="1" applyBorder="1" applyAlignment="1">
      <alignment horizontal="right" vertical="center"/>
    </xf>
    <xf numFmtId="165" fontId="78" fillId="4" borderId="19" xfId="1" applyNumberFormat="1" applyFont="1" applyFill="1" applyBorder="1" applyAlignment="1">
      <alignment horizontal="right" vertical="center"/>
    </xf>
    <xf numFmtId="165" fontId="78" fillId="4" borderId="29" xfId="1" applyNumberFormat="1" applyFont="1" applyFill="1" applyBorder="1" applyAlignment="1">
      <alignment horizontal="right" vertical="center"/>
    </xf>
    <xf numFmtId="165" fontId="115" fillId="4" borderId="0" xfId="1" applyNumberFormat="1" applyFont="1" applyFill="1" applyBorder="1" applyAlignment="1">
      <alignment horizontal="right" vertical="center"/>
    </xf>
    <xf numFmtId="165" fontId="78" fillId="4" borderId="32" xfId="105" applyNumberFormat="1" applyFont="1" applyFill="1" applyBorder="1" applyAlignment="1" applyProtection="1">
      <alignment horizontal="left" vertical="center"/>
    </xf>
    <xf numFmtId="3" fontId="115" fillId="4" borderId="25" xfId="61" applyNumberFormat="1" applyFont="1" applyFill="1" applyBorder="1" applyAlignment="1">
      <alignment horizontal="right" vertical="center"/>
    </xf>
    <xf numFmtId="3" fontId="115" fillId="4" borderId="19" xfId="61" applyNumberFormat="1" applyFont="1" applyFill="1" applyBorder="1" applyAlignment="1">
      <alignment horizontal="right" vertical="center"/>
    </xf>
    <xf numFmtId="3" fontId="115" fillId="4" borderId="29" xfId="61" applyNumberFormat="1" applyFont="1" applyFill="1" applyBorder="1" applyAlignment="1">
      <alignment horizontal="right" vertical="center"/>
    </xf>
    <xf numFmtId="3" fontId="116" fillId="4" borderId="32" xfId="1" applyNumberFormat="1" applyFont="1" applyFill="1" applyBorder="1" applyAlignment="1">
      <alignment horizontal="left" vertical="center"/>
    </xf>
    <xf numFmtId="3" fontId="78" fillId="4" borderId="3" xfId="61" applyNumberFormat="1" applyFont="1" applyFill="1" applyBorder="1" applyAlignment="1">
      <alignment horizontal="right" vertical="center"/>
    </xf>
    <xf numFmtId="3" fontId="78" fillId="4" borderId="58" xfId="61" applyNumberFormat="1" applyFont="1" applyFill="1" applyBorder="1" applyAlignment="1">
      <alignment horizontal="right" vertical="center"/>
    </xf>
    <xf numFmtId="3" fontId="115" fillId="4" borderId="57" xfId="1" applyNumberFormat="1" applyFont="1" applyFill="1" applyBorder="1" applyAlignment="1">
      <alignment horizontal="right" vertical="center"/>
    </xf>
    <xf numFmtId="3" fontId="78" fillId="4" borderId="25" xfId="61" applyNumberFormat="1" applyFont="1" applyFill="1" applyBorder="1" applyAlignment="1">
      <alignment horizontal="right" vertical="center"/>
    </xf>
    <xf numFmtId="3" fontId="78" fillId="4" borderId="19" xfId="61" applyNumberFormat="1" applyFont="1" applyFill="1" applyBorder="1" applyAlignment="1">
      <alignment horizontal="right" vertical="center"/>
    </xf>
    <xf numFmtId="3" fontId="78" fillId="4" borderId="29" xfId="61" applyNumberFormat="1" applyFont="1" applyFill="1" applyBorder="1" applyAlignment="1">
      <alignment horizontal="right" vertical="center"/>
    </xf>
    <xf numFmtId="3" fontId="115" fillId="4" borderId="19" xfId="105" applyNumberFormat="1" applyFont="1" applyFill="1" applyBorder="1" applyAlignment="1" applyProtection="1">
      <alignment horizontal="right" vertical="center"/>
    </xf>
    <xf numFmtId="3" fontId="115" fillId="4" borderId="32" xfId="105" applyNumberFormat="1" applyFont="1" applyFill="1" applyBorder="1" applyAlignment="1">
      <alignment horizontal="left" vertical="center"/>
    </xf>
    <xf numFmtId="3" fontId="115" fillId="4" borderId="23" xfId="1" applyNumberFormat="1" applyFont="1" applyFill="1" applyBorder="1" applyAlignment="1">
      <alignment horizontal="right" vertical="center"/>
    </xf>
    <xf numFmtId="3" fontId="115" fillId="4" borderId="2" xfId="1" applyNumberFormat="1" applyFont="1" applyFill="1" applyBorder="1" applyAlignment="1">
      <alignment horizontal="right" vertical="center"/>
    </xf>
    <xf numFmtId="3" fontId="78" fillId="4" borderId="154" xfId="1" applyNumberFormat="1" applyFont="1" applyFill="1" applyBorder="1" applyAlignment="1">
      <alignment horizontal="left" vertical="center"/>
    </xf>
    <xf numFmtId="4" fontId="118" fillId="4" borderId="0" xfId="1" applyNumberFormat="1" applyFont="1" applyFill="1" applyAlignment="1">
      <alignment horizontal="right" vertical="center"/>
    </xf>
    <xf numFmtId="4" fontId="78" fillId="4" borderId="34" xfId="1" applyNumberFormat="1" applyFont="1" applyFill="1" applyBorder="1" applyAlignment="1">
      <alignment horizontal="right" vertical="center"/>
    </xf>
    <xf numFmtId="4" fontId="78" fillId="4" borderId="44" xfId="1" applyNumberFormat="1" applyFont="1" applyFill="1" applyBorder="1" applyAlignment="1">
      <alignment horizontal="right" vertical="center"/>
    </xf>
    <xf numFmtId="4" fontId="78" fillId="4" borderId="154" xfId="1" applyNumberFormat="1" applyFont="1" applyFill="1" applyBorder="1" applyAlignment="1">
      <alignment horizontal="left" vertical="center"/>
    </xf>
    <xf numFmtId="3" fontId="118" fillId="4" borderId="0" xfId="1" applyNumberFormat="1" applyFont="1" applyFill="1" applyAlignment="1">
      <alignment horizontal="right" vertical="center"/>
    </xf>
    <xf numFmtId="3" fontId="115" fillId="4" borderId="154" xfId="1" applyNumberFormat="1" applyFont="1" applyFill="1" applyBorder="1" applyAlignment="1">
      <alignment horizontal="left" vertical="center"/>
    </xf>
    <xf numFmtId="3" fontId="78" fillId="4" borderId="153" xfId="1" applyNumberFormat="1" applyFont="1" applyFill="1" applyBorder="1" applyAlignment="1">
      <alignment horizontal="left" vertical="center"/>
    </xf>
    <xf numFmtId="3" fontId="118" fillId="4" borderId="0" xfId="1" applyNumberFormat="1" applyFont="1" applyFill="1" applyAlignment="1">
      <alignment horizontal="center" vertical="center" wrapText="1"/>
    </xf>
    <xf numFmtId="3" fontId="78" fillId="4" borderId="143" xfId="1" applyNumberFormat="1" applyFont="1" applyFill="1" applyBorder="1" applyAlignment="1">
      <alignment horizontal="center" vertical="center" wrapText="1"/>
    </xf>
    <xf numFmtId="3" fontId="115" fillId="4" borderId="24" xfId="1" applyNumberFormat="1" applyFont="1" applyFill="1" applyBorder="1" applyAlignment="1">
      <alignment horizontal="center" vertical="center" wrapText="1"/>
    </xf>
    <xf numFmtId="3" fontId="78" fillId="4" borderId="79" xfId="1" applyNumberFormat="1" applyFont="1" applyFill="1" applyBorder="1" applyAlignment="1">
      <alignment horizontal="left" vertical="center" wrapText="1"/>
    </xf>
    <xf numFmtId="3" fontId="70" fillId="4" borderId="41" xfId="1" applyNumberFormat="1" applyFont="1" applyFill="1" applyBorder="1" applyAlignment="1">
      <alignment horizontal="left" vertical="center"/>
    </xf>
    <xf numFmtId="200" fontId="115" fillId="4" borderId="0" xfId="1" applyNumberFormat="1" applyFont="1" applyFill="1" applyAlignment="1">
      <alignment horizontal="left" vertical="center"/>
    </xf>
    <xf numFmtId="3" fontId="115" fillId="4" borderId="40" xfId="1" applyNumberFormat="1" applyFont="1" applyFill="1" applyBorder="1" applyAlignment="1">
      <alignment horizontal="right" vertical="center"/>
    </xf>
    <xf numFmtId="3" fontId="78" fillId="4" borderId="0" xfId="1" applyNumberFormat="1" applyFont="1" applyFill="1" applyBorder="1" applyAlignment="1">
      <alignment horizontal="left" vertical="center"/>
    </xf>
    <xf numFmtId="189" fontId="15" fillId="0" borderId="58" xfId="61" applyNumberFormat="1" applyFont="1" applyBorder="1" applyAlignment="1" applyProtection="1">
      <alignment vertical="center"/>
    </xf>
    <xf numFmtId="0" fontId="7" fillId="0" borderId="57" xfId="1" applyFont="1" applyBorder="1" applyAlignment="1" applyProtection="1">
      <alignment vertical="center"/>
    </xf>
    <xf numFmtId="0" fontId="6" fillId="0" borderId="2" xfId="1" applyFont="1" applyBorder="1" applyAlignment="1" applyProtection="1">
      <alignment vertical="center"/>
    </xf>
    <xf numFmtId="0" fontId="7" fillId="0" borderId="57" xfId="1" applyFont="1" applyBorder="1" applyAlignment="1" applyProtection="1">
      <alignment horizontal="left" vertical="center"/>
    </xf>
    <xf numFmtId="201" fontId="16" fillId="31" borderId="58" xfId="1" applyNumberFormat="1" applyFont="1" applyFill="1" applyBorder="1" applyAlignment="1" applyProtection="1">
      <alignment horizontal="center" vertical="center"/>
      <protection locked="0"/>
    </xf>
    <xf numFmtId="0" fontId="16" fillId="0" borderId="77" xfId="1" applyFont="1" applyBorder="1" applyAlignment="1" applyProtection="1">
      <alignment vertical="center" wrapText="1"/>
    </xf>
    <xf numFmtId="184" fontId="16" fillId="4" borderId="58" xfId="61" applyNumberFormat="1" applyFont="1" applyFill="1" applyBorder="1" applyAlignment="1" applyProtection="1">
      <alignment horizontal="center" vertical="center"/>
    </xf>
    <xf numFmtId="0" fontId="16" fillId="0" borderId="8" xfId="1" applyFont="1" applyBorder="1" applyAlignment="1" applyProtection="1">
      <alignment vertical="center"/>
    </xf>
    <xf numFmtId="170" fontId="7" fillId="4" borderId="19" xfId="1" applyNumberFormat="1" applyFont="1" applyFill="1" applyBorder="1" applyAlignment="1" applyProtection="1">
      <alignment horizontal="right" vertical="center"/>
    </xf>
    <xf numFmtId="170" fontId="7" fillId="4" borderId="62" xfId="1" applyNumberFormat="1" applyFont="1" applyFill="1" applyBorder="1" applyAlignment="1" applyProtection="1">
      <alignment horizontal="right" vertical="center"/>
    </xf>
    <xf numFmtId="181" fontId="7" fillId="31" borderId="63" xfId="105" applyNumberFormat="1" applyFont="1" applyFill="1" applyBorder="1" applyAlignment="1" applyProtection="1">
      <alignment vertical="center"/>
      <protection locked="0"/>
    </xf>
    <xf numFmtId="0" fontId="7" fillId="27" borderId="0" xfId="1" applyFont="1" applyFill="1" applyBorder="1" applyAlignment="1" applyProtection="1">
      <alignment vertical="center"/>
    </xf>
    <xf numFmtId="170" fontId="7" fillId="27" borderId="62" xfId="1" applyNumberFormat="1" applyFont="1" applyFill="1" applyBorder="1" applyAlignment="1" applyProtection="1">
      <alignment horizontal="right" vertical="center"/>
    </xf>
    <xf numFmtId="181" fontId="7" fillId="31" borderId="67" xfId="105" applyNumberFormat="1" applyFont="1" applyFill="1" applyBorder="1" applyAlignment="1" applyProtection="1">
      <alignment vertical="center"/>
      <protection locked="0"/>
    </xf>
    <xf numFmtId="0" fontId="7" fillId="31" borderId="80" xfId="105" applyFont="1" applyFill="1" applyBorder="1" applyAlignment="1" applyProtection="1">
      <alignment horizontal="left" vertical="center"/>
      <protection locked="0"/>
    </xf>
    <xf numFmtId="0" fontId="7" fillId="31" borderId="61" xfId="105" applyFont="1" applyFill="1" applyBorder="1" applyAlignment="1" applyProtection="1">
      <alignment vertical="center"/>
      <protection locked="0"/>
    </xf>
    <xf numFmtId="0" fontId="7" fillId="4" borderId="40" xfId="105" applyFont="1" applyFill="1" applyBorder="1" applyAlignment="1" applyProtection="1">
      <alignment vertical="center"/>
    </xf>
    <xf numFmtId="170" fontId="7" fillId="4" borderId="66" xfId="1" applyNumberFormat="1" applyFont="1" applyFill="1" applyBorder="1" applyAlignment="1" applyProtection="1">
      <alignment horizontal="right" vertical="center"/>
    </xf>
    <xf numFmtId="170" fontId="7" fillId="27" borderId="66" xfId="1" applyNumberFormat="1" applyFont="1" applyFill="1" applyBorder="1" applyAlignment="1" applyProtection="1">
      <alignment horizontal="right" vertical="center"/>
    </xf>
    <xf numFmtId="0" fontId="7" fillId="31" borderId="155" xfId="105" applyFont="1" applyFill="1" applyBorder="1" applyAlignment="1" applyProtection="1">
      <alignment horizontal="left" vertical="center"/>
      <protection locked="0"/>
    </xf>
    <xf numFmtId="0" fontId="7" fillId="31" borderId="117" xfId="105" applyFont="1" applyFill="1" applyBorder="1" applyAlignment="1" applyProtection="1">
      <alignment vertical="center"/>
      <protection locked="0"/>
    </xf>
    <xf numFmtId="189" fontId="15" fillId="0" borderId="19" xfId="61" applyNumberFormat="1" applyFont="1" applyBorder="1" applyAlignment="1" applyProtection="1">
      <alignment vertical="center"/>
    </xf>
    <xf numFmtId="188" fontId="10" fillId="0" borderId="156" xfId="1" applyNumberFormat="1" applyFont="1" applyBorder="1" applyAlignment="1" applyProtection="1">
      <alignment horizontal="center" vertical="center"/>
    </xf>
    <xf numFmtId="188" fontId="10" fillId="0" borderId="91" xfId="1" applyNumberFormat="1" applyFont="1" applyBorder="1" applyAlignment="1" applyProtection="1">
      <alignment horizontal="center" vertical="center"/>
    </xf>
    <xf numFmtId="189" fontId="15" fillId="27" borderId="0" xfId="61" applyNumberFormat="1" applyFont="1" applyFill="1" applyBorder="1" applyAlignment="1" applyProtection="1">
      <alignment horizontal="center" vertical="center"/>
    </xf>
    <xf numFmtId="188" fontId="10" fillId="27" borderId="156" xfId="1" applyNumberFormat="1" applyFont="1" applyFill="1" applyBorder="1" applyAlignment="1" applyProtection="1">
      <alignment horizontal="center" vertical="center"/>
    </xf>
    <xf numFmtId="188" fontId="10" fillId="27" borderId="91" xfId="1" applyNumberFormat="1" applyFont="1" applyFill="1" applyBorder="1" applyAlignment="1" applyProtection="1">
      <alignment horizontal="center" vertical="center"/>
    </xf>
    <xf numFmtId="189" fontId="15" fillId="0" borderId="0" xfId="61" applyNumberFormat="1" applyFont="1" applyBorder="1" applyAlignment="1" applyProtection="1">
      <alignment horizontal="center" vertical="center"/>
    </xf>
    <xf numFmtId="0" fontId="10" fillId="0" borderId="156" xfId="105" applyFont="1" applyBorder="1" applyAlignment="1" applyProtection="1">
      <alignment horizontal="center" vertical="center"/>
    </xf>
    <xf numFmtId="0" fontId="10" fillId="0" borderId="118" xfId="105" applyFont="1" applyBorder="1" applyAlignment="1" applyProtection="1">
      <alignment horizontal="center" vertical="center"/>
    </xf>
    <xf numFmtId="0" fontId="17" fillId="0" borderId="89" xfId="105" applyFont="1" applyBorder="1" applyAlignment="1" applyProtection="1">
      <alignment horizontal="left" vertical="center"/>
    </xf>
    <xf numFmtId="202" fontId="7" fillId="4" borderId="90" xfId="1" applyNumberFormat="1" applyFont="1" applyFill="1" applyBorder="1" applyAlignment="1" applyProtection="1">
      <alignment horizontal="center" vertical="center"/>
    </xf>
    <xf numFmtId="0" fontId="10" fillId="0" borderId="90" xfId="1" applyFont="1" applyBorder="1" applyProtection="1"/>
    <xf numFmtId="202" fontId="7" fillId="4" borderId="9" xfId="1" applyNumberFormat="1" applyFont="1" applyFill="1" applyBorder="1" applyAlignment="1" applyProtection="1">
      <alignment horizontal="center" vertical="center"/>
    </xf>
    <xf numFmtId="0" fontId="7" fillId="0" borderId="119" xfId="1" applyFont="1" applyBorder="1" applyAlignment="1" applyProtection="1">
      <alignment horizontal="left" vertical="center"/>
    </xf>
    <xf numFmtId="0" fontId="7" fillId="0" borderId="91" xfId="105" applyFont="1" applyBorder="1" applyAlignment="1" applyProtection="1">
      <alignment vertical="center"/>
    </xf>
    <xf numFmtId="189" fontId="15" fillId="0" borderId="42" xfId="61" applyNumberFormat="1" applyFont="1" applyBorder="1" applyAlignment="1" applyProtection="1">
      <alignment vertical="center"/>
    </xf>
    <xf numFmtId="188" fontId="17" fillId="0" borderId="0" xfId="1" applyNumberFormat="1" applyFont="1" applyBorder="1" applyAlignment="1" applyProtection="1">
      <alignment vertical="center"/>
    </xf>
    <xf numFmtId="188" fontId="17" fillId="0" borderId="40" xfId="1" applyNumberFormat="1" applyFont="1" applyBorder="1" applyAlignment="1" applyProtection="1">
      <alignment vertical="center"/>
    </xf>
    <xf numFmtId="189" fontId="15" fillId="27" borderId="42" xfId="61" applyNumberFormat="1" applyFont="1" applyFill="1" applyBorder="1" applyAlignment="1" applyProtection="1">
      <alignment vertical="center"/>
    </xf>
    <xf numFmtId="188" fontId="17" fillId="27" borderId="0" xfId="1" applyNumberFormat="1" applyFont="1" applyFill="1" applyBorder="1" applyAlignment="1" applyProtection="1">
      <alignment vertical="center"/>
    </xf>
    <xf numFmtId="188" fontId="17" fillId="27" borderId="40" xfId="1" applyNumberFormat="1" applyFont="1" applyFill="1" applyBorder="1" applyAlignment="1" applyProtection="1">
      <alignment vertical="center"/>
    </xf>
    <xf numFmtId="0" fontId="17" fillId="0" borderId="19" xfId="105" applyFont="1" applyBorder="1" applyAlignment="1" applyProtection="1">
      <alignment horizontal="left" vertical="center"/>
    </xf>
    <xf numFmtId="189" fontId="15" fillId="0" borderId="44" xfId="61" applyNumberFormat="1" applyFont="1" applyBorder="1" applyAlignment="1" applyProtection="1">
      <alignment vertical="center"/>
    </xf>
    <xf numFmtId="0" fontId="7" fillId="0" borderId="2" xfId="1" applyFont="1" applyBorder="1" applyAlignment="1" applyProtection="1">
      <alignment horizontal="center" vertical="center"/>
    </xf>
    <xf numFmtId="3" fontId="7" fillId="4" borderId="39" xfId="1" applyNumberFormat="1" applyFont="1" applyFill="1" applyBorder="1" applyAlignment="1" applyProtection="1">
      <alignment horizontal="right" vertical="center"/>
    </xf>
    <xf numFmtId="189" fontId="15" fillId="27" borderId="44" xfId="61" applyNumberFormat="1" applyFont="1" applyFill="1" applyBorder="1" applyAlignment="1" applyProtection="1">
      <alignment vertical="center"/>
    </xf>
    <xf numFmtId="0" fontId="7" fillId="27" borderId="2" xfId="1" applyFont="1" applyFill="1" applyBorder="1" applyAlignment="1" applyProtection="1">
      <alignment horizontal="center" vertical="center"/>
    </xf>
    <xf numFmtId="3" fontId="7" fillId="27" borderId="39" xfId="1" applyNumberFormat="1" applyFont="1" applyFill="1" applyBorder="1" applyAlignment="1" applyProtection="1">
      <alignment horizontal="right" vertical="center"/>
    </xf>
    <xf numFmtId="0" fontId="17" fillId="0" borderId="2" xfId="105" applyFont="1" applyBorder="1" applyAlignment="1" applyProtection="1">
      <alignment horizontal="left" vertical="center"/>
    </xf>
    <xf numFmtId="190" fontId="7" fillId="4" borderId="157" xfId="105" applyNumberFormat="1" applyFont="1" applyFill="1" applyBorder="1" applyAlignment="1" applyProtection="1">
      <alignment vertical="center"/>
    </xf>
    <xf numFmtId="0" fontId="7" fillId="27" borderId="0" xfId="1" applyFont="1" applyFill="1" applyBorder="1" applyAlignment="1" applyProtection="1">
      <alignment horizontal="center" vertical="center"/>
    </xf>
    <xf numFmtId="0" fontId="7" fillId="27" borderId="0" xfId="1" applyFont="1" applyFill="1" applyBorder="1" applyAlignment="1" applyProtection="1">
      <alignment horizontal="left" vertical="center"/>
    </xf>
    <xf numFmtId="182" fontId="7" fillId="4" borderId="157" xfId="61" applyNumberFormat="1" applyFont="1" applyFill="1" applyBorder="1" applyAlignment="1" applyProtection="1">
      <alignment vertical="center"/>
    </xf>
    <xf numFmtId="188" fontId="15" fillId="0" borderId="44" xfId="1" applyNumberFormat="1" applyFont="1" applyBorder="1" applyAlignment="1" applyProtection="1">
      <alignment horizontal="right" vertical="center"/>
    </xf>
    <xf numFmtId="0" fontId="7" fillId="31" borderId="157" xfId="1" applyFont="1" applyFill="1" applyBorder="1" applyAlignment="1" applyProtection="1">
      <alignment horizontal="center" vertical="center"/>
      <protection locked="0"/>
    </xf>
    <xf numFmtId="177" fontId="7" fillId="31" borderId="39" xfId="105" applyNumberFormat="1" applyFont="1" applyFill="1" applyBorder="1" applyAlignment="1" applyProtection="1">
      <alignment horizontal="center" vertical="center"/>
      <protection locked="0"/>
    </xf>
    <xf numFmtId="188" fontId="15" fillId="27" borderId="44" xfId="1" applyNumberFormat="1" applyFont="1" applyFill="1" applyBorder="1" applyAlignment="1" applyProtection="1">
      <alignment horizontal="right" vertical="center"/>
    </xf>
    <xf numFmtId="0" fontId="7" fillId="31" borderId="62" xfId="1" applyFont="1" applyFill="1" applyBorder="1" applyAlignment="1" applyProtection="1">
      <alignment vertical="center"/>
      <protection locked="0"/>
    </xf>
    <xf numFmtId="0" fontId="10" fillId="0" borderId="39" xfId="1" applyFont="1" applyBorder="1" applyProtection="1"/>
    <xf numFmtId="0" fontId="21" fillId="0" borderId="156" xfId="105" applyFont="1" applyBorder="1" applyAlignment="1" applyProtection="1">
      <alignment horizontal="center" vertical="center" wrapText="1"/>
    </xf>
    <xf numFmtId="0" fontId="10" fillId="0" borderId="91" xfId="105" applyFont="1" applyBorder="1" applyAlignment="1" applyProtection="1">
      <alignment horizontal="center" vertical="center"/>
    </xf>
    <xf numFmtId="0" fontId="21" fillId="27" borderId="156" xfId="105" applyFont="1" applyFill="1" applyBorder="1" applyAlignment="1" applyProtection="1">
      <alignment horizontal="center" vertical="center" wrapText="1"/>
    </xf>
    <xf numFmtId="0" fontId="10" fillId="27" borderId="91" xfId="105" applyFont="1" applyFill="1" applyBorder="1" applyAlignment="1" applyProtection="1">
      <alignment horizontal="center" vertical="center"/>
    </xf>
    <xf numFmtId="202" fontId="7" fillId="4" borderId="0" xfId="1" applyNumberFormat="1" applyFont="1" applyFill="1" applyBorder="1" applyAlignment="1" applyProtection="1">
      <alignment horizontal="center" vertical="center"/>
    </xf>
    <xf numFmtId="203" fontId="7" fillId="0" borderId="2" xfId="1" applyNumberFormat="1" applyFont="1" applyBorder="1" applyAlignment="1" applyProtection="1">
      <alignment horizontal="right" vertical="center"/>
    </xf>
    <xf numFmtId="203" fontId="7" fillId="31" borderId="39" xfId="1" applyNumberFormat="1" applyFont="1" applyFill="1" applyBorder="1" applyAlignment="1" applyProtection="1">
      <alignment horizontal="right" vertical="center"/>
      <protection locked="0"/>
    </xf>
    <xf numFmtId="203" fontId="7" fillId="27" borderId="2" xfId="1" applyNumberFormat="1" applyFont="1" applyFill="1" applyBorder="1" applyAlignment="1" applyProtection="1">
      <alignment horizontal="right" vertical="center"/>
    </xf>
    <xf numFmtId="0" fontId="17" fillId="0" borderId="44" xfId="105" applyFont="1" applyBorder="1" applyAlignment="1" applyProtection="1">
      <alignment horizontal="left" vertical="center"/>
    </xf>
    <xf numFmtId="180" fontId="7" fillId="31" borderId="157" xfId="105" applyNumberFormat="1" applyFont="1" applyFill="1" applyBorder="1" applyAlignment="1" applyProtection="1">
      <alignment vertical="center"/>
      <protection locked="0"/>
    </xf>
    <xf numFmtId="0" fontId="17" fillId="0" borderId="39" xfId="105" applyFont="1" applyBorder="1" applyAlignment="1" applyProtection="1">
      <alignment vertical="center"/>
    </xf>
    <xf numFmtId="170" fontId="7" fillId="0" borderId="44" xfId="1" applyNumberFormat="1" applyFont="1" applyFill="1" applyBorder="1" applyAlignment="1" applyProtection="1">
      <alignment horizontal="right" vertical="center"/>
    </xf>
    <xf numFmtId="170" fontId="7" fillId="0" borderId="2" xfId="1" applyNumberFormat="1" applyFont="1" applyFill="1" applyBorder="1" applyAlignment="1" applyProtection="1">
      <alignment horizontal="right" vertical="center"/>
    </xf>
    <xf numFmtId="188" fontId="7" fillId="0" borderId="39" xfId="1" applyNumberFormat="1" applyFont="1" applyFill="1" applyBorder="1" applyAlignment="1" applyProtection="1">
      <alignment horizontal="right" vertical="center"/>
    </xf>
    <xf numFmtId="170" fontId="7" fillId="27" borderId="44" xfId="61" applyNumberFormat="1" applyFont="1" applyFill="1" applyBorder="1" applyAlignment="1" applyProtection="1">
      <alignment vertical="center"/>
    </xf>
    <xf numFmtId="170" fontId="7" fillId="27" borderId="2" xfId="1" applyNumberFormat="1" applyFont="1" applyFill="1" applyBorder="1" applyAlignment="1" applyProtection="1">
      <alignment horizontal="right" vertical="center"/>
    </xf>
    <xf numFmtId="188" fontId="7" fillId="27" borderId="39" xfId="1" applyNumberFormat="1" applyFont="1" applyFill="1" applyBorder="1" applyAlignment="1" applyProtection="1">
      <alignment horizontal="right" vertical="center"/>
    </xf>
    <xf numFmtId="204" fontId="7" fillId="4" borderId="44" xfId="1" applyNumberFormat="1" applyFont="1" applyFill="1" applyBorder="1" applyAlignment="1" applyProtection="1">
      <alignment horizontal="right" vertical="center"/>
    </xf>
    <xf numFmtId="204" fontId="7" fillId="4" borderId="62" xfId="1" applyNumberFormat="1" applyFont="1" applyFill="1" applyBorder="1" applyAlignment="1" applyProtection="1">
      <alignment horizontal="right" vertical="center"/>
    </xf>
    <xf numFmtId="0" fontId="7" fillId="4" borderId="39" xfId="1" applyFont="1" applyFill="1" applyBorder="1" applyAlignment="1" applyProtection="1">
      <alignment vertical="center"/>
    </xf>
    <xf numFmtId="170" fontId="7" fillId="0" borderId="89" xfId="1" applyNumberFormat="1" applyFont="1" applyFill="1" applyBorder="1" applyAlignment="1" applyProtection="1">
      <alignment horizontal="right" vertical="center"/>
    </xf>
    <xf numFmtId="170" fontId="7" fillId="0" borderId="90" xfId="1" applyNumberFormat="1" applyFont="1" applyFill="1" applyBorder="1" applyAlignment="1" applyProtection="1">
      <alignment horizontal="right" vertical="center"/>
    </xf>
    <xf numFmtId="188" fontId="7" fillId="0" borderId="91" xfId="1" applyNumberFormat="1" applyFont="1" applyFill="1" applyBorder="1" applyAlignment="1" applyProtection="1">
      <alignment horizontal="right" vertical="center"/>
    </xf>
    <xf numFmtId="0" fontId="7" fillId="27" borderId="90" xfId="1" applyFont="1" applyFill="1" applyBorder="1" applyAlignment="1" applyProtection="1">
      <alignment vertical="center"/>
    </xf>
    <xf numFmtId="170" fontId="7" fillId="27" borderId="90" xfId="1" applyNumberFormat="1" applyFont="1" applyFill="1" applyBorder="1" applyAlignment="1" applyProtection="1">
      <alignment horizontal="right" vertical="center"/>
    </xf>
    <xf numFmtId="188" fontId="7" fillId="27" borderId="91" xfId="1" applyNumberFormat="1" applyFont="1" applyFill="1" applyBorder="1" applyAlignment="1" applyProtection="1">
      <alignment horizontal="right" vertical="center"/>
    </xf>
    <xf numFmtId="0" fontId="7" fillId="0" borderId="90" xfId="1" applyFont="1" applyFill="1" applyBorder="1" applyAlignment="1" applyProtection="1">
      <alignment vertical="center"/>
    </xf>
    <xf numFmtId="170" fontId="7" fillId="4" borderId="89" xfId="1" applyNumberFormat="1" applyFont="1" applyFill="1" applyBorder="1" applyAlignment="1" applyProtection="1">
      <alignment horizontal="right" vertical="center"/>
    </xf>
    <xf numFmtId="188" fontId="7" fillId="4" borderId="156" xfId="1" applyNumberFormat="1" applyFont="1" applyFill="1" applyBorder="1" applyAlignment="1" applyProtection="1">
      <alignment horizontal="right" vertical="center"/>
    </xf>
    <xf numFmtId="0" fontId="7" fillId="4" borderId="91" xfId="105" applyFont="1" applyFill="1" applyBorder="1" applyAlignment="1" applyProtection="1">
      <alignment vertical="center"/>
    </xf>
    <xf numFmtId="170" fontId="7" fillId="0" borderId="19" xfId="1" applyNumberFormat="1" applyFont="1" applyFill="1" applyBorder="1" applyAlignment="1" applyProtection="1">
      <alignment horizontal="right" vertical="center"/>
    </xf>
    <xf numFmtId="170" fontId="7" fillId="0" borderId="0" xfId="1" applyNumberFormat="1" applyFont="1" applyFill="1" applyBorder="1" applyAlignment="1" applyProtection="1">
      <alignment horizontal="right" vertical="center"/>
    </xf>
    <xf numFmtId="188" fontId="7" fillId="0" borderId="40" xfId="1" applyNumberFormat="1" applyFont="1" applyFill="1" applyBorder="1" applyAlignment="1" applyProtection="1">
      <alignment horizontal="right" vertical="center"/>
    </xf>
    <xf numFmtId="170" fontId="7" fillId="27" borderId="0" xfId="1" applyNumberFormat="1" applyFont="1" applyFill="1" applyBorder="1" applyAlignment="1" applyProtection="1">
      <alignment horizontal="right" vertical="center"/>
    </xf>
    <xf numFmtId="188" fontId="7" fillId="27" borderId="40" xfId="1" applyNumberFormat="1" applyFont="1" applyFill="1" applyBorder="1" applyAlignment="1" applyProtection="1">
      <alignment horizontal="right" vertical="center"/>
    </xf>
    <xf numFmtId="170" fontId="7" fillId="4" borderId="104" xfId="1" applyNumberFormat="1" applyFont="1" applyFill="1" applyBorder="1" applyAlignment="1" applyProtection="1">
      <alignment horizontal="right" vertical="center"/>
    </xf>
    <xf numFmtId="188" fontId="7" fillId="4" borderId="158" xfId="1" applyNumberFormat="1" applyFont="1" applyFill="1" applyBorder="1" applyAlignment="1" applyProtection="1">
      <alignment horizontal="right" vertical="center"/>
    </xf>
    <xf numFmtId="189" fontId="15" fillId="0" borderId="19" xfId="61" applyNumberFormat="1" applyFont="1" applyFill="1" applyBorder="1" applyAlignment="1" applyProtection="1">
      <alignment vertical="center"/>
    </xf>
    <xf numFmtId="188" fontId="14" fillId="0" borderId="0" xfId="1" applyNumberFormat="1" applyFont="1" applyFill="1" applyBorder="1" applyAlignment="1" applyProtection="1">
      <alignment horizontal="right" vertical="center"/>
    </xf>
    <xf numFmtId="188" fontId="14" fillId="0" borderId="40" xfId="1" applyNumberFormat="1" applyFont="1" applyFill="1" applyBorder="1" applyAlignment="1" applyProtection="1">
      <alignment horizontal="right" vertical="center"/>
    </xf>
    <xf numFmtId="189" fontId="15" fillId="27" borderId="0" xfId="61" applyNumberFormat="1" applyFont="1" applyFill="1" applyBorder="1" applyAlignment="1" applyProtection="1">
      <alignment vertical="center"/>
    </xf>
    <xf numFmtId="188" fontId="14" fillId="27" borderId="0" xfId="1" applyNumberFormat="1" applyFont="1" applyFill="1" applyBorder="1" applyAlignment="1" applyProtection="1">
      <alignment horizontal="right" vertical="center"/>
    </xf>
    <xf numFmtId="188" fontId="14" fillId="27" borderId="40" xfId="1" applyNumberFormat="1" applyFont="1" applyFill="1" applyBorder="1" applyAlignment="1" applyProtection="1">
      <alignment horizontal="right" vertical="center"/>
    </xf>
    <xf numFmtId="189" fontId="15" fillId="0" borderId="0" xfId="61" applyNumberFormat="1" applyFont="1" applyFill="1" applyBorder="1" applyAlignment="1" applyProtection="1">
      <alignment vertical="center"/>
    </xf>
    <xf numFmtId="0" fontId="10" fillId="0" borderId="159" xfId="105" applyFont="1" applyBorder="1" applyAlignment="1" applyProtection="1">
      <alignment horizontal="center" vertical="center"/>
    </xf>
    <xf numFmtId="202" fontId="7" fillId="4" borderId="156" xfId="1" applyNumberFormat="1" applyFont="1" applyFill="1" applyBorder="1" applyAlignment="1" applyProtection="1">
      <alignment horizontal="center" vertical="center"/>
    </xf>
    <xf numFmtId="189" fontId="15" fillId="0" borderId="42" xfId="61" applyNumberFormat="1" applyFont="1" applyFill="1" applyBorder="1" applyAlignment="1" applyProtection="1">
      <alignment vertical="center"/>
    </xf>
    <xf numFmtId="0" fontId="17" fillId="0" borderId="83" xfId="105" applyFont="1" applyBorder="1" applyAlignment="1" applyProtection="1">
      <alignment horizontal="left" vertical="center"/>
    </xf>
    <xf numFmtId="170" fontId="14" fillId="0" borderId="44" xfId="1" applyNumberFormat="1" applyFont="1" applyBorder="1" applyAlignment="1" applyProtection="1">
      <alignment horizontal="right" vertical="center"/>
    </xf>
    <xf numFmtId="205" fontId="15" fillId="0" borderId="2" xfId="61" applyNumberFormat="1" applyFont="1" applyBorder="1" applyAlignment="1" applyProtection="1">
      <alignment vertical="center"/>
    </xf>
    <xf numFmtId="178" fontId="14" fillId="0" borderId="2" xfId="1" applyNumberFormat="1" applyFont="1" applyBorder="1" applyAlignment="1" applyProtection="1">
      <alignment horizontal="right" vertical="center"/>
    </xf>
    <xf numFmtId="170" fontId="14" fillId="27" borderId="44" xfId="1" applyNumberFormat="1" applyFont="1" applyFill="1" applyBorder="1" applyAlignment="1" applyProtection="1">
      <alignment horizontal="right" vertical="center"/>
    </xf>
    <xf numFmtId="205" fontId="15" fillId="27" borderId="2" xfId="61" applyNumberFormat="1" applyFont="1" applyFill="1" applyBorder="1" applyAlignment="1" applyProtection="1">
      <alignment vertical="center"/>
    </xf>
    <xf numFmtId="178" fontId="14" fillId="27" borderId="2" xfId="1" applyNumberFormat="1" applyFont="1" applyFill="1" applyBorder="1" applyAlignment="1" applyProtection="1">
      <alignment horizontal="right" vertical="center"/>
    </xf>
    <xf numFmtId="0" fontId="10" fillId="0" borderId="44" xfId="1" applyFont="1" applyBorder="1" applyProtection="1"/>
    <xf numFmtId="172" fontId="7" fillId="31" borderId="157" xfId="105" applyNumberFormat="1" applyFont="1" applyFill="1" applyBorder="1" applyAlignment="1" applyProtection="1">
      <alignment vertical="center"/>
      <protection locked="0"/>
    </xf>
    <xf numFmtId="0" fontId="15" fillId="0" borderId="39" xfId="105" applyFont="1" applyBorder="1" applyAlignment="1" applyProtection="1">
      <alignment vertical="center"/>
    </xf>
    <xf numFmtId="170" fontId="17" fillId="0" borderId="19" xfId="61" applyNumberFormat="1" applyFont="1" applyBorder="1" applyAlignment="1" applyProtection="1">
      <alignment vertical="center"/>
    </xf>
    <xf numFmtId="205" fontId="17" fillId="0" borderId="0" xfId="61" applyNumberFormat="1" applyFont="1" applyBorder="1" applyAlignment="1" applyProtection="1">
      <alignment vertical="center"/>
    </xf>
    <xf numFmtId="178" fontId="7" fillId="0" borderId="40" xfId="1" applyNumberFormat="1" applyFont="1" applyBorder="1" applyAlignment="1" applyProtection="1">
      <alignment horizontal="right" vertical="center"/>
    </xf>
    <xf numFmtId="170" fontId="17" fillId="27" borderId="19" xfId="61" applyNumberFormat="1" applyFont="1" applyFill="1" applyBorder="1" applyAlignment="1" applyProtection="1">
      <alignment vertical="center"/>
    </xf>
    <xf numFmtId="205" fontId="17" fillId="27" borderId="0" xfId="61" applyNumberFormat="1" applyFont="1" applyFill="1" applyBorder="1" applyAlignment="1" applyProtection="1">
      <alignment vertical="center"/>
    </xf>
    <xf numFmtId="178" fontId="7" fillId="27" borderId="40" xfId="1" applyNumberFormat="1" applyFont="1" applyFill="1" applyBorder="1" applyAlignment="1" applyProtection="1">
      <alignment horizontal="right" vertical="center"/>
    </xf>
    <xf numFmtId="170" fontId="10" fillId="0" borderId="0" xfId="1" applyNumberFormat="1" applyFont="1" applyBorder="1" applyAlignment="1" applyProtection="1">
      <alignment vertical="center"/>
    </xf>
    <xf numFmtId="170" fontId="7" fillId="0" borderId="44" xfId="61" applyNumberFormat="1" applyFont="1" applyBorder="1" applyAlignment="1" applyProtection="1">
      <alignment vertical="center"/>
    </xf>
    <xf numFmtId="199" fontId="7" fillId="0" borderId="62" xfId="105" applyNumberFormat="1" applyFont="1" applyBorder="1" applyAlignment="1" applyProtection="1">
      <alignment vertical="center"/>
    </xf>
    <xf numFmtId="206" fontId="7" fillId="31" borderId="39" xfId="105" applyNumberFormat="1" applyFont="1" applyFill="1" applyBorder="1" applyAlignment="1" applyProtection="1">
      <alignment vertical="center"/>
      <protection locked="0"/>
    </xf>
    <xf numFmtId="199" fontId="7" fillId="27" borderId="62" xfId="105" applyNumberFormat="1" applyFont="1" applyFill="1" applyBorder="1" applyAlignment="1" applyProtection="1">
      <alignment vertical="center"/>
    </xf>
    <xf numFmtId="176" fontId="7" fillId="4" borderId="61" xfId="105" applyNumberFormat="1" applyFont="1" applyFill="1" applyBorder="1" applyAlignment="1" applyProtection="1">
      <alignment vertical="center"/>
    </xf>
    <xf numFmtId="206" fontId="7" fillId="4" borderId="61" xfId="105" applyNumberFormat="1" applyFont="1" applyFill="1" applyBorder="1" applyAlignment="1" applyProtection="1">
      <alignment vertical="center"/>
    </xf>
    <xf numFmtId="206" fontId="7" fillId="4" borderId="61" xfId="105" applyNumberFormat="1" applyFont="1" applyFill="1" applyBorder="1" applyAlignment="1" applyProtection="1">
      <alignment horizontal="center" vertical="center"/>
    </xf>
    <xf numFmtId="170" fontId="119" fillId="0" borderId="89" xfId="1" applyNumberFormat="1" applyFont="1" applyBorder="1" applyAlignment="1" applyProtection="1">
      <alignment horizontal="right" vertical="center"/>
    </xf>
    <xf numFmtId="199" fontId="119" fillId="0" borderId="156" xfId="105" applyNumberFormat="1" applyFont="1" applyBorder="1" applyAlignment="1" applyProtection="1">
      <alignment horizontal="right" vertical="center"/>
    </xf>
    <xf numFmtId="206" fontId="119" fillId="31" borderId="91" xfId="105" applyNumberFormat="1" applyFont="1" applyFill="1" applyBorder="1" applyAlignment="1" applyProtection="1">
      <alignment horizontal="right" vertical="center"/>
      <protection locked="0"/>
    </xf>
    <xf numFmtId="170" fontId="119" fillId="27" borderId="89" xfId="1" applyNumberFormat="1" applyFont="1" applyFill="1" applyBorder="1" applyAlignment="1" applyProtection="1">
      <alignment horizontal="right" vertical="center"/>
    </xf>
    <xf numFmtId="199" fontId="119" fillId="27" borderId="156" xfId="105" applyNumberFormat="1" applyFont="1" applyFill="1" applyBorder="1" applyAlignment="1" applyProtection="1">
      <alignment horizontal="right" vertical="center"/>
    </xf>
    <xf numFmtId="176" fontId="119" fillId="4" borderId="118" xfId="105" applyNumberFormat="1" applyFont="1" applyFill="1" applyBorder="1" applyAlignment="1" applyProtection="1">
      <alignment vertical="center"/>
    </xf>
    <xf numFmtId="206" fontId="119" fillId="4" borderId="118" xfId="105" applyNumberFormat="1" applyFont="1" applyFill="1" applyBorder="1" applyAlignment="1" applyProtection="1">
      <alignment vertical="center"/>
    </xf>
    <xf numFmtId="206" fontId="119" fillId="4" borderId="118" xfId="105" applyNumberFormat="1" applyFont="1" applyFill="1" applyBorder="1" applyAlignment="1" applyProtection="1">
      <alignment horizontal="center" vertical="center"/>
    </xf>
    <xf numFmtId="0" fontId="119" fillId="4" borderId="91" xfId="1" applyFont="1" applyFill="1" applyBorder="1" applyAlignment="1" applyProtection="1">
      <alignment vertical="center"/>
    </xf>
    <xf numFmtId="170" fontId="7" fillId="0" borderId="19" xfId="1" applyNumberFormat="1" applyFont="1" applyBorder="1" applyAlignment="1" applyProtection="1">
      <alignment horizontal="right" vertical="center"/>
    </xf>
    <xf numFmtId="199" fontId="7" fillId="0" borderId="66" xfId="105" applyNumberFormat="1" applyFont="1" applyBorder="1" applyAlignment="1" applyProtection="1">
      <alignment horizontal="right" vertical="center"/>
    </xf>
    <xf numFmtId="206" fontId="7" fillId="31" borderId="40" xfId="105" applyNumberFormat="1" applyFont="1" applyFill="1" applyBorder="1" applyAlignment="1" applyProtection="1">
      <alignment horizontal="right" vertical="center"/>
      <protection locked="0"/>
    </xf>
    <xf numFmtId="170" fontId="7" fillId="27" borderId="19" xfId="1" applyNumberFormat="1" applyFont="1" applyFill="1" applyBorder="1" applyAlignment="1" applyProtection="1">
      <alignment horizontal="right" vertical="center"/>
    </xf>
    <xf numFmtId="199" fontId="7" fillId="27" borderId="66" xfId="105" applyNumberFormat="1" applyFont="1" applyFill="1" applyBorder="1" applyAlignment="1" applyProtection="1">
      <alignment horizontal="right" vertical="center"/>
    </xf>
    <xf numFmtId="176" fontId="7" fillId="4" borderId="65" xfId="105" applyNumberFormat="1" applyFont="1" applyFill="1" applyBorder="1" applyAlignment="1" applyProtection="1">
      <alignment vertical="center"/>
    </xf>
    <xf numFmtId="206" fontId="7" fillId="4" borderId="65" xfId="105" applyNumberFormat="1" applyFont="1" applyFill="1" applyBorder="1" applyAlignment="1" applyProtection="1">
      <alignment vertical="center"/>
    </xf>
    <xf numFmtId="206" fontId="7" fillId="4" borderId="65" xfId="105" applyNumberFormat="1" applyFont="1" applyFill="1" applyBorder="1" applyAlignment="1" applyProtection="1">
      <alignment horizontal="center" vertical="center"/>
    </xf>
    <xf numFmtId="0" fontId="7" fillId="4" borderId="40" xfId="1" applyFont="1" applyFill="1" applyBorder="1" applyAlignment="1" applyProtection="1">
      <alignment vertical="center"/>
    </xf>
    <xf numFmtId="199" fontId="7" fillId="0" borderId="66" xfId="1" applyNumberFormat="1" applyFont="1" applyBorder="1" applyAlignment="1" applyProtection="1">
      <alignment horizontal="right" vertical="center"/>
    </xf>
    <xf numFmtId="206" fontId="7" fillId="31" borderId="40" xfId="1" applyNumberFormat="1" applyFont="1" applyFill="1" applyBorder="1" applyAlignment="1" applyProtection="1">
      <alignment horizontal="right" vertical="center"/>
      <protection locked="0"/>
    </xf>
    <xf numFmtId="199" fontId="7" fillId="27" borderId="66" xfId="1" applyNumberFormat="1" applyFont="1" applyFill="1" applyBorder="1" applyAlignment="1" applyProtection="1">
      <alignment horizontal="right" vertical="center"/>
    </xf>
    <xf numFmtId="0" fontId="7" fillId="4" borderId="99" xfId="1" applyFont="1" applyFill="1" applyBorder="1" applyAlignment="1" applyProtection="1">
      <alignment vertical="center"/>
    </xf>
    <xf numFmtId="188" fontId="10" fillId="0" borderId="89" xfId="1" applyNumberFormat="1" applyFont="1" applyBorder="1" applyAlignment="1" applyProtection="1">
      <alignment horizontal="center" vertical="center"/>
    </xf>
    <xf numFmtId="178" fontId="7" fillId="0" borderId="91" xfId="1" applyNumberFormat="1" applyFont="1" applyBorder="1" applyAlignment="1" applyProtection="1">
      <alignment horizontal="center" vertical="center"/>
    </xf>
    <xf numFmtId="188" fontId="10" fillId="27" borderId="89" xfId="1" applyNumberFormat="1" applyFont="1" applyFill="1" applyBorder="1" applyAlignment="1" applyProtection="1">
      <alignment horizontal="center" vertical="center"/>
    </xf>
    <xf numFmtId="0" fontId="10" fillId="27" borderId="156" xfId="105" applyFont="1" applyFill="1" applyBorder="1" applyAlignment="1" applyProtection="1">
      <alignment horizontal="center" vertical="center"/>
    </xf>
    <xf numFmtId="178" fontId="7" fillId="27" borderId="91" xfId="1" applyNumberFormat="1" applyFont="1" applyFill="1" applyBorder="1" applyAlignment="1" applyProtection="1">
      <alignment horizontal="center" vertical="center"/>
    </xf>
    <xf numFmtId="0" fontId="7" fillId="0" borderId="90" xfId="105" applyFont="1" applyBorder="1" applyAlignment="1" applyProtection="1">
      <alignment vertical="center"/>
    </xf>
    <xf numFmtId="170" fontId="14" fillId="0" borderId="19" xfId="61" applyNumberFormat="1" applyFont="1" applyBorder="1" applyAlignment="1" applyProtection="1">
      <alignment vertical="center"/>
    </xf>
    <xf numFmtId="0" fontId="7" fillId="0" borderId="66" xfId="1" applyFont="1" applyBorder="1" applyAlignment="1" applyProtection="1">
      <alignment horizontal="center" vertical="center"/>
    </xf>
    <xf numFmtId="170" fontId="14" fillId="27" borderId="19" xfId="61" applyNumberFormat="1" applyFont="1" applyFill="1" applyBorder="1" applyAlignment="1" applyProtection="1">
      <alignment vertical="center"/>
    </xf>
    <xf numFmtId="0" fontId="7" fillId="27" borderId="66" xfId="1" applyFont="1" applyFill="1" applyBorder="1" applyAlignment="1" applyProtection="1">
      <alignment horizontal="center" vertical="center"/>
    </xf>
    <xf numFmtId="0" fontId="7" fillId="27" borderId="40" xfId="1" applyFont="1" applyFill="1" applyBorder="1" applyAlignment="1" applyProtection="1">
      <alignment horizontal="center" vertical="center"/>
    </xf>
    <xf numFmtId="0" fontId="7" fillId="0" borderId="19" xfId="1" applyFont="1" applyBorder="1" applyAlignment="1" applyProtection="1">
      <alignment horizontal="centerContinuous" vertical="center"/>
    </xf>
    <xf numFmtId="0" fontId="7" fillId="0" borderId="65" xfId="1" applyFont="1" applyBorder="1" applyAlignment="1" applyProtection="1">
      <alignment horizontal="centerContinuous" vertical="center"/>
    </xf>
    <xf numFmtId="0" fontId="7" fillId="0" borderId="65" xfId="105" applyFont="1" applyBorder="1" applyAlignment="1" applyProtection="1">
      <alignment horizontal="right" vertical="center"/>
    </xf>
    <xf numFmtId="188" fontId="15" fillId="0" borderId="0" xfId="1" applyNumberFormat="1" applyFont="1" applyBorder="1" applyAlignment="1" applyProtection="1">
      <alignment horizontal="right" vertical="center"/>
    </xf>
    <xf numFmtId="188" fontId="15" fillId="0" borderId="40" xfId="1" applyNumberFormat="1" applyFont="1" applyBorder="1" applyAlignment="1" applyProtection="1">
      <alignment horizontal="right" vertical="center"/>
    </xf>
    <xf numFmtId="188" fontId="15" fillId="27" borderId="0" xfId="1" applyNumberFormat="1" applyFont="1" applyFill="1" applyBorder="1" applyAlignment="1" applyProtection="1">
      <alignment horizontal="right" vertical="center"/>
    </xf>
    <xf numFmtId="188" fontId="15" fillId="27" borderId="40" xfId="1" applyNumberFormat="1" applyFont="1" applyFill="1" applyBorder="1" applyAlignment="1" applyProtection="1">
      <alignment horizontal="right" vertical="center"/>
    </xf>
    <xf numFmtId="170" fontId="7" fillId="0" borderId="44" xfId="1" applyNumberFormat="1" applyFont="1" applyBorder="1" applyAlignment="1" applyProtection="1">
      <alignment horizontal="right" vertical="center"/>
    </xf>
    <xf numFmtId="170" fontId="7" fillId="0" borderId="62" xfId="1" applyNumberFormat="1" applyFont="1" applyBorder="1" applyAlignment="1" applyProtection="1">
      <alignment horizontal="right" vertical="center"/>
    </xf>
    <xf numFmtId="180" fontId="7" fillId="31" borderId="63" xfId="105" applyNumberFormat="1" applyFont="1" applyFill="1" applyBorder="1" applyAlignment="1" applyProtection="1">
      <alignment vertical="center"/>
      <protection locked="0"/>
    </xf>
    <xf numFmtId="193" fontId="7" fillId="4" borderId="62" xfId="105" applyNumberFormat="1" applyFont="1" applyFill="1" applyBorder="1" applyAlignment="1" applyProtection="1">
      <alignment vertical="center"/>
    </xf>
    <xf numFmtId="0" fontId="7" fillId="4" borderId="39" xfId="105" applyFont="1" applyFill="1" applyBorder="1" applyAlignment="1" applyProtection="1">
      <alignment vertical="center"/>
    </xf>
    <xf numFmtId="170" fontId="7" fillId="0" borderId="66" xfId="1" applyNumberFormat="1" applyFont="1" applyBorder="1" applyAlignment="1" applyProtection="1">
      <alignment horizontal="right" vertical="center"/>
    </xf>
    <xf numFmtId="180" fontId="7" fillId="31" borderId="67" xfId="105" applyNumberFormat="1" applyFont="1" applyFill="1" applyBorder="1" applyAlignment="1" applyProtection="1">
      <alignment vertical="center"/>
      <protection locked="0"/>
    </xf>
    <xf numFmtId="193" fontId="7" fillId="4" borderId="66" xfId="105" applyNumberFormat="1" applyFont="1" applyFill="1" applyBorder="1" applyAlignment="1" applyProtection="1">
      <alignment vertical="center"/>
    </xf>
    <xf numFmtId="0" fontId="7" fillId="4" borderId="40" xfId="1" applyFont="1" applyFill="1" applyBorder="1" applyProtection="1"/>
    <xf numFmtId="188" fontId="7" fillId="0" borderId="19" xfId="1" applyNumberFormat="1" applyFont="1" applyBorder="1" applyAlignment="1" applyProtection="1">
      <alignment horizontal="center" vertical="center"/>
    </xf>
    <xf numFmtId="0" fontId="10" fillId="0" borderId="161" xfId="105" applyFont="1" applyBorder="1" applyAlignment="1" applyProtection="1">
      <alignment horizontal="center" vertical="center"/>
    </xf>
    <xf numFmtId="0" fontId="6" fillId="27" borderId="0" xfId="1" applyFont="1" applyFill="1" applyBorder="1" applyAlignment="1" applyProtection="1">
      <alignment horizontal="center" vertical="center"/>
    </xf>
    <xf numFmtId="0" fontId="10" fillId="27" borderId="161" xfId="105" applyFont="1" applyFill="1" applyBorder="1" applyAlignment="1" applyProtection="1">
      <alignment horizontal="center" vertical="center"/>
    </xf>
    <xf numFmtId="0" fontId="6" fillId="0" borderId="0" xfId="1" applyFont="1" applyBorder="1" applyAlignment="1" applyProtection="1">
      <alignment horizontal="center" vertical="center"/>
    </xf>
    <xf numFmtId="203" fontId="15" fillId="0" borderId="0" xfId="1" applyNumberFormat="1" applyFont="1" applyBorder="1" applyAlignment="1" applyProtection="1">
      <alignment horizontal="right" vertical="center"/>
    </xf>
    <xf numFmtId="203" fontId="7" fillId="0" borderId="40" xfId="1" applyNumberFormat="1" applyFont="1" applyBorder="1" applyAlignment="1" applyProtection="1">
      <alignment horizontal="right" vertical="center"/>
    </xf>
    <xf numFmtId="203" fontId="15" fillId="27" borderId="0" xfId="1" applyNumberFormat="1" applyFont="1" applyFill="1" applyBorder="1" applyAlignment="1" applyProtection="1">
      <alignment horizontal="right" vertical="center"/>
    </xf>
    <xf numFmtId="203" fontId="7" fillId="27" borderId="40" xfId="1" applyNumberFormat="1" applyFont="1" applyFill="1" applyBorder="1" applyAlignment="1" applyProtection="1">
      <alignment horizontal="right" vertical="center"/>
    </xf>
    <xf numFmtId="203" fontId="7" fillId="0" borderId="63" xfId="1" applyNumberFormat="1" applyFont="1" applyBorder="1" applyAlignment="1" applyProtection="1">
      <alignment horizontal="right" vertical="center"/>
    </xf>
    <xf numFmtId="203" fontId="7" fillId="27" borderId="63" xfId="1" applyNumberFormat="1" applyFont="1" applyFill="1" applyBorder="1" applyAlignment="1" applyProtection="1">
      <alignment horizontal="right" vertical="center"/>
    </xf>
    <xf numFmtId="181" fontId="7" fillId="31" borderId="61" xfId="105" applyNumberFormat="1" applyFont="1" applyFill="1" applyBorder="1" applyAlignment="1" applyProtection="1">
      <alignment horizontal="right" vertical="center"/>
      <protection locked="0"/>
    </xf>
    <xf numFmtId="176" fontId="7" fillId="0" borderId="61" xfId="105" applyNumberFormat="1" applyFont="1" applyFill="1" applyBorder="1" applyAlignment="1" applyProtection="1">
      <alignment vertical="center"/>
    </xf>
    <xf numFmtId="203" fontId="7" fillId="0" borderId="67" xfId="1" applyNumberFormat="1" applyFont="1" applyBorder="1" applyAlignment="1" applyProtection="1">
      <alignment horizontal="right" vertical="center"/>
    </xf>
    <xf numFmtId="203" fontId="7" fillId="27" borderId="67" xfId="1" applyNumberFormat="1" applyFont="1" applyFill="1" applyBorder="1" applyAlignment="1" applyProtection="1">
      <alignment horizontal="right" vertical="center"/>
    </xf>
    <xf numFmtId="181" fontId="7" fillId="31" borderId="65" xfId="105" applyNumberFormat="1" applyFont="1" applyFill="1" applyBorder="1" applyAlignment="1" applyProtection="1">
      <alignment horizontal="right" vertical="center"/>
      <protection locked="0"/>
    </xf>
    <xf numFmtId="176" fontId="7" fillId="0" borderId="65" xfId="105" applyNumberFormat="1" applyFont="1" applyFill="1" applyBorder="1" applyAlignment="1" applyProtection="1">
      <alignment vertical="center"/>
    </xf>
    <xf numFmtId="0" fontId="7" fillId="0" borderId="103" xfId="105" applyFont="1" applyBorder="1" applyAlignment="1" applyProtection="1">
      <alignment vertical="center"/>
    </xf>
    <xf numFmtId="0" fontId="7" fillId="0" borderId="99" xfId="1" applyFont="1" applyBorder="1" applyAlignment="1" applyProtection="1">
      <alignment vertical="center"/>
    </xf>
    <xf numFmtId="188" fontId="7" fillId="0" borderId="82" xfId="1" applyNumberFormat="1" applyFont="1" applyBorder="1" applyAlignment="1" applyProtection="1">
      <alignment horizontal="center" vertical="center"/>
    </xf>
    <xf numFmtId="188" fontId="10" fillId="0" borderId="161" xfId="1" applyNumberFormat="1" applyFont="1" applyBorder="1" applyAlignment="1" applyProtection="1">
      <alignment horizontal="center" vertical="center"/>
    </xf>
    <xf numFmtId="0" fontId="6" fillId="27" borderId="0" xfId="1" applyFont="1" applyFill="1" applyBorder="1" applyAlignment="1" applyProtection="1">
      <alignment vertical="center"/>
    </xf>
    <xf numFmtId="188" fontId="10" fillId="27" borderId="161" xfId="1" applyNumberFormat="1" applyFont="1" applyFill="1" applyBorder="1" applyAlignment="1" applyProtection="1">
      <alignment horizontal="center" vertical="center"/>
    </xf>
    <xf numFmtId="0" fontId="15" fillId="0" borderId="91" xfId="105" applyFont="1" applyBorder="1" applyAlignment="1" applyProtection="1">
      <alignment vertical="center"/>
    </xf>
    <xf numFmtId="189" fontId="15" fillId="0" borderId="0" xfId="61" applyNumberFormat="1" applyFont="1" applyBorder="1" applyAlignment="1" applyProtection="1">
      <alignment vertical="center"/>
    </xf>
    <xf numFmtId="0" fontId="6" fillId="27" borderId="19" xfId="1" applyFont="1" applyFill="1" applyBorder="1" applyAlignment="1" applyProtection="1">
      <alignment vertical="center"/>
    </xf>
    <xf numFmtId="0" fontId="6" fillId="0" borderId="19" xfId="1" applyFont="1" applyBorder="1" applyAlignment="1" applyProtection="1">
      <alignment vertical="center"/>
    </xf>
    <xf numFmtId="0" fontId="10" fillId="0" borderId="82" xfId="1" applyFont="1" applyBorder="1" applyAlignment="1" applyProtection="1">
      <alignment horizontal="center" vertical="center"/>
    </xf>
    <xf numFmtId="0" fontId="10" fillId="0" borderId="65" xfId="1" applyFont="1" applyBorder="1" applyAlignment="1" applyProtection="1">
      <alignment horizontal="center" vertical="center"/>
    </xf>
    <xf numFmtId="0" fontId="7" fillId="0" borderId="42" xfId="105" applyFont="1" applyFill="1" applyBorder="1" applyAlignment="1" applyProtection="1">
      <alignment horizontal="left" vertical="center"/>
    </xf>
    <xf numFmtId="0" fontId="15" fillId="0" borderId="43" xfId="105" applyFont="1" applyBorder="1" applyAlignment="1" applyProtection="1">
      <alignment vertical="center"/>
    </xf>
    <xf numFmtId="199" fontId="7" fillId="31" borderId="63" xfId="1" applyNumberFormat="1" applyFont="1" applyFill="1" applyBorder="1" applyAlignment="1" applyProtection="1">
      <alignment horizontal="right" vertical="center"/>
      <protection locked="0"/>
    </xf>
    <xf numFmtId="176" fontId="7" fillId="4" borderId="62" xfId="105" applyNumberFormat="1" applyFont="1" applyFill="1" applyBorder="1" applyAlignment="1" applyProtection="1">
      <alignment horizontal="right" vertical="center"/>
    </xf>
    <xf numFmtId="176" fontId="7" fillId="31" borderId="62" xfId="105" applyNumberFormat="1" applyFont="1" applyFill="1" applyBorder="1" applyAlignment="1" applyProtection="1">
      <alignment horizontal="right" vertical="center"/>
      <protection locked="0"/>
    </xf>
    <xf numFmtId="0" fontId="7" fillId="31" borderId="2" xfId="105" applyFont="1" applyFill="1" applyBorder="1" applyAlignment="1" applyProtection="1">
      <alignment vertical="center"/>
      <protection locked="0"/>
    </xf>
    <xf numFmtId="199" fontId="7" fillId="31" borderId="67" xfId="1" applyNumberFormat="1" applyFont="1" applyFill="1" applyBorder="1" applyAlignment="1" applyProtection="1">
      <alignment horizontal="right" vertical="center"/>
      <protection locked="0"/>
    </xf>
    <xf numFmtId="176" fontId="7" fillId="4" borderId="66" xfId="105" applyNumberFormat="1" applyFont="1" applyFill="1" applyBorder="1" applyAlignment="1" applyProtection="1">
      <alignment horizontal="right" vertical="center"/>
    </xf>
    <xf numFmtId="176" fontId="7" fillId="31" borderId="66" xfId="105" applyNumberFormat="1" applyFont="1" applyFill="1" applyBorder="1" applyAlignment="1" applyProtection="1">
      <alignment horizontal="right" vertical="center"/>
      <protection locked="0"/>
    </xf>
    <xf numFmtId="0" fontId="7" fillId="0" borderId="99" xfId="105" applyFont="1" applyBorder="1" applyAlignment="1" applyProtection="1">
      <alignment vertical="center"/>
    </xf>
    <xf numFmtId="0" fontId="10" fillId="27" borderId="0" xfId="1" applyFont="1" applyFill="1" applyBorder="1" applyAlignment="1" applyProtection="1">
      <alignment vertical="center"/>
    </xf>
    <xf numFmtId="0" fontId="7" fillId="0" borderId="119" xfId="1" applyFont="1" applyBorder="1" applyAlignment="1" applyProtection="1">
      <alignment horizontal="center" vertical="center"/>
    </xf>
    <xf numFmtId="0" fontId="15" fillId="0" borderId="91" xfId="1" applyFont="1" applyBorder="1" applyAlignment="1" applyProtection="1">
      <alignment vertical="center"/>
    </xf>
    <xf numFmtId="189" fontId="15" fillId="27" borderId="19" xfId="61" applyNumberFormat="1" applyFont="1" applyFill="1" applyBorder="1" applyAlignment="1" applyProtection="1">
      <alignment vertical="center"/>
    </xf>
    <xf numFmtId="0" fontId="17" fillId="0" borderId="23" xfId="1" applyFont="1" applyBorder="1" applyAlignment="1" applyProtection="1">
      <alignment vertical="center"/>
    </xf>
    <xf numFmtId="189" fontId="15" fillId="31" borderId="58" xfId="61" applyNumberFormat="1" applyFont="1" applyFill="1" applyBorder="1" applyAlignment="1" applyProtection="1">
      <alignment vertical="center"/>
      <protection locked="0"/>
    </xf>
    <xf numFmtId="170" fontId="7" fillId="4" borderId="57" xfId="61" applyNumberFormat="1" applyFont="1" applyFill="1" applyBorder="1" applyAlignment="1" applyProtection="1">
      <alignment vertical="center"/>
    </xf>
    <xf numFmtId="188" fontId="7" fillId="4" borderId="77" xfId="61" applyNumberFormat="1" applyFont="1" applyFill="1" applyBorder="1" applyAlignment="1" applyProtection="1">
      <alignment vertical="center"/>
    </xf>
    <xf numFmtId="170" fontId="7" fillId="27" borderId="57" xfId="61" applyNumberFormat="1" applyFont="1" applyFill="1" applyBorder="1" applyAlignment="1" applyProtection="1">
      <alignment vertical="center"/>
    </xf>
    <xf numFmtId="188" fontId="7" fillId="27" borderId="77" xfId="61" applyNumberFormat="1" applyFont="1" applyFill="1" applyBorder="1" applyAlignment="1" applyProtection="1">
      <alignment vertical="center"/>
    </xf>
    <xf numFmtId="0" fontId="7" fillId="0" borderId="57" xfId="1" applyFont="1" applyFill="1" applyBorder="1" applyAlignment="1" applyProtection="1">
      <alignment vertical="center"/>
    </xf>
    <xf numFmtId="170" fontId="7" fillId="4" borderId="2" xfId="1" applyNumberFormat="1" applyFont="1" applyFill="1" applyBorder="1" applyAlignment="1" applyProtection="1">
      <alignment horizontal="right" vertical="center"/>
    </xf>
    <xf numFmtId="188" fontId="7" fillId="0" borderId="39" xfId="61" applyNumberFormat="1" applyFont="1" applyBorder="1" applyAlignment="1" applyProtection="1">
      <alignment vertical="center"/>
    </xf>
    <xf numFmtId="188" fontId="7" fillId="27" borderId="39" xfId="61" applyNumberFormat="1" applyFont="1" applyFill="1" applyBorder="1" applyAlignment="1" applyProtection="1">
      <alignment vertical="center"/>
    </xf>
    <xf numFmtId="0" fontId="17" fillId="0" borderId="2" xfId="1" applyFont="1" applyBorder="1" applyAlignment="1" applyProtection="1">
      <alignment horizontal="left" vertical="center"/>
    </xf>
    <xf numFmtId="0" fontId="7" fillId="4" borderId="39" xfId="1" applyFont="1" applyFill="1" applyBorder="1" applyAlignment="1" applyProtection="1">
      <alignment horizontal="center" vertical="center"/>
    </xf>
    <xf numFmtId="189" fontId="7" fillId="0" borderId="44" xfId="1" applyNumberFormat="1" applyFont="1" applyBorder="1" applyAlignment="1" applyProtection="1">
      <alignment vertical="center"/>
    </xf>
    <xf numFmtId="189" fontId="7" fillId="0" borderId="2" xfId="1" applyNumberFormat="1" applyFont="1" applyBorder="1" applyAlignment="1" applyProtection="1">
      <alignment vertical="center"/>
    </xf>
    <xf numFmtId="189" fontId="7" fillId="0" borderId="39" xfId="1" applyNumberFormat="1" applyFont="1" applyBorder="1" applyAlignment="1" applyProtection="1">
      <alignment vertical="center"/>
    </xf>
    <xf numFmtId="170" fontId="7" fillId="4" borderId="0" xfId="1" applyNumberFormat="1" applyFont="1" applyFill="1" applyBorder="1" applyAlignment="1" applyProtection="1">
      <alignment horizontal="right" vertical="center"/>
    </xf>
    <xf numFmtId="188" fontId="7" fillId="0" borderId="40" xfId="61" applyNumberFormat="1" applyFont="1" applyBorder="1" applyAlignment="1" applyProtection="1">
      <alignment vertical="center"/>
    </xf>
    <xf numFmtId="188" fontId="7" fillId="27" borderId="40" xfId="61" applyNumberFormat="1" applyFont="1" applyFill="1" applyBorder="1" applyAlignment="1" applyProtection="1">
      <alignment vertical="center"/>
    </xf>
    <xf numFmtId="0" fontId="17" fillId="0" borderId="0" xfId="1" applyFont="1" applyBorder="1" applyAlignment="1" applyProtection="1">
      <alignment horizontal="left" vertical="center"/>
    </xf>
    <xf numFmtId="0" fontId="7" fillId="4" borderId="40" xfId="1" applyFont="1" applyFill="1" applyBorder="1" applyAlignment="1" applyProtection="1">
      <alignment horizontal="center" vertical="center"/>
    </xf>
    <xf numFmtId="0" fontId="6" fillId="0" borderId="42" xfId="1" applyFont="1" applyBorder="1" applyAlignment="1" applyProtection="1">
      <alignment vertical="center"/>
    </xf>
    <xf numFmtId="188" fontId="15" fillId="0" borderId="0" xfId="61" applyNumberFormat="1" applyFont="1" applyBorder="1" applyAlignment="1" applyProtection="1">
      <alignment vertical="center"/>
    </xf>
    <xf numFmtId="188" fontId="15" fillId="0" borderId="40" xfId="61" applyNumberFormat="1" applyFont="1" applyBorder="1" applyAlignment="1" applyProtection="1">
      <alignment vertical="center"/>
    </xf>
    <xf numFmtId="188" fontId="15" fillId="27" borderId="0" xfId="61" applyNumberFormat="1" applyFont="1" applyFill="1" applyBorder="1" applyAlignment="1" applyProtection="1">
      <alignment vertical="center"/>
    </xf>
    <xf numFmtId="188" fontId="15" fillId="27" borderId="40" xfId="61" applyNumberFormat="1" applyFont="1" applyFill="1" applyBorder="1" applyAlignment="1" applyProtection="1">
      <alignment vertical="center"/>
    </xf>
    <xf numFmtId="0" fontId="10" fillId="0" borderId="0" xfId="1" applyFont="1" applyProtection="1"/>
    <xf numFmtId="170" fontId="7" fillId="4" borderId="2" xfId="61" applyNumberFormat="1" applyFont="1" applyFill="1" applyBorder="1" applyAlignment="1" applyProtection="1">
      <alignment horizontal="right" vertical="center"/>
    </xf>
    <xf numFmtId="188" fontId="7" fillId="31" borderId="39" xfId="61" applyNumberFormat="1" applyFont="1" applyFill="1" applyBorder="1" applyAlignment="1" applyProtection="1">
      <alignment vertical="center"/>
    </xf>
    <xf numFmtId="0" fontId="7" fillId="27" borderId="2" xfId="1" applyFont="1" applyFill="1" applyBorder="1" applyAlignment="1" applyProtection="1">
      <alignment vertical="center"/>
    </xf>
    <xf numFmtId="170" fontId="7" fillId="27" borderId="2" xfId="61" applyNumberFormat="1" applyFont="1" applyFill="1" applyBorder="1" applyAlignment="1" applyProtection="1">
      <alignment horizontal="right" vertical="center"/>
    </xf>
    <xf numFmtId="170" fontId="7" fillId="4" borderId="2" xfId="61" applyNumberFormat="1" applyFont="1" applyFill="1" applyBorder="1" applyAlignment="1" applyProtection="1">
      <alignment vertical="center"/>
    </xf>
    <xf numFmtId="0" fontId="7" fillId="4" borderId="2" xfId="1" applyFont="1" applyFill="1" applyBorder="1" applyAlignment="1" applyProtection="1">
      <alignment vertical="center"/>
    </xf>
    <xf numFmtId="177" fontId="7" fillId="0" borderId="0" xfId="1" applyNumberFormat="1" applyFont="1" applyAlignment="1" applyProtection="1">
      <alignment horizontal="center" vertical="center"/>
    </xf>
    <xf numFmtId="207" fontId="7" fillId="4" borderId="0" xfId="1" applyNumberFormat="1" applyFont="1" applyFill="1" applyBorder="1" applyAlignment="1" applyProtection="1">
      <alignment vertical="center"/>
    </xf>
    <xf numFmtId="188" fontId="7" fillId="31" borderId="40" xfId="61" applyNumberFormat="1" applyFont="1" applyFill="1" applyBorder="1" applyAlignment="1" applyProtection="1">
      <alignment vertical="center"/>
      <protection locked="0"/>
    </xf>
    <xf numFmtId="0" fontId="17" fillId="0" borderId="0" xfId="1" applyFont="1" applyBorder="1" applyProtection="1"/>
    <xf numFmtId="0" fontId="71" fillId="0" borderId="0" xfId="1" applyFont="1" applyAlignment="1" applyProtection="1">
      <alignment horizontal="center" vertical="center"/>
    </xf>
    <xf numFmtId="177" fontId="71" fillId="0" borderId="0" xfId="1" applyNumberFormat="1" applyFont="1" applyAlignment="1" applyProtection="1">
      <alignment horizontal="center" vertical="center"/>
    </xf>
    <xf numFmtId="0" fontId="71" fillId="0" borderId="0" xfId="1" applyFont="1" applyAlignment="1" applyProtection="1">
      <alignment horizontal="right" vertical="center"/>
    </xf>
    <xf numFmtId="0" fontId="7" fillId="0" borderId="0" xfId="1" applyFont="1" applyFill="1" applyBorder="1" applyAlignment="1" applyProtection="1">
      <alignment horizontal="left" vertical="center"/>
    </xf>
    <xf numFmtId="0" fontId="110" fillId="0" borderId="0" xfId="1" applyFont="1" applyAlignment="1" applyProtection="1">
      <alignment vertical="center"/>
    </xf>
    <xf numFmtId="3" fontId="7" fillId="0" borderId="61" xfId="61" applyNumberFormat="1" applyFont="1" applyFill="1" applyBorder="1" applyAlignment="1" applyProtection="1">
      <alignment horizontal="right" vertical="center"/>
    </xf>
    <xf numFmtId="189" fontId="7" fillId="0" borderId="2" xfId="61" applyNumberFormat="1" applyFont="1" applyBorder="1" applyAlignment="1" applyProtection="1">
      <alignment horizontal="center" vertical="center"/>
    </xf>
    <xf numFmtId="0" fontId="32" fillId="27" borderId="44" xfId="1" applyFont="1" applyFill="1" applyBorder="1" applyAlignment="1" applyProtection="1">
      <alignment vertical="center"/>
    </xf>
    <xf numFmtId="3" fontId="7" fillId="31" borderId="61" xfId="61" applyNumberFormat="1" applyFont="1" applyFill="1" applyBorder="1" applyAlignment="1" applyProtection="1">
      <alignment horizontal="center" vertical="center"/>
      <protection locked="0"/>
    </xf>
    <xf numFmtId="0" fontId="110" fillId="0" borderId="44" xfId="1" applyFont="1" applyBorder="1" applyAlignment="1" applyProtection="1">
      <alignment vertical="center"/>
    </xf>
    <xf numFmtId="189" fontId="7" fillId="0" borderId="39" xfId="61" applyNumberFormat="1" applyFont="1" applyBorder="1" applyAlignment="1" applyProtection="1">
      <alignment horizontal="center" vertical="center"/>
    </xf>
    <xf numFmtId="176" fontId="7" fillId="4" borderId="2" xfId="105" applyNumberFormat="1" applyFont="1" applyFill="1" applyBorder="1" applyAlignment="1" applyProtection="1">
      <alignment horizontal="right" vertical="center"/>
    </xf>
    <xf numFmtId="0" fontId="110" fillId="0" borderId="2" xfId="1" applyFont="1" applyBorder="1" applyAlignment="1" applyProtection="1">
      <alignment vertical="center"/>
    </xf>
    <xf numFmtId="0" fontId="17" fillId="0" borderId="2" xfId="1" applyFont="1" applyBorder="1" applyAlignment="1" applyProtection="1">
      <alignment vertical="center"/>
    </xf>
    <xf numFmtId="189" fontId="7" fillId="0" borderId="0" xfId="61" applyNumberFormat="1" applyFont="1" applyBorder="1" applyAlignment="1" applyProtection="1">
      <alignment vertical="center"/>
    </xf>
    <xf numFmtId="189" fontId="7" fillId="0" borderId="66" xfId="61" applyNumberFormat="1" applyFont="1" applyBorder="1" applyAlignment="1" applyProtection="1">
      <alignment horizontal="center" vertical="center"/>
    </xf>
    <xf numFmtId="0" fontId="7" fillId="27" borderId="19" xfId="1" applyFont="1" applyFill="1" applyBorder="1" applyAlignment="1" applyProtection="1">
      <alignment vertical="center"/>
    </xf>
    <xf numFmtId="189" fontId="7" fillId="27" borderId="0" xfId="61" applyNumberFormat="1" applyFont="1" applyFill="1" applyBorder="1" applyAlignment="1" applyProtection="1">
      <alignment vertical="center"/>
    </xf>
    <xf numFmtId="189" fontId="7" fillId="0" borderId="72" xfId="61" applyNumberFormat="1" applyFont="1" applyBorder="1" applyAlignment="1" applyProtection="1">
      <alignment horizontal="center" vertical="center"/>
    </xf>
    <xf numFmtId="0" fontId="110" fillId="0" borderId="42" xfId="1" applyFont="1" applyBorder="1" applyAlignment="1" applyProtection="1">
      <alignment vertical="center"/>
    </xf>
    <xf numFmtId="189" fontId="7" fillId="0" borderId="70" xfId="61" applyNumberFormat="1" applyFont="1" applyBorder="1" applyAlignment="1" applyProtection="1">
      <alignment horizontal="center" vertical="center"/>
    </xf>
    <xf numFmtId="176" fontId="7" fillId="4" borderId="65" xfId="105" applyNumberFormat="1" applyFont="1" applyFill="1" applyBorder="1" applyAlignment="1" applyProtection="1">
      <alignment horizontal="right" vertical="center"/>
    </xf>
    <xf numFmtId="9" fontId="7" fillId="31" borderId="0" xfId="1" applyNumberFormat="1" applyFont="1" applyFill="1" applyBorder="1" applyAlignment="1" applyProtection="1">
      <alignment horizontal="center" vertical="center"/>
      <protection locked="0"/>
    </xf>
    <xf numFmtId="189" fontId="17" fillId="0" borderId="44" xfId="1" applyNumberFormat="1" applyFont="1" applyBorder="1" applyAlignment="1" applyProtection="1">
      <alignment vertical="center"/>
    </xf>
    <xf numFmtId="189" fontId="17" fillId="0" borderId="2" xfId="1" applyNumberFormat="1" applyFont="1" applyBorder="1" applyAlignment="1" applyProtection="1">
      <alignment vertical="center"/>
    </xf>
    <xf numFmtId="189" fontId="17" fillId="0" borderId="39" xfId="1" applyNumberFormat="1" applyFont="1" applyBorder="1" applyAlignment="1" applyProtection="1">
      <alignment vertical="center"/>
    </xf>
    <xf numFmtId="0" fontId="7" fillId="0" borderId="44" xfId="1" applyFont="1" applyBorder="1" applyAlignment="1" applyProtection="1">
      <alignment vertical="center"/>
    </xf>
    <xf numFmtId="189" fontId="7" fillId="0" borderId="62" xfId="61" applyNumberFormat="1" applyFont="1" applyBorder="1" applyAlignment="1" applyProtection="1">
      <alignment vertical="center"/>
    </xf>
    <xf numFmtId="208" fontId="7" fillId="31" borderId="2" xfId="61" applyNumberFormat="1" applyFont="1" applyFill="1" applyBorder="1" applyAlignment="1" applyProtection="1">
      <alignment horizontal="right" vertical="center"/>
      <protection locked="0"/>
    </xf>
    <xf numFmtId="0" fontId="7" fillId="27" borderId="44" xfId="1" applyFont="1" applyFill="1" applyBorder="1" applyAlignment="1" applyProtection="1">
      <alignment vertical="center"/>
    </xf>
    <xf numFmtId="189" fontId="7" fillId="27" borderId="62" xfId="61" applyNumberFormat="1" applyFont="1" applyFill="1" applyBorder="1" applyAlignment="1" applyProtection="1">
      <alignment vertical="center"/>
    </xf>
    <xf numFmtId="208" fontId="7" fillId="31" borderId="39" xfId="61" applyNumberFormat="1" applyFont="1" applyFill="1" applyBorder="1" applyAlignment="1" applyProtection="1">
      <alignment horizontal="right" vertical="center"/>
      <protection locked="0"/>
    </xf>
    <xf numFmtId="0" fontId="110" fillId="0" borderId="0" xfId="1" applyFont="1" applyBorder="1" applyAlignment="1" applyProtection="1">
      <alignment vertical="center"/>
    </xf>
    <xf numFmtId="2" fontId="7" fillId="31" borderId="80" xfId="1" applyNumberFormat="1" applyFont="1" applyFill="1" applyBorder="1" applyAlignment="1" applyProtection="1">
      <alignment horizontal="center" vertical="center"/>
      <protection locked="0"/>
    </xf>
    <xf numFmtId="0" fontId="71" fillId="0" borderId="42" xfId="1" applyFont="1" applyBorder="1" applyAlignment="1" applyProtection="1">
      <alignment vertical="center"/>
    </xf>
    <xf numFmtId="189" fontId="7" fillId="0" borderId="158" xfId="61" applyNumberFormat="1" applyFont="1" applyBorder="1" applyAlignment="1" applyProtection="1">
      <alignment vertical="center"/>
    </xf>
    <xf numFmtId="208" fontId="7" fillId="4" borderId="0" xfId="1" applyNumberFormat="1" applyFont="1" applyFill="1" applyBorder="1" applyAlignment="1" applyProtection="1">
      <alignment horizontal="right" vertical="center"/>
    </xf>
    <xf numFmtId="189" fontId="7" fillId="27" borderId="158" xfId="61" applyNumberFormat="1" applyFont="1" applyFill="1" applyBorder="1" applyAlignment="1" applyProtection="1">
      <alignment vertical="center"/>
    </xf>
    <xf numFmtId="208" fontId="7" fillId="27" borderId="0" xfId="1" applyNumberFormat="1" applyFont="1" applyFill="1" applyBorder="1" applyAlignment="1" applyProtection="1">
      <alignment horizontal="right" vertical="center"/>
    </xf>
    <xf numFmtId="208" fontId="7" fillId="4" borderId="99" xfId="1" applyNumberFormat="1" applyFont="1" applyFill="1" applyBorder="1" applyAlignment="1" applyProtection="1">
      <alignment horizontal="right" vertical="center"/>
    </xf>
    <xf numFmtId="0" fontId="120" fillId="0" borderId="0" xfId="2" applyFont="1" applyBorder="1" applyAlignment="1" applyProtection="1">
      <alignment vertical="center"/>
    </xf>
    <xf numFmtId="0" fontId="15" fillId="0" borderId="90" xfId="1" applyFont="1" applyBorder="1" applyAlignment="1" applyProtection="1">
      <alignment vertical="center"/>
    </xf>
    <xf numFmtId="0" fontId="7" fillId="0" borderId="23" xfId="1" applyFont="1" applyBorder="1" applyAlignment="1" applyProtection="1">
      <alignment horizontal="center" vertical="center"/>
    </xf>
    <xf numFmtId="0" fontId="7" fillId="0" borderId="43" xfId="1" applyFont="1" applyBorder="1" applyAlignment="1" applyProtection="1">
      <alignment horizontal="center" vertical="center"/>
    </xf>
    <xf numFmtId="0" fontId="7" fillId="27" borderId="23" xfId="1" applyFont="1" applyFill="1" applyBorder="1" applyAlignment="1" applyProtection="1">
      <alignment horizontal="center" vertical="center"/>
    </xf>
    <xf numFmtId="0" fontId="7" fillId="27" borderId="43" xfId="1" applyFont="1" applyFill="1" applyBorder="1" applyAlignment="1" applyProtection="1">
      <alignment horizontal="center" vertical="center"/>
    </xf>
    <xf numFmtId="0" fontId="7" fillId="0" borderId="19" xfId="1" applyFont="1" applyFill="1" applyBorder="1" applyAlignment="1" applyProtection="1">
      <alignment horizontal="left" vertical="center"/>
    </xf>
    <xf numFmtId="0" fontId="69" fillId="0" borderId="0" xfId="1" applyFont="1" applyAlignment="1" applyProtection="1">
      <alignment vertical="center"/>
    </xf>
    <xf numFmtId="1" fontId="44" fillId="31" borderId="42" xfId="61" applyNumberFormat="1" applyFont="1" applyFill="1" applyBorder="1" applyAlignment="1" applyProtection="1">
      <alignment horizontal="center" vertical="center"/>
      <protection locked="0"/>
    </xf>
    <xf numFmtId="1" fontId="44" fillId="31" borderId="23" xfId="61" applyNumberFormat="1" applyFont="1" applyFill="1" applyBorder="1" applyAlignment="1" applyProtection="1">
      <alignment horizontal="center" vertical="center"/>
      <protection locked="0"/>
    </xf>
    <xf numFmtId="0" fontId="122" fillId="0" borderId="58" xfId="1" applyFont="1" applyBorder="1" applyAlignment="1" applyProtection="1">
      <alignment horizontal="left" vertical="center"/>
    </xf>
    <xf numFmtId="0" fontId="121" fillId="0" borderId="57" xfId="1" applyFont="1" applyBorder="1" applyAlignment="1" applyProtection="1">
      <alignment vertical="center"/>
    </xf>
    <xf numFmtId="0" fontId="121" fillId="0" borderId="77" xfId="1" applyFont="1" applyBorder="1" applyAlignment="1" applyProtection="1">
      <alignment vertical="center"/>
    </xf>
    <xf numFmtId="0" fontId="10" fillId="0" borderId="0" xfId="1" applyFont="1" applyAlignment="1" applyProtection="1">
      <alignment vertical="top"/>
    </xf>
    <xf numFmtId="0" fontId="10" fillId="0" borderId="0" xfId="1" applyFont="1" applyAlignment="1" applyProtection="1">
      <alignment vertical="top"/>
      <protection locked="0"/>
    </xf>
    <xf numFmtId="0" fontId="7" fillId="0" borderId="44" xfId="1" applyFont="1" applyBorder="1" applyAlignment="1" applyProtection="1">
      <alignment vertical="center"/>
      <protection locked="0"/>
    </xf>
    <xf numFmtId="0" fontId="5" fillId="0" borderId="39" xfId="1" applyBorder="1" applyAlignment="1" applyProtection="1">
      <alignment vertical="top"/>
    </xf>
    <xf numFmtId="0" fontId="10" fillId="0" borderId="0" xfId="1" applyFont="1" applyBorder="1" applyAlignment="1" applyProtection="1">
      <alignment vertical="top"/>
    </xf>
    <xf numFmtId="0" fontId="44" fillId="4" borderId="0" xfId="1" applyFont="1" applyFill="1" applyBorder="1" applyAlignment="1" applyProtection="1">
      <alignment horizontal="right" vertical="top"/>
    </xf>
    <xf numFmtId="0" fontId="10" fillId="31" borderId="0" xfId="1" applyFont="1" applyFill="1"/>
    <xf numFmtId="0" fontId="123" fillId="0" borderId="42" xfId="1" applyFont="1" applyBorder="1" applyAlignment="1" applyProtection="1">
      <alignment vertical="center"/>
      <protection locked="0"/>
    </xf>
    <xf numFmtId="0" fontId="5" fillId="0" borderId="43" xfId="1" applyBorder="1" applyAlignment="1" applyProtection="1">
      <alignment vertical="top"/>
    </xf>
    <xf numFmtId="0" fontId="19" fillId="4" borderId="0" xfId="1" applyFont="1" applyFill="1" applyBorder="1" applyAlignment="1" applyProtection="1">
      <alignment horizontal="right" vertical="top"/>
    </xf>
    <xf numFmtId="0" fontId="19" fillId="31" borderId="0" xfId="1" applyFont="1" applyFill="1" applyBorder="1" applyAlignment="1" applyProtection="1">
      <alignment horizontal="right" vertical="top"/>
    </xf>
    <xf numFmtId="0" fontId="46" fillId="0" borderId="0" xfId="1" applyFont="1" applyBorder="1" applyAlignment="1" applyProtection="1">
      <alignment horizontal="left" vertical="top"/>
    </xf>
    <xf numFmtId="0" fontId="95" fillId="0" borderId="0" xfId="1" applyFont="1" applyBorder="1" applyAlignment="1" applyProtection="1">
      <alignment vertical="top"/>
    </xf>
    <xf numFmtId="0" fontId="124" fillId="0" borderId="0" xfId="1" applyFont="1" applyBorder="1" applyAlignment="1" applyProtection="1">
      <alignment vertical="top"/>
    </xf>
    <xf numFmtId="0" fontId="45" fillId="0" borderId="0" xfId="1" applyFont="1" applyAlignment="1" applyProtection="1">
      <alignment horizontal="right" vertical="top"/>
    </xf>
    <xf numFmtId="189" fontId="13" fillId="0" borderId="0" xfId="1" applyNumberFormat="1" applyFont="1" applyAlignment="1" applyProtection="1">
      <alignment vertical="top"/>
    </xf>
    <xf numFmtId="14" fontId="7" fillId="0" borderId="0" xfId="1" applyNumberFormat="1" applyFont="1" applyAlignment="1" applyProtection="1">
      <alignment horizontal="centerContinuous" vertical="top"/>
    </xf>
    <xf numFmtId="170" fontId="7" fillId="0" borderId="89" xfId="1" applyNumberFormat="1" applyFont="1" applyBorder="1" applyAlignment="1" applyProtection="1">
      <alignment horizontal="right" vertical="center"/>
    </xf>
    <xf numFmtId="199" fontId="7" fillId="0" borderId="156" xfId="105" applyNumberFormat="1" applyFont="1" applyBorder="1" applyAlignment="1" applyProtection="1">
      <alignment horizontal="right" vertical="center"/>
    </xf>
    <xf numFmtId="206" fontId="7" fillId="31" borderId="91" xfId="105" applyNumberFormat="1" applyFont="1" applyFill="1" applyBorder="1" applyAlignment="1" applyProtection="1">
      <alignment horizontal="right" vertical="center"/>
      <protection locked="0"/>
    </xf>
    <xf numFmtId="170" fontId="7" fillId="27" borderId="89" xfId="1" applyNumberFormat="1" applyFont="1" applyFill="1" applyBorder="1" applyAlignment="1" applyProtection="1">
      <alignment horizontal="right" vertical="center"/>
    </xf>
    <xf numFmtId="199" fontId="7" fillId="27" borderId="156" xfId="105" applyNumberFormat="1" applyFont="1" applyFill="1" applyBorder="1" applyAlignment="1" applyProtection="1">
      <alignment horizontal="right" vertical="center"/>
    </xf>
    <xf numFmtId="176" fontId="7" fillId="4" borderId="118" xfId="105" applyNumberFormat="1" applyFont="1" applyFill="1" applyBorder="1" applyAlignment="1" applyProtection="1">
      <alignment vertical="center"/>
    </xf>
    <xf numFmtId="206" fontId="7" fillId="4" borderId="118" xfId="105" applyNumberFormat="1" applyFont="1" applyFill="1" applyBorder="1" applyAlignment="1" applyProtection="1">
      <alignment vertical="center"/>
    </xf>
    <xf numFmtId="206" fontId="7" fillId="4" borderId="118" xfId="105" applyNumberFormat="1" applyFont="1" applyFill="1" applyBorder="1" applyAlignment="1" applyProtection="1">
      <alignment horizontal="center" vertical="center"/>
    </xf>
    <xf numFmtId="0" fontId="7" fillId="4" borderId="91" xfId="1" applyFont="1" applyFill="1" applyBorder="1" applyAlignment="1" applyProtection="1">
      <alignment vertical="center"/>
    </xf>
    <xf numFmtId="0" fontId="7" fillId="0" borderId="0" xfId="1" applyFont="1" applyBorder="1" applyAlignment="1" applyProtection="1">
      <alignment vertical="center"/>
      <protection locked="0"/>
    </xf>
    <xf numFmtId="0" fontId="18" fillId="0" borderId="0" xfId="1" applyFont="1" applyBorder="1" applyAlignment="1" applyProtection="1">
      <alignment vertical="top"/>
    </xf>
    <xf numFmtId="0" fontId="10" fillId="33" borderId="0" xfId="1" applyFont="1" applyFill="1" applyBorder="1" applyAlignment="1" applyProtection="1">
      <alignment vertical="top"/>
    </xf>
    <xf numFmtId="0" fontId="7" fillId="0" borderId="19" xfId="1" applyFont="1" applyBorder="1" applyAlignment="1" applyProtection="1">
      <alignment vertical="center"/>
      <protection locked="0"/>
    </xf>
    <xf numFmtId="0" fontId="7" fillId="0" borderId="40" xfId="1" applyFont="1" applyBorder="1" applyAlignment="1" applyProtection="1">
      <alignment vertical="center"/>
      <protection locked="0"/>
    </xf>
    <xf numFmtId="0" fontId="7" fillId="0" borderId="42" xfId="1" applyFont="1" applyBorder="1" applyAlignment="1" applyProtection="1">
      <alignment vertical="center"/>
      <protection locked="0"/>
    </xf>
    <xf numFmtId="0" fontId="7" fillId="0" borderId="23" xfId="1" applyFont="1" applyBorder="1" applyAlignment="1" applyProtection="1">
      <alignment vertical="center"/>
      <protection locked="0"/>
    </xf>
    <xf numFmtId="0" fontId="7" fillId="0" borderId="43" xfId="1" applyFont="1" applyBorder="1" applyAlignment="1" applyProtection="1">
      <alignment vertical="center"/>
      <protection locked="0"/>
    </xf>
    <xf numFmtId="188" fontId="15" fillId="0" borderId="43" xfId="61" applyNumberFormat="1" applyFont="1" applyBorder="1" applyAlignment="1" applyProtection="1">
      <alignment vertical="center"/>
    </xf>
    <xf numFmtId="188" fontId="15" fillId="27" borderId="43" xfId="61" applyNumberFormat="1" applyFont="1" applyFill="1" applyBorder="1" applyAlignment="1" applyProtection="1">
      <alignment vertical="center"/>
    </xf>
    <xf numFmtId="177" fontId="10" fillId="0" borderId="0" xfId="1" applyNumberFormat="1" applyFont="1" applyBorder="1" applyAlignment="1" applyProtection="1">
      <alignment vertical="center"/>
    </xf>
    <xf numFmtId="3" fontId="10" fillId="0" borderId="0" xfId="1" applyNumberFormat="1" applyFont="1" applyBorder="1" applyAlignment="1" applyProtection="1">
      <alignment horizontal="right" vertical="center"/>
    </xf>
    <xf numFmtId="180" fontId="7" fillId="31" borderId="63" xfId="105" applyNumberFormat="1" applyFont="1" applyFill="1" applyBorder="1" applyAlignment="1" applyProtection="1">
      <alignment horizontal="right" vertical="center"/>
      <protection locked="0"/>
    </xf>
    <xf numFmtId="180" fontId="7" fillId="31" borderId="67" xfId="105" applyNumberFormat="1" applyFont="1" applyFill="1" applyBorder="1" applyAlignment="1" applyProtection="1">
      <alignment horizontal="right" vertical="center"/>
      <protection locked="0"/>
    </xf>
    <xf numFmtId="3" fontId="7" fillId="0" borderId="39" xfId="1" applyNumberFormat="1" applyFont="1" applyFill="1" applyBorder="1" applyAlignment="1" applyProtection="1">
      <alignment horizontal="right" vertical="center"/>
    </xf>
    <xf numFmtId="189" fontId="15" fillId="0" borderId="44" xfId="61" applyNumberFormat="1" applyFont="1" applyFill="1" applyBorder="1" applyAlignment="1" applyProtection="1">
      <alignment vertical="center"/>
    </xf>
    <xf numFmtId="0" fontId="7" fillId="0" borderId="2" xfId="1" applyFont="1" applyFill="1" applyBorder="1" applyAlignment="1" applyProtection="1">
      <alignment horizontal="center" vertical="center"/>
    </xf>
    <xf numFmtId="182" fontId="7" fillId="31" borderId="63" xfId="1" applyNumberFormat="1" applyFont="1" applyFill="1" applyBorder="1" applyAlignment="1" applyProtection="1">
      <alignment horizontal="right" vertical="center"/>
      <protection locked="0"/>
    </xf>
    <xf numFmtId="189" fontId="7" fillId="31" borderId="67" xfId="1" applyNumberFormat="1" applyFont="1" applyFill="1" applyBorder="1" applyAlignment="1" applyProtection="1">
      <alignment horizontal="right" vertical="center"/>
      <protection locked="0"/>
    </xf>
    <xf numFmtId="176" fontId="7" fillId="4" borderId="80" xfId="105" applyNumberFormat="1" applyFont="1" applyFill="1" applyBorder="1" applyAlignment="1" applyProtection="1">
      <alignment horizontal="left" vertical="center" indent="1"/>
    </xf>
    <xf numFmtId="176" fontId="7" fillId="4" borderId="66" xfId="105" applyNumberFormat="1" applyFont="1" applyFill="1" applyBorder="1" applyAlignment="1" applyProtection="1">
      <alignment horizontal="left" vertical="center" indent="1"/>
    </xf>
    <xf numFmtId="0" fontId="6" fillId="0" borderId="0" xfId="1" applyFont="1" applyAlignment="1" applyProtection="1">
      <alignment horizontal="right" vertical="center"/>
    </xf>
    <xf numFmtId="2" fontId="6" fillId="0" borderId="0" xfId="1" applyNumberFormat="1" applyFont="1" applyAlignment="1" applyProtection="1">
      <alignment vertical="center"/>
    </xf>
    <xf numFmtId="0" fontId="32" fillId="0" borderId="0" xfId="55" applyFont="1" applyAlignment="1">
      <alignment horizontal="center"/>
    </xf>
    <xf numFmtId="0" fontId="10" fillId="0" borderId="0" xfId="1" applyFont="1" applyFill="1"/>
    <xf numFmtId="0" fontId="19" fillId="0" borderId="0" xfId="1" applyFont="1" applyFill="1" applyBorder="1" applyAlignment="1" applyProtection="1">
      <alignment horizontal="right" vertical="top"/>
    </xf>
    <xf numFmtId="182" fontId="7" fillId="0" borderId="157" xfId="61" applyNumberFormat="1" applyFont="1" applyBorder="1" applyAlignment="1" applyProtection="1">
      <alignment vertical="center"/>
    </xf>
    <xf numFmtId="176" fontId="7" fillId="31" borderId="63" xfId="1" applyNumberFormat="1" applyFont="1" applyFill="1" applyBorder="1" applyAlignment="1" applyProtection="1">
      <alignment horizontal="right" vertical="center"/>
      <protection locked="0"/>
    </xf>
    <xf numFmtId="176" fontId="7" fillId="31" borderId="67" xfId="1" applyNumberFormat="1" applyFont="1" applyFill="1" applyBorder="1" applyAlignment="1" applyProtection="1">
      <alignment horizontal="right" vertical="center"/>
      <protection locked="0"/>
    </xf>
    <xf numFmtId="2" fontId="10" fillId="0" borderId="3" xfId="1" applyNumberFormat="1" applyFont="1" applyBorder="1" applyProtection="1">
      <protection locked="0"/>
    </xf>
    <xf numFmtId="2" fontId="10" fillId="0" borderId="77" xfId="1" applyNumberFormat="1" applyFont="1" applyBorder="1" applyProtection="1">
      <protection locked="0"/>
    </xf>
    <xf numFmtId="176" fontId="7" fillId="31" borderId="67" xfId="105" applyNumberFormat="1" applyFont="1" applyFill="1" applyBorder="1" applyAlignment="1" applyProtection="1">
      <alignment vertical="center"/>
      <protection locked="0"/>
    </xf>
    <xf numFmtId="176" fontId="7" fillId="31" borderId="63" xfId="105" applyNumberFormat="1" applyFont="1" applyFill="1" applyBorder="1" applyAlignment="1" applyProtection="1">
      <alignment vertical="center"/>
      <protection locked="0"/>
    </xf>
    <xf numFmtId="210" fontId="7" fillId="31" borderId="2" xfId="61" applyNumberFormat="1" applyFont="1" applyFill="1" applyBorder="1" applyAlignment="1" applyProtection="1">
      <alignment horizontal="right" vertical="center"/>
      <protection locked="0"/>
    </xf>
    <xf numFmtId="210" fontId="7" fillId="31" borderId="39" xfId="61" applyNumberFormat="1" applyFont="1" applyFill="1" applyBorder="1" applyAlignment="1" applyProtection="1">
      <alignment horizontal="right" vertical="center"/>
      <protection locked="0"/>
    </xf>
    <xf numFmtId="0" fontId="10" fillId="4" borderId="0" xfId="1" applyFont="1" applyFill="1" applyBorder="1" applyAlignment="1" applyProtection="1">
      <alignment horizontal="left" vertical="top"/>
    </xf>
    <xf numFmtId="0" fontId="7" fillId="0" borderId="0" xfId="1" applyFont="1" applyAlignment="1">
      <alignment vertical="center"/>
    </xf>
    <xf numFmtId="1" fontId="7" fillId="31" borderId="63" xfId="1" applyNumberFormat="1" applyFont="1" applyFill="1" applyBorder="1" applyAlignment="1" applyProtection="1">
      <alignment horizontal="center" vertical="center"/>
      <protection locked="0"/>
    </xf>
    <xf numFmtId="176" fontId="7" fillId="4" borderId="61" xfId="105" applyNumberFormat="1" applyFont="1" applyFill="1" applyBorder="1" applyAlignment="1" applyProtection="1">
      <alignment horizontal="right" vertical="center"/>
    </xf>
    <xf numFmtId="211" fontId="7" fillId="31" borderId="2" xfId="1" applyNumberFormat="1" applyFont="1" applyFill="1" applyBorder="1" applyAlignment="1" applyProtection="1">
      <alignment vertical="center"/>
      <protection locked="0"/>
    </xf>
    <xf numFmtId="0" fontId="21" fillId="0" borderId="0" xfId="1" applyFont="1" applyAlignment="1">
      <alignment vertical="center"/>
    </xf>
    <xf numFmtId="0" fontId="14" fillId="0" borderId="0" xfId="1" applyFont="1" applyFill="1" applyAlignment="1" applyProtection="1">
      <alignment horizontal="right" vertical="center"/>
      <protection locked="0"/>
    </xf>
    <xf numFmtId="0" fontId="126" fillId="0" borderId="0" xfId="1" applyFont="1" applyAlignment="1" applyProtection="1">
      <alignment vertical="center"/>
    </xf>
    <xf numFmtId="190" fontId="7" fillId="31" borderId="157" xfId="105" applyNumberFormat="1" applyFont="1" applyFill="1" applyBorder="1" applyAlignment="1" applyProtection="1">
      <alignment vertical="center"/>
      <protection locked="0"/>
    </xf>
    <xf numFmtId="189" fontId="15" fillId="31" borderId="42" xfId="61" applyNumberFormat="1" applyFont="1" applyFill="1" applyBorder="1" applyAlignment="1" applyProtection="1">
      <alignment vertical="center"/>
      <protection locked="0"/>
    </xf>
    <xf numFmtId="180" fontId="7" fillId="37" borderId="63" xfId="105" applyNumberFormat="1" applyFont="1" applyFill="1" applyBorder="1" applyAlignment="1" applyProtection="1">
      <alignment vertical="center"/>
      <protection locked="0"/>
    </xf>
    <xf numFmtId="180" fontId="7" fillId="37" borderId="67" xfId="105" applyNumberFormat="1" applyFont="1" applyFill="1" applyBorder="1" applyAlignment="1" applyProtection="1">
      <alignment vertical="center"/>
      <protection locked="0"/>
    </xf>
    <xf numFmtId="182" fontId="7" fillId="31" borderId="67" xfId="1" applyNumberFormat="1" applyFont="1" applyFill="1" applyBorder="1" applyAlignment="1" applyProtection="1">
      <alignment horizontal="right" vertical="center"/>
      <protection locked="0"/>
    </xf>
    <xf numFmtId="188" fontId="7" fillId="37" borderId="40" xfId="61" applyNumberFormat="1" applyFont="1" applyFill="1" applyBorder="1" applyAlignment="1" applyProtection="1">
      <alignment vertical="center"/>
      <protection locked="0"/>
    </xf>
    <xf numFmtId="0" fontId="5" fillId="0" borderId="0" xfId="1" applyProtection="1">
      <protection locked="0"/>
    </xf>
    <xf numFmtId="14" fontId="7" fillId="0" borderId="0" xfId="1" applyNumberFormat="1" applyFont="1" applyAlignment="1">
      <alignment horizontal="left" vertical="top"/>
    </xf>
    <xf numFmtId="0" fontId="17" fillId="0" borderId="0" xfId="1" applyFont="1" applyAlignment="1">
      <alignment vertical="top"/>
    </xf>
    <xf numFmtId="0" fontId="15" fillId="0" borderId="0" xfId="1" applyFont="1" applyAlignment="1">
      <alignment vertical="center"/>
    </xf>
    <xf numFmtId="0" fontId="114" fillId="0" borderId="0" xfId="1" applyFont="1" applyBorder="1" applyAlignment="1">
      <alignment vertical="center"/>
    </xf>
    <xf numFmtId="0" fontId="5" fillId="0" borderId="44" xfId="1" applyBorder="1" applyAlignment="1" applyProtection="1">
      <alignment horizontal="center"/>
    </xf>
    <xf numFmtId="0" fontId="5" fillId="0" borderId="19" xfId="1" applyBorder="1" applyAlignment="1" applyProtection="1">
      <alignment horizontal="center"/>
    </xf>
    <xf numFmtId="0" fontId="5" fillId="0" borderId="42" xfId="1" applyBorder="1" applyAlignment="1" applyProtection="1">
      <alignment horizontal="center"/>
    </xf>
    <xf numFmtId="174" fontId="15" fillId="0" borderId="162" xfId="1" applyNumberFormat="1" applyFont="1" applyBorder="1" applyAlignment="1" applyProtection="1">
      <alignment vertical="center"/>
    </xf>
    <xf numFmtId="0" fontId="44" fillId="0" borderId="166" xfId="1" applyFont="1" applyBorder="1" applyAlignment="1" applyProtection="1">
      <alignment horizontal="center" vertical="top" wrapText="1"/>
    </xf>
    <xf numFmtId="0" fontId="65" fillId="0" borderId="167" xfId="1" applyFont="1" applyBorder="1" applyAlignment="1" applyProtection="1">
      <alignment horizontal="center" vertical="top" wrapText="1"/>
    </xf>
    <xf numFmtId="0" fontId="130" fillId="0" borderId="0" xfId="1" applyFont="1" applyProtection="1"/>
    <xf numFmtId="0" fontId="130" fillId="0" borderId="0" xfId="1" applyFont="1" applyProtection="1">
      <protection locked="0"/>
    </xf>
    <xf numFmtId="174" fontId="19" fillId="0" borderId="0" xfId="1" applyNumberFormat="1" applyFont="1" applyBorder="1" applyAlignment="1" applyProtection="1">
      <alignment horizontal="right"/>
    </xf>
    <xf numFmtId="0" fontId="64" fillId="0" borderId="47" xfId="1" applyFont="1" applyBorder="1" applyAlignment="1" applyProtection="1">
      <alignment horizontal="center" vertical="center"/>
    </xf>
    <xf numFmtId="174" fontId="15" fillId="30" borderId="168" xfId="1" applyNumberFormat="1" applyFont="1" applyFill="1" applyBorder="1" applyAlignment="1" applyProtection="1">
      <alignment vertical="center"/>
    </xf>
    <xf numFmtId="0" fontId="56" fillId="0" borderId="6" xfId="1" applyFont="1" applyBorder="1" applyAlignment="1" applyProtection="1">
      <alignment vertical="center"/>
    </xf>
    <xf numFmtId="174" fontId="17" fillId="30" borderId="169" xfId="1" applyNumberFormat="1" applyFont="1" applyFill="1" applyBorder="1" applyAlignment="1" applyProtection="1">
      <alignment vertical="center"/>
    </xf>
    <xf numFmtId="0" fontId="16" fillId="0" borderId="30" xfId="1" applyFont="1" applyBorder="1" applyAlignment="1" applyProtection="1">
      <alignment vertical="center"/>
    </xf>
    <xf numFmtId="174" fontId="15" fillId="30" borderId="169" xfId="1" applyNumberFormat="1" applyFont="1" applyFill="1" applyBorder="1" applyAlignment="1" applyProtection="1">
      <alignment vertical="center"/>
    </xf>
    <xf numFmtId="175" fontId="17" fillId="30" borderId="169" xfId="1" applyNumberFormat="1" applyFont="1" applyFill="1" applyBorder="1" applyAlignment="1" applyProtection="1">
      <alignment vertical="center"/>
    </xf>
    <xf numFmtId="175" fontId="10" fillId="0" borderId="0" xfId="1" applyNumberFormat="1" applyFont="1" applyBorder="1" applyAlignment="1" applyProtection="1">
      <alignment horizontal="right" vertical="center"/>
    </xf>
    <xf numFmtId="212" fontId="5" fillId="0" borderId="0" xfId="1" applyNumberFormat="1"/>
    <xf numFmtId="0" fontId="44" fillId="30" borderId="166" xfId="1" applyFont="1" applyFill="1" applyBorder="1" applyAlignment="1" applyProtection="1">
      <alignment horizontal="center" vertical="top" wrapText="1"/>
    </xf>
    <xf numFmtId="0" fontId="16" fillId="0" borderId="6" xfId="1" applyFont="1" applyBorder="1" applyAlignment="1" applyProtection="1">
      <alignment vertical="center" wrapText="1"/>
    </xf>
    <xf numFmtId="0" fontId="16" fillId="0" borderId="165" xfId="1" applyFont="1" applyBorder="1" applyAlignment="1" applyProtection="1">
      <alignment horizontal="center"/>
    </xf>
    <xf numFmtId="0" fontId="5" fillId="0" borderId="88" xfId="1" applyBorder="1" applyProtection="1"/>
    <xf numFmtId="0" fontId="13" fillId="0" borderId="0" xfId="1" applyFont="1" applyAlignment="1" applyProtection="1">
      <alignment horizontal="center"/>
    </xf>
    <xf numFmtId="0" fontId="132" fillId="0" borderId="0" xfId="1" applyFont="1" applyProtection="1"/>
    <xf numFmtId="0" fontId="132" fillId="0" borderId="0" xfId="1" applyFont="1" applyAlignment="1" applyProtection="1">
      <alignment vertical="center"/>
    </xf>
    <xf numFmtId="0" fontId="13" fillId="0" borderId="0" xfId="1" applyFont="1" applyAlignment="1" applyProtection="1">
      <alignment vertical="center"/>
    </xf>
    <xf numFmtId="0" fontId="134" fillId="0" borderId="0" xfId="1" applyFont="1" applyBorder="1" applyAlignment="1">
      <alignment horizontal="left" vertical="center"/>
    </xf>
    <xf numFmtId="0" fontId="130" fillId="0" borderId="0" xfId="1" applyFont="1" applyAlignment="1" applyProtection="1">
      <alignment horizontal="center"/>
      <protection locked="0"/>
    </xf>
    <xf numFmtId="0" fontId="135" fillId="0" borderId="0" xfId="1" applyFont="1" applyProtection="1"/>
    <xf numFmtId="0" fontId="5" fillId="0" borderId="0" xfId="1" applyAlignment="1" applyProtection="1">
      <alignment horizontal="center"/>
    </xf>
    <xf numFmtId="0" fontId="137" fillId="0" borderId="0" xfId="1" applyFont="1" applyAlignment="1">
      <alignment horizontal="center"/>
    </xf>
    <xf numFmtId="0" fontId="7" fillId="0" borderId="0" xfId="1" applyFont="1" applyAlignment="1">
      <alignment horizontal="left"/>
    </xf>
    <xf numFmtId="0" fontId="5" fillId="0" borderId="0" xfId="1" applyAlignment="1">
      <alignment horizontal="left"/>
    </xf>
    <xf numFmtId="0" fontId="10" fillId="0" borderId="0" xfId="1" applyFont="1" applyFill="1" applyBorder="1" applyAlignment="1">
      <alignment horizontal="left" vertical="center"/>
    </xf>
    <xf numFmtId="0" fontId="7" fillId="0" borderId="0" xfId="1" applyFont="1" applyFill="1" applyAlignment="1">
      <alignment vertical="center"/>
    </xf>
    <xf numFmtId="0" fontId="7" fillId="0" borderId="0" xfId="1" applyFont="1" applyAlignment="1">
      <alignment horizontal="right" vertical="center"/>
    </xf>
    <xf numFmtId="2" fontId="14" fillId="0" borderId="0" xfId="1" applyNumberFormat="1" applyFont="1" applyAlignment="1">
      <alignment horizontal="left" vertical="center"/>
    </xf>
    <xf numFmtId="2" fontId="7" fillId="0" borderId="0" xfId="1" applyNumberFormat="1" applyFont="1" applyAlignment="1">
      <alignment vertical="center"/>
    </xf>
    <xf numFmtId="2" fontId="7" fillId="0" borderId="0" xfId="1" applyNumberFormat="1" applyFont="1" applyAlignment="1">
      <alignment horizontal="left" vertical="center"/>
    </xf>
    <xf numFmtId="0" fontId="6" fillId="0" borderId="0" xfId="1" applyFont="1"/>
    <xf numFmtId="0" fontId="10" fillId="0" borderId="0" xfId="1" applyFont="1" applyBorder="1" applyAlignment="1">
      <alignment horizontal="center" vertical="center"/>
    </xf>
    <xf numFmtId="0" fontId="73" fillId="0" borderId="0" xfId="1" applyFont="1" applyAlignment="1">
      <alignment vertical="center"/>
    </xf>
    <xf numFmtId="0" fontId="73" fillId="0" borderId="0" xfId="1" applyFont="1" applyAlignment="1">
      <alignment horizontal="left" vertical="center"/>
    </xf>
    <xf numFmtId="0" fontId="73" fillId="0" borderId="0" xfId="1" applyFont="1" applyAlignment="1">
      <alignment horizontal="right" vertical="center"/>
    </xf>
    <xf numFmtId="0" fontId="71" fillId="0" borderId="0" xfId="1" applyFont="1" applyAlignment="1">
      <alignment vertical="center"/>
    </xf>
    <xf numFmtId="0" fontId="45" fillId="0" borderId="0" xfId="1" applyFont="1" applyAlignment="1">
      <alignment horizontal="left" vertical="center"/>
    </xf>
    <xf numFmtId="0" fontId="45" fillId="0" borderId="0" xfId="1" applyFont="1" applyAlignment="1">
      <alignment horizontal="right" vertical="center"/>
    </xf>
    <xf numFmtId="0" fontId="6" fillId="0" borderId="0" xfId="1" applyFont="1" applyBorder="1" applyAlignment="1">
      <alignment horizontal="center" vertical="center"/>
    </xf>
    <xf numFmtId="0" fontId="138" fillId="0" borderId="0" xfId="1" applyFont="1" applyAlignment="1">
      <alignment horizontal="center" vertical="center"/>
    </xf>
    <xf numFmtId="0" fontId="73" fillId="0" borderId="0" xfId="1" applyFont="1" applyFill="1" applyAlignment="1">
      <alignment vertical="center"/>
    </xf>
    <xf numFmtId="176" fontId="7" fillId="0" borderId="0" xfId="1" applyNumberFormat="1" applyFont="1" applyBorder="1" applyAlignment="1">
      <alignment vertical="center"/>
    </xf>
    <xf numFmtId="0" fontId="32" fillId="0" borderId="0" xfId="1" applyFont="1" applyAlignment="1">
      <alignment horizontal="centerContinuous" vertical="center"/>
    </xf>
    <xf numFmtId="0" fontId="73" fillId="0" borderId="44" xfId="1" applyFont="1" applyBorder="1" applyAlignment="1">
      <alignment vertical="center"/>
    </xf>
    <xf numFmtId="0" fontId="73" fillId="0" borderId="34" xfId="1" applyFont="1" applyBorder="1" applyAlignment="1">
      <alignment vertical="center"/>
    </xf>
    <xf numFmtId="0" fontId="71" fillId="0" borderId="19" xfId="1" applyFont="1" applyBorder="1" applyAlignment="1">
      <alignment vertical="center"/>
    </xf>
    <xf numFmtId="0" fontId="71" fillId="0" borderId="25" xfId="1" applyFont="1" applyBorder="1" applyAlignment="1">
      <alignment vertical="center"/>
    </xf>
    <xf numFmtId="0" fontId="139" fillId="0" borderId="0" xfId="1" applyFont="1" applyAlignment="1">
      <alignment horizontal="center" vertical="center"/>
    </xf>
    <xf numFmtId="0" fontId="45" fillId="0" borderId="19" xfId="1" applyFont="1" applyBorder="1" applyAlignment="1">
      <alignment horizontal="right" vertical="center"/>
    </xf>
    <xf numFmtId="0" fontId="45" fillId="0" borderId="25" xfId="1" applyFont="1" applyBorder="1" applyAlignment="1">
      <alignment horizontal="right" vertical="center"/>
    </xf>
    <xf numFmtId="0" fontId="122" fillId="0" borderId="0" xfId="1" applyFont="1" applyAlignment="1">
      <alignment horizontal="center" vertical="center"/>
    </xf>
    <xf numFmtId="0" fontId="7" fillId="0" borderId="19" xfId="1" applyFont="1" applyBorder="1" applyAlignment="1">
      <alignment vertical="center"/>
    </xf>
    <xf numFmtId="0" fontId="111" fillId="0" borderId="0" xfId="1" applyFont="1" applyAlignment="1">
      <alignment horizontal="center" vertical="center"/>
    </xf>
    <xf numFmtId="0" fontId="5" fillId="0" borderId="0" xfId="1" applyAlignment="1">
      <alignment vertical="top"/>
    </xf>
    <xf numFmtId="0" fontId="5" fillId="0" borderId="0" xfId="1" applyFill="1" applyAlignment="1">
      <alignment vertical="top"/>
    </xf>
    <xf numFmtId="0" fontId="5" fillId="0" borderId="0" xfId="1" applyAlignment="1">
      <alignment horizontal="right" vertical="top"/>
    </xf>
    <xf numFmtId="0" fontId="73" fillId="0" borderId="25" xfId="1" applyFont="1" applyBorder="1" applyAlignment="1">
      <alignment vertical="center"/>
    </xf>
    <xf numFmtId="14" fontId="10" fillId="0" borderId="0" xfId="1" applyNumberFormat="1" applyFont="1"/>
    <xf numFmtId="0" fontId="73" fillId="0" borderId="19" xfId="1" applyFont="1" applyBorder="1" applyAlignment="1">
      <alignment vertical="center"/>
    </xf>
    <xf numFmtId="0" fontId="138" fillId="0" borderId="0" xfId="1" applyFont="1" applyAlignment="1">
      <alignment vertical="center"/>
    </xf>
    <xf numFmtId="2" fontId="140" fillId="0" borderId="2" xfId="1" applyNumberFormat="1" applyFont="1" applyFill="1" applyBorder="1" applyAlignment="1">
      <alignment horizontal="left"/>
    </xf>
    <xf numFmtId="0" fontId="140" fillId="0" borderId="39" xfId="1" applyFont="1" applyFill="1" applyBorder="1"/>
    <xf numFmtId="2" fontId="140" fillId="0" borderId="42" xfId="1" applyNumberFormat="1" applyFont="1" applyFill="1" applyBorder="1" applyAlignment="1">
      <alignment horizontal="left"/>
    </xf>
    <xf numFmtId="2" fontId="140" fillId="0" borderId="23" xfId="1" applyNumberFormat="1" applyFont="1" applyFill="1" applyBorder="1" applyAlignment="1">
      <alignment horizontal="left"/>
    </xf>
    <xf numFmtId="0" fontId="140" fillId="0" borderId="43" xfId="1" applyFont="1" applyFill="1" applyBorder="1"/>
    <xf numFmtId="0" fontId="129" fillId="0" borderId="0" xfId="1" applyFont="1" applyAlignment="1">
      <alignment horizontal="center" vertical="center"/>
    </xf>
    <xf numFmtId="0" fontId="12" fillId="0" borderId="0" xfId="1" applyFont="1" applyBorder="1" applyAlignment="1">
      <alignment horizontal="center" vertical="center"/>
    </xf>
    <xf numFmtId="176" fontId="7" fillId="0" borderId="0" xfId="61" applyNumberFormat="1" applyFont="1" applyBorder="1" applyAlignment="1">
      <alignment vertical="center"/>
    </xf>
    <xf numFmtId="178" fontId="7" fillId="0" borderId="0" xfId="1" applyNumberFormat="1" applyFont="1" applyBorder="1" applyAlignment="1">
      <alignment vertical="center"/>
    </xf>
    <xf numFmtId="0" fontId="13" fillId="0" borderId="0" xfId="1" applyFont="1" applyBorder="1" applyAlignment="1">
      <alignment horizontal="left" vertical="center"/>
    </xf>
    <xf numFmtId="0" fontId="7" fillId="0" borderId="0" xfId="1" applyFont="1" applyBorder="1" applyAlignment="1">
      <alignment horizontal="center" vertical="center"/>
    </xf>
    <xf numFmtId="0" fontId="71" fillId="0" borderId="58" xfId="1" applyFont="1" applyBorder="1" applyAlignment="1">
      <alignment vertical="center"/>
    </xf>
    <xf numFmtId="0" fontId="71" fillId="0" borderId="3" xfId="1" applyFont="1" applyBorder="1" applyAlignment="1">
      <alignment vertical="center"/>
    </xf>
    <xf numFmtId="0" fontId="32" fillId="0" borderId="0" xfId="1" applyFont="1" applyAlignment="1">
      <alignment horizontal="left" vertical="center"/>
    </xf>
    <xf numFmtId="0" fontId="32" fillId="0" borderId="0" xfId="1" applyFont="1" applyAlignment="1" applyProtection="1">
      <alignment horizontal="left" vertical="center"/>
      <protection locked="0"/>
    </xf>
    <xf numFmtId="178" fontId="7" fillId="0" borderId="152" xfId="1" applyNumberFormat="1" applyFont="1" applyBorder="1" applyAlignment="1">
      <alignment vertical="center"/>
    </xf>
    <xf numFmtId="0" fontId="71" fillId="0" borderId="0" xfId="1" applyFont="1" applyAlignment="1">
      <alignment horizontal="left" vertical="center"/>
    </xf>
    <xf numFmtId="0" fontId="5" fillId="0" borderId="0" xfId="1" applyAlignment="1">
      <alignment horizontal="centerContinuous" vertical="center"/>
    </xf>
    <xf numFmtId="0" fontId="7" fillId="0" borderId="0" xfId="1" applyFont="1" applyAlignment="1">
      <alignment horizontal="left" vertical="top"/>
    </xf>
    <xf numFmtId="0" fontId="137" fillId="0" borderId="0" xfId="1" applyFont="1" applyAlignment="1">
      <alignment horizontal="center" vertical="center"/>
    </xf>
    <xf numFmtId="0" fontId="5" fillId="0" borderId="0" xfId="1" applyAlignment="1">
      <alignment horizontal="left" vertical="top"/>
    </xf>
    <xf numFmtId="0" fontId="5" fillId="0" borderId="0" xfId="1" applyAlignment="1">
      <alignment horizontal="center" vertical="center"/>
    </xf>
    <xf numFmtId="181" fontId="21" fillId="0" borderId="0" xfId="67" applyNumberFormat="1" applyFont="1" applyBorder="1" applyAlignment="1" applyProtection="1">
      <alignment vertical="center"/>
    </xf>
    <xf numFmtId="2" fontId="14" fillId="0" borderId="3" xfId="67" applyNumberFormat="1" applyFont="1" applyBorder="1" applyAlignment="1" applyProtection="1">
      <alignment horizontal="center" vertical="center"/>
    </xf>
    <xf numFmtId="0" fontId="137" fillId="0" borderId="0" xfId="1" applyFont="1" applyAlignment="1" applyProtection="1">
      <alignment horizontal="center" vertical="center"/>
    </xf>
    <xf numFmtId="0" fontId="111" fillId="0" borderId="0" xfId="1" applyFont="1" applyAlignment="1" applyProtection="1">
      <alignment horizontal="center" vertical="center"/>
    </xf>
    <xf numFmtId="0" fontId="7" fillId="0" borderId="154" xfId="1" applyFont="1" applyBorder="1" applyAlignment="1" applyProtection="1">
      <alignment vertical="center"/>
    </xf>
    <xf numFmtId="49" fontId="10" fillId="0" borderId="44" xfId="1" applyNumberFormat="1" applyFont="1" applyBorder="1" applyAlignment="1" applyProtection="1">
      <alignment vertical="center"/>
    </xf>
    <xf numFmtId="0" fontId="7" fillId="0" borderId="0" xfId="1" applyFont="1" applyAlignment="1" applyProtection="1">
      <alignment vertical="center" wrapText="1"/>
    </xf>
    <xf numFmtId="0" fontId="10" fillId="0" borderId="0" xfId="1" applyFont="1" applyBorder="1" applyAlignment="1" applyProtection="1">
      <alignment horizontal="center" vertical="center"/>
    </xf>
    <xf numFmtId="0" fontId="15" fillId="0" borderId="24" xfId="1" applyFont="1" applyBorder="1" applyAlignment="1" applyProtection="1">
      <alignment vertical="center"/>
    </xf>
    <xf numFmtId="171" fontId="10" fillId="0" borderId="142" xfId="61" applyNumberFormat="1" applyFont="1" applyBorder="1" applyAlignment="1" applyProtection="1">
      <alignment horizontal="right" vertical="center"/>
    </xf>
    <xf numFmtId="188" fontId="10" fillId="0" borderId="86" xfId="1" applyNumberFormat="1" applyFont="1" applyBorder="1" applyAlignment="1" applyProtection="1">
      <alignment horizontal="right" vertical="center"/>
    </xf>
    <xf numFmtId="189" fontId="10" fillId="31" borderId="86" xfId="1" applyNumberFormat="1" applyFont="1" applyFill="1" applyBorder="1" applyAlignment="1" applyProtection="1">
      <alignment horizontal="right" vertical="center"/>
      <protection locked="0"/>
    </xf>
    <xf numFmtId="190" fontId="10" fillId="4" borderId="86" xfId="1" applyNumberFormat="1" applyFont="1" applyFill="1" applyBorder="1" applyAlignment="1" applyProtection="1">
      <alignment horizontal="right" vertical="center"/>
    </xf>
    <xf numFmtId="170" fontId="10" fillId="4" borderId="86" xfId="1" applyNumberFormat="1" applyFont="1" applyFill="1" applyBorder="1" applyAlignment="1" applyProtection="1">
      <alignment horizontal="right" vertical="center"/>
    </xf>
    <xf numFmtId="170" fontId="10" fillId="31" borderId="86" xfId="1" applyNumberFormat="1" applyFont="1" applyFill="1" applyBorder="1" applyAlignment="1" applyProtection="1">
      <alignment horizontal="right" vertical="center"/>
      <protection locked="0"/>
    </xf>
    <xf numFmtId="189" fontId="10" fillId="31" borderId="85" xfId="1" applyNumberFormat="1" applyFont="1" applyFill="1" applyBorder="1" applyAlignment="1" applyProtection="1">
      <alignment horizontal="right" vertical="center"/>
      <protection locked="0"/>
    </xf>
    <xf numFmtId="0" fontId="10" fillId="0" borderId="41" xfId="1" applyFont="1" applyBorder="1" applyAlignment="1" applyProtection="1">
      <alignment vertical="center"/>
    </xf>
    <xf numFmtId="0" fontId="10" fillId="31" borderId="41" xfId="1" applyFont="1" applyFill="1" applyBorder="1" applyAlignment="1" applyProtection="1">
      <alignment vertical="center"/>
      <protection locked="0"/>
    </xf>
    <xf numFmtId="171" fontId="10" fillId="0" borderId="29" xfId="61" applyNumberFormat="1" applyFont="1" applyBorder="1" applyAlignment="1" applyProtection="1">
      <alignment horizontal="right" vertical="center"/>
    </xf>
    <xf numFmtId="171" fontId="7" fillId="0" borderId="29" xfId="61" applyNumberFormat="1" applyFont="1" applyBorder="1" applyAlignment="1" applyProtection="1">
      <alignment horizontal="right" vertical="center"/>
    </xf>
    <xf numFmtId="171" fontId="15" fillId="4" borderId="29" xfId="61" applyNumberFormat="1" applyFont="1" applyFill="1" applyBorder="1" applyAlignment="1" applyProtection="1">
      <alignment horizontal="right" vertical="center"/>
    </xf>
    <xf numFmtId="171" fontId="10" fillId="0" borderId="151" xfId="61" applyNumberFormat="1" applyFont="1" applyBorder="1" applyAlignment="1" applyProtection="1">
      <alignment horizontal="right" vertical="center"/>
    </xf>
    <xf numFmtId="0" fontId="7" fillId="0" borderId="175" xfId="1" applyFont="1" applyBorder="1" applyAlignment="1" applyProtection="1">
      <alignment vertical="center"/>
    </xf>
    <xf numFmtId="186" fontId="103" fillId="0" borderId="0" xfId="1" applyNumberFormat="1" applyFont="1" applyFill="1" applyBorder="1" applyAlignment="1" applyProtection="1">
      <alignment horizontal="right" vertical="center"/>
    </xf>
    <xf numFmtId="0" fontId="7" fillId="0" borderId="60" xfId="1" applyFont="1" applyBorder="1" applyAlignment="1" applyProtection="1">
      <alignment vertical="center"/>
    </xf>
    <xf numFmtId="0" fontId="139" fillId="0" borderId="0" xfId="1" applyFont="1" applyAlignment="1" applyProtection="1">
      <alignment horizontal="center" vertical="center"/>
    </xf>
    <xf numFmtId="0" fontId="122" fillId="0" borderId="0" xfId="1" applyFont="1" applyAlignment="1" applyProtection="1">
      <alignment horizontal="center" vertical="center"/>
    </xf>
    <xf numFmtId="0" fontId="10" fillId="0" borderId="0" xfId="1" applyFont="1" applyFill="1" applyBorder="1" applyAlignment="1" applyProtection="1">
      <alignment vertical="center"/>
    </xf>
    <xf numFmtId="177" fontId="10" fillId="0" borderId="0" xfId="1" applyNumberFormat="1" applyFont="1" applyFill="1" applyBorder="1" applyAlignment="1" applyProtection="1">
      <alignment horizontal="center" vertical="center"/>
    </xf>
    <xf numFmtId="0" fontId="10" fillId="0" borderId="24" xfId="1" applyFont="1" applyFill="1" applyBorder="1" applyAlignment="1" applyProtection="1">
      <alignment vertical="center"/>
    </xf>
    <xf numFmtId="0" fontId="17" fillId="0" borderId="0" xfId="124" applyFont="1" applyAlignment="1" applyProtection="1">
      <alignment vertical="center"/>
    </xf>
    <xf numFmtId="0" fontId="17" fillId="0" borderId="0" xfId="124" applyFont="1" applyAlignment="1" applyProtection="1">
      <alignment horizontal="center" vertical="center"/>
    </xf>
    <xf numFmtId="185" fontId="17" fillId="0" borderId="0" xfId="124" applyNumberFormat="1" applyFont="1" applyAlignment="1" applyProtection="1">
      <alignment vertical="center"/>
    </xf>
    <xf numFmtId="0" fontId="17" fillId="0" borderId="2" xfId="124" applyFont="1" applyBorder="1" applyAlignment="1" applyProtection="1">
      <alignment vertical="center"/>
    </xf>
    <xf numFmtId="0" fontId="17" fillId="0" borderId="60" xfId="124" applyFont="1" applyBorder="1" applyAlignment="1" applyProtection="1">
      <alignment horizontal="center" vertical="center"/>
    </xf>
    <xf numFmtId="0" fontId="17" fillId="0" borderId="0" xfId="124" applyFont="1" applyBorder="1" applyAlignment="1" applyProtection="1">
      <alignment vertical="center"/>
    </xf>
    <xf numFmtId="0" fontId="45" fillId="31" borderId="175" xfId="124" applyFont="1" applyFill="1" applyBorder="1" applyAlignment="1" applyProtection="1">
      <alignment horizontal="left" vertical="center"/>
      <protection locked="0"/>
    </xf>
    <xf numFmtId="0" fontId="17" fillId="0" borderId="32" xfId="124" applyFont="1" applyBorder="1" applyAlignment="1" applyProtection="1">
      <alignment horizontal="center" vertical="center"/>
    </xf>
    <xf numFmtId="0" fontId="45" fillId="31" borderId="175" xfId="128" applyBorder="1">
      <alignment horizontal="left" vertical="center"/>
      <protection locked="0"/>
    </xf>
    <xf numFmtId="0" fontId="10" fillId="0" borderId="0" xfId="1" applyFont="1" applyFill="1" applyBorder="1"/>
    <xf numFmtId="0" fontId="17" fillId="0" borderId="19" xfId="124" applyFont="1" applyBorder="1" applyAlignment="1" applyProtection="1">
      <alignment vertical="center"/>
    </xf>
    <xf numFmtId="0" fontId="45" fillId="0" borderId="40" xfId="124" applyFont="1" applyBorder="1" applyAlignment="1" applyProtection="1">
      <alignment vertical="center"/>
    </xf>
    <xf numFmtId="0" fontId="10" fillId="0" borderId="19" xfId="1" applyFont="1" applyBorder="1"/>
    <xf numFmtId="0" fontId="45" fillId="31" borderId="175" xfId="128" applyFont="1" applyBorder="1">
      <alignment horizontal="left" vertical="center"/>
      <protection locked="0"/>
    </xf>
    <xf numFmtId="0" fontId="44" fillId="0" borderId="107" xfId="124" applyFont="1" applyBorder="1" applyAlignment="1" applyProtection="1">
      <alignment vertical="center"/>
    </xf>
    <xf numFmtId="0" fontId="10" fillId="0" borderId="107" xfId="124" applyFont="1" applyBorder="1" applyAlignment="1" applyProtection="1">
      <alignment horizontal="center" vertical="center"/>
    </xf>
    <xf numFmtId="0" fontId="97" fillId="0" borderId="0" xfId="124" applyFont="1" applyAlignment="1" applyProtection="1">
      <alignment horizontal="left" vertical="center"/>
    </xf>
    <xf numFmtId="0" fontId="44" fillId="4" borderId="0" xfId="1" applyFont="1" applyFill="1" applyAlignment="1" applyProtection="1">
      <alignment horizontal="right" vertical="center"/>
    </xf>
    <xf numFmtId="0" fontId="45" fillId="0" borderId="0" xfId="1" applyFont="1" applyAlignment="1" applyProtection="1">
      <alignment horizontal="right"/>
    </xf>
    <xf numFmtId="0" fontId="17" fillId="0" borderId="0" xfId="124" applyFont="1" applyAlignment="1" applyProtection="1">
      <alignment horizontal="right" vertical="center"/>
    </xf>
    <xf numFmtId="0" fontId="96" fillId="0" borderId="0" xfId="124" applyFont="1" applyAlignment="1" applyProtection="1">
      <alignment vertical="center"/>
    </xf>
    <xf numFmtId="0" fontId="17" fillId="0" borderId="0" xfId="124" applyFont="1" applyAlignment="1" applyProtection="1">
      <alignment vertical="center"/>
      <protection locked="0"/>
    </xf>
    <xf numFmtId="177" fontId="10" fillId="0" borderId="0" xfId="1" applyNumberFormat="1" applyFont="1"/>
    <xf numFmtId="0" fontId="5" fillId="0" borderId="32" xfId="1" applyBorder="1" applyAlignment="1" applyProtection="1">
      <alignment vertical="center"/>
    </xf>
    <xf numFmtId="49" fontId="73" fillId="0" borderId="0" xfId="1" applyNumberFormat="1" applyFont="1" applyAlignment="1" applyProtection="1">
      <alignment vertical="center"/>
    </xf>
    <xf numFmtId="0" fontId="10" fillId="0" borderId="41" xfId="1" applyFont="1" applyFill="1" applyBorder="1" applyAlignment="1" applyProtection="1">
      <alignment vertical="center"/>
    </xf>
    <xf numFmtId="0" fontId="10" fillId="0" borderId="60" xfId="1" applyFont="1" applyFill="1" applyBorder="1" applyAlignment="1" applyProtection="1">
      <alignment vertical="center"/>
    </xf>
    <xf numFmtId="0" fontId="88" fillId="0" borderId="0" xfId="1" applyFont="1" applyAlignment="1" applyProtection="1">
      <alignment vertical="center"/>
    </xf>
    <xf numFmtId="0" fontId="10" fillId="0" borderId="32" xfId="1" applyFont="1" applyFill="1" applyBorder="1" applyAlignment="1" applyProtection="1">
      <alignment vertical="center"/>
    </xf>
    <xf numFmtId="0" fontId="5" fillId="0" borderId="0" xfId="1" applyFill="1" applyBorder="1" applyProtection="1"/>
    <xf numFmtId="0" fontId="10" fillId="0" borderId="23" xfId="1" applyFont="1" applyFill="1" applyBorder="1" applyAlignment="1" applyProtection="1">
      <alignment horizontal="right" vertical="center"/>
    </xf>
    <xf numFmtId="0" fontId="10" fillId="0" borderId="23" xfId="1" applyFont="1" applyFill="1" applyBorder="1" applyAlignment="1" applyProtection="1">
      <alignment vertical="center"/>
    </xf>
    <xf numFmtId="0" fontId="10" fillId="0" borderId="153" xfId="1" applyFont="1" applyFill="1" applyBorder="1" applyAlignment="1" applyProtection="1">
      <alignment vertical="center"/>
    </xf>
    <xf numFmtId="0" fontId="10" fillId="0" borderId="24" xfId="1" applyFont="1" applyFill="1" applyBorder="1" applyAlignment="1" applyProtection="1">
      <alignment horizontal="right" vertical="center"/>
    </xf>
    <xf numFmtId="0" fontId="10" fillId="0" borderId="79" xfId="1" applyFont="1" applyFill="1" applyBorder="1" applyProtection="1"/>
    <xf numFmtId="0" fontId="0" fillId="0" borderId="0" xfId="123" applyFont="1" applyProtection="1">
      <alignment vertical="center"/>
    </xf>
    <xf numFmtId="0" fontId="19" fillId="0" borderId="0" xfId="1" applyFont="1" applyAlignment="1" applyProtection="1">
      <alignment horizontal="left" vertical="center"/>
    </xf>
    <xf numFmtId="177" fontId="6" fillId="0" borderId="0" xfId="1" applyNumberFormat="1" applyFont="1" applyAlignment="1" applyProtection="1">
      <alignment vertical="center"/>
    </xf>
    <xf numFmtId="0" fontId="145" fillId="0" borderId="0" xfId="1" applyFont="1" applyAlignment="1" applyProtection="1">
      <alignment horizontal="left" vertical="center"/>
    </xf>
    <xf numFmtId="2" fontId="145" fillId="0" borderId="0" xfId="1" applyNumberFormat="1" applyFont="1" applyAlignment="1" applyProtection="1">
      <alignment horizontal="left" vertical="center"/>
    </xf>
    <xf numFmtId="177" fontId="146" fillId="0" borderId="0" xfId="1" applyNumberFormat="1" applyFont="1" applyAlignment="1" applyProtection="1">
      <alignment horizontal="left" vertical="center"/>
    </xf>
    <xf numFmtId="3" fontId="115" fillId="4" borderId="0" xfId="1" applyNumberFormat="1" applyFont="1" applyFill="1" applyAlignment="1">
      <alignment horizontal="center" vertical="center"/>
    </xf>
    <xf numFmtId="0" fontId="32" fillId="0" borderId="0" xfId="1" applyFont="1" applyAlignment="1">
      <alignment vertical="center" wrapText="1" shrinkToFit="1"/>
    </xf>
    <xf numFmtId="3" fontId="115" fillId="4" borderId="0" xfId="1" applyNumberFormat="1" applyFont="1" applyFill="1" applyBorder="1" applyAlignment="1">
      <alignment horizontal="center" vertical="center"/>
    </xf>
    <xf numFmtId="0" fontId="10" fillId="0" borderId="0" xfId="1" applyFont="1" applyFill="1" applyBorder="1" applyAlignment="1">
      <alignment horizontal="right" vertical="center"/>
    </xf>
    <xf numFmtId="177" fontId="5" fillId="0" borderId="0" xfId="1" applyNumberFormat="1" applyBorder="1" applyAlignment="1" applyProtection="1">
      <alignment vertical="center"/>
    </xf>
    <xf numFmtId="0" fontId="10" fillId="0" borderId="43" xfId="1" applyFont="1" applyBorder="1" applyAlignment="1" applyProtection="1">
      <alignment horizontal="left" vertical="center"/>
    </xf>
    <xf numFmtId="0" fontId="10" fillId="0" borderId="40" xfId="1" applyFont="1" applyBorder="1" applyAlignment="1" applyProtection="1">
      <alignment horizontal="left" vertical="center"/>
    </xf>
    <xf numFmtId="0" fontId="10" fillId="0" borderId="39" xfId="1" applyFont="1" applyBorder="1" applyAlignment="1" applyProtection="1">
      <alignment horizontal="left" vertical="center"/>
    </xf>
    <xf numFmtId="189" fontId="15" fillId="0" borderId="163" xfId="61" applyNumberFormat="1" applyFont="1" applyBorder="1" applyAlignment="1" applyProtection="1">
      <alignment vertical="center"/>
    </xf>
    <xf numFmtId="0" fontId="7" fillId="0" borderId="181" xfId="1" applyFont="1" applyBorder="1" applyAlignment="1" applyProtection="1">
      <alignment vertical="center"/>
    </xf>
    <xf numFmtId="0" fontId="6" fillId="0" borderId="41" xfId="1" applyFont="1" applyBorder="1" applyAlignment="1" applyProtection="1">
      <alignment vertical="center"/>
    </xf>
    <xf numFmtId="0" fontId="5" fillId="0" borderId="181" xfId="1" applyBorder="1" applyAlignment="1" applyProtection="1">
      <alignment vertical="center"/>
    </xf>
    <xf numFmtId="0" fontId="6" fillId="0" borderId="171" xfId="1" applyFont="1" applyBorder="1" applyAlignment="1" applyProtection="1">
      <alignment vertical="center"/>
    </xf>
    <xf numFmtId="0" fontId="7" fillId="0" borderId="181" xfId="1" applyFont="1" applyBorder="1" applyAlignment="1" applyProtection="1">
      <alignment horizontal="left" vertical="center"/>
    </xf>
    <xf numFmtId="201" fontId="16" fillId="31" borderId="163" xfId="1" applyNumberFormat="1" applyFont="1" applyFill="1" applyBorder="1" applyAlignment="1" applyProtection="1">
      <alignment horizontal="center" vertical="center"/>
      <protection locked="0"/>
    </xf>
    <xf numFmtId="0" fontId="16" fillId="0" borderId="171" xfId="1" applyFont="1" applyBorder="1" applyAlignment="1" applyProtection="1">
      <alignment wrapText="1"/>
    </xf>
    <xf numFmtId="9" fontId="16" fillId="4" borderId="163" xfId="61" applyFont="1" applyFill="1" applyBorder="1" applyAlignment="1" applyProtection="1">
      <alignment horizontal="center" vertical="center"/>
    </xf>
    <xf numFmtId="0" fontId="16" fillId="0" borderId="180" xfId="1" applyFont="1" applyBorder="1" applyAlignment="1" applyProtection="1">
      <alignment vertical="center"/>
    </xf>
    <xf numFmtId="170" fontId="7" fillId="4" borderId="64" xfId="1" applyNumberFormat="1" applyFont="1" applyFill="1" applyBorder="1" applyAlignment="1" applyProtection="1">
      <alignment horizontal="right" vertical="center"/>
    </xf>
    <xf numFmtId="0" fontId="7" fillId="27" borderId="0" xfId="1" applyFont="1" applyFill="1" applyAlignment="1" applyProtection="1">
      <alignment vertical="center"/>
    </xf>
    <xf numFmtId="0" fontId="7" fillId="4" borderId="32" xfId="105" applyFont="1" applyFill="1" applyBorder="1" applyAlignment="1" applyProtection="1">
      <alignment vertical="center"/>
    </xf>
    <xf numFmtId="189" fontId="15" fillId="0" borderId="64" xfId="61" applyNumberFormat="1" applyFont="1" applyBorder="1" applyAlignment="1" applyProtection="1">
      <alignment vertical="center"/>
    </xf>
    <xf numFmtId="188" fontId="147" fillId="0" borderId="156" xfId="1" applyNumberFormat="1" applyFont="1" applyBorder="1" applyAlignment="1" applyProtection="1">
      <alignment horizontal="center" vertical="center"/>
    </xf>
    <xf numFmtId="188" fontId="147" fillId="0" borderId="91" xfId="1" applyNumberFormat="1" applyFont="1" applyBorder="1" applyAlignment="1" applyProtection="1">
      <alignment horizontal="center" vertical="center"/>
    </xf>
    <xf numFmtId="188" fontId="147" fillId="27" borderId="156" xfId="1" applyNumberFormat="1" applyFont="1" applyFill="1" applyBorder="1" applyAlignment="1" applyProtection="1">
      <alignment horizontal="center" vertical="center"/>
    </xf>
    <xf numFmtId="188" fontId="147" fillId="27" borderId="91" xfId="1" applyNumberFormat="1" applyFont="1" applyFill="1" applyBorder="1" applyAlignment="1" applyProtection="1">
      <alignment horizontal="center" vertical="center"/>
    </xf>
    <xf numFmtId="0" fontId="147" fillId="0" borderId="156" xfId="105" applyFont="1" applyBorder="1" applyAlignment="1" applyProtection="1">
      <alignment horizontal="center" vertical="center"/>
    </xf>
    <xf numFmtId="0" fontId="147" fillId="0" borderId="118" xfId="105" applyFont="1" applyBorder="1" applyAlignment="1" applyProtection="1">
      <alignment horizontal="center" vertical="center"/>
    </xf>
    <xf numFmtId="0" fontId="5" fillId="0" borderId="90" xfId="1" applyBorder="1" applyProtection="1"/>
    <xf numFmtId="0" fontId="7" fillId="0" borderId="175" xfId="105" applyFont="1" applyBorder="1" applyAlignment="1" applyProtection="1">
      <alignment vertical="center"/>
    </xf>
    <xf numFmtId="189" fontId="15" fillId="0" borderId="124" xfId="61" applyNumberFormat="1" applyFont="1" applyBorder="1" applyAlignment="1" applyProtection="1">
      <alignment vertical="center"/>
    </xf>
    <xf numFmtId="0" fontId="17" fillId="0" borderId="19" xfId="105" applyFont="1" applyBorder="1" applyAlignment="1" applyProtection="1">
      <alignment horizontal="right" vertical="center"/>
    </xf>
    <xf numFmtId="0" fontId="15" fillId="0" borderId="32" xfId="1" applyFont="1" applyBorder="1" applyAlignment="1" applyProtection="1">
      <alignment vertical="center"/>
    </xf>
    <xf numFmtId="189" fontId="15" fillId="0" borderId="125" xfId="61" applyNumberFormat="1" applyFont="1" applyBorder="1" applyAlignment="1" applyProtection="1">
      <alignment vertical="center"/>
    </xf>
    <xf numFmtId="0" fontId="7" fillId="0" borderId="154" xfId="105" applyFont="1" applyBorder="1" applyAlignment="1" applyProtection="1">
      <alignment vertical="center"/>
    </xf>
    <xf numFmtId="0" fontId="15" fillId="0" borderId="32" xfId="105" applyFont="1" applyBorder="1" applyAlignment="1" applyProtection="1">
      <alignment vertical="center"/>
    </xf>
    <xf numFmtId="188" fontId="15" fillId="0" borderId="125" xfId="1" applyNumberFormat="1" applyFont="1" applyBorder="1" applyAlignment="1" applyProtection="1">
      <alignment horizontal="right" vertical="center"/>
    </xf>
    <xf numFmtId="0" fontId="5" fillId="0" borderId="154" xfId="1" applyBorder="1" applyProtection="1"/>
    <xf numFmtId="0" fontId="49" fillId="0" borderId="156" xfId="105" applyFont="1" applyBorder="1" applyAlignment="1" applyProtection="1">
      <alignment horizontal="center" vertical="center" wrapText="1"/>
    </xf>
    <xf numFmtId="0" fontId="147" fillId="0" borderId="91" xfId="105" applyFont="1" applyBorder="1" applyAlignment="1" applyProtection="1">
      <alignment horizontal="center" vertical="center"/>
    </xf>
    <xf numFmtId="0" fontId="49" fillId="27" borderId="156" xfId="105" applyFont="1" applyFill="1" applyBorder="1" applyAlignment="1" applyProtection="1">
      <alignment horizontal="center" vertical="center" wrapText="1"/>
    </xf>
    <xf numFmtId="0" fontId="147" fillId="27" borderId="91" xfId="105" applyFont="1" applyFill="1" applyBorder="1" applyAlignment="1" applyProtection="1">
      <alignment horizontal="center" vertical="center"/>
    </xf>
    <xf numFmtId="170" fontId="7" fillId="4" borderId="125" xfId="1" applyNumberFormat="1" applyFont="1" applyFill="1" applyBorder="1" applyAlignment="1" applyProtection="1">
      <alignment horizontal="right" vertical="center"/>
    </xf>
    <xf numFmtId="188" fontId="7" fillId="4" borderId="39" xfId="1" applyNumberFormat="1" applyFont="1" applyFill="1" applyBorder="1" applyAlignment="1" applyProtection="1">
      <alignment horizontal="right" vertical="center"/>
    </xf>
    <xf numFmtId="0" fontId="7" fillId="4" borderId="154" xfId="1" applyFont="1" applyFill="1" applyBorder="1" applyAlignment="1" applyProtection="1">
      <alignment vertical="center"/>
    </xf>
    <xf numFmtId="188" fontId="7" fillId="4" borderId="40" xfId="1" applyNumberFormat="1" applyFont="1" applyFill="1" applyBorder="1" applyAlignment="1" applyProtection="1">
      <alignment horizontal="right" vertical="center"/>
    </xf>
    <xf numFmtId="188" fontId="7" fillId="4" borderId="66" xfId="1" applyNumberFormat="1" applyFont="1" applyFill="1" applyBorder="1" applyAlignment="1" applyProtection="1">
      <alignment horizontal="right" vertical="center"/>
    </xf>
    <xf numFmtId="188" fontId="14" fillId="0" borderId="0" xfId="1" applyNumberFormat="1" applyFont="1" applyBorder="1" applyAlignment="1" applyProtection="1">
      <alignment horizontal="right" vertical="center"/>
    </xf>
    <xf numFmtId="188" fontId="14" fillId="0" borderId="40" xfId="1" applyNumberFormat="1" applyFont="1" applyBorder="1" applyAlignment="1" applyProtection="1">
      <alignment horizontal="right" vertical="center"/>
    </xf>
    <xf numFmtId="0" fontId="147" fillId="0" borderId="159" xfId="105" applyFont="1" applyBorder="1" applyAlignment="1" applyProtection="1">
      <alignment horizontal="center" vertical="center"/>
    </xf>
    <xf numFmtId="0" fontId="17" fillId="0" borderId="83" xfId="105" applyFont="1" applyBorder="1" applyAlignment="1" applyProtection="1">
      <alignment horizontal="right" vertical="center"/>
    </xf>
    <xf numFmtId="170" fontId="14" fillId="0" borderId="125" xfId="1" applyNumberFormat="1" applyFont="1" applyBorder="1" applyAlignment="1" applyProtection="1">
      <alignment horizontal="right" vertical="center"/>
    </xf>
    <xf numFmtId="0" fontId="15" fillId="0" borderId="154" xfId="105" applyFont="1" applyBorder="1" applyAlignment="1" applyProtection="1">
      <alignment vertical="center"/>
    </xf>
    <xf numFmtId="170" fontId="17" fillId="0" borderId="64" xfId="61" applyNumberFormat="1" applyFont="1" applyBorder="1" applyAlignment="1" applyProtection="1">
      <alignment vertical="center"/>
    </xf>
    <xf numFmtId="0" fontId="17" fillId="0" borderId="44" xfId="105" applyFont="1" applyBorder="1" applyAlignment="1" applyProtection="1">
      <alignment horizontal="right" vertical="center"/>
    </xf>
    <xf numFmtId="0" fontId="17" fillId="0" borderId="154" xfId="105" applyFont="1" applyBorder="1" applyAlignment="1" applyProtection="1">
      <alignment vertical="center"/>
    </xf>
    <xf numFmtId="170" fontId="7" fillId="0" borderId="64" xfId="61" applyNumberFormat="1" applyFont="1" applyBorder="1" applyAlignment="1" applyProtection="1">
      <alignment vertical="center"/>
    </xf>
    <xf numFmtId="199" fontId="7" fillId="0" borderId="57" xfId="105" applyNumberFormat="1" applyFont="1" applyBorder="1" applyAlignment="1" applyProtection="1">
      <alignment vertical="center"/>
    </xf>
    <xf numFmtId="206" fontId="7" fillId="31" borderId="77" xfId="105" applyNumberFormat="1" applyFont="1" applyFill="1" applyBorder="1" applyAlignment="1" applyProtection="1">
      <alignment vertical="center"/>
      <protection locked="0"/>
    </xf>
    <xf numFmtId="170" fontId="7" fillId="27" borderId="19" xfId="61" applyNumberFormat="1" applyFont="1" applyFill="1" applyBorder="1" applyAlignment="1" applyProtection="1">
      <alignment vertical="center"/>
    </xf>
    <xf numFmtId="170" fontId="7" fillId="0" borderId="0" xfId="61" applyNumberFormat="1" applyFont="1" applyBorder="1" applyAlignment="1" applyProtection="1">
      <alignment vertical="center"/>
    </xf>
    <xf numFmtId="0" fontId="149" fillId="0" borderId="57" xfId="105" applyFont="1" applyFill="1" applyBorder="1" applyAlignment="1" applyProtection="1">
      <alignment horizontal="left" vertical="center" wrapText="1"/>
      <protection locked="0"/>
    </xf>
    <xf numFmtId="0" fontId="15" fillId="0" borderId="150" xfId="105" applyFont="1" applyBorder="1" applyAlignment="1" applyProtection="1">
      <alignment vertical="center"/>
    </xf>
    <xf numFmtId="170" fontId="7" fillId="0" borderId="125" xfId="61" applyNumberFormat="1" applyFont="1" applyBorder="1" applyAlignment="1" applyProtection="1">
      <alignment vertical="center"/>
    </xf>
    <xf numFmtId="170" fontId="7" fillId="0" borderId="64" xfId="1" applyNumberFormat="1" applyFont="1" applyBorder="1" applyAlignment="1" applyProtection="1">
      <alignment horizontal="right" vertical="center"/>
    </xf>
    <xf numFmtId="0" fontId="7" fillId="4" borderId="32" xfId="1" applyFont="1" applyFill="1" applyBorder="1" applyAlignment="1" applyProtection="1">
      <alignment vertical="center"/>
    </xf>
    <xf numFmtId="0" fontId="7" fillId="4" borderId="186" xfId="1" applyFont="1" applyFill="1" applyBorder="1" applyAlignment="1" applyProtection="1">
      <alignment vertical="center"/>
    </xf>
    <xf numFmtId="188" fontId="147" fillId="0" borderId="178" xfId="1" applyNumberFormat="1" applyFont="1" applyBorder="1" applyAlignment="1" applyProtection="1">
      <alignment horizontal="center" vertical="center"/>
    </xf>
    <xf numFmtId="188" fontId="147" fillId="27" borderId="89" xfId="1" applyNumberFormat="1" applyFont="1" applyFill="1" applyBorder="1" applyAlignment="1" applyProtection="1">
      <alignment horizontal="center" vertical="center"/>
    </xf>
    <xf numFmtId="0" fontId="147" fillId="27" borderId="156" xfId="105" applyFont="1" applyFill="1" applyBorder="1" applyAlignment="1" applyProtection="1">
      <alignment horizontal="center" vertical="center"/>
    </xf>
    <xf numFmtId="188" fontId="147" fillId="0" borderId="89" xfId="1" applyNumberFormat="1" applyFont="1" applyBorder="1" applyAlignment="1" applyProtection="1">
      <alignment horizontal="center" vertical="center"/>
    </xf>
    <xf numFmtId="0" fontId="5" fillId="0" borderId="90" xfId="1" applyBorder="1" applyAlignment="1" applyProtection="1">
      <alignment vertical="center"/>
    </xf>
    <xf numFmtId="0" fontId="5" fillId="0" borderId="175" xfId="1" applyBorder="1" applyAlignment="1" applyProtection="1">
      <alignment vertical="center"/>
    </xf>
    <xf numFmtId="170" fontId="14" fillId="0" borderId="64" xfId="61" applyNumberFormat="1" applyFont="1" applyBorder="1" applyAlignment="1" applyProtection="1">
      <alignment vertical="center"/>
    </xf>
    <xf numFmtId="0" fontId="7" fillId="0" borderId="32" xfId="105" applyFont="1" applyBorder="1" applyAlignment="1" applyProtection="1">
      <alignment vertical="center"/>
    </xf>
    <xf numFmtId="188" fontId="15" fillId="0" borderId="23" xfId="1" applyNumberFormat="1" applyFont="1" applyBorder="1" applyAlignment="1" applyProtection="1">
      <alignment horizontal="right" vertical="center"/>
    </xf>
    <xf numFmtId="188" fontId="15" fillId="0" borderId="43" xfId="1" applyNumberFormat="1" applyFont="1" applyBorder="1" applyAlignment="1" applyProtection="1">
      <alignment horizontal="right" vertical="center"/>
    </xf>
    <xf numFmtId="188" fontId="15" fillId="27" borderId="23" xfId="1" applyNumberFormat="1" applyFont="1" applyFill="1" applyBorder="1" applyAlignment="1" applyProtection="1">
      <alignment horizontal="right" vertical="center"/>
    </xf>
    <xf numFmtId="188" fontId="15" fillId="27" borderId="43" xfId="1" applyNumberFormat="1" applyFont="1" applyFill="1" applyBorder="1" applyAlignment="1" applyProtection="1">
      <alignment horizontal="right" vertical="center"/>
    </xf>
    <xf numFmtId="0" fontId="17" fillId="0" borderId="42" xfId="105" applyFont="1" applyBorder="1" applyAlignment="1" applyProtection="1">
      <alignment horizontal="right" vertical="center"/>
    </xf>
    <xf numFmtId="0" fontId="15" fillId="0" borderId="153" xfId="105" applyFont="1" applyBorder="1" applyAlignment="1" applyProtection="1">
      <alignment vertical="center"/>
    </xf>
    <xf numFmtId="170" fontId="7" fillId="0" borderId="125" xfId="1" applyNumberFormat="1" applyFont="1" applyBorder="1" applyAlignment="1" applyProtection="1">
      <alignment horizontal="right" vertical="center"/>
    </xf>
    <xf numFmtId="199" fontId="7" fillId="31" borderId="63" xfId="105" applyNumberFormat="1" applyFont="1" applyFill="1" applyBorder="1" applyAlignment="1" applyProtection="1">
      <alignment vertical="center"/>
      <protection locked="0"/>
    </xf>
    <xf numFmtId="0" fontId="7" fillId="4" borderId="154" xfId="105" applyFont="1" applyFill="1" applyBorder="1" applyAlignment="1" applyProtection="1">
      <alignment vertical="center"/>
    </xf>
    <xf numFmtId="199" fontId="7" fillId="31" borderId="67" xfId="105" applyNumberFormat="1" applyFont="1" applyFill="1" applyBorder="1" applyAlignment="1" applyProtection="1">
      <alignment vertical="center"/>
      <protection locked="0"/>
    </xf>
    <xf numFmtId="0" fontId="7" fillId="4" borderId="32" xfId="1" applyFont="1" applyFill="1" applyBorder="1" applyProtection="1"/>
    <xf numFmtId="188" fontId="7" fillId="0" borderId="64" xfId="1" applyNumberFormat="1" applyFont="1" applyBorder="1" applyAlignment="1" applyProtection="1">
      <alignment horizontal="center" vertical="center"/>
    </xf>
    <xf numFmtId="0" fontId="147" fillId="0" borderId="161" xfId="105" applyFont="1" applyBorder="1" applyAlignment="1" applyProtection="1">
      <alignment horizontal="center" vertical="center"/>
    </xf>
    <xf numFmtId="0" fontId="52" fillId="27" borderId="0" xfId="1" applyFont="1" applyFill="1" applyBorder="1" applyAlignment="1" applyProtection="1">
      <alignment horizontal="center" vertical="center"/>
    </xf>
    <xf numFmtId="0" fontId="147" fillId="27" borderId="161" xfId="105" applyFont="1" applyFill="1" applyBorder="1" applyAlignment="1" applyProtection="1">
      <alignment horizontal="center" vertical="center"/>
    </xf>
    <xf numFmtId="0" fontId="52" fillId="0" borderId="0" xfId="1" applyFont="1" applyBorder="1" applyAlignment="1" applyProtection="1">
      <alignment horizontal="center" vertical="center"/>
    </xf>
    <xf numFmtId="0" fontId="7" fillId="0" borderId="83" xfId="105" applyFont="1" applyFill="1" applyBorder="1" applyAlignment="1" applyProtection="1">
      <alignment horizontal="right" vertical="center"/>
    </xf>
    <xf numFmtId="176" fontId="7" fillId="31" borderId="61" xfId="105" applyNumberFormat="1" applyFont="1" applyFill="1" applyBorder="1" applyAlignment="1" applyProtection="1">
      <alignment vertical="center"/>
      <protection locked="0"/>
    </xf>
    <xf numFmtId="176" fontId="7" fillId="31" borderId="65" xfId="105" applyNumberFormat="1" applyFont="1" applyFill="1" applyBorder="1" applyAlignment="1" applyProtection="1">
      <alignment vertical="center"/>
      <protection locked="0"/>
    </xf>
    <xf numFmtId="0" fontId="7" fillId="0" borderId="186" xfId="1" applyFont="1" applyBorder="1" applyAlignment="1" applyProtection="1">
      <alignment vertical="center"/>
    </xf>
    <xf numFmtId="188" fontId="7" fillId="0" borderId="87" xfId="1" applyNumberFormat="1" applyFont="1" applyBorder="1" applyAlignment="1" applyProtection="1">
      <alignment horizontal="center" vertical="center"/>
    </xf>
    <xf numFmtId="188" fontId="147" fillId="0" borderId="161" xfId="1" applyNumberFormat="1" applyFont="1" applyBorder="1" applyAlignment="1" applyProtection="1">
      <alignment horizontal="center" vertical="center"/>
    </xf>
    <xf numFmtId="0" fontId="52" fillId="27" borderId="0" xfId="1" applyFont="1" applyFill="1" applyAlignment="1" applyProtection="1">
      <alignment vertical="center"/>
    </xf>
    <xf numFmtId="188" fontId="147" fillId="27" borderId="161" xfId="1" applyNumberFormat="1" applyFont="1" applyFill="1" applyBorder="1" applyAlignment="1" applyProtection="1">
      <alignment horizontal="center" vertical="center"/>
    </xf>
    <xf numFmtId="0" fontId="52" fillId="0" borderId="0" xfId="1" applyFont="1" applyAlignment="1" applyProtection="1">
      <alignment vertical="center"/>
    </xf>
    <xf numFmtId="0" fontId="15" fillId="0" borderId="175" xfId="105" applyFont="1" applyBorder="1" applyAlignment="1" applyProtection="1">
      <alignment vertical="center"/>
    </xf>
    <xf numFmtId="0" fontId="12" fillId="0" borderId="0" xfId="1" applyFont="1" applyBorder="1" applyAlignment="1" applyProtection="1">
      <alignment horizontal="left" vertical="center"/>
    </xf>
    <xf numFmtId="0" fontId="7" fillId="0" borderId="186" xfId="105" applyFont="1" applyBorder="1" applyAlignment="1" applyProtection="1">
      <alignment vertical="center"/>
    </xf>
    <xf numFmtId="0" fontId="147" fillId="27" borderId="0" xfId="1" applyFont="1" applyFill="1" applyAlignment="1" applyProtection="1">
      <alignment vertical="center"/>
    </xf>
    <xf numFmtId="0" fontId="147" fillId="0" borderId="0" xfId="1" applyFont="1" applyAlignment="1" applyProtection="1">
      <alignment vertical="center"/>
    </xf>
    <xf numFmtId="0" fontId="113" fillId="0" borderId="119" xfId="1" applyFont="1" applyBorder="1" applyAlignment="1" applyProtection="1">
      <alignment horizontal="center" vertical="center"/>
    </xf>
    <xf numFmtId="0" fontId="15" fillId="0" borderId="175" xfId="1" applyFont="1" applyBorder="1" applyAlignment="1" applyProtection="1">
      <alignment vertical="center"/>
    </xf>
    <xf numFmtId="0" fontId="15" fillId="0" borderId="153" xfId="1" applyFont="1" applyBorder="1" applyAlignment="1" applyProtection="1">
      <alignment vertical="center"/>
    </xf>
    <xf numFmtId="189" fontId="15" fillId="31" borderId="183" xfId="61" applyNumberFormat="1" applyFont="1" applyFill="1" applyBorder="1" applyAlignment="1" applyProtection="1">
      <alignment vertical="center"/>
      <protection locked="0"/>
    </xf>
    <xf numFmtId="0" fontId="7" fillId="4" borderId="154" xfId="1" applyFont="1" applyFill="1" applyBorder="1" applyAlignment="1" applyProtection="1">
      <alignment horizontal="center" vertical="center"/>
    </xf>
    <xf numFmtId="0" fontId="7" fillId="4" borderId="32" xfId="1" applyFont="1" applyFill="1" applyBorder="1" applyAlignment="1" applyProtection="1">
      <alignment horizontal="center" vertical="center"/>
    </xf>
    <xf numFmtId="0" fontId="17" fillId="0" borderId="2" xfId="1" applyFont="1" applyBorder="1" applyProtection="1"/>
    <xf numFmtId="0" fontId="7" fillId="0" borderId="23" xfId="1" applyFont="1" applyFill="1" applyBorder="1" applyAlignment="1" applyProtection="1">
      <alignment horizontal="right" vertical="center"/>
    </xf>
    <xf numFmtId="0" fontId="15" fillId="0" borderId="23" xfId="1" applyFont="1" applyBorder="1" applyAlignment="1" applyProtection="1">
      <alignment vertical="center"/>
    </xf>
    <xf numFmtId="9" fontId="113" fillId="31" borderId="0" xfId="1" applyNumberFormat="1" applyFont="1" applyFill="1" applyBorder="1" applyAlignment="1" applyProtection="1">
      <alignment horizontal="center" vertical="center"/>
      <protection locked="0"/>
    </xf>
    <xf numFmtId="0" fontId="7" fillId="0" borderId="125" xfId="1" applyFont="1" applyBorder="1" applyAlignment="1" applyProtection="1">
      <alignment vertical="center"/>
    </xf>
    <xf numFmtId="0" fontId="7" fillId="0" borderId="19" xfId="1" applyFont="1" applyFill="1" applyBorder="1" applyAlignment="1" applyProtection="1">
      <alignment horizontal="right" vertical="center"/>
    </xf>
    <xf numFmtId="0" fontId="15" fillId="0" borderId="32" xfId="1" applyFont="1" applyBorder="1" applyAlignment="1" applyProtection="1">
      <alignment horizontal="left" vertical="center"/>
    </xf>
    <xf numFmtId="1" fontId="44" fillId="31" borderId="78" xfId="61" applyNumberFormat="1" applyFont="1" applyFill="1" applyBorder="1" applyAlignment="1" applyProtection="1">
      <alignment horizontal="center" vertical="center"/>
      <protection locked="0"/>
    </xf>
    <xf numFmtId="1" fontId="44" fillId="31" borderId="24" xfId="61" applyNumberFormat="1" applyFont="1" applyFill="1" applyBorder="1" applyAlignment="1" applyProtection="1">
      <alignment horizontal="center" vertical="center"/>
      <protection locked="0"/>
    </xf>
    <xf numFmtId="0" fontId="44" fillId="0" borderId="75" xfId="1" applyFont="1" applyBorder="1" applyAlignment="1" applyProtection="1">
      <alignment vertical="center"/>
    </xf>
    <xf numFmtId="0" fontId="44" fillId="0" borderId="76" xfId="1" applyFont="1" applyBorder="1" applyAlignment="1" applyProtection="1">
      <alignment vertical="center"/>
    </xf>
    <xf numFmtId="0" fontId="5" fillId="0" borderId="0" xfId="1" applyBorder="1" applyAlignment="1" applyProtection="1">
      <alignment vertical="top"/>
    </xf>
    <xf numFmtId="0" fontId="7" fillId="0" borderId="2" xfId="105" applyFont="1" applyFill="1" applyBorder="1" applyAlignment="1" applyProtection="1">
      <alignment vertical="center"/>
      <protection locked="0"/>
    </xf>
    <xf numFmtId="0" fontId="15" fillId="0" borderId="150" xfId="1" applyFont="1" applyBorder="1" applyAlignment="1" applyProtection="1">
      <alignment vertical="center"/>
    </xf>
    <xf numFmtId="3" fontId="17" fillId="0" borderId="44" xfId="1" applyNumberFormat="1" applyFont="1" applyBorder="1" applyAlignment="1" applyProtection="1">
      <alignment vertical="center"/>
    </xf>
    <xf numFmtId="3" fontId="17" fillId="0" borderId="2" xfId="1" applyNumberFormat="1" applyFont="1" applyBorder="1" applyAlignment="1" applyProtection="1">
      <alignment vertical="center"/>
    </xf>
    <xf numFmtId="3" fontId="17" fillId="0" borderId="39" xfId="1" applyNumberFormat="1" applyFont="1" applyBorder="1" applyAlignment="1" applyProtection="1">
      <alignment vertical="center"/>
    </xf>
    <xf numFmtId="0" fontId="45" fillId="0" borderId="165" xfId="1" applyFont="1" applyBorder="1" applyAlignment="1" applyProtection="1">
      <alignment horizontal="left" vertical="center"/>
    </xf>
    <xf numFmtId="0" fontId="14" fillId="31" borderId="0" xfId="1" applyFont="1" applyFill="1" applyBorder="1" applyAlignment="1" applyProtection="1">
      <alignment horizontal="center" vertical="center"/>
      <protection locked="0"/>
    </xf>
    <xf numFmtId="0" fontId="19" fillId="31" borderId="0" xfId="1" applyFont="1" applyFill="1" applyBorder="1" applyAlignment="1" applyProtection="1">
      <alignment horizontal="right" vertical="top"/>
      <protection locked="0"/>
    </xf>
    <xf numFmtId="0" fontId="5" fillId="0" borderId="0" xfId="1" applyAlignment="1" applyProtection="1">
      <alignment vertical="top"/>
      <protection locked="0"/>
    </xf>
    <xf numFmtId="176" fontId="7" fillId="30" borderId="61" xfId="105" applyNumberFormat="1" applyFont="1" applyFill="1" applyBorder="1" applyAlignment="1" applyProtection="1">
      <alignment vertical="center"/>
      <protection locked="0"/>
    </xf>
    <xf numFmtId="176" fontId="7" fillId="30" borderId="65" xfId="105" applyNumberFormat="1" applyFont="1" applyFill="1" applyBorder="1" applyAlignment="1" applyProtection="1">
      <alignment vertical="center"/>
      <protection locked="0"/>
    </xf>
    <xf numFmtId="0" fontId="147" fillId="30" borderId="118" xfId="105" applyFont="1" applyFill="1" applyBorder="1" applyAlignment="1" applyProtection="1">
      <alignment horizontal="center" vertical="center"/>
    </xf>
    <xf numFmtId="0" fontId="10" fillId="30" borderId="65" xfId="1" applyFont="1" applyFill="1" applyBorder="1" applyAlignment="1" applyProtection="1">
      <alignment horizontal="center" vertical="center"/>
    </xf>
    <xf numFmtId="0" fontId="36" fillId="0" borderId="0" xfId="105"/>
    <xf numFmtId="0" fontId="5" fillId="31" borderId="0" xfId="1" applyFill="1"/>
    <xf numFmtId="0" fontId="14" fillId="31" borderId="0" xfId="1" applyFont="1" applyFill="1" applyAlignment="1" applyProtection="1">
      <alignment vertical="center"/>
      <protection locked="0"/>
    </xf>
    <xf numFmtId="0" fontId="7" fillId="4" borderId="9" xfId="61" applyNumberFormat="1" applyFont="1" applyFill="1" applyBorder="1" applyAlignment="1" applyProtection="1">
      <alignment horizontal="center" vertical="center"/>
    </xf>
    <xf numFmtId="0" fontId="7" fillId="0" borderId="23" xfId="105" applyFont="1" applyFill="1" applyBorder="1" applyAlignment="1" applyProtection="1">
      <alignment horizontal="right" vertical="center"/>
    </xf>
    <xf numFmtId="0" fontId="5" fillId="0" borderId="34" xfId="1" applyBorder="1" applyAlignment="1" applyProtection="1">
      <alignment vertical="center"/>
    </xf>
    <xf numFmtId="0" fontId="5" fillId="0" borderId="25" xfId="1" applyBorder="1" applyAlignment="1" applyProtection="1">
      <alignment vertical="center"/>
    </xf>
    <xf numFmtId="0" fontId="5" fillId="0" borderId="36" xfId="1" applyBorder="1" applyAlignment="1" applyProtection="1">
      <alignment vertical="center"/>
    </xf>
    <xf numFmtId="0" fontId="96" fillId="0" borderId="0" xfId="1" applyFont="1" applyAlignment="1" applyProtection="1">
      <alignment vertical="center"/>
    </xf>
    <xf numFmtId="0" fontId="96" fillId="0" borderId="0" xfId="1" applyFont="1" applyBorder="1" applyAlignment="1" applyProtection="1">
      <alignment vertical="center"/>
    </xf>
    <xf numFmtId="188" fontId="7" fillId="31" borderId="40" xfId="61" applyNumberFormat="1" applyFont="1" applyFill="1" applyBorder="1" applyAlignment="1" applyProtection="1">
      <alignment vertical="center"/>
    </xf>
    <xf numFmtId="0" fontId="6" fillId="0" borderId="0" xfId="1" applyFont="1" applyAlignment="1" applyProtection="1">
      <alignment vertical="center"/>
    </xf>
    <xf numFmtId="0" fontId="5" fillId="0" borderId="0" xfId="1" applyBorder="1" applyAlignment="1" applyProtection="1">
      <alignment vertical="center"/>
    </xf>
    <xf numFmtId="0" fontId="5" fillId="0" borderId="19" xfId="1" applyBorder="1" applyAlignment="1" applyProtection="1">
      <alignment vertical="center"/>
    </xf>
    <xf numFmtId="0" fontId="6" fillId="0" borderId="0" xfId="1" applyFont="1" applyBorder="1" applyAlignment="1" applyProtection="1">
      <alignment vertical="center"/>
    </xf>
    <xf numFmtId="0" fontId="6" fillId="0" borderId="19" xfId="1" applyFont="1" applyBorder="1" applyAlignment="1" applyProtection="1">
      <alignment vertical="center"/>
    </xf>
    <xf numFmtId="0" fontId="5" fillId="0" borderId="0" xfId="1" applyAlignment="1" applyProtection="1">
      <alignment vertical="center"/>
    </xf>
    <xf numFmtId="0" fontId="5" fillId="0" borderId="0" xfId="1" applyBorder="1" applyAlignment="1" applyProtection="1">
      <alignment vertical="center"/>
    </xf>
    <xf numFmtId="0" fontId="16" fillId="0" borderId="0" xfId="1" applyFont="1"/>
    <xf numFmtId="0" fontId="155" fillId="0" borderId="0" xfId="1" applyFont="1" applyAlignment="1">
      <alignment horizontal="left" vertical="center"/>
    </xf>
    <xf numFmtId="0" fontId="10" fillId="0" borderId="0" xfId="1" applyFont="1" applyAlignment="1">
      <alignment vertical="top" wrapText="1"/>
    </xf>
    <xf numFmtId="2" fontId="10" fillId="0" borderId="0" xfId="1" applyNumberFormat="1" applyFont="1" applyAlignment="1">
      <alignment vertical="top" wrapText="1"/>
    </xf>
    <xf numFmtId="0" fontId="10" fillId="0" borderId="0" xfId="1" applyFont="1" applyAlignment="1">
      <alignment horizontal="center" vertical="top" wrapText="1"/>
    </xf>
    <xf numFmtId="0" fontId="6" fillId="0" borderId="0" xfId="1" applyFont="1" applyAlignment="1">
      <alignment horizontal="left" vertical="top" wrapText="1"/>
    </xf>
    <xf numFmtId="0" fontId="6" fillId="0" borderId="0" xfId="1" applyFont="1" applyAlignment="1">
      <alignment horizontal="center" vertical="top" wrapText="1"/>
    </xf>
    <xf numFmtId="4" fontId="10" fillId="0" borderId="3" xfId="53" applyAlignment="1">
      <alignment horizontal="center" vertical="center" shrinkToFit="1"/>
    </xf>
    <xf numFmtId="4" fontId="10" fillId="0" borderId="3" xfId="53">
      <alignment vertical="center" shrinkToFit="1"/>
    </xf>
    <xf numFmtId="4" fontId="10" fillId="0" borderId="3" xfId="53" applyFont="1">
      <alignment vertical="center" shrinkToFit="1"/>
    </xf>
    <xf numFmtId="4" fontId="156" fillId="0" borderId="3" xfId="53" applyFont="1">
      <alignment vertical="center" shrinkToFit="1"/>
    </xf>
    <xf numFmtId="4" fontId="6" fillId="0" borderId="3" xfId="53" applyFont="1" applyAlignment="1">
      <alignment horizontal="center" vertical="center" shrinkToFit="1"/>
    </xf>
    <xf numFmtId="3" fontId="6" fillId="0" borderId="3" xfId="53" applyNumberFormat="1" applyFont="1" applyAlignment="1">
      <alignment horizontal="center" vertical="center" shrinkToFit="1"/>
    </xf>
    <xf numFmtId="3" fontId="6" fillId="0" borderId="3" xfId="53" applyNumberFormat="1" applyFont="1">
      <alignment vertical="center" shrinkToFit="1"/>
    </xf>
    <xf numFmtId="4" fontId="156" fillId="0" borderId="3" xfId="53" applyFont="1" applyAlignment="1">
      <alignment horizontal="center" vertical="center" shrinkToFit="1"/>
    </xf>
    <xf numFmtId="3" fontId="156" fillId="0" borderId="3" xfId="53" applyNumberFormat="1" applyFont="1" applyAlignment="1">
      <alignment horizontal="center" vertical="center" shrinkToFit="1"/>
    </xf>
    <xf numFmtId="3" fontId="156" fillId="0" borderId="3" xfId="53" applyNumberFormat="1" applyFont="1">
      <alignment vertical="center" shrinkToFit="1"/>
    </xf>
    <xf numFmtId="4" fontId="13" fillId="0" borderId="3" xfId="53" applyFont="1" applyAlignment="1">
      <alignment vertical="center"/>
    </xf>
    <xf numFmtId="0" fontId="15" fillId="0" borderId="0" xfId="1" applyFont="1"/>
    <xf numFmtId="0" fontId="16" fillId="0" borderId="188" xfId="1" applyFont="1" applyBorder="1"/>
    <xf numFmtId="0" fontId="16" fillId="0" borderId="189" xfId="1" applyFont="1" applyBorder="1"/>
    <xf numFmtId="2" fontId="53" fillId="36" borderId="1" xfId="122" applyNumberFormat="1" applyFont="1"/>
    <xf numFmtId="2" fontId="81" fillId="36" borderId="1" xfId="122" applyNumberFormat="1" applyFont="1"/>
    <xf numFmtId="2" fontId="81" fillId="36" borderId="1" xfId="122" applyNumberFormat="1" applyFont="1" applyAlignment="1">
      <alignment horizontal="left"/>
    </xf>
    <xf numFmtId="0" fontId="81" fillId="36" borderId="1" xfId="122" applyFont="1" applyAlignment="1">
      <alignment horizontal="right" vertical="center"/>
    </xf>
    <xf numFmtId="2" fontId="81" fillId="36" borderId="1" xfId="122" applyNumberFormat="1" applyFont="1" applyAlignment="1">
      <alignment vertical="center"/>
    </xf>
    <xf numFmtId="0" fontId="10" fillId="0" borderId="19" xfId="1" applyFont="1" applyFill="1" applyBorder="1" applyAlignment="1">
      <alignment horizontal="right" vertical="center"/>
    </xf>
    <xf numFmtId="0" fontId="10" fillId="0" borderId="190" xfId="1" applyFont="1" applyFill="1" applyBorder="1" applyAlignment="1">
      <alignment wrapText="1"/>
    </xf>
    <xf numFmtId="2" fontId="53" fillId="36" borderId="191" xfId="122" applyNumberFormat="1" applyFont="1" applyBorder="1"/>
    <xf numFmtId="0" fontId="10" fillId="0" borderId="192" xfId="1" applyFont="1" applyFill="1" applyBorder="1" applyAlignment="1">
      <alignment wrapText="1"/>
    </xf>
    <xf numFmtId="2" fontId="53" fillId="36" borderId="193" xfId="122" applyNumberFormat="1" applyFont="1" applyBorder="1"/>
    <xf numFmtId="2" fontId="81" fillId="36" borderId="193" xfId="122" applyNumberFormat="1" applyFont="1" applyBorder="1"/>
    <xf numFmtId="2" fontId="81" fillId="36" borderId="193" xfId="122" applyNumberFormat="1" applyFont="1" applyBorder="1" applyAlignment="1">
      <alignment horizontal="left"/>
    </xf>
    <xf numFmtId="2" fontId="81" fillId="36" borderId="194" xfId="122" applyNumberFormat="1" applyFont="1" applyBorder="1" applyAlignment="1">
      <alignment horizontal="right"/>
    </xf>
    <xf numFmtId="2" fontId="157" fillId="36" borderId="194" xfId="122" applyNumberFormat="1" applyFont="1" applyBorder="1" applyAlignment="1">
      <alignment horizontal="right"/>
    </xf>
    <xf numFmtId="0" fontId="81" fillId="36" borderId="195" xfId="122" applyFont="1" applyBorder="1" applyAlignment="1">
      <alignment horizontal="right" vertical="center"/>
    </xf>
    <xf numFmtId="2" fontId="53" fillId="36" borderId="196" xfId="122" applyNumberFormat="1" applyFont="1" applyBorder="1"/>
    <xf numFmtId="0" fontId="10" fillId="0" borderId="197" xfId="1" applyFont="1" applyFill="1" applyBorder="1" applyAlignment="1">
      <alignment horizontal="right" vertical="center"/>
    </xf>
    <xf numFmtId="0" fontId="10" fillId="0" borderId="198" xfId="1" applyFont="1" applyFill="1" applyBorder="1" applyAlignment="1">
      <alignment wrapText="1"/>
    </xf>
    <xf numFmtId="0" fontId="16" fillId="0" borderId="19" xfId="1" applyFont="1" applyBorder="1"/>
    <xf numFmtId="2" fontId="81" fillId="36" borderId="3" xfId="122" applyNumberFormat="1" applyFont="1" applyBorder="1"/>
    <xf numFmtId="0" fontId="81" fillId="36" borderId="58" xfId="122" applyFont="1" applyBorder="1" applyAlignment="1">
      <alignment horizontal="right" vertical="center"/>
    </xf>
    <xf numFmtId="2" fontId="81" fillId="36" borderId="199" xfId="122" applyNumberFormat="1" applyFont="1" applyBorder="1"/>
    <xf numFmtId="2" fontId="157" fillId="36" borderId="199" xfId="122" applyNumberFormat="1" applyFont="1" applyBorder="1"/>
    <xf numFmtId="0" fontId="81" fillId="36" borderId="200" xfId="122" applyFont="1" applyBorder="1" applyAlignment="1">
      <alignment horizontal="right" vertical="center"/>
    </xf>
    <xf numFmtId="0" fontId="81" fillId="36" borderId="201" xfId="122" applyFont="1" applyBorder="1" applyAlignment="1">
      <alignment horizontal="right" vertical="center"/>
    </xf>
    <xf numFmtId="4" fontId="81" fillId="36" borderId="1" xfId="122" applyNumberFormat="1" applyFont="1"/>
    <xf numFmtId="3" fontId="81" fillId="36" borderId="1" xfId="122" applyNumberFormat="1" applyFont="1"/>
    <xf numFmtId="2" fontId="157" fillId="33" borderId="1" xfId="122" applyNumberFormat="1" applyFont="1" applyFill="1"/>
    <xf numFmtId="0" fontId="81" fillId="33" borderId="201" xfId="122" applyFont="1" applyFill="1" applyBorder="1" applyAlignment="1">
      <alignment horizontal="right" vertical="center"/>
    </xf>
    <xf numFmtId="2" fontId="81" fillId="33" borderId="1" xfId="122" applyNumberFormat="1" applyFont="1" applyFill="1"/>
    <xf numFmtId="0" fontId="10" fillId="33" borderId="19" xfId="1" applyFont="1" applyFill="1" applyBorder="1" applyAlignment="1">
      <alignment horizontal="right" vertical="center"/>
    </xf>
    <xf numFmtId="0" fontId="10" fillId="41" borderId="192" xfId="1" applyFont="1" applyFill="1" applyBorder="1" applyAlignment="1">
      <alignment wrapText="1"/>
    </xf>
    <xf numFmtId="213" fontId="81" fillId="36" borderId="1" xfId="122" applyNumberFormat="1" applyFont="1"/>
    <xf numFmtId="2" fontId="56" fillId="33" borderId="1" xfId="122" applyNumberFormat="1" applyFont="1" applyFill="1"/>
    <xf numFmtId="2" fontId="157" fillId="36" borderId="1" xfId="122" applyNumberFormat="1" applyFont="1"/>
    <xf numFmtId="2" fontId="157" fillId="33" borderId="201" xfId="122" applyNumberFormat="1" applyFont="1" applyFill="1" applyBorder="1"/>
    <xf numFmtId="2" fontId="157" fillId="33" borderId="3" xfId="1" applyNumberFormat="1" applyFont="1" applyFill="1" applyBorder="1" applyAlignment="1">
      <alignment vertical="top" wrapText="1"/>
    </xf>
    <xf numFmtId="0" fontId="81" fillId="33" borderId="202" xfId="122" applyFont="1" applyFill="1" applyBorder="1" applyAlignment="1">
      <alignment horizontal="right" vertical="center"/>
    </xf>
    <xf numFmtId="2" fontId="81" fillId="36" borderId="203" xfId="122" applyNumberFormat="1" applyFont="1" applyBorder="1"/>
    <xf numFmtId="0" fontId="81" fillId="36" borderId="191" xfId="122" applyFont="1" applyBorder="1" applyAlignment="1">
      <alignment horizontal="right" vertical="center"/>
    </xf>
    <xf numFmtId="0" fontId="16" fillId="0" borderId="0" xfId="1" applyFont="1" applyBorder="1"/>
    <xf numFmtId="0" fontId="56" fillId="36" borderId="198" xfId="129" applyFont="1" applyFill="1" applyBorder="1" applyAlignment="1">
      <alignment horizontal="right"/>
    </xf>
    <xf numFmtId="0" fontId="16" fillId="36" borderId="197" xfId="129" applyFont="1" applyFill="1" applyBorder="1"/>
    <xf numFmtId="0" fontId="16" fillId="36" borderId="205" xfId="129" applyFont="1" applyFill="1" applyBorder="1"/>
    <xf numFmtId="0" fontId="56" fillId="36" borderId="205" xfId="129" applyFont="1" applyFill="1" applyBorder="1" applyAlignment="1">
      <alignment horizontal="center" vertical="center"/>
    </xf>
    <xf numFmtId="0" fontId="64" fillId="36" borderId="206" xfId="130" applyFont="1" applyBorder="1" applyAlignment="1">
      <alignment horizontal="right" vertical="center"/>
    </xf>
    <xf numFmtId="0" fontId="64" fillId="32" borderId="207" xfId="130" applyFont="1" applyFill="1" applyBorder="1" applyAlignment="1">
      <alignment horizontal="center" vertical="center"/>
    </xf>
    <xf numFmtId="0" fontId="64" fillId="32" borderId="208" xfId="130" applyFont="1" applyFill="1" applyBorder="1" applyAlignment="1">
      <alignment horizontal="center" vertical="center"/>
    </xf>
    <xf numFmtId="0" fontId="56" fillId="36" borderId="209" xfId="129" applyFont="1" applyFill="1" applyBorder="1" applyAlignment="1">
      <alignment horizontal="center" vertical="center"/>
    </xf>
    <xf numFmtId="0" fontId="16" fillId="0" borderId="210" xfId="1" applyFont="1" applyBorder="1"/>
    <xf numFmtId="0" fontId="16" fillId="36" borderId="211" xfId="129" applyFont="1" applyFill="1" applyBorder="1" applyAlignment="1">
      <alignment horizontal="center"/>
    </xf>
    <xf numFmtId="0" fontId="16" fillId="36" borderId="212" xfId="129" applyFont="1" applyFill="1" applyBorder="1" applyAlignment="1">
      <alignment horizontal="center" vertical="center"/>
    </xf>
    <xf numFmtId="0" fontId="16" fillId="36" borderId="204" xfId="129" applyFont="1" applyFill="1" applyBorder="1" applyAlignment="1">
      <alignment horizontal="center" vertical="center"/>
    </xf>
    <xf numFmtId="0" fontId="16" fillId="36" borderId="212" xfId="129" applyFont="1" applyFill="1" applyBorder="1" applyAlignment="1">
      <alignment vertical="center"/>
    </xf>
    <xf numFmtId="0" fontId="16" fillId="36" borderId="213" xfId="129" applyFont="1" applyFill="1" applyBorder="1" applyAlignment="1">
      <alignment horizontal="center" vertical="center"/>
    </xf>
    <xf numFmtId="0" fontId="16" fillId="36" borderId="214" xfId="129" applyFont="1" applyFill="1" applyBorder="1" applyAlignment="1">
      <alignment horizontal="center" vertical="center"/>
    </xf>
    <xf numFmtId="0" fontId="16" fillId="36" borderId="214" xfId="129" applyFont="1" applyFill="1" applyBorder="1" applyAlignment="1">
      <alignment vertical="center"/>
    </xf>
    <xf numFmtId="0" fontId="158" fillId="40" borderId="204" xfId="129" applyFont="1" applyFill="1" applyAlignment="1">
      <alignment vertical="center"/>
    </xf>
    <xf numFmtId="0" fontId="16" fillId="0" borderId="215" xfId="1" applyFont="1" applyBorder="1"/>
    <xf numFmtId="0" fontId="16" fillId="36" borderId="216" xfId="129" applyFont="1" applyFill="1" applyBorder="1"/>
    <xf numFmtId="0" fontId="16" fillId="36" borderId="217" xfId="129" applyFont="1" applyFill="1" applyBorder="1"/>
    <xf numFmtId="0" fontId="56" fillId="36" borderId="217" xfId="129" applyFont="1" applyFill="1" applyBorder="1"/>
    <xf numFmtId="0" fontId="16" fillId="36" borderId="218" xfId="129" applyFont="1" applyFill="1" applyBorder="1" applyAlignment="1">
      <alignment horizontal="left"/>
    </xf>
    <xf numFmtId="0" fontId="16" fillId="36" borderId="217" xfId="129" applyFont="1" applyFill="1" applyBorder="1" applyAlignment="1">
      <alignment vertical="center"/>
    </xf>
    <xf numFmtId="0" fontId="56" fillId="36" borderId="219" xfId="129" applyFont="1" applyFill="1" applyBorder="1" applyAlignment="1">
      <alignment vertical="center"/>
    </xf>
    <xf numFmtId="0" fontId="16" fillId="0" borderId="220" xfId="1" applyFont="1" applyBorder="1"/>
    <xf numFmtId="0" fontId="143" fillId="36" borderId="0" xfId="129" applyFont="1" applyFill="1" applyBorder="1"/>
    <xf numFmtId="0" fontId="143" fillId="36" borderId="205" xfId="129" applyFont="1" applyFill="1" applyBorder="1"/>
    <xf numFmtId="0" fontId="53" fillId="36" borderId="205" xfId="129" applyFont="1" applyFill="1" applyBorder="1"/>
    <xf numFmtId="0" fontId="143" fillId="36" borderId="205" xfId="129" applyFont="1" applyFill="1" applyBorder="1" applyAlignment="1">
      <alignment vertical="center"/>
    </xf>
    <xf numFmtId="0" fontId="143" fillId="36" borderId="205" xfId="129" applyFont="1" applyFill="1" applyBorder="1" applyAlignment="1">
      <alignment horizontal="right" vertical="center"/>
    </xf>
    <xf numFmtId="0" fontId="56" fillId="36" borderId="205" xfId="129" applyFont="1" applyFill="1" applyBorder="1" applyAlignment="1">
      <alignment vertical="center"/>
    </xf>
    <xf numFmtId="0" fontId="16" fillId="0" borderId="205" xfId="1" applyFont="1" applyBorder="1"/>
    <xf numFmtId="0" fontId="81" fillId="36" borderId="193" xfId="122" applyFont="1" applyBorder="1" applyAlignment="1">
      <alignment horizontal="right" vertical="center"/>
    </xf>
    <xf numFmtId="0" fontId="16" fillId="36" borderId="221" xfId="129" applyFont="1" applyFill="1" applyBorder="1"/>
    <xf numFmtId="2" fontId="16" fillId="0" borderId="0" xfId="1" applyNumberFormat="1" applyFont="1"/>
    <xf numFmtId="2" fontId="53" fillId="36" borderId="194" xfId="122" applyNumberFormat="1" applyFont="1" applyBorder="1" applyAlignment="1">
      <alignment horizontal="right"/>
    </xf>
    <xf numFmtId="2" fontId="53" fillId="36" borderId="222" xfId="122" applyNumberFormat="1" applyFont="1" applyBorder="1" applyAlignment="1">
      <alignment horizontal="right"/>
    </xf>
    <xf numFmtId="2" fontId="53" fillId="36" borderId="3" xfId="122" applyNumberFormat="1" applyFont="1" applyBorder="1"/>
    <xf numFmtId="2" fontId="53" fillId="36" borderId="223" xfId="122" applyNumberFormat="1" applyFont="1" applyBorder="1"/>
    <xf numFmtId="2" fontId="53" fillId="36" borderId="199" xfId="122" applyNumberFormat="1" applyFont="1" applyBorder="1"/>
    <xf numFmtId="2" fontId="53" fillId="36" borderId="224" xfId="122" applyNumberFormat="1" applyFont="1" applyBorder="1"/>
    <xf numFmtId="2" fontId="53" fillId="36" borderId="225" xfId="122" applyNumberFormat="1" applyFont="1" applyBorder="1"/>
    <xf numFmtId="4" fontId="53" fillId="36" borderId="1" xfId="122" applyNumberFormat="1" applyFont="1"/>
    <xf numFmtId="2" fontId="53" fillId="33" borderId="1" xfId="122" applyNumberFormat="1" applyFont="1" applyFill="1"/>
    <xf numFmtId="2" fontId="53" fillId="33" borderId="225" xfId="122" applyNumberFormat="1" applyFont="1" applyFill="1" applyBorder="1"/>
    <xf numFmtId="3" fontId="53" fillId="36" borderId="1" xfId="122" applyNumberFormat="1" applyFont="1"/>
    <xf numFmtId="0" fontId="56" fillId="0" borderId="0" xfId="1" applyFont="1" applyBorder="1" applyAlignment="1">
      <alignment horizontal="center" wrapText="1"/>
    </xf>
    <xf numFmtId="0" fontId="16" fillId="36" borderId="218" xfId="129" applyFont="1" applyFill="1" applyBorder="1"/>
    <xf numFmtId="0" fontId="17" fillId="0" borderId="0" xfId="1" applyFont="1" applyProtection="1"/>
    <xf numFmtId="0" fontId="159" fillId="0" borderId="0" xfId="1" applyFont="1" applyProtection="1"/>
    <xf numFmtId="0" fontId="5" fillId="2" borderId="0" xfId="1" applyFill="1" applyProtection="1"/>
    <xf numFmtId="0" fontId="5" fillId="2" borderId="0" xfId="1" applyFill="1" applyProtection="1">
      <protection locked="0"/>
    </xf>
    <xf numFmtId="0" fontId="17" fillId="2" borderId="59" xfId="1" applyFont="1" applyFill="1" applyBorder="1" applyProtection="1"/>
    <xf numFmtId="0" fontId="17" fillId="2" borderId="41" xfId="1" applyFont="1" applyFill="1" applyBorder="1" applyProtection="1"/>
    <xf numFmtId="214" fontId="17" fillId="2" borderId="41" xfId="1" applyNumberFormat="1" applyFont="1" applyFill="1" applyBorder="1" applyAlignment="1" applyProtection="1">
      <alignment horizontal="center"/>
    </xf>
    <xf numFmtId="0" fontId="17" fillId="2" borderId="60" xfId="1" applyFont="1" applyFill="1" applyBorder="1" applyProtection="1"/>
    <xf numFmtId="0" fontId="17" fillId="2" borderId="64" xfId="1" applyFont="1" applyFill="1" applyBorder="1" applyProtection="1"/>
    <xf numFmtId="215" fontId="15" fillId="0" borderId="226" xfId="1" applyNumberFormat="1" applyFont="1" applyFill="1" applyBorder="1" applyProtection="1"/>
    <xf numFmtId="0" fontId="6" fillId="0" borderId="0" xfId="1" applyFont="1" applyBorder="1" applyAlignment="1" applyProtection="1">
      <alignment horizontal="center"/>
    </xf>
    <xf numFmtId="214" fontId="15" fillId="0" borderId="0" xfId="1" applyNumberFormat="1" applyFont="1" applyBorder="1" applyAlignment="1" applyProtection="1">
      <alignment horizontal="right"/>
    </xf>
    <xf numFmtId="214" fontId="15" fillId="0" borderId="227" xfId="1" applyNumberFormat="1" applyFont="1" applyBorder="1" applyAlignment="1" applyProtection="1">
      <alignment horizontal="right"/>
    </xf>
    <xf numFmtId="9" fontId="17" fillId="0" borderId="0" xfId="1" applyNumberFormat="1" applyFont="1" applyBorder="1" applyAlignment="1" applyProtection="1">
      <alignment horizontal="center"/>
    </xf>
    <xf numFmtId="0" fontId="15" fillId="0" borderId="0" xfId="1" applyFont="1" applyBorder="1" applyProtection="1"/>
    <xf numFmtId="0" fontId="15" fillId="0" borderId="0" xfId="1" applyFont="1" applyFill="1" applyBorder="1" applyAlignment="1" applyProtection="1">
      <alignment horizontal="left"/>
    </xf>
    <xf numFmtId="1" fontId="15" fillId="0" borderId="0" xfId="1" applyNumberFormat="1" applyFont="1" applyBorder="1" applyProtection="1"/>
    <xf numFmtId="0" fontId="159" fillId="0" borderId="0" xfId="1" applyFont="1" applyBorder="1" applyProtection="1"/>
    <xf numFmtId="0" fontId="15" fillId="0" borderId="0" xfId="1" applyFont="1" applyFill="1" applyBorder="1" applyAlignment="1" applyProtection="1">
      <alignment horizontal="right"/>
    </xf>
    <xf numFmtId="0" fontId="17" fillId="2" borderId="32" xfId="1" applyFont="1" applyFill="1" applyBorder="1" applyProtection="1"/>
    <xf numFmtId="214" fontId="17" fillId="0" borderId="2" xfId="1" applyNumberFormat="1" applyFont="1" applyBorder="1" applyAlignment="1" applyProtection="1">
      <alignment horizontal="right"/>
    </xf>
    <xf numFmtId="214" fontId="17" fillId="0" borderId="228" xfId="1" applyNumberFormat="1" applyFont="1" applyBorder="1" applyAlignment="1" applyProtection="1">
      <alignment horizontal="right"/>
    </xf>
    <xf numFmtId="9" fontId="17" fillId="0" borderId="228" xfId="1" applyNumberFormat="1" applyFont="1" applyBorder="1" applyAlignment="1" applyProtection="1">
      <alignment horizontal="center"/>
    </xf>
    <xf numFmtId="0" fontId="17" fillId="0" borderId="228" xfId="1" applyFont="1" applyBorder="1" applyProtection="1"/>
    <xf numFmtId="0" fontId="15" fillId="0" borderId="228" xfId="1" applyFont="1" applyBorder="1" applyProtection="1"/>
    <xf numFmtId="0" fontId="15" fillId="0" borderId="228" xfId="1" applyFont="1" applyFill="1" applyBorder="1" applyAlignment="1" applyProtection="1">
      <alignment horizontal="left"/>
    </xf>
    <xf numFmtId="1" fontId="15" fillId="0" borderId="228" xfId="1" applyNumberFormat="1" applyFont="1" applyBorder="1" applyProtection="1"/>
    <xf numFmtId="0" fontId="159" fillId="0" borderId="228" xfId="1" applyFont="1" applyBorder="1" applyProtection="1"/>
    <xf numFmtId="0" fontId="15" fillId="0" borderId="228" xfId="1" applyFont="1" applyFill="1" applyBorder="1" applyAlignment="1" applyProtection="1">
      <alignment horizontal="right"/>
    </xf>
    <xf numFmtId="214" fontId="17" fillId="0" borderId="0" xfId="1" applyNumberFormat="1" applyFont="1" applyBorder="1" applyAlignment="1" applyProtection="1">
      <alignment horizontal="right"/>
    </xf>
    <xf numFmtId="214" fontId="17" fillId="0" borderId="135" xfId="1" applyNumberFormat="1" applyFont="1" applyBorder="1" applyAlignment="1" applyProtection="1">
      <alignment horizontal="right"/>
    </xf>
    <xf numFmtId="9" fontId="17" fillId="0" borderId="135" xfId="1" applyNumberFormat="1" applyFont="1" applyBorder="1" applyAlignment="1" applyProtection="1">
      <alignment horizontal="center"/>
    </xf>
    <xf numFmtId="0" fontId="17" fillId="0" borderId="135" xfId="1" applyFont="1" applyBorder="1" applyProtection="1"/>
    <xf numFmtId="0" fontId="15" fillId="0" borderId="135" xfId="1" applyFont="1" applyBorder="1" applyProtection="1"/>
    <xf numFmtId="0" fontId="15" fillId="0" borderId="135" xfId="1" applyFont="1" applyFill="1" applyBorder="1" applyAlignment="1" applyProtection="1">
      <alignment horizontal="left"/>
    </xf>
    <xf numFmtId="1" fontId="15" fillId="0" borderId="135" xfId="1" applyNumberFormat="1" applyFont="1" applyBorder="1" applyProtection="1"/>
    <xf numFmtId="0" fontId="159" fillId="0" borderId="135" xfId="1" applyFont="1" applyBorder="1" applyProtection="1"/>
    <xf numFmtId="0" fontId="15" fillId="0" borderId="135" xfId="1" applyFont="1" applyFill="1" applyBorder="1" applyAlignment="1" applyProtection="1">
      <alignment horizontal="right"/>
    </xf>
    <xf numFmtId="9" fontId="17" fillId="32" borderId="135" xfId="1" applyNumberFormat="1" applyFont="1" applyFill="1" applyBorder="1" applyAlignment="1" applyProtection="1">
      <alignment horizontal="center"/>
      <protection locked="0"/>
    </xf>
    <xf numFmtId="2" fontId="15" fillId="0" borderId="135" xfId="1" applyNumberFormat="1" applyFont="1" applyFill="1" applyBorder="1" applyAlignment="1" applyProtection="1">
      <alignment horizontal="right"/>
    </xf>
    <xf numFmtId="0" fontId="15" fillId="0" borderId="0" xfId="1" applyFont="1" applyBorder="1" applyAlignment="1" applyProtection="1">
      <alignment horizontal="center"/>
    </xf>
    <xf numFmtId="0" fontId="17" fillId="0" borderId="0" xfId="1" applyFont="1" applyBorder="1" applyAlignment="1" applyProtection="1">
      <alignment horizontal="right"/>
    </xf>
    <xf numFmtId="0" fontId="15" fillId="0" borderId="0" xfId="1" applyFont="1" applyBorder="1" applyAlignment="1" applyProtection="1">
      <alignment horizontal="right"/>
    </xf>
    <xf numFmtId="0" fontId="17" fillId="0" borderId="0" xfId="1" applyFont="1" applyBorder="1" applyAlignment="1" applyProtection="1">
      <alignment horizontal="center"/>
    </xf>
    <xf numFmtId="216" fontId="15" fillId="0" borderId="0" xfId="1" applyNumberFormat="1" applyFont="1" applyBorder="1" applyProtection="1"/>
    <xf numFmtId="0" fontId="17" fillId="2" borderId="0" xfId="1" applyFont="1" applyFill="1" applyBorder="1" applyProtection="1"/>
    <xf numFmtId="217" fontId="17" fillId="0" borderId="31" xfId="1" applyNumberFormat="1" applyFont="1" applyFill="1" applyBorder="1" applyProtection="1"/>
    <xf numFmtId="0" fontId="17" fillId="0" borderId="31" xfId="1" applyFont="1" applyBorder="1" applyAlignment="1" applyProtection="1">
      <alignment horizontal="right"/>
    </xf>
    <xf numFmtId="0" fontId="17" fillId="0" borderId="31" xfId="1" applyFont="1" applyBorder="1" applyProtection="1"/>
    <xf numFmtId="0" fontId="17" fillId="2" borderId="0" xfId="1" applyFont="1" applyFill="1" applyBorder="1" applyAlignment="1" applyProtection="1">
      <alignment horizontal="right"/>
    </xf>
    <xf numFmtId="218" fontId="15" fillId="2" borderId="0" xfId="1" applyNumberFormat="1" applyFont="1" applyFill="1" applyBorder="1" applyAlignment="1" applyProtection="1">
      <alignment horizontal="center"/>
    </xf>
    <xf numFmtId="219" fontId="6" fillId="0" borderId="3" xfId="1" applyNumberFormat="1" applyFont="1" applyBorder="1" applyAlignment="1" applyProtection="1">
      <alignment horizontal="center"/>
    </xf>
    <xf numFmtId="218" fontId="15" fillId="0" borderId="0" xfId="1" applyNumberFormat="1" applyFont="1" applyFill="1" applyBorder="1" applyAlignment="1" applyProtection="1">
      <alignment horizontal="center"/>
    </xf>
    <xf numFmtId="216" fontId="15" fillId="0" borderId="0" xfId="1" applyNumberFormat="1" applyFont="1" applyBorder="1" applyAlignment="1" applyProtection="1">
      <alignment horizontal="center"/>
    </xf>
    <xf numFmtId="0" fontId="15" fillId="0" borderId="0" xfId="1" applyFont="1" applyBorder="1" applyAlignment="1" applyProtection="1">
      <alignment horizontal="left"/>
    </xf>
    <xf numFmtId="0" fontId="159" fillId="2" borderId="0" xfId="1" applyFont="1" applyFill="1" applyBorder="1" applyProtection="1"/>
    <xf numFmtId="0" fontId="15" fillId="0" borderId="106" xfId="1" applyFont="1" applyBorder="1" applyAlignment="1" applyProtection="1">
      <alignment horizontal="center"/>
    </xf>
    <xf numFmtId="0" fontId="17" fillId="0" borderId="94" xfId="1" applyFont="1" applyBorder="1" applyAlignment="1" applyProtection="1">
      <alignment horizontal="right"/>
    </xf>
    <xf numFmtId="0" fontId="17" fillId="0" borderId="94" xfId="1" applyFont="1" applyBorder="1" applyProtection="1"/>
    <xf numFmtId="0" fontId="17" fillId="0" borderId="107" xfId="1" applyFont="1" applyBorder="1" applyProtection="1"/>
    <xf numFmtId="0" fontId="159" fillId="0" borderId="0" xfId="1" applyFont="1" applyFill="1" applyBorder="1" applyProtection="1"/>
    <xf numFmtId="0" fontId="44" fillId="0" borderId="0" xfId="1" applyFont="1" applyFill="1" applyBorder="1" applyProtection="1"/>
    <xf numFmtId="0" fontId="17" fillId="2" borderId="78" xfId="1" applyFont="1" applyFill="1" applyBorder="1" applyProtection="1"/>
    <xf numFmtId="0" fontId="17" fillId="2" borderId="24" xfId="1" applyFont="1" applyFill="1" applyBorder="1" applyProtection="1"/>
    <xf numFmtId="0" fontId="159" fillId="2" borderId="24" xfId="1" applyFont="1" applyFill="1" applyBorder="1" applyProtection="1"/>
    <xf numFmtId="0" fontId="21" fillId="2" borderId="24" xfId="1" applyFont="1" applyFill="1" applyBorder="1" applyProtection="1"/>
    <xf numFmtId="0" fontId="17" fillId="2" borderId="79" xfId="1" applyFont="1" applyFill="1" applyBorder="1" applyProtection="1"/>
    <xf numFmtId="0" fontId="17" fillId="0" borderId="0" xfId="1" applyFont="1" applyProtection="1">
      <protection locked="0"/>
    </xf>
    <xf numFmtId="220" fontId="159" fillId="0" borderId="0" xfId="1" applyNumberFormat="1" applyFont="1" applyBorder="1" applyProtection="1"/>
    <xf numFmtId="0" fontId="21" fillId="0" borderId="0" xfId="1" applyFont="1" applyFill="1" applyBorder="1" applyProtection="1"/>
    <xf numFmtId="0" fontId="17" fillId="2" borderId="0" xfId="1" applyFont="1" applyFill="1" applyProtection="1"/>
    <xf numFmtId="220" fontId="159" fillId="2" borderId="0" xfId="1" applyNumberFormat="1" applyFont="1" applyFill="1" applyBorder="1" applyProtection="1"/>
    <xf numFmtId="0" fontId="10" fillId="2" borderId="0" xfId="1" applyFont="1" applyFill="1" applyBorder="1" applyProtection="1"/>
    <xf numFmtId="215" fontId="44" fillId="30" borderId="20" xfId="1" applyNumberFormat="1" applyFont="1" applyFill="1" applyBorder="1" applyProtection="1"/>
    <xf numFmtId="215" fontId="44" fillId="2" borderId="41" xfId="1" applyNumberFormat="1" applyFont="1" applyFill="1" applyBorder="1" applyProtection="1"/>
    <xf numFmtId="0" fontId="5" fillId="2" borderId="41" xfId="1" applyFill="1" applyBorder="1" applyProtection="1"/>
    <xf numFmtId="215" fontId="113" fillId="0" borderId="20" xfId="1" applyNumberFormat="1" applyFont="1" applyFill="1" applyBorder="1" applyAlignment="1" applyProtection="1">
      <alignment shrinkToFit="1"/>
    </xf>
    <xf numFmtId="215" fontId="17" fillId="42" borderId="46" xfId="1" applyNumberFormat="1" applyFont="1" applyFill="1" applyBorder="1" applyProtection="1"/>
    <xf numFmtId="220" fontId="15" fillId="0" borderId="41" xfId="1" applyNumberFormat="1" applyFont="1" applyFill="1" applyBorder="1" applyProtection="1"/>
    <xf numFmtId="0" fontId="15" fillId="0" borderId="229" xfId="1" applyNumberFormat="1" applyFont="1" applyFill="1" applyBorder="1" applyAlignment="1" applyProtection="1">
      <alignment horizontal="center"/>
    </xf>
    <xf numFmtId="215" fontId="44" fillId="30" borderId="230" xfId="1" applyNumberFormat="1" applyFont="1" applyFill="1" applyBorder="1" applyProtection="1"/>
    <xf numFmtId="215" fontId="44" fillId="2" borderId="132" xfId="1" applyNumberFormat="1" applyFont="1" applyFill="1" applyBorder="1" applyProtection="1"/>
    <xf numFmtId="0" fontId="5" fillId="2" borderId="132" xfId="1" applyFill="1" applyBorder="1" applyProtection="1"/>
    <xf numFmtId="197" fontId="160" fillId="0" borderId="21" xfId="1" applyNumberFormat="1" applyFont="1" applyFill="1" applyBorder="1" applyProtection="1"/>
    <xf numFmtId="214" fontId="44" fillId="42" borderId="131" xfId="1" applyNumberFormat="1" applyFont="1" applyFill="1" applyBorder="1" applyProtection="1"/>
    <xf numFmtId="220" fontId="15" fillId="0" borderId="0" xfId="1" applyNumberFormat="1" applyFont="1" applyFill="1" applyBorder="1" applyProtection="1"/>
    <xf numFmtId="0" fontId="15" fillId="0" borderId="231" xfId="1" applyNumberFormat="1" applyFont="1" applyFill="1" applyBorder="1" applyAlignment="1" applyProtection="1">
      <alignment horizontal="center"/>
    </xf>
    <xf numFmtId="215" fontId="7" fillId="30" borderId="232" xfId="1" applyNumberFormat="1" applyFont="1" applyFill="1" applyBorder="1" applyProtection="1"/>
    <xf numFmtId="215" fontId="44" fillId="2" borderId="123" xfId="1" applyNumberFormat="1" applyFont="1" applyFill="1" applyBorder="1" applyProtection="1"/>
    <xf numFmtId="0" fontId="5" fillId="2" borderId="123" xfId="1" applyFill="1" applyBorder="1" applyProtection="1"/>
    <xf numFmtId="215" fontId="113" fillId="0" borderId="232" xfId="1" applyNumberFormat="1" applyFont="1" applyFill="1" applyBorder="1" applyAlignment="1" applyProtection="1">
      <alignment shrinkToFit="1"/>
    </xf>
    <xf numFmtId="215" fontId="17" fillId="42" borderId="40" xfId="1" applyNumberFormat="1" applyFont="1" applyFill="1" applyBorder="1" applyProtection="1"/>
    <xf numFmtId="0" fontId="17" fillId="42" borderId="122" xfId="1" applyFont="1" applyFill="1" applyBorder="1" applyAlignment="1" applyProtection="1">
      <alignment horizontal="right"/>
    </xf>
    <xf numFmtId="0" fontId="44" fillId="42" borderId="123" xfId="1" applyFont="1" applyFill="1" applyBorder="1" applyProtection="1"/>
    <xf numFmtId="0" fontId="44" fillId="42" borderId="144" xfId="1" applyFont="1" applyFill="1" applyBorder="1" applyProtection="1"/>
    <xf numFmtId="2" fontId="15" fillId="30" borderId="233" xfId="1" applyNumberFormat="1" applyFont="1" applyFill="1" applyBorder="1" applyAlignment="1" applyProtection="1">
      <alignment horizontal="center"/>
    </xf>
    <xf numFmtId="214" fontId="44" fillId="30" borderId="173" xfId="1" applyNumberFormat="1" applyFont="1" applyFill="1" applyBorder="1" applyProtection="1"/>
    <xf numFmtId="214" fontId="44" fillId="2" borderId="23" xfId="1" applyNumberFormat="1" applyFont="1" applyFill="1" applyBorder="1" applyProtection="1"/>
    <xf numFmtId="0" fontId="5" fillId="2" borderId="23" xfId="1" applyFill="1" applyBorder="1" applyProtection="1"/>
    <xf numFmtId="197" fontId="160" fillId="0" borderId="173" xfId="1" applyNumberFormat="1" applyFont="1" applyFill="1" applyBorder="1" applyProtection="1"/>
    <xf numFmtId="214" fontId="44" fillId="42" borderId="43" xfId="1" applyNumberFormat="1" applyFont="1" applyFill="1" applyBorder="1" applyProtection="1"/>
    <xf numFmtId="0" fontId="44" fillId="42" borderId="42" xfId="1" applyFont="1" applyFill="1" applyBorder="1" applyProtection="1"/>
    <xf numFmtId="0" fontId="44" fillId="42" borderId="23" xfId="1" applyFont="1" applyFill="1" applyBorder="1" applyProtection="1"/>
    <xf numFmtId="0" fontId="44" fillId="42" borderId="153" xfId="1" applyFont="1" applyFill="1" applyBorder="1" applyProtection="1"/>
    <xf numFmtId="220" fontId="15" fillId="0" borderId="23" xfId="1" applyNumberFormat="1" applyFont="1" applyFill="1" applyBorder="1" applyProtection="1"/>
    <xf numFmtId="0" fontId="17" fillId="0" borderId="0" xfId="1" applyFont="1" applyAlignment="1" applyProtection="1"/>
    <xf numFmtId="0" fontId="17" fillId="2" borderId="0" xfId="1" applyFont="1" applyFill="1" applyAlignment="1" applyProtection="1"/>
    <xf numFmtId="6" fontId="45" fillId="0" borderId="21" xfId="1" applyNumberFormat="1" applyFont="1" applyBorder="1" applyAlignment="1" applyProtection="1"/>
    <xf numFmtId="6" fontId="45" fillId="2" borderId="0" xfId="1" applyNumberFormat="1" applyFont="1" applyFill="1" applyBorder="1" applyAlignment="1" applyProtection="1"/>
    <xf numFmtId="0" fontId="5" fillId="2" borderId="0" xfId="1" applyFill="1" applyBorder="1" applyProtection="1"/>
    <xf numFmtId="221" fontId="113" fillId="0" borderId="21" xfId="1" applyNumberFormat="1" applyFont="1" applyFill="1" applyBorder="1" applyAlignment="1" applyProtection="1"/>
    <xf numFmtId="6" fontId="45" fillId="0" borderId="40" xfId="1" applyNumberFormat="1" applyFont="1" applyFill="1" applyBorder="1" applyAlignment="1" applyProtection="1"/>
    <xf numFmtId="0" fontId="17" fillId="0" borderId="19" xfId="1" applyFont="1" applyBorder="1" applyAlignment="1" applyProtection="1"/>
    <xf numFmtId="0" fontId="17" fillId="0" borderId="0" xfId="1" applyFont="1" applyBorder="1" applyAlignment="1" applyProtection="1"/>
    <xf numFmtId="0" fontId="17" fillId="0" borderId="32" xfId="1" applyFont="1" applyBorder="1" applyAlignment="1" applyProtection="1"/>
    <xf numFmtId="220" fontId="17" fillId="0" borderId="0" xfId="1" applyNumberFormat="1" applyFont="1" applyFill="1" applyBorder="1" applyAlignment="1" applyProtection="1">
      <alignment vertical="center"/>
    </xf>
    <xf numFmtId="6" fontId="45" fillId="0" borderId="232" xfId="1" applyNumberFormat="1" applyFont="1" applyBorder="1" applyProtection="1"/>
    <xf numFmtId="6" fontId="45" fillId="2" borderId="0" xfId="1" applyNumberFormat="1" applyFont="1" applyFill="1" applyBorder="1" applyProtection="1"/>
    <xf numFmtId="221" fontId="113" fillId="0" borderId="232" xfId="1" applyNumberFormat="1" applyFont="1" applyFill="1" applyBorder="1" applyProtection="1"/>
    <xf numFmtId="6" fontId="45" fillId="0" borderId="121" xfId="1" applyNumberFormat="1" applyFont="1" applyFill="1" applyBorder="1" applyProtection="1"/>
    <xf numFmtId="222" fontId="66" fillId="0" borderId="122" xfId="1" applyNumberFormat="1" applyFont="1" applyBorder="1" applyProtection="1"/>
    <xf numFmtId="0" fontId="17" fillId="0" borderId="123" xfId="1" applyFont="1" applyBorder="1" applyProtection="1"/>
    <xf numFmtId="177" fontId="148" fillId="0" borderId="144" xfId="1" applyNumberFormat="1" applyFont="1" applyFill="1" applyBorder="1" applyProtection="1"/>
    <xf numFmtId="2" fontId="17" fillId="31" borderId="0" xfId="1" applyNumberFormat="1" applyFont="1" applyFill="1" applyBorder="1" applyAlignment="1" applyProtection="1">
      <alignment horizontal="center"/>
      <protection locked="0"/>
    </xf>
    <xf numFmtId="223" fontId="15" fillId="0" borderId="231" xfId="1" applyNumberFormat="1" applyFont="1" applyFill="1" applyBorder="1" applyAlignment="1" applyProtection="1">
      <alignment horizontal="center"/>
    </xf>
    <xf numFmtId="6" fontId="45" fillId="0" borderId="21" xfId="1" applyNumberFormat="1" applyFont="1" applyBorder="1" applyProtection="1"/>
    <xf numFmtId="221" fontId="113" fillId="0" borderId="21" xfId="1" applyNumberFormat="1" applyFont="1" applyFill="1" applyBorder="1" applyProtection="1"/>
    <xf numFmtId="6" fontId="45" fillId="0" borderId="40" xfId="1" applyNumberFormat="1" applyFont="1" applyFill="1" applyBorder="1" applyProtection="1"/>
    <xf numFmtId="222" fontId="66" fillId="0" borderId="19" xfId="1" applyNumberFormat="1" applyFont="1" applyBorder="1" applyProtection="1"/>
    <xf numFmtId="224" fontId="148" fillId="31" borderId="0" xfId="1" applyNumberFormat="1" applyFont="1" applyFill="1" applyBorder="1" applyAlignment="1" applyProtection="1">
      <alignment shrinkToFit="1"/>
      <protection locked="0"/>
    </xf>
    <xf numFmtId="0" fontId="17" fillId="0" borderId="0" xfId="1" applyFont="1" applyFill="1" applyBorder="1" applyProtection="1"/>
    <xf numFmtId="0" fontId="148" fillId="0" borderId="0" xfId="1" applyFont="1" applyFill="1" applyBorder="1" applyProtection="1"/>
    <xf numFmtId="0" fontId="148" fillId="0" borderId="0" xfId="1" applyFont="1" applyBorder="1" applyAlignment="1" applyProtection="1">
      <alignment horizontal="center"/>
    </xf>
    <xf numFmtId="177" fontId="148" fillId="0" borderId="32" xfId="1" applyNumberFormat="1" applyFont="1" applyFill="1" applyBorder="1" applyProtection="1"/>
    <xf numFmtId="226" fontId="148" fillId="31" borderId="0" xfId="1" applyNumberFormat="1" applyFont="1" applyFill="1" applyBorder="1" applyProtection="1">
      <protection locked="0"/>
    </xf>
    <xf numFmtId="228" fontId="148" fillId="0" borderId="0" xfId="1" applyNumberFormat="1" applyFont="1" applyFill="1" applyBorder="1" applyAlignment="1" applyProtection="1">
      <alignment horizontal="center"/>
    </xf>
    <xf numFmtId="221" fontId="113" fillId="0" borderId="21" xfId="1" applyNumberFormat="1" applyFont="1" applyFill="1" applyBorder="1" applyAlignment="1" applyProtection="1">
      <alignment vertical="top"/>
    </xf>
    <xf numFmtId="6" fontId="45" fillId="0" borderId="40" xfId="1" applyNumberFormat="1" applyFont="1" applyFill="1" applyBorder="1" applyAlignment="1" applyProtection="1">
      <alignment vertical="top"/>
    </xf>
    <xf numFmtId="0" fontId="6" fillId="0" borderId="19" xfId="1" applyFont="1" applyFill="1" applyBorder="1" applyAlignment="1" applyProtection="1">
      <alignment horizontal="center" vertical="top" wrapText="1"/>
    </xf>
    <xf numFmtId="0" fontId="10" fillId="0" borderId="0" xfId="1" applyFont="1" applyFill="1" applyBorder="1" applyAlignment="1" applyProtection="1">
      <alignment horizontal="center" vertical="top" wrapText="1"/>
    </xf>
    <xf numFmtId="0" fontId="45" fillId="0" borderId="32" xfId="1" applyFont="1" applyBorder="1" applyAlignment="1" applyProtection="1">
      <alignment vertical="top"/>
    </xf>
    <xf numFmtId="0" fontId="96" fillId="0" borderId="0" xfId="1" applyFont="1" applyBorder="1" applyAlignment="1" applyProtection="1">
      <alignment vertical="top"/>
    </xf>
    <xf numFmtId="0" fontId="17" fillId="0" borderId="231" xfId="1" applyFont="1" applyFill="1" applyBorder="1" applyAlignment="1" applyProtection="1">
      <alignment horizontal="center" vertical="top"/>
    </xf>
    <xf numFmtId="215" fontId="44" fillId="30" borderId="172" xfId="1" applyNumberFormat="1" applyFont="1" applyFill="1" applyBorder="1" applyProtection="1"/>
    <xf numFmtId="215" fontId="44" fillId="2" borderId="2" xfId="1" applyNumberFormat="1" applyFont="1" applyFill="1" applyBorder="1" applyProtection="1"/>
    <xf numFmtId="0" fontId="5" fillId="2" borderId="2" xfId="1" applyFill="1" applyBorder="1" applyProtection="1"/>
    <xf numFmtId="215" fontId="113" fillId="0" borderId="172" xfId="1" applyNumberFormat="1" applyFont="1" applyFill="1" applyBorder="1" applyAlignment="1" applyProtection="1">
      <alignment shrinkToFit="1"/>
    </xf>
    <xf numFmtId="215" fontId="17" fillId="42" borderId="39" xfId="1" applyNumberFormat="1" applyFont="1" applyFill="1" applyBorder="1" applyProtection="1"/>
    <xf numFmtId="6" fontId="45" fillId="0" borderId="40" xfId="1" applyNumberFormat="1" applyFont="1" applyBorder="1" applyProtection="1"/>
    <xf numFmtId="0" fontId="148" fillId="0" borderId="19" xfId="1" applyFont="1" applyBorder="1" applyProtection="1"/>
    <xf numFmtId="0" fontId="148" fillId="0" borderId="0" xfId="1" applyFont="1" applyBorder="1" applyProtection="1"/>
    <xf numFmtId="226" fontId="148" fillId="31" borderId="0" xfId="1" applyNumberFormat="1" applyFont="1" applyFill="1" applyBorder="1" applyProtection="1"/>
    <xf numFmtId="226" fontId="148" fillId="31" borderId="123" xfId="1" applyNumberFormat="1" applyFont="1" applyFill="1" applyBorder="1" applyProtection="1">
      <protection locked="0"/>
    </xf>
    <xf numFmtId="0" fontId="45" fillId="0" borderId="32" xfId="1" applyFont="1" applyBorder="1" applyProtection="1"/>
    <xf numFmtId="220" fontId="17" fillId="0" borderId="0" xfId="1" applyNumberFormat="1" applyFont="1" applyFill="1" applyBorder="1" applyProtection="1"/>
    <xf numFmtId="220" fontId="17" fillId="0" borderId="231" xfId="1" applyNumberFormat="1" applyFont="1" applyFill="1" applyBorder="1" applyAlignment="1" applyProtection="1">
      <alignment horizontal="center"/>
    </xf>
    <xf numFmtId="6" fontId="45" fillId="0" borderId="236" xfId="1" applyNumberFormat="1" applyFont="1" applyBorder="1" applyAlignment="1" applyProtection="1"/>
    <xf numFmtId="6" fontId="45" fillId="2" borderId="228" xfId="1" applyNumberFormat="1" applyFont="1" applyFill="1" applyBorder="1" applyAlignment="1" applyProtection="1"/>
    <xf numFmtId="0" fontId="5" fillId="2" borderId="228" xfId="1" applyFill="1" applyBorder="1" applyProtection="1"/>
    <xf numFmtId="221" fontId="113" fillId="0" borderId="236" xfId="1" applyNumberFormat="1" applyFont="1" applyFill="1" applyBorder="1" applyAlignment="1" applyProtection="1"/>
    <xf numFmtId="6" fontId="45" fillId="0" borderId="237" xfId="1" applyNumberFormat="1" applyFont="1" applyFill="1" applyBorder="1" applyAlignment="1" applyProtection="1"/>
    <xf numFmtId="0" fontId="17" fillId="0" borderId="238" xfId="1" applyFont="1" applyBorder="1" applyAlignment="1" applyProtection="1"/>
    <xf numFmtId="0" fontId="17" fillId="0" borderId="228" xfId="1" applyFont="1" applyBorder="1" applyAlignment="1" applyProtection="1"/>
    <xf numFmtId="0" fontId="17" fillId="0" borderId="239" xfId="1" applyFont="1" applyBorder="1" applyAlignment="1" applyProtection="1"/>
    <xf numFmtId="214" fontId="148" fillId="0" borderId="0" xfId="1" applyNumberFormat="1" applyFont="1" applyFill="1" applyBorder="1" applyProtection="1"/>
    <xf numFmtId="177" fontId="148" fillId="31" borderId="32" xfId="1" applyNumberFormat="1" applyFont="1" applyFill="1" applyBorder="1" applyProtection="1">
      <protection locked="0"/>
    </xf>
    <xf numFmtId="2" fontId="17" fillId="0" borderId="0" xfId="1" applyNumberFormat="1" applyFont="1" applyFill="1" applyBorder="1" applyAlignment="1" applyProtection="1">
      <alignment horizontal="center"/>
    </xf>
    <xf numFmtId="0" fontId="17" fillId="0" borderId="19" xfId="1" applyFont="1" applyBorder="1" applyProtection="1"/>
    <xf numFmtId="0" fontId="96" fillId="0" borderId="0" xfId="1" applyFont="1" applyBorder="1" applyProtection="1"/>
    <xf numFmtId="4" fontId="17" fillId="0" borderId="231" xfId="1" applyNumberFormat="1" applyFont="1" applyFill="1" applyBorder="1" applyAlignment="1" applyProtection="1">
      <alignment horizontal="center"/>
    </xf>
    <xf numFmtId="214" fontId="148" fillId="0" borderId="123" xfId="1" applyNumberFormat="1" applyFont="1" applyFill="1" applyBorder="1" applyProtection="1"/>
    <xf numFmtId="0" fontId="17" fillId="0" borderId="123" xfId="1" applyFont="1" applyFill="1" applyBorder="1" applyProtection="1"/>
    <xf numFmtId="0" fontId="148" fillId="0" borderId="123" xfId="1" applyFont="1" applyFill="1" applyBorder="1" applyProtection="1"/>
    <xf numFmtId="0" fontId="148" fillId="0" borderId="123" xfId="1" applyFont="1" applyBorder="1" applyAlignment="1" applyProtection="1">
      <alignment horizontal="center"/>
    </xf>
    <xf numFmtId="177" fontId="148" fillId="31" borderId="144" xfId="1" applyNumberFormat="1" applyFont="1" applyFill="1" applyBorder="1" applyProtection="1">
      <protection locked="0"/>
    </xf>
    <xf numFmtId="215" fontId="44" fillId="0" borderId="21" xfId="1" applyNumberFormat="1" applyFont="1" applyFill="1" applyBorder="1" applyProtection="1"/>
    <xf numFmtId="215" fontId="44" fillId="2" borderId="0" xfId="1" applyNumberFormat="1" applyFont="1" applyFill="1" applyBorder="1" applyProtection="1"/>
    <xf numFmtId="221" fontId="160" fillId="0" borderId="21" xfId="1" applyNumberFormat="1" applyFont="1" applyFill="1" applyBorder="1" applyProtection="1"/>
    <xf numFmtId="214" fontId="44" fillId="0" borderId="40" xfId="1" applyNumberFormat="1" applyFont="1" applyFill="1" applyBorder="1" applyProtection="1"/>
    <xf numFmtId="0" fontId="17" fillId="0" borderId="19" xfId="1" applyFont="1" applyFill="1" applyBorder="1" applyAlignment="1" applyProtection="1">
      <alignment horizontal="right" vertical="center"/>
    </xf>
    <xf numFmtId="0" fontId="17" fillId="0" borderId="0" xfId="1" applyFont="1" applyFill="1" applyBorder="1" applyAlignment="1" applyProtection="1">
      <alignment horizontal="right" vertical="center"/>
    </xf>
    <xf numFmtId="0" fontId="44" fillId="0" borderId="32" xfId="1" applyFont="1" applyFill="1" applyBorder="1" applyProtection="1"/>
    <xf numFmtId="0" fontId="17" fillId="0" borderId="0" xfId="1" applyFont="1" applyAlignment="1" applyProtection="1">
      <alignment vertical="center"/>
    </xf>
    <xf numFmtId="0" fontId="5" fillId="2" borderId="0" xfId="1" applyFill="1" applyAlignment="1" applyProtection="1">
      <alignment vertical="center"/>
    </xf>
    <xf numFmtId="0" fontId="17" fillId="2" borderId="0" xfId="1" applyFont="1" applyFill="1" applyAlignment="1" applyProtection="1">
      <alignment vertical="center"/>
    </xf>
    <xf numFmtId="214" fontId="44" fillId="30" borderId="174" xfId="1" applyNumberFormat="1" applyFont="1" applyFill="1" applyBorder="1" applyAlignment="1" applyProtection="1">
      <alignment vertical="center"/>
    </xf>
    <xf numFmtId="215" fontId="44" fillId="2" borderId="75" xfId="1" applyNumberFormat="1" applyFont="1" applyFill="1" applyBorder="1" applyAlignment="1" applyProtection="1">
      <alignment vertical="center"/>
    </xf>
    <xf numFmtId="0" fontId="5" fillId="2" borderId="75" xfId="1" applyFill="1" applyBorder="1" applyAlignment="1" applyProtection="1">
      <alignment vertical="center"/>
    </xf>
    <xf numFmtId="197" fontId="160" fillId="0" borderId="174" xfId="1" applyNumberFormat="1" applyFont="1" applyFill="1" applyBorder="1" applyAlignment="1" applyProtection="1">
      <alignment vertical="center"/>
    </xf>
    <xf numFmtId="214" fontId="44" fillId="42" borderId="74" xfId="1" applyNumberFormat="1" applyFont="1" applyFill="1" applyBorder="1" applyAlignment="1" applyProtection="1">
      <alignment vertical="center"/>
    </xf>
    <xf numFmtId="0" fontId="17" fillId="42" borderId="165" xfId="1" applyFont="1" applyFill="1" applyBorder="1" applyAlignment="1" applyProtection="1">
      <alignment horizontal="right" vertical="center"/>
    </xf>
    <xf numFmtId="0" fontId="17" fillId="42" borderId="75" xfId="1" applyFont="1" applyFill="1" applyBorder="1" applyAlignment="1" applyProtection="1">
      <alignment horizontal="right" vertical="center"/>
    </xf>
    <xf numFmtId="0" fontId="44" fillId="42" borderId="76" xfId="1" applyFont="1" applyFill="1" applyBorder="1" applyAlignment="1" applyProtection="1">
      <alignment vertical="center"/>
    </xf>
    <xf numFmtId="220" fontId="15" fillId="0" borderId="75" xfId="1" applyNumberFormat="1" applyFont="1" applyFill="1" applyBorder="1" applyAlignment="1" applyProtection="1">
      <alignment vertical="center"/>
    </xf>
    <xf numFmtId="0" fontId="15" fillId="0" borderId="240" xfId="1" applyNumberFormat="1" applyFont="1" applyFill="1" applyBorder="1" applyAlignment="1" applyProtection="1">
      <alignment horizontal="center" vertical="center"/>
    </xf>
    <xf numFmtId="0" fontId="5" fillId="2" borderId="78" xfId="1" applyFill="1" applyBorder="1" applyProtection="1"/>
    <xf numFmtId="0" fontId="5" fillId="2" borderId="24" xfId="1" applyFill="1" applyBorder="1" applyProtection="1"/>
    <xf numFmtId="221" fontId="113" fillId="2" borderId="24" xfId="1" applyNumberFormat="1" applyFont="1" applyFill="1" applyBorder="1" applyProtection="1"/>
    <xf numFmtId="0" fontId="5" fillId="2" borderId="107" xfId="1" applyFill="1" applyBorder="1" applyProtection="1"/>
    <xf numFmtId="229" fontId="44" fillId="0" borderId="241" xfId="1" applyNumberFormat="1" applyFont="1" applyFill="1" applyBorder="1" applyAlignment="1" applyProtection="1">
      <alignment horizontal="right"/>
    </xf>
    <xf numFmtId="9" fontId="15" fillId="2" borderId="0" xfId="1" applyNumberFormat="1" applyFont="1" applyFill="1" applyBorder="1" applyAlignment="1" applyProtection="1">
      <alignment horizontal="center"/>
    </xf>
    <xf numFmtId="221" fontId="160" fillId="0" borderId="21" xfId="1" applyNumberFormat="1" applyFont="1" applyFill="1" applyBorder="1" applyAlignment="1" applyProtection="1">
      <alignment horizontal="center"/>
    </xf>
    <xf numFmtId="0" fontId="15" fillId="1" borderId="77" xfId="1" applyFont="1" applyFill="1" applyBorder="1" applyAlignment="1" applyProtection="1">
      <alignment horizontal="center"/>
    </xf>
    <xf numFmtId="220" fontId="96" fillId="0" borderId="0" xfId="1" applyNumberFormat="1" applyFont="1" applyFill="1" applyBorder="1" applyProtection="1"/>
    <xf numFmtId="220" fontId="96" fillId="0" borderId="231" xfId="1" applyNumberFormat="1" applyFont="1" applyFill="1" applyBorder="1" applyAlignment="1" applyProtection="1">
      <alignment horizontal="center"/>
    </xf>
    <xf numFmtId="6" fontId="44" fillId="0" borderId="230" xfId="1" applyNumberFormat="1" applyFont="1" applyBorder="1" applyProtection="1"/>
    <xf numFmtId="6" fontId="17" fillId="2" borderId="0" xfId="1" applyNumberFormat="1" applyFont="1" applyFill="1" applyBorder="1" applyProtection="1"/>
    <xf numFmtId="221" fontId="160" fillId="0" borderId="236" xfId="1" applyNumberFormat="1" applyFont="1" applyFill="1" applyBorder="1" applyProtection="1"/>
    <xf numFmtId="6" fontId="44" fillId="0" borderId="237" xfId="1" applyNumberFormat="1" applyFont="1" applyBorder="1" applyProtection="1"/>
    <xf numFmtId="0" fontId="15" fillId="0" borderId="238" xfId="1" applyFont="1" applyBorder="1" applyProtection="1"/>
    <xf numFmtId="0" fontId="44" fillId="0" borderId="239" xfId="1" applyFont="1" applyBorder="1" applyProtection="1"/>
    <xf numFmtId="6" fontId="45" fillId="0" borderId="242" xfId="1" applyNumberFormat="1" applyFont="1" applyBorder="1" applyProtection="1"/>
    <xf numFmtId="221" fontId="113" fillId="0" borderId="242" xfId="1" applyNumberFormat="1" applyFont="1" applyFill="1" applyBorder="1" applyProtection="1"/>
    <xf numFmtId="6" fontId="45" fillId="31" borderId="134" xfId="1" applyNumberFormat="1" applyFont="1" applyFill="1" applyBorder="1" applyProtection="1">
      <protection locked="0"/>
    </xf>
    <xf numFmtId="0" fontId="17" fillId="0" borderId="133" xfId="1" applyFont="1" applyBorder="1" applyProtection="1"/>
    <xf numFmtId="0" fontId="45" fillId="0" borderId="243" xfId="1" applyFont="1" applyBorder="1" applyProtection="1"/>
    <xf numFmtId="0" fontId="96" fillId="0" borderId="0" xfId="1" applyFont="1" applyFill="1" applyBorder="1" applyProtection="1"/>
    <xf numFmtId="0" fontId="96" fillId="0" borderId="231" xfId="1" applyFont="1" applyFill="1" applyBorder="1" applyAlignment="1" applyProtection="1">
      <alignment horizontal="center"/>
    </xf>
    <xf numFmtId="6" fontId="45" fillId="0" borderId="244" xfId="1" applyNumberFormat="1" applyFont="1" applyBorder="1" applyProtection="1"/>
    <xf numFmtId="221" fontId="113" fillId="0" borderId="244" xfId="1" applyNumberFormat="1" applyFont="1" applyFill="1" applyBorder="1" applyProtection="1"/>
    <xf numFmtId="6" fontId="45" fillId="31" borderId="141" xfId="1" applyNumberFormat="1" applyFont="1" applyFill="1" applyBorder="1" applyProtection="1">
      <protection locked="0"/>
    </xf>
    <xf numFmtId="0" fontId="17" fillId="0" borderId="245" xfId="1" applyFont="1" applyBorder="1" applyProtection="1"/>
    <xf numFmtId="0" fontId="17" fillId="0" borderId="140" xfId="1" applyFont="1" applyBorder="1" applyProtection="1"/>
    <xf numFmtId="0" fontId="45" fillId="0" borderId="246" xfId="1" applyFont="1" applyBorder="1" applyProtection="1"/>
    <xf numFmtId="0" fontId="17" fillId="42" borderId="44" xfId="1" applyFont="1" applyFill="1" applyBorder="1" applyAlignment="1" applyProtection="1">
      <alignment horizontal="right"/>
    </xf>
    <xf numFmtId="0" fontId="44" fillId="42" borderId="2" xfId="1" applyFont="1" applyFill="1" applyBorder="1" applyProtection="1"/>
    <xf numFmtId="0" fontId="44" fillId="42" borderId="154" xfId="1" applyFont="1" applyFill="1" applyBorder="1" applyProtection="1"/>
    <xf numFmtId="0" fontId="96" fillId="0" borderId="231" xfId="1" applyFont="1" applyBorder="1" applyAlignment="1" applyProtection="1">
      <alignment horizontal="center"/>
    </xf>
    <xf numFmtId="0" fontId="17" fillId="42" borderId="23" xfId="1" applyFont="1" applyFill="1" applyBorder="1" applyAlignment="1" applyProtection="1">
      <alignment horizontal="right"/>
    </xf>
    <xf numFmtId="0" fontId="15" fillId="42" borderId="153" xfId="1" applyFont="1" applyFill="1" applyBorder="1" applyProtection="1"/>
    <xf numFmtId="6" fontId="45" fillId="31" borderId="40" xfId="1" applyNumberFormat="1" applyFont="1" applyFill="1" applyBorder="1" applyProtection="1">
      <protection locked="0"/>
    </xf>
    <xf numFmtId="214" fontId="44" fillId="30" borderId="241" xfId="1" applyNumberFormat="1" applyFont="1" applyFill="1" applyBorder="1" applyProtection="1"/>
    <xf numFmtId="214" fontId="44" fillId="2" borderId="57" xfId="1" applyNumberFormat="1" applyFont="1" applyFill="1" applyBorder="1" applyProtection="1"/>
    <xf numFmtId="0" fontId="5" fillId="2" borderId="57" xfId="1" applyFill="1" applyBorder="1" applyProtection="1"/>
    <xf numFmtId="214" fontId="44" fillId="42" borderId="77" xfId="1" applyNumberFormat="1" applyFont="1" applyFill="1" applyBorder="1" applyProtection="1"/>
    <xf numFmtId="0" fontId="44" fillId="42" borderId="58" xfId="1" applyFont="1" applyFill="1" applyBorder="1" applyProtection="1"/>
    <xf numFmtId="0" fontId="44" fillId="42" borderId="57" xfId="1" applyFont="1" applyFill="1" applyBorder="1" applyProtection="1"/>
    <xf numFmtId="0" fontId="44" fillId="42" borderId="150" xfId="1" applyFont="1" applyFill="1" applyBorder="1" applyProtection="1"/>
    <xf numFmtId="230" fontId="148" fillId="31" borderId="123" xfId="1" applyNumberFormat="1" applyFont="1" applyFill="1" applyBorder="1" applyAlignment="1" applyProtection="1">
      <alignment horizontal="right"/>
      <protection locked="0"/>
    </xf>
    <xf numFmtId="231" fontId="17" fillId="0" borderId="123" xfId="1" applyNumberFormat="1" applyFont="1" applyFill="1" applyBorder="1" applyAlignment="1" applyProtection="1">
      <alignment shrinkToFit="1"/>
    </xf>
    <xf numFmtId="0" fontId="17" fillId="31" borderId="0" xfId="1" applyFont="1" applyFill="1" applyBorder="1" applyProtection="1"/>
    <xf numFmtId="0" fontId="148" fillId="31" borderId="0" xfId="1" applyFont="1" applyFill="1" applyBorder="1" applyProtection="1"/>
    <xf numFmtId="221" fontId="113" fillId="0" borderId="230" xfId="1" applyNumberFormat="1" applyFont="1" applyFill="1" applyBorder="1" applyProtection="1"/>
    <xf numFmtId="221" fontId="161" fillId="0" borderId="232" xfId="1" applyNumberFormat="1" applyFont="1" applyFill="1" applyBorder="1" applyProtection="1"/>
    <xf numFmtId="6" fontId="103" fillId="0" borderId="121" xfId="1" applyNumberFormat="1" applyFont="1" applyFill="1" applyBorder="1" applyProtection="1"/>
    <xf numFmtId="0" fontId="17" fillId="0" borderId="0" xfId="1" applyFont="1" applyAlignment="1" applyProtection="1">
      <alignment vertical="top"/>
    </xf>
    <xf numFmtId="0" fontId="17" fillId="2" borderId="0" xfId="1" applyFont="1" applyFill="1" applyAlignment="1" applyProtection="1">
      <alignment vertical="top"/>
    </xf>
    <xf numFmtId="6" fontId="45" fillId="0" borderId="21" xfId="1" applyNumberFormat="1" applyFont="1" applyBorder="1" applyAlignment="1" applyProtection="1">
      <alignment vertical="top"/>
    </xf>
    <xf numFmtId="6" fontId="17" fillId="2" borderId="0" xfId="1" applyNumberFormat="1" applyFont="1" applyFill="1" applyBorder="1" applyAlignment="1" applyProtection="1">
      <alignment vertical="top"/>
    </xf>
    <xf numFmtId="9" fontId="17" fillId="31" borderId="248" xfId="1" applyNumberFormat="1" applyFont="1" applyFill="1" applyBorder="1" applyAlignment="1" applyProtection="1">
      <alignment horizontal="center"/>
      <protection locked="0"/>
    </xf>
    <xf numFmtId="0" fontId="5" fillId="2" borderId="58" xfId="1" applyFill="1" applyBorder="1" applyProtection="1"/>
    <xf numFmtId="9" fontId="5" fillId="0" borderId="3" xfId="1" applyNumberFormat="1" applyFill="1" applyBorder="1" applyProtection="1"/>
    <xf numFmtId="0" fontId="17" fillId="2" borderId="0" xfId="1" applyFont="1" applyFill="1" applyProtection="1">
      <protection locked="0"/>
    </xf>
    <xf numFmtId="9" fontId="5" fillId="0" borderId="0" xfId="1" applyNumberFormat="1" applyProtection="1"/>
    <xf numFmtId="0" fontId="5" fillId="0" borderId="58" xfId="1" applyBorder="1" applyProtection="1"/>
    <xf numFmtId="0" fontId="5" fillId="0" borderId="57" xfId="1" applyBorder="1" applyProtection="1"/>
    <xf numFmtId="0" fontId="5" fillId="32" borderId="77" xfId="1" applyFill="1" applyBorder="1" applyProtection="1">
      <protection locked="0"/>
    </xf>
    <xf numFmtId="0" fontId="17" fillId="0" borderId="122" xfId="1" applyFont="1" applyBorder="1" applyProtection="1"/>
    <xf numFmtId="0" fontId="14" fillId="0" borderId="123" xfId="1" applyFont="1" applyBorder="1" applyAlignment="1" applyProtection="1">
      <alignment vertical="center"/>
    </xf>
    <xf numFmtId="0" fontId="15" fillId="31" borderId="3" xfId="1" applyFont="1" applyFill="1" applyBorder="1" applyAlignment="1" applyProtection="1">
      <alignment horizontal="center" vertical="center"/>
    </xf>
    <xf numFmtId="9" fontId="17" fillId="31" borderId="123" xfId="1" applyNumberFormat="1" applyFont="1" applyFill="1" applyBorder="1" applyAlignment="1" applyProtection="1">
      <alignment shrinkToFit="1"/>
      <protection locked="0"/>
    </xf>
    <xf numFmtId="0" fontId="45" fillId="0" borderId="144" xfId="1" quotePrefix="1" applyFont="1" applyBorder="1" applyProtection="1"/>
    <xf numFmtId="0" fontId="16" fillId="0" borderId="123" xfId="1" applyFont="1" applyBorder="1" applyAlignment="1" applyProtection="1">
      <alignment horizontal="right"/>
    </xf>
    <xf numFmtId="0" fontId="45" fillId="0" borderId="144" xfId="1" applyFont="1" applyBorder="1" applyProtection="1"/>
    <xf numFmtId="6" fontId="45" fillId="0" borderId="250" xfId="1" applyNumberFormat="1" applyFont="1" applyBorder="1" applyProtection="1"/>
    <xf numFmtId="6" fontId="15" fillId="30" borderId="20" xfId="1" applyNumberFormat="1" applyFont="1" applyFill="1" applyBorder="1" applyAlignment="1" applyProtection="1">
      <alignment horizontal="center"/>
    </xf>
    <xf numFmtId="0" fontId="113" fillId="0" borderId="174" xfId="1" applyFont="1" applyFill="1" applyBorder="1" applyAlignment="1" applyProtection="1">
      <alignment horizontal="center"/>
    </xf>
    <xf numFmtId="0" fontId="15" fillId="42" borderId="40" xfId="1" applyFont="1" applyFill="1" applyBorder="1" applyAlignment="1" applyProtection="1">
      <alignment horizontal="center"/>
    </xf>
    <xf numFmtId="0" fontId="17" fillId="30" borderId="0" xfId="1" applyFont="1" applyFill="1" applyBorder="1" applyProtection="1"/>
    <xf numFmtId="0" fontId="17" fillId="30" borderId="32" xfId="1" applyFont="1" applyFill="1" applyBorder="1" applyProtection="1"/>
    <xf numFmtId="0" fontId="10" fillId="30" borderId="0" xfId="1" applyFont="1" applyFill="1" applyBorder="1" applyAlignment="1" applyProtection="1">
      <alignment horizontal="center" vertical="top" wrapText="1"/>
    </xf>
    <xf numFmtId="0" fontId="6" fillId="30" borderId="231" xfId="1" applyFont="1" applyFill="1" applyBorder="1" applyAlignment="1" applyProtection="1">
      <alignment horizontal="center" vertical="top" wrapText="1"/>
    </xf>
    <xf numFmtId="6" fontId="15" fillId="30" borderId="21" xfId="1" applyNumberFormat="1" applyFont="1" applyFill="1" applyBorder="1" applyAlignment="1" applyProtection="1">
      <alignment horizontal="center"/>
    </xf>
    <xf numFmtId="0" fontId="15" fillId="30" borderId="21" xfId="1" applyFont="1" applyFill="1" applyBorder="1" applyAlignment="1" applyProtection="1">
      <alignment horizontal="center"/>
    </xf>
    <xf numFmtId="1" fontId="15" fillId="2" borderId="0" xfId="1" applyNumberFormat="1" applyFont="1" applyFill="1" applyBorder="1" applyAlignment="1" applyProtection="1">
      <alignment horizontal="center"/>
    </xf>
    <xf numFmtId="0" fontId="15" fillId="30" borderId="250" xfId="1" applyFont="1" applyFill="1" applyBorder="1" applyAlignment="1" applyProtection="1">
      <alignment horizontal="center"/>
    </xf>
    <xf numFmtId="1" fontId="15" fillId="2" borderId="24" xfId="1" quotePrefix="1" applyNumberFormat="1" applyFont="1" applyFill="1" applyBorder="1" applyAlignment="1" applyProtection="1">
      <alignment horizontal="center"/>
    </xf>
    <xf numFmtId="0" fontId="17" fillId="30" borderId="127" xfId="1" applyFont="1" applyFill="1" applyBorder="1" applyProtection="1"/>
    <xf numFmtId="0" fontId="17" fillId="30" borderId="24" xfId="1" applyFont="1" applyFill="1" applyBorder="1" applyProtection="1"/>
    <xf numFmtId="0" fontId="17" fillId="30" borderId="79" xfId="1" applyFont="1" applyFill="1" applyBorder="1" applyProtection="1"/>
    <xf numFmtId="0" fontId="15" fillId="2" borderId="0" xfId="1" applyFont="1" applyFill="1" applyBorder="1" applyAlignment="1" applyProtection="1">
      <alignment horizontal="right"/>
    </xf>
    <xf numFmtId="0" fontId="15" fillId="2" borderId="0" xfId="1" applyFont="1" applyFill="1" applyBorder="1" applyProtection="1"/>
    <xf numFmtId="0" fontId="15" fillId="2" borderId="0" xfId="1" applyFont="1" applyFill="1" applyBorder="1" applyAlignment="1" applyProtection="1">
      <alignment horizontal="center"/>
    </xf>
    <xf numFmtId="0" fontId="17" fillId="0" borderId="0" xfId="1" applyFont="1" applyFill="1" applyProtection="1"/>
    <xf numFmtId="0" fontId="17" fillId="0" borderId="0" xfId="1" applyFont="1" applyFill="1" applyAlignment="1" applyProtection="1">
      <alignment vertical="center"/>
    </xf>
    <xf numFmtId="0" fontId="17" fillId="0" borderId="0" xfId="1" applyFont="1" applyFill="1" applyBorder="1" applyAlignment="1" applyProtection="1">
      <alignment vertical="center"/>
    </xf>
    <xf numFmtId="0" fontId="14" fillId="0" borderId="0" xfId="1" applyFont="1" applyFill="1" applyBorder="1" applyAlignment="1" applyProtection="1">
      <alignment vertical="center"/>
    </xf>
    <xf numFmtId="2" fontId="14" fillId="0" borderId="0" xfId="1" applyNumberFormat="1" applyFont="1" applyFill="1" applyBorder="1" applyAlignment="1" applyProtection="1">
      <alignment vertical="center"/>
    </xf>
    <xf numFmtId="0" fontId="14" fillId="0" borderId="0" xfId="1" applyFont="1" applyFill="1" applyBorder="1" applyAlignment="1" applyProtection="1">
      <alignment horizontal="right" vertical="center"/>
    </xf>
    <xf numFmtId="232" fontId="15" fillId="0" borderId="0" xfId="1" applyNumberFormat="1" applyFont="1" applyFill="1" applyBorder="1" applyAlignment="1" applyProtection="1">
      <alignment horizontal="left" vertical="center"/>
    </xf>
    <xf numFmtId="0" fontId="15" fillId="0" borderId="0" xfId="1" applyFont="1" applyFill="1" applyBorder="1" applyAlignment="1" applyProtection="1">
      <alignment horizontal="center" vertical="center"/>
    </xf>
    <xf numFmtId="2" fontId="14" fillId="31" borderId="179" xfId="1" applyNumberFormat="1" applyFont="1" applyFill="1" applyBorder="1" applyAlignment="1" applyProtection="1">
      <alignment horizontal="center" vertical="center"/>
      <protection locked="0"/>
    </xf>
    <xf numFmtId="0" fontId="159" fillId="0" borderId="94" xfId="1" applyFont="1" applyBorder="1" applyProtection="1"/>
    <xf numFmtId="0" fontId="14" fillId="0" borderId="107" xfId="1" applyFont="1" applyBorder="1" applyAlignment="1" applyProtection="1">
      <alignment vertical="center"/>
    </xf>
    <xf numFmtId="0" fontId="15" fillId="0" borderId="94" xfId="1" applyFont="1" applyFill="1" applyBorder="1" applyAlignment="1" applyProtection="1">
      <alignment horizontal="center" vertical="center"/>
    </xf>
    <xf numFmtId="0" fontId="17" fillId="0" borderId="107" xfId="1" applyFont="1" applyFill="1" applyBorder="1" applyAlignment="1" applyProtection="1">
      <alignment vertical="center"/>
    </xf>
    <xf numFmtId="0" fontId="17" fillId="0" borderId="59" xfId="1" applyFont="1" applyBorder="1" applyAlignment="1" applyProtection="1">
      <alignment vertical="center"/>
    </xf>
    <xf numFmtId="0" fontId="14" fillId="0" borderId="41" xfId="1" applyFont="1" applyBorder="1" applyAlignment="1" applyProtection="1">
      <alignment vertical="center"/>
    </xf>
    <xf numFmtId="2" fontId="14" fillId="0" borderId="253" xfId="1" applyNumberFormat="1" applyFont="1" applyFill="1" applyBorder="1" applyAlignment="1" applyProtection="1">
      <alignment vertical="center"/>
    </xf>
    <xf numFmtId="0" fontId="14" fillId="0" borderId="41" xfId="1" applyFont="1" applyBorder="1" applyAlignment="1" applyProtection="1">
      <alignment horizontal="right" vertical="center"/>
    </xf>
    <xf numFmtId="0" fontId="7" fillId="0" borderId="41" xfId="1" applyFont="1" applyBorder="1" applyAlignment="1" applyProtection="1">
      <alignment vertical="center"/>
    </xf>
    <xf numFmtId="0" fontId="17" fillId="0" borderId="60" xfId="1" applyFont="1" applyBorder="1" applyAlignment="1" applyProtection="1">
      <alignment vertical="center"/>
    </xf>
    <xf numFmtId="0" fontId="159" fillId="2" borderId="0" xfId="1" applyFont="1" applyFill="1" applyAlignment="1" applyProtection="1">
      <alignment vertical="center"/>
    </xf>
    <xf numFmtId="0" fontId="17" fillId="0" borderId="64" xfId="1" applyFont="1" applyBorder="1" applyAlignment="1" applyProtection="1">
      <alignment vertical="center"/>
    </xf>
    <xf numFmtId="2" fontId="14" fillId="0" borderId="9" xfId="1" applyNumberFormat="1" applyFont="1" applyFill="1" applyBorder="1" applyAlignment="1" applyProtection="1">
      <alignment vertical="center"/>
    </xf>
    <xf numFmtId="0" fontId="17" fillId="0" borderId="32" xfId="1" applyFont="1" applyBorder="1" applyAlignment="1" applyProtection="1">
      <alignment vertical="center"/>
    </xf>
    <xf numFmtId="0" fontId="159" fillId="0" borderId="41" xfId="1" applyFont="1" applyFill="1" applyBorder="1" applyAlignment="1" applyProtection="1">
      <alignment vertical="center"/>
    </xf>
    <xf numFmtId="0" fontId="159" fillId="0" borderId="32" xfId="1" applyFont="1" applyBorder="1" applyAlignment="1" applyProtection="1">
      <alignment vertical="center"/>
    </xf>
    <xf numFmtId="1" fontId="15" fillId="0" borderId="24" xfId="1" applyNumberFormat="1" applyFont="1" applyFill="1" applyBorder="1" applyAlignment="1" applyProtection="1">
      <alignment horizontal="center" vertical="center"/>
    </xf>
    <xf numFmtId="0" fontId="14" fillId="0" borderId="79" xfId="1" applyFont="1" applyFill="1" applyBorder="1" applyAlignment="1" applyProtection="1">
      <alignment horizontal="left" vertical="center"/>
    </xf>
    <xf numFmtId="229" fontId="44" fillId="0" borderId="172" xfId="1" applyNumberFormat="1" applyFont="1" applyFill="1" applyBorder="1" applyAlignment="1" applyProtection="1">
      <alignment horizontal="right" vertical="center"/>
    </xf>
    <xf numFmtId="0" fontId="15" fillId="2" borderId="0" xfId="1" applyFont="1" applyFill="1" applyBorder="1" applyAlignment="1" applyProtection="1">
      <alignment horizontal="right" vertical="center"/>
    </xf>
    <xf numFmtId="0" fontId="15" fillId="2" borderId="0" xfId="1" applyFont="1" applyFill="1" applyBorder="1" applyAlignment="1" applyProtection="1">
      <alignment horizontal="center" vertical="center"/>
    </xf>
    <xf numFmtId="1" fontId="15" fillId="0" borderId="41" xfId="1" applyNumberFormat="1" applyFont="1" applyFill="1" applyBorder="1" applyAlignment="1" applyProtection="1">
      <alignment horizontal="center" vertical="center"/>
    </xf>
    <xf numFmtId="0" fontId="14" fillId="0" borderId="60" xfId="1" applyFont="1" applyFill="1" applyBorder="1" applyAlignment="1" applyProtection="1">
      <alignment horizontal="left" vertical="center"/>
    </xf>
    <xf numFmtId="6" fontId="15" fillId="31" borderId="106" xfId="1" applyNumberFormat="1" applyFont="1" applyFill="1" applyBorder="1" applyAlignment="1" applyProtection="1">
      <alignment horizontal="right" vertical="center"/>
      <protection locked="0"/>
    </xf>
    <xf numFmtId="0" fontId="17" fillId="31" borderId="41" xfId="1" applyFont="1" applyFill="1" applyBorder="1" applyAlignment="1" applyProtection="1">
      <alignment vertical="center"/>
    </xf>
    <xf numFmtId="0" fontId="159" fillId="0" borderId="78" xfId="1" applyFont="1" applyBorder="1" applyAlignment="1" applyProtection="1">
      <alignment vertical="center"/>
    </xf>
    <xf numFmtId="0" fontId="159" fillId="0" borderId="24" xfId="1" applyFont="1" applyBorder="1" applyAlignment="1" applyProtection="1">
      <alignment vertical="center"/>
    </xf>
    <xf numFmtId="0" fontId="14" fillId="0" borderId="79" xfId="1" applyFont="1" applyBorder="1" applyAlignment="1" applyProtection="1">
      <alignment vertical="center"/>
    </xf>
    <xf numFmtId="216" fontId="15" fillId="0" borderId="177" xfId="1" applyNumberFormat="1" applyFont="1" applyFill="1" applyBorder="1" applyAlignment="1" applyProtection="1">
      <alignment horizontal="left" vertical="center"/>
    </xf>
    <xf numFmtId="216" fontId="15" fillId="0" borderId="31" xfId="1" applyNumberFormat="1" applyFont="1" applyFill="1" applyBorder="1" applyAlignment="1" applyProtection="1">
      <alignment horizontal="left" vertical="center"/>
    </xf>
    <xf numFmtId="0" fontId="14" fillId="0" borderId="0" xfId="1" applyFont="1" applyFill="1" applyBorder="1" applyAlignment="1" applyProtection="1">
      <alignment horizontal="center" vertical="center"/>
    </xf>
    <xf numFmtId="0" fontId="14" fillId="0" borderId="32" xfId="1" applyFont="1" applyFill="1" applyBorder="1" applyAlignment="1" applyProtection="1">
      <alignment horizontal="right" vertical="center"/>
    </xf>
    <xf numFmtId="218" fontId="5" fillId="2" borderId="3" xfId="1" applyNumberFormat="1" applyFill="1" applyBorder="1" applyProtection="1"/>
    <xf numFmtId="9" fontId="5" fillId="2" borderId="3" xfId="1" applyNumberFormat="1" applyFill="1" applyBorder="1" applyProtection="1"/>
    <xf numFmtId="6" fontId="15" fillId="31" borderId="256" xfId="1" applyNumberFormat="1" applyFont="1" applyFill="1" applyBorder="1" applyAlignment="1" applyProtection="1">
      <alignment horizontal="right" vertical="center"/>
      <protection locked="0"/>
    </xf>
    <xf numFmtId="0" fontId="17" fillId="31" borderId="31" xfId="1" applyFont="1" applyFill="1" applyBorder="1" applyAlignment="1" applyProtection="1">
      <alignment vertical="center"/>
    </xf>
    <xf numFmtId="0" fontId="14" fillId="0" borderId="59" xfId="1" applyFont="1" applyBorder="1" applyAlignment="1" applyProtection="1">
      <alignment vertical="center"/>
    </xf>
    <xf numFmtId="2" fontId="14" fillId="31" borderId="253" xfId="1" applyNumberFormat="1" applyFont="1" applyFill="1" applyBorder="1" applyAlignment="1" applyProtection="1">
      <alignment vertical="center"/>
      <protection locked="0"/>
    </xf>
    <xf numFmtId="0" fontId="5" fillId="2" borderId="3" xfId="1" applyFill="1" applyBorder="1" applyProtection="1"/>
    <xf numFmtId="0" fontId="100" fillId="0" borderId="64" xfId="1" applyFont="1" applyBorder="1" applyAlignment="1" applyProtection="1">
      <alignment vertical="center"/>
    </xf>
    <xf numFmtId="2" fontId="14" fillId="31" borderId="9" xfId="1" applyNumberFormat="1" applyFont="1" applyFill="1" applyBorder="1" applyAlignment="1" applyProtection="1">
      <alignment vertical="center"/>
      <protection locked="0"/>
    </xf>
    <xf numFmtId="0" fontId="111" fillId="0" borderId="0" xfId="1" applyFont="1" applyBorder="1" applyAlignment="1" applyProtection="1">
      <alignment vertical="center"/>
    </xf>
    <xf numFmtId="0" fontId="44" fillId="0" borderId="24" xfId="1" applyFont="1" applyFill="1" applyBorder="1" applyAlignment="1" applyProtection="1">
      <alignment horizontal="center" vertical="center"/>
    </xf>
    <xf numFmtId="0" fontId="163" fillId="0" borderId="79" xfId="1" applyFont="1" applyFill="1" applyBorder="1" applyAlignment="1" applyProtection="1">
      <alignment horizontal="left" vertical="center"/>
    </xf>
    <xf numFmtId="216" fontId="5" fillId="2" borderId="3" xfId="1" applyNumberFormat="1" applyFill="1" applyBorder="1" applyProtection="1"/>
    <xf numFmtId="0" fontId="44" fillId="2" borderId="0" xfId="1" applyFont="1" applyFill="1" applyBorder="1" applyAlignment="1" applyProtection="1">
      <alignment horizontal="center" vertical="center"/>
    </xf>
    <xf numFmtId="0" fontId="17" fillId="31" borderId="90" xfId="1" applyFont="1" applyFill="1" applyBorder="1" applyAlignment="1" applyProtection="1">
      <alignment vertical="center"/>
    </xf>
    <xf numFmtId="234" fontId="7" fillId="31" borderId="9" xfId="1" applyNumberFormat="1" applyFont="1" applyFill="1" applyBorder="1" applyAlignment="1" applyProtection="1">
      <alignment vertical="center"/>
      <protection locked="0"/>
    </xf>
    <xf numFmtId="0" fontId="17" fillId="31" borderId="257" xfId="1" applyFont="1" applyFill="1" applyBorder="1" applyAlignment="1" applyProtection="1">
      <alignment vertical="center"/>
    </xf>
    <xf numFmtId="0" fontId="5" fillId="2" borderId="77" xfId="1" applyFill="1" applyBorder="1" applyProtection="1"/>
    <xf numFmtId="0" fontId="7" fillId="2" borderId="0" xfId="1" applyFont="1" applyFill="1" applyAlignment="1" applyProtection="1">
      <alignment vertical="center"/>
    </xf>
    <xf numFmtId="0" fontId="17" fillId="0" borderId="78" xfId="1" applyFont="1" applyBorder="1" applyAlignment="1" applyProtection="1">
      <alignment vertical="center"/>
    </xf>
    <xf numFmtId="0" fontId="14" fillId="0" borderId="24" xfId="1" applyFont="1" applyBorder="1" applyAlignment="1" applyProtection="1">
      <alignment horizontal="right" vertical="center"/>
    </xf>
    <xf numFmtId="0" fontId="17" fillId="0" borderId="24" xfId="1" applyFont="1" applyBorder="1" applyAlignment="1" applyProtection="1">
      <alignment vertical="center"/>
    </xf>
    <xf numFmtId="0" fontId="159" fillId="2" borderId="0" xfId="1" applyFont="1" applyFill="1" applyProtection="1"/>
    <xf numFmtId="0" fontId="5" fillId="43" borderId="0" xfId="1" applyFill="1"/>
    <xf numFmtId="177" fontId="5" fillId="43" borderId="0" xfId="1" applyNumberFormat="1" applyFill="1"/>
    <xf numFmtId="0" fontId="10" fillId="43" borderId="0" xfId="1" applyFont="1" applyFill="1"/>
    <xf numFmtId="177" fontId="6" fillId="0" borderId="0" xfId="1" applyNumberFormat="1" applyFont="1"/>
    <xf numFmtId="1" fontId="5" fillId="0" borderId="0" xfId="1" applyNumberFormat="1"/>
    <xf numFmtId="3" fontId="5" fillId="37" borderId="0" xfId="1" applyNumberFormat="1" applyFill="1"/>
    <xf numFmtId="3" fontId="5" fillId="44" borderId="0" xfId="1" applyNumberFormat="1" applyFill="1"/>
    <xf numFmtId="0" fontId="5" fillId="44" borderId="0" xfId="1" applyFill="1"/>
    <xf numFmtId="0" fontId="10" fillId="0" borderId="0" xfId="1" applyFont="1" applyAlignment="1">
      <alignment wrapText="1"/>
    </xf>
    <xf numFmtId="10" fontId="5" fillId="44" borderId="0" xfId="1" applyNumberFormat="1" applyFill="1"/>
    <xf numFmtId="0" fontId="18" fillId="0" borderId="0" xfId="1" applyFont="1" applyAlignment="1">
      <alignment horizontal="left" vertical="top"/>
    </xf>
    <xf numFmtId="189" fontId="15" fillId="31" borderId="124" xfId="61" applyNumberFormat="1" applyFont="1" applyFill="1" applyBorder="1" applyAlignment="1" applyProtection="1">
      <alignment vertical="center"/>
      <protection locked="0"/>
    </xf>
    <xf numFmtId="0" fontId="7" fillId="0" borderId="2" xfId="1" applyFont="1" applyBorder="1" applyAlignment="1" applyProtection="1">
      <alignment vertical="center"/>
      <protection locked="0"/>
    </xf>
    <xf numFmtId="0" fontId="7" fillId="0" borderId="39" xfId="1" applyFont="1" applyBorder="1" applyAlignment="1" applyProtection="1">
      <alignment vertical="center"/>
      <protection locked="0"/>
    </xf>
    <xf numFmtId="170" fontId="7" fillId="4" borderId="125" xfId="61" applyNumberFormat="1" applyFont="1" applyFill="1" applyBorder="1" applyAlignment="1" applyProtection="1">
      <alignment vertical="center"/>
    </xf>
    <xf numFmtId="0" fontId="122" fillId="0" borderId="165" xfId="1" applyFont="1" applyBorder="1" applyAlignment="1" applyProtection="1">
      <alignment horizontal="left" vertical="center"/>
    </xf>
    <xf numFmtId="0" fontId="121" fillId="0" borderId="75" xfId="1" applyFont="1" applyBorder="1" applyAlignment="1" applyProtection="1">
      <alignment vertical="center"/>
    </xf>
    <xf numFmtId="0" fontId="121" fillId="0" borderId="76" xfId="1" applyFont="1" applyBorder="1" applyAlignment="1" applyProtection="1">
      <alignment vertical="center"/>
    </xf>
    <xf numFmtId="3" fontId="7" fillId="0" borderId="66" xfId="0" applyNumberFormat="1" applyFont="1" applyFill="1" applyBorder="1" applyAlignment="1" applyProtection="1">
      <alignment vertical="center"/>
    </xf>
    <xf numFmtId="0" fontId="5" fillId="0" borderId="0" xfId="1" applyBorder="1" applyAlignment="1" applyProtection="1">
      <alignment vertical="center"/>
    </xf>
    <xf numFmtId="0" fontId="10" fillId="0" borderId="0" xfId="1" applyFont="1" applyBorder="1" applyAlignment="1">
      <alignment horizontal="left" vertical="center"/>
    </xf>
    <xf numFmtId="3" fontId="32" fillId="0" borderId="0" xfId="1" applyNumberFormat="1" applyFont="1" applyAlignment="1">
      <alignment vertical="center" shrinkToFit="1"/>
    </xf>
    <xf numFmtId="0" fontId="105" fillId="0" borderId="44" xfId="1" applyFont="1" applyBorder="1" applyAlignment="1">
      <alignment horizontal="center"/>
    </xf>
    <xf numFmtId="188" fontId="7" fillId="0" borderId="19" xfId="1" applyNumberFormat="1" applyFont="1" applyBorder="1" applyAlignment="1">
      <alignment horizontal="right" vertical="center"/>
    </xf>
    <xf numFmtId="188" fontId="7" fillId="0" borderId="42" xfId="1" applyNumberFormat="1" applyFont="1" applyBorder="1" applyAlignment="1">
      <alignment horizontal="right" vertical="center"/>
    </xf>
    <xf numFmtId="188" fontId="14" fillId="0" borderId="58" xfId="1" applyNumberFormat="1" applyFont="1" applyBorder="1" applyAlignment="1">
      <alignment horizontal="right" vertical="center"/>
    </xf>
    <xf numFmtId="0" fontId="112" fillId="47" borderId="0" xfId="1" applyFont="1" applyFill="1" applyBorder="1" applyAlignment="1">
      <alignment horizontal="center" vertical="center"/>
    </xf>
    <xf numFmtId="0" fontId="110" fillId="47" borderId="0" xfId="1" applyFont="1" applyFill="1" applyBorder="1" applyAlignment="1">
      <alignment vertical="center"/>
    </xf>
    <xf numFmtId="172" fontId="17" fillId="47" borderId="0" xfId="1" applyNumberFormat="1" applyFont="1" applyFill="1" applyBorder="1" applyAlignment="1">
      <alignment horizontal="right" vertical="center"/>
    </xf>
    <xf numFmtId="0" fontId="5" fillId="47" borderId="0" xfId="1" applyFill="1" applyBorder="1" applyAlignment="1">
      <alignment vertical="center"/>
    </xf>
    <xf numFmtId="0" fontId="5" fillId="47" borderId="2" xfId="1" applyFill="1" applyBorder="1" applyAlignment="1">
      <alignment vertical="center"/>
    </xf>
    <xf numFmtId="0" fontId="5" fillId="47" borderId="0" xfId="1" applyFill="1" applyBorder="1" applyAlignment="1" applyProtection="1">
      <alignment vertical="center"/>
    </xf>
    <xf numFmtId="0" fontId="5" fillId="47" borderId="0" xfId="1" applyFill="1" applyAlignment="1">
      <alignment vertical="center"/>
    </xf>
    <xf numFmtId="0" fontId="10" fillId="47" borderId="23" xfId="1" applyFont="1" applyFill="1" applyBorder="1" applyAlignment="1">
      <alignment vertical="center"/>
    </xf>
    <xf numFmtId="196" fontId="7" fillId="47" borderId="0" xfId="1" applyNumberFormat="1" applyFont="1" applyFill="1" applyBorder="1" applyAlignment="1">
      <alignment horizontal="right" vertical="center"/>
    </xf>
    <xf numFmtId="188" fontId="7" fillId="47" borderId="0" xfId="61" applyNumberFormat="1" applyFont="1" applyFill="1" applyBorder="1" applyAlignment="1">
      <alignment horizontal="right" vertical="center"/>
    </xf>
    <xf numFmtId="188" fontId="7" fillId="47" borderId="0" xfId="1" applyNumberFormat="1" applyFont="1" applyFill="1" applyBorder="1" applyAlignment="1">
      <alignment horizontal="right" vertical="center"/>
    </xf>
    <xf numFmtId="172" fontId="7" fillId="47" borderId="0" xfId="1" applyNumberFormat="1" applyFont="1" applyFill="1" applyBorder="1" applyAlignment="1">
      <alignment horizontal="right" vertical="center"/>
    </xf>
    <xf numFmtId="0" fontId="21" fillId="47" borderId="0" xfId="1" applyFont="1" applyFill="1" applyAlignment="1">
      <alignment horizontal="center" vertical="center"/>
    </xf>
    <xf numFmtId="0" fontId="21" fillId="47" borderId="0" xfId="1" applyFont="1" applyFill="1" applyBorder="1" applyAlignment="1">
      <alignment vertical="center"/>
    </xf>
    <xf numFmtId="0" fontId="10" fillId="47" borderId="0" xfId="1" applyFont="1" applyFill="1" applyBorder="1" applyAlignment="1">
      <alignment horizontal="right" vertical="center"/>
    </xf>
    <xf numFmtId="0" fontId="10" fillId="47" borderId="0" xfId="1" applyFont="1" applyFill="1" applyBorder="1" applyAlignment="1">
      <alignment horizontal="left" vertical="center"/>
    </xf>
    <xf numFmtId="0" fontId="106" fillId="47" borderId="23" xfId="1" applyFont="1" applyFill="1" applyBorder="1" applyAlignment="1">
      <alignment horizontal="center" wrapText="1"/>
    </xf>
    <xf numFmtId="0" fontId="106" fillId="47" borderId="23" xfId="1" applyFont="1" applyFill="1" applyBorder="1"/>
    <xf numFmtId="0" fontId="107" fillId="47" borderId="0" xfId="1" applyFont="1" applyFill="1" applyAlignment="1">
      <alignment wrapText="1"/>
    </xf>
    <xf numFmtId="0" fontId="5" fillId="47" borderId="0" xfId="1" applyFill="1"/>
    <xf numFmtId="0" fontId="5" fillId="33" borderId="23" xfId="1" applyFill="1" applyBorder="1" applyAlignment="1" applyProtection="1">
      <alignment vertical="center"/>
    </xf>
    <xf numFmtId="0" fontId="5" fillId="33" borderId="23" xfId="1" applyFill="1" applyBorder="1" applyAlignment="1">
      <alignment vertical="center"/>
    </xf>
    <xf numFmtId="0" fontId="5" fillId="33" borderId="42" xfId="1" applyFill="1" applyBorder="1" applyAlignment="1">
      <alignment vertical="center"/>
    </xf>
    <xf numFmtId="0" fontId="10" fillId="0" borderId="65" xfId="1" applyFont="1" applyBorder="1" applyAlignment="1">
      <alignment vertical="center"/>
    </xf>
    <xf numFmtId="172" fontId="106" fillId="0" borderId="8" xfId="1" applyNumberFormat="1" applyFont="1" applyBorder="1" applyAlignment="1"/>
    <xf numFmtId="0" fontId="10" fillId="0" borderId="42" xfId="1" applyFont="1" applyBorder="1" applyAlignment="1">
      <alignment vertical="center"/>
    </xf>
    <xf numFmtId="0" fontId="10" fillId="47" borderId="39" xfId="1" applyFont="1" applyFill="1" applyBorder="1" applyAlignment="1">
      <alignment horizontal="left" vertical="center"/>
    </xf>
    <xf numFmtId="0" fontId="6" fillId="0" borderId="77" xfId="1" applyFont="1" applyBorder="1" applyAlignment="1" applyProtection="1">
      <alignment vertical="center"/>
    </xf>
    <xf numFmtId="0" fontId="6" fillId="0" borderId="0" xfId="1" applyFont="1" applyBorder="1" applyAlignment="1" applyProtection="1">
      <alignment vertical="center"/>
    </xf>
    <xf numFmtId="0" fontId="6" fillId="0" borderId="19" xfId="1" applyFont="1" applyBorder="1" applyAlignment="1" applyProtection="1">
      <alignment vertical="center"/>
    </xf>
    <xf numFmtId="0" fontId="10" fillId="33" borderId="40" xfId="1" applyFont="1" applyFill="1" applyBorder="1" applyAlignment="1" applyProtection="1">
      <alignment horizontal="left" vertical="center"/>
    </xf>
    <xf numFmtId="0" fontId="10" fillId="33" borderId="0" xfId="1" applyFont="1" applyFill="1" applyBorder="1" applyAlignment="1" applyProtection="1">
      <alignment horizontal="left" vertical="center"/>
    </xf>
    <xf numFmtId="0" fontId="10" fillId="33" borderId="19" xfId="1" applyFont="1" applyFill="1" applyBorder="1" applyAlignment="1" applyProtection="1">
      <alignment horizontal="left" vertical="center"/>
    </xf>
    <xf numFmtId="0" fontId="5" fillId="0" borderId="0" xfId="1" applyAlignment="1" applyProtection="1">
      <alignment horizontal="left" vertical="center"/>
    </xf>
    <xf numFmtId="0" fontId="5" fillId="0" borderId="19" xfId="1" applyBorder="1" applyAlignment="1" applyProtection="1">
      <alignment horizontal="left" vertical="center"/>
    </xf>
    <xf numFmtId="0" fontId="10" fillId="33" borderId="39" xfId="1" applyFont="1" applyFill="1" applyBorder="1" applyAlignment="1" applyProtection="1">
      <alignment horizontal="left" vertical="center" wrapText="1"/>
    </xf>
    <xf numFmtId="0" fontId="10" fillId="33" borderId="2" xfId="1" applyFont="1" applyFill="1" applyBorder="1" applyAlignment="1" applyProtection="1">
      <alignment horizontal="left" vertical="center" wrapText="1"/>
    </xf>
    <xf numFmtId="0" fontId="10" fillId="33" borderId="44" xfId="1" applyFont="1" applyFill="1" applyBorder="1" applyAlignment="1" applyProtection="1">
      <alignment horizontal="left" vertical="center" wrapText="1"/>
    </xf>
    <xf numFmtId="0" fontId="10" fillId="33" borderId="40" xfId="0" applyFont="1" applyFill="1" applyBorder="1" applyAlignment="1" applyProtection="1">
      <alignment horizontal="left" vertical="center"/>
    </xf>
    <xf numFmtId="0" fontId="0" fillId="0" borderId="0" xfId="0" applyAlignment="1" applyProtection="1">
      <alignment horizontal="left" vertical="center"/>
    </xf>
    <xf numFmtId="0" fontId="0" fillId="0" borderId="19" xfId="0" applyBorder="1" applyAlignment="1" applyProtection="1">
      <alignment horizontal="left" vertical="center"/>
    </xf>
    <xf numFmtId="0" fontId="5" fillId="0" borderId="0" xfId="1" applyBorder="1" applyAlignment="1" applyProtection="1">
      <alignment vertical="center"/>
    </xf>
    <xf numFmtId="0" fontId="6" fillId="0" borderId="0" xfId="1" applyFont="1" applyBorder="1" applyAlignment="1" applyProtection="1">
      <alignment vertical="center"/>
    </xf>
    <xf numFmtId="0" fontId="6" fillId="0" borderId="19" xfId="1" applyFont="1" applyBorder="1" applyAlignment="1" applyProtection="1">
      <alignment vertical="center"/>
    </xf>
    <xf numFmtId="0" fontId="7" fillId="0" borderId="23" xfId="1" applyFont="1" applyBorder="1" applyAlignment="1" applyProtection="1">
      <alignment horizontal="left" vertical="center"/>
    </xf>
    <xf numFmtId="188" fontId="15" fillId="0" borderId="23" xfId="61" applyNumberFormat="1" applyFont="1" applyBorder="1" applyAlignment="1" applyProtection="1">
      <alignment vertical="center"/>
    </xf>
    <xf numFmtId="188" fontId="15" fillId="27" borderId="23" xfId="61" applyNumberFormat="1" applyFont="1" applyFill="1" applyBorder="1" applyAlignment="1" applyProtection="1">
      <alignment vertical="center"/>
    </xf>
    <xf numFmtId="0" fontId="0" fillId="0" borderId="19" xfId="0" applyBorder="1" applyAlignment="1" applyProtection="1">
      <alignment vertical="center"/>
    </xf>
    <xf numFmtId="0" fontId="10" fillId="33" borderId="40" xfId="1" applyFont="1" applyFill="1" applyBorder="1" applyAlignment="1" applyProtection="1">
      <alignment vertical="center"/>
    </xf>
    <xf numFmtId="0" fontId="10" fillId="33" borderId="0" xfId="1" applyFont="1" applyFill="1" applyBorder="1" applyAlignment="1" applyProtection="1">
      <alignment vertical="center"/>
    </xf>
    <xf numFmtId="0" fontId="10" fillId="33" borderId="19" xfId="1" applyFont="1" applyFill="1" applyBorder="1" applyAlignment="1" applyProtection="1">
      <alignment vertical="center"/>
    </xf>
    <xf numFmtId="0" fontId="10" fillId="33" borderId="39" xfId="1" applyFont="1" applyFill="1" applyBorder="1" applyAlignment="1" applyProtection="1">
      <alignment horizontal="left" vertical="center"/>
    </xf>
    <xf numFmtId="0" fontId="45" fillId="0" borderId="57" xfId="1" applyFont="1" applyBorder="1" applyAlignment="1" applyProtection="1">
      <alignment vertical="center"/>
    </xf>
    <xf numFmtId="188" fontId="7" fillId="0" borderId="43" xfId="61" applyNumberFormat="1" applyFont="1" applyBorder="1" applyAlignment="1" applyProtection="1">
      <alignment vertical="center"/>
    </xf>
    <xf numFmtId="188" fontId="7" fillId="27" borderId="43" xfId="61" applyNumberFormat="1" applyFont="1" applyFill="1" applyBorder="1" applyAlignment="1" applyProtection="1">
      <alignment vertical="center"/>
    </xf>
    <xf numFmtId="203" fontId="7" fillId="0" borderId="43" xfId="1" applyNumberFormat="1" applyFont="1" applyBorder="1" applyAlignment="1" applyProtection="1">
      <alignment horizontal="right" vertical="center"/>
    </xf>
    <xf numFmtId="203" fontId="15" fillId="0" borderId="23" xfId="1" applyNumberFormat="1" applyFont="1" applyBorder="1" applyAlignment="1" applyProtection="1">
      <alignment horizontal="right" vertical="center"/>
    </xf>
    <xf numFmtId="203" fontId="7" fillId="27" borderId="43" xfId="1" applyNumberFormat="1" applyFont="1" applyFill="1" applyBorder="1" applyAlignment="1" applyProtection="1">
      <alignment horizontal="right" vertical="center"/>
    </xf>
    <xf numFmtId="203" fontId="15" fillId="27" borderId="23" xfId="1" applyNumberFormat="1" applyFont="1" applyFill="1" applyBorder="1" applyAlignment="1" applyProtection="1">
      <alignment horizontal="right" vertical="center"/>
    </xf>
    <xf numFmtId="0" fontId="6" fillId="0" borderId="0" xfId="1" applyFont="1" applyAlignment="1" applyProtection="1">
      <alignment vertical="center"/>
    </xf>
    <xf numFmtId="0" fontId="6" fillId="0" borderId="77" xfId="1" applyFont="1" applyBorder="1" applyAlignment="1" applyProtection="1">
      <alignment vertical="center"/>
    </xf>
    <xf numFmtId="0" fontId="6" fillId="0" borderId="0" xfId="1" applyFont="1" applyBorder="1" applyAlignment="1" applyProtection="1">
      <alignment vertical="center"/>
    </xf>
    <xf numFmtId="0" fontId="6" fillId="0" borderId="19" xfId="1" applyFont="1" applyBorder="1" applyAlignment="1" applyProtection="1">
      <alignment vertical="center"/>
    </xf>
    <xf numFmtId="0" fontId="5" fillId="48" borderId="79" xfId="1" applyFill="1" applyBorder="1" applyAlignment="1">
      <alignment vertical="center"/>
    </xf>
    <xf numFmtId="185" fontId="127" fillId="48" borderId="32" xfId="1" applyNumberFormat="1" applyFont="1" applyFill="1" applyBorder="1" applyAlignment="1" applyProtection="1">
      <alignment horizontal="left" vertical="center"/>
    </xf>
    <xf numFmtId="185" fontId="127" fillId="48" borderId="0" xfId="1" applyNumberFormat="1" applyFont="1" applyFill="1" applyBorder="1" applyAlignment="1" applyProtection="1">
      <alignment horizontal="left" vertical="center"/>
    </xf>
    <xf numFmtId="0" fontId="10" fillId="48" borderId="64" xfId="1" applyFont="1" applyFill="1" applyBorder="1" applyAlignment="1" applyProtection="1">
      <alignment vertical="center"/>
    </xf>
    <xf numFmtId="0" fontId="21" fillId="48" borderId="32" xfId="1" applyFont="1" applyFill="1" applyBorder="1" applyAlignment="1" applyProtection="1">
      <alignment vertical="center"/>
    </xf>
    <xf numFmtId="0" fontId="21" fillId="48" borderId="0" xfId="1" applyFont="1" applyFill="1" applyBorder="1" applyAlignment="1" applyProtection="1">
      <alignment vertical="center"/>
    </xf>
    <xf numFmtId="0" fontId="21" fillId="48" borderId="59" xfId="1" applyFont="1" applyFill="1" applyBorder="1" applyAlignment="1" applyProtection="1">
      <alignment horizontal="right" vertical="center"/>
    </xf>
    <xf numFmtId="0" fontId="10" fillId="48" borderId="262" xfId="1" applyFont="1" applyFill="1" applyBorder="1" applyAlignment="1" applyProtection="1">
      <alignment vertical="center"/>
    </xf>
    <xf numFmtId="0" fontId="5" fillId="48" borderId="24" xfId="1" applyFill="1" applyBorder="1" applyAlignment="1">
      <alignment vertical="center"/>
    </xf>
    <xf numFmtId="0" fontId="5" fillId="48" borderId="78" xfId="1" applyFill="1" applyBorder="1" applyAlignment="1">
      <alignment horizontal="left" vertical="center"/>
    </xf>
    <xf numFmtId="0" fontId="5" fillId="0" borderId="0" xfId="1" applyFont="1" applyBorder="1" applyAlignment="1" applyProtection="1">
      <alignment vertical="top"/>
    </xf>
    <xf numFmtId="0" fontId="5" fillId="0" borderId="0" xfId="1" applyFont="1" applyProtection="1"/>
    <xf numFmtId="0" fontId="5" fillId="0" borderId="0" xfId="1" applyFont="1" applyBorder="1" applyAlignment="1" applyProtection="1">
      <alignment horizontal="left" vertical="top"/>
    </xf>
    <xf numFmtId="0" fontId="5" fillId="0" borderId="0" xfId="1" applyFont="1" applyAlignment="1" applyProtection="1">
      <alignment vertical="top"/>
    </xf>
    <xf numFmtId="0" fontId="5" fillId="33" borderId="0" xfId="1" applyFont="1" applyFill="1" applyBorder="1" applyAlignment="1" applyProtection="1">
      <alignment vertical="top"/>
    </xf>
    <xf numFmtId="0" fontId="5" fillId="0" borderId="0" xfId="1" applyFont="1" applyAlignment="1" applyProtection="1">
      <alignment vertical="center"/>
    </xf>
    <xf numFmtId="0" fontId="5" fillId="31" borderId="0" xfId="1" applyFont="1" applyFill="1"/>
    <xf numFmtId="0" fontId="5" fillId="0" borderId="0" xfId="1" applyFont="1" applyBorder="1" applyAlignment="1" applyProtection="1">
      <alignment vertical="center"/>
    </xf>
    <xf numFmtId="0" fontId="5" fillId="0" borderId="0" xfId="1" applyFont="1" applyBorder="1" applyAlignment="1" applyProtection="1">
      <alignment horizontal="left" vertical="center"/>
    </xf>
    <xf numFmtId="1" fontId="44" fillId="31" borderId="23" xfId="131" applyNumberFormat="1" applyFont="1" applyFill="1" applyBorder="1" applyAlignment="1" applyProtection="1">
      <alignment horizontal="center" vertical="center"/>
      <protection locked="0"/>
    </xf>
    <xf numFmtId="1" fontId="44" fillId="31" borderId="42" xfId="131" applyNumberFormat="1" applyFont="1" applyFill="1" applyBorder="1" applyAlignment="1" applyProtection="1">
      <alignment horizontal="center" vertical="center"/>
      <protection locked="0"/>
    </xf>
    <xf numFmtId="189" fontId="15" fillId="0" borderId="42" xfId="131" applyNumberFormat="1" applyFont="1" applyBorder="1" applyAlignment="1" applyProtection="1">
      <alignment vertical="center"/>
    </xf>
    <xf numFmtId="189" fontId="15" fillId="27" borderId="42" xfId="131" applyNumberFormat="1" applyFont="1" applyFill="1" applyBorder="1" applyAlignment="1" applyProtection="1">
      <alignment vertical="center"/>
    </xf>
    <xf numFmtId="0" fontId="5" fillId="0" borderId="156" xfId="105" applyFont="1" applyBorder="1" applyAlignment="1" applyProtection="1">
      <alignment horizontal="center" vertical="center"/>
    </xf>
    <xf numFmtId="188" fontId="5" fillId="0" borderId="161" xfId="1" applyNumberFormat="1" applyFont="1" applyBorder="1" applyAlignment="1" applyProtection="1">
      <alignment horizontal="center" vertical="center"/>
    </xf>
    <xf numFmtId="188" fontId="5" fillId="0" borderId="156" xfId="1" applyNumberFormat="1" applyFont="1" applyBorder="1" applyAlignment="1" applyProtection="1">
      <alignment horizontal="center" vertical="center"/>
    </xf>
    <xf numFmtId="189" fontId="15" fillId="0" borderId="19" xfId="131" applyNumberFormat="1" applyFont="1" applyBorder="1" applyAlignment="1" applyProtection="1">
      <alignment vertical="center"/>
    </xf>
    <xf numFmtId="188" fontId="5" fillId="27" borderId="161" xfId="1" applyNumberFormat="1" applyFont="1" applyFill="1" applyBorder="1" applyAlignment="1" applyProtection="1">
      <alignment horizontal="center" vertical="center"/>
    </xf>
    <xf numFmtId="188" fontId="5" fillId="27" borderId="156" xfId="1" applyNumberFormat="1" applyFont="1" applyFill="1" applyBorder="1" applyAlignment="1" applyProtection="1">
      <alignment horizontal="center" vertical="center"/>
    </xf>
    <xf numFmtId="189" fontId="15" fillId="27" borderId="19" xfId="131" applyNumberFormat="1" applyFont="1" applyFill="1" applyBorder="1" applyAlignment="1" applyProtection="1">
      <alignment vertical="center"/>
    </xf>
    <xf numFmtId="180" fontId="7" fillId="31" borderId="65" xfId="105" applyNumberFormat="1" applyFont="1" applyFill="1" applyBorder="1" applyAlignment="1" applyProtection="1">
      <alignment horizontal="right" vertical="center"/>
      <protection locked="0"/>
    </xf>
    <xf numFmtId="189" fontId="7" fillId="0" borderId="158" xfId="131" applyNumberFormat="1" applyFont="1" applyBorder="1" applyAlignment="1" applyProtection="1">
      <alignment vertical="center"/>
    </xf>
    <xf numFmtId="189" fontId="7" fillId="27" borderId="158" xfId="131" applyNumberFormat="1" applyFont="1" applyFill="1" applyBorder="1" applyAlignment="1" applyProtection="1">
      <alignment vertical="center"/>
    </xf>
    <xf numFmtId="208" fontId="7" fillId="31" borderId="2" xfId="131" applyNumberFormat="1" applyFont="1" applyFill="1" applyBorder="1" applyAlignment="1" applyProtection="1">
      <alignment horizontal="right" vertical="center"/>
      <protection locked="0"/>
    </xf>
    <xf numFmtId="189" fontId="7" fillId="0" borderId="62" xfId="131" applyNumberFormat="1" applyFont="1" applyBorder="1" applyAlignment="1" applyProtection="1">
      <alignment vertical="center"/>
    </xf>
    <xf numFmtId="208" fontId="7" fillId="31" borderId="39" xfId="131" applyNumberFormat="1" applyFont="1" applyFill="1" applyBorder="1" applyAlignment="1" applyProtection="1">
      <alignment horizontal="right" vertical="center"/>
      <protection locked="0"/>
    </xf>
    <xf numFmtId="189" fontId="7" fillId="27" borderId="62" xfId="131" applyNumberFormat="1" applyFont="1" applyFill="1" applyBorder="1" applyAlignment="1" applyProtection="1">
      <alignment vertical="center"/>
    </xf>
    <xf numFmtId="189" fontId="7" fillId="0" borderId="70" xfId="131" applyNumberFormat="1" applyFont="1" applyBorder="1" applyAlignment="1" applyProtection="1">
      <alignment horizontal="center" vertical="center"/>
    </xf>
    <xf numFmtId="189" fontId="7" fillId="0" borderId="0" xfId="131" applyNumberFormat="1" applyFont="1" applyBorder="1" applyAlignment="1" applyProtection="1">
      <alignment vertical="center"/>
    </xf>
    <xf numFmtId="189" fontId="7" fillId="0" borderId="72" xfId="131" applyNumberFormat="1" applyFont="1" applyBorder="1" applyAlignment="1" applyProtection="1">
      <alignment horizontal="center" vertical="center"/>
    </xf>
    <xf numFmtId="189" fontId="7" fillId="27" borderId="0" xfId="131" applyNumberFormat="1" applyFont="1" applyFill="1" applyBorder="1" applyAlignment="1" applyProtection="1">
      <alignment vertical="center"/>
    </xf>
    <xf numFmtId="189" fontId="7" fillId="0" borderId="66" xfId="131" applyNumberFormat="1" applyFont="1" applyBorder="1" applyAlignment="1" applyProtection="1">
      <alignment horizontal="center" vertical="center"/>
    </xf>
    <xf numFmtId="189" fontId="7" fillId="0" borderId="39" xfId="131" applyNumberFormat="1" applyFont="1" applyBorder="1" applyAlignment="1" applyProtection="1">
      <alignment horizontal="center" vertical="center"/>
    </xf>
    <xf numFmtId="3" fontId="7" fillId="0" borderId="61" xfId="131" applyNumberFormat="1" applyFont="1" applyFill="1" applyBorder="1" applyAlignment="1" applyProtection="1">
      <alignment horizontal="right" vertical="center"/>
    </xf>
    <xf numFmtId="189" fontId="7" fillId="0" borderId="2" xfId="131" applyNumberFormat="1" applyFont="1" applyBorder="1" applyAlignment="1" applyProtection="1">
      <alignment horizontal="center" vertical="center"/>
    </xf>
    <xf numFmtId="3" fontId="7" fillId="31" borderId="61" xfId="131" applyNumberFormat="1" applyFont="1" applyFill="1" applyBorder="1" applyAlignment="1" applyProtection="1">
      <alignment horizontal="center" vertical="center"/>
      <protection locked="0"/>
    </xf>
    <xf numFmtId="188" fontId="15" fillId="0" borderId="43" xfId="131" applyNumberFormat="1" applyFont="1" applyBorder="1" applyAlignment="1" applyProtection="1">
      <alignment vertical="center"/>
    </xf>
    <xf numFmtId="188" fontId="15" fillId="0" borderId="0" xfId="131" applyNumberFormat="1" applyFont="1" applyBorder="1" applyAlignment="1" applyProtection="1">
      <alignment vertical="center"/>
    </xf>
    <xf numFmtId="188" fontId="15" fillId="27" borderId="43" xfId="131" applyNumberFormat="1" applyFont="1" applyFill="1" applyBorder="1" applyAlignment="1" applyProtection="1">
      <alignment vertical="center"/>
    </xf>
    <xf numFmtId="188" fontId="15" fillId="27" borderId="0" xfId="131" applyNumberFormat="1" applyFont="1" applyFill="1" applyBorder="1" applyAlignment="1" applyProtection="1">
      <alignment vertical="center"/>
    </xf>
    <xf numFmtId="188" fontId="7" fillId="31" borderId="40" xfId="131" applyNumberFormat="1" applyFont="1" applyFill="1" applyBorder="1" applyAlignment="1" applyProtection="1">
      <alignment vertical="center"/>
      <protection locked="0"/>
    </xf>
    <xf numFmtId="188" fontId="15" fillId="0" borderId="40" xfId="131" applyNumberFormat="1" applyFont="1" applyBorder="1" applyAlignment="1" applyProtection="1">
      <alignment vertical="center"/>
    </xf>
    <xf numFmtId="188" fontId="15" fillId="27" borderId="40" xfId="131" applyNumberFormat="1" applyFont="1" applyFill="1" applyBorder="1" applyAlignment="1" applyProtection="1">
      <alignment vertical="center"/>
    </xf>
    <xf numFmtId="188" fontId="7" fillId="0" borderId="40" xfId="131" applyNumberFormat="1" applyFont="1" applyBorder="1" applyAlignment="1" applyProtection="1">
      <alignment vertical="center"/>
    </xf>
    <xf numFmtId="188" fontId="7" fillId="27" borderId="40" xfId="131" applyNumberFormat="1" applyFont="1" applyFill="1" applyBorder="1" applyAlignment="1" applyProtection="1">
      <alignment vertical="center"/>
    </xf>
    <xf numFmtId="188" fontId="7" fillId="4" borderId="77" xfId="131" applyNumberFormat="1" applyFont="1" applyFill="1" applyBorder="1" applyAlignment="1" applyProtection="1">
      <alignment vertical="center"/>
    </xf>
    <xf numFmtId="170" fontId="7" fillId="4" borderId="57" xfId="131" applyNumberFormat="1" applyFont="1" applyFill="1" applyBorder="1" applyAlignment="1" applyProtection="1">
      <alignment vertical="center"/>
    </xf>
    <xf numFmtId="189" fontId="15" fillId="31" borderId="58" xfId="131" applyNumberFormat="1" applyFont="1" applyFill="1" applyBorder="1" applyAlignment="1" applyProtection="1">
      <alignment vertical="center"/>
      <protection locked="0"/>
    </xf>
    <xf numFmtId="188" fontId="7" fillId="27" borderId="77" xfId="131" applyNumberFormat="1" applyFont="1" applyFill="1" applyBorder="1" applyAlignment="1" applyProtection="1">
      <alignment vertical="center"/>
    </xf>
    <xf numFmtId="170" fontId="7" fillId="27" borderId="57" xfId="131" applyNumberFormat="1" applyFont="1" applyFill="1" applyBorder="1" applyAlignment="1" applyProtection="1">
      <alignment vertical="center"/>
    </xf>
    <xf numFmtId="0" fontId="5" fillId="0" borderId="159" xfId="105" applyFont="1" applyBorder="1" applyAlignment="1" applyProtection="1">
      <alignment horizontal="center" vertical="center"/>
    </xf>
    <xf numFmtId="0" fontId="5" fillId="27" borderId="0" xfId="1" applyFont="1" applyFill="1" applyBorder="1" applyAlignment="1" applyProtection="1">
      <alignment vertical="center"/>
    </xf>
    <xf numFmtId="235" fontId="7" fillId="31" borderId="67" xfId="1" applyNumberFormat="1" applyFont="1" applyFill="1" applyBorder="1" applyAlignment="1" applyProtection="1">
      <alignment horizontal="right" vertical="center"/>
      <protection locked="0"/>
    </xf>
    <xf numFmtId="0" fontId="5" fillId="0" borderId="65" xfId="1" applyFont="1" applyBorder="1" applyAlignment="1" applyProtection="1">
      <alignment horizontal="center" vertical="center"/>
    </xf>
    <xf numFmtId="0" fontId="5" fillId="0" borderId="82" xfId="1" applyFont="1" applyBorder="1" applyAlignment="1" applyProtection="1">
      <alignment horizontal="center" vertical="center"/>
    </xf>
    <xf numFmtId="189" fontId="15" fillId="0" borderId="0" xfId="131" applyNumberFormat="1" applyFont="1" applyBorder="1" applyAlignment="1" applyProtection="1">
      <alignment vertical="center"/>
    </xf>
    <xf numFmtId="189" fontId="15" fillId="27" borderId="0" xfId="131" applyNumberFormat="1" applyFont="1" applyFill="1" applyBorder="1" applyAlignment="1" applyProtection="1">
      <alignment vertical="center"/>
    </xf>
    <xf numFmtId="0" fontId="5" fillId="0" borderId="0" xfId="105" applyFont="1" applyBorder="1" applyAlignment="1" applyProtection="1">
      <alignment vertical="center"/>
    </xf>
    <xf numFmtId="0" fontId="5" fillId="0" borderId="118" xfId="105" applyFont="1" applyBorder="1" applyAlignment="1" applyProtection="1">
      <alignment horizontal="center" vertical="center"/>
    </xf>
    <xf numFmtId="0" fontId="5" fillId="0" borderId="90" xfId="1" applyFont="1" applyBorder="1" applyProtection="1"/>
    <xf numFmtId="0" fontId="5" fillId="0" borderId="161" xfId="105" applyFont="1" applyBorder="1" applyAlignment="1" applyProtection="1">
      <alignment horizontal="center" vertical="center"/>
    </xf>
    <xf numFmtId="0" fontId="5" fillId="27" borderId="161" xfId="105" applyFont="1" applyFill="1" applyBorder="1" applyAlignment="1" applyProtection="1">
      <alignment horizontal="center" vertical="center"/>
    </xf>
    <xf numFmtId="2" fontId="7" fillId="31" borderId="67" xfId="105" applyNumberFormat="1" applyFont="1" applyFill="1" applyBorder="1" applyAlignment="1" applyProtection="1">
      <alignment vertical="center"/>
      <protection locked="0"/>
    </xf>
    <xf numFmtId="2" fontId="7" fillId="31" borderId="63" xfId="105" applyNumberFormat="1" applyFont="1" applyFill="1" applyBorder="1" applyAlignment="1" applyProtection="1">
      <alignment vertical="center"/>
      <protection locked="0"/>
    </xf>
    <xf numFmtId="170" fontId="14" fillId="0" borderId="19" xfId="131" applyNumberFormat="1" applyFont="1" applyBorder="1" applyAlignment="1" applyProtection="1">
      <alignment vertical="center"/>
    </xf>
    <xf numFmtId="170" fontId="14" fillId="27" borderId="19" xfId="131" applyNumberFormat="1" applyFont="1" applyFill="1" applyBorder="1" applyAlignment="1" applyProtection="1">
      <alignment vertical="center"/>
    </xf>
    <xf numFmtId="0" fontId="5" fillId="0" borderId="91" xfId="1" applyFont="1" applyBorder="1" applyAlignment="1" applyProtection="1">
      <alignment vertical="center"/>
    </xf>
    <xf numFmtId="0" fontId="5" fillId="0" borderId="90" xfId="1" applyFont="1" applyBorder="1" applyAlignment="1" applyProtection="1">
      <alignment vertical="center"/>
    </xf>
    <xf numFmtId="188" fontId="5" fillId="0" borderId="89" xfId="1" applyNumberFormat="1" applyFont="1" applyBorder="1" applyAlignment="1" applyProtection="1">
      <alignment horizontal="center" vertical="center"/>
    </xf>
    <xf numFmtId="0" fontId="5" fillId="27" borderId="156" xfId="105" applyFont="1" applyFill="1" applyBorder="1" applyAlignment="1" applyProtection="1">
      <alignment horizontal="center" vertical="center"/>
    </xf>
    <xf numFmtId="188" fontId="5" fillId="27" borderId="89" xfId="1" applyNumberFormat="1" applyFont="1" applyFill="1" applyBorder="1" applyAlignment="1" applyProtection="1">
      <alignment horizontal="center" vertical="center"/>
    </xf>
    <xf numFmtId="170" fontId="7" fillId="0" borderId="44" xfId="131" applyNumberFormat="1" applyFont="1" applyBorder="1" applyAlignment="1" applyProtection="1">
      <alignment vertical="center"/>
    </xf>
    <xf numFmtId="170" fontId="7" fillId="27" borderId="44" xfId="131" applyNumberFormat="1" applyFont="1" applyFill="1" applyBorder="1" applyAlignment="1" applyProtection="1">
      <alignment vertical="center"/>
    </xf>
    <xf numFmtId="205" fontId="17" fillId="0" borderId="0" xfId="131" applyNumberFormat="1" applyFont="1" applyBorder="1" applyAlignment="1" applyProtection="1">
      <alignment vertical="center"/>
    </xf>
    <xf numFmtId="170" fontId="5" fillId="0" borderId="0" xfId="1" applyNumberFormat="1" applyFont="1" applyBorder="1" applyAlignment="1" applyProtection="1">
      <alignment vertical="center"/>
    </xf>
    <xf numFmtId="205" fontId="17" fillId="27" borderId="0" xfId="131" applyNumberFormat="1" applyFont="1" applyFill="1" applyBorder="1" applyAlignment="1" applyProtection="1">
      <alignment vertical="center"/>
    </xf>
    <xf numFmtId="170" fontId="17" fillId="27" borderId="19" xfId="131" applyNumberFormat="1" applyFont="1" applyFill="1" applyBorder="1" applyAlignment="1" applyProtection="1">
      <alignment vertical="center"/>
    </xf>
    <xf numFmtId="170" fontId="17" fillId="0" borderId="19" xfId="131" applyNumberFormat="1" applyFont="1" applyBorder="1" applyAlignment="1" applyProtection="1">
      <alignment vertical="center"/>
    </xf>
    <xf numFmtId="0" fontId="5" fillId="0" borderId="2" xfId="1" applyFont="1" applyBorder="1" applyAlignment="1" applyProtection="1">
      <alignment vertical="center"/>
    </xf>
    <xf numFmtId="0" fontId="5" fillId="0" borderId="44" xfId="1" applyFont="1" applyBorder="1" applyProtection="1"/>
    <xf numFmtId="205" fontId="15" fillId="0" borderId="2" xfId="131" applyNumberFormat="1" applyFont="1" applyBorder="1" applyAlignment="1" applyProtection="1">
      <alignment vertical="center"/>
    </xf>
    <xf numFmtId="205" fontId="15" fillId="27" borderId="2" xfId="131" applyNumberFormat="1" applyFont="1" applyFill="1" applyBorder="1" applyAlignment="1" applyProtection="1">
      <alignment vertical="center"/>
    </xf>
    <xf numFmtId="189" fontId="15" fillId="0" borderId="42" xfId="131" applyNumberFormat="1" applyFont="1" applyFill="1" applyBorder="1" applyAlignment="1" applyProtection="1">
      <alignment vertical="center"/>
    </xf>
    <xf numFmtId="189" fontId="15" fillId="0" borderId="0" xfId="131" applyNumberFormat="1" applyFont="1" applyFill="1" applyBorder="1" applyAlignment="1" applyProtection="1">
      <alignment vertical="center"/>
    </xf>
    <xf numFmtId="189" fontId="15" fillId="0" borderId="19" xfId="131" applyNumberFormat="1" applyFont="1" applyFill="1" applyBorder="1" applyAlignment="1" applyProtection="1">
      <alignment vertical="center"/>
    </xf>
    <xf numFmtId="0" fontId="5" fillId="0" borderId="91" xfId="105" applyFont="1" applyBorder="1" applyAlignment="1" applyProtection="1">
      <alignment horizontal="center" vertical="center"/>
    </xf>
    <xf numFmtId="189" fontId="15" fillId="31" borderId="42" xfId="131" applyNumberFormat="1" applyFont="1" applyFill="1" applyBorder="1" applyAlignment="1" applyProtection="1">
      <alignment vertical="center"/>
      <protection locked="0"/>
    </xf>
    <xf numFmtId="0" fontId="5" fillId="27" borderId="91" xfId="105" applyFont="1" applyFill="1" applyBorder="1" applyAlignment="1" applyProtection="1">
      <alignment horizontal="center" vertical="center"/>
    </xf>
    <xf numFmtId="0" fontId="5" fillId="0" borderId="39" xfId="1" applyFont="1" applyBorder="1" applyProtection="1"/>
    <xf numFmtId="182" fontId="7" fillId="0" borderId="157" xfId="131" applyNumberFormat="1" applyFont="1" applyBorder="1" applyAlignment="1" applyProtection="1">
      <alignment vertical="center"/>
    </xf>
    <xf numFmtId="182" fontId="7" fillId="4" borderId="157" xfId="131" applyNumberFormat="1" applyFont="1" applyFill="1" applyBorder="1" applyAlignment="1" applyProtection="1">
      <alignment vertical="center"/>
    </xf>
    <xf numFmtId="189" fontId="15" fillId="0" borderId="44" xfId="131" applyNumberFormat="1" applyFont="1" applyBorder="1" applyAlignment="1" applyProtection="1">
      <alignment vertical="center"/>
    </xf>
    <xf numFmtId="189" fontId="15" fillId="27" borderId="44" xfId="131" applyNumberFormat="1" applyFont="1" applyFill="1" applyBorder="1" applyAlignment="1" applyProtection="1">
      <alignment vertical="center"/>
    </xf>
    <xf numFmtId="189" fontId="15" fillId="0" borderId="0" xfId="131" applyNumberFormat="1" applyFont="1" applyBorder="1" applyAlignment="1" applyProtection="1">
      <alignment horizontal="center" vertical="center"/>
    </xf>
    <xf numFmtId="188" fontId="5" fillId="27" borderId="91" xfId="1" applyNumberFormat="1" applyFont="1" applyFill="1" applyBorder="1" applyAlignment="1" applyProtection="1">
      <alignment horizontal="center" vertical="center"/>
    </xf>
    <xf numFmtId="189" fontId="15" fillId="27" borderId="0" xfId="131" applyNumberFormat="1" applyFont="1" applyFill="1" applyBorder="1" applyAlignment="1" applyProtection="1">
      <alignment horizontal="center" vertical="center"/>
    </xf>
    <xf numFmtId="188" fontId="5" fillId="0" borderId="91" xfId="1" applyNumberFormat="1" applyFont="1" applyBorder="1" applyAlignment="1" applyProtection="1">
      <alignment horizontal="center" vertical="center"/>
    </xf>
    <xf numFmtId="184" fontId="16" fillId="4" borderId="58" xfId="131" applyNumberFormat="1" applyFont="1" applyFill="1" applyBorder="1" applyAlignment="1" applyProtection="1">
      <alignment horizontal="center" vertical="center"/>
    </xf>
    <xf numFmtId="189" fontId="15" fillId="0" borderId="58" xfId="131" applyNumberFormat="1" applyFont="1" applyBorder="1" applyAlignment="1" applyProtection="1">
      <alignment vertical="center"/>
    </xf>
    <xf numFmtId="0" fontId="5" fillId="0" borderId="57" xfId="1" applyFont="1" applyBorder="1" applyAlignment="1" applyProtection="1">
      <alignment vertical="center"/>
    </xf>
    <xf numFmtId="0" fontId="5" fillId="0" borderId="0" xfId="1" applyFont="1"/>
    <xf numFmtId="0" fontId="5" fillId="0" borderId="36" xfId="1" applyFont="1" applyBorder="1" applyAlignment="1" applyProtection="1">
      <alignment vertical="center"/>
    </xf>
    <xf numFmtId="0" fontId="5" fillId="0" borderId="25" xfId="1" applyFont="1" applyBorder="1" applyAlignment="1" applyProtection="1">
      <alignment vertical="center"/>
    </xf>
    <xf numFmtId="0" fontId="5" fillId="0" borderId="34" xfId="1" applyFont="1" applyBorder="1" applyAlignment="1" applyProtection="1">
      <alignment vertical="center"/>
    </xf>
    <xf numFmtId="0" fontId="6" fillId="0" borderId="0" xfId="1" applyFont="1" applyBorder="1" applyAlignment="1" applyProtection="1">
      <alignment vertical="center"/>
    </xf>
    <xf numFmtId="0" fontId="6" fillId="0" borderId="19" xfId="1" applyFont="1" applyBorder="1" applyAlignment="1" applyProtection="1">
      <alignment vertical="center"/>
    </xf>
    <xf numFmtId="0" fontId="14" fillId="0" borderId="263" xfId="1" applyFont="1" applyBorder="1" applyAlignment="1" applyProtection="1">
      <alignment vertical="center"/>
    </xf>
    <xf numFmtId="0" fontId="10" fillId="0" borderId="0" xfId="1" applyFont="1" applyBorder="1" applyAlignment="1" applyProtection="1">
      <alignment horizontal="right" vertical="center"/>
    </xf>
    <xf numFmtId="0" fontId="5" fillId="0" borderId="0" xfId="1" applyBorder="1" applyAlignment="1" applyProtection="1">
      <alignment vertical="center"/>
    </xf>
    <xf numFmtId="172" fontId="10" fillId="33" borderId="0" xfId="1" applyNumberFormat="1" applyFont="1" applyFill="1" applyBorder="1" applyAlignment="1">
      <alignment horizontal="center" vertical="center" wrapText="1"/>
    </xf>
    <xf numFmtId="0" fontId="47" fillId="0" borderId="0" xfId="1" applyFont="1" applyBorder="1" applyAlignment="1">
      <alignment vertical="center"/>
    </xf>
    <xf numFmtId="0" fontId="21" fillId="0" borderId="0" xfId="1" applyFont="1" applyBorder="1" applyAlignment="1" applyProtection="1">
      <alignment horizontal="center"/>
    </xf>
    <xf numFmtId="3" fontId="78" fillId="4" borderId="40" xfId="1" applyNumberFormat="1" applyFont="1" applyFill="1" applyBorder="1" applyAlignment="1">
      <alignment horizontal="left" vertical="center"/>
    </xf>
    <xf numFmtId="200" fontId="115" fillId="4" borderId="40" xfId="1" applyNumberFormat="1" applyFont="1" applyFill="1" applyBorder="1" applyAlignment="1">
      <alignment horizontal="left" vertical="center"/>
    </xf>
    <xf numFmtId="3" fontId="78" fillId="4" borderId="74" xfId="1" applyNumberFormat="1" applyFont="1" applyFill="1" applyBorder="1" applyAlignment="1">
      <alignment horizontal="left" vertical="center" wrapText="1"/>
    </xf>
    <xf numFmtId="0" fontId="65" fillId="49" borderId="0" xfId="1" applyFont="1" applyFill="1" applyBorder="1" applyAlignment="1" applyProtection="1">
      <alignment horizontal="center" vertical="top" wrapText="1"/>
    </xf>
    <xf numFmtId="174" fontId="7" fillId="49" borderId="0" xfId="1" applyNumberFormat="1" applyFont="1" applyFill="1" applyBorder="1" applyAlignment="1" applyProtection="1">
      <alignment vertical="center"/>
    </xf>
    <xf numFmtId="174" fontId="15" fillId="49" borderId="0" xfId="1" applyNumberFormat="1" applyFont="1" applyFill="1" applyBorder="1" applyAlignment="1" applyProtection="1">
      <alignment vertical="center"/>
    </xf>
    <xf numFmtId="0" fontId="6" fillId="49" borderId="0" xfId="1" applyFont="1" applyFill="1" applyBorder="1" applyProtection="1"/>
    <xf numFmtId="0" fontId="6" fillId="49" borderId="0" xfId="1" applyFont="1" applyFill="1" applyBorder="1"/>
    <xf numFmtId="0" fontId="44" fillId="49" borderId="57" xfId="1" applyFont="1" applyFill="1" applyBorder="1" applyAlignment="1" applyProtection="1">
      <alignment horizontal="center" vertical="top" wrapText="1"/>
    </xf>
    <xf numFmtId="174" fontId="14" fillId="49" borderId="57" xfId="1" applyNumberFormat="1" applyFont="1" applyFill="1" applyBorder="1" applyAlignment="1" applyProtection="1">
      <alignment vertical="center"/>
    </xf>
    <xf numFmtId="174" fontId="7" fillId="49" borderId="2" xfId="1" applyNumberFormat="1" applyFont="1" applyFill="1" applyBorder="1" applyAlignment="1" applyProtection="1">
      <alignment vertical="center"/>
    </xf>
    <xf numFmtId="0" fontId="56" fillId="50" borderId="3" xfId="1" applyFont="1" applyFill="1" applyBorder="1" applyAlignment="1" applyProtection="1">
      <alignment vertical="center" wrapText="1"/>
    </xf>
    <xf numFmtId="0" fontId="56" fillId="51" borderId="34" xfId="1" applyFont="1" applyFill="1" applyBorder="1" applyAlignment="1" applyProtection="1">
      <alignment vertical="center" wrapText="1"/>
    </xf>
    <xf numFmtId="0" fontId="56" fillId="50" borderId="49" xfId="1" applyFont="1" applyFill="1" applyBorder="1" applyAlignment="1" applyProtection="1">
      <alignment vertical="center" wrapText="1"/>
    </xf>
    <xf numFmtId="0" fontId="56" fillId="51" borderId="49" xfId="1" applyFont="1" applyFill="1" applyBorder="1" applyAlignment="1" applyProtection="1">
      <alignment vertical="center" wrapText="1"/>
    </xf>
    <xf numFmtId="0" fontId="21" fillId="0" borderId="0" xfId="1" applyFont="1" applyProtection="1"/>
    <xf numFmtId="0" fontId="44" fillId="33" borderId="0" xfId="1" applyFont="1" applyFill="1" applyBorder="1" applyAlignment="1">
      <alignment vertical="center"/>
    </xf>
    <xf numFmtId="0" fontId="7" fillId="33" borderId="0" xfId="1" applyFont="1" applyFill="1" applyBorder="1" applyAlignment="1">
      <alignment vertical="center"/>
    </xf>
    <xf numFmtId="0" fontId="14" fillId="33" borderId="0" xfId="1" applyFont="1" applyFill="1" applyBorder="1" applyAlignment="1">
      <alignment vertical="center"/>
    </xf>
    <xf numFmtId="0" fontId="7" fillId="33" borderId="0" xfId="1" applyFont="1" applyFill="1" applyBorder="1" applyAlignment="1">
      <alignment horizontal="right" vertical="center"/>
    </xf>
    <xf numFmtId="0" fontId="14" fillId="33" borderId="2" xfId="1" applyFont="1" applyFill="1" applyBorder="1" applyAlignment="1">
      <alignment vertical="center"/>
    </xf>
    <xf numFmtId="0" fontId="15" fillId="33" borderId="0" xfId="1" applyFont="1" applyFill="1" applyBorder="1" applyAlignment="1">
      <alignment vertical="center"/>
    </xf>
    <xf numFmtId="0" fontId="74" fillId="0" borderId="2" xfId="1" applyFont="1" applyFill="1" applyBorder="1" applyAlignment="1">
      <alignment vertical="top"/>
    </xf>
    <xf numFmtId="0" fontId="5" fillId="0" borderId="2" xfId="1" applyFill="1" applyBorder="1" applyAlignment="1">
      <alignment vertical="center"/>
    </xf>
    <xf numFmtId="0" fontId="5" fillId="0" borderId="2" xfId="1" applyFill="1" applyBorder="1" applyAlignment="1">
      <alignment horizontal="right" vertical="center"/>
    </xf>
    <xf numFmtId="0" fontId="14" fillId="0" borderId="2" xfId="1" applyFont="1" applyFill="1" applyBorder="1" applyAlignment="1">
      <alignment horizontal="center" vertical="center"/>
    </xf>
    <xf numFmtId="0" fontId="76" fillId="0" borderId="39" xfId="1" applyFont="1" applyFill="1" applyBorder="1" applyAlignment="1" applyProtection="1">
      <alignment horizontal="center" vertical="center"/>
    </xf>
    <xf numFmtId="14" fontId="7" fillId="31" borderId="0" xfId="1" applyNumberFormat="1" applyFont="1" applyFill="1" applyBorder="1" applyAlignment="1" applyProtection="1">
      <alignment horizontal="left" vertical="top"/>
      <protection locked="0"/>
    </xf>
    <xf numFmtId="0" fontId="14" fillId="0" borderId="66" xfId="1" applyFont="1" applyBorder="1" applyAlignment="1" applyProtection="1">
      <alignment horizontal="center" vertical="center"/>
    </xf>
    <xf numFmtId="0" fontId="14" fillId="0" borderId="66" xfId="1" applyFont="1" applyFill="1" applyBorder="1" applyAlignment="1" applyProtection="1">
      <alignment horizontal="center" vertical="center"/>
    </xf>
    <xf numFmtId="0" fontId="74" fillId="33" borderId="0" xfId="1" applyFont="1" applyFill="1" applyBorder="1" applyAlignment="1">
      <alignment vertical="top"/>
    </xf>
    <xf numFmtId="0" fontId="5" fillId="33" borderId="0" xfId="1" applyFill="1" applyBorder="1" applyAlignment="1">
      <alignment vertical="center"/>
    </xf>
    <xf numFmtId="0" fontId="76" fillId="4" borderId="39" xfId="1" applyFont="1" applyFill="1" applyBorder="1" applyAlignment="1" applyProtection="1">
      <alignment horizontal="center" vertical="center"/>
    </xf>
    <xf numFmtId="9" fontId="7" fillId="4" borderId="39" xfId="61" applyNumberFormat="1" applyFont="1" applyFill="1" applyBorder="1" applyAlignment="1" applyProtection="1">
      <alignment horizontal="center" vertical="center"/>
    </xf>
    <xf numFmtId="0" fontId="15" fillId="0" borderId="263" xfId="1" applyFont="1" applyBorder="1" applyAlignment="1">
      <alignment vertical="center"/>
    </xf>
    <xf numFmtId="0" fontId="7" fillId="0" borderId="263" xfId="1" applyFont="1" applyBorder="1" applyAlignment="1">
      <alignment vertical="center"/>
    </xf>
    <xf numFmtId="0" fontId="14" fillId="0" borderId="263" xfId="1" applyFont="1" applyBorder="1" applyAlignment="1">
      <alignment horizontal="right" vertical="center"/>
    </xf>
    <xf numFmtId="176" fontId="7" fillId="0" borderId="40" xfId="1" applyNumberFormat="1" applyFont="1" applyBorder="1" applyAlignment="1">
      <alignment vertical="center"/>
    </xf>
    <xf numFmtId="177" fontId="7" fillId="33" borderId="0" xfId="1" applyNumberFormat="1" applyFont="1" applyFill="1" applyBorder="1" applyAlignment="1" applyProtection="1">
      <alignment horizontal="right" vertical="center"/>
    </xf>
    <xf numFmtId="184" fontId="7" fillId="4" borderId="39" xfId="61" applyNumberFormat="1" applyFont="1" applyFill="1" applyBorder="1" applyAlignment="1" applyProtection="1">
      <alignment horizontal="center" vertical="center"/>
    </xf>
    <xf numFmtId="0" fontId="10" fillId="0" borderId="263" xfId="1" applyFont="1" applyBorder="1" applyAlignment="1">
      <alignment horizontal="right" vertical="center"/>
    </xf>
    <xf numFmtId="0" fontId="5" fillId="33" borderId="0" xfId="1" applyFill="1" applyBorder="1" applyAlignment="1">
      <alignment horizontal="right" vertical="center"/>
    </xf>
    <xf numFmtId="0" fontId="14" fillId="0" borderId="40" xfId="1" applyFont="1" applyBorder="1" applyAlignment="1" applyProtection="1">
      <alignment horizontal="center" vertical="center"/>
    </xf>
    <xf numFmtId="0" fontId="74" fillId="0" borderId="2" xfId="1" applyFont="1" applyBorder="1" applyAlignment="1" applyProtection="1">
      <alignment vertical="top"/>
    </xf>
    <xf numFmtId="178" fontId="7" fillId="0" borderId="43" xfId="1" applyNumberFormat="1" applyFont="1" applyBorder="1" applyAlignment="1" applyProtection="1">
      <alignment vertical="center"/>
    </xf>
    <xf numFmtId="178" fontId="7" fillId="0" borderId="40" xfId="1" applyNumberFormat="1" applyFont="1" applyBorder="1" applyAlignment="1" applyProtection="1">
      <alignment vertical="center"/>
    </xf>
    <xf numFmtId="0" fontId="74" fillId="0" borderId="0" xfId="1" applyFont="1" applyBorder="1" applyAlignment="1" applyProtection="1">
      <alignment vertical="top"/>
    </xf>
    <xf numFmtId="0" fontId="7" fillId="0" borderId="0" xfId="1" applyFont="1" applyBorder="1" applyAlignment="1" applyProtection="1">
      <alignment horizontal="centerContinuous" vertical="center"/>
    </xf>
    <xf numFmtId="0" fontId="7" fillId="0" borderId="0" xfId="1" applyFont="1" applyFill="1" applyBorder="1" applyAlignment="1" applyProtection="1">
      <alignment horizontal="centerContinuous"/>
    </xf>
    <xf numFmtId="0" fontId="15" fillId="0" borderId="263" xfId="1" applyFont="1" applyBorder="1" applyAlignment="1" applyProtection="1">
      <alignment vertical="center"/>
    </xf>
    <xf numFmtId="0" fontId="7" fillId="0" borderId="263" xfId="1" applyFont="1" applyBorder="1" applyAlignment="1" applyProtection="1">
      <alignment vertical="center"/>
    </xf>
    <xf numFmtId="0" fontId="10" fillId="0" borderId="263" xfId="1" applyFont="1" applyBorder="1" applyAlignment="1" applyProtection="1">
      <alignment horizontal="right" vertical="center"/>
    </xf>
    <xf numFmtId="176" fontId="7" fillId="0" borderId="43" xfId="1" applyNumberFormat="1" applyFont="1" applyBorder="1" applyAlignment="1" applyProtection="1">
      <alignment vertical="center"/>
    </xf>
    <xf numFmtId="176" fontId="7" fillId="0" borderId="40" xfId="1" applyNumberFormat="1" applyFont="1" applyBorder="1" applyAlignment="1" applyProtection="1">
      <alignment vertical="center"/>
    </xf>
    <xf numFmtId="0" fontId="76" fillId="4" borderId="40" xfId="1" applyFont="1" applyFill="1" applyBorder="1" applyAlignment="1" applyProtection="1">
      <alignment horizontal="center" vertical="center"/>
    </xf>
    <xf numFmtId="0" fontId="14" fillId="0" borderId="263" xfId="1" applyFont="1" applyBorder="1" applyAlignment="1" applyProtection="1">
      <alignment horizontal="right" vertical="center"/>
    </xf>
    <xf numFmtId="176" fontId="7" fillId="0" borderId="263" xfId="1" applyNumberFormat="1" applyFont="1" applyFill="1" applyBorder="1" applyAlignment="1" applyProtection="1">
      <alignment vertical="center"/>
    </xf>
    <xf numFmtId="0" fontId="5" fillId="0" borderId="0" xfId="1" applyFill="1" applyBorder="1" applyAlignment="1" applyProtection="1">
      <alignment horizontal="centerContinuous" vertical="center"/>
    </xf>
    <xf numFmtId="0" fontId="7" fillId="0" borderId="0" xfId="1" applyFont="1" applyFill="1" applyBorder="1" applyAlignment="1" applyProtection="1">
      <alignment horizontal="right" vertical="center"/>
    </xf>
    <xf numFmtId="170" fontId="7" fillId="0" borderId="66" xfId="1" applyNumberFormat="1" applyFont="1" applyFill="1" applyBorder="1" applyAlignment="1" applyProtection="1">
      <alignment vertical="center"/>
    </xf>
    <xf numFmtId="170" fontId="7" fillId="0" borderId="65" xfId="1" applyNumberFormat="1" applyFont="1" applyFill="1" applyBorder="1" applyAlignment="1" applyProtection="1">
      <alignment vertical="center"/>
    </xf>
    <xf numFmtId="3" fontId="115" fillId="0" borderId="0" xfId="1" applyNumberFormat="1" applyFont="1" applyFill="1" applyBorder="1" applyAlignment="1">
      <alignment horizontal="left" vertical="center"/>
    </xf>
    <xf numFmtId="3" fontId="115" fillId="0" borderId="0" xfId="1" applyNumberFormat="1" applyFont="1" applyFill="1" applyBorder="1" applyAlignment="1">
      <alignment horizontal="right" vertical="center"/>
    </xf>
    <xf numFmtId="3" fontId="78" fillId="0" borderId="48" xfId="1" quotePrefix="1" applyNumberFormat="1" applyFont="1" applyFill="1" applyBorder="1" applyAlignment="1">
      <alignment horizontal="right" vertical="center"/>
    </xf>
    <xf numFmtId="3" fontId="78" fillId="0" borderId="48" xfId="1" applyNumberFormat="1" applyFont="1" applyFill="1" applyBorder="1" applyAlignment="1">
      <alignment horizontal="right" vertical="center"/>
    </xf>
    <xf numFmtId="3" fontId="78" fillId="0" borderId="47" xfId="1" quotePrefix="1" applyNumberFormat="1" applyFont="1" applyFill="1" applyBorder="1" applyAlignment="1">
      <alignment horizontal="right" vertical="center"/>
    </xf>
    <xf numFmtId="3" fontId="115" fillId="0" borderId="0" xfId="1" applyNumberFormat="1" applyFont="1" applyFill="1" applyAlignment="1">
      <alignment horizontal="right" vertical="center"/>
    </xf>
    <xf numFmtId="3" fontId="115" fillId="0" borderId="107" xfId="1" applyNumberFormat="1" applyFont="1" applyFill="1" applyBorder="1" applyAlignment="1">
      <alignment horizontal="right" vertical="center"/>
    </xf>
    <xf numFmtId="3" fontId="115" fillId="0" borderId="94" xfId="1" applyNumberFormat="1" applyFont="1" applyFill="1" applyBorder="1" applyAlignment="1">
      <alignment horizontal="right" vertical="center"/>
    </xf>
    <xf numFmtId="3" fontId="78" fillId="0" borderId="101" xfId="1" quotePrefix="1" applyNumberFormat="1" applyFont="1" applyFill="1" applyBorder="1" applyAlignment="1">
      <alignment horizontal="right" vertical="center"/>
    </xf>
    <xf numFmtId="3" fontId="78" fillId="0" borderId="100" xfId="1" quotePrefix="1" applyNumberFormat="1" applyFont="1" applyFill="1" applyBorder="1" applyAlignment="1">
      <alignment horizontal="right" vertical="center"/>
    </xf>
    <xf numFmtId="3" fontId="78" fillId="0" borderId="100" xfId="1" applyNumberFormat="1" applyFont="1" applyFill="1" applyBorder="1" applyAlignment="1">
      <alignment horizontal="right" vertical="center"/>
    </xf>
    <xf numFmtId="3" fontId="78" fillId="0" borderId="92" xfId="1" applyNumberFormat="1" applyFont="1" applyFill="1" applyBorder="1" applyAlignment="1">
      <alignment horizontal="right" vertical="center"/>
    </xf>
    <xf numFmtId="3" fontId="78" fillId="0" borderId="107" xfId="1" applyNumberFormat="1" applyFont="1" applyFill="1" applyBorder="1" applyAlignment="1">
      <alignment horizontal="right" vertical="center"/>
    </xf>
    <xf numFmtId="3" fontId="78" fillId="0" borderId="94" xfId="1" applyNumberFormat="1" applyFont="1" applyFill="1" applyBorder="1" applyAlignment="1">
      <alignment horizontal="right" vertical="center"/>
    </xf>
    <xf numFmtId="3" fontId="78" fillId="0" borderId="101" xfId="1" applyNumberFormat="1" applyFont="1" applyFill="1" applyBorder="1" applyAlignment="1">
      <alignment horizontal="right" vertical="center"/>
    </xf>
    <xf numFmtId="0" fontId="47" fillId="0" borderId="0" xfId="1" applyFont="1" applyAlignment="1">
      <alignment horizontal="left" vertical="center" wrapText="1"/>
    </xf>
    <xf numFmtId="0" fontId="5" fillId="0" borderId="0" xfId="1" applyBorder="1" applyAlignment="1" applyProtection="1">
      <alignment vertical="center"/>
    </xf>
    <xf numFmtId="0" fontId="5" fillId="0" borderId="19" xfId="1" applyBorder="1" applyAlignment="1" applyProtection="1">
      <alignment vertical="center"/>
    </xf>
    <xf numFmtId="0" fontId="0" fillId="0" borderId="19" xfId="0" applyBorder="1" applyAlignment="1" applyProtection="1">
      <alignment horizontal="left" vertical="center"/>
    </xf>
    <xf numFmtId="178" fontId="7" fillId="31" borderId="0" xfId="1" applyNumberFormat="1" applyFont="1" applyFill="1" applyBorder="1" applyAlignment="1" applyProtection="1">
      <alignment vertical="center"/>
      <protection locked="0"/>
    </xf>
    <xf numFmtId="0" fontId="14" fillId="37" borderId="0" xfId="1" applyFont="1" applyFill="1" applyBorder="1" applyAlignment="1" applyProtection="1">
      <alignment horizontal="center" vertical="center"/>
    </xf>
    <xf numFmtId="0" fontId="5" fillId="0" borderId="0" xfId="1" applyFont="1" applyBorder="1" applyAlignment="1"/>
    <xf numFmtId="0" fontId="17" fillId="0" borderId="263" xfId="1" applyFont="1" applyBorder="1" applyAlignment="1" applyProtection="1">
      <alignment horizontal="left" vertical="center"/>
    </xf>
    <xf numFmtId="170" fontId="7" fillId="4" borderId="263" xfId="1" applyNumberFormat="1" applyFont="1" applyFill="1" applyBorder="1" applyAlignment="1" applyProtection="1">
      <alignment horizontal="right" vertical="center"/>
    </xf>
    <xf numFmtId="170" fontId="7" fillId="27" borderId="263" xfId="1" applyNumberFormat="1" applyFont="1" applyFill="1" applyBorder="1" applyAlignment="1" applyProtection="1">
      <alignment horizontal="right" vertical="center"/>
    </xf>
    <xf numFmtId="0" fontId="5" fillId="33" borderId="24" xfId="1" applyFill="1" applyBorder="1" applyAlignment="1">
      <alignment vertical="center"/>
    </xf>
    <xf numFmtId="0" fontId="5" fillId="0" borderId="0" xfId="1" applyFont="1" applyBorder="1" applyAlignment="1">
      <alignment vertical="center"/>
    </xf>
    <xf numFmtId="0" fontId="5" fillId="0" borderId="0" xfId="1" applyFont="1" applyBorder="1" applyAlignment="1">
      <alignment vertical="center" wrapText="1"/>
    </xf>
    <xf numFmtId="0" fontId="5" fillId="0" borderId="0" xfId="1" applyAlignment="1" applyProtection="1">
      <alignment vertical="center"/>
    </xf>
    <xf numFmtId="0" fontId="6" fillId="0" borderId="0" xfId="1" applyFont="1" applyBorder="1" applyAlignment="1" applyProtection="1">
      <alignment vertical="center"/>
    </xf>
    <xf numFmtId="171" fontId="17" fillId="52" borderId="25" xfId="1" applyNumberFormat="1" applyFont="1" applyFill="1" applyBorder="1" applyAlignment="1">
      <alignment horizontal="right" vertical="center"/>
    </xf>
    <xf numFmtId="171" fontId="46" fillId="30" borderId="40" xfId="1" applyNumberFormat="1" applyFont="1" applyFill="1" applyBorder="1" applyAlignment="1">
      <alignment horizontal="right" vertical="center"/>
    </xf>
    <xf numFmtId="171" fontId="46" fillId="30" borderId="19" xfId="1" applyNumberFormat="1" applyFont="1" applyFill="1" applyBorder="1" applyAlignment="1">
      <alignment horizontal="right" vertical="center"/>
    </xf>
    <xf numFmtId="0" fontId="6" fillId="0" borderId="19" xfId="1" applyFont="1" applyBorder="1" applyAlignment="1">
      <alignment horizontal="center" vertical="center"/>
    </xf>
    <xf numFmtId="0" fontId="44" fillId="0" borderId="40" xfId="1" applyFont="1" applyBorder="1" applyAlignment="1">
      <alignment vertical="center"/>
    </xf>
    <xf numFmtId="0" fontId="55" fillId="0" borderId="0" xfId="1" applyFont="1" applyBorder="1" applyAlignment="1">
      <alignment horizontal="centerContinuous" vertical="center"/>
    </xf>
    <xf numFmtId="172" fontId="52" fillId="30" borderId="40" xfId="1" applyNumberFormat="1" applyFont="1" applyFill="1" applyBorder="1" applyAlignment="1">
      <alignment horizontal="center" vertical="center" wrapText="1"/>
    </xf>
    <xf numFmtId="173" fontId="53" fillId="0" borderId="19" xfId="1" applyNumberFormat="1" applyFont="1" applyBorder="1" applyAlignment="1">
      <alignment horizontal="center" vertical="center" wrapText="1"/>
    </xf>
    <xf numFmtId="172" fontId="49" fillId="30" borderId="40" xfId="1" applyNumberFormat="1" applyFont="1" applyFill="1" applyBorder="1" applyAlignment="1">
      <alignment horizontal="center" vertical="center" wrapText="1"/>
    </xf>
    <xf numFmtId="0" fontId="10" fillId="0" borderId="44" xfId="1" applyFont="1" applyBorder="1" applyAlignment="1">
      <alignment horizontal="center" vertical="center"/>
    </xf>
    <xf numFmtId="172" fontId="10" fillId="30" borderId="39" xfId="1" applyNumberFormat="1" applyFont="1" applyFill="1" applyBorder="1" applyAlignment="1">
      <alignment horizontal="center" vertical="center" wrapText="1"/>
    </xf>
    <xf numFmtId="172" fontId="52" fillId="0" borderId="19" xfId="1" applyNumberFormat="1" applyFont="1" applyFill="1" applyBorder="1" applyAlignment="1">
      <alignment horizontal="center" vertical="center" wrapText="1"/>
    </xf>
    <xf numFmtId="172" fontId="52" fillId="0" borderId="40" xfId="1" applyNumberFormat="1" applyFont="1" applyFill="1" applyBorder="1" applyAlignment="1">
      <alignment horizontal="center" vertical="center" wrapText="1"/>
    </xf>
    <xf numFmtId="172" fontId="49" fillId="0" borderId="40" xfId="1" applyNumberFormat="1" applyFont="1" applyFill="1" applyBorder="1" applyAlignment="1">
      <alignment horizontal="center" vertical="center" wrapText="1"/>
    </xf>
    <xf numFmtId="172" fontId="10" fillId="0" borderId="44" xfId="1" applyNumberFormat="1" applyFont="1" applyFill="1" applyBorder="1" applyAlignment="1">
      <alignment horizontal="center" vertical="center" wrapText="1"/>
    </xf>
    <xf numFmtId="172" fontId="10" fillId="0" borderId="39" xfId="1" applyNumberFormat="1" applyFont="1" applyFill="1" applyBorder="1" applyAlignment="1">
      <alignment horizontal="center" vertical="center" wrapText="1"/>
    </xf>
    <xf numFmtId="0" fontId="19" fillId="0" borderId="0" xfId="1" applyFont="1" applyBorder="1" applyAlignment="1">
      <alignment horizontal="centerContinuous" vertical="center"/>
    </xf>
    <xf numFmtId="172" fontId="52" fillId="30" borderId="0" xfId="1" applyNumberFormat="1" applyFont="1" applyFill="1" applyBorder="1" applyAlignment="1">
      <alignment horizontal="center" vertical="center"/>
    </xf>
    <xf numFmtId="172" fontId="52" fillId="30" borderId="19" xfId="1" applyNumberFormat="1" applyFont="1" applyFill="1" applyBorder="1" applyAlignment="1">
      <alignment horizontal="center" vertical="center" wrapText="1"/>
    </xf>
    <xf numFmtId="172" fontId="51" fillId="30" borderId="19" xfId="1" applyNumberFormat="1" applyFont="1" applyFill="1" applyBorder="1" applyAlignment="1">
      <alignment horizontal="center" vertical="center" wrapText="1"/>
    </xf>
    <xf numFmtId="172" fontId="10" fillId="30" borderId="44" xfId="1" applyNumberFormat="1" applyFont="1" applyFill="1" applyBorder="1" applyAlignment="1">
      <alignment horizontal="center" vertical="center" wrapText="1"/>
    </xf>
    <xf numFmtId="0" fontId="44" fillId="0" borderId="0" xfId="1" applyFont="1" applyBorder="1" applyAlignment="1">
      <alignment horizontal="centerContinuous" vertical="center"/>
    </xf>
    <xf numFmtId="0" fontId="96" fillId="37" borderId="34" xfId="1" applyFont="1" applyFill="1" applyBorder="1" applyAlignment="1" applyProtection="1">
      <alignment horizontal="left" vertical="center"/>
      <protection locked="0"/>
    </xf>
    <xf numFmtId="0" fontId="65" fillId="37" borderId="58" xfId="1" applyFont="1" applyFill="1" applyBorder="1" applyAlignment="1" applyProtection="1">
      <alignment horizontal="center" vertical="top" wrapText="1"/>
      <protection locked="0"/>
    </xf>
    <xf numFmtId="0" fontId="65" fillId="37" borderId="57" xfId="1" applyFont="1" applyFill="1" applyBorder="1" applyAlignment="1" applyProtection="1">
      <alignment horizontal="center" vertical="top" wrapText="1"/>
      <protection locked="0"/>
    </xf>
    <xf numFmtId="0" fontId="15" fillId="37" borderId="44" xfId="1" applyFont="1" applyFill="1" applyBorder="1" applyAlignment="1" applyProtection="1">
      <alignment horizontal="center" vertical="center" wrapText="1"/>
      <protection locked="0"/>
    </xf>
    <xf numFmtId="0" fontId="65" fillId="37" borderId="165" xfId="1" applyFont="1" applyFill="1" applyBorder="1" applyAlignment="1" applyProtection="1">
      <alignment horizontal="center" vertical="top" wrapText="1"/>
      <protection locked="0"/>
    </xf>
    <xf numFmtId="0" fontId="80" fillId="37" borderId="0" xfId="1" applyFont="1" applyFill="1" applyAlignment="1" applyProtection="1">
      <alignment horizontal="center" vertical="center"/>
      <protection locked="0"/>
    </xf>
    <xf numFmtId="0" fontId="165" fillId="0" borderId="25" xfId="1" applyFont="1" applyBorder="1" applyAlignment="1">
      <alignment vertical="center"/>
    </xf>
    <xf numFmtId="176" fontId="7" fillId="37" borderId="66" xfId="1" applyNumberFormat="1" applyFont="1" applyFill="1" applyBorder="1" applyAlignment="1" applyProtection="1">
      <alignment vertical="center"/>
    </xf>
    <xf numFmtId="14" fontId="10" fillId="0" borderId="0" xfId="1" applyNumberFormat="1" applyFont="1" applyBorder="1" applyAlignment="1" applyProtection="1">
      <alignment horizontal="right" vertical="center"/>
    </xf>
    <xf numFmtId="0" fontId="6" fillId="0" borderId="0" xfId="1" applyFont="1" applyBorder="1" applyAlignment="1" applyProtection="1">
      <alignment horizontal="centerContinuous" vertical="center"/>
    </xf>
    <xf numFmtId="0" fontId="44" fillId="0" borderId="19" xfId="1" applyFont="1" applyBorder="1" applyAlignment="1" applyProtection="1">
      <alignment vertical="center"/>
    </xf>
    <xf numFmtId="179" fontId="7" fillId="0" borderId="0" xfId="1" applyNumberFormat="1" applyFont="1" applyBorder="1" applyAlignment="1" applyProtection="1">
      <alignment vertical="center"/>
    </xf>
    <xf numFmtId="0" fontId="5" fillId="0" borderId="263" xfId="1" applyBorder="1" applyAlignment="1" applyProtection="1">
      <alignment vertical="center"/>
    </xf>
    <xf numFmtId="179" fontId="7" fillId="0" borderId="0" xfId="0" applyNumberFormat="1" applyFont="1" applyBorder="1" applyAlignment="1" applyProtection="1">
      <alignment vertical="center"/>
    </xf>
    <xf numFmtId="0" fontId="0" fillId="0" borderId="0" xfId="0" applyBorder="1" applyAlignment="1" applyProtection="1">
      <alignment vertical="center"/>
    </xf>
    <xf numFmtId="0" fontId="0" fillId="0" borderId="0" xfId="0" applyBorder="1" applyAlignment="1" applyProtection="1">
      <alignment horizontal="left" vertical="center"/>
    </xf>
    <xf numFmtId="0" fontId="6" fillId="0" borderId="0" xfId="67" applyFont="1" applyFill="1" applyBorder="1" applyAlignment="1" applyProtection="1">
      <alignment horizontal="left" vertical="center"/>
    </xf>
    <xf numFmtId="0" fontId="21" fillId="0" borderId="0" xfId="67" applyFont="1" applyFill="1" applyBorder="1" applyAlignment="1" applyProtection="1">
      <alignment horizontal="center" vertical="center"/>
    </xf>
    <xf numFmtId="0" fontId="15" fillId="0" borderId="0" xfId="1" applyFont="1" applyFill="1" applyBorder="1" applyAlignment="1" applyProtection="1">
      <alignment vertical="center"/>
    </xf>
    <xf numFmtId="0" fontId="10" fillId="0" borderId="40" xfId="1" applyFont="1" applyFill="1" applyBorder="1" applyAlignment="1" applyProtection="1">
      <alignment horizontal="center" vertical="center"/>
    </xf>
    <xf numFmtId="0" fontId="10" fillId="0" borderId="46" xfId="1" applyFont="1" applyFill="1" applyBorder="1" applyAlignment="1" applyProtection="1">
      <alignment vertical="center"/>
    </xf>
    <xf numFmtId="0" fontId="10" fillId="0" borderId="47" xfId="1" applyFont="1" applyFill="1" applyBorder="1" applyAlignment="1" applyProtection="1">
      <alignment vertical="center"/>
    </xf>
    <xf numFmtId="0" fontId="10" fillId="0" borderId="41" xfId="1" applyFont="1" applyFill="1" applyBorder="1" applyAlignment="1" applyProtection="1">
      <alignment horizontal="center" vertical="center"/>
    </xf>
    <xf numFmtId="190" fontId="10" fillId="0" borderId="84" xfId="1" applyNumberFormat="1" applyFont="1" applyFill="1" applyBorder="1" applyAlignment="1" applyProtection="1">
      <alignment horizontal="right" vertical="center"/>
    </xf>
    <xf numFmtId="189" fontId="10" fillId="0" borderId="84" xfId="1" applyNumberFormat="1" applyFont="1" applyFill="1" applyBorder="1" applyAlignment="1" applyProtection="1">
      <alignment horizontal="right" vertical="center"/>
    </xf>
    <xf numFmtId="188" fontId="10" fillId="0" borderId="86" xfId="1" applyNumberFormat="1" applyFont="1" applyFill="1" applyBorder="1" applyAlignment="1" applyProtection="1">
      <alignment horizontal="right" vertical="center"/>
    </xf>
    <xf numFmtId="0" fontId="44" fillId="0" borderId="2" xfId="1" applyFont="1" applyFill="1" applyBorder="1" applyAlignment="1">
      <alignment vertical="center"/>
    </xf>
    <xf numFmtId="176" fontId="7" fillId="0" borderId="39" xfId="1" applyNumberFormat="1" applyFont="1" applyFill="1" applyBorder="1" applyAlignment="1">
      <alignment vertical="center"/>
    </xf>
    <xf numFmtId="0" fontId="44" fillId="0" borderId="0" xfId="1" applyFont="1" applyFill="1" applyBorder="1" applyAlignment="1" applyProtection="1">
      <alignment horizontal="right" vertical="center"/>
    </xf>
    <xf numFmtId="0" fontId="87" fillId="0" borderId="0" xfId="1" applyFont="1" applyFill="1" applyBorder="1" applyAlignment="1" applyProtection="1">
      <alignment vertical="center"/>
    </xf>
    <xf numFmtId="0" fontId="87" fillId="0" borderId="0" xfId="67" applyFont="1" applyFill="1" applyAlignment="1" applyProtection="1">
      <alignment vertical="center"/>
    </xf>
    <xf numFmtId="0" fontId="88" fillId="0" borderId="0" xfId="67" applyFont="1" applyFill="1"/>
    <xf numFmtId="188" fontId="10" fillId="0" borderId="80" xfId="1" applyNumberFormat="1" applyFont="1" applyBorder="1" applyAlignment="1" applyProtection="1">
      <alignment horizontal="right" vertical="center"/>
    </xf>
    <xf numFmtId="0" fontId="7" fillId="0" borderId="0" xfId="67" applyFont="1" applyAlignment="1">
      <alignment vertical="top" wrapText="1"/>
    </xf>
    <xf numFmtId="0" fontId="6" fillId="0" borderId="65" xfId="1" applyFont="1" applyFill="1" applyBorder="1" applyAlignment="1" applyProtection="1">
      <alignment horizontal="centerContinuous" vertical="center"/>
    </xf>
    <xf numFmtId="186" fontId="6" fillId="0" borderId="40" xfId="1" applyNumberFormat="1" applyFont="1" applyFill="1" applyBorder="1" applyAlignment="1" applyProtection="1">
      <alignment horizontal="center" vertical="center"/>
    </xf>
    <xf numFmtId="0" fontId="44" fillId="0" borderId="2" xfId="1" applyFont="1" applyBorder="1" applyAlignment="1" applyProtection="1">
      <alignment vertical="top"/>
    </xf>
    <xf numFmtId="186" fontId="10" fillId="0" borderId="39" xfId="1" applyNumberFormat="1" applyFont="1" applyFill="1" applyBorder="1" applyAlignment="1" applyProtection="1">
      <alignment horizontal="center" vertical="center"/>
    </xf>
    <xf numFmtId="171" fontId="15" fillId="4" borderId="40" xfId="61" applyNumberFormat="1" applyFont="1" applyFill="1" applyBorder="1" applyAlignment="1" applyProtection="1">
      <alignment horizontal="right" vertical="center"/>
    </xf>
    <xf numFmtId="0" fontId="0" fillId="0" borderId="0" xfId="0" applyBorder="1"/>
    <xf numFmtId="171" fontId="10" fillId="0" borderId="40" xfId="1" applyNumberFormat="1" applyFont="1" applyBorder="1" applyAlignment="1" applyProtection="1">
      <alignment horizontal="right" vertical="center"/>
    </xf>
    <xf numFmtId="171" fontId="10" fillId="0" borderId="40" xfId="61" applyNumberFormat="1" applyFont="1" applyBorder="1" applyAlignment="1" applyProtection="1">
      <alignment horizontal="right" vertical="center"/>
    </xf>
    <xf numFmtId="171" fontId="10" fillId="0" borderId="39" xfId="61" applyNumberFormat="1" applyFont="1" applyBorder="1" applyAlignment="1" applyProtection="1">
      <alignment horizontal="right" vertical="center"/>
    </xf>
    <xf numFmtId="0" fontId="7" fillId="0" borderId="90" xfId="1" applyFont="1" applyBorder="1" applyAlignment="1" applyProtection="1">
      <alignment vertical="center"/>
    </xf>
    <xf numFmtId="171" fontId="7" fillId="0" borderId="40" xfId="61" applyNumberFormat="1" applyFont="1" applyBorder="1" applyAlignment="1" applyProtection="1">
      <alignment horizontal="right" vertical="center"/>
    </xf>
    <xf numFmtId="0" fontId="44" fillId="0" borderId="0" xfId="1" applyFont="1" applyFill="1" applyBorder="1" applyAlignment="1" applyProtection="1">
      <alignment vertical="top"/>
    </xf>
    <xf numFmtId="0" fontId="6" fillId="0" borderId="0" xfId="1" applyFont="1" applyFill="1" applyBorder="1" applyAlignment="1" applyProtection="1">
      <alignment horizontal="centerContinuous" vertical="center"/>
    </xf>
    <xf numFmtId="177" fontId="6" fillId="0" borderId="40" xfId="1" applyNumberFormat="1" applyFont="1" applyFill="1" applyBorder="1" applyAlignment="1" applyProtection="1">
      <alignment horizontal="center" vertical="center"/>
    </xf>
    <xf numFmtId="186" fontId="10" fillId="0" borderId="40" xfId="1" applyNumberFormat="1" applyFont="1" applyFill="1" applyBorder="1" applyAlignment="1" applyProtection="1">
      <alignment horizontal="center" vertical="center"/>
    </xf>
    <xf numFmtId="0" fontId="10" fillId="0" borderId="67" xfId="1" applyFont="1" applyFill="1" applyBorder="1" applyAlignment="1" applyProtection="1">
      <alignment horizontal="center" vertical="center"/>
    </xf>
    <xf numFmtId="0" fontId="10" fillId="0" borderId="66" xfId="1" applyFont="1" applyFill="1" applyBorder="1" applyAlignment="1" applyProtection="1">
      <alignment horizontal="center" vertical="center"/>
    </xf>
    <xf numFmtId="0" fontId="10" fillId="0" borderId="82" xfId="1" applyFont="1" applyFill="1" applyBorder="1" applyAlignment="1" applyProtection="1">
      <alignment horizontal="center" vertical="center"/>
    </xf>
    <xf numFmtId="0" fontId="15" fillId="0" borderId="42" xfId="1" applyFont="1" applyBorder="1" applyAlignment="1" applyProtection="1">
      <alignment vertical="center"/>
    </xf>
    <xf numFmtId="0" fontId="15" fillId="0" borderId="263" xfId="1" applyFont="1" applyFill="1" applyBorder="1" applyAlignment="1" applyProtection="1">
      <alignment horizontal="left" vertical="center"/>
    </xf>
    <xf numFmtId="0" fontId="71" fillId="0" borderId="263" xfId="1" applyFont="1" applyBorder="1" applyAlignment="1" applyProtection="1">
      <alignment vertical="center"/>
    </xf>
    <xf numFmtId="171" fontId="15" fillId="4" borderId="43" xfId="61" applyNumberFormat="1" applyFont="1" applyFill="1" applyBorder="1" applyAlignment="1" applyProtection="1">
      <alignment horizontal="right" vertical="center"/>
    </xf>
    <xf numFmtId="0" fontId="5" fillId="0" borderId="263" xfId="1" applyBorder="1" applyProtection="1"/>
    <xf numFmtId="186" fontId="17" fillId="0" borderId="263" xfId="1" applyNumberFormat="1" applyFont="1" applyFill="1" applyBorder="1" applyAlignment="1" applyProtection="1">
      <alignment horizontal="right" vertical="center"/>
    </xf>
    <xf numFmtId="189" fontId="6" fillId="4" borderId="0" xfId="1" applyNumberFormat="1" applyFont="1" applyFill="1" applyBorder="1" applyAlignment="1" applyProtection="1">
      <alignment horizontal="center" vertical="center"/>
    </xf>
    <xf numFmtId="0" fontId="15" fillId="0" borderId="40" xfId="1" applyFont="1" applyBorder="1" applyAlignment="1">
      <alignment horizontal="center" vertical="center"/>
    </xf>
    <xf numFmtId="171" fontId="10" fillId="4" borderId="40" xfId="61" applyNumberFormat="1" applyFont="1" applyFill="1" applyBorder="1" applyAlignment="1" applyProtection="1">
      <alignment horizontal="right" vertical="center"/>
    </xf>
    <xf numFmtId="189" fontId="6" fillId="0" borderId="0" xfId="1" applyNumberFormat="1" applyFont="1" applyFill="1" applyBorder="1" applyAlignment="1" applyProtection="1">
      <alignment horizontal="center" vertical="center"/>
    </xf>
    <xf numFmtId="190" fontId="10" fillId="0" borderId="0" xfId="1" applyNumberFormat="1" applyFont="1" applyFill="1" applyBorder="1" applyAlignment="1" applyProtection="1">
      <alignment horizontal="right" vertical="center"/>
    </xf>
    <xf numFmtId="189" fontId="10" fillId="0" borderId="0" xfId="1" applyNumberFormat="1" applyFont="1" applyFill="1" applyBorder="1" applyAlignment="1" applyProtection="1">
      <alignment horizontal="right" vertical="center"/>
    </xf>
    <xf numFmtId="188" fontId="10" fillId="0" borderId="0" xfId="1" applyNumberFormat="1" applyFont="1" applyFill="1" applyBorder="1" applyAlignment="1" applyProtection="1">
      <alignment horizontal="right" vertical="center"/>
    </xf>
    <xf numFmtId="0" fontId="7" fillId="0" borderId="41" xfId="1" applyFont="1" applyFill="1" applyBorder="1" applyAlignment="1" applyProtection="1">
      <alignment vertical="center"/>
    </xf>
    <xf numFmtId="0" fontId="14" fillId="0" borderId="0" xfId="1" applyFont="1" applyBorder="1"/>
    <xf numFmtId="0" fontId="14" fillId="0" borderId="24" xfId="1" applyFont="1" applyBorder="1" applyAlignment="1" applyProtection="1">
      <alignment vertical="center"/>
    </xf>
    <xf numFmtId="0" fontId="14" fillId="0" borderId="127" xfId="1" applyFont="1" applyBorder="1" applyAlignment="1" applyProtection="1">
      <alignment vertical="center"/>
    </xf>
    <xf numFmtId="188" fontId="10" fillId="0" borderId="0" xfId="1" applyNumberFormat="1" applyFont="1" applyBorder="1" applyAlignment="1" applyProtection="1">
      <alignment horizontal="right" vertical="center"/>
    </xf>
    <xf numFmtId="0" fontId="10" fillId="0" borderId="24" xfId="1" applyFont="1" applyFill="1" applyBorder="1" applyAlignment="1" applyProtection="1">
      <alignment horizontal="center" vertical="center"/>
    </xf>
    <xf numFmtId="171" fontId="10" fillId="0" borderId="24" xfId="61" applyNumberFormat="1" applyFont="1" applyFill="1" applyBorder="1" applyAlignment="1" applyProtection="1">
      <alignment horizontal="right" vertical="center"/>
      <protection locked="0"/>
    </xf>
    <xf numFmtId="171" fontId="10" fillId="0" borderId="62" xfId="61" applyNumberFormat="1" applyFont="1" applyFill="1" applyBorder="1" applyAlignment="1" applyProtection="1">
      <alignment horizontal="right" vertical="center"/>
    </xf>
    <xf numFmtId="0" fontId="10" fillId="0" borderId="19" xfId="1" applyFont="1" applyBorder="1" applyAlignment="1" applyProtection="1">
      <alignment horizontal="left" vertical="center"/>
    </xf>
    <xf numFmtId="0" fontId="10" fillId="0" borderId="44" xfId="1" applyFont="1" applyBorder="1" applyAlignment="1" applyProtection="1">
      <alignment horizontal="left" vertical="center"/>
    </xf>
    <xf numFmtId="0" fontId="15" fillId="0" borderId="41" xfId="1" applyFont="1" applyFill="1" applyBorder="1" applyAlignment="1" applyProtection="1">
      <alignment vertical="center"/>
    </xf>
    <xf numFmtId="196" fontId="14" fillId="4" borderId="58" xfId="1" applyNumberFormat="1" applyFont="1" applyFill="1" applyBorder="1" applyAlignment="1">
      <alignment vertical="center"/>
    </xf>
    <xf numFmtId="188" fontId="7" fillId="0" borderId="19" xfId="61" applyNumberFormat="1" applyFont="1" applyBorder="1" applyAlignment="1">
      <alignment vertical="center"/>
    </xf>
    <xf numFmtId="188" fontId="7" fillId="0" borderId="19" xfId="1" applyNumberFormat="1" applyFont="1" applyBorder="1" applyAlignment="1">
      <alignment vertical="center"/>
    </xf>
    <xf numFmtId="188" fontId="7" fillId="0" borderId="42" xfId="61" applyNumberFormat="1" applyFont="1" applyBorder="1" applyAlignment="1">
      <alignment vertical="center"/>
    </xf>
    <xf numFmtId="188" fontId="7" fillId="0" borderId="0" xfId="1" applyNumberFormat="1" applyFont="1" applyBorder="1" applyAlignment="1">
      <alignment vertical="center"/>
    </xf>
    <xf numFmtId="0" fontId="110" fillId="0" borderId="77" xfId="1" applyFont="1" applyBorder="1" applyAlignment="1">
      <alignment vertical="center"/>
    </xf>
    <xf numFmtId="196" fontId="14" fillId="39" borderId="57" xfId="1" applyNumberFormat="1" applyFont="1" applyFill="1" applyBorder="1" applyAlignment="1">
      <alignment vertical="center"/>
    </xf>
    <xf numFmtId="0" fontId="110" fillId="53" borderId="77" xfId="1" applyFont="1" applyFill="1" applyBorder="1" applyAlignment="1">
      <alignment vertical="center"/>
    </xf>
    <xf numFmtId="0" fontId="5" fillId="53" borderId="43" xfId="1" applyFill="1" applyBorder="1" applyAlignment="1">
      <alignment vertical="center"/>
    </xf>
    <xf numFmtId="188" fontId="7" fillId="53" borderId="42" xfId="61" applyNumberFormat="1" applyFont="1" applyFill="1" applyBorder="1" applyAlignment="1">
      <alignment vertical="center"/>
    </xf>
    <xf numFmtId="0" fontId="5" fillId="53" borderId="40" xfId="1" applyFill="1" applyBorder="1" applyAlignment="1">
      <alignment vertical="center"/>
    </xf>
    <xf numFmtId="188" fontId="7" fillId="53" borderId="19" xfId="61" applyNumberFormat="1" applyFont="1" applyFill="1" applyBorder="1" applyAlignment="1">
      <alignment vertical="center"/>
    </xf>
    <xf numFmtId="188" fontId="7" fillId="53" borderId="19" xfId="1" applyNumberFormat="1" applyFont="1" applyFill="1" applyBorder="1" applyAlignment="1">
      <alignment vertical="center"/>
    </xf>
    <xf numFmtId="0" fontId="21" fillId="0" borderId="40" xfId="67" applyFont="1" applyFill="1" applyBorder="1" applyAlignment="1" applyProtection="1">
      <alignment horizontal="left" vertical="center"/>
    </xf>
    <xf numFmtId="0" fontId="10" fillId="0" borderId="39" xfId="67" applyFont="1" applyFill="1" applyBorder="1" applyAlignment="1" applyProtection="1"/>
    <xf numFmtId="0" fontId="21" fillId="0" borderId="2" xfId="67" applyFont="1" applyFill="1" applyBorder="1" applyAlignment="1" applyProtection="1">
      <alignment vertical="center"/>
    </xf>
    <xf numFmtId="181" fontId="21" fillId="0" borderId="263" xfId="67" applyNumberFormat="1" applyFont="1" applyBorder="1" applyAlignment="1" applyProtection="1">
      <alignment vertical="center"/>
    </xf>
    <xf numFmtId="0" fontId="21" fillId="0" borderId="0" xfId="1" applyFont="1" applyBorder="1" applyAlignment="1" applyProtection="1">
      <alignment horizontal="center" vertical="center"/>
    </xf>
    <xf numFmtId="0" fontId="10" fillId="0" borderId="0" xfId="67" applyFont="1" applyFill="1" applyBorder="1" applyAlignment="1" applyProtection="1">
      <alignment vertical="center"/>
    </xf>
    <xf numFmtId="206" fontId="7" fillId="4" borderId="109" xfId="105" applyNumberFormat="1" applyFont="1" applyFill="1" applyBorder="1" applyAlignment="1" applyProtection="1">
      <alignment horizontal="center" vertical="center"/>
    </xf>
    <xf numFmtId="206" fontId="7" fillId="4" borderId="109" xfId="105" applyNumberFormat="1" applyFont="1" applyFill="1" applyBorder="1" applyAlignment="1" applyProtection="1">
      <alignment vertical="center"/>
    </xf>
    <xf numFmtId="176" fontId="7" fillId="4" borderId="265" xfId="105" applyNumberFormat="1" applyFont="1" applyFill="1" applyBorder="1" applyAlignment="1" applyProtection="1">
      <alignment vertical="center"/>
    </xf>
    <xf numFmtId="0" fontId="6" fillId="0" borderId="0" xfId="1" applyFont="1" applyBorder="1" applyAlignment="1" applyProtection="1">
      <alignment horizontal="center" vertical="center"/>
    </xf>
    <xf numFmtId="0" fontId="6" fillId="0" borderId="0" xfId="1" applyFont="1" applyAlignment="1" applyProtection="1">
      <alignment vertical="center"/>
    </xf>
    <xf numFmtId="0" fontId="5" fillId="0" borderId="0" xfId="1" applyBorder="1" applyAlignment="1" applyProtection="1">
      <alignment vertical="center"/>
    </xf>
    <xf numFmtId="0" fontId="6" fillId="0" borderId="77" xfId="1" applyFont="1" applyBorder="1" applyAlignment="1" applyProtection="1">
      <alignment vertical="center"/>
    </xf>
    <xf numFmtId="0" fontId="5" fillId="0" borderId="0" xfId="1" applyAlignment="1" applyProtection="1">
      <alignment vertical="center"/>
    </xf>
    <xf numFmtId="0" fontId="6" fillId="0" borderId="0" xfId="1" applyFont="1" applyBorder="1" applyAlignment="1" applyProtection="1">
      <alignment vertical="center"/>
    </xf>
    <xf numFmtId="0" fontId="6" fillId="0" borderId="19" xfId="1" applyFont="1" applyBorder="1" applyAlignment="1" applyProtection="1">
      <alignment vertical="center"/>
    </xf>
    <xf numFmtId="0" fontId="19" fillId="31" borderId="0" xfId="1" applyFont="1" applyFill="1" applyBorder="1" applyAlignment="1" applyProtection="1">
      <alignment horizontal="right" vertical="top"/>
      <protection locked="0"/>
    </xf>
    <xf numFmtId="0" fontId="141" fillId="0" borderId="0" xfId="1" applyFont="1" applyFill="1" applyBorder="1" applyAlignment="1">
      <alignment horizontal="left" vertical="center" wrapText="1"/>
    </xf>
    <xf numFmtId="0" fontId="5" fillId="0" borderId="0" xfId="1" applyAlignment="1" applyProtection="1">
      <alignment vertical="center"/>
    </xf>
    <xf numFmtId="0" fontId="5" fillId="0" borderId="0" xfId="1" applyBorder="1" applyAlignment="1" applyProtection="1">
      <alignment vertical="center"/>
    </xf>
    <xf numFmtId="0" fontId="5" fillId="0" borderId="0" xfId="1" applyBorder="1" applyAlignment="1" applyProtection="1">
      <alignment vertical="center"/>
    </xf>
    <xf numFmtId="0" fontId="5" fillId="0" borderId="0" xfId="1" applyAlignment="1" applyProtection="1">
      <alignment vertical="center"/>
    </xf>
    <xf numFmtId="2" fontId="140" fillId="0" borderId="0" xfId="1" applyNumberFormat="1" applyFont="1" applyFill="1" applyBorder="1" applyAlignment="1">
      <alignment horizontal="left"/>
    </xf>
    <xf numFmtId="2" fontId="140" fillId="0" borderId="40" xfId="1" applyNumberFormat="1" applyFont="1" applyFill="1" applyBorder="1" applyAlignment="1">
      <alignment horizontal="left"/>
    </xf>
    <xf numFmtId="204" fontId="7" fillId="4" borderId="261" xfId="1" applyNumberFormat="1" applyFont="1" applyFill="1" applyBorder="1" applyAlignment="1" applyProtection="1">
      <alignment horizontal="right" vertical="center"/>
    </xf>
    <xf numFmtId="0" fontId="5" fillId="0" borderId="0" xfId="1" applyBorder="1" applyAlignment="1" applyProtection="1">
      <alignment vertical="center"/>
    </xf>
    <xf numFmtId="176" fontId="7" fillId="0" borderId="62" xfId="105" applyNumberFormat="1" applyFont="1" applyFill="1" applyBorder="1" applyAlignment="1" applyProtection="1">
      <alignment vertical="center"/>
    </xf>
    <xf numFmtId="0" fontId="5" fillId="0" borderId="0" xfId="1" applyAlignment="1" applyProtection="1">
      <alignment vertical="center"/>
    </xf>
    <xf numFmtId="0" fontId="10" fillId="0" borderId="0" xfId="1" applyFont="1" applyBorder="1" applyAlignment="1">
      <alignment horizontal="left" vertical="center"/>
    </xf>
    <xf numFmtId="0" fontId="5" fillId="0" borderId="32" xfId="1" applyFont="1" applyFill="1" applyBorder="1" applyAlignment="1" applyProtection="1">
      <alignment vertical="center"/>
    </xf>
    <xf numFmtId="174" fontId="7" fillId="0" borderId="163" xfId="1" applyNumberFormat="1" applyFont="1" applyBorder="1" applyAlignment="1" applyProtection="1">
      <alignment vertical="center"/>
    </xf>
    <xf numFmtId="174" fontId="15" fillId="30" borderId="162" xfId="1" applyNumberFormat="1" applyFont="1" applyFill="1" applyBorder="1" applyAlignment="1" applyProtection="1">
      <alignment vertical="center"/>
    </xf>
    <xf numFmtId="3" fontId="115" fillId="41" borderId="40" xfId="1" applyNumberFormat="1" applyFont="1" applyFill="1" applyBorder="1" applyAlignment="1">
      <alignment horizontal="left" vertical="center"/>
    </xf>
    <xf numFmtId="3" fontId="115" fillId="41" borderId="0" xfId="1" applyNumberFormat="1" applyFont="1" applyFill="1" applyBorder="1" applyAlignment="1">
      <alignment horizontal="right" vertical="center"/>
    </xf>
    <xf numFmtId="3" fontId="115" fillId="41" borderId="0" xfId="1" applyNumberFormat="1" applyFont="1" applyFill="1" applyBorder="1" applyAlignment="1">
      <alignment horizontal="center" vertical="center"/>
    </xf>
    <xf numFmtId="3" fontId="115" fillId="54" borderId="0" xfId="1" applyNumberFormat="1" applyFont="1" applyFill="1" applyAlignment="1">
      <alignment horizontal="right" vertical="center"/>
    </xf>
    <xf numFmtId="3" fontId="78" fillId="55" borderId="48" xfId="1" applyNumberFormat="1" applyFont="1" applyFill="1" applyBorder="1" applyAlignment="1">
      <alignment horizontal="right" vertical="center"/>
    </xf>
    <xf numFmtId="3" fontId="115" fillId="55" borderId="25" xfId="1" applyNumberFormat="1" applyFont="1" applyFill="1" applyBorder="1" applyAlignment="1">
      <alignment horizontal="right" vertical="center"/>
    </xf>
    <xf numFmtId="3" fontId="115" fillId="55" borderId="36" xfId="1" applyNumberFormat="1" applyFont="1" applyFill="1" applyBorder="1" applyAlignment="1">
      <alignment horizontal="right" vertical="center"/>
    </xf>
    <xf numFmtId="165" fontId="78" fillId="55" borderId="25" xfId="1" applyNumberFormat="1" applyFont="1" applyFill="1" applyBorder="1" applyAlignment="1">
      <alignment horizontal="right" vertical="center"/>
    </xf>
    <xf numFmtId="3" fontId="115" fillId="55" borderId="25" xfId="61" applyNumberFormat="1" applyFont="1" applyFill="1" applyBorder="1" applyAlignment="1">
      <alignment horizontal="right" vertical="center"/>
    </xf>
    <xf numFmtId="4" fontId="78" fillId="55" borderId="34" xfId="1" applyNumberFormat="1" applyFont="1" applyFill="1" applyBorder="1" applyAlignment="1">
      <alignment horizontal="right" vertical="center"/>
    </xf>
    <xf numFmtId="3" fontId="115" fillId="55" borderId="34" xfId="1" applyNumberFormat="1" applyFont="1" applyFill="1" applyBorder="1" applyAlignment="1">
      <alignment horizontal="right" vertical="center"/>
    </xf>
    <xf numFmtId="3" fontId="78" fillId="55" borderId="36" xfId="1" applyNumberFormat="1" applyFont="1" applyFill="1" applyBorder="1" applyAlignment="1">
      <alignment horizontal="right" vertical="center"/>
    </xf>
    <xf numFmtId="3" fontId="115" fillId="56" borderId="25" xfId="1" applyNumberFormat="1" applyFont="1" applyFill="1" applyBorder="1" applyAlignment="1">
      <alignment horizontal="right" vertical="center"/>
    </xf>
    <xf numFmtId="3" fontId="115" fillId="56" borderId="36" xfId="1" applyNumberFormat="1" applyFont="1" applyFill="1" applyBorder="1" applyAlignment="1">
      <alignment horizontal="right" vertical="center"/>
    </xf>
    <xf numFmtId="3" fontId="116" fillId="32" borderId="0" xfId="1" applyNumberFormat="1" applyFont="1" applyFill="1" applyAlignment="1">
      <alignment vertical="center"/>
    </xf>
    <xf numFmtId="3" fontId="115" fillId="4" borderId="32" xfId="1" applyNumberFormat="1" applyFont="1" applyFill="1" applyBorder="1" applyAlignment="1">
      <alignment vertical="center"/>
    </xf>
    <xf numFmtId="3" fontId="115" fillId="4" borderId="19" xfId="1" applyNumberFormat="1" applyFont="1" applyFill="1" applyBorder="1" applyAlignment="1">
      <alignment vertical="center"/>
    </xf>
    <xf numFmtId="3" fontId="115" fillId="55" borderId="25" xfId="1" applyNumberFormat="1" applyFont="1" applyFill="1" applyBorder="1" applyAlignment="1">
      <alignment vertical="center"/>
    </xf>
    <xf numFmtId="3" fontId="115" fillId="4" borderId="25" xfId="1" applyNumberFormat="1" applyFont="1" applyFill="1" applyBorder="1" applyAlignment="1">
      <alignment vertical="center"/>
    </xf>
    <xf numFmtId="3" fontId="115" fillId="4" borderId="29" xfId="1" applyNumberFormat="1" applyFont="1" applyFill="1" applyBorder="1" applyAlignment="1">
      <alignment vertical="center"/>
    </xf>
    <xf numFmtId="3" fontId="115" fillId="4" borderId="0" xfId="1" applyNumberFormat="1" applyFont="1" applyFill="1" applyBorder="1" applyAlignment="1">
      <alignment vertical="center"/>
    </xf>
    <xf numFmtId="0" fontId="5" fillId="0" borderId="0" xfId="1" applyBorder="1" applyAlignment="1" applyProtection="1">
      <alignment vertical="center"/>
    </xf>
    <xf numFmtId="206" fontId="7" fillId="31" borderId="266" xfId="105" applyNumberFormat="1" applyFont="1" applyFill="1" applyBorder="1" applyAlignment="1" applyProtection="1">
      <alignment horizontal="right" vertical="center"/>
      <protection locked="0"/>
    </xf>
    <xf numFmtId="199" fontId="7" fillId="0" borderId="157" xfId="105" applyNumberFormat="1" applyFont="1" applyBorder="1" applyAlignment="1" applyProtection="1">
      <alignment horizontal="right" vertical="center"/>
    </xf>
    <xf numFmtId="170" fontId="7" fillId="0" borderId="108" xfId="1" applyNumberFormat="1" applyFont="1" applyBorder="1" applyAlignment="1" applyProtection="1">
      <alignment horizontal="right" vertical="center"/>
    </xf>
    <xf numFmtId="199" fontId="7" fillId="27" borderId="157" xfId="105" applyNumberFormat="1" applyFont="1" applyFill="1" applyBorder="1" applyAlignment="1" applyProtection="1">
      <alignment horizontal="right" vertical="center"/>
    </xf>
    <xf numFmtId="170" fontId="7" fillId="27" borderId="108" xfId="1" applyNumberFormat="1" applyFont="1" applyFill="1" applyBorder="1" applyAlignment="1" applyProtection="1">
      <alignment horizontal="right" vertical="center"/>
    </xf>
    <xf numFmtId="188" fontId="7" fillId="31" borderId="39" xfId="61" applyNumberFormat="1" applyFont="1" applyFill="1" applyBorder="1" applyAlignment="1" applyProtection="1">
      <alignment vertical="center"/>
      <protection locked="0"/>
    </xf>
    <xf numFmtId="0" fontId="32" fillId="27" borderId="44" xfId="0" applyFont="1" applyFill="1" applyBorder="1" applyAlignment="1" applyProtection="1">
      <alignment vertical="center"/>
    </xf>
    <xf numFmtId="206" fontId="7" fillId="0" borderId="39" xfId="105" applyNumberFormat="1" applyFont="1" applyFill="1" applyBorder="1" applyAlignment="1" applyProtection="1">
      <alignment vertical="center"/>
      <protection locked="0"/>
    </xf>
    <xf numFmtId="206" fontId="7" fillId="35" borderId="39" xfId="105" applyNumberFormat="1" applyFont="1" applyFill="1" applyBorder="1" applyAlignment="1" applyProtection="1">
      <alignment vertical="center"/>
      <protection locked="0"/>
    </xf>
    <xf numFmtId="0" fontId="10" fillId="0" borderId="0" xfId="67"/>
    <xf numFmtId="0" fontId="5" fillId="0" borderId="0" xfId="1" quotePrefix="1" applyFont="1" applyBorder="1" applyAlignment="1" applyProtection="1">
      <alignment vertical="center"/>
    </xf>
    <xf numFmtId="0" fontId="21" fillId="0" borderId="0" xfId="1" applyFont="1" applyAlignment="1" applyProtection="1">
      <alignment horizontal="center" vertical="center"/>
    </xf>
    <xf numFmtId="0" fontId="21" fillId="0" borderId="0" xfId="67" applyFont="1" applyBorder="1" applyAlignment="1" applyProtection="1">
      <alignment horizontal="center" vertical="center"/>
    </xf>
    <xf numFmtId="0" fontId="5" fillId="0" borderId="101" xfId="124" applyFont="1" applyBorder="1" applyAlignment="1" applyProtection="1">
      <alignment horizontal="center" vertical="center"/>
    </xf>
    <xf numFmtId="0" fontId="15" fillId="0" borderId="100" xfId="124" applyFont="1" applyBorder="1" applyAlignment="1" applyProtection="1">
      <alignment vertical="center"/>
    </xf>
    <xf numFmtId="185" fontId="15" fillId="0" borderId="93" xfId="124" applyNumberFormat="1" applyFont="1" applyBorder="1" applyAlignment="1" applyProtection="1">
      <alignment vertical="center"/>
    </xf>
    <xf numFmtId="0" fontId="66" fillId="0" borderId="94" xfId="124" applyFont="1" applyBorder="1" applyAlignment="1" applyProtection="1">
      <alignment horizontal="left" vertical="center"/>
    </xf>
    <xf numFmtId="0" fontId="66" fillId="0" borderId="93" xfId="124" applyFont="1" applyBorder="1" applyAlignment="1" applyProtection="1">
      <alignment horizontal="left" vertical="center"/>
    </xf>
    <xf numFmtId="0" fontId="66" fillId="0" borderId="92" xfId="124" applyFont="1" applyBorder="1" applyAlignment="1" applyProtection="1">
      <alignment horizontal="left" vertical="center"/>
    </xf>
    <xf numFmtId="0" fontId="17" fillId="57" borderId="0" xfId="124" applyFont="1" applyFill="1" applyAlignment="1" applyProtection="1">
      <alignment vertical="center"/>
    </xf>
    <xf numFmtId="0" fontId="17" fillId="57" borderId="0" xfId="124" applyFont="1" applyFill="1" applyAlignment="1" applyProtection="1">
      <alignment horizontal="center" vertical="center"/>
    </xf>
    <xf numFmtId="0" fontId="17" fillId="0" borderId="27" xfId="124" applyFont="1" applyFill="1" applyBorder="1" applyAlignment="1" applyProtection="1">
      <alignment vertical="center"/>
    </xf>
    <xf numFmtId="185" fontId="17" fillId="31" borderId="91" xfId="124" applyNumberFormat="1" applyFont="1" applyFill="1" applyBorder="1" applyAlignment="1" applyProtection="1">
      <alignment vertical="center"/>
      <protection locked="0"/>
    </xf>
    <xf numFmtId="0" fontId="17" fillId="0" borderId="26" xfId="0" applyFont="1" applyBorder="1" applyAlignment="1">
      <alignment horizontal="center" vertical="center"/>
    </xf>
    <xf numFmtId="185" fontId="17" fillId="0" borderId="0" xfId="124" applyNumberFormat="1" applyFont="1" applyAlignment="1" applyProtection="1">
      <alignment horizontal="left" vertical="center"/>
    </xf>
    <xf numFmtId="0" fontId="15" fillId="0" borderId="43" xfId="124" applyFont="1" applyBorder="1" applyAlignment="1" applyProtection="1">
      <alignment horizontal="center" vertical="center"/>
    </xf>
    <xf numFmtId="185" fontId="15" fillId="0" borderId="263" xfId="124" applyNumberFormat="1" applyFont="1" applyBorder="1" applyAlignment="1" applyProtection="1">
      <alignment horizontal="left" vertical="center"/>
    </xf>
    <xf numFmtId="0" fontId="17" fillId="0" borderId="263" xfId="124" applyFont="1" applyBorder="1" applyAlignment="1" applyProtection="1">
      <alignment vertical="center"/>
    </xf>
    <xf numFmtId="0" fontId="17" fillId="0" borderId="42" xfId="124" applyFont="1" applyBorder="1" applyAlignment="1" applyProtection="1">
      <alignment vertical="center"/>
    </xf>
    <xf numFmtId="0" fontId="15" fillId="0" borderId="0" xfId="124" applyFont="1" applyAlignment="1" applyProtection="1">
      <alignment vertical="center"/>
    </xf>
    <xf numFmtId="0" fontId="15" fillId="0" borderId="40" xfId="124" applyFont="1" applyBorder="1" applyAlignment="1" applyProtection="1">
      <alignment horizontal="center" vertical="center"/>
    </xf>
    <xf numFmtId="185" fontId="15" fillId="0" borderId="0" xfId="124" applyNumberFormat="1" applyFont="1" applyBorder="1" applyAlignment="1" applyProtection="1">
      <alignment horizontal="left" vertical="center"/>
    </xf>
    <xf numFmtId="0" fontId="15" fillId="0" borderId="39" xfId="124" applyFont="1" applyBorder="1" applyAlignment="1" applyProtection="1">
      <alignment horizontal="center" vertical="center"/>
    </xf>
    <xf numFmtId="0" fontId="15" fillId="0" borderId="2" xfId="124" applyFont="1" applyBorder="1" applyAlignment="1" applyProtection="1">
      <alignment vertical="center"/>
    </xf>
    <xf numFmtId="0" fontId="17" fillId="0" borderId="44" xfId="124" applyFont="1" applyBorder="1" applyAlignment="1" applyProtection="1">
      <alignment vertical="center"/>
    </xf>
    <xf numFmtId="0" fontId="17" fillId="0" borderId="0" xfId="124" applyFont="1" applyFill="1" applyAlignment="1" applyProtection="1">
      <alignment vertical="center"/>
    </xf>
    <xf numFmtId="185" fontId="17" fillId="37" borderId="91" xfId="124" applyNumberFormat="1" applyFont="1" applyFill="1" applyBorder="1" applyAlignment="1" applyProtection="1">
      <alignment vertical="center"/>
      <protection locked="0"/>
    </xf>
    <xf numFmtId="0" fontId="17" fillId="0" borderId="26" xfId="0" applyFont="1" applyFill="1" applyBorder="1" applyAlignment="1">
      <alignment horizontal="center" vertical="center"/>
    </xf>
    <xf numFmtId="0" fontId="17" fillId="0" borderId="0" xfId="124" applyFont="1" applyFill="1" applyAlignment="1" applyProtection="1">
      <alignment horizontal="center" vertical="center"/>
    </xf>
    <xf numFmtId="0" fontId="95" fillId="0" borderId="0" xfId="124" applyFont="1" applyAlignment="1" applyProtection="1">
      <alignment vertical="center"/>
    </xf>
    <xf numFmtId="0" fontId="17" fillId="0" borderId="43" xfId="124" applyFont="1" applyBorder="1" applyAlignment="1" applyProtection="1">
      <alignment horizontal="center" vertical="center"/>
    </xf>
    <xf numFmtId="185" fontId="17" fillId="0" borderId="263" xfId="124" applyNumberFormat="1" applyFont="1" applyBorder="1" applyAlignment="1" applyProtection="1">
      <alignment vertical="center"/>
    </xf>
    <xf numFmtId="0" fontId="17" fillId="0" borderId="83" xfId="124" applyFont="1" applyBorder="1" applyAlignment="1" applyProtection="1">
      <alignment vertical="center"/>
    </xf>
    <xf numFmtId="0" fontId="17" fillId="0" borderId="40" xfId="124" applyFont="1" applyBorder="1" applyAlignment="1" applyProtection="1">
      <alignment horizontal="center" vertical="center"/>
    </xf>
    <xf numFmtId="185" fontId="17" fillId="0" borderId="0" xfId="124" applyNumberFormat="1" applyFont="1" applyBorder="1" applyAlignment="1" applyProtection="1">
      <alignment vertical="center"/>
    </xf>
    <xf numFmtId="0" fontId="17" fillId="0" borderId="82" xfId="124" applyFont="1" applyBorder="1" applyAlignment="1" applyProtection="1">
      <alignment vertical="center"/>
    </xf>
    <xf numFmtId="0" fontId="17" fillId="0" borderId="40" xfId="124" applyFont="1" applyFill="1" applyBorder="1" applyAlignment="1" applyProtection="1">
      <alignment horizontal="center" vertical="center"/>
    </xf>
    <xf numFmtId="0" fontId="17" fillId="0" borderId="0" xfId="124" applyFont="1" applyFill="1" applyBorder="1" applyAlignment="1" applyProtection="1">
      <alignment vertical="center"/>
    </xf>
    <xf numFmtId="185" fontId="17" fillId="0" borderId="0" xfId="124" applyNumberFormat="1" applyFont="1" applyFill="1" applyBorder="1" applyAlignment="1" applyProtection="1">
      <alignment vertical="center"/>
    </xf>
    <xf numFmtId="0" fontId="17" fillId="0" borderId="82" xfId="124" applyFont="1" applyFill="1" applyBorder="1" applyAlignment="1" applyProtection="1">
      <alignment vertical="center"/>
    </xf>
    <xf numFmtId="0" fontId="0" fillId="0" borderId="0" xfId="0" applyFill="1"/>
    <xf numFmtId="0" fontId="17" fillId="31" borderId="97" xfId="124" applyFont="1" applyFill="1" applyBorder="1" applyAlignment="1" applyProtection="1">
      <alignment vertical="center"/>
      <protection locked="0"/>
    </xf>
    <xf numFmtId="185" fontId="17" fillId="31" borderId="97" xfId="124" applyNumberFormat="1" applyFont="1" applyFill="1" applyBorder="1" applyAlignment="1" applyProtection="1">
      <alignment vertical="center"/>
      <protection locked="0"/>
    </xf>
    <xf numFmtId="0" fontId="5" fillId="0" borderId="0" xfId="0" applyFont="1"/>
    <xf numFmtId="0" fontId="17" fillId="0" borderId="0" xfId="124" applyFont="1" applyAlignment="1" applyProtection="1">
      <alignment horizontal="center" vertical="center"/>
      <protection locked="0"/>
    </xf>
    <xf numFmtId="14" fontId="17" fillId="0" borderId="0" xfId="124" applyNumberFormat="1" applyFont="1" applyAlignment="1" applyProtection="1">
      <alignment vertical="center"/>
    </xf>
    <xf numFmtId="0" fontId="17" fillId="0" borderId="26" xfId="124" applyFont="1" applyBorder="1" applyAlignment="1" applyProtection="1">
      <alignment horizontal="center" vertical="center"/>
    </xf>
    <xf numFmtId="0" fontId="17" fillId="0" borderId="26" xfId="124" applyFont="1" applyFill="1" applyBorder="1" applyAlignment="1" applyProtection="1">
      <alignment horizontal="center" vertical="center"/>
    </xf>
    <xf numFmtId="0" fontId="17" fillId="4" borderId="26" xfId="124" applyFont="1" applyFill="1" applyBorder="1" applyAlignment="1" applyProtection="1">
      <alignment horizontal="center" vertical="center"/>
    </xf>
    <xf numFmtId="0" fontId="17" fillId="4" borderId="28" xfId="124" applyFont="1" applyFill="1" applyBorder="1" applyAlignment="1" applyProtection="1">
      <alignment vertical="center"/>
    </xf>
    <xf numFmtId="0" fontId="17" fillId="4" borderId="33" xfId="124" applyFont="1" applyFill="1" applyBorder="1" applyAlignment="1" applyProtection="1">
      <alignment horizontal="center" vertical="center"/>
    </xf>
    <xf numFmtId="0" fontId="17" fillId="4" borderId="97" xfId="124" applyFont="1" applyFill="1" applyBorder="1" applyAlignment="1" applyProtection="1">
      <alignment vertical="center"/>
    </xf>
    <xf numFmtId="0" fontId="17" fillId="31" borderId="96" xfId="124" applyFont="1" applyFill="1" applyBorder="1" applyAlignment="1" applyProtection="1">
      <alignment horizontal="center" vertical="center"/>
      <protection locked="0"/>
    </xf>
    <xf numFmtId="0" fontId="44" fillId="31" borderId="268" xfId="106" applyFont="1" applyFill="1" applyBorder="1" applyAlignment="1" applyProtection="1">
      <alignment horizontal="center" vertical="center"/>
      <protection locked="0"/>
    </xf>
    <xf numFmtId="0" fontId="44" fillId="31" borderId="267" xfId="106" applyFont="1" applyFill="1" applyBorder="1" applyAlignment="1" applyProtection="1">
      <alignment horizontal="center" vertical="center"/>
      <protection locked="0"/>
    </xf>
    <xf numFmtId="0" fontId="15" fillId="0" borderId="0" xfId="124" applyFont="1" applyFill="1" applyAlignment="1" applyProtection="1">
      <alignment vertical="center"/>
    </xf>
    <xf numFmtId="185" fontId="17" fillId="0" borderId="0" xfId="124" applyNumberFormat="1" applyFont="1" applyFill="1" applyAlignment="1" applyProtection="1">
      <alignment horizontal="left" vertical="center"/>
    </xf>
    <xf numFmtId="0" fontId="15" fillId="0" borderId="40" xfId="124" applyFont="1" applyFill="1" applyBorder="1" applyAlignment="1" applyProtection="1">
      <alignment horizontal="center" vertical="center"/>
    </xf>
    <xf numFmtId="185" fontId="15" fillId="0" borderId="0" xfId="124" applyNumberFormat="1" applyFont="1" applyFill="1" applyBorder="1" applyAlignment="1" applyProtection="1">
      <alignment horizontal="left" vertical="center"/>
    </xf>
    <xf numFmtId="0" fontId="17" fillId="0" borderId="19" xfId="124" applyFont="1" applyFill="1" applyBorder="1" applyAlignment="1" applyProtection="1">
      <alignment vertical="center"/>
    </xf>
    <xf numFmtId="185" fontId="17" fillId="0" borderId="27" xfId="124" applyNumberFormat="1" applyFont="1" applyFill="1" applyBorder="1" applyAlignment="1" applyProtection="1">
      <alignment vertical="center"/>
      <protection locked="0"/>
    </xf>
    <xf numFmtId="185" fontId="17" fillId="0" borderId="26" xfId="124" applyNumberFormat="1" applyFont="1" applyFill="1" applyBorder="1" applyAlignment="1" applyProtection="1">
      <alignment horizontal="center" vertical="center"/>
      <protection locked="0"/>
    </xf>
    <xf numFmtId="0" fontId="17" fillId="37" borderId="27" xfId="124" applyFont="1" applyFill="1" applyBorder="1" applyAlignment="1" applyProtection="1">
      <alignment vertical="center"/>
    </xf>
    <xf numFmtId="0" fontId="44" fillId="37" borderId="31" xfId="106" applyFont="1" applyFill="1" applyBorder="1" applyAlignment="1" applyProtection="1">
      <alignment horizontal="center" vertical="center"/>
      <protection locked="0"/>
    </xf>
    <xf numFmtId="0" fontId="44" fillId="37" borderId="98" xfId="106" applyFont="1" applyFill="1" applyBorder="1" applyAlignment="1" applyProtection="1">
      <alignment horizontal="center" vertical="center"/>
      <protection locked="0"/>
    </xf>
    <xf numFmtId="0" fontId="44" fillId="37" borderId="33" xfId="106" applyFont="1" applyFill="1" applyBorder="1" applyAlignment="1" applyProtection="1">
      <alignment horizontal="center" vertical="center"/>
      <protection locked="0"/>
    </xf>
    <xf numFmtId="0" fontId="17" fillId="37" borderId="0" xfId="124" applyFont="1" applyFill="1" applyAlignment="1" applyProtection="1">
      <alignment horizontal="center" vertical="center"/>
    </xf>
    <xf numFmtId="0" fontId="17" fillId="37" borderId="0" xfId="124" applyFont="1" applyFill="1" applyAlignment="1" applyProtection="1">
      <alignment vertical="center"/>
    </xf>
    <xf numFmtId="0" fontId="44" fillId="37" borderId="103" xfId="106" applyFont="1" applyFill="1" applyBorder="1" applyAlignment="1" applyProtection="1">
      <alignment horizontal="center" vertical="center"/>
      <protection locked="0"/>
    </xf>
    <xf numFmtId="0" fontId="44" fillId="37" borderId="99" xfId="106" applyFont="1" applyFill="1" applyBorder="1" applyAlignment="1" applyProtection="1">
      <alignment horizontal="center" vertical="center"/>
      <protection locked="0"/>
    </xf>
    <xf numFmtId="0" fontId="44" fillId="37" borderId="37" xfId="106" applyFont="1" applyFill="1" applyBorder="1" applyAlignment="1" applyProtection="1">
      <alignment horizontal="center" vertical="center"/>
      <protection locked="0"/>
    </xf>
    <xf numFmtId="0" fontId="44" fillId="37" borderId="268" xfId="106" applyFont="1" applyFill="1" applyBorder="1" applyAlignment="1" applyProtection="1">
      <alignment horizontal="center" vertical="center"/>
      <protection locked="0"/>
    </xf>
    <xf numFmtId="0" fontId="17" fillId="0" borderId="0" xfId="124" applyFont="1" applyFill="1" applyAlignment="1" applyProtection="1">
      <alignment vertical="center"/>
      <protection locked="0"/>
    </xf>
    <xf numFmtId="188" fontId="7" fillId="0" borderId="19" xfId="1" applyNumberFormat="1" applyFont="1" applyBorder="1" applyAlignment="1">
      <alignment horizontal="right" vertical="center"/>
    </xf>
    <xf numFmtId="188" fontId="14" fillId="0" borderId="58" xfId="1" applyNumberFormat="1" applyFont="1" applyBorder="1" applyAlignment="1">
      <alignment horizontal="right" vertical="center"/>
    </xf>
    <xf numFmtId="188" fontId="7" fillId="0" borderId="42" xfId="1" applyNumberFormat="1" applyFont="1" applyBorder="1" applyAlignment="1">
      <alignment horizontal="right" vertical="center"/>
    </xf>
    <xf numFmtId="0" fontId="7" fillId="37" borderId="0" xfId="105" applyFont="1" applyFill="1" applyBorder="1" applyAlignment="1" applyProtection="1">
      <alignment horizontal="left" vertical="center"/>
      <protection locked="0"/>
    </xf>
    <xf numFmtId="0" fontId="7" fillId="37" borderId="72" xfId="105" applyFont="1" applyFill="1" applyBorder="1" applyAlignment="1" applyProtection="1">
      <alignment horizontal="left" vertical="center"/>
      <protection locked="0"/>
    </xf>
    <xf numFmtId="206" fontId="7" fillId="4" borderId="158" xfId="105" applyNumberFormat="1" applyFont="1" applyFill="1" applyBorder="1" applyAlignment="1" applyProtection="1">
      <alignment horizontal="center" vertical="center"/>
    </xf>
    <xf numFmtId="206" fontId="7" fillId="4" borderId="66" xfId="105" applyNumberFormat="1" applyFont="1" applyFill="1" applyBorder="1" applyAlignment="1" applyProtection="1">
      <alignment horizontal="center" vertical="center"/>
    </xf>
    <xf numFmtId="206" fontId="7" fillId="4" borderId="156" xfId="105" applyNumberFormat="1" applyFont="1" applyFill="1" applyBorder="1" applyAlignment="1" applyProtection="1">
      <alignment horizontal="center" vertical="center"/>
    </xf>
    <xf numFmtId="170" fontId="7" fillId="0" borderId="0" xfId="1" applyNumberFormat="1" applyFont="1" applyBorder="1" applyAlignment="1" applyProtection="1">
      <alignment vertical="center"/>
    </xf>
    <xf numFmtId="0" fontId="132" fillId="3" borderId="0" xfId="1" applyFont="1" applyFill="1" applyBorder="1" applyAlignment="1">
      <alignment vertical="center"/>
    </xf>
    <xf numFmtId="0" fontId="7" fillId="3" borderId="0" xfId="1" applyFont="1" applyFill="1" applyBorder="1" applyAlignment="1">
      <alignment vertical="center"/>
    </xf>
    <xf numFmtId="0" fontId="7" fillId="47" borderId="2" xfId="1" applyFont="1" applyFill="1" applyBorder="1" applyAlignment="1">
      <alignment vertical="center"/>
    </xf>
    <xf numFmtId="0" fontId="7" fillId="33" borderId="2" xfId="1" applyFont="1" applyFill="1" applyBorder="1" applyAlignment="1">
      <alignment vertical="center"/>
    </xf>
    <xf numFmtId="172" fontId="14" fillId="4" borderId="42" xfId="1" applyNumberFormat="1" applyFont="1" applyFill="1" applyBorder="1" applyAlignment="1">
      <alignment horizontal="right" vertical="center"/>
    </xf>
    <xf numFmtId="172" fontId="7" fillId="4" borderId="44" xfId="1" applyNumberFormat="1" applyFont="1" applyFill="1" applyBorder="1" applyAlignment="1">
      <alignment horizontal="right" vertical="center"/>
    </xf>
    <xf numFmtId="0" fontId="123" fillId="0" borderId="77" xfId="1" applyFont="1" applyBorder="1" applyAlignment="1">
      <alignment vertical="center"/>
    </xf>
    <xf numFmtId="0" fontId="7" fillId="0" borderId="40" xfId="1" applyFont="1" applyBorder="1" applyAlignment="1">
      <alignment horizontal="left" vertical="center"/>
    </xf>
    <xf numFmtId="0" fontId="7" fillId="0" borderId="70" xfId="105" applyFont="1" applyBorder="1" applyAlignment="1" applyProtection="1">
      <alignment horizontal="center" vertical="center"/>
    </xf>
    <xf numFmtId="0" fontId="7" fillId="0" borderId="83" xfId="105" applyFont="1" applyBorder="1" applyAlignment="1" applyProtection="1">
      <alignment horizontal="center" vertical="center"/>
    </xf>
    <xf numFmtId="0" fontId="7" fillId="0" borderId="67" xfId="105" applyFont="1" applyBorder="1" applyAlignment="1" applyProtection="1">
      <alignment horizontal="center"/>
    </xf>
    <xf numFmtId="0" fontId="7" fillId="0" borderId="82" xfId="105" applyFont="1" applyBorder="1" applyAlignment="1" applyProtection="1">
      <alignment horizontal="center"/>
    </xf>
    <xf numFmtId="193" fontId="7" fillId="0" borderId="81" xfId="1" applyNumberFormat="1" applyFont="1" applyFill="1" applyBorder="1" applyAlignment="1">
      <alignment vertical="center"/>
    </xf>
    <xf numFmtId="193" fontId="7" fillId="0" borderId="82" xfId="1" applyNumberFormat="1" applyFont="1" applyBorder="1" applyAlignment="1">
      <alignment vertical="center"/>
    </xf>
    <xf numFmtId="0" fontId="164" fillId="47" borderId="0" xfId="67" applyFont="1" applyFill="1" applyBorder="1" applyAlignment="1">
      <alignment horizontal="right" vertical="center"/>
    </xf>
    <xf numFmtId="195" fontId="7" fillId="0" borderId="43" xfId="1" applyNumberFormat="1" applyFont="1" applyBorder="1" applyAlignment="1">
      <alignment horizontal="right" vertical="center"/>
    </xf>
    <xf numFmtId="195" fontId="7" fillId="0" borderId="40" xfId="1" applyNumberFormat="1" applyFont="1" applyBorder="1" applyAlignment="1">
      <alignment horizontal="right" vertical="center"/>
    </xf>
    <xf numFmtId="195" fontId="7" fillId="0" borderId="77" xfId="1" applyNumberFormat="1" applyFont="1" applyBorder="1" applyAlignment="1">
      <alignment horizontal="right" vertical="center"/>
    </xf>
    <xf numFmtId="195" fontId="7" fillId="0" borderId="39" xfId="1" applyNumberFormat="1" applyFont="1" applyBorder="1" applyAlignment="1">
      <alignment horizontal="right" vertical="center"/>
    </xf>
    <xf numFmtId="0" fontId="7" fillId="2" borderId="0" xfId="1" applyFont="1" applyFill="1" applyBorder="1" applyAlignment="1">
      <alignment vertical="center"/>
    </xf>
    <xf numFmtId="0" fontId="7" fillId="0" borderId="126" xfId="1" applyFont="1" applyBorder="1" applyAlignment="1">
      <alignment vertical="center"/>
    </xf>
    <xf numFmtId="0" fontId="7" fillId="0" borderId="78" xfId="1" applyFont="1" applyBorder="1" applyAlignment="1">
      <alignment vertical="center"/>
    </xf>
    <xf numFmtId="0" fontId="7" fillId="0" borderId="64" xfId="1" applyFont="1" applyBorder="1" applyAlignment="1">
      <alignment vertical="center"/>
    </xf>
    <xf numFmtId="0" fontId="7" fillId="0" borderId="43" xfId="1" applyFont="1" applyBorder="1" applyAlignment="1">
      <alignment vertical="center"/>
    </xf>
    <xf numFmtId="0" fontId="7" fillId="0" borderId="124" xfId="1" applyFont="1" applyBorder="1" applyAlignment="1">
      <alignment vertical="center"/>
    </xf>
    <xf numFmtId="0" fontId="7" fillId="0" borderId="46" xfId="1" applyFont="1" applyBorder="1" applyAlignment="1">
      <alignment vertical="center"/>
    </xf>
    <xf numFmtId="0" fontId="7" fillId="0" borderId="59" xfId="1" applyFont="1" applyBorder="1" applyAlignment="1">
      <alignment vertical="center"/>
    </xf>
    <xf numFmtId="0" fontId="7" fillId="47" borderId="0" xfId="1" applyFont="1" applyFill="1" applyBorder="1" applyAlignment="1">
      <alignment vertical="center"/>
    </xf>
    <xf numFmtId="0" fontId="7" fillId="33" borderId="23" xfId="1" applyFont="1" applyFill="1" applyBorder="1" applyAlignment="1" applyProtection="1">
      <alignment vertical="center"/>
    </xf>
    <xf numFmtId="0" fontId="7" fillId="33" borderId="23" xfId="1" applyFont="1" applyFill="1" applyBorder="1" applyAlignment="1">
      <alignment vertical="center"/>
    </xf>
    <xf numFmtId="0" fontId="63" fillId="0" borderId="19" xfId="1" applyFont="1" applyBorder="1" applyAlignment="1">
      <alignment horizontal="center"/>
    </xf>
    <xf numFmtId="0" fontId="7" fillId="47" borderId="23" xfId="1" applyFont="1" applyFill="1" applyBorder="1" applyAlignment="1">
      <alignment vertical="center"/>
    </xf>
    <xf numFmtId="172" fontId="63" fillId="0" borderId="57" xfId="1" applyNumberFormat="1" applyFont="1" applyBorder="1" applyAlignment="1"/>
    <xf numFmtId="172" fontId="63" fillId="0" borderId="58" xfId="1" applyNumberFormat="1" applyFont="1" applyBorder="1" applyAlignment="1"/>
    <xf numFmtId="0" fontId="7" fillId="47" borderId="0" xfId="1" applyFont="1" applyFill="1" applyBorder="1" applyAlignment="1" applyProtection="1">
      <alignment vertical="center"/>
    </xf>
    <xf numFmtId="0" fontId="7" fillId="47" borderId="0" xfId="1" applyFont="1" applyFill="1" applyAlignment="1">
      <alignment vertical="center"/>
    </xf>
    <xf numFmtId="0" fontId="7" fillId="4" borderId="0" xfId="1" applyFont="1" applyFill="1" applyBorder="1" applyAlignment="1">
      <alignment vertical="center"/>
    </xf>
    <xf numFmtId="0" fontId="7" fillId="0" borderId="263" xfId="105" applyFont="1" applyBorder="1" applyAlignment="1" applyProtection="1">
      <alignment vertical="center"/>
    </xf>
    <xf numFmtId="0" fontId="7" fillId="0" borderId="263" xfId="1" applyFont="1" applyBorder="1" applyAlignment="1">
      <alignment horizontal="right" vertical="center"/>
    </xf>
    <xf numFmtId="188" fontId="7" fillId="0" borderId="42" xfId="1" applyNumberFormat="1" applyFont="1" applyBorder="1" applyAlignment="1">
      <alignment vertical="center"/>
    </xf>
    <xf numFmtId="188" fontId="7" fillId="0" borderId="263" xfId="1" applyNumberFormat="1" applyFont="1" applyBorder="1" applyAlignment="1">
      <alignment vertical="center"/>
    </xf>
    <xf numFmtId="188" fontId="14" fillId="0" borderId="39" xfId="61" applyNumberFormat="1" applyFont="1" applyBorder="1" applyAlignment="1">
      <alignment vertical="center"/>
    </xf>
    <xf numFmtId="188" fontId="14" fillId="0" borderId="44" xfId="61" applyNumberFormat="1" applyFont="1" applyBorder="1" applyAlignment="1">
      <alignment vertical="center"/>
    </xf>
    <xf numFmtId="0" fontId="5" fillId="53" borderId="39" xfId="1" applyFill="1" applyBorder="1" applyAlignment="1">
      <alignment vertical="center"/>
    </xf>
    <xf numFmtId="188" fontId="14" fillId="53" borderId="44" xfId="61" applyNumberFormat="1" applyFont="1" applyFill="1" applyBorder="1" applyAlignment="1">
      <alignment vertical="center"/>
    </xf>
    <xf numFmtId="188" fontId="14" fillId="0" borderId="2" xfId="61" applyNumberFormat="1" applyFont="1" applyBorder="1" applyAlignment="1">
      <alignment vertical="center"/>
    </xf>
    <xf numFmtId="0" fontId="7" fillId="0" borderId="39" xfId="1" applyFont="1" applyBorder="1" applyAlignment="1">
      <alignment vertical="center"/>
    </xf>
    <xf numFmtId="0" fontId="15" fillId="0" borderId="90" xfId="1" applyFont="1" applyFill="1" applyBorder="1" applyAlignment="1" applyProtection="1">
      <alignment vertical="center"/>
    </xf>
    <xf numFmtId="0" fontId="10" fillId="0" borderId="0" xfId="1" applyFont="1" applyBorder="1" applyAlignment="1" applyProtection="1">
      <alignment horizontal="right" vertical="center"/>
    </xf>
    <xf numFmtId="2" fontId="71" fillId="0" borderId="32" xfId="1" applyNumberFormat="1" applyFont="1" applyBorder="1" applyAlignment="1" applyProtection="1">
      <alignment vertical="center"/>
    </xf>
    <xf numFmtId="14" fontId="73" fillId="0" borderId="0" xfId="1" applyNumberFormat="1" applyFont="1" applyAlignment="1" applyProtection="1">
      <alignment vertical="center"/>
    </xf>
    <xf numFmtId="0" fontId="5" fillId="0" borderId="0" xfId="1" applyFont="1" applyBorder="1" applyAlignment="1">
      <alignment vertical="center" wrapText="1"/>
    </xf>
    <xf numFmtId="178" fontId="7" fillId="0" borderId="0" xfId="1" applyNumberFormat="1" applyFont="1" applyFill="1" applyBorder="1" applyAlignment="1" applyProtection="1">
      <alignment vertical="center"/>
    </xf>
    <xf numFmtId="176" fontId="7" fillId="37" borderId="0" xfId="1" applyNumberFormat="1" applyFont="1" applyFill="1" applyBorder="1" applyAlignment="1" applyProtection="1">
      <alignment vertical="center"/>
    </xf>
    <xf numFmtId="0" fontId="7" fillId="0" borderId="0" xfId="1" applyFont="1" applyBorder="1" applyAlignment="1" applyProtection="1">
      <alignment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right" vertical="center"/>
    </xf>
    <xf numFmtId="0" fontId="7" fillId="0" borderId="2" xfId="1" applyFont="1" applyBorder="1" applyAlignment="1" applyProtection="1">
      <alignment horizontal="right" vertical="center"/>
    </xf>
    <xf numFmtId="0" fontId="15" fillId="0" borderId="40" xfId="1" applyFont="1" applyBorder="1" applyAlignment="1" applyProtection="1">
      <alignment vertical="center"/>
    </xf>
    <xf numFmtId="0" fontId="17" fillId="0" borderId="0" xfId="1" applyFont="1" applyBorder="1" applyAlignment="1" applyProtection="1">
      <alignment vertical="center"/>
    </xf>
    <xf numFmtId="0" fontId="15" fillId="0" borderId="0" xfId="105" applyFont="1" applyBorder="1" applyAlignment="1" applyProtection="1">
      <alignment vertical="center"/>
    </xf>
    <xf numFmtId="0" fontId="15" fillId="0" borderId="40" xfId="105" applyFont="1" applyBorder="1" applyAlignment="1" applyProtection="1">
      <alignment vertical="center"/>
    </xf>
    <xf numFmtId="0" fontId="7" fillId="0" borderId="2" xfId="105" applyFont="1" applyBorder="1" applyAlignment="1" applyProtection="1">
      <alignment vertical="center"/>
    </xf>
    <xf numFmtId="0" fontId="7" fillId="0" borderId="39" xfId="105" applyFont="1" applyBorder="1" applyAlignment="1" applyProtection="1">
      <alignment vertical="center"/>
    </xf>
    <xf numFmtId="0" fontId="14" fillId="0" borderId="0" xfId="105" applyFont="1" applyBorder="1" applyAlignment="1" applyProtection="1">
      <alignment vertical="center"/>
    </xf>
    <xf numFmtId="0" fontId="15" fillId="0" borderId="2" xfId="105" applyFont="1" applyBorder="1" applyAlignment="1" applyProtection="1">
      <alignment vertical="center"/>
    </xf>
    <xf numFmtId="0" fontId="7" fillId="27" borderId="0" xfId="1" applyFont="1" applyFill="1" applyBorder="1" applyAlignment="1" applyProtection="1">
      <alignment vertical="center"/>
    </xf>
    <xf numFmtId="0" fontId="7" fillId="31" borderId="61" xfId="105" applyFont="1" applyFill="1" applyBorder="1" applyAlignment="1" applyProtection="1">
      <alignment vertical="center"/>
      <protection locked="0"/>
    </xf>
    <xf numFmtId="0" fontId="7" fillId="4" borderId="40" xfId="105" applyFont="1" applyFill="1" applyBorder="1" applyAlignment="1" applyProtection="1">
      <alignment vertical="center"/>
    </xf>
    <xf numFmtId="0" fontId="7" fillId="31" borderId="117" xfId="105" applyFont="1" applyFill="1" applyBorder="1" applyAlignment="1" applyProtection="1">
      <alignment vertical="center"/>
      <protection locked="0"/>
    </xf>
    <xf numFmtId="202" fontId="7" fillId="4" borderId="90" xfId="1" applyNumberFormat="1" applyFont="1" applyFill="1" applyBorder="1" applyAlignment="1" applyProtection="1">
      <alignment horizontal="center" vertical="center"/>
    </xf>
    <xf numFmtId="202" fontId="7" fillId="4" borderId="9" xfId="1" applyNumberFormat="1" applyFont="1" applyFill="1" applyBorder="1" applyAlignment="1" applyProtection="1">
      <alignment horizontal="center" vertical="center"/>
    </xf>
    <xf numFmtId="0" fontId="7" fillId="0" borderId="119" xfId="1" applyFont="1" applyBorder="1" applyAlignment="1" applyProtection="1">
      <alignment horizontal="left" vertical="center"/>
    </xf>
    <xf numFmtId="0" fontId="7" fillId="0" borderId="91" xfId="105" applyFont="1" applyBorder="1" applyAlignment="1" applyProtection="1">
      <alignment vertical="center"/>
    </xf>
    <xf numFmtId="0" fontId="7" fillId="0" borderId="2" xfId="1" applyFont="1" applyBorder="1" applyAlignment="1" applyProtection="1">
      <alignment horizontal="center" vertical="center"/>
    </xf>
    <xf numFmtId="0" fontId="7" fillId="31" borderId="62" xfId="1" applyFont="1" applyFill="1" applyBorder="1" applyAlignment="1" applyProtection="1">
      <alignment vertical="center"/>
      <protection locked="0"/>
    </xf>
    <xf numFmtId="202" fontId="7" fillId="4" borderId="0" xfId="1" applyNumberFormat="1" applyFont="1" applyFill="1" applyBorder="1" applyAlignment="1" applyProtection="1">
      <alignment horizontal="center" vertical="center"/>
    </xf>
    <xf numFmtId="180" fontId="7" fillId="31" borderId="157" xfId="105" applyNumberFormat="1" applyFont="1" applyFill="1" applyBorder="1" applyAlignment="1" applyProtection="1">
      <alignment vertical="center"/>
      <protection locked="0"/>
    </xf>
    <xf numFmtId="0" fontId="17" fillId="0" borderId="39" xfId="105" applyFont="1" applyBorder="1" applyAlignment="1" applyProtection="1">
      <alignment vertical="center"/>
    </xf>
    <xf numFmtId="170" fontId="7" fillId="0" borderId="44" xfId="1" applyNumberFormat="1" applyFont="1" applyFill="1" applyBorder="1" applyAlignment="1" applyProtection="1">
      <alignment horizontal="right" vertical="center"/>
    </xf>
    <xf numFmtId="170" fontId="7" fillId="0" borderId="2" xfId="1" applyNumberFormat="1" applyFont="1" applyFill="1" applyBorder="1" applyAlignment="1" applyProtection="1">
      <alignment horizontal="right" vertical="center"/>
    </xf>
    <xf numFmtId="188" fontId="7" fillId="0" borderId="39" xfId="1" applyNumberFormat="1" applyFont="1" applyFill="1" applyBorder="1" applyAlignment="1" applyProtection="1">
      <alignment horizontal="right" vertical="center"/>
    </xf>
    <xf numFmtId="170" fontId="7" fillId="27" borderId="2" xfId="1" applyNumberFormat="1" applyFont="1" applyFill="1" applyBorder="1" applyAlignment="1" applyProtection="1">
      <alignment horizontal="right" vertical="center"/>
    </xf>
    <xf numFmtId="188" fontId="7" fillId="27" borderId="39" xfId="1" applyNumberFormat="1" applyFont="1" applyFill="1" applyBorder="1" applyAlignment="1" applyProtection="1">
      <alignment horizontal="right" vertical="center"/>
    </xf>
    <xf numFmtId="204" fontId="7" fillId="4" borderId="44" xfId="1" applyNumberFormat="1" applyFont="1" applyFill="1" applyBorder="1" applyAlignment="1" applyProtection="1">
      <alignment horizontal="right" vertical="center"/>
    </xf>
    <xf numFmtId="204" fontId="7" fillId="4" borderId="62" xfId="1" applyNumberFormat="1" applyFont="1" applyFill="1" applyBorder="1" applyAlignment="1" applyProtection="1">
      <alignment horizontal="right" vertical="center"/>
    </xf>
    <xf numFmtId="0" fontId="7" fillId="4" borderId="39" xfId="1" applyFont="1" applyFill="1" applyBorder="1" applyAlignment="1" applyProtection="1">
      <alignment vertical="center"/>
    </xf>
    <xf numFmtId="170" fontId="7" fillId="0" borderId="89" xfId="1" applyNumberFormat="1" applyFont="1" applyFill="1" applyBorder="1" applyAlignment="1" applyProtection="1">
      <alignment horizontal="right" vertical="center"/>
    </xf>
    <xf numFmtId="170" fontId="7" fillId="0" borderId="90" xfId="1" applyNumberFormat="1" applyFont="1" applyFill="1" applyBorder="1" applyAlignment="1" applyProtection="1">
      <alignment horizontal="right" vertical="center"/>
    </xf>
    <xf numFmtId="188" fontId="7" fillId="0" borderId="91" xfId="1" applyNumberFormat="1" applyFont="1" applyFill="1" applyBorder="1" applyAlignment="1" applyProtection="1">
      <alignment horizontal="right" vertical="center"/>
    </xf>
    <xf numFmtId="0" fontId="7" fillId="27" borderId="90" xfId="1" applyFont="1" applyFill="1" applyBorder="1" applyAlignment="1" applyProtection="1">
      <alignment vertical="center"/>
    </xf>
    <xf numFmtId="170" fontId="7" fillId="27" borderId="90" xfId="1" applyNumberFormat="1" applyFont="1" applyFill="1" applyBorder="1" applyAlignment="1" applyProtection="1">
      <alignment horizontal="right" vertical="center"/>
    </xf>
    <xf numFmtId="188" fontId="7" fillId="27" borderId="91" xfId="1" applyNumberFormat="1" applyFont="1" applyFill="1" applyBorder="1" applyAlignment="1" applyProtection="1">
      <alignment horizontal="right" vertical="center"/>
    </xf>
    <xf numFmtId="0" fontId="7" fillId="0" borderId="90" xfId="1" applyFont="1" applyFill="1" applyBorder="1" applyAlignment="1" applyProtection="1">
      <alignment vertical="center"/>
    </xf>
    <xf numFmtId="170" fontId="7" fillId="4" borderId="89" xfId="1" applyNumberFormat="1" applyFont="1" applyFill="1" applyBorder="1" applyAlignment="1" applyProtection="1">
      <alignment horizontal="right" vertical="center"/>
    </xf>
    <xf numFmtId="188" fontId="7" fillId="4" borderId="156" xfId="1" applyNumberFormat="1" applyFont="1" applyFill="1" applyBorder="1" applyAlignment="1" applyProtection="1">
      <alignment horizontal="right" vertical="center"/>
    </xf>
    <xf numFmtId="0" fontId="7" fillId="4" borderId="91" xfId="105" applyFont="1" applyFill="1" applyBorder="1" applyAlignment="1" applyProtection="1">
      <alignment vertical="center"/>
    </xf>
    <xf numFmtId="170" fontId="7" fillId="0" borderId="19" xfId="1" applyNumberFormat="1" applyFont="1" applyFill="1" applyBorder="1" applyAlignment="1" applyProtection="1">
      <alignment horizontal="right" vertical="center"/>
    </xf>
    <xf numFmtId="170" fontId="7" fillId="0" borderId="0" xfId="1" applyNumberFormat="1" applyFont="1" applyFill="1" applyBorder="1" applyAlignment="1" applyProtection="1">
      <alignment horizontal="right" vertical="center"/>
    </xf>
    <xf numFmtId="188" fontId="7" fillId="0" borderId="40" xfId="1" applyNumberFormat="1" applyFont="1" applyFill="1" applyBorder="1" applyAlignment="1" applyProtection="1">
      <alignment horizontal="right" vertical="center"/>
    </xf>
    <xf numFmtId="170" fontId="7" fillId="27" borderId="0" xfId="1" applyNumberFormat="1" applyFont="1" applyFill="1" applyBorder="1" applyAlignment="1" applyProtection="1">
      <alignment horizontal="right" vertical="center"/>
    </xf>
    <xf numFmtId="188" fontId="7" fillId="27" borderId="40" xfId="1" applyNumberFormat="1" applyFont="1" applyFill="1" applyBorder="1" applyAlignment="1" applyProtection="1">
      <alignment horizontal="right" vertical="center"/>
    </xf>
    <xf numFmtId="170" fontId="7" fillId="4" borderId="104" xfId="1" applyNumberFormat="1" applyFont="1" applyFill="1" applyBorder="1" applyAlignment="1" applyProtection="1">
      <alignment horizontal="right" vertical="center"/>
    </xf>
    <xf numFmtId="188" fontId="7" fillId="4" borderId="158" xfId="1" applyNumberFormat="1" applyFont="1" applyFill="1" applyBorder="1" applyAlignment="1" applyProtection="1">
      <alignment horizontal="right" vertical="center"/>
    </xf>
    <xf numFmtId="188" fontId="14" fillId="0" borderId="0" xfId="1" applyNumberFormat="1" applyFont="1" applyFill="1" applyBorder="1" applyAlignment="1" applyProtection="1">
      <alignment horizontal="right" vertical="center"/>
    </xf>
    <xf numFmtId="188" fontId="14" fillId="0" borderId="40" xfId="1" applyNumberFormat="1" applyFont="1" applyFill="1" applyBorder="1" applyAlignment="1" applyProtection="1">
      <alignment horizontal="right" vertical="center"/>
    </xf>
    <xf numFmtId="188" fontId="14" fillId="27" borderId="0" xfId="1" applyNumberFormat="1" applyFont="1" applyFill="1" applyBorder="1" applyAlignment="1" applyProtection="1">
      <alignment horizontal="right" vertical="center"/>
    </xf>
    <xf numFmtId="188" fontId="14" fillId="27" borderId="40" xfId="1" applyNumberFormat="1" applyFont="1" applyFill="1" applyBorder="1" applyAlignment="1" applyProtection="1">
      <alignment horizontal="right" vertical="center"/>
    </xf>
    <xf numFmtId="202" fontId="7" fillId="4" borderId="156" xfId="1" applyNumberFormat="1" applyFont="1" applyFill="1" applyBorder="1" applyAlignment="1" applyProtection="1">
      <alignment horizontal="center" vertical="center"/>
    </xf>
    <xf numFmtId="0" fontId="17" fillId="0" borderId="83" xfId="105" applyFont="1" applyBorder="1" applyAlignment="1" applyProtection="1">
      <alignment horizontal="left" vertical="center"/>
    </xf>
    <xf numFmtId="170" fontId="7" fillId="4" borderId="0" xfId="1" applyNumberFormat="1" applyFont="1" applyFill="1" applyBorder="1" applyAlignment="1" applyProtection="1">
      <alignment horizontal="right" vertical="center"/>
    </xf>
    <xf numFmtId="0" fontId="32" fillId="0" borderId="0" xfId="1" applyFont="1" applyAlignment="1">
      <alignment horizontal="centerContinuous" vertical="center"/>
    </xf>
    <xf numFmtId="176" fontId="7" fillId="0" borderId="40" xfId="1" applyNumberFormat="1" applyFont="1" applyBorder="1" applyAlignment="1">
      <alignment vertical="center"/>
    </xf>
    <xf numFmtId="0" fontId="19" fillId="31" borderId="0" xfId="1" applyFont="1" applyFill="1" applyBorder="1" applyAlignment="1" applyProtection="1">
      <alignment vertical="top"/>
      <protection locked="0"/>
    </xf>
    <xf numFmtId="0" fontId="71" fillId="0" borderId="262" xfId="1" applyFont="1" applyBorder="1" applyAlignment="1" applyProtection="1">
      <alignment vertical="center"/>
    </xf>
    <xf numFmtId="0" fontId="45" fillId="33" borderId="0" xfId="1" applyFont="1" applyFill="1" applyBorder="1" applyAlignment="1" applyProtection="1">
      <alignment horizontal="right" vertical="center"/>
    </xf>
    <xf numFmtId="0" fontId="45" fillId="33" borderId="40" xfId="1" applyFont="1" applyFill="1" applyBorder="1" applyAlignment="1" applyProtection="1">
      <alignment horizontal="right" vertical="center"/>
    </xf>
    <xf numFmtId="0" fontId="67" fillId="33" borderId="0" xfId="1" applyFont="1" applyFill="1" applyBorder="1" applyAlignment="1" applyProtection="1">
      <alignment vertical="center"/>
    </xf>
    <xf numFmtId="0" fontId="71" fillId="33" borderId="0" xfId="1" applyFont="1" applyFill="1" applyBorder="1" applyAlignment="1" applyProtection="1">
      <alignment vertical="center"/>
    </xf>
    <xf numFmtId="0" fontId="14" fillId="33" borderId="40" xfId="1" applyFont="1" applyFill="1" applyBorder="1" applyAlignment="1" applyProtection="1">
      <alignment vertical="center"/>
    </xf>
    <xf numFmtId="0" fontId="73" fillId="33" borderId="0" xfId="1" applyFont="1" applyFill="1" applyBorder="1" applyAlignment="1" applyProtection="1">
      <alignment vertical="center"/>
    </xf>
    <xf numFmtId="0" fontId="7" fillId="33" borderId="0" xfId="1" applyFont="1" applyFill="1" applyBorder="1" applyAlignment="1" applyProtection="1">
      <alignment vertical="center"/>
    </xf>
    <xf numFmtId="0" fontId="44" fillId="33" borderId="0" xfId="1" applyFont="1" applyFill="1" applyBorder="1" applyAlignment="1" applyProtection="1">
      <alignment horizontal="right" vertical="center"/>
    </xf>
    <xf numFmtId="0" fontId="71" fillId="33" borderId="0" xfId="1" applyFont="1" applyFill="1" applyBorder="1" applyAlignment="1" applyProtection="1">
      <alignment horizontal="left" vertical="center"/>
    </xf>
    <xf numFmtId="0" fontId="14" fillId="33" borderId="40" xfId="1" applyFont="1" applyFill="1" applyBorder="1" applyAlignment="1" applyProtection="1">
      <alignment horizontal="right" vertical="center"/>
    </xf>
    <xf numFmtId="0" fontId="8" fillId="0" borderId="32" xfId="2" applyBorder="1" applyAlignment="1" applyProtection="1">
      <alignment horizontal="right" vertical="center"/>
    </xf>
    <xf numFmtId="176" fontId="7" fillId="0" borderId="62" xfId="1" applyNumberFormat="1" applyFont="1" applyFill="1" applyBorder="1" applyAlignment="1" applyProtection="1">
      <alignment vertical="center"/>
    </xf>
    <xf numFmtId="0" fontId="10" fillId="0" borderId="2" xfId="1" applyFont="1" applyFill="1" applyBorder="1" applyAlignment="1" applyProtection="1">
      <alignment horizontal="right" vertical="center"/>
    </xf>
    <xf numFmtId="176" fontId="7" fillId="0" borderId="71" xfId="1" applyNumberFormat="1" applyFont="1" applyFill="1" applyBorder="1" applyAlignment="1" applyProtection="1">
      <alignment vertical="center"/>
    </xf>
    <xf numFmtId="0" fontId="7" fillId="33" borderId="269" xfId="1" applyFont="1" applyFill="1" applyBorder="1" applyAlignment="1" applyProtection="1">
      <alignment vertical="center"/>
      <protection locked="0"/>
    </xf>
    <xf numFmtId="176" fontId="7" fillId="33" borderId="110" xfId="1" applyNumberFormat="1" applyFont="1" applyFill="1" applyBorder="1" applyAlignment="1" applyProtection="1">
      <alignment vertical="center"/>
    </xf>
    <xf numFmtId="176" fontId="7" fillId="33" borderId="269" xfId="1" applyNumberFormat="1" applyFont="1" applyFill="1" applyBorder="1" applyAlignment="1" applyProtection="1">
      <alignment vertical="center"/>
    </xf>
    <xf numFmtId="176" fontId="7" fillId="33" borderId="9" xfId="1" applyNumberFormat="1" applyFont="1" applyFill="1" applyBorder="1" applyAlignment="1" applyProtection="1">
      <alignment vertical="center"/>
      <protection locked="0"/>
    </xf>
    <xf numFmtId="176" fontId="7" fillId="31" borderId="0" xfId="1" applyNumberFormat="1" applyFont="1" applyFill="1" applyBorder="1" applyAlignment="1" applyProtection="1">
      <alignment vertical="center"/>
      <protection locked="0"/>
    </xf>
    <xf numFmtId="176" fontId="7" fillId="0" borderId="66" xfId="1" applyNumberFormat="1" applyFont="1" applyFill="1" applyBorder="1" applyAlignment="1" applyProtection="1">
      <alignment vertical="center"/>
    </xf>
    <xf numFmtId="176" fontId="7" fillId="0" borderId="69" xfId="1" applyNumberFormat="1" applyFont="1" applyFill="1" applyBorder="1" applyAlignment="1" applyProtection="1">
      <alignment vertical="center"/>
    </xf>
    <xf numFmtId="0" fontId="73" fillId="0" borderId="107" xfId="1" applyFont="1" applyBorder="1" applyAlignment="1" applyProtection="1">
      <alignment vertical="center"/>
    </xf>
    <xf numFmtId="0" fontId="73" fillId="0" borderId="94" xfId="1" applyFont="1" applyBorder="1" applyAlignment="1" applyProtection="1">
      <alignment vertical="center"/>
    </xf>
    <xf numFmtId="176" fontId="7" fillId="0" borderId="92" xfId="1" applyNumberFormat="1" applyFont="1" applyBorder="1" applyAlignment="1" applyProtection="1">
      <alignment vertical="center"/>
    </xf>
    <xf numFmtId="0" fontId="16" fillId="0" borderId="107" xfId="1" applyFont="1" applyBorder="1" applyAlignment="1" applyProtection="1">
      <alignment horizontal="left" vertical="center"/>
    </xf>
    <xf numFmtId="0" fontId="73" fillId="0" borderId="106" xfId="1" applyFont="1" applyBorder="1" applyAlignment="1" applyProtection="1">
      <alignment vertical="center"/>
    </xf>
    <xf numFmtId="0" fontId="6" fillId="0" borderId="179" xfId="1" applyFont="1" applyBorder="1" applyAlignment="1" applyProtection="1">
      <alignment horizontal="left" vertical="center"/>
    </xf>
    <xf numFmtId="0" fontId="6" fillId="0" borderId="0" xfId="1" applyFont="1" applyBorder="1" applyAlignment="1" applyProtection="1">
      <alignment horizontal="center" vertical="center"/>
    </xf>
    <xf numFmtId="0" fontId="5" fillId="0" borderId="0" xfId="1" applyBorder="1" applyAlignment="1" applyProtection="1">
      <alignment vertical="center"/>
    </xf>
    <xf numFmtId="0" fontId="5" fillId="0" borderId="19" xfId="1" applyBorder="1" applyAlignment="1" applyProtection="1">
      <alignment vertical="center"/>
    </xf>
    <xf numFmtId="0" fontId="10" fillId="0" borderId="24" xfId="67" applyBorder="1"/>
    <xf numFmtId="0" fontId="5" fillId="0" borderId="0" xfId="1" applyAlignment="1" applyProtection="1">
      <alignment vertical="center"/>
    </xf>
    <xf numFmtId="0" fontId="5" fillId="0" borderId="0" xfId="1" applyBorder="1" applyAlignment="1" applyProtection="1">
      <alignment vertical="center"/>
    </xf>
    <xf numFmtId="0" fontId="5" fillId="0" borderId="19" xfId="1" applyBorder="1" applyAlignment="1" applyProtection="1">
      <alignment vertical="center"/>
    </xf>
    <xf numFmtId="0" fontId="10" fillId="33" borderId="40" xfId="0" applyFont="1" applyFill="1" applyBorder="1" applyAlignment="1" applyProtection="1">
      <alignment horizontal="left" vertical="center"/>
    </xf>
    <xf numFmtId="0" fontId="5" fillId="33" borderId="43" xfId="1" applyFont="1" applyFill="1" applyBorder="1" applyAlignment="1" applyProtection="1">
      <alignment vertical="center"/>
    </xf>
    <xf numFmtId="0" fontId="15" fillId="0" borderId="40" xfId="1" applyFont="1" applyBorder="1" applyAlignment="1" applyProtection="1">
      <alignment horizontal="center" vertical="center"/>
    </xf>
    <xf numFmtId="0" fontId="5" fillId="33" borderId="40" xfId="1" applyFont="1" applyFill="1" applyBorder="1" applyAlignment="1" applyProtection="1">
      <alignment vertical="center"/>
    </xf>
    <xf numFmtId="0" fontId="5" fillId="0" borderId="0" xfId="1" applyAlignment="1" applyProtection="1">
      <alignment vertical="center"/>
    </xf>
    <xf numFmtId="0" fontId="5" fillId="33" borderId="40" xfId="0" applyFont="1" applyFill="1" applyBorder="1" applyAlignment="1" applyProtection="1">
      <alignment vertical="center"/>
    </xf>
    <xf numFmtId="0" fontId="15" fillId="0" borderId="263" xfId="1" applyFont="1" applyBorder="1" applyAlignment="1" applyProtection="1">
      <alignment horizontal="center" vertical="center"/>
    </xf>
    <xf numFmtId="17" fontId="0" fillId="0" borderId="0" xfId="0" applyNumberFormat="1"/>
    <xf numFmtId="0" fontId="17" fillId="0" borderId="40" xfId="1" applyFont="1" applyFill="1" applyBorder="1" applyAlignment="1" applyProtection="1">
      <alignment vertical="center"/>
    </xf>
    <xf numFmtId="0" fontId="17" fillId="0" borderId="19" xfId="1" applyFont="1" applyFill="1" applyBorder="1" applyAlignment="1" applyProtection="1">
      <alignment vertical="center"/>
    </xf>
    <xf numFmtId="189" fontId="7" fillId="0" borderId="0" xfId="1" applyNumberFormat="1" applyFont="1" applyBorder="1" applyAlignment="1" applyProtection="1">
      <alignment vertical="center"/>
    </xf>
    <xf numFmtId="0" fontId="5" fillId="0" borderId="0" xfId="1" applyAlignment="1" applyProtection="1">
      <alignment vertical="center"/>
    </xf>
    <xf numFmtId="4" fontId="5" fillId="0" borderId="126" xfId="1" applyNumberFormat="1" applyFont="1" applyFill="1" applyBorder="1" applyAlignment="1" applyProtection="1">
      <alignment horizontal="center" vertical="center"/>
    </xf>
    <xf numFmtId="4" fontId="5" fillId="0" borderId="40" xfId="1" applyNumberFormat="1" applyFont="1" applyFill="1" applyBorder="1" applyAlignment="1" applyProtection="1">
      <alignment horizontal="center" vertical="center"/>
    </xf>
    <xf numFmtId="3" fontId="88" fillId="0" borderId="40" xfId="1" applyNumberFormat="1" applyFont="1" applyFill="1" applyBorder="1" applyAlignment="1" applyProtection="1">
      <alignment horizontal="center" vertical="center"/>
    </xf>
    <xf numFmtId="4" fontId="5" fillId="0" borderId="43" xfId="1" applyNumberFormat="1" applyFont="1" applyFill="1" applyBorder="1" applyAlignment="1" applyProtection="1">
      <alignment horizontal="center" vertical="center"/>
    </xf>
    <xf numFmtId="0" fontId="5" fillId="0" borderId="0" xfId="1" applyAlignment="1" applyProtection="1">
      <alignment vertical="center"/>
    </xf>
    <xf numFmtId="0" fontId="5" fillId="0" borderId="0" xfId="1" applyBorder="1" applyAlignment="1" applyProtection="1">
      <alignment vertical="center"/>
    </xf>
    <xf numFmtId="0" fontId="10" fillId="0" borderId="47" xfId="1" applyFont="1" applyFill="1" applyBorder="1" applyAlignment="1" applyProtection="1">
      <alignment horizontal="right" vertical="center"/>
    </xf>
    <xf numFmtId="0" fontId="6" fillId="0" borderId="0" xfId="1" applyFont="1" applyFill="1" applyBorder="1" applyAlignment="1" applyProtection="1">
      <alignment horizontal="center" vertical="center"/>
    </xf>
    <xf numFmtId="0" fontId="5" fillId="0" borderId="0" xfId="1" applyAlignment="1" applyProtection="1">
      <alignment vertical="center"/>
    </xf>
    <xf numFmtId="0" fontId="5" fillId="0" borderId="0" xfId="1" applyBorder="1" applyAlignment="1" applyProtection="1">
      <alignment vertical="center"/>
    </xf>
    <xf numFmtId="0" fontId="176" fillId="0" borderId="0" xfId="1" applyFont="1" applyBorder="1" applyAlignment="1">
      <alignment vertical="center"/>
    </xf>
    <xf numFmtId="171" fontId="10" fillId="0" borderId="0" xfId="61" applyNumberFormat="1" applyFont="1" applyBorder="1" applyAlignment="1" applyProtection="1">
      <alignment horizontal="right" vertical="center"/>
    </xf>
    <xf numFmtId="171" fontId="7" fillId="0" borderId="0" xfId="61" applyNumberFormat="1" applyFont="1" applyBorder="1" applyAlignment="1" applyProtection="1">
      <alignment horizontal="right" vertical="center"/>
    </xf>
    <xf numFmtId="0" fontId="176" fillId="0" borderId="0" xfId="1" applyFont="1" applyAlignment="1" applyProtection="1">
      <alignment vertical="center"/>
    </xf>
    <xf numFmtId="188" fontId="10" fillId="0" borderId="2" xfId="1" applyNumberFormat="1" applyFont="1" applyBorder="1" applyAlignment="1" applyProtection="1">
      <alignment horizontal="right" vertical="center"/>
    </xf>
    <xf numFmtId="188" fontId="10" fillId="0" borderId="41" xfId="1" applyNumberFormat="1" applyFont="1" applyBorder="1" applyAlignment="1" applyProtection="1">
      <alignment horizontal="right" vertical="center"/>
    </xf>
    <xf numFmtId="0" fontId="17" fillId="0" borderId="0" xfId="1" applyFont="1" applyFill="1" applyBorder="1" applyAlignment="1">
      <alignment horizontal="center" vertical="center"/>
    </xf>
    <xf numFmtId="188" fontId="10" fillId="0" borderId="41" xfId="1" applyNumberFormat="1" applyFont="1" applyFill="1" applyBorder="1" applyAlignment="1" applyProtection="1">
      <alignment horizontal="right" vertical="center"/>
    </xf>
    <xf numFmtId="0" fontId="177" fillId="0" borderId="0" xfId="1" applyFont="1" applyAlignment="1" applyProtection="1">
      <alignment vertical="center"/>
    </xf>
    <xf numFmtId="0" fontId="178" fillId="0" borderId="0" xfId="1" applyFont="1" applyAlignment="1" applyProtection="1">
      <alignment vertical="center"/>
    </xf>
    <xf numFmtId="188" fontId="10" fillId="0" borderId="47" xfId="1" applyNumberFormat="1" applyFont="1" applyBorder="1" applyAlignment="1" applyProtection="1">
      <alignment horizontal="right" vertical="center"/>
    </xf>
    <xf numFmtId="188" fontId="10" fillId="0" borderId="66" xfId="1" applyNumberFormat="1" applyFont="1" applyBorder="1" applyAlignment="1" applyProtection="1">
      <alignment horizontal="right" vertical="center"/>
    </xf>
    <xf numFmtId="0" fontId="3" fillId="0" borderId="0" xfId="1" applyFont="1" applyAlignment="1" applyProtection="1">
      <alignment horizontal="left" vertical="center"/>
    </xf>
    <xf numFmtId="0" fontId="5" fillId="0" borderId="0" xfId="1" applyBorder="1" applyAlignment="1" applyProtection="1">
      <alignment vertical="center"/>
    </xf>
    <xf numFmtId="0" fontId="17" fillId="0" borderId="19" xfId="1" applyFont="1" applyBorder="1" applyAlignment="1" applyProtection="1">
      <alignment horizontal="left" vertical="center"/>
    </xf>
    <xf numFmtId="0" fontId="179" fillId="0" borderId="27" xfId="124" applyFont="1" applyFill="1" applyBorder="1" applyAlignment="1" applyProtection="1">
      <alignment vertical="center"/>
    </xf>
    <xf numFmtId="0" fontId="5" fillId="0" borderId="0" xfId="67" applyFont="1" applyBorder="1" applyAlignment="1">
      <alignment vertical="top" wrapText="1"/>
    </xf>
    <xf numFmtId="0" fontId="5" fillId="38" borderId="0" xfId="67" applyFont="1" applyFill="1" applyBorder="1" applyAlignment="1">
      <alignment vertical="center"/>
    </xf>
    <xf numFmtId="0" fontId="5" fillId="0" borderId="0" xfId="1" applyAlignment="1" applyProtection="1">
      <alignment vertical="center"/>
    </xf>
    <xf numFmtId="0" fontId="5" fillId="0" borderId="0" xfId="1" applyBorder="1" applyAlignment="1" applyProtection="1">
      <alignment vertical="center"/>
    </xf>
    <xf numFmtId="3" fontId="78" fillId="4" borderId="25" xfId="1" applyNumberFormat="1" applyFont="1" applyFill="1" applyBorder="1" applyAlignment="1">
      <alignment horizontal="center" vertical="center" wrapText="1"/>
    </xf>
    <xf numFmtId="3" fontId="15" fillId="4" borderId="19" xfId="1" applyNumberFormat="1" applyFont="1" applyFill="1" applyBorder="1" applyAlignment="1">
      <alignment horizontal="center" vertical="center"/>
    </xf>
    <xf numFmtId="3" fontId="115" fillId="0" borderId="29" xfId="1" applyNumberFormat="1" applyFont="1" applyFill="1" applyBorder="1" applyAlignment="1">
      <alignment horizontal="right" vertical="center"/>
    </xf>
    <xf numFmtId="3" fontId="78" fillId="0" borderId="29" xfId="1" applyNumberFormat="1" applyFont="1" applyFill="1" applyBorder="1" applyAlignment="1">
      <alignment horizontal="right" vertical="center"/>
    </xf>
    <xf numFmtId="3" fontId="78" fillId="4" borderId="34" xfId="1" applyNumberFormat="1" applyFont="1" applyFill="1" applyBorder="1" applyAlignment="1">
      <alignment horizontal="center" vertical="center" wrapText="1"/>
    </xf>
    <xf numFmtId="0" fontId="5" fillId="0" borderId="0" xfId="1" applyAlignment="1" applyProtection="1">
      <alignment vertical="center"/>
    </xf>
    <xf numFmtId="0" fontId="5" fillId="0" borderId="0" xfId="67" applyFont="1" applyAlignment="1">
      <alignment horizontal="left"/>
    </xf>
    <xf numFmtId="170" fontId="7" fillId="0" borderId="0" xfId="1" applyNumberFormat="1" applyFont="1" applyAlignment="1" applyProtection="1">
      <alignment vertical="center"/>
    </xf>
    <xf numFmtId="0" fontId="5" fillId="31" borderId="0" xfId="1" applyFont="1" applyFill="1" applyBorder="1" applyAlignment="1" applyProtection="1">
      <alignment vertical="center"/>
      <protection locked="0"/>
    </xf>
    <xf numFmtId="0" fontId="180" fillId="0" borderId="0" xfId="0" applyFont="1" applyAlignment="1">
      <alignment horizontal="center" vertical="top" wrapText="1"/>
    </xf>
    <xf numFmtId="0" fontId="89" fillId="0" borderId="0" xfId="1" applyFont="1" applyBorder="1" applyAlignment="1" applyProtection="1">
      <alignment horizontal="left" vertical="center"/>
    </xf>
    <xf numFmtId="0" fontId="166" fillId="0" borderId="0" xfId="1" applyFont="1" applyBorder="1" applyAlignment="1" applyProtection="1">
      <alignment vertical="center"/>
    </xf>
    <xf numFmtId="0" fontId="86" fillId="0" borderId="0" xfId="1" applyFont="1" applyBorder="1" applyAlignment="1" applyProtection="1">
      <alignment vertical="center"/>
    </xf>
    <xf numFmtId="188" fontId="10" fillId="4" borderId="271" xfId="1" applyNumberFormat="1" applyFont="1" applyFill="1" applyBorder="1" applyAlignment="1" applyProtection="1">
      <alignment horizontal="right" vertical="center"/>
    </xf>
    <xf numFmtId="171" fontId="10" fillId="0" borderId="272" xfId="61" applyNumberFormat="1" applyFont="1" applyBorder="1" applyAlignment="1" applyProtection="1">
      <alignment horizontal="right" vertical="center"/>
    </xf>
    <xf numFmtId="170" fontId="7" fillId="0" borderId="277" xfId="1" applyNumberFormat="1" applyFont="1" applyBorder="1" applyAlignment="1" applyProtection="1">
      <alignment vertical="center"/>
    </xf>
    <xf numFmtId="170" fontId="7" fillId="0" borderId="279" xfId="1" applyNumberFormat="1" applyFont="1" applyBorder="1" applyAlignment="1" applyProtection="1">
      <alignment vertical="center"/>
    </xf>
    <xf numFmtId="0" fontId="44" fillId="4" borderId="277" xfId="1" applyFont="1" applyFill="1" applyBorder="1" applyAlignment="1" applyProtection="1">
      <alignment horizontal="right" vertical="top"/>
    </xf>
    <xf numFmtId="0" fontId="44" fillId="4" borderId="281" xfId="1" applyFont="1" applyFill="1" applyBorder="1" applyAlignment="1" applyProtection="1">
      <alignment horizontal="right" vertical="top"/>
    </xf>
    <xf numFmtId="171" fontId="10" fillId="0" borderId="282" xfId="61" applyNumberFormat="1" applyFont="1" applyBorder="1" applyAlignment="1" applyProtection="1">
      <alignment horizontal="right" vertical="center"/>
    </xf>
    <xf numFmtId="0" fontId="5" fillId="0" borderId="283" xfId="1" applyBorder="1" applyProtection="1"/>
    <xf numFmtId="0" fontId="5" fillId="0" borderId="284" xfId="1" applyBorder="1" applyProtection="1"/>
    <xf numFmtId="188" fontId="10" fillId="4" borderId="280" xfId="1" applyNumberFormat="1" applyFont="1" applyFill="1" applyBorder="1" applyAlignment="1" applyProtection="1">
      <alignment horizontal="right" vertical="center"/>
    </xf>
    <xf numFmtId="0" fontId="7" fillId="0" borderId="280" xfId="1" applyFont="1" applyBorder="1" applyAlignment="1" applyProtection="1">
      <alignment vertical="center"/>
    </xf>
    <xf numFmtId="0" fontId="7" fillId="0" borderId="281" xfId="1" applyFont="1" applyBorder="1" applyAlignment="1" applyProtection="1">
      <alignment vertical="center"/>
    </xf>
    <xf numFmtId="0" fontId="7" fillId="4" borderId="286" xfId="1" applyFont="1" applyFill="1" applyBorder="1" applyAlignment="1" applyProtection="1">
      <alignment horizontal="center" vertical="center"/>
    </xf>
    <xf numFmtId="188" fontId="10" fillId="0" borderId="287" xfId="1" applyNumberFormat="1" applyFont="1" applyBorder="1" applyAlignment="1" applyProtection="1">
      <alignment horizontal="right" vertical="center"/>
    </xf>
    <xf numFmtId="0" fontId="7" fillId="0" borderId="285" xfId="1" applyFont="1" applyBorder="1" applyAlignment="1" applyProtection="1">
      <alignment vertical="center"/>
    </xf>
    <xf numFmtId="188" fontId="10" fillId="4" borderId="283" xfId="1" applyNumberFormat="1" applyFont="1" applyFill="1" applyBorder="1" applyAlignment="1" applyProtection="1">
      <alignment horizontal="right" vertical="center"/>
    </xf>
    <xf numFmtId="171" fontId="10" fillId="0" borderId="25" xfId="61" applyNumberFormat="1" applyFont="1" applyBorder="1" applyAlignment="1" applyProtection="1">
      <alignment horizontal="right" vertical="center"/>
    </xf>
    <xf numFmtId="189" fontId="10" fillId="4" borderId="281" xfId="1" applyNumberFormat="1" applyFont="1" applyFill="1" applyBorder="1" applyAlignment="1" applyProtection="1">
      <alignment horizontal="right" vertical="center"/>
    </xf>
    <xf numFmtId="189" fontId="10" fillId="4" borderId="271" xfId="1" applyNumberFormat="1" applyFont="1" applyFill="1" applyBorder="1" applyAlignment="1" applyProtection="1">
      <alignment horizontal="right" vertical="center"/>
    </xf>
    <xf numFmtId="190" fontId="10" fillId="4" borderId="281" xfId="1" applyNumberFormat="1" applyFont="1" applyFill="1" applyBorder="1" applyAlignment="1" applyProtection="1">
      <alignment horizontal="right" vertical="center"/>
    </xf>
    <xf numFmtId="190" fontId="10" fillId="4" borderId="271" xfId="1" applyNumberFormat="1" applyFont="1" applyFill="1" applyBorder="1" applyAlignment="1" applyProtection="1">
      <alignment horizontal="right" vertical="center"/>
    </xf>
    <xf numFmtId="170" fontId="10" fillId="4" borderId="274" xfId="1" applyNumberFormat="1" applyFont="1" applyFill="1" applyBorder="1" applyAlignment="1" applyProtection="1">
      <alignment horizontal="right" vertical="center"/>
    </xf>
    <xf numFmtId="170" fontId="10" fillId="4" borderId="271" xfId="1" applyNumberFormat="1" applyFont="1" applyFill="1" applyBorder="1" applyAlignment="1" applyProtection="1">
      <alignment horizontal="right" vertical="center"/>
    </xf>
    <xf numFmtId="170" fontId="10" fillId="4" borderId="281" xfId="1" applyNumberFormat="1" applyFont="1" applyFill="1" applyBorder="1" applyAlignment="1" applyProtection="1">
      <alignment horizontal="right" vertical="center"/>
    </xf>
    <xf numFmtId="170" fontId="10" fillId="4" borderId="288" xfId="1" applyNumberFormat="1" applyFont="1" applyFill="1" applyBorder="1" applyAlignment="1" applyProtection="1">
      <alignment horizontal="right" vertical="center"/>
    </xf>
    <xf numFmtId="189" fontId="10" fillId="4" borderId="288" xfId="1" applyNumberFormat="1" applyFont="1" applyFill="1" applyBorder="1" applyAlignment="1" applyProtection="1">
      <alignment horizontal="right" vertical="center"/>
    </xf>
    <xf numFmtId="0" fontId="10" fillId="4" borderId="288" xfId="1" applyFont="1" applyFill="1" applyBorder="1" applyAlignment="1" applyProtection="1">
      <alignment vertical="center"/>
    </xf>
    <xf numFmtId="189" fontId="10" fillId="31" borderId="289" xfId="1" applyNumberFormat="1" applyFont="1" applyFill="1" applyBorder="1" applyAlignment="1" applyProtection="1">
      <alignment horizontal="right" vertical="center"/>
      <protection locked="0"/>
    </xf>
    <xf numFmtId="0" fontId="10" fillId="0" borderId="290" xfId="1" applyFont="1" applyBorder="1" applyAlignment="1" applyProtection="1">
      <alignment vertical="center"/>
    </xf>
    <xf numFmtId="189" fontId="10" fillId="4" borderId="283" xfId="1" applyNumberFormat="1" applyFont="1" applyFill="1" applyBorder="1" applyAlignment="1" applyProtection="1">
      <alignment horizontal="right" vertical="center"/>
    </xf>
    <xf numFmtId="0" fontId="10" fillId="4" borderId="283" xfId="1" applyFont="1" applyFill="1" applyBorder="1" applyAlignment="1" applyProtection="1">
      <alignment vertical="center"/>
    </xf>
    <xf numFmtId="0" fontId="10" fillId="4" borderId="271" xfId="1" applyFont="1" applyFill="1" applyBorder="1" applyAlignment="1" applyProtection="1">
      <alignment vertical="center"/>
    </xf>
    <xf numFmtId="0" fontId="7" fillId="0" borderId="271" xfId="1" applyFont="1" applyBorder="1" applyAlignment="1" applyProtection="1">
      <alignment vertical="center"/>
    </xf>
    <xf numFmtId="0" fontId="10" fillId="4" borderId="278" xfId="1" applyFont="1" applyFill="1" applyBorder="1" applyAlignment="1" applyProtection="1">
      <alignment vertical="center"/>
    </xf>
    <xf numFmtId="0" fontId="7" fillId="0" borderId="275" xfId="1" applyFont="1" applyBorder="1" applyAlignment="1" applyProtection="1">
      <alignment vertical="center"/>
    </xf>
    <xf numFmtId="0" fontId="10" fillId="0" borderId="277" xfId="1" applyFont="1" applyBorder="1" applyAlignment="1" applyProtection="1">
      <alignment vertical="center"/>
    </xf>
    <xf numFmtId="0" fontId="7" fillId="0" borderId="291" xfId="1" applyFont="1" applyBorder="1" applyAlignment="1" applyProtection="1">
      <alignment vertical="center"/>
    </xf>
    <xf numFmtId="0" fontId="10" fillId="0" borderId="292" xfId="1" applyFont="1" applyBorder="1" applyAlignment="1" applyProtection="1">
      <alignment vertical="center"/>
    </xf>
    <xf numFmtId="0" fontId="7" fillId="4" borderId="293" xfId="1" applyFont="1" applyFill="1" applyBorder="1" applyAlignment="1" applyProtection="1">
      <alignment vertical="center"/>
    </xf>
    <xf numFmtId="0" fontId="7" fillId="4" borderId="284" xfId="1" applyFont="1" applyFill="1" applyBorder="1" applyAlignment="1" applyProtection="1">
      <alignment vertical="center"/>
    </xf>
    <xf numFmtId="0" fontId="10" fillId="4" borderId="279" xfId="1" applyFont="1" applyFill="1" applyBorder="1" applyAlignment="1" applyProtection="1">
      <alignment vertical="center"/>
    </xf>
    <xf numFmtId="0" fontId="10" fillId="4" borderId="284" xfId="1" applyFont="1" applyFill="1" applyBorder="1" applyAlignment="1" applyProtection="1">
      <alignment vertical="center"/>
    </xf>
    <xf numFmtId="0" fontId="10" fillId="0" borderId="275" xfId="1" applyFont="1" applyBorder="1" applyAlignment="1" applyProtection="1">
      <alignment vertical="center"/>
    </xf>
    <xf numFmtId="0" fontId="10" fillId="31" borderId="283" xfId="1" applyFont="1" applyFill="1" applyBorder="1" applyAlignment="1" applyProtection="1">
      <alignment vertical="center"/>
      <protection locked="0"/>
    </xf>
    <xf numFmtId="0" fontId="16" fillId="0" borderId="294" xfId="1" applyFont="1" applyBorder="1" applyAlignment="1" applyProtection="1">
      <alignment vertical="center"/>
    </xf>
    <xf numFmtId="0" fontId="10" fillId="31" borderId="295" xfId="1" applyFont="1" applyFill="1" applyBorder="1" applyAlignment="1" applyProtection="1">
      <alignment vertical="center"/>
      <protection locked="0"/>
    </xf>
    <xf numFmtId="171" fontId="10" fillId="0" borderId="272" xfId="1" applyNumberFormat="1" applyFont="1" applyBorder="1" applyAlignment="1" applyProtection="1">
      <alignment horizontal="right" vertical="center"/>
    </xf>
    <xf numFmtId="177" fontId="6" fillId="4" borderId="296" xfId="1" applyNumberFormat="1" applyFont="1" applyFill="1" applyBorder="1" applyAlignment="1" applyProtection="1">
      <alignment horizontal="center" vertical="center"/>
    </xf>
    <xf numFmtId="0" fontId="7" fillId="0" borderId="272" xfId="1" applyFont="1" applyBorder="1" applyAlignment="1" applyProtection="1">
      <alignment vertical="center"/>
    </xf>
    <xf numFmtId="171" fontId="10" fillId="4" borderId="297" xfId="61" applyNumberFormat="1" applyFont="1" applyFill="1" applyBorder="1" applyAlignment="1" applyProtection="1">
      <alignment vertical="center"/>
    </xf>
    <xf numFmtId="171" fontId="10" fillId="4" borderId="273" xfId="61" applyNumberFormat="1" applyFont="1" applyFill="1" applyBorder="1" applyAlignment="1" applyProtection="1">
      <alignment horizontal="right" vertical="center"/>
    </xf>
    <xf numFmtId="171" fontId="10" fillId="4" borderId="298" xfId="61" applyNumberFormat="1" applyFont="1" applyFill="1" applyBorder="1" applyAlignment="1" applyProtection="1">
      <alignment horizontal="right" vertical="center"/>
    </xf>
    <xf numFmtId="0" fontId="21" fillId="0" borderId="293" xfId="1" applyFont="1" applyBorder="1" applyAlignment="1" applyProtection="1">
      <alignment vertical="center"/>
    </xf>
    <xf numFmtId="0" fontId="5" fillId="0" borderId="276" xfId="1" applyBorder="1" applyAlignment="1" applyProtection="1">
      <alignment vertical="center"/>
    </xf>
    <xf numFmtId="0" fontId="181" fillId="0" borderId="0" xfId="1" applyFont="1" applyFill="1" applyBorder="1" applyAlignment="1" applyProtection="1">
      <alignment horizontal="center"/>
    </xf>
    <xf numFmtId="0" fontId="182" fillId="0" borderId="0" xfId="0" applyFont="1"/>
    <xf numFmtId="0" fontId="5" fillId="0" borderId="0" xfId="1" applyFont="1" applyBorder="1" applyAlignment="1">
      <alignment vertical="center" wrapText="1"/>
    </xf>
    <xf numFmtId="176" fontId="7" fillId="0" borderId="269" xfId="1" applyNumberFormat="1" applyFont="1" applyFill="1" applyBorder="1" applyAlignment="1" applyProtection="1">
      <alignment vertical="center"/>
    </xf>
    <xf numFmtId="176" fontId="7" fillId="0" borderId="269" xfId="1" applyNumberFormat="1" applyFont="1" applyFill="1" applyBorder="1" applyAlignment="1" applyProtection="1">
      <alignment horizontal="right" vertical="center"/>
    </xf>
    <xf numFmtId="176" fontId="7" fillId="0" borderId="269" xfId="1" applyNumberFormat="1" applyFont="1" applyFill="1" applyBorder="1" applyAlignment="1" applyProtection="1">
      <alignment horizontal="left" vertical="center"/>
    </xf>
    <xf numFmtId="176" fontId="7" fillId="0" borderId="110" xfId="1" applyNumberFormat="1" applyFont="1" applyFill="1" applyBorder="1" applyAlignment="1" applyProtection="1">
      <alignment horizontal="right" vertical="center"/>
    </xf>
    <xf numFmtId="0" fontId="6" fillId="0" borderId="0" xfId="1" applyFont="1" applyBorder="1" applyAlignment="1" applyProtection="1">
      <alignment horizontal="center" vertical="center"/>
    </xf>
    <xf numFmtId="0" fontId="5" fillId="0" borderId="0" xfId="1" applyFont="1" applyBorder="1" applyAlignment="1">
      <alignment vertical="center" wrapText="1"/>
    </xf>
    <xf numFmtId="0" fontId="5" fillId="0" borderId="0" xfId="1" applyAlignment="1" applyProtection="1">
      <alignment vertical="center"/>
    </xf>
    <xf numFmtId="176" fontId="7" fillId="0" borderId="31" xfId="164" applyNumberFormat="1" applyFont="1" applyFill="1" applyBorder="1" applyAlignment="1" applyProtection="1">
      <alignment horizontal="right" vertical="center"/>
    </xf>
    <xf numFmtId="176" fontId="7" fillId="0" borderId="110" xfId="164" applyNumberFormat="1" applyFont="1" applyFill="1" applyBorder="1" applyAlignment="1" applyProtection="1">
      <alignment horizontal="right" vertical="center"/>
    </xf>
    <xf numFmtId="176" fontId="7" fillId="0" borderId="109" xfId="164" applyNumberFormat="1" applyFont="1" applyFill="1" applyBorder="1" applyAlignment="1" applyProtection="1">
      <alignment horizontal="right" vertical="center"/>
    </xf>
    <xf numFmtId="0" fontId="183" fillId="0" borderId="0" xfId="1" applyFont="1" applyBorder="1" applyAlignment="1">
      <alignment vertical="center"/>
    </xf>
    <xf numFmtId="0" fontId="144" fillId="0" borderId="0" xfId="1" applyFont="1" applyBorder="1" applyAlignment="1">
      <alignment horizontal="right" vertical="center"/>
    </xf>
    <xf numFmtId="176" fontId="183" fillId="0" borderId="72" xfId="1" applyNumberFormat="1" applyFont="1" applyFill="1" applyBorder="1" applyAlignment="1" applyProtection="1">
      <alignment vertical="center"/>
    </xf>
    <xf numFmtId="176" fontId="183" fillId="0" borderId="0" xfId="1" applyNumberFormat="1" applyFont="1" applyFill="1" applyBorder="1" applyAlignment="1" applyProtection="1">
      <alignment vertical="center"/>
    </xf>
    <xf numFmtId="0" fontId="7" fillId="33" borderId="0" xfId="164" applyFont="1" applyFill="1" applyBorder="1" applyAlignment="1" applyProtection="1">
      <alignment vertical="center"/>
    </xf>
    <xf numFmtId="0" fontId="5" fillId="33" borderId="0" xfId="164" applyFont="1" applyFill="1" applyBorder="1" applyAlignment="1" applyProtection="1">
      <alignment vertical="center"/>
    </xf>
    <xf numFmtId="0" fontId="5" fillId="33" borderId="40" xfId="164" applyFont="1" applyFill="1" applyBorder="1" applyAlignment="1" applyProtection="1">
      <alignment horizontal="left"/>
    </xf>
    <xf numFmtId="0" fontId="10" fillId="0" borderId="0" xfId="67"/>
    <xf numFmtId="0" fontId="5" fillId="0" borderId="0" xfId="1" applyAlignment="1" applyProtection="1">
      <alignment vertical="center"/>
    </xf>
    <xf numFmtId="0" fontId="44" fillId="0" borderId="77" xfId="124" applyFont="1" applyBorder="1" applyAlignment="1" applyProtection="1">
      <alignment vertical="center"/>
    </xf>
    <xf numFmtId="0" fontId="17" fillId="0" borderId="57" xfId="124" applyFont="1" applyBorder="1" applyAlignment="1" applyProtection="1">
      <alignment vertical="center"/>
    </xf>
    <xf numFmtId="0" fontId="5" fillId="0" borderId="57" xfId="1" applyBorder="1"/>
    <xf numFmtId="0" fontId="5" fillId="0" borderId="58" xfId="1" applyBorder="1"/>
    <xf numFmtId="0" fontId="5" fillId="0" borderId="263" xfId="1" applyBorder="1"/>
    <xf numFmtId="177" fontId="21" fillId="38" borderId="40" xfId="164" applyNumberFormat="1" applyFont="1" applyFill="1" applyBorder="1" applyAlignment="1">
      <alignment horizontal="center"/>
    </xf>
    <xf numFmtId="2" fontId="21" fillId="0" borderId="0" xfId="164" applyNumberFormat="1" applyFont="1" applyBorder="1" applyAlignment="1">
      <alignment horizontal="center"/>
    </xf>
    <xf numFmtId="177" fontId="21" fillId="38" borderId="91" xfId="164" applyNumberFormat="1" applyFont="1" applyFill="1" applyBorder="1" applyAlignment="1">
      <alignment horizontal="center"/>
    </xf>
    <xf numFmtId="177" fontId="21" fillId="38" borderId="46" xfId="164" applyNumberFormat="1" applyFont="1" applyFill="1" applyBorder="1" applyAlignment="1">
      <alignment horizontal="center"/>
    </xf>
    <xf numFmtId="2" fontId="21" fillId="0" borderId="47" xfId="164" applyNumberFormat="1" applyFont="1" applyBorder="1" applyAlignment="1">
      <alignment horizontal="center"/>
    </xf>
    <xf numFmtId="177" fontId="21" fillId="38" borderId="99" xfId="164" applyNumberFormat="1" applyFont="1" applyFill="1" applyBorder="1" applyAlignment="1">
      <alignment horizontal="center"/>
    </xf>
    <xf numFmtId="2" fontId="21" fillId="0" borderId="19" xfId="164" applyNumberFormat="1" applyFont="1" applyBorder="1" applyAlignment="1">
      <alignment horizontal="center"/>
    </xf>
    <xf numFmtId="2" fontId="21" fillId="0" borderId="270" xfId="164" applyNumberFormat="1" applyFont="1" applyBorder="1" applyAlignment="1">
      <alignment horizontal="center"/>
    </xf>
    <xf numFmtId="2" fontId="21" fillId="0" borderId="42" xfId="164" applyNumberFormat="1" applyFont="1" applyBorder="1" applyAlignment="1">
      <alignment horizontal="center"/>
    </xf>
    <xf numFmtId="2" fontId="21" fillId="0" borderId="105" xfId="164" applyNumberFormat="1" applyFont="1" applyBorder="1" applyAlignment="1">
      <alignment horizontal="center"/>
    </xf>
    <xf numFmtId="0" fontId="5" fillId="0" borderId="0" xfId="1" applyFont="1" applyFill="1" applyBorder="1" applyAlignment="1" applyProtection="1">
      <alignment vertical="center"/>
    </xf>
    <xf numFmtId="0" fontId="5" fillId="0" borderId="0" xfId="181" applyFill="1" applyBorder="1" applyAlignment="1" applyProtection="1">
      <alignment vertical="center"/>
    </xf>
    <xf numFmtId="0" fontId="5" fillId="0" borderId="0" xfId="181" applyFill="1" applyBorder="1" applyAlignment="1" applyProtection="1">
      <alignment horizontal="center" vertical="center"/>
    </xf>
    <xf numFmtId="0" fontId="5" fillId="0" borderId="2" xfId="181" applyFont="1" applyFill="1" applyBorder="1" applyAlignment="1" applyProtection="1">
      <alignment horizontal="left" vertical="center"/>
    </xf>
    <xf numFmtId="0" fontId="5" fillId="0" borderId="2" xfId="181" applyFont="1" applyFill="1" applyBorder="1" applyAlignment="1" applyProtection="1">
      <alignment horizontal="center" vertical="center"/>
    </xf>
    <xf numFmtId="0" fontId="5" fillId="0" borderId="43" xfId="164" applyFont="1" applyBorder="1" applyAlignment="1" applyProtection="1">
      <alignment vertical="center"/>
    </xf>
    <xf numFmtId="0" fontId="5" fillId="0" borderId="263" xfId="164" applyBorder="1" applyAlignment="1" applyProtection="1">
      <alignment vertical="center"/>
    </xf>
    <xf numFmtId="0" fontId="5" fillId="0" borderId="42" xfId="164" applyBorder="1" applyAlignment="1" applyProtection="1">
      <alignment vertical="center"/>
    </xf>
    <xf numFmtId="2" fontId="5" fillId="0" borderId="36" xfId="164" applyNumberFormat="1" applyBorder="1" applyAlignment="1" applyProtection="1">
      <alignment vertical="center" wrapText="1"/>
    </xf>
    <xf numFmtId="0" fontId="5" fillId="0" borderId="40" xfId="164" applyFont="1" applyBorder="1" applyAlignment="1" applyProtection="1">
      <alignment vertical="center"/>
    </xf>
    <xf numFmtId="0" fontId="5" fillId="0" borderId="0" xfId="164" applyBorder="1" applyAlignment="1" applyProtection="1">
      <alignment vertical="center"/>
    </xf>
    <xf numFmtId="0" fontId="5" fillId="0" borderId="19" xfId="164" applyBorder="1" applyAlignment="1" applyProtection="1">
      <alignment vertical="center"/>
    </xf>
    <xf numFmtId="2" fontId="5" fillId="0" borderId="25" xfId="164" applyNumberFormat="1" applyBorder="1" applyAlignment="1" applyProtection="1">
      <alignment vertical="center" wrapText="1"/>
    </xf>
    <xf numFmtId="0" fontId="5" fillId="0" borderId="39" xfId="164" applyFont="1" applyBorder="1" applyAlignment="1" applyProtection="1">
      <alignment vertical="center"/>
    </xf>
    <xf numFmtId="0" fontId="5" fillId="0" borderId="2" xfId="164" applyBorder="1" applyAlignment="1" applyProtection="1">
      <alignment vertical="center"/>
    </xf>
    <xf numFmtId="0" fontId="5" fillId="0" borderId="44" xfId="164" applyBorder="1" applyAlignment="1" applyProtection="1">
      <alignment vertical="center"/>
    </xf>
    <xf numFmtId="2" fontId="5" fillId="0" borderId="34" xfId="164" applyNumberFormat="1" applyBorder="1" applyAlignment="1" applyProtection="1">
      <alignment vertical="center" wrapText="1"/>
    </xf>
    <xf numFmtId="0" fontId="15" fillId="59" borderId="43" xfId="164" applyFont="1" applyFill="1" applyBorder="1" applyAlignment="1" applyProtection="1">
      <alignment vertical="center"/>
    </xf>
    <xf numFmtId="0" fontId="5" fillId="59" borderId="263" xfId="164" applyFill="1" applyBorder="1" applyAlignment="1" applyProtection="1">
      <alignment vertical="center"/>
    </xf>
    <xf numFmtId="0" fontId="5" fillId="59" borderId="42" xfId="164" applyFill="1" applyBorder="1" applyAlignment="1" applyProtection="1">
      <alignment vertical="center"/>
    </xf>
    <xf numFmtId="0" fontId="56" fillId="4" borderId="43" xfId="164" applyFont="1" applyFill="1" applyBorder="1" applyAlignment="1" applyProtection="1">
      <alignment horizontal="left" vertical="center"/>
    </xf>
    <xf numFmtId="0" fontId="16" fillId="4" borderId="263" xfId="164" applyFont="1" applyFill="1" applyBorder="1" applyAlignment="1" applyProtection="1">
      <alignment vertical="center"/>
    </xf>
    <xf numFmtId="0" fontId="56" fillId="4" borderId="263" xfId="164" applyFont="1" applyFill="1" applyBorder="1" applyAlignment="1" applyProtection="1">
      <alignment horizontal="left" vertical="center"/>
    </xf>
    <xf numFmtId="0" fontId="16" fillId="4" borderId="39" xfId="164" applyFont="1" applyFill="1" applyBorder="1" applyAlignment="1" applyProtection="1">
      <alignment horizontal="right" vertical="center"/>
    </xf>
    <xf numFmtId="0" fontId="16" fillId="4" borderId="2" xfId="164" applyFont="1" applyFill="1" applyBorder="1" applyAlignment="1" applyProtection="1">
      <alignment vertical="center"/>
    </xf>
    <xf numFmtId="0" fontId="16" fillId="4" borderId="2" xfId="164" applyFont="1" applyFill="1" applyBorder="1" applyAlignment="1" applyProtection="1">
      <alignment horizontal="right" vertical="center"/>
    </xf>
    <xf numFmtId="0" fontId="16" fillId="4" borderId="44" xfId="164" applyFont="1" applyFill="1" applyBorder="1" applyAlignment="1" applyProtection="1">
      <alignment vertical="center"/>
    </xf>
    <xf numFmtId="0" fontId="16" fillId="0" borderId="2" xfId="164" applyFont="1" applyBorder="1" applyAlignment="1" applyProtection="1">
      <alignment vertical="center"/>
    </xf>
    <xf numFmtId="0" fontId="16" fillId="0" borderId="263" xfId="164" applyFont="1" applyBorder="1" applyAlignment="1" applyProtection="1">
      <alignment vertical="center"/>
    </xf>
    <xf numFmtId="0" fontId="16" fillId="0" borderId="0" xfId="164" applyFont="1" applyBorder="1" applyAlignment="1" applyProtection="1">
      <alignment vertical="center"/>
    </xf>
    <xf numFmtId="2" fontId="16" fillId="4" borderId="44" xfId="164" applyNumberFormat="1" applyFont="1" applyFill="1" applyBorder="1" applyAlignment="1" applyProtection="1">
      <alignment horizontal="center" vertical="center"/>
    </xf>
    <xf numFmtId="2" fontId="16" fillId="4" borderId="58" xfId="164" applyNumberFormat="1" applyFont="1" applyFill="1" applyBorder="1" applyAlignment="1" applyProtection="1">
      <alignment horizontal="center" vertical="center"/>
    </xf>
    <xf numFmtId="2" fontId="16" fillId="0" borderId="57" xfId="164" applyNumberFormat="1" applyFont="1" applyBorder="1" applyAlignment="1" applyProtection="1">
      <alignment horizontal="center" vertical="center"/>
    </xf>
    <xf numFmtId="0" fontId="5" fillId="0" borderId="0" xfId="1" applyFont="1" applyFill="1" applyBorder="1" applyAlignment="1" applyProtection="1">
      <alignment horizontal="right" vertical="center"/>
    </xf>
    <xf numFmtId="184" fontId="7" fillId="4" borderId="66" xfId="1" applyNumberFormat="1" applyFont="1" applyFill="1" applyBorder="1" applyAlignment="1" applyProtection="1">
      <alignment horizontal="center" vertical="center"/>
    </xf>
    <xf numFmtId="0" fontId="113" fillId="0" borderId="40" xfId="1" applyFont="1" applyBorder="1" applyAlignment="1" applyProtection="1">
      <alignment horizontal="center" vertical="center"/>
    </xf>
    <xf numFmtId="0" fontId="113" fillId="0" borderId="72" xfId="1" applyFont="1" applyBorder="1" applyAlignment="1" applyProtection="1">
      <alignment horizontal="center" vertical="center"/>
    </xf>
    <xf numFmtId="0" fontId="113" fillId="0" borderId="0" xfId="1" applyFont="1" applyBorder="1" applyAlignment="1" applyProtection="1">
      <alignment horizontal="center" vertical="center"/>
    </xf>
    <xf numFmtId="2" fontId="7" fillId="0" borderId="40" xfId="1" applyNumberFormat="1" applyFont="1" applyBorder="1" applyAlignment="1" applyProtection="1">
      <alignment horizontal="right" vertical="center"/>
    </xf>
    <xf numFmtId="2" fontId="7" fillId="0" borderId="72" xfId="1" applyNumberFormat="1" applyFont="1" applyFill="1" applyBorder="1" applyAlignment="1" applyProtection="1">
      <alignment horizontal="left" vertical="center"/>
    </xf>
    <xf numFmtId="0" fontId="7" fillId="0" borderId="61" xfId="1" applyFont="1" applyBorder="1" applyAlignment="1" applyProtection="1">
      <alignment vertical="center"/>
    </xf>
    <xf numFmtId="9" fontId="7" fillId="0" borderId="62" xfId="1" applyNumberFormat="1" applyFont="1" applyBorder="1" applyAlignment="1" applyProtection="1">
      <alignment horizontal="center" vertical="center"/>
    </xf>
    <xf numFmtId="9" fontId="7" fillId="0" borderId="61" xfId="1" applyNumberFormat="1" applyFont="1" applyBorder="1" applyAlignment="1" applyProtection="1">
      <alignment horizontal="center" vertical="center"/>
    </xf>
    <xf numFmtId="181" fontId="7" fillId="0" borderId="0" xfId="1" applyNumberFormat="1" applyFont="1" applyBorder="1" applyAlignment="1" applyProtection="1">
      <alignment vertical="center"/>
    </xf>
    <xf numFmtId="0" fontId="7" fillId="31" borderId="40" xfId="1" applyFont="1" applyFill="1" applyBorder="1" applyAlignment="1" applyProtection="1">
      <alignment horizontal="left" vertical="center"/>
      <protection locked="0"/>
    </xf>
    <xf numFmtId="182" fontId="7" fillId="4" borderId="0" xfId="1" applyNumberFormat="1" applyFont="1" applyFill="1" applyBorder="1" applyAlignment="1" applyProtection="1">
      <alignment horizontal="center" vertical="center"/>
    </xf>
    <xf numFmtId="2" fontId="7" fillId="0" borderId="65" xfId="1" applyNumberFormat="1" applyFont="1" applyBorder="1" applyAlignment="1">
      <alignment horizontal="center"/>
    </xf>
    <xf numFmtId="182" fontId="7" fillId="4" borderId="69" xfId="1" applyNumberFormat="1" applyFont="1" applyFill="1" applyBorder="1" applyAlignment="1" applyProtection="1">
      <alignment vertical="center"/>
    </xf>
    <xf numFmtId="182" fontId="7" fillId="4" borderId="66" xfId="1" applyNumberFormat="1" applyFont="1" applyFill="1" applyBorder="1" applyAlignment="1" applyProtection="1">
      <alignment vertical="center"/>
    </xf>
    <xf numFmtId="182" fontId="7" fillId="4" borderId="72" xfId="1" applyNumberFormat="1" applyFont="1" applyFill="1" applyBorder="1" applyAlignment="1" applyProtection="1">
      <alignment horizontal="center" vertical="center"/>
    </xf>
    <xf numFmtId="2" fontId="7" fillId="0" borderId="0" xfId="1" applyNumberFormat="1" applyFont="1" applyBorder="1" applyAlignment="1" applyProtection="1">
      <alignment horizontal="center" vertical="center"/>
    </xf>
    <xf numFmtId="182" fontId="7" fillId="4" borderId="65" xfId="1" applyNumberFormat="1" applyFont="1" applyFill="1" applyBorder="1" applyAlignment="1" applyProtection="1">
      <alignment vertical="center"/>
    </xf>
    <xf numFmtId="0" fontId="14" fillId="31" borderId="40" xfId="1" applyFont="1" applyFill="1" applyBorder="1" applyAlignment="1" applyProtection="1">
      <alignment horizontal="left" vertical="center"/>
      <protection locked="0"/>
    </xf>
    <xf numFmtId="181" fontId="7" fillId="0" borderId="19" xfId="1" applyNumberFormat="1" applyFont="1" applyBorder="1" applyAlignment="1" applyProtection="1">
      <alignment vertical="center"/>
    </xf>
    <xf numFmtId="0" fontId="72" fillId="0" borderId="0" xfId="1" applyFont="1" applyAlignment="1" applyProtection="1">
      <alignment vertical="center"/>
    </xf>
    <xf numFmtId="0" fontId="14" fillId="0" borderId="0" xfId="1" applyFont="1" applyAlignment="1" applyProtection="1">
      <alignment horizontal="right" vertical="center"/>
    </xf>
    <xf numFmtId="0" fontId="14" fillId="0" borderId="40" xfId="1" applyFont="1" applyBorder="1" applyAlignment="1" applyProtection="1">
      <alignment horizontal="left" vertical="center"/>
    </xf>
    <xf numFmtId="0" fontId="113" fillId="0" borderId="82" xfId="0" applyFont="1" applyBorder="1" applyAlignment="1" applyProtection="1">
      <alignment horizontal="center" vertical="center"/>
    </xf>
    <xf numFmtId="0" fontId="7" fillId="0" borderId="25" xfId="1" applyFont="1" applyBorder="1" applyAlignment="1" applyProtection="1">
      <alignment horizontal="center" vertical="center"/>
    </xf>
    <xf numFmtId="0" fontId="113" fillId="0" borderId="65" xfId="1" applyFont="1" applyBorder="1" applyAlignment="1" applyProtection="1">
      <alignment horizontal="center" vertical="center"/>
    </xf>
    <xf numFmtId="0" fontId="113" fillId="0" borderId="67" xfId="1" applyFont="1" applyBorder="1" applyAlignment="1" applyProtection="1">
      <alignment horizontal="right" vertical="center"/>
    </xf>
    <xf numFmtId="181" fontId="14" fillId="0" borderId="66" xfId="1" applyNumberFormat="1" applyFont="1" applyBorder="1" applyAlignment="1" applyProtection="1">
      <alignment vertical="center"/>
    </xf>
    <xf numFmtId="0" fontId="14" fillId="0" borderId="82" xfId="1" applyFont="1" applyBorder="1" applyAlignment="1" applyProtection="1">
      <alignment vertical="center"/>
    </xf>
    <xf numFmtId="4" fontId="7" fillId="0" borderId="40" xfId="1" applyNumberFormat="1" applyFont="1" applyFill="1" applyBorder="1" applyAlignment="1" applyProtection="1">
      <alignment vertical="center"/>
    </xf>
    <xf numFmtId="0" fontId="14" fillId="0" borderId="19" xfId="1" applyFont="1" applyFill="1" applyBorder="1" applyAlignment="1" applyProtection="1">
      <alignment vertical="center"/>
    </xf>
    <xf numFmtId="181" fontId="14" fillId="0" borderId="40" xfId="1" applyNumberFormat="1" applyFont="1" applyFill="1" applyBorder="1" applyAlignment="1" applyProtection="1">
      <alignment vertical="center"/>
      <protection locked="0"/>
    </xf>
    <xf numFmtId="0" fontId="113" fillId="0" borderId="80" xfId="0" applyFont="1" applyBorder="1" applyAlignment="1" applyProtection="1">
      <alignment horizontal="center" vertical="center"/>
    </xf>
    <xf numFmtId="0" fontId="113" fillId="0" borderId="39" xfId="1" applyFont="1" applyBorder="1" applyAlignment="1" applyProtection="1">
      <alignment horizontal="center" vertical="center"/>
    </xf>
    <xf numFmtId="0" fontId="113" fillId="0" borderId="61" xfId="1" applyFont="1" applyBorder="1" applyAlignment="1" applyProtection="1">
      <alignment horizontal="center" vertical="center"/>
    </xf>
    <xf numFmtId="9" fontId="7" fillId="0" borderId="80" xfId="1" applyNumberFormat="1" applyFont="1" applyBorder="1" applyAlignment="1" applyProtection="1">
      <alignment horizontal="center" vertical="center"/>
    </xf>
    <xf numFmtId="0" fontId="113" fillId="0" borderId="39" xfId="1" applyFont="1" applyFill="1" applyBorder="1" applyAlignment="1" applyProtection="1">
      <alignment horizontal="center" vertical="center"/>
    </xf>
    <xf numFmtId="0" fontId="113" fillId="0" borderId="44" xfId="1" applyFont="1" applyFill="1" applyBorder="1" applyAlignment="1" applyProtection="1">
      <alignment horizontal="center" vertical="center"/>
    </xf>
    <xf numFmtId="0" fontId="160" fillId="0" borderId="61" xfId="1" applyFont="1" applyBorder="1" applyAlignment="1" applyProtection="1">
      <alignment horizontal="center" vertical="center"/>
    </xf>
    <xf numFmtId="0" fontId="7" fillId="0" borderId="32" xfId="67" applyFont="1" applyBorder="1"/>
    <xf numFmtId="180" fontId="7" fillId="31" borderId="65" xfId="1" applyNumberFormat="1" applyFont="1" applyFill="1" applyBorder="1" applyAlignment="1" applyProtection="1">
      <alignment vertical="center"/>
      <protection locked="0"/>
    </xf>
    <xf numFmtId="179" fontId="7" fillId="31" borderId="40" xfId="1" applyNumberFormat="1" applyFont="1" applyFill="1" applyBorder="1" applyAlignment="1" applyProtection="1">
      <alignment horizontal="center" vertical="center"/>
      <protection locked="0"/>
    </xf>
    <xf numFmtId="0" fontId="7" fillId="0" borderId="65" xfId="1" applyFont="1" applyBorder="1" applyAlignment="1">
      <alignment horizontal="center" vertical="center"/>
    </xf>
    <xf numFmtId="2" fontId="7" fillId="31" borderId="67" xfId="1" applyNumberFormat="1" applyFont="1" applyFill="1" applyBorder="1" applyAlignment="1" applyProtection="1">
      <alignment horizontal="center" vertical="center"/>
      <protection locked="0"/>
    </xf>
    <xf numFmtId="4" fontId="7" fillId="31" borderId="66" xfId="1" applyNumberFormat="1" applyFont="1" applyFill="1" applyBorder="1" applyAlignment="1" applyProtection="1">
      <alignment horizontal="center" vertical="center"/>
      <protection locked="0"/>
    </xf>
    <xf numFmtId="4" fontId="7" fillId="31" borderId="82" xfId="1" applyNumberFormat="1" applyFont="1" applyFill="1" applyBorder="1" applyAlignment="1" applyProtection="1">
      <alignment horizontal="center" vertical="center"/>
      <protection locked="0"/>
    </xf>
    <xf numFmtId="4" fontId="7" fillId="0" borderId="40" xfId="67" applyNumberFormat="1" applyFont="1" applyFill="1" applyBorder="1" applyAlignment="1" applyProtection="1">
      <alignment vertical="center"/>
    </xf>
    <xf numFmtId="0" fontId="14" fillId="0" borderId="19" xfId="67" applyFont="1" applyFill="1" applyBorder="1" applyAlignment="1" applyProtection="1">
      <alignment vertical="center"/>
    </xf>
    <xf numFmtId="4" fontId="7" fillId="31" borderId="67" xfId="1" applyNumberFormat="1" applyFont="1" applyFill="1" applyBorder="1" applyAlignment="1" applyProtection="1">
      <alignment horizontal="center" vertical="center"/>
      <protection locked="0"/>
    </xf>
    <xf numFmtId="4" fontId="7" fillId="4" borderId="68" xfId="67" applyNumberFormat="1" applyFont="1" applyFill="1" applyBorder="1" applyAlignment="1" applyProtection="1">
      <alignment horizontal="center" vertical="center"/>
    </xf>
    <xf numFmtId="180" fontId="3" fillId="31" borderId="65" xfId="1" applyNumberFormat="1" applyFont="1" applyFill="1" applyBorder="1" applyAlignment="1" applyProtection="1">
      <alignment vertical="center"/>
      <protection locked="0"/>
    </xf>
    <xf numFmtId="4" fontId="3" fillId="31" borderId="67" xfId="1" applyNumberFormat="1" applyFont="1" applyFill="1" applyBorder="1" applyAlignment="1" applyProtection="1">
      <alignment horizontal="center" vertical="center"/>
      <protection locked="0"/>
    </xf>
    <xf numFmtId="4" fontId="7" fillId="4" borderId="65" xfId="67" applyNumberFormat="1" applyFont="1" applyFill="1" applyBorder="1" applyAlignment="1" applyProtection="1">
      <alignment horizontal="center" vertical="center"/>
    </xf>
    <xf numFmtId="0" fontId="7" fillId="0" borderId="0" xfId="67" applyFont="1"/>
    <xf numFmtId="0" fontId="7" fillId="31" borderId="40" xfId="67" applyFont="1" applyFill="1" applyBorder="1" applyAlignment="1" applyProtection="1">
      <alignment horizontal="left" vertical="center"/>
      <protection locked="0"/>
    </xf>
    <xf numFmtId="180" fontId="3" fillId="31" borderId="65" xfId="67" applyNumberFormat="1" applyFont="1" applyFill="1" applyBorder="1" applyAlignment="1" applyProtection="1">
      <alignment vertical="center"/>
      <protection locked="0"/>
    </xf>
    <xf numFmtId="179" fontId="7" fillId="31" borderId="40" xfId="67" applyNumberFormat="1" applyFont="1" applyFill="1" applyBorder="1" applyAlignment="1" applyProtection="1">
      <alignment horizontal="center" vertical="center"/>
      <protection locked="0"/>
    </xf>
    <xf numFmtId="4" fontId="3" fillId="31" borderId="67" xfId="67" applyNumberFormat="1" applyFont="1" applyFill="1" applyBorder="1" applyAlignment="1" applyProtection="1">
      <alignment horizontal="center" vertical="center"/>
      <protection locked="0"/>
    </xf>
    <xf numFmtId="180" fontId="3" fillId="31" borderId="65" xfId="1" applyNumberFormat="1" applyFont="1" applyFill="1" applyBorder="1" applyAlignment="1" applyProtection="1">
      <alignment vertical="center"/>
    </xf>
    <xf numFmtId="2" fontId="7" fillId="31" borderId="67" xfId="67" applyNumberFormat="1" applyFont="1" applyFill="1" applyBorder="1" applyAlignment="1" applyProtection="1">
      <alignment horizontal="center" vertical="center"/>
      <protection locked="0"/>
    </xf>
    <xf numFmtId="4" fontId="7" fillId="31" borderId="66" xfId="67" applyNumberFormat="1" applyFont="1" applyFill="1" applyBorder="1" applyAlignment="1" applyProtection="1">
      <alignment horizontal="center" vertical="center"/>
      <protection locked="0"/>
    </xf>
    <xf numFmtId="4" fontId="7" fillId="31" borderId="82" xfId="67" applyNumberFormat="1" applyFont="1" applyFill="1" applyBorder="1" applyAlignment="1" applyProtection="1">
      <alignment horizontal="center" vertical="center"/>
      <protection locked="0"/>
    </xf>
    <xf numFmtId="0" fontId="176" fillId="37" borderId="32" xfId="67" applyFont="1" applyFill="1" applyBorder="1"/>
    <xf numFmtId="0" fontId="176" fillId="37" borderId="40" xfId="67" applyFont="1" applyFill="1" applyBorder="1" applyAlignment="1" applyProtection="1">
      <alignment horizontal="left" vertical="center"/>
      <protection locked="0"/>
    </xf>
    <xf numFmtId="180" fontId="3" fillId="37" borderId="65" xfId="67" applyNumberFormat="1" applyFont="1" applyFill="1" applyBorder="1" applyAlignment="1" applyProtection="1">
      <alignment vertical="center"/>
      <protection locked="0"/>
    </xf>
    <xf numFmtId="179" fontId="176" fillId="37" borderId="40" xfId="67" applyNumberFormat="1" applyFont="1" applyFill="1" applyBorder="1" applyAlignment="1" applyProtection="1">
      <alignment horizontal="center" vertical="center"/>
      <protection locked="0"/>
    </xf>
    <xf numFmtId="0" fontId="176" fillId="33" borderId="65" xfId="1" applyFont="1" applyFill="1" applyBorder="1" applyAlignment="1">
      <alignment horizontal="center" vertical="center"/>
    </xf>
    <xf numFmtId="2" fontId="176" fillId="37" borderId="67" xfId="67" applyNumberFormat="1" applyFont="1" applyFill="1" applyBorder="1" applyAlignment="1" applyProtection="1">
      <alignment horizontal="center" vertical="center"/>
      <protection locked="0"/>
    </xf>
    <xf numFmtId="4" fontId="176" fillId="37" borderId="66" xfId="67" applyNumberFormat="1" applyFont="1" applyFill="1" applyBorder="1" applyAlignment="1" applyProtection="1">
      <alignment horizontal="center" vertical="center"/>
      <protection locked="0"/>
    </xf>
    <xf numFmtId="4" fontId="176" fillId="37" borderId="82" xfId="67" applyNumberFormat="1" applyFont="1" applyFill="1" applyBorder="1" applyAlignment="1" applyProtection="1">
      <alignment horizontal="center" vertical="center"/>
      <protection locked="0"/>
    </xf>
    <xf numFmtId="4" fontId="176" fillId="33" borderId="40" xfId="67" applyNumberFormat="1" applyFont="1" applyFill="1" applyBorder="1" applyAlignment="1" applyProtection="1">
      <alignment vertical="center"/>
    </xf>
    <xf numFmtId="0" fontId="184" fillId="33" borderId="19" xfId="67" applyFont="1" applyFill="1" applyBorder="1" applyAlignment="1" applyProtection="1">
      <alignment vertical="center"/>
    </xf>
    <xf numFmtId="4" fontId="3" fillId="37" borderId="67" xfId="67" applyNumberFormat="1" applyFont="1" applyFill="1" applyBorder="1" applyAlignment="1" applyProtection="1">
      <alignment horizontal="center" vertical="center"/>
      <protection locked="0"/>
    </xf>
    <xf numFmtId="0" fontId="176" fillId="33" borderId="0" xfId="67" applyFont="1" applyFill="1"/>
    <xf numFmtId="0" fontId="7" fillId="0" borderId="65" xfId="67" applyFont="1" applyBorder="1" applyAlignment="1">
      <alignment horizontal="center" vertical="center"/>
    </xf>
    <xf numFmtId="0" fontId="12" fillId="0" borderId="0" xfId="1" applyFont="1" applyAlignment="1" applyProtection="1">
      <alignment vertical="center"/>
    </xf>
    <xf numFmtId="181" fontId="7" fillId="0" borderId="263" xfId="67" applyNumberFormat="1" applyFont="1" applyBorder="1" applyAlignment="1" applyProtection="1">
      <alignment vertical="center"/>
    </xf>
    <xf numFmtId="2" fontId="7" fillId="0" borderId="0" xfId="1" applyNumberFormat="1" applyFont="1" applyBorder="1" applyAlignment="1" applyProtection="1">
      <alignment vertical="center"/>
    </xf>
    <xf numFmtId="181" fontId="7" fillId="0" borderId="0" xfId="67" applyNumberFormat="1" applyFont="1" applyBorder="1" applyAlignment="1" applyProtection="1">
      <alignment vertical="center"/>
    </xf>
    <xf numFmtId="0" fontId="6" fillId="0" borderId="0" xfId="1" applyFont="1" applyBorder="1" applyAlignment="1" applyProtection="1">
      <alignment horizontal="center" vertical="center"/>
    </xf>
    <xf numFmtId="0" fontId="19" fillId="0" borderId="0" xfId="1" applyFont="1" applyFill="1" applyBorder="1" applyAlignment="1" applyProtection="1">
      <alignment horizontal="right" vertical="top"/>
    </xf>
    <xf numFmtId="180" fontId="7" fillId="31" borderId="67" xfId="1" applyNumberFormat="1" applyFont="1" applyFill="1" applyBorder="1" applyAlignment="1" applyProtection="1">
      <alignment horizontal="right" vertical="center"/>
      <protection locked="0"/>
    </xf>
    <xf numFmtId="0" fontId="16" fillId="0" borderId="71" xfId="1" applyFont="1" applyBorder="1" applyAlignment="1" applyProtection="1">
      <alignment vertical="center"/>
    </xf>
    <xf numFmtId="0" fontId="5" fillId="0" borderId="0" xfId="1" applyFill="1" applyBorder="1" applyAlignment="1">
      <alignment vertical="center"/>
    </xf>
    <xf numFmtId="0" fontId="21" fillId="0" borderId="36" xfId="1" applyFont="1" applyFill="1" applyBorder="1" applyAlignment="1">
      <alignment horizontal="center" vertical="center"/>
    </xf>
    <xf numFmtId="172" fontId="17" fillId="0" borderId="0" xfId="1" applyNumberFormat="1" applyFont="1" applyFill="1" applyBorder="1" applyAlignment="1">
      <alignment horizontal="right" vertical="center"/>
    </xf>
    <xf numFmtId="0" fontId="7" fillId="33" borderId="0" xfId="1" applyFont="1" applyFill="1" applyBorder="1" applyAlignment="1" applyProtection="1">
      <alignment vertical="center"/>
      <protection locked="0"/>
    </xf>
    <xf numFmtId="0" fontId="64" fillId="0" borderId="0" xfId="164" applyFont="1" applyFill="1" applyBorder="1" applyAlignment="1" applyProtection="1">
      <alignment horizontal="left" vertical="center"/>
    </xf>
    <xf numFmtId="14" fontId="10" fillId="0" borderId="0" xfId="1" applyNumberFormat="1" applyFont="1" applyAlignment="1"/>
    <xf numFmtId="0" fontId="7" fillId="0" borderId="77" xfId="1" applyFont="1" applyBorder="1" applyAlignment="1" applyProtection="1">
      <alignment vertical="center"/>
    </xf>
    <xf numFmtId="0" fontId="17" fillId="0" borderId="57" xfId="1" applyFont="1" applyBorder="1" applyAlignment="1" applyProtection="1">
      <alignment vertical="center"/>
    </xf>
    <xf numFmtId="9" fontId="7" fillId="31" borderId="57" xfId="1" applyNumberFormat="1" applyFont="1" applyFill="1" applyBorder="1" applyAlignment="1" applyProtection="1">
      <alignment horizontal="center" vertical="center"/>
      <protection locked="0"/>
    </xf>
    <xf numFmtId="176" fontId="7" fillId="4" borderId="8" xfId="105" applyNumberFormat="1" applyFont="1" applyFill="1" applyBorder="1" applyAlignment="1" applyProtection="1">
      <alignment horizontal="right" vertical="center"/>
    </xf>
    <xf numFmtId="189" fontId="7" fillId="0" borderId="129" xfId="61" applyNumberFormat="1" applyFont="1" applyBorder="1" applyAlignment="1" applyProtection="1">
      <alignment horizontal="center" vertical="center"/>
    </xf>
    <xf numFmtId="189" fontId="7" fillId="0" borderId="57" xfId="61" applyNumberFormat="1" applyFont="1" applyBorder="1" applyAlignment="1" applyProtection="1">
      <alignment vertical="center"/>
    </xf>
    <xf numFmtId="0" fontId="110" fillId="0" borderId="58" xfId="1" applyFont="1" applyBorder="1" applyAlignment="1" applyProtection="1">
      <alignment vertical="center"/>
    </xf>
    <xf numFmtId="189" fontId="7" fillId="0" borderId="116" xfId="61" applyNumberFormat="1" applyFont="1" applyBorder="1" applyAlignment="1" applyProtection="1">
      <alignment horizontal="center" vertical="center"/>
    </xf>
    <xf numFmtId="189" fontId="7" fillId="27" borderId="57" xfId="61" applyNumberFormat="1" applyFont="1" applyFill="1" applyBorder="1" applyAlignment="1" applyProtection="1">
      <alignment vertical="center"/>
    </xf>
    <xf numFmtId="0" fontId="7" fillId="27" borderId="58" xfId="1" applyFont="1" applyFill="1" applyBorder="1" applyAlignment="1" applyProtection="1">
      <alignment vertical="center"/>
    </xf>
    <xf numFmtId="189" fontId="7" fillId="0" borderId="299" xfId="61" applyNumberFormat="1" applyFont="1" applyBorder="1" applyAlignment="1" applyProtection="1">
      <alignment horizontal="center" vertical="center"/>
    </xf>
    <xf numFmtId="0" fontId="7" fillId="0" borderId="58" xfId="1" applyFont="1" applyBorder="1" applyAlignment="1" applyProtection="1">
      <alignment vertical="center"/>
    </xf>
    <xf numFmtId="2" fontId="6" fillId="30" borderId="77" xfId="1" applyNumberFormat="1" applyFont="1" applyFill="1" applyBorder="1" applyAlignment="1">
      <alignment horizontal="right"/>
    </xf>
    <xf numFmtId="0" fontId="7" fillId="0" borderId="57" xfId="1" applyFont="1" applyBorder="1" applyAlignment="1">
      <alignment vertical="center"/>
    </xf>
    <xf numFmtId="2" fontId="6" fillId="30" borderId="77" xfId="1" applyNumberFormat="1" applyFont="1" applyFill="1" applyBorder="1" applyAlignment="1">
      <alignment horizontal="center"/>
    </xf>
    <xf numFmtId="2" fontId="6" fillId="30" borderId="57" xfId="1" applyNumberFormat="1" applyFont="1" applyFill="1" applyBorder="1" applyAlignment="1">
      <alignment horizontal="center"/>
    </xf>
    <xf numFmtId="2" fontId="6" fillId="30" borderId="58" xfId="1" applyNumberFormat="1" applyFont="1" applyFill="1" applyBorder="1" applyAlignment="1">
      <alignment horizontal="center"/>
    </xf>
    <xf numFmtId="0" fontId="5" fillId="37" borderId="43" xfId="1" applyFill="1" applyBorder="1" applyProtection="1">
      <protection locked="0"/>
    </xf>
    <xf numFmtId="0" fontId="5" fillId="37" borderId="263" xfId="1" applyFill="1" applyBorder="1" applyProtection="1">
      <protection locked="0"/>
    </xf>
    <xf numFmtId="0" fontId="5" fillId="37" borderId="42" xfId="1" applyFill="1" applyBorder="1" applyProtection="1">
      <protection locked="0"/>
    </xf>
    <xf numFmtId="0" fontId="5" fillId="37" borderId="39" xfId="1" applyFill="1" applyBorder="1" applyProtection="1">
      <protection locked="0"/>
    </xf>
    <xf numFmtId="0" fontId="5" fillId="37" borderId="2" xfId="1" applyFill="1" applyBorder="1" applyProtection="1">
      <protection locked="0"/>
    </xf>
    <xf numFmtId="0" fontId="5" fillId="37" borderId="44" xfId="1" applyFill="1" applyBorder="1" applyProtection="1">
      <protection locked="0"/>
    </xf>
    <xf numFmtId="0" fontId="113" fillId="0" borderId="40" xfId="1" applyFont="1" applyBorder="1" applyAlignment="1" applyProtection="1">
      <alignment horizontal="left" vertical="center"/>
    </xf>
    <xf numFmtId="180" fontId="7" fillId="37" borderId="65" xfId="1" applyNumberFormat="1" applyFont="1" applyFill="1" applyBorder="1" applyAlignment="1" applyProtection="1">
      <alignment vertical="center"/>
      <protection locked="0"/>
    </xf>
    <xf numFmtId="0" fontId="5" fillId="31" borderId="40" xfId="67" applyFont="1" applyFill="1" applyBorder="1" applyAlignment="1" applyProtection="1">
      <alignment horizontal="left" vertical="center"/>
      <protection locked="0"/>
    </xf>
    <xf numFmtId="180" fontId="5" fillId="31" borderId="87" xfId="67" applyNumberFormat="1" applyFont="1" applyFill="1" applyBorder="1" applyAlignment="1" applyProtection="1">
      <alignment vertical="center"/>
      <protection locked="0"/>
    </xf>
    <xf numFmtId="180" fontId="13" fillId="31" borderId="87" xfId="67" applyNumberFormat="1" applyFont="1" applyFill="1" applyBorder="1" applyAlignment="1" applyProtection="1">
      <alignment vertical="center"/>
      <protection locked="0"/>
    </xf>
    <xf numFmtId="180" fontId="185" fillId="31" borderId="87" xfId="67" applyNumberFormat="1" applyFont="1" applyFill="1" applyBorder="1" applyAlignment="1" applyProtection="1">
      <alignment vertical="center"/>
      <protection locked="0"/>
    </xf>
    <xf numFmtId="0" fontId="5" fillId="0" borderId="0" xfId="0" applyNumberFormat="1" applyFont="1" applyBorder="1" applyAlignment="1"/>
    <xf numFmtId="0" fontId="0" fillId="0" borderId="135" xfId="0" applyBorder="1" applyAlignment="1"/>
    <xf numFmtId="0" fontId="5" fillId="0" borderId="135" xfId="0" applyNumberFormat="1" applyFont="1" applyBorder="1" applyAlignment="1"/>
    <xf numFmtId="0" fontId="0" fillId="0" borderId="19" xfId="0" applyBorder="1" applyAlignment="1"/>
    <xf numFmtId="209" fontId="150" fillId="0" borderId="0" xfId="1" applyNumberFormat="1" applyFont="1" applyAlignment="1" applyProtection="1">
      <alignment horizontal="right" vertical="top"/>
    </xf>
    <xf numFmtId="2" fontId="7" fillId="0" borderId="94" xfId="1" applyNumberFormat="1" applyFont="1" applyFill="1" applyBorder="1" applyAlignment="1" applyProtection="1">
      <alignment vertical="center"/>
    </xf>
    <xf numFmtId="0" fontId="183" fillId="0" borderId="0" xfId="1" applyFont="1" applyBorder="1" applyAlignment="1" applyProtection="1">
      <alignment vertical="center"/>
    </xf>
    <xf numFmtId="0" fontId="183" fillId="0" borderId="0" xfId="1" applyFont="1" applyBorder="1" applyAlignment="1" applyProtection="1">
      <alignment horizontal="right" vertical="center"/>
    </xf>
    <xf numFmtId="176" fontId="183" fillId="0" borderId="66" xfId="1" applyNumberFormat="1" applyFont="1" applyFill="1" applyBorder="1" applyAlignment="1" applyProtection="1">
      <alignment vertical="center"/>
    </xf>
    <xf numFmtId="176" fontId="183" fillId="0" borderId="65" xfId="1" applyNumberFormat="1" applyFont="1" applyFill="1" applyBorder="1" applyAlignment="1" applyProtection="1">
      <alignment vertical="center"/>
    </xf>
    <xf numFmtId="176" fontId="183" fillId="0" borderId="40" xfId="61" applyNumberFormat="1" applyFont="1" applyBorder="1" applyAlignment="1" applyProtection="1">
      <alignment vertical="center"/>
    </xf>
    <xf numFmtId="0" fontId="5" fillId="0" borderId="40" xfId="1" applyFont="1" applyFill="1" applyBorder="1" applyAlignment="1" applyProtection="1">
      <alignment vertical="center"/>
    </xf>
    <xf numFmtId="0" fontId="21" fillId="0" borderId="40" xfId="1" applyFont="1" applyBorder="1" applyAlignment="1" applyProtection="1">
      <alignment horizontal="left" vertical="center"/>
    </xf>
    <xf numFmtId="0" fontId="7" fillId="0" borderId="154" xfId="67" applyFont="1" applyBorder="1"/>
    <xf numFmtId="0" fontId="7" fillId="31" borderId="39" xfId="1" applyFont="1" applyFill="1" applyBorder="1" applyAlignment="1" applyProtection="1">
      <alignment horizontal="left" vertical="center"/>
      <protection locked="0"/>
    </xf>
    <xf numFmtId="180" fontId="7" fillId="31" borderId="61" xfId="1" applyNumberFormat="1" applyFont="1" applyFill="1" applyBorder="1" applyAlignment="1" applyProtection="1">
      <alignment vertical="center"/>
      <protection locked="0"/>
    </xf>
    <xf numFmtId="179" fontId="7" fillId="31" borderId="39" xfId="1" applyNumberFormat="1" applyFont="1" applyFill="1" applyBorder="1" applyAlignment="1" applyProtection="1">
      <alignment horizontal="center" vertical="center"/>
      <protection locked="0"/>
    </xf>
    <xf numFmtId="0" fontId="7" fillId="0" borderId="61" xfId="67" applyFont="1" applyBorder="1" applyAlignment="1">
      <alignment horizontal="center" vertical="center"/>
    </xf>
    <xf numFmtId="2" fontId="7" fillId="31" borderId="63" xfId="1" applyNumberFormat="1" applyFont="1" applyFill="1" applyBorder="1" applyAlignment="1" applyProtection="1">
      <alignment horizontal="center" vertical="center"/>
      <protection locked="0"/>
    </xf>
    <xf numFmtId="4" fontId="7" fillId="31" borderId="62" xfId="1" applyNumberFormat="1" applyFont="1" applyFill="1" applyBorder="1" applyAlignment="1" applyProtection="1">
      <alignment horizontal="center" vertical="center"/>
      <protection locked="0"/>
    </xf>
    <xf numFmtId="4" fontId="7" fillId="31" borderId="80" xfId="1" applyNumberFormat="1" applyFont="1" applyFill="1" applyBorder="1" applyAlignment="1" applyProtection="1">
      <alignment horizontal="center" vertical="center"/>
      <protection locked="0"/>
    </xf>
    <xf numFmtId="4" fontId="7" fillId="0" borderId="39" xfId="67" applyNumberFormat="1" applyFont="1" applyFill="1" applyBorder="1" applyAlignment="1" applyProtection="1">
      <alignment vertical="center"/>
    </xf>
    <xf numFmtId="0" fontId="14" fillId="0" borderId="44" xfId="67" applyFont="1" applyFill="1" applyBorder="1" applyAlignment="1" applyProtection="1">
      <alignment vertical="center"/>
    </xf>
    <xf numFmtId="4" fontId="7" fillId="31" borderId="39" xfId="1" applyNumberFormat="1" applyFont="1" applyFill="1" applyBorder="1" applyAlignment="1" applyProtection="1">
      <alignment horizontal="center" vertical="center"/>
      <protection locked="0"/>
    </xf>
    <xf numFmtId="4" fontId="7" fillId="4" borderId="61" xfId="67" applyNumberFormat="1" applyFont="1" applyFill="1" applyBorder="1" applyAlignment="1" applyProtection="1">
      <alignment horizontal="center" vertical="center"/>
    </xf>
    <xf numFmtId="0" fontId="5" fillId="0" borderId="0" xfId="1" applyFont="1" applyBorder="1" applyAlignment="1" applyProtection="1">
      <alignment horizontal="right" vertical="center"/>
    </xf>
    <xf numFmtId="181" fontId="21" fillId="0" borderId="2" xfId="67" applyNumberFormat="1" applyFont="1" applyBorder="1" applyAlignment="1" applyProtection="1">
      <alignment vertical="center"/>
    </xf>
    <xf numFmtId="0" fontId="5" fillId="31" borderId="39" xfId="67" applyFont="1" applyFill="1" applyBorder="1" applyAlignment="1" applyProtection="1">
      <alignment horizontal="left" vertical="center"/>
      <protection locked="0"/>
    </xf>
    <xf numFmtId="180" fontId="5" fillId="31" borderId="170" xfId="67" applyNumberFormat="1" applyFont="1" applyFill="1" applyBorder="1" applyAlignment="1" applyProtection="1">
      <alignment vertical="center"/>
      <protection locked="0"/>
    </xf>
    <xf numFmtId="180" fontId="13" fillId="31" borderId="170" xfId="67" applyNumberFormat="1" applyFont="1" applyFill="1" applyBorder="1" applyAlignment="1" applyProtection="1">
      <alignment vertical="center"/>
      <protection locked="0"/>
    </xf>
    <xf numFmtId="0" fontId="46" fillId="0" borderId="0" xfId="1" applyFont="1" applyBorder="1" applyAlignment="1" applyProtection="1">
      <alignment vertical="top"/>
    </xf>
    <xf numFmtId="209" fontId="150" fillId="0" borderId="0" xfId="1" applyNumberFormat="1" applyFont="1" applyAlignment="1" applyProtection="1">
      <alignment vertical="top"/>
    </xf>
    <xf numFmtId="209" fontId="186" fillId="60" borderId="3" xfId="1" applyNumberFormat="1" applyFont="1" applyFill="1" applyBorder="1" applyAlignment="1" applyProtection="1">
      <alignment horizontal="center" vertical="center"/>
    </xf>
    <xf numFmtId="0" fontId="189" fillId="0" borderId="43" xfId="2" applyFont="1" applyFill="1" applyBorder="1" applyAlignment="1" applyProtection="1">
      <alignment vertical="center"/>
    </xf>
    <xf numFmtId="189" fontId="15" fillId="0" borderId="3" xfId="1" applyNumberFormat="1" applyFont="1" applyBorder="1" applyAlignment="1" applyProtection="1">
      <alignment horizontal="center" vertical="center"/>
    </xf>
    <xf numFmtId="0" fontId="186" fillId="60" borderId="77" xfId="1" applyFont="1" applyFill="1" applyBorder="1" applyAlignment="1" applyProtection="1">
      <alignment horizontal="center" vertical="center"/>
    </xf>
    <xf numFmtId="0" fontId="187" fillId="60" borderId="77" xfId="1" applyFont="1" applyFill="1" applyBorder="1" applyAlignment="1" applyProtection="1">
      <alignment horizontal="center" vertical="center"/>
    </xf>
    <xf numFmtId="209" fontId="187" fillId="60" borderId="77" xfId="1" applyNumberFormat="1" applyFont="1" applyFill="1" applyBorder="1" applyAlignment="1" applyProtection="1">
      <alignment horizontal="center" vertical="center"/>
    </xf>
    <xf numFmtId="0" fontId="10" fillId="0" borderId="32" xfId="124" applyFont="1" applyBorder="1" applyAlignment="1" applyProtection="1">
      <alignment horizontal="center" vertical="center"/>
    </xf>
    <xf numFmtId="0" fontId="44" fillId="0" borderId="32" xfId="124" applyFont="1" applyBorder="1" applyAlignment="1" applyProtection="1">
      <alignment vertical="center"/>
    </xf>
    <xf numFmtId="185" fontId="15" fillId="0" borderId="0" xfId="124" applyNumberFormat="1" applyFont="1" applyBorder="1" applyAlignment="1" applyProtection="1">
      <alignment horizontal="center" vertical="center" wrapText="1"/>
    </xf>
    <xf numFmtId="185" fontId="15" fillId="0" borderId="262" xfId="124" applyNumberFormat="1" applyFont="1" applyBorder="1" applyAlignment="1" applyProtection="1">
      <alignment horizontal="center" vertical="center" wrapText="1"/>
    </xf>
    <xf numFmtId="0" fontId="44" fillId="0" borderId="43" xfId="124" applyFont="1" applyBorder="1" applyAlignment="1" applyProtection="1">
      <alignment vertical="center"/>
    </xf>
    <xf numFmtId="0" fontId="183" fillId="0" borderId="0" xfId="1" applyFont="1" applyBorder="1" applyAlignment="1">
      <alignment horizontal="right" vertical="center"/>
    </xf>
    <xf numFmtId="176" fontId="183" fillId="0" borderId="40" xfId="1" applyNumberFormat="1" applyFont="1" applyBorder="1" applyAlignment="1">
      <alignment vertical="center"/>
    </xf>
    <xf numFmtId="0" fontId="17" fillId="0" borderId="154" xfId="124" applyFont="1" applyBorder="1" applyAlignment="1" applyProtection="1">
      <alignment horizontal="center" vertical="center"/>
    </xf>
    <xf numFmtId="0" fontId="45" fillId="31" borderId="154" xfId="124" applyFont="1" applyFill="1" applyBorder="1" applyAlignment="1" applyProtection="1">
      <alignment horizontal="left" vertical="center"/>
      <protection locked="0"/>
    </xf>
    <xf numFmtId="0" fontId="5" fillId="0" borderId="2" xfId="1" applyBorder="1"/>
    <xf numFmtId="0" fontId="45" fillId="0" borderId="39" xfId="124" applyFont="1" applyBorder="1" applyAlignment="1" applyProtection="1">
      <alignment vertical="center"/>
    </xf>
    <xf numFmtId="0" fontId="5" fillId="0" borderId="44" xfId="1" applyBorder="1"/>
    <xf numFmtId="190" fontId="7" fillId="37" borderId="157" xfId="105" applyNumberFormat="1" applyFont="1" applyFill="1" applyBorder="1" applyAlignment="1" applyProtection="1">
      <alignment vertical="center"/>
    </xf>
    <xf numFmtId="176" fontId="7" fillId="4" borderId="159" xfId="105" applyNumberFormat="1" applyFont="1" applyFill="1" applyBorder="1" applyAlignment="1" applyProtection="1">
      <alignment vertical="center"/>
    </xf>
    <xf numFmtId="189" fontId="7" fillId="0" borderId="8" xfId="61" applyNumberFormat="1" applyFont="1" applyBorder="1" applyAlignment="1" applyProtection="1">
      <alignment vertical="center"/>
    </xf>
    <xf numFmtId="0" fontId="10" fillId="0" borderId="2" xfId="1" applyFont="1" applyBorder="1" applyAlignment="1" applyProtection="1">
      <alignment vertical="top"/>
    </xf>
    <xf numFmtId="176" fontId="7" fillId="4" borderId="81" xfId="105" applyNumberFormat="1" applyFont="1" applyFill="1" applyBorder="1" applyAlignment="1" applyProtection="1">
      <alignment horizontal="right" vertical="center"/>
    </xf>
    <xf numFmtId="0" fontId="71" fillId="0" borderId="2" xfId="1" applyFont="1" applyBorder="1" applyAlignment="1" applyProtection="1">
      <alignment vertical="center"/>
    </xf>
    <xf numFmtId="0" fontId="186" fillId="60" borderId="3" xfId="1" applyFont="1" applyFill="1" applyBorder="1" applyAlignment="1" applyProtection="1">
      <alignment horizontal="center" vertical="center"/>
    </xf>
    <xf numFmtId="0" fontId="5" fillId="0" borderId="43" xfId="1" applyFont="1" applyBorder="1" applyAlignment="1">
      <alignment vertical="center"/>
    </xf>
    <xf numFmtId="0" fontId="5" fillId="0" borderId="23" xfId="1" applyFont="1" applyBorder="1" applyAlignment="1" applyProtection="1">
      <alignment vertical="center"/>
    </xf>
    <xf numFmtId="0" fontId="5" fillId="0" borderId="23" xfId="1" applyFont="1" applyBorder="1" applyAlignment="1" applyProtection="1">
      <alignment horizontal="right" vertical="center"/>
    </xf>
    <xf numFmtId="0" fontId="5" fillId="0" borderId="43" xfId="1" applyFont="1" applyBorder="1" applyAlignment="1" applyProtection="1">
      <alignment vertical="center"/>
    </xf>
    <xf numFmtId="49" fontId="5" fillId="0" borderId="43" xfId="95" applyNumberFormat="1" applyFont="1" applyBorder="1" applyAlignment="1" applyProtection="1">
      <alignment horizontal="right" vertical="center"/>
    </xf>
    <xf numFmtId="49" fontId="5" fillId="0" borderId="43" xfId="1" applyNumberFormat="1" applyFont="1" applyBorder="1" applyAlignment="1" applyProtection="1">
      <alignment horizontal="left" vertical="center" indent="1"/>
    </xf>
    <xf numFmtId="0" fontId="5" fillId="0" borderId="36" xfId="95" applyFont="1" applyBorder="1" applyAlignment="1" applyProtection="1">
      <alignment horizontal="right" vertical="center"/>
    </xf>
    <xf numFmtId="0" fontId="5" fillId="0" borderId="40" xfId="1" applyFont="1" applyBorder="1" applyAlignment="1" applyProtection="1">
      <alignment vertical="center"/>
    </xf>
    <xf numFmtId="49" fontId="5" fillId="0" borderId="40" xfId="95" applyNumberFormat="1" applyFont="1" applyBorder="1" applyAlignment="1" applyProtection="1">
      <alignment horizontal="right" vertical="center"/>
    </xf>
    <xf numFmtId="49" fontId="5" fillId="0" borderId="40" xfId="1" applyNumberFormat="1" applyFont="1" applyBorder="1" applyAlignment="1" applyProtection="1">
      <alignment horizontal="left" vertical="center" indent="1"/>
    </xf>
    <xf numFmtId="0" fontId="5" fillId="0" borderId="25" xfId="95" applyFont="1" applyBorder="1" applyAlignment="1" applyProtection="1">
      <alignment horizontal="right" vertical="center"/>
    </xf>
    <xf numFmtId="49" fontId="5" fillId="0" borderId="91" xfId="1" applyNumberFormat="1" applyFont="1" applyBorder="1" applyAlignment="1" applyProtection="1">
      <alignment horizontal="left" vertical="center" indent="1"/>
    </xf>
    <xf numFmtId="0" fontId="5" fillId="0" borderId="99" xfId="1" applyFont="1" applyBorder="1" applyAlignment="1" applyProtection="1">
      <alignment vertical="center"/>
    </xf>
    <xf numFmtId="0" fontId="5" fillId="0" borderId="103" xfId="1" applyFont="1" applyBorder="1" applyAlignment="1" applyProtection="1">
      <alignment vertical="center"/>
    </xf>
    <xf numFmtId="49" fontId="5" fillId="0" borderId="99" xfId="95" applyNumberFormat="1" applyFont="1" applyBorder="1" applyAlignment="1" applyProtection="1">
      <alignment horizontal="right" vertical="center"/>
    </xf>
    <xf numFmtId="49" fontId="5" fillId="0" borderId="99" xfId="1" applyNumberFormat="1" applyFont="1" applyBorder="1" applyAlignment="1" applyProtection="1">
      <alignment horizontal="left" vertical="center" indent="1"/>
    </xf>
    <xf numFmtId="0" fontId="5" fillId="0" borderId="38" xfId="95" applyFont="1" applyBorder="1" applyAlignment="1" applyProtection="1">
      <alignment horizontal="right" vertical="center"/>
    </xf>
    <xf numFmtId="174" fontId="5" fillId="0" borderId="99" xfId="95" applyNumberFormat="1" applyFont="1" applyBorder="1" applyAlignment="1" applyProtection="1">
      <alignment horizontal="right" vertical="center"/>
    </xf>
    <xf numFmtId="174" fontId="5" fillId="0" borderId="40" xfId="95" applyNumberFormat="1" applyFont="1" applyBorder="1" applyAlignment="1" applyProtection="1">
      <alignment horizontal="right" vertical="center"/>
    </xf>
    <xf numFmtId="49" fontId="5" fillId="0" borderId="38" xfId="95" applyNumberFormat="1" applyFont="1" applyBorder="1" applyAlignment="1" applyProtection="1">
      <alignment horizontal="right" vertical="center"/>
    </xf>
    <xf numFmtId="0" fontId="5" fillId="0" borderId="39" xfId="1" applyFont="1" applyBorder="1" applyAlignment="1" applyProtection="1">
      <alignment vertical="center"/>
    </xf>
    <xf numFmtId="174" fontId="5" fillId="0" borderId="39" xfId="95" applyNumberFormat="1" applyFont="1" applyBorder="1" applyAlignment="1" applyProtection="1">
      <alignment horizontal="right" vertical="center"/>
    </xf>
    <xf numFmtId="49" fontId="5" fillId="0" borderId="39" xfId="1" applyNumberFormat="1" applyFont="1" applyBorder="1" applyAlignment="1" applyProtection="1">
      <alignment horizontal="left" vertical="center" indent="1"/>
    </xf>
    <xf numFmtId="0" fontId="5" fillId="0" borderId="34" xfId="95" applyFont="1" applyBorder="1" applyAlignment="1" applyProtection="1">
      <alignment horizontal="right" vertical="center"/>
    </xf>
    <xf numFmtId="0" fontId="5" fillId="0" borderId="19" xfId="1" applyFont="1" applyBorder="1" applyAlignment="1" applyProtection="1">
      <alignment vertical="center"/>
    </xf>
    <xf numFmtId="0" fontId="5" fillId="0" borderId="44" xfId="1" applyFont="1" applyBorder="1" applyAlignment="1" applyProtection="1">
      <alignment vertical="center"/>
    </xf>
    <xf numFmtId="0" fontId="14" fillId="0" borderId="43" xfId="1" applyFont="1" applyBorder="1" applyAlignment="1" applyProtection="1">
      <alignment vertical="center"/>
    </xf>
    <xf numFmtId="0" fontId="14" fillId="0" borderId="23" xfId="1" applyFont="1" applyBorder="1" applyAlignment="1" applyProtection="1">
      <alignment vertical="center"/>
    </xf>
    <xf numFmtId="0" fontId="14" fillId="0" borderId="43" xfId="1" applyFont="1" applyBorder="1" applyAlignment="1" applyProtection="1">
      <alignment horizontal="right" vertical="center"/>
    </xf>
    <xf numFmtId="0" fontId="14" fillId="0" borderId="36" xfId="1" applyFont="1" applyBorder="1" applyAlignment="1" applyProtection="1">
      <alignment horizontal="right" vertical="center"/>
    </xf>
    <xf numFmtId="0" fontId="14" fillId="0" borderId="39" xfId="1" applyFont="1" applyBorder="1" applyAlignment="1" applyProtection="1">
      <alignment vertical="center"/>
    </xf>
    <xf numFmtId="0" fontId="7" fillId="0" borderId="34" xfId="1" applyFont="1" applyBorder="1" applyAlignment="1" applyProtection="1">
      <alignment horizontal="right" vertical="center"/>
    </xf>
    <xf numFmtId="2" fontId="5" fillId="4" borderId="58" xfId="164" applyNumberFormat="1" applyFont="1" applyFill="1" applyBorder="1" applyAlignment="1" applyProtection="1">
      <alignment horizontal="center" vertical="center"/>
    </xf>
    <xf numFmtId="0" fontId="5" fillId="0" borderId="2" xfId="164" applyFont="1" applyBorder="1" applyAlignment="1" applyProtection="1">
      <alignment vertical="center"/>
    </xf>
    <xf numFmtId="0" fontId="5" fillId="0" borderId="44" xfId="164" applyFont="1" applyBorder="1" applyAlignment="1" applyProtection="1">
      <alignment vertical="center"/>
    </xf>
    <xf numFmtId="2" fontId="5" fillId="0" borderId="57" xfId="164" applyNumberFormat="1" applyFont="1" applyBorder="1" applyAlignment="1" applyProtection="1">
      <alignment horizontal="center" vertical="center"/>
    </xf>
    <xf numFmtId="0" fontId="5" fillId="33" borderId="0" xfId="1" applyFill="1" applyBorder="1" applyAlignment="1" applyProtection="1">
      <alignment vertical="center"/>
    </xf>
    <xf numFmtId="0" fontId="5" fillId="33" borderId="0" xfId="1" applyFill="1" applyBorder="1" applyAlignment="1" applyProtection="1">
      <alignment horizontal="left" vertical="center"/>
    </xf>
    <xf numFmtId="0" fontId="44" fillId="33" borderId="0" xfId="1" applyFont="1" applyFill="1" applyBorder="1" applyAlignment="1" applyProtection="1">
      <alignment vertical="center"/>
    </xf>
    <xf numFmtId="0" fontId="14" fillId="33" borderId="0" xfId="1" applyFont="1" applyFill="1" applyBorder="1" applyAlignment="1" applyProtection="1">
      <alignment vertical="center"/>
    </xf>
    <xf numFmtId="0" fontId="6" fillId="33" borderId="0" xfId="1" applyFont="1" applyFill="1" applyBorder="1" applyAlignment="1" applyProtection="1">
      <alignment vertical="center"/>
    </xf>
    <xf numFmtId="0" fontId="6" fillId="33" borderId="0" xfId="1" applyFont="1" applyFill="1" applyBorder="1" applyAlignment="1" applyProtection="1">
      <alignment horizontal="center" vertical="center"/>
    </xf>
    <xf numFmtId="0" fontId="10" fillId="33" borderId="20" xfId="1" applyFont="1" applyFill="1" applyBorder="1" applyAlignment="1" applyProtection="1">
      <alignment horizontal="center" vertical="center"/>
    </xf>
    <xf numFmtId="0" fontId="10" fillId="33" borderId="0" xfId="1" applyFont="1" applyFill="1" applyBorder="1" applyAlignment="1" applyProtection="1">
      <alignment horizontal="center" vertical="center"/>
    </xf>
    <xf numFmtId="0" fontId="10" fillId="33" borderId="0" xfId="1" applyFont="1" applyFill="1" applyBorder="1" applyAlignment="1" applyProtection="1">
      <alignment horizontal="centerContinuous" vertical="center"/>
    </xf>
    <xf numFmtId="0" fontId="10" fillId="33" borderId="22" xfId="1" applyFont="1" applyFill="1" applyBorder="1" applyAlignment="1" applyProtection="1">
      <alignment horizontal="center" vertical="center"/>
    </xf>
    <xf numFmtId="0" fontId="5" fillId="33" borderId="22" xfId="1" applyFont="1" applyFill="1" applyBorder="1" applyAlignment="1" applyProtection="1">
      <alignment horizontal="center" vertical="center"/>
    </xf>
    <xf numFmtId="0" fontId="10" fillId="33" borderId="21" xfId="1" applyFont="1" applyFill="1" applyBorder="1" applyAlignment="1" applyProtection="1">
      <alignment horizontal="center" vertical="center"/>
    </xf>
    <xf numFmtId="0" fontId="5" fillId="33" borderId="21" xfId="1" applyFont="1" applyFill="1" applyBorder="1" applyAlignment="1" applyProtection="1">
      <alignment horizontal="center" vertical="center"/>
    </xf>
    <xf numFmtId="0" fontId="5" fillId="33" borderId="20" xfId="1" applyFont="1" applyFill="1" applyBorder="1" applyAlignment="1" applyProtection="1">
      <alignment horizontal="center" vertical="center"/>
    </xf>
    <xf numFmtId="0" fontId="15" fillId="33" borderId="0" xfId="1" applyFont="1" applyFill="1" applyBorder="1" applyAlignment="1" applyProtection="1">
      <alignment vertical="center"/>
    </xf>
    <xf numFmtId="0" fontId="10" fillId="33" borderId="0" xfId="1" applyFont="1" applyFill="1" applyBorder="1" applyAlignment="1" applyProtection="1">
      <alignment vertical="top" wrapText="1"/>
    </xf>
    <xf numFmtId="0" fontId="10" fillId="33" borderId="0" xfId="1" applyFont="1" applyFill="1" applyBorder="1" applyAlignment="1" applyProtection="1">
      <alignment horizontal="left" vertical="top" wrapText="1"/>
    </xf>
    <xf numFmtId="0" fontId="5" fillId="33" borderId="79" xfId="1" applyFill="1" applyBorder="1" applyAlignment="1" applyProtection="1">
      <alignment vertical="center"/>
    </xf>
    <xf numFmtId="0" fontId="5" fillId="33" borderId="24" xfId="1" applyFill="1" applyBorder="1" applyAlignment="1" applyProtection="1">
      <alignment vertical="center"/>
    </xf>
    <xf numFmtId="0" fontId="5" fillId="33" borderId="32" xfId="1" applyFill="1" applyBorder="1" applyAlignment="1" applyProtection="1">
      <alignment vertical="center"/>
    </xf>
    <xf numFmtId="0" fontId="5" fillId="33" borderId="0" xfId="1" applyFill="1" applyBorder="1" applyAlignment="1" applyProtection="1">
      <alignment vertical="center"/>
      <protection locked="0"/>
    </xf>
    <xf numFmtId="0" fontId="5" fillId="33" borderId="262" xfId="1" applyFill="1" applyBorder="1" applyAlignment="1" applyProtection="1">
      <alignment vertical="center"/>
    </xf>
    <xf numFmtId="0" fontId="7" fillId="33" borderId="32" xfId="1" applyFont="1" applyFill="1" applyBorder="1" applyAlignment="1" applyProtection="1">
      <alignment vertical="center"/>
    </xf>
    <xf numFmtId="0" fontId="7" fillId="33" borderId="262" xfId="1" applyFont="1" applyFill="1" applyBorder="1" applyAlignment="1" applyProtection="1">
      <alignment vertical="center"/>
    </xf>
    <xf numFmtId="0" fontId="14" fillId="33" borderId="32" xfId="1" applyFont="1" applyFill="1" applyBorder="1" applyAlignment="1" applyProtection="1">
      <alignment vertical="center"/>
    </xf>
    <xf numFmtId="0" fontId="5" fillId="33" borderId="0" xfId="1" applyFill="1" applyBorder="1" applyAlignment="1">
      <alignment horizontal="left" vertical="top" wrapText="1"/>
    </xf>
    <xf numFmtId="0" fontId="10" fillId="33" borderId="32" xfId="1" applyFont="1" applyFill="1" applyBorder="1" applyAlignment="1" applyProtection="1">
      <alignment vertical="center"/>
    </xf>
    <xf numFmtId="0" fontId="10" fillId="33" borderId="262" xfId="1" applyFont="1" applyFill="1" applyBorder="1" applyAlignment="1" applyProtection="1">
      <alignment vertical="center"/>
    </xf>
    <xf numFmtId="0" fontId="10" fillId="33" borderId="300" xfId="1" applyFont="1" applyFill="1" applyBorder="1"/>
    <xf numFmtId="0" fontId="10" fillId="33" borderId="301" xfId="1" applyFont="1" applyFill="1" applyBorder="1"/>
    <xf numFmtId="0" fontId="5" fillId="33" borderId="301" xfId="1" applyFont="1" applyFill="1" applyBorder="1"/>
    <xf numFmtId="0" fontId="10" fillId="33" borderId="301" xfId="1" applyFont="1" applyFill="1" applyBorder="1" applyAlignment="1" applyProtection="1">
      <alignment vertical="center"/>
    </xf>
    <xf numFmtId="0" fontId="10" fillId="33" borderId="302" xfId="1" applyFont="1" applyFill="1" applyBorder="1"/>
    <xf numFmtId="0" fontId="5" fillId="39" borderId="0" xfId="1" applyFill="1" applyBorder="1" applyAlignment="1" applyProtection="1">
      <alignment vertical="center"/>
    </xf>
    <xf numFmtId="0" fontId="20" fillId="39" borderId="0" xfId="1" applyFont="1" applyFill="1" applyBorder="1" applyAlignment="1" applyProtection="1">
      <alignment horizontal="left" vertical="center"/>
    </xf>
    <xf numFmtId="0" fontId="18" fillId="39" borderId="0" xfId="1" applyFont="1" applyFill="1" applyBorder="1" applyAlignment="1" applyProtection="1">
      <alignment horizontal="left" vertical="center"/>
    </xf>
    <xf numFmtId="0" fontId="5" fillId="39" borderId="0" xfId="1" applyFill="1" applyBorder="1" applyAlignment="1" applyProtection="1">
      <alignment horizontal="centerContinuous" vertical="center"/>
    </xf>
    <xf numFmtId="0" fontId="44" fillId="39" borderId="0" xfId="1" applyFont="1" applyFill="1" applyBorder="1" applyAlignment="1" applyProtection="1">
      <alignment vertical="center"/>
    </xf>
    <xf numFmtId="0" fontId="45" fillId="39" borderId="0" xfId="1" applyFont="1" applyFill="1" applyBorder="1" applyAlignment="1" applyProtection="1">
      <alignment vertical="center"/>
    </xf>
    <xf numFmtId="0" fontId="7" fillId="39" borderId="0" xfId="1" applyFont="1" applyFill="1" applyBorder="1" applyAlignment="1" applyProtection="1">
      <alignment vertical="center"/>
    </xf>
    <xf numFmtId="0" fontId="15" fillId="39" borderId="0" xfId="1" applyFont="1" applyFill="1" applyBorder="1" applyAlignment="1" applyProtection="1">
      <alignment vertical="center"/>
    </xf>
    <xf numFmtId="0" fontId="5" fillId="33" borderId="262" xfId="1" applyFill="1" applyBorder="1" applyAlignment="1" applyProtection="1">
      <alignment horizontal="centerContinuous" vertical="center"/>
    </xf>
    <xf numFmtId="0" fontId="10" fillId="33" borderId="0" xfId="1" applyFont="1" applyFill="1" applyBorder="1" applyAlignment="1">
      <alignment horizontal="left" vertical="top" wrapText="1"/>
    </xf>
    <xf numFmtId="0" fontId="6" fillId="33" borderId="262" xfId="2" applyFont="1" applyFill="1" applyBorder="1" applyAlignment="1" applyProtection="1">
      <alignment horizontal="center" vertical="center"/>
    </xf>
    <xf numFmtId="0" fontId="21" fillId="33" borderId="262" xfId="1" applyFont="1" applyFill="1" applyBorder="1" applyAlignment="1" applyProtection="1">
      <alignment horizontal="center" vertical="center"/>
    </xf>
    <xf numFmtId="0" fontId="5" fillId="33" borderId="0" xfId="1" applyFont="1" applyFill="1" applyBorder="1" applyAlignment="1">
      <alignment horizontal="left" vertical="top" wrapText="1"/>
    </xf>
    <xf numFmtId="0" fontId="5" fillId="33" borderId="0" xfId="1" applyFill="1" applyBorder="1" applyAlignment="1">
      <alignment horizontal="left" vertical="top" wrapText="1"/>
    </xf>
    <xf numFmtId="177" fontId="0" fillId="0" borderId="0" xfId="0" applyNumberFormat="1" applyBorder="1"/>
    <xf numFmtId="174" fontId="7" fillId="0" borderId="303" xfId="1" applyNumberFormat="1" applyFont="1" applyBorder="1" applyAlignment="1" applyProtection="1">
      <alignment vertical="center"/>
    </xf>
    <xf numFmtId="0" fontId="190" fillId="0" borderId="0" xfId="0" applyFont="1"/>
    <xf numFmtId="0" fontId="45" fillId="31" borderId="91" xfId="124" applyFont="1" applyFill="1" applyBorder="1" applyAlignment="1" applyProtection="1">
      <alignment horizontal="center" vertical="center"/>
      <protection locked="0"/>
    </xf>
    <xf numFmtId="185" fontId="15" fillId="0" borderId="107" xfId="124" applyNumberFormat="1" applyFont="1" applyBorder="1" applyAlignment="1" applyProtection="1">
      <alignment horizontal="center" vertical="center" wrapText="1"/>
    </xf>
    <xf numFmtId="185" fontId="15" fillId="0" borderId="106" xfId="124" applyNumberFormat="1" applyFont="1" applyBorder="1" applyAlignment="1" applyProtection="1">
      <alignment horizontal="center" vertical="center" wrapText="1"/>
    </xf>
    <xf numFmtId="0" fontId="93" fillId="31" borderId="91" xfId="124" applyFont="1" applyFill="1" applyBorder="1" applyAlignment="1" applyProtection="1">
      <alignment horizontal="center" vertical="center"/>
      <protection locked="0"/>
    </xf>
    <xf numFmtId="0" fontId="93" fillId="31" borderId="178" xfId="124" applyFont="1" applyFill="1" applyBorder="1" applyAlignment="1" applyProtection="1">
      <alignment horizontal="center" vertical="center"/>
      <protection locked="0"/>
    </xf>
    <xf numFmtId="0" fontId="5" fillId="0" borderId="25" xfId="1" applyFont="1" applyBorder="1" applyAlignment="1">
      <alignment vertical="center"/>
    </xf>
    <xf numFmtId="0" fontId="5" fillId="0" borderId="42" xfId="1" applyFont="1" applyBorder="1" applyProtection="1"/>
    <xf numFmtId="0" fontId="5" fillId="0" borderId="43" xfId="1" applyFont="1" applyBorder="1" applyProtection="1"/>
    <xf numFmtId="0" fontId="5" fillId="0" borderId="263" xfId="1" applyFont="1" applyBorder="1" applyProtection="1"/>
    <xf numFmtId="0" fontId="5" fillId="0" borderId="23" xfId="1" applyFont="1" applyBorder="1" applyProtection="1"/>
    <xf numFmtId="0" fontId="5" fillId="0" borderId="19" xfId="1" applyFont="1" applyBorder="1" applyProtection="1"/>
    <xf numFmtId="0" fontId="5" fillId="0" borderId="40" xfId="1" applyFont="1" applyBorder="1" applyProtection="1"/>
    <xf numFmtId="0" fontId="5" fillId="0" borderId="0" xfId="1" applyFont="1" applyBorder="1" applyProtection="1"/>
    <xf numFmtId="0" fontId="5" fillId="0" borderId="2" xfId="1" applyFont="1" applyBorder="1" applyProtection="1"/>
    <xf numFmtId="0" fontId="14" fillId="37" borderId="40" xfId="1" applyFont="1" applyFill="1" applyBorder="1" applyAlignment="1" applyProtection="1">
      <alignment horizontal="center" vertical="center"/>
      <protection locked="0"/>
    </xf>
    <xf numFmtId="0" fontId="15" fillId="0" borderId="79" xfId="1" applyFont="1" applyBorder="1" applyAlignment="1">
      <alignment vertical="center"/>
    </xf>
    <xf numFmtId="0" fontId="10" fillId="0" borderId="78" xfId="1" applyFont="1" applyBorder="1" applyAlignment="1">
      <alignment horizontal="left" vertical="center"/>
    </xf>
    <xf numFmtId="0" fontId="5" fillId="33" borderId="79" xfId="1" applyFill="1" applyBorder="1" applyAlignment="1">
      <alignment vertical="center"/>
    </xf>
    <xf numFmtId="0" fontId="6" fillId="33" borderId="78" xfId="1" applyFont="1" applyFill="1" applyBorder="1" applyAlignment="1">
      <alignment horizontal="left" vertical="center"/>
    </xf>
    <xf numFmtId="0" fontId="15" fillId="33" borderId="32" xfId="1" applyFont="1" applyFill="1" applyBorder="1" applyAlignment="1">
      <alignment vertical="center"/>
    </xf>
    <xf numFmtId="0" fontId="15" fillId="33" borderId="262" xfId="1" applyFont="1" applyFill="1" applyBorder="1" applyAlignment="1">
      <alignment vertical="center"/>
    </xf>
    <xf numFmtId="0" fontId="10" fillId="33" borderId="32" xfId="1" applyFont="1" applyFill="1" applyBorder="1" applyAlignment="1">
      <alignment vertical="center"/>
    </xf>
    <xf numFmtId="0" fontId="11" fillId="3" borderId="262" xfId="2" applyFont="1" applyFill="1" applyBorder="1" applyAlignment="1" applyProtection="1">
      <alignment horizontal="left" vertical="center"/>
    </xf>
    <xf numFmtId="0" fontId="5" fillId="0" borderId="32" xfId="1" applyBorder="1" applyAlignment="1">
      <alignment vertical="center"/>
    </xf>
    <xf numFmtId="0" fontId="5" fillId="0" borderId="262" xfId="1" applyBorder="1" applyAlignment="1">
      <alignment vertical="center"/>
    </xf>
    <xf numFmtId="0" fontId="15" fillId="0" borderId="32" xfId="1" applyFont="1" applyBorder="1" applyAlignment="1">
      <alignment vertical="center"/>
    </xf>
    <xf numFmtId="0" fontId="10" fillId="0" borderId="262" xfId="1" applyFont="1" applyBorder="1" applyAlignment="1">
      <alignment horizontal="left" vertical="center"/>
    </xf>
    <xf numFmtId="0" fontId="10" fillId="0" borderId="32" xfId="1" applyFont="1" applyBorder="1" applyAlignment="1">
      <alignment vertical="center"/>
    </xf>
    <xf numFmtId="0" fontId="6" fillId="0" borderId="32" xfId="1" applyFont="1" applyBorder="1" applyAlignment="1">
      <alignment vertical="center"/>
    </xf>
    <xf numFmtId="0" fontId="10" fillId="0" borderId="262" xfId="1" applyFont="1" applyBorder="1" applyAlignment="1">
      <alignment horizontal="left"/>
    </xf>
    <xf numFmtId="0" fontId="5" fillId="0" borderId="32" xfId="1" applyBorder="1" applyAlignment="1"/>
    <xf numFmtId="0" fontId="5" fillId="0" borderId="32" xfId="1" applyFont="1" applyBorder="1" applyAlignment="1"/>
    <xf numFmtId="0" fontId="11" fillId="0" borderId="262" xfId="2" applyFont="1" applyFill="1" applyBorder="1" applyAlignment="1" applyProtection="1">
      <alignment horizontal="left" vertical="center"/>
    </xf>
    <xf numFmtId="0" fontId="11" fillId="2" borderId="304" xfId="2" applyFont="1" applyFill="1" applyBorder="1" applyAlignment="1" applyProtection="1">
      <alignment horizontal="left" vertical="center"/>
    </xf>
    <xf numFmtId="0" fontId="6" fillId="0" borderId="32" xfId="1" applyFont="1" applyBorder="1" applyAlignment="1">
      <alignment horizontal="left" vertical="center"/>
    </xf>
    <xf numFmtId="0" fontId="6" fillId="0" borderId="32" xfId="1" applyFont="1" applyBorder="1" applyAlignment="1">
      <alignment horizontal="left" vertical="center" indent="2"/>
    </xf>
    <xf numFmtId="0" fontId="10" fillId="0" borderId="262" xfId="1" applyFont="1" applyBorder="1"/>
    <xf numFmtId="0" fontId="9" fillId="2" borderId="304" xfId="2" applyFont="1" applyFill="1" applyBorder="1" applyAlignment="1" applyProtection="1">
      <alignment horizontal="left" vertical="center"/>
    </xf>
    <xf numFmtId="0" fontId="5" fillId="0" borderId="262" xfId="1" applyBorder="1" applyAlignment="1">
      <alignment horizontal="left" vertical="center"/>
    </xf>
    <xf numFmtId="0" fontId="6" fillId="0" borderId="60" xfId="1" applyFont="1" applyBorder="1" applyAlignment="1">
      <alignment vertical="center"/>
    </xf>
    <xf numFmtId="0" fontId="11" fillId="3" borderId="59" xfId="2" applyFont="1" applyFill="1" applyBorder="1" applyAlignment="1" applyProtection="1">
      <alignment horizontal="left" vertical="center"/>
    </xf>
    <xf numFmtId="0" fontId="14" fillId="0" borderId="2" xfId="1" applyFont="1" applyBorder="1" applyAlignment="1">
      <alignment vertical="center"/>
    </xf>
    <xf numFmtId="176" fontId="7" fillId="0" borderId="2" xfId="1" applyNumberFormat="1" applyFont="1" applyFill="1" applyBorder="1" applyAlignment="1" applyProtection="1">
      <alignment vertical="center"/>
    </xf>
    <xf numFmtId="176" fontId="7" fillId="0" borderId="61" xfId="1" applyNumberFormat="1" applyFont="1" applyFill="1" applyBorder="1" applyAlignment="1" applyProtection="1">
      <alignment vertical="center"/>
    </xf>
    <xf numFmtId="176" fontId="7" fillId="0" borderId="39" xfId="1" applyNumberFormat="1" applyFont="1" applyBorder="1" applyAlignment="1">
      <alignment vertical="center"/>
    </xf>
    <xf numFmtId="0" fontId="7" fillId="37" borderId="40" xfId="67" applyFont="1" applyFill="1" applyBorder="1" applyAlignment="1" applyProtection="1">
      <alignment horizontal="left" vertical="center"/>
      <protection locked="0"/>
    </xf>
    <xf numFmtId="179" fontId="7" fillId="37" borderId="40" xfId="67" applyNumberFormat="1" applyFont="1" applyFill="1" applyBorder="1" applyAlignment="1" applyProtection="1">
      <alignment horizontal="center" vertical="center"/>
      <protection locked="0"/>
    </xf>
    <xf numFmtId="2" fontId="7" fillId="37" borderId="67" xfId="67" applyNumberFormat="1" applyFont="1" applyFill="1" applyBorder="1" applyAlignment="1" applyProtection="1">
      <alignment horizontal="center" vertical="center"/>
      <protection locked="0"/>
    </xf>
    <xf numFmtId="4" fontId="7" fillId="37" borderId="66" xfId="67" applyNumberFormat="1" applyFont="1" applyFill="1" applyBorder="1" applyAlignment="1" applyProtection="1">
      <alignment horizontal="center" vertical="center"/>
      <protection locked="0"/>
    </xf>
    <xf numFmtId="4" fontId="7" fillId="37" borderId="82" xfId="67" applyNumberFormat="1" applyFont="1" applyFill="1" applyBorder="1" applyAlignment="1" applyProtection="1">
      <alignment horizontal="center" vertical="center"/>
      <protection locked="0"/>
    </xf>
    <xf numFmtId="4" fontId="7" fillId="0" borderId="65" xfId="67" applyNumberFormat="1" applyFont="1" applyFill="1" applyBorder="1" applyAlignment="1" applyProtection="1">
      <alignment horizontal="center" vertical="center"/>
    </xf>
    <xf numFmtId="0" fontId="7" fillId="0" borderId="65" xfId="1" applyFont="1" applyFill="1" applyBorder="1" applyAlignment="1">
      <alignment horizontal="center" vertical="center"/>
    </xf>
    <xf numFmtId="0" fontId="7" fillId="37" borderId="40" xfId="1" applyFont="1" applyFill="1" applyBorder="1" applyAlignment="1" applyProtection="1">
      <alignment horizontal="left" vertical="center"/>
      <protection locked="0"/>
    </xf>
    <xf numFmtId="180" fontId="3" fillId="37" borderId="65" xfId="1" applyNumberFormat="1" applyFont="1" applyFill="1" applyBorder="1" applyAlignment="1" applyProtection="1">
      <alignment vertical="center"/>
      <protection locked="0"/>
    </xf>
    <xf numFmtId="0" fontId="111" fillId="0" borderId="0" xfId="1" applyFont="1" applyFill="1" applyAlignment="1" applyProtection="1">
      <alignment horizontal="center" vertical="center"/>
    </xf>
    <xf numFmtId="0" fontId="7" fillId="0" borderId="19" xfId="1" applyFont="1" applyFill="1" applyBorder="1" applyAlignment="1" applyProtection="1">
      <alignment vertical="center"/>
    </xf>
    <xf numFmtId="188" fontId="10" fillId="0" borderId="47" xfId="1" applyNumberFormat="1" applyFont="1" applyFill="1" applyBorder="1" applyAlignment="1" applyProtection="1">
      <alignment horizontal="right" vertical="center"/>
    </xf>
    <xf numFmtId="0" fontId="21" fillId="0" borderId="263" xfId="1" applyFont="1" applyBorder="1" applyAlignment="1" applyProtection="1">
      <alignment vertical="center"/>
    </xf>
    <xf numFmtId="0" fontId="16" fillId="0" borderId="117" xfId="1" applyFont="1" applyFill="1" applyBorder="1" applyAlignment="1" applyProtection="1">
      <alignment vertical="center"/>
    </xf>
    <xf numFmtId="0" fontId="7" fillId="0" borderId="103" xfId="1" applyFont="1" applyFill="1" applyBorder="1" applyAlignment="1" applyProtection="1">
      <alignment vertical="center"/>
    </xf>
    <xf numFmtId="0" fontId="7" fillId="0" borderId="176" xfId="1" applyFont="1" applyFill="1" applyBorder="1" applyAlignment="1" applyProtection="1">
      <alignment vertical="center"/>
    </xf>
    <xf numFmtId="0" fontId="7" fillId="0" borderId="102" xfId="1" applyFont="1" applyFill="1" applyBorder="1" applyAlignment="1" applyProtection="1">
      <alignment vertical="center"/>
    </xf>
    <xf numFmtId="0" fontId="7" fillId="0" borderId="254" xfId="1" applyFont="1" applyFill="1" applyBorder="1" applyAlignment="1" applyProtection="1">
      <alignment vertical="center"/>
    </xf>
    <xf numFmtId="0" fontId="7" fillId="0" borderId="160" xfId="1" applyFont="1" applyFill="1" applyBorder="1" applyAlignment="1" applyProtection="1">
      <alignment vertical="center"/>
    </xf>
    <xf numFmtId="1" fontId="5" fillId="0" borderId="0" xfId="1" applyNumberFormat="1" applyFont="1" applyAlignment="1" applyProtection="1">
      <alignment horizontal="right" vertical="center"/>
    </xf>
    <xf numFmtId="0" fontId="19" fillId="0" borderId="0" xfId="1" applyFont="1" applyFill="1" applyAlignment="1" applyProtection="1">
      <alignment horizontal="right" vertical="center"/>
    </xf>
    <xf numFmtId="0" fontId="73" fillId="0" borderId="0" xfId="1" applyFont="1" applyFill="1" applyAlignment="1" applyProtection="1">
      <alignment vertical="center"/>
    </xf>
    <xf numFmtId="0" fontId="6" fillId="59" borderId="79" xfId="1" applyFont="1" applyFill="1" applyBorder="1" applyAlignment="1" applyProtection="1">
      <alignment horizontal="left" vertical="center"/>
    </xf>
    <xf numFmtId="0" fontId="6" fillId="59" borderId="24" xfId="1" applyFont="1" applyFill="1" applyBorder="1" applyAlignment="1" applyProtection="1">
      <alignment horizontal="left" vertical="center"/>
    </xf>
    <xf numFmtId="0" fontId="10" fillId="59" borderId="24" xfId="1" applyFont="1" applyFill="1" applyBorder="1" applyAlignment="1" applyProtection="1">
      <alignment vertical="center"/>
    </xf>
    <xf numFmtId="0" fontId="6" fillId="59" borderId="126" xfId="1" applyFont="1" applyFill="1" applyBorder="1" applyAlignment="1" applyProtection="1">
      <alignment horizontal="center" vertical="center"/>
    </xf>
    <xf numFmtId="0" fontId="10" fillId="59" borderId="32" xfId="1" applyFont="1" applyFill="1" applyBorder="1" applyAlignment="1" applyProtection="1"/>
    <xf numFmtId="0" fontId="10" fillId="59" borderId="0" xfId="1" applyFont="1" applyFill="1" applyBorder="1" applyAlignment="1" applyProtection="1"/>
    <xf numFmtId="0" fontId="5" fillId="59" borderId="40" xfId="1" applyFont="1" applyFill="1" applyBorder="1" applyAlignment="1" applyProtection="1">
      <alignment horizontal="center" vertical="center" wrapText="1"/>
    </xf>
    <xf numFmtId="0" fontId="6" fillId="59" borderId="77" xfId="181" applyFont="1" applyFill="1" applyBorder="1" applyAlignment="1" applyProtection="1">
      <alignment vertical="center"/>
    </xf>
    <xf numFmtId="0" fontId="6" fillId="59" borderId="57" xfId="181" applyFont="1" applyFill="1" applyBorder="1" applyAlignment="1" applyProtection="1">
      <alignment vertical="center"/>
    </xf>
    <xf numFmtId="0" fontId="14" fillId="59" borderId="58" xfId="181" applyFont="1" applyFill="1" applyBorder="1" applyAlignment="1" applyProtection="1">
      <alignment horizontal="center" vertical="center"/>
    </xf>
    <xf numFmtId="0" fontId="5" fillId="59" borderId="23" xfId="1" applyFill="1" applyBorder="1" applyAlignment="1" applyProtection="1">
      <alignment vertical="center"/>
    </xf>
    <xf numFmtId="0" fontId="5" fillId="59" borderId="42" xfId="1" applyFill="1" applyBorder="1" applyAlignment="1" applyProtection="1">
      <alignment vertical="center"/>
    </xf>
    <xf numFmtId="0" fontId="21" fillId="59" borderId="39" xfId="1" applyFont="1" applyFill="1" applyBorder="1" applyAlignment="1" applyProtection="1">
      <alignment horizontal="left" vertical="center"/>
    </xf>
    <xf numFmtId="0" fontId="21" fillId="59" borderId="2" xfId="1" applyFont="1" applyFill="1" applyBorder="1" applyAlignment="1" applyProtection="1">
      <alignment vertical="center"/>
    </xf>
    <xf numFmtId="0" fontId="5" fillId="59" borderId="2" xfId="1" applyFill="1" applyBorder="1" applyAlignment="1" applyProtection="1">
      <alignment vertical="center"/>
    </xf>
    <xf numFmtId="0" fontId="5" fillId="59" borderId="44" xfId="1" applyFill="1" applyBorder="1" applyAlignment="1" applyProtection="1">
      <alignment vertical="center"/>
    </xf>
    <xf numFmtId="0" fontId="5" fillId="0" borderId="25" xfId="181" applyFont="1" applyFill="1" applyBorder="1" applyAlignment="1" applyProtection="1">
      <alignment vertical="center"/>
    </xf>
    <xf numFmtId="0" fontId="5" fillId="0" borderId="48" xfId="181" applyFont="1" applyFill="1" applyBorder="1" applyAlignment="1" applyProtection="1">
      <alignment horizontal="left" vertical="center"/>
    </xf>
    <xf numFmtId="0" fontId="5" fillId="0" borderId="19" xfId="181" applyFill="1" applyBorder="1" applyAlignment="1" applyProtection="1">
      <alignment vertical="center"/>
    </xf>
    <xf numFmtId="0" fontId="5" fillId="0" borderId="47" xfId="181" applyFont="1" applyFill="1" applyBorder="1" applyAlignment="1" applyProtection="1">
      <alignment horizontal="left" vertical="center"/>
    </xf>
    <xf numFmtId="0" fontId="15" fillId="59" borderId="263" xfId="164" applyFont="1" applyFill="1" applyBorder="1" applyAlignment="1" applyProtection="1">
      <alignment vertical="center"/>
    </xf>
    <xf numFmtId="0" fontId="15" fillId="59" borderId="305" xfId="164" applyFont="1" applyFill="1" applyBorder="1" applyAlignment="1" applyProtection="1">
      <alignment vertical="center"/>
    </xf>
    <xf numFmtId="0" fontId="5" fillId="0" borderId="40" xfId="1" applyFont="1" applyFill="1" applyBorder="1" applyAlignment="1" applyProtection="1">
      <alignment vertical="center"/>
      <protection locked="0"/>
    </xf>
    <xf numFmtId="0" fontId="5" fillId="0" borderId="39" xfId="1" applyFont="1" applyFill="1" applyBorder="1" applyAlignment="1" applyProtection="1">
      <alignment vertical="center"/>
      <protection locked="0"/>
    </xf>
    <xf numFmtId="0" fontId="5" fillId="0" borderId="2" xfId="1" applyFont="1" applyFill="1" applyBorder="1" applyAlignment="1" applyProtection="1">
      <alignment vertical="center"/>
    </xf>
    <xf numFmtId="0" fontId="5" fillId="0" borderId="2" xfId="1" applyFont="1" applyFill="1" applyBorder="1" applyAlignment="1" applyProtection="1">
      <alignment horizontal="right" vertical="center"/>
    </xf>
    <xf numFmtId="0" fontId="6" fillId="61" borderId="22" xfId="2" applyFont="1" applyFill="1" applyBorder="1" applyAlignment="1" applyProtection="1">
      <alignment horizontal="center" vertical="center"/>
    </xf>
    <xf numFmtId="0" fontId="21" fillId="61" borderId="21" xfId="1" applyFont="1" applyFill="1" applyBorder="1" applyAlignment="1" applyProtection="1">
      <alignment horizontal="center" vertical="center"/>
    </xf>
    <xf numFmtId="0" fontId="5" fillId="61" borderId="21" xfId="2" applyFont="1" applyFill="1" applyBorder="1" applyAlignment="1" applyProtection="1">
      <alignment horizontal="center" vertical="center"/>
    </xf>
    <xf numFmtId="0" fontId="21" fillId="61" borderId="20" xfId="1" applyFont="1" applyFill="1" applyBorder="1" applyAlignment="1" applyProtection="1">
      <alignment horizontal="center" vertical="center"/>
    </xf>
    <xf numFmtId="0" fontId="6" fillId="61" borderId="21" xfId="2" applyFont="1" applyFill="1" applyBorder="1" applyAlignment="1" applyProtection="1">
      <alignment horizontal="center" vertical="center"/>
    </xf>
    <xf numFmtId="0" fontId="21" fillId="61" borderId="20" xfId="2" applyFont="1" applyFill="1" applyBorder="1" applyAlignment="1" applyProtection="1">
      <alignment horizontal="center" vertical="center"/>
    </xf>
    <xf numFmtId="0" fontId="5" fillId="62" borderId="22" xfId="2" applyFont="1" applyFill="1" applyBorder="1" applyAlignment="1" applyProtection="1">
      <alignment horizontal="center" vertical="center"/>
    </xf>
    <xf numFmtId="0" fontId="5" fillId="62" borderId="21" xfId="2" applyFont="1" applyFill="1" applyBorder="1" applyAlignment="1" applyProtection="1">
      <alignment horizontal="center" vertical="center"/>
    </xf>
    <xf numFmtId="0" fontId="5" fillId="62" borderId="20" xfId="2" applyFont="1" applyFill="1" applyBorder="1" applyAlignment="1" applyProtection="1">
      <alignment horizontal="center" vertical="center"/>
    </xf>
    <xf numFmtId="0" fontId="21" fillId="62" borderId="21" xfId="2" applyFont="1" applyFill="1" applyBorder="1" applyAlignment="1" applyProtection="1">
      <alignment horizontal="center" vertical="center"/>
    </xf>
    <xf numFmtId="0" fontId="17" fillId="0" borderId="107" xfId="124" applyFont="1" applyBorder="1" applyAlignment="1" applyProtection="1">
      <alignment horizontal="center" vertical="center"/>
    </xf>
    <xf numFmtId="0" fontId="44" fillId="0" borderId="179" xfId="124" applyFont="1" applyBorder="1" applyAlignment="1" applyProtection="1">
      <alignment horizontal="left" vertical="center"/>
    </xf>
    <xf numFmtId="0" fontId="45" fillId="0" borderId="40" xfId="1" applyFont="1" applyBorder="1"/>
    <xf numFmtId="0" fontId="45" fillId="0" borderId="0" xfId="124" applyFont="1" applyBorder="1" applyAlignment="1" applyProtection="1">
      <alignment vertical="center"/>
    </xf>
    <xf numFmtId="0" fontId="93" fillId="31" borderId="177" xfId="124" applyFont="1" applyFill="1" applyBorder="1" applyAlignment="1" applyProtection="1">
      <alignment vertical="center"/>
      <protection locked="0"/>
    </xf>
    <xf numFmtId="0" fontId="45" fillId="31" borderId="98" xfId="124" applyFont="1" applyFill="1" applyBorder="1" applyAlignment="1" applyProtection="1">
      <alignment horizontal="center" vertical="center"/>
      <protection locked="0"/>
    </xf>
    <xf numFmtId="0" fontId="45" fillId="31" borderId="177" xfId="124" applyFont="1" applyFill="1" applyBorder="1" applyAlignment="1" applyProtection="1">
      <alignment horizontal="center" vertical="center"/>
      <protection locked="0"/>
    </xf>
    <xf numFmtId="0" fontId="45" fillId="31" borderId="176" xfId="124" applyFont="1" applyFill="1" applyBorder="1" applyAlignment="1" applyProtection="1">
      <alignment horizontal="left" vertical="center"/>
      <protection locked="0"/>
    </xf>
    <xf numFmtId="0" fontId="45" fillId="31" borderId="46" xfId="124" applyFont="1" applyFill="1" applyBorder="1" applyAlignment="1" applyProtection="1">
      <alignment horizontal="center" vertical="center"/>
      <protection locked="0"/>
    </xf>
    <xf numFmtId="0" fontId="45" fillId="31" borderId="59" xfId="124" applyFont="1" applyFill="1" applyBorder="1" applyAlignment="1" applyProtection="1">
      <alignment horizontal="center" vertical="center"/>
      <protection locked="0"/>
    </xf>
    <xf numFmtId="0" fontId="45" fillId="0" borderId="39" xfId="1" applyFont="1" applyBorder="1"/>
    <xf numFmtId="0" fontId="5" fillId="0" borderId="305" xfId="1" applyBorder="1"/>
    <xf numFmtId="0" fontId="17" fillId="0" borderId="58" xfId="124" applyFont="1" applyBorder="1" applyAlignment="1" applyProtection="1">
      <alignment vertical="center"/>
    </xf>
    <xf numFmtId="0" fontId="45" fillId="0" borderId="43" xfId="1" applyFont="1" applyBorder="1"/>
    <xf numFmtId="0" fontId="45" fillId="0" borderId="263" xfId="124" applyFont="1" applyBorder="1" applyAlignment="1" applyProtection="1">
      <alignment vertical="center"/>
    </xf>
    <xf numFmtId="0" fontId="17" fillId="0" borderId="305" xfId="124" applyFont="1" applyBorder="1" applyAlignment="1" applyProtection="1">
      <alignment vertical="center"/>
    </xf>
    <xf numFmtId="0" fontId="5" fillId="33" borderId="0" xfId="1" applyFill="1" applyBorder="1" applyAlignment="1">
      <alignment horizontal="left" vertical="top" wrapText="1"/>
    </xf>
    <xf numFmtId="0" fontId="5" fillId="33" borderId="0" xfId="1" applyFont="1" applyFill="1" applyBorder="1" applyAlignment="1">
      <alignment horizontal="left" vertical="top" wrapText="1"/>
    </xf>
    <xf numFmtId="0" fontId="7" fillId="0" borderId="19" xfId="1" applyFont="1" applyBorder="1" applyAlignment="1">
      <alignment horizontal="center" vertical="center" wrapText="1"/>
    </xf>
    <xf numFmtId="0" fontId="191" fillId="0" borderId="0" xfId="1" applyFont="1" applyBorder="1" applyAlignment="1">
      <alignment vertical="center"/>
    </xf>
    <xf numFmtId="0" fontId="124" fillId="0" borderId="0" xfId="1" applyFont="1" applyBorder="1"/>
    <xf numFmtId="0" fontId="5" fillId="0" borderId="0" xfId="1" applyFont="1" applyFill="1" applyAlignment="1" applyProtection="1">
      <alignment vertical="center"/>
    </xf>
    <xf numFmtId="0" fontId="5" fillId="0" borderId="99" xfId="1" applyFont="1" applyFill="1" applyBorder="1" applyAlignment="1" applyProtection="1">
      <alignment vertical="center"/>
    </xf>
    <xf numFmtId="0" fontId="5" fillId="0" borderId="103" xfId="1" applyFont="1" applyFill="1" applyBorder="1" applyAlignment="1" applyProtection="1">
      <alignment vertical="center"/>
    </xf>
    <xf numFmtId="0" fontId="5" fillId="0" borderId="39" xfId="1" applyFont="1" applyFill="1" applyBorder="1" applyAlignment="1" applyProtection="1">
      <alignment vertical="center"/>
    </xf>
    <xf numFmtId="0" fontId="5" fillId="0" borderId="23" xfId="1" applyFont="1" applyFill="1" applyBorder="1" applyAlignment="1" applyProtection="1">
      <alignment vertical="center"/>
    </xf>
    <xf numFmtId="0" fontId="15" fillId="59" borderId="43" xfId="1" applyFont="1" applyFill="1" applyBorder="1" applyAlignment="1" applyProtection="1">
      <alignment vertical="center"/>
    </xf>
    <xf numFmtId="0" fontId="192" fillId="0" borderId="262" xfId="2" applyFont="1" applyFill="1" applyBorder="1" applyAlignment="1" applyProtection="1">
      <alignment horizontal="left" vertical="center"/>
    </xf>
    <xf numFmtId="0" fontId="194" fillId="0" borderId="27" xfId="124" applyFont="1" applyFill="1" applyBorder="1" applyAlignment="1" applyProtection="1">
      <alignment vertical="center"/>
    </xf>
    <xf numFmtId="185" fontId="194" fillId="37" borderId="91" xfId="124" applyNumberFormat="1" applyFont="1" applyFill="1" applyBorder="1" applyAlignment="1" applyProtection="1">
      <alignment vertical="center"/>
      <protection locked="0"/>
    </xf>
    <xf numFmtId="0" fontId="194" fillId="0" borderId="26" xfId="0" applyFont="1" applyBorder="1" applyAlignment="1">
      <alignment horizontal="center" vertical="center"/>
    </xf>
    <xf numFmtId="0" fontId="194" fillId="0" borderId="26" xfId="0" applyFont="1" applyFill="1" applyBorder="1" applyAlignment="1">
      <alignment horizontal="center" vertical="center"/>
    </xf>
    <xf numFmtId="0" fontId="17" fillId="33" borderId="26" xfId="0" applyFont="1" applyFill="1" applyBorder="1" applyAlignment="1">
      <alignment horizontal="center" vertical="center"/>
    </xf>
    <xf numFmtId="0" fontId="44" fillId="31" borderId="30" xfId="106" applyFont="1" applyFill="1" applyBorder="1" applyAlignment="1" applyProtection="1">
      <alignment horizontal="center" vertical="center"/>
      <protection locked="0"/>
    </xf>
    <xf numFmtId="0" fontId="44" fillId="31" borderId="40" xfId="106" applyFont="1" applyFill="1" applyBorder="1" applyAlignment="1" applyProtection="1">
      <alignment horizontal="center" vertical="center"/>
      <protection locked="0"/>
    </xf>
    <xf numFmtId="0" fontId="44" fillId="31" borderId="29" xfId="106" applyFont="1" applyFill="1" applyBorder="1" applyAlignment="1" applyProtection="1">
      <alignment horizontal="center" vertical="center"/>
      <protection locked="0"/>
    </xf>
    <xf numFmtId="0" fontId="17" fillId="31" borderId="38" xfId="124" applyFont="1" applyFill="1" applyBorder="1" applyAlignment="1" applyProtection="1">
      <alignment vertical="center"/>
      <protection locked="0"/>
    </xf>
    <xf numFmtId="185" fontId="17" fillId="31" borderId="38" xfId="124" applyNumberFormat="1" applyFont="1" applyFill="1" applyBorder="1" applyAlignment="1" applyProtection="1">
      <alignment vertical="center"/>
      <protection locked="0"/>
    </xf>
    <xf numFmtId="0" fontId="17" fillId="31" borderId="99" xfId="124" applyFont="1" applyFill="1" applyBorder="1" applyAlignment="1" applyProtection="1">
      <alignment horizontal="center" vertical="center"/>
      <protection locked="0"/>
    </xf>
    <xf numFmtId="0" fontId="17" fillId="0" borderId="6" xfId="124" applyFont="1" applyBorder="1" applyAlignment="1" applyProtection="1">
      <alignment horizontal="center" vertical="center"/>
    </xf>
    <xf numFmtId="182" fontId="17" fillId="0" borderId="72" xfId="124" applyNumberFormat="1" applyFont="1" applyFill="1" applyBorder="1" applyAlignment="1" applyProtection="1">
      <alignment vertical="center"/>
    </xf>
    <xf numFmtId="0" fontId="17" fillId="0" borderId="39" xfId="124" applyFont="1" applyFill="1" applyBorder="1" applyAlignment="1" applyProtection="1">
      <alignment horizontal="center" vertical="center"/>
    </xf>
    <xf numFmtId="185" fontId="17" fillId="0" borderId="2" xfId="124" applyNumberFormat="1" applyFont="1" applyFill="1" applyBorder="1" applyAlignment="1" applyProtection="1">
      <alignment vertical="center"/>
    </xf>
    <xf numFmtId="0" fontId="17" fillId="0" borderId="2" xfId="124" applyFont="1" applyFill="1" applyBorder="1" applyAlignment="1" applyProtection="1">
      <alignment vertical="center"/>
    </xf>
    <xf numFmtId="0" fontId="17" fillId="0" borderId="80" xfId="124" applyFont="1" applyFill="1" applyBorder="1" applyAlignment="1" applyProtection="1">
      <alignment vertical="center"/>
    </xf>
    <xf numFmtId="176" fontId="7" fillId="0" borderId="157" xfId="1" applyNumberFormat="1" applyFont="1" applyFill="1" applyBorder="1" applyAlignment="1" applyProtection="1">
      <alignment vertical="center"/>
    </xf>
    <xf numFmtId="188" fontId="15" fillId="0" borderId="23" xfId="61" applyNumberFormat="1" applyFont="1" applyFill="1" applyBorder="1" applyAlignment="1" applyProtection="1">
      <alignment vertical="center"/>
    </xf>
    <xf numFmtId="0" fontId="7" fillId="0" borderId="0" xfId="1" applyFont="1" applyFill="1" applyBorder="1" applyAlignment="1" applyProtection="1">
      <alignment vertical="center"/>
      <protection locked="0"/>
    </xf>
    <xf numFmtId="202" fontId="7" fillId="0" borderId="90" xfId="1" applyNumberFormat="1" applyFont="1" applyFill="1" applyBorder="1" applyAlignment="1" applyProtection="1">
      <alignment horizontal="center" vertical="center"/>
    </xf>
    <xf numFmtId="0" fontId="17" fillId="0" borderId="19" xfId="105" applyFont="1" applyFill="1" applyBorder="1" applyAlignment="1" applyProtection="1">
      <alignment horizontal="left" vertical="center"/>
    </xf>
    <xf numFmtId="202" fontId="7" fillId="0" borderId="0" xfId="1" applyNumberFormat="1" applyFont="1" applyFill="1" applyBorder="1" applyAlignment="1" applyProtection="1">
      <alignment horizontal="center" vertical="center"/>
    </xf>
    <xf numFmtId="0" fontId="10" fillId="0" borderId="0" xfId="1" applyFont="1" applyFill="1" applyBorder="1" applyAlignment="1" applyProtection="1">
      <alignment vertical="top"/>
    </xf>
    <xf numFmtId="170" fontId="7" fillId="0" borderId="263" xfId="1" applyNumberFormat="1" applyFont="1" applyFill="1" applyBorder="1" applyAlignment="1" applyProtection="1">
      <alignment horizontal="right" vertical="center"/>
    </xf>
    <xf numFmtId="0" fontId="7" fillId="0" borderId="44" xfId="1" applyFont="1" applyFill="1" applyBorder="1" applyAlignment="1" applyProtection="1">
      <alignment vertical="center"/>
    </xf>
    <xf numFmtId="0" fontId="44" fillId="4" borderId="279" xfId="1" applyFont="1" applyFill="1" applyBorder="1" applyAlignment="1" applyProtection="1">
      <alignment horizontal="right" vertical="top"/>
    </xf>
    <xf numFmtId="186" fontId="10" fillId="0" borderId="0" xfId="1" applyNumberFormat="1" applyFont="1" applyFill="1" applyBorder="1" applyAlignment="1" applyProtection="1">
      <alignment horizontal="center" vertical="center"/>
    </xf>
    <xf numFmtId="0" fontId="5" fillId="0" borderId="0" xfId="1" applyFill="1" applyAlignment="1" applyProtection="1">
      <alignment horizontal="right" vertical="top"/>
    </xf>
    <xf numFmtId="177" fontId="7" fillId="0" borderId="0" xfId="1" applyNumberFormat="1" applyFont="1" applyFill="1" applyBorder="1" applyAlignment="1" applyProtection="1">
      <alignment horizontal="right" vertical="center"/>
    </xf>
    <xf numFmtId="177" fontId="7" fillId="0" borderId="0" xfId="1" applyNumberFormat="1" applyFont="1" applyFill="1" applyBorder="1" applyAlignment="1" applyProtection="1">
      <alignment horizontal="centerContinuous" vertical="center"/>
    </xf>
    <xf numFmtId="2" fontId="21" fillId="0" borderId="306" xfId="164" applyNumberFormat="1" applyFont="1" applyBorder="1" applyAlignment="1">
      <alignment horizontal="center"/>
    </xf>
    <xf numFmtId="0" fontId="56" fillId="0" borderId="0" xfId="1" applyFont="1" applyFill="1" applyBorder="1" applyAlignment="1" applyProtection="1">
      <alignment horizontal="center" vertical="center" wrapText="1"/>
    </xf>
    <xf numFmtId="0" fontId="14" fillId="0" borderId="0" xfId="1" applyFont="1" applyBorder="1" applyAlignment="1" applyProtection="1">
      <alignment horizontal="center" vertical="center"/>
    </xf>
    <xf numFmtId="171" fontId="5" fillId="37" borderId="62" xfId="135" applyNumberFormat="1" applyFont="1" applyFill="1" applyBorder="1" applyAlignment="1" applyProtection="1">
      <alignment horizontal="right" vertical="center"/>
      <protection locked="0"/>
    </xf>
    <xf numFmtId="4" fontId="5" fillId="0" borderId="40" xfId="1" applyNumberFormat="1" applyFont="1" applyFill="1" applyBorder="1" applyAlignment="1" applyProtection="1">
      <alignment horizontal="center" vertical="center"/>
    </xf>
    <xf numFmtId="0" fontId="15" fillId="59" borderId="43" xfId="1" applyFont="1" applyFill="1" applyBorder="1" applyAlignment="1" applyProtection="1">
      <alignment horizontal="left" vertical="center"/>
    </xf>
    <xf numFmtId="0" fontId="15" fillId="59" borderId="263" xfId="1" applyFont="1" applyFill="1" applyBorder="1" applyAlignment="1" applyProtection="1">
      <alignment horizontal="left" vertical="center"/>
    </xf>
    <xf numFmtId="0" fontId="15" fillId="59" borderId="42" xfId="1" applyFont="1" applyFill="1" applyBorder="1" applyAlignment="1" applyProtection="1">
      <alignment horizontal="left" vertical="center"/>
    </xf>
    <xf numFmtId="0" fontId="15" fillId="59" borderId="39" xfId="1" applyFont="1" applyFill="1" applyBorder="1" applyAlignment="1" applyProtection="1">
      <alignment horizontal="left" vertical="center"/>
    </xf>
    <xf numFmtId="0" fontId="15" fillId="59" borderId="2" xfId="1" applyFont="1" applyFill="1" applyBorder="1" applyAlignment="1" applyProtection="1">
      <alignment horizontal="left" vertical="center"/>
    </xf>
    <xf numFmtId="0" fontId="15" fillId="59" borderId="44" xfId="1" applyFont="1" applyFill="1" applyBorder="1" applyAlignment="1" applyProtection="1">
      <alignment horizontal="left" vertical="center"/>
    </xf>
    <xf numFmtId="0" fontId="14" fillId="0" borderId="43" xfId="1" applyFont="1" applyBorder="1" applyAlignment="1" applyProtection="1">
      <alignment horizontal="left" vertical="center"/>
    </xf>
    <xf numFmtId="0" fontId="14" fillId="0" borderId="23" xfId="1" applyFont="1" applyBorder="1" applyAlignment="1" applyProtection="1">
      <alignment horizontal="left" vertical="center"/>
    </xf>
    <xf numFmtId="0" fontId="7" fillId="0" borderId="39" xfId="1" applyFont="1" applyBorder="1" applyAlignment="1" applyProtection="1">
      <alignment horizontal="center" vertical="center"/>
    </xf>
    <xf numFmtId="0" fontId="14" fillId="0" borderId="43" xfId="1" applyFont="1" applyBorder="1" applyAlignment="1" applyProtection="1">
      <alignment horizontal="center" vertical="center"/>
    </xf>
    <xf numFmtId="0" fontId="56" fillId="4" borderId="43" xfId="164" applyFont="1" applyFill="1" applyBorder="1" applyAlignment="1" applyProtection="1">
      <alignment horizontal="center" vertical="center"/>
    </xf>
    <xf numFmtId="0" fontId="56" fillId="4" borderId="263" xfId="164" applyFont="1" applyFill="1" applyBorder="1" applyAlignment="1" applyProtection="1">
      <alignment horizontal="center" vertical="center"/>
    </xf>
    <xf numFmtId="0" fontId="5" fillId="0" borderId="40" xfId="164" applyBorder="1" applyAlignment="1">
      <alignment horizontal="center"/>
    </xf>
    <xf numFmtId="0" fontId="5" fillId="0" borderId="2" xfId="164" applyBorder="1" applyAlignment="1">
      <alignment horizontal="center"/>
    </xf>
    <xf numFmtId="0" fontId="5" fillId="0" borderId="39" xfId="164" applyBorder="1" applyAlignment="1">
      <alignment horizontal="center"/>
    </xf>
    <xf numFmtId="0" fontId="5" fillId="0" borderId="44" xfId="164" applyBorder="1" applyAlignment="1">
      <alignment horizontal="center"/>
    </xf>
    <xf numFmtId="2" fontId="5" fillId="0" borderId="77" xfId="164" applyNumberFormat="1" applyFont="1" applyFill="1" applyBorder="1" applyAlignment="1" applyProtection="1">
      <alignment horizontal="center" vertical="center"/>
      <protection locked="0"/>
    </xf>
    <xf numFmtId="2" fontId="5" fillId="0" borderId="58" xfId="164" applyNumberFormat="1" applyFont="1" applyFill="1" applyBorder="1" applyAlignment="1" applyProtection="1">
      <alignment horizontal="center" vertical="center"/>
      <protection locked="0"/>
    </xf>
    <xf numFmtId="0" fontId="56" fillId="4" borderId="42" xfId="164" applyFont="1" applyFill="1" applyBorder="1" applyAlignment="1" applyProtection="1">
      <alignment horizontal="center" vertical="center"/>
    </xf>
    <xf numFmtId="0" fontId="48" fillId="0" borderId="0" xfId="1" applyFont="1" applyFill="1" applyBorder="1" applyAlignment="1">
      <alignment vertical="center"/>
    </xf>
    <xf numFmtId="0" fontId="196" fillId="0" borderId="0" xfId="1" applyFont="1" applyFill="1" applyBorder="1" applyAlignment="1">
      <alignment vertical="center"/>
    </xf>
    <xf numFmtId="0" fontId="124" fillId="0" borderId="0" xfId="1" applyFont="1" applyFill="1" applyBorder="1" applyAlignment="1" applyProtection="1">
      <alignment vertical="center"/>
      <protection locked="0"/>
    </xf>
    <xf numFmtId="171" fontId="197" fillId="0" borderId="0" xfId="1" applyNumberFormat="1" applyFont="1" applyFill="1" applyBorder="1" applyAlignment="1">
      <alignment horizontal="right" vertical="center"/>
    </xf>
    <xf numFmtId="0" fontId="124" fillId="0" borderId="0" xfId="1" applyFont="1" applyFill="1" applyBorder="1" applyAlignment="1">
      <alignment vertical="center"/>
    </xf>
    <xf numFmtId="0" fontId="124" fillId="0" borderId="0" xfId="1" applyFont="1" applyFill="1" applyAlignment="1">
      <alignment vertical="center"/>
    </xf>
    <xf numFmtId="0" fontId="10" fillId="0" borderId="0" xfId="1" applyFont="1" applyFill="1" applyAlignment="1">
      <alignment vertical="center"/>
    </xf>
    <xf numFmtId="0" fontId="47" fillId="0" borderId="0" xfId="1" applyFont="1" applyBorder="1" applyAlignment="1" applyProtection="1">
      <alignment vertical="center"/>
    </xf>
    <xf numFmtId="0" fontId="69" fillId="0" borderId="0" xfId="1" applyFont="1" applyProtection="1"/>
    <xf numFmtId="0" fontId="7" fillId="0" borderId="94" xfId="1" applyFont="1" applyBorder="1" applyAlignment="1" applyProtection="1">
      <alignment vertical="center"/>
    </xf>
    <xf numFmtId="3" fontId="7" fillId="0" borderId="0" xfId="1" applyNumberFormat="1" applyFont="1" applyBorder="1" applyAlignment="1" applyProtection="1">
      <alignment vertical="center"/>
    </xf>
    <xf numFmtId="3" fontId="7" fillId="0" borderId="36" xfId="1" applyNumberFormat="1" applyFont="1" applyBorder="1" applyAlignment="1" applyProtection="1">
      <alignment vertical="center"/>
    </xf>
    <xf numFmtId="0" fontId="16" fillId="0" borderId="44" xfId="1" applyFont="1" applyBorder="1" applyAlignment="1" applyProtection="1">
      <alignment horizontal="center" vertical="center"/>
    </xf>
    <xf numFmtId="0" fontId="14" fillId="0" borderId="305" xfId="1" applyFont="1" applyBorder="1" applyAlignment="1" applyProtection="1">
      <alignment horizontal="center" vertical="center"/>
    </xf>
    <xf numFmtId="0" fontId="16" fillId="0" borderId="39" xfId="1" applyFont="1" applyBorder="1" applyAlignment="1" applyProtection="1">
      <alignment horizontal="left" vertical="center"/>
    </xf>
    <xf numFmtId="0" fontId="5" fillId="0" borderId="77" xfId="1" applyBorder="1" applyAlignment="1" applyProtection="1">
      <alignment vertical="center"/>
    </xf>
    <xf numFmtId="2" fontId="5" fillId="0" borderId="3" xfId="164" applyNumberFormat="1" applyFont="1" applyFill="1" applyBorder="1" applyAlignment="1" applyProtection="1">
      <alignment vertical="center"/>
    </xf>
    <xf numFmtId="2" fontId="5" fillId="0" borderId="3" xfId="164" applyNumberFormat="1" applyFont="1" applyBorder="1" applyAlignment="1" applyProtection="1">
      <alignment vertical="center"/>
    </xf>
    <xf numFmtId="0" fontId="5" fillId="0" borderId="57" xfId="164" applyFont="1" applyBorder="1" applyAlignment="1" applyProtection="1">
      <alignment vertical="center"/>
    </xf>
    <xf numFmtId="0" fontId="5" fillId="0" borderId="3" xfId="1" applyBorder="1" applyAlignment="1" applyProtection="1">
      <alignment vertical="center"/>
    </xf>
    <xf numFmtId="2" fontId="5" fillId="4" borderId="3" xfId="164" applyNumberFormat="1" applyFont="1" applyFill="1" applyBorder="1" applyAlignment="1" applyProtection="1">
      <alignment vertical="center"/>
    </xf>
    <xf numFmtId="0" fontId="5" fillId="59" borderId="43" xfId="164" applyFill="1" applyBorder="1" applyAlignment="1" applyProtection="1">
      <alignment vertical="center"/>
    </xf>
    <xf numFmtId="0" fontId="5" fillId="33" borderId="305" xfId="1" applyFill="1" applyBorder="1" applyAlignment="1" applyProtection="1">
      <alignment vertical="center"/>
    </xf>
    <xf numFmtId="0" fontId="56" fillId="33" borderId="43" xfId="164" applyFont="1" applyFill="1" applyBorder="1" applyAlignment="1" applyProtection="1">
      <alignment horizontal="center" vertical="center"/>
    </xf>
    <xf numFmtId="0" fontId="5" fillId="33" borderId="0" xfId="1" applyFill="1" applyAlignment="1" applyProtection="1">
      <alignment vertical="center"/>
    </xf>
    <xf numFmtId="0" fontId="5" fillId="33" borderId="39" xfId="164" applyFill="1" applyBorder="1" applyAlignment="1">
      <alignment horizontal="right"/>
    </xf>
    <xf numFmtId="0" fontId="5" fillId="33" borderId="44" xfId="164" applyFill="1" applyBorder="1" applyAlignment="1">
      <alignment horizontal="center"/>
    </xf>
    <xf numFmtId="0" fontId="5" fillId="33" borderId="43" xfId="1" applyFill="1" applyBorder="1" applyAlignment="1" applyProtection="1">
      <alignment vertical="center"/>
    </xf>
    <xf numFmtId="0" fontId="56" fillId="33" borderId="263" xfId="164" applyFont="1" applyFill="1" applyBorder="1" applyAlignment="1" applyProtection="1">
      <alignment horizontal="center" vertical="center"/>
    </xf>
    <xf numFmtId="0" fontId="56" fillId="33" borderId="305" xfId="164" applyFont="1" applyFill="1" applyBorder="1" applyAlignment="1" applyProtection="1">
      <alignment horizontal="center" vertical="center"/>
    </xf>
    <xf numFmtId="0" fontId="5" fillId="33" borderId="57" xfId="1" applyFill="1" applyBorder="1" applyAlignment="1" applyProtection="1">
      <alignment vertical="center"/>
    </xf>
    <xf numFmtId="4" fontId="5" fillId="0" borderId="142" xfId="1" applyNumberFormat="1" applyFont="1" applyFill="1" applyBorder="1" applyAlignment="1" applyProtection="1">
      <alignment horizontal="center" vertical="center"/>
    </xf>
    <xf numFmtId="2" fontId="16" fillId="37" borderId="39" xfId="164" applyNumberFormat="1" applyFont="1" applyFill="1" applyBorder="1" applyAlignment="1" applyProtection="1">
      <alignment horizontal="center" vertical="center"/>
      <protection locked="0"/>
    </xf>
    <xf numFmtId="2" fontId="16" fillId="37" borderId="58" xfId="164" applyNumberFormat="1" applyFont="1" applyFill="1" applyBorder="1" applyAlignment="1" applyProtection="1">
      <alignment horizontal="center" vertical="center"/>
      <protection locked="0"/>
    </xf>
    <xf numFmtId="0" fontId="16" fillId="0" borderId="305" xfId="164" applyFont="1" applyBorder="1" applyAlignment="1" applyProtection="1">
      <alignment vertical="center"/>
    </xf>
    <xf numFmtId="0" fontId="16" fillId="0" borderId="19" xfId="164" applyFont="1" applyBorder="1" applyAlignment="1" applyProtection="1">
      <alignment vertical="center"/>
    </xf>
    <xf numFmtId="0" fontId="16" fillId="37" borderId="2" xfId="164" applyFont="1" applyFill="1" applyBorder="1" applyAlignment="1" applyProtection="1">
      <alignment vertical="center"/>
    </xf>
    <xf numFmtId="0" fontId="16" fillId="37" borderId="44" xfId="164" applyFont="1" applyFill="1" applyBorder="1" applyAlignment="1" applyProtection="1">
      <alignment vertical="center"/>
    </xf>
    <xf numFmtId="0" fontId="56" fillId="33" borderId="43" xfId="164" applyFont="1" applyFill="1" applyBorder="1" applyAlignment="1" applyProtection="1">
      <alignment vertical="center"/>
    </xf>
    <xf numFmtId="0" fontId="5" fillId="33" borderId="19" xfId="1" applyFill="1" applyBorder="1" applyAlignment="1" applyProtection="1">
      <alignment vertical="center"/>
    </xf>
    <xf numFmtId="0" fontId="5" fillId="33" borderId="40" xfId="164" applyFill="1" applyBorder="1" applyAlignment="1"/>
    <xf numFmtId="0" fontId="5" fillId="33" borderId="40" xfId="1" applyFill="1" applyBorder="1" applyAlignment="1"/>
    <xf numFmtId="0" fontId="5" fillId="0" borderId="34" xfId="164" applyBorder="1" applyAlignment="1" applyProtection="1">
      <alignment vertical="center"/>
    </xf>
    <xf numFmtId="0" fontId="5" fillId="33" borderId="39" xfId="1" applyFill="1" applyBorder="1" applyAlignment="1"/>
    <xf numFmtId="0" fontId="5" fillId="33" borderId="44" xfId="1" applyFill="1" applyBorder="1" applyAlignment="1" applyProtection="1">
      <alignment vertical="center"/>
    </xf>
    <xf numFmtId="184" fontId="7" fillId="4" borderId="40" xfId="61" applyNumberFormat="1" applyFont="1" applyFill="1" applyBorder="1" applyAlignment="1" applyProtection="1">
      <alignment horizontal="center" vertical="center"/>
    </xf>
    <xf numFmtId="176" fontId="7" fillId="0" borderId="0" xfId="61" applyNumberFormat="1" applyFont="1" applyFill="1" applyBorder="1" applyAlignment="1" applyProtection="1">
      <alignment vertical="center"/>
    </xf>
    <xf numFmtId="0" fontId="5" fillId="0" borderId="0" xfId="1" applyFill="1" applyBorder="1" applyAlignment="1" applyProtection="1">
      <alignment horizontal="left" vertical="center"/>
    </xf>
    <xf numFmtId="0" fontId="13" fillId="0" borderId="0" xfId="1" applyFont="1" applyFill="1" applyBorder="1" applyAlignment="1" applyProtection="1">
      <alignment horizontal="left" vertical="center"/>
    </xf>
    <xf numFmtId="0" fontId="14" fillId="0" borderId="0" xfId="1" applyFont="1" applyFill="1" applyBorder="1" applyAlignment="1" applyProtection="1">
      <alignment horizontal="centerContinuous" vertical="center"/>
    </xf>
    <xf numFmtId="0" fontId="76" fillId="0" borderId="40" xfId="1" applyFont="1" applyFill="1" applyBorder="1" applyAlignment="1" applyProtection="1">
      <alignment horizontal="center" vertical="center"/>
    </xf>
    <xf numFmtId="0" fontId="14" fillId="0" borderId="39" xfId="1" applyFont="1" applyFill="1" applyBorder="1" applyAlignment="1" applyProtection="1">
      <alignment horizontal="center" vertical="center"/>
    </xf>
    <xf numFmtId="0" fontId="5" fillId="0" borderId="0" xfId="1" applyFill="1" applyBorder="1" applyAlignment="1">
      <alignment horizontal="centerContinuous" vertical="center"/>
    </xf>
    <xf numFmtId="0" fontId="144" fillId="0" borderId="0" xfId="1" applyFont="1" applyFill="1" applyBorder="1" applyAlignment="1">
      <alignment horizontal="right" vertical="center"/>
    </xf>
    <xf numFmtId="0" fontId="7" fillId="0" borderId="19" xfId="1" applyFont="1" applyFill="1" applyBorder="1" applyAlignment="1" applyProtection="1">
      <alignment vertical="center"/>
      <protection locked="0"/>
    </xf>
    <xf numFmtId="176" fontId="12" fillId="0" borderId="65" xfId="1" applyNumberFormat="1" applyFont="1" applyFill="1" applyBorder="1" applyAlignment="1" applyProtection="1">
      <alignment vertical="center"/>
      <protection locked="0"/>
    </xf>
    <xf numFmtId="3" fontId="7" fillId="31" borderId="82" xfId="1" applyNumberFormat="1" applyFont="1" applyFill="1" applyBorder="1" applyAlignment="1" applyProtection="1">
      <alignment vertical="center"/>
      <protection locked="0"/>
    </xf>
    <xf numFmtId="3" fontId="7" fillId="31" borderId="25" xfId="1" applyNumberFormat="1" applyFont="1" applyFill="1" applyBorder="1" applyAlignment="1" applyProtection="1">
      <alignment vertical="center"/>
      <protection locked="0"/>
    </xf>
    <xf numFmtId="0" fontId="16" fillId="0" borderId="0" xfId="1" applyFont="1" applyBorder="1" applyAlignment="1" applyProtection="1">
      <alignment vertical="center" wrapText="1"/>
    </xf>
    <xf numFmtId="2" fontId="7" fillId="33" borderId="94" xfId="1" applyNumberFormat="1" applyFont="1" applyFill="1" applyBorder="1" applyAlignment="1" applyProtection="1">
      <alignment vertical="center"/>
    </xf>
    <xf numFmtId="171" fontId="10" fillId="37" borderId="80" xfId="61" applyNumberFormat="1" applyFont="1" applyFill="1" applyBorder="1" applyAlignment="1" applyProtection="1">
      <alignment horizontal="right" vertical="center"/>
      <protection locked="0"/>
    </xf>
    <xf numFmtId="171" fontId="10" fillId="33" borderId="69" xfId="61" applyNumberFormat="1" applyFont="1" applyFill="1" applyBorder="1" applyAlignment="1" applyProtection="1">
      <alignment horizontal="right" vertical="center"/>
    </xf>
    <xf numFmtId="0" fontId="5" fillId="0" borderId="90" xfId="1" applyFont="1" applyBorder="1" applyAlignment="1" applyProtection="1">
      <alignment horizontal="left" vertical="center"/>
    </xf>
    <xf numFmtId="0" fontId="17" fillId="37" borderId="2" xfId="1" applyNumberFormat="1" applyFont="1" applyFill="1" applyBorder="1" applyAlignment="1">
      <alignment vertical="center"/>
    </xf>
    <xf numFmtId="0" fontId="17" fillId="37" borderId="2" xfId="1" applyFont="1" applyFill="1" applyBorder="1" applyAlignment="1">
      <alignment vertical="center"/>
    </xf>
    <xf numFmtId="0" fontId="198" fillId="47" borderId="0" xfId="1" applyFont="1" applyFill="1" applyBorder="1" applyAlignment="1">
      <alignment vertical="center"/>
    </xf>
    <xf numFmtId="0" fontId="199" fillId="47" borderId="0" xfId="1" applyFont="1" applyFill="1" applyBorder="1" applyAlignment="1">
      <alignment vertical="center"/>
    </xf>
    <xf numFmtId="0" fontId="198" fillId="47" borderId="0" xfId="1" applyFont="1" applyFill="1" applyAlignment="1">
      <alignment vertical="center"/>
    </xf>
    <xf numFmtId="0" fontId="199" fillId="47" borderId="0" xfId="0" applyFont="1" applyFill="1" applyAlignment="1">
      <alignment vertical="center"/>
    </xf>
    <xf numFmtId="172" fontId="199" fillId="47" borderId="0" xfId="0" applyNumberFormat="1" applyFont="1" applyFill="1" applyAlignment="1">
      <alignment vertical="center"/>
    </xf>
    <xf numFmtId="0" fontId="198" fillId="47" borderId="0" xfId="0" applyFont="1" applyFill="1" applyAlignment="1">
      <alignment vertical="center"/>
    </xf>
    <xf numFmtId="185" fontId="199" fillId="47" borderId="0" xfId="0" applyNumberFormat="1" applyFont="1" applyFill="1" applyAlignment="1">
      <alignment vertical="center"/>
    </xf>
    <xf numFmtId="193" fontId="199" fillId="47" borderId="0" xfId="0" applyNumberFormat="1" applyFont="1" applyFill="1" applyAlignment="1">
      <alignment vertical="center"/>
    </xf>
    <xf numFmtId="171" fontId="199" fillId="47" borderId="0" xfId="0" applyNumberFormat="1" applyFont="1" applyFill="1" applyAlignment="1">
      <alignment vertical="center"/>
    </xf>
    <xf numFmtId="0" fontId="1" fillId="47" borderId="0" xfId="1" applyFont="1" applyFill="1" applyBorder="1" applyAlignment="1">
      <alignment vertical="center"/>
    </xf>
    <xf numFmtId="0" fontId="3" fillId="47" borderId="0" xfId="1" applyFont="1" applyFill="1" applyBorder="1" applyAlignment="1">
      <alignment vertical="center"/>
    </xf>
    <xf numFmtId="0" fontId="1" fillId="47" borderId="0" xfId="1" applyFont="1" applyFill="1" applyAlignment="1">
      <alignment vertical="center"/>
    </xf>
    <xf numFmtId="2" fontId="199" fillId="47" borderId="0" xfId="0" applyNumberFormat="1" applyFont="1" applyFill="1" applyAlignment="1">
      <alignment vertical="center"/>
    </xf>
    <xf numFmtId="1" fontId="199" fillId="47" borderId="0" xfId="0" applyNumberFormat="1" applyFont="1" applyFill="1" applyAlignment="1">
      <alignment vertical="center"/>
    </xf>
    <xf numFmtId="0" fontId="21" fillId="0" borderId="263" xfId="105" applyFont="1" applyBorder="1" applyAlignment="1" applyProtection="1">
      <alignment vertical="center"/>
    </xf>
    <xf numFmtId="0" fontId="21" fillId="0" borderId="0" xfId="105" applyFont="1" applyBorder="1" applyAlignment="1">
      <alignment vertical="center"/>
    </xf>
    <xf numFmtId="188" fontId="15" fillId="0" borderId="0" xfId="61" applyNumberFormat="1" applyFont="1" applyFill="1" applyBorder="1" applyAlignment="1" applyProtection="1">
      <alignment vertical="center"/>
    </xf>
    <xf numFmtId="0" fontId="16" fillId="0" borderId="72" xfId="1" applyFont="1" applyBorder="1" applyAlignment="1" applyProtection="1">
      <alignment vertical="center" wrapText="1"/>
    </xf>
    <xf numFmtId="0" fontId="16" fillId="0" borderId="90" xfId="1" applyFont="1" applyBorder="1" applyAlignment="1" applyProtection="1">
      <alignment vertical="center" wrapText="1"/>
    </xf>
    <xf numFmtId="0" fontId="16" fillId="0" borderId="119" xfId="1" applyFont="1" applyBorder="1" applyAlignment="1" applyProtection="1">
      <alignment vertical="center" wrapText="1"/>
    </xf>
    <xf numFmtId="171" fontId="10" fillId="0" borderId="0" xfId="61" applyNumberFormat="1" applyFont="1" applyFill="1" applyBorder="1" applyAlignment="1" applyProtection="1">
      <alignment horizontal="right" vertical="center"/>
    </xf>
    <xf numFmtId="170" fontId="7" fillId="0" borderId="0" xfId="1" applyNumberFormat="1" applyFont="1" applyFill="1" applyAlignment="1" applyProtection="1">
      <alignment vertical="center"/>
    </xf>
    <xf numFmtId="0" fontId="45" fillId="0" borderId="0" xfId="1" applyFont="1" applyFill="1" applyAlignment="1" applyProtection="1">
      <alignment horizontal="right" vertical="center"/>
    </xf>
    <xf numFmtId="177" fontId="6" fillId="0" borderId="0" xfId="1" applyNumberFormat="1" applyFont="1" applyFill="1" applyBorder="1" applyAlignment="1" applyProtection="1">
      <alignment horizontal="center" vertical="center"/>
    </xf>
    <xf numFmtId="0" fontId="93" fillId="0" borderId="0" xfId="1" applyFont="1" applyFill="1" applyAlignment="1" applyProtection="1">
      <alignment horizontal="right" vertical="center"/>
    </xf>
    <xf numFmtId="0" fontId="7" fillId="0" borderId="0" xfId="1" applyFont="1" applyFill="1" applyAlignment="1" applyProtection="1">
      <alignment horizontal="right" vertical="center"/>
    </xf>
    <xf numFmtId="171" fontId="15" fillId="0" borderId="0" xfId="61" applyNumberFormat="1" applyFont="1" applyFill="1" applyBorder="1" applyAlignment="1" applyProtection="1">
      <alignment horizontal="right" vertical="center"/>
    </xf>
    <xf numFmtId="170" fontId="7" fillId="0" borderId="293" xfId="1" applyNumberFormat="1" applyFont="1" applyFill="1" applyBorder="1" applyAlignment="1" applyProtection="1">
      <alignment vertical="center"/>
    </xf>
    <xf numFmtId="0" fontId="71" fillId="0" borderId="0" xfId="1" applyFont="1" applyFill="1" applyAlignment="1" applyProtection="1">
      <alignment vertical="center"/>
    </xf>
    <xf numFmtId="171" fontId="10" fillId="0" borderId="0" xfId="1" applyNumberFormat="1" applyFont="1" applyFill="1" applyBorder="1" applyAlignment="1" applyProtection="1">
      <alignment horizontal="right" vertical="center"/>
    </xf>
    <xf numFmtId="0" fontId="16" fillId="0" borderId="0" xfId="1" applyFont="1" applyFill="1" applyBorder="1" applyAlignment="1" applyProtection="1">
      <alignment vertical="center"/>
    </xf>
    <xf numFmtId="0" fontId="71" fillId="0" borderId="0" xfId="1" applyFont="1" applyFill="1" applyBorder="1" applyAlignment="1" applyProtection="1">
      <alignment vertical="center"/>
    </xf>
    <xf numFmtId="0" fontId="21" fillId="0" borderId="0" xfId="1" applyFont="1" applyFill="1" applyBorder="1" applyAlignment="1" applyProtection="1">
      <alignment vertical="center"/>
    </xf>
    <xf numFmtId="0" fontId="73" fillId="0" borderId="0" xfId="1" applyFont="1" applyFill="1" applyBorder="1" applyAlignment="1" applyProtection="1">
      <alignment vertical="center"/>
    </xf>
    <xf numFmtId="0" fontId="16" fillId="0" borderId="0" xfId="1" applyFont="1" applyFill="1" applyBorder="1" applyAlignment="1" applyProtection="1">
      <alignment vertical="center" wrapText="1"/>
    </xf>
    <xf numFmtId="0" fontId="16" fillId="0" borderId="0" xfId="1" applyFont="1" applyFill="1" applyBorder="1" applyAlignment="1" applyProtection="1">
      <alignment vertical="top" wrapText="1"/>
    </xf>
    <xf numFmtId="0" fontId="16" fillId="0" borderId="0" xfId="1" applyFont="1" applyFill="1" applyAlignment="1" applyProtection="1">
      <alignment vertical="center"/>
    </xf>
    <xf numFmtId="0" fontId="16" fillId="0" borderId="0" xfId="67" applyFont="1" applyFill="1" applyBorder="1" applyAlignment="1">
      <alignment horizontal="left"/>
    </xf>
    <xf numFmtId="0" fontId="7" fillId="0" borderId="293" xfId="1" applyFont="1" applyFill="1" applyBorder="1" applyAlignment="1" applyProtection="1">
      <alignment vertical="center"/>
    </xf>
    <xf numFmtId="0" fontId="124" fillId="0" borderId="0" xfId="1" applyFont="1" applyAlignment="1">
      <alignment vertical="center"/>
    </xf>
    <xf numFmtId="0" fontId="19" fillId="0" borderId="0" xfId="1" applyFont="1" applyAlignment="1" applyProtection="1">
      <alignment horizontal="right" vertical="top"/>
    </xf>
    <xf numFmtId="206" fontId="7" fillId="33" borderId="40" xfId="105" applyNumberFormat="1" applyFont="1" applyFill="1" applyBorder="1" applyAlignment="1" applyProtection="1">
      <alignment horizontal="right" vertical="center"/>
      <protection locked="0"/>
    </xf>
    <xf numFmtId="176" fontId="7" fillId="33" borderId="119" xfId="1" applyNumberFormat="1" applyFont="1" applyFill="1" applyBorder="1" applyAlignment="1" applyProtection="1">
      <alignment vertical="center"/>
    </xf>
    <xf numFmtId="176" fontId="7" fillId="0" borderId="119" xfId="1" applyNumberFormat="1" applyFont="1" applyFill="1" applyBorder="1" applyAlignment="1" applyProtection="1">
      <alignment vertical="center"/>
    </xf>
    <xf numFmtId="176" fontId="7" fillId="0" borderId="119" xfId="1" applyNumberFormat="1" applyFont="1" applyFill="1" applyBorder="1" applyAlignment="1" applyProtection="1">
      <alignment horizontal="right" vertical="center"/>
    </xf>
    <xf numFmtId="176" fontId="7" fillId="0" borderId="119" xfId="164" applyNumberFormat="1" applyFont="1" applyFill="1" applyBorder="1" applyAlignment="1" applyProtection="1">
      <alignment horizontal="right" vertical="center"/>
    </xf>
    <xf numFmtId="0" fontId="14" fillId="0" borderId="62" xfId="1" applyFont="1" applyBorder="1" applyAlignment="1" applyProtection="1">
      <alignment horizontal="center" vertical="center"/>
    </xf>
    <xf numFmtId="0" fontId="14" fillId="0" borderId="62" xfId="1" applyFont="1" applyFill="1" applyBorder="1" applyAlignment="1" applyProtection="1">
      <alignment horizontal="center" vertical="center"/>
    </xf>
    <xf numFmtId="0" fontId="14" fillId="0" borderId="44" xfId="1" applyFont="1" applyFill="1" applyBorder="1" applyAlignment="1" applyProtection="1">
      <alignment horizontal="center" vertical="center"/>
    </xf>
    <xf numFmtId="0" fontId="15" fillId="0" borderId="62" xfId="1" applyFont="1" applyBorder="1" applyAlignment="1" applyProtection="1">
      <alignment horizontal="center" vertical="center"/>
    </xf>
    <xf numFmtId="0" fontId="62" fillId="0" borderId="2" xfId="1" applyFont="1" applyFill="1" applyBorder="1" applyAlignment="1">
      <alignment vertical="center" readingOrder="1"/>
    </xf>
    <xf numFmtId="0" fontId="16" fillId="0" borderId="2" xfId="1" applyFont="1" applyFill="1" applyBorder="1" applyProtection="1"/>
    <xf numFmtId="0" fontId="5" fillId="0" borderId="2" xfId="1" applyFill="1" applyBorder="1" applyProtection="1"/>
    <xf numFmtId="176" fontId="183" fillId="31" borderId="0" xfId="1" applyNumberFormat="1" applyFont="1" applyFill="1" applyBorder="1" applyAlignment="1" applyProtection="1">
      <alignment vertical="center"/>
    </xf>
    <xf numFmtId="0" fontId="124" fillId="0" borderId="0" xfId="1" applyFont="1" applyBorder="1" applyProtection="1"/>
    <xf numFmtId="0" fontId="130" fillId="0" borderId="0" xfId="1" applyFont="1" applyAlignment="1" applyProtection="1">
      <alignment horizontal="center"/>
    </xf>
    <xf numFmtId="0" fontId="133" fillId="0" borderId="0" xfId="1" applyFont="1" applyAlignment="1" applyProtection="1">
      <alignment horizontal="center"/>
    </xf>
    <xf numFmtId="2" fontId="7" fillId="33" borderId="66" xfId="1" applyNumberFormat="1" applyFont="1" applyFill="1" applyBorder="1" applyAlignment="1" applyProtection="1">
      <alignment horizontal="center" vertical="center" wrapText="1"/>
    </xf>
    <xf numFmtId="2" fontId="7" fillId="33" borderId="66" xfId="1" applyNumberFormat="1" applyFont="1" applyFill="1" applyBorder="1" applyAlignment="1" applyProtection="1">
      <alignment horizontal="center" vertical="center"/>
    </xf>
    <xf numFmtId="180" fontId="3" fillId="37" borderId="65" xfId="67" applyNumberFormat="1" applyFont="1" applyFill="1" applyBorder="1" applyAlignment="1" applyProtection="1">
      <alignment vertical="center"/>
    </xf>
    <xf numFmtId="4" fontId="3" fillId="37" borderId="67" xfId="67" applyNumberFormat="1" applyFont="1" applyFill="1" applyBorder="1" applyAlignment="1" applyProtection="1">
      <alignment horizontal="center" vertical="center"/>
    </xf>
    <xf numFmtId="0" fontId="44" fillId="31" borderId="90" xfId="124" applyFont="1" applyFill="1" applyBorder="1" applyAlignment="1" applyProtection="1">
      <alignment horizontal="center" vertical="center"/>
    </xf>
    <xf numFmtId="0" fontId="44" fillId="31" borderId="91" xfId="124" applyFont="1" applyFill="1" applyBorder="1" applyAlignment="1" applyProtection="1">
      <alignment horizontal="center" vertical="center"/>
    </xf>
    <xf numFmtId="0" fontId="44" fillId="31" borderId="26" xfId="124" applyFont="1" applyFill="1" applyBorder="1" applyAlignment="1" applyProtection="1">
      <alignment horizontal="center" vertical="center"/>
    </xf>
    <xf numFmtId="0" fontId="44" fillId="31" borderId="98" xfId="124" applyFont="1" applyFill="1" applyBorder="1" applyAlignment="1" applyProtection="1">
      <alignment horizontal="center" vertical="center"/>
    </xf>
    <xf numFmtId="185" fontId="17" fillId="31" borderId="91" xfId="124" applyNumberFormat="1" applyFont="1" applyFill="1" applyBorder="1" applyAlignment="1" applyProtection="1">
      <alignment vertical="center"/>
    </xf>
    <xf numFmtId="185" fontId="17" fillId="31" borderId="98" xfId="124" applyNumberFormat="1" applyFont="1" applyFill="1" applyBorder="1" applyAlignment="1" applyProtection="1">
      <alignment vertical="center"/>
    </xf>
    <xf numFmtId="0" fontId="44" fillId="31" borderId="33" xfId="124" applyFont="1" applyFill="1" applyBorder="1" applyAlignment="1" applyProtection="1">
      <alignment horizontal="center" vertical="center"/>
    </xf>
    <xf numFmtId="0" fontId="17" fillId="31" borderId="33" xfId="124" applyFont="1" applyFill="1" applyBorder="1" applyAlignment="1" applyProtection="1">
      <alignment horizontal="center" vertical="center"/>
    </xf>
    <xf numFmtId="185" fontId="17" fillId="0" borderId="27" xfId="124" applyNumberFormat="1" applyFont="1" applyFill="1" applyBorder="1" applyAlignment="1" applyProtection="1">
      <alignment vertical="center"/>
    </xf>
    <xf numFmtId="185" fontId="17" fillId="31" borderId="99" xfId="124" applyNumberFormat="1" applyFont="1" applyFill="1" applyBorder="1" applyAlignment="1" applyProtection="1">
      <alignment vertical="center"/>
    </xf>
    <xf numFmtId="0" fontId="17" fillId="31" borderId="37" xfId="124" applyFont="1" applyFill="1" applyBorder="1" applyAlignment="1" applyProtection="1">
      <alignment horizontal="center" vertical="center"/>
    </xf>
    <xf numFmtId="185" fontId="17" fillId="31" borderId="96" xfId="124" applyNumberFormat="1" applyFont="1" applyFill="1" applyBorder="1" applyAlignment="1" applyProtection="1">
      <alignment vertical="center"/>
    </xf>
    <xf numFmtId="0" fontId="17" fillId="31" borderId="95" xfId="124" applyFont="1" applyFill="1" applyBorder="1" applyAlignment="1" applyProtection="1">
      <alignment horizontal="center" vertical="center"/>
    </xf>
    <xf numFmtId="0" fontId="44" fillId="31" borderId="41" xfId="124" applyFont="1" applyFill="1" applyBorder="1" applyAlignment="1" applyProtection="1">
      <alignment horizontal="center" vertical="center"/>
    </xf>
    <xf numFmtId="0" fontId="44" fillId="31" borderId="46" xfId="124" applyFont="1" applyFill="1" applyBorder="1" applyAlignment="1" applyProtection="1">
      <alignment horizontal="center" vertical="center"/>
    </xf>
    <xf numFmtId="0" fontId="44" fillId="31" borderId="96" xfId="124" applyFont="1" applyFill="1" applyBorder="1" applyAlignment="1" applyProtection="1">
      <alignment horizontal="center" vertical="center"/>
    </xf>
    <xf numFmtId="0" fontId="44" fillId="31" borderId="95" xfId="124" applyFont="1" applyFill="1" applyBorder="1" applyAlignment="1" applyProtection="1">
      <alignment horizontal="center" vertical="center"/>
    </xf>
    <xf numFmtId="0" fontId="5" fillId="0" borderId="40" xfId="95" applyNumberFormat="1" applyFont="1" applyBorder="1" applyAlignment="1" applyProtection="1">
      <alignment horizontal="right" vertical="center"/>
    </xf>
    <xf numFmtId="0" fontId="5" fillId="0" borderId="99" xfId="95" applyNumberFormat="1" applyFont="1" applyBorder="1" applyAlignment="1" applyProtection="1">
      <alignment horizontal="right" vertical="center"/>
    </xf>
    <xf numFmtId="0" fontId="21" fillId="0" borderId="34" xfId="1" applyFont="1" applyBorder="1" applyAlignment="1" applyProtection="1">
      <alignment horizontal="center" vertical="center"/>
    </xf>
    <xf numFmtId="1" fontId="44" fillId="31" borderId="23" xfId="61" applyNumberFormat="1" applyFont="1" applyFill="1" applyBorder="1" applyAlignment="1" applyProtection="1">
      <alignment horizontal="center" vertical="center"/>
    </xf>
    <xf numFmtId="1" fontId="44" fillId="31" borderId="42" xfId="61" applyNumberFormat="1" applyFont="1" applyFill="1" applyBorder="1" applyAlignment="1" applyProtection="1">
      <alignment horizontal="center" vertical="center"/>
    </xf>
    <xf numFmtId="176" fontId="7" fillId="31" borderId="66" xfId="105" applyNumberFormat="1" applyFont="1" applyFill="1" applyBorder="1" applyAlignment="1" applyProtection="1">
      <alignment horizontal="right" vertical="center"/>
    </xf>
    <xf numFmtId="206" fontId="7" fillId="33" borderId="40" xfId="105" applyNumberFormat="1" applyFont="1" applyFill="1" applyBorder="1" applyAlignment="1" applyProtection="1">
      <alignment horizontal="right" vertical="center"/>
    </xf>
    <xf numFmtId="206" fontId="7" fillId="31" borderId="39" xfId="105" applyNumberFormat="1" applyFont="1" applyFill="1" applyBorder="1" applyAlignment="1" applyProtection="1">
      <alignment vertical="center"/>
    </xf>
    <xf numFmtId="14" fontId="7" fillId="31" borderId="0" xfId="1" applyNumberFormat="1" applyFont="1" applyFill="1" applyBorder="1" applyAlignment="1" applyProtection="1">
      <alignment horizontal="center" vertical="center"/>
      <protection locked="0"/>
    </xf>
    <xf numFmtId="176" fontId="7" fillId="0" borderId="0" xfId="164" applyNumberFormat="1" applyFont="1" applyFill="1" applyBorder="1" applyAlignment="1" applyProtection="1">
      <alignment vertical="center"/>
    </xf>
    <xf numFmtId="0" fontId="183" fillId="0" borderId="0" xfId="1" applyFont="1" applyFill="1" applyBorder="1" applyAlignment="1" applyProtection="1">
      <alignment vertical="center"/>
    </xf>
    <xf numFmtId="0" fontId="7" fillId="31" borderId="0" xfId="1" applyFont="1" applyFill="1" applyBorder="1" applyAlignment="1" applyProtection="1">
      <alignment vertical="center"/>
    </xf>
    <xf numFmtId="0" fontId="124" fillId="0" borderId="0" xfId="1" applyFont="1" applyBorder="1" applyAlignment="1" applyProtection="1">
      <alignment vertical="center"/>
    </xf>
    <xf numFmtId="0" fontId="14" fillId="4" borderId="39" xfId="1" applyFont="1" applyFill="1" applyBorder="1" applyAlignment="1" applyProtection="1">
      <alignment horizontal="center" vertical="center"/>
    </xf>
    <xf numFmtId="178" fontId="7" fillId="37" borderId="65" xfId="1" applyNumberFormat="1" applyFont="1" applyFill="1" applyBorder="1" applyAlignment="1" applyProtection="1">
      <alignment vertical="center"/>
      <protection locked="0"/>
    </xf>
    <xf numFmtId="176" fontId="7" fillId="31" borderId="44" xfId="1" applyNumberFormat="1" applyFont="1" applyFill="1" applyBorder="1" applyAlignment="1" applyProtection="1">
      <alignment vertical="center"/>
      <protection locked="0"/>
    </xf>
    <xf numFmtId="176" fontId="7" fillId="37" borderId="0" xfId="1" applyNumberFormat="1" applyFont="1" applyFill="1" applyBorder="1" applyAlignment="1" applyProtection="1">
      <alignment vertical="center"/>
      <protection locked="0"/>
    </xf>
    <xf numFmtId="2" fontId="7" fillId="37" borderId="94" xfId="1" applyNumberFormat="1" applyFont="1" applyFill="1" applyBorder="1" applyAlignment="1" applyProtection="1">
      <alignment vertical="center"/>
      <protection locked="0"/>
    </xf>
    <xf numFmtId="0" fontId="17" fillId="0" borderId="66" xfId="1" applyFont="1" applyBorder="1" applyAlignment="1" applyProtection="1">
      <alignment horizontal="center" vertical="center"/>
    </xf>
    <xf numFmtId="0" fontId="17" fillId="0" borderId="0" xfId="1" applyFont="1" applyBorder="1" applyAlignment="1" applyProtection="1">
      <alignment horizontal="center" vertical="center"/>
    </xf>
    <xf numFmtId="171" fontId="10" fillId="0" borderId="182" xfId="61" applyNumberFormat="1" applyFont="1" applyFill="1" applyBorder="1" applyAlignment="1" applyProtection="1">
      <alignment horizontal="right" vertical="center"/>
    </xf>
    <xf numFmtId="171" fontId="10" fillId="0" borderId="182" xfId="61" applyNumberFormat="1" applyFont="1" applyFill="1" applyBorder="1" applyAlignment="1" applyProtection="1">
      <alignment vertical="center"/>
    </xf>
    <xf numFmtId="171" fontId="10" fillId="0" borderId="24" xfId="61" applyNumberFormat="1" applyFont="1" applyFill="1" applyBorder="1" applyAlignment="1" applyProtection="1">
      <alignment horizontal="right" vertical="center"/>
    </xf>
    <xf numFmtId="171" fontId="10" fillId="0" borderId="61" xfId="61" applyNumberFormat="1" applyFont="1" applyFill="1" applyBorder="1" applyAlignment="1" applyProtection="1">
      <alignment horizontal="right" vertical="center"/>
    </xf>
    <xf numFmtId="171" fontId="10" fillId="33" borderId="68" xfId="61" applyNumberFormat="1" applyFont="1" applyFill="1" applyBorder="1" applyAlignment="1" applyProtection="1">
      <alignment horizontal="right" vertical="center"/>
    </xf>
    <xf numFmtId="0" fontId="5" fillId="33" borderId="62" xfId="1" applyFill="1" applyBorder="1" applyAlignment="1" applyProtection="1">
      <alignment horizontal="right" vertical="center"/>
    </xf>
    <xf numFmtId="171" fontId="10" fillId="33" borderId="61" xfId="61" applyNumberFormat="1" applyFont="1" applyFill="1" applyBorder="1" applyAlignment="1" applyProtection="1">
      <alignment horizontal="right" vertical="center"/>
    </xf>
    <xf numFmtId="171" fontId="10" fillId="33" borderId="62" xfId="61" applyNumberFormat="1" applyFont="1" applyFill="1" applyBorder="1" applyAlignment="1" applyProtection="1">
      <alignment horizontal="right" vertical="center"/>
    </xf>
    <xf numFmtId="1" fontId="7" fillId="37" borderId="9" xfId="1" applyNumberFormat="1" applyFont="1" applyFill="1" applyBorder="1" applyAlignment="1" applyProtection="1">
      <alignment vertical="center"/>
      <protection locked="0"/>
    </xf>
    <xf numFmtId="1" fontId="7" fillId="37" borderId="265" xfId="1" applyNumberFormat="1" applyFont="1" applyFill="1" applyBorder="1" applyAlignment="1" applyProtection="1">
      <alignment vertical="center"/>
      <protection locked="0"/>
    </xf>
    <xf numFmtId="1" fontId="7" fillId="37" borderId="83" xfId="1" applyNumberFormat="1" applyFont="1" applyFill="1" applyBorder="1" applyAlignment="1" applyProtection="1">
      <alignment vertical="center"/>
      <protection locked="0"/>
    </xf>
    <xf numFmtId="0" fontId="17" fillId="0" borderId="66" xfId="1" applyFont="1" applyFill="1" applyBorder="1" applyAlignment="1" applyProtection="1">
      <alignment horizontal="center" vertical="center"/>
    </xf>
    <xf numFmtId="0" fontId="17" fillId="0" borderId="65" xfId="1" applyFont="1" applyFill="1" applyBorder="1" applyAlignment="1" applyProtection="1">
      <alignment horizontal="center" vertical="center"/>
    </xf>
    <xf numFmtId="171" fontId="10" fillId="0" borderId="67" xfId="61" applyNumberFormat="1" applyFont="1" applyFill="1" applyBorder="1" applyAlignment="1" applyProtection="1">
      <alignment vertical="center"/>
    </xf>
    <xf numFmtId="171" fontId="10" fillId="0" borderId="65" xfId="61" applyNumberFormat="1" applyFont="1" applyFill="1" applyBorder="1" applyAlignment="1" applyProtection="1">
      <alignment horizontal="right" vertical="center"/>
    </xf>
    <xf numFmtId="171" fontId="10" fillId="33" borderId="65" xfId="61" applyNumberFormat="1" applyFont="1" applyFill="1" applyBorder="1" applyAlignment="1" applyProtection="1">
      <alignment horizontal="right" vertical="center"/>
    </xf>
    <xf numFmtId="171" fontId="10" fillId="0" borderId="63" xfId="61" applyNumberFormat="1" applyFont="1" applyFill="1" applyBorder="1" applyAlignment="1" applyProtection="1">
      <alignment vertical="center"/>
    </xf>
    <xf numFmtId="171" fontId="10" fillId="33" borderId="66" xfId="61" applyNumberFormat="1" applyFont="1" applyFill="1" applyBorder="1" applyAlignment="1" applyProtection="1">
      <alignment horizontal="right" vertical="center"/>
    </xf>
    <xf numFmtId="171" fontId="10" fillId="0" borderId="19" xfId="61" applyNumberFormat="1" applyFont="1" applyFill="1" applyBorder="1" applyAlignment="1" applyProtection="1">
      <alignment horizontal="right" vertical="center"/>
    </xf>
    <xf numFmtId="171" fontId="10" fillId="37" borderId="82" xfId="61" applyNumberFormat="1" applyFont="1" applyFill="1" applyBorder="1" applyAlignment="1" applyProtection="1">
      <alignment horizontal="right" vertical="center"/>
      <protection locked="0"/>
    </xf>
    <xf numFmtId="0" fontId="44" fillId="31" borderId="90" xfId="106" applyFont="1" applyFill="1" applyBorder="1" applyAlignment="1" applyProtection="1">
      <alignment horizontal="center" vertical="center"/>
    </xf>
    <xf numFmtId="0" fontId="44" fillId="31" borderId="91" xfId="106" applyFont="1" applyFill="1" applyBorder="1" applyAlignment="1" applyProtection="1">
      <alignment horizontal="center" vertical="center"/>
    </xf>
    <xf numFmtId="0" fontId="44" fillId="31" borderId="26" xfId="106" applyFont="1" applyFill="1" applyBorder="1" applyAlignment="1" applyProtection="1">
      <alignment horizontal="center" vertical="center"/>
    </xf>
    <xf numFmtId="0" fontId="195" fillId="31" borderId="90" xfId="106" applyFont="1" applyFill="1" applyBorder="1" applyAlignment="1" applyProtection="1">
      <alignment horizontal="center" vertical="center"/>
    </xf>
    <xf numFmtId="0" fontId="195" fillId="31" borderId="91" xfId="106" applyFont="1" applyFill="1" applyBorder="1" applyAlignment="1" applyProtection="1">
      <alignment horizontal="center" vertical="center"/>
    </xf>
    <xf numFmtId="0" fontId="195" fillId="37" borderId="91" xfId="106" applyFont="1" applyFill="1" applyBorder="1" applyAlignment="1" applyProtection="1">
      <alignment horizontal="center" vertical="center"/>
    </xf>
    <xf numFmtId="0" fontId="195" fillId="37" borderId="26" xfId="106" applyFont="1" applyFill="1" applyBorder="1" applyAlignment="1" applyProtection="1">
      <alignment horizontal="center" vertical="center"/>
    </xf>
    <xf numFmtId="0" fontId="44" fillId="37" borderId="90" xfId="106" applyFont="1" applyFill="1" applyBorder="1" applyAlignment="1" applyProtection="1">
      <alignment horizontal="center" vertical="center"/>
    </xf>
    <xf numFmtId="0" fontId="44" fillId="37" borderId="91" xfId="106" applyFont="1" applyFill="1" applyBorder="1" applyAlignment="1" applyProtection="1">
      <alignment horizontal="center" vertical="center"/>
    </xf>
    <xf numFmtId="0" fontId="44" fillId="37" borderId="26" xfId="106" applyFont="1" applyFill="1" applyBorder="1" applyAlignment="1" applyProtection="1">
      <alignment horizontal="center" vertical="center"/>
    </xf>
    <xf numFmtId="0" fontId="195" fillId="31" borderId="26" xfId="106" applyFont="1" applyFill="1" applyBorder="1" applyAlignment="1" applyProtection="1">
      <alignment horizontal="center" vertical="center"/>
    </xf>
    <xf numFmtId="0" fontId="195" fillId="37" borderId="90" xfId="106" applyFont="1" applyFill="1" applyBorder="1" applyAlignment="1" applyProtection="1">
      <alignment horizontal="center" vertical="center"/>
    </xf>
    <xf numFmtId="0" fontId="44" fillId="31" borderId="31" xfId="106" applyFont="1" applyFill="1" applyBorder="1" applyAlignment="1" applyProtection="1">
      <alignment horizontal="center" vertical="center"/>
    </xf>
    <xf numFmtId="0" fontId="44" fillId="31" borderId="98" xfId="106" applyFont="1" applyFill="1" applyBorder="1" applyAlignment="1" applyProtection="1">
      <alignment horizontal="center" vertical="center"/>
    </xf>
    <xf numFmtId="0" fontId="44" fillId="31" borderId="33" xfId="106" applyFont="1" applyFill="1" applyBorder="1" applyAlignment="1" applyProtection="1">
      <alignment horizontal="center" vertical="center"/>
    </xf>
    <xf numFmtId="0" fontId="44" fillId="37" borderId="98" xfId="106" applyFont="1" applyFill="1" applyBorder="1" applyAlignment="1" applyProtection="1">
      <alignment horizontal="center" vertical="center"/>
    </xf>
    <xf numFmtId="0" fontId="44" fillId="37" borderId="33" xfId="106" applyFont="1" applyFill="1" applyBorder="1" applyAlignment="1" applyProtection="1">
      <alignment horizontal="center" vertical="center"/>
    </xf>
    <xf numFmtId="0" fontId="195" fillId="31" borderId="31" xfId="106" applyFont="1" applyFill="1" applyBorder="1" applyAlignment="1" applyProtection="1">
      <alignment horizontal="center" vertical="center"/>
    </xf>
    <xf numFmtId="0" fontId="195" fillId="31" borderId="98" xfId="106" applyFont="1" applyFill="1" applyBorder="1" applyAlignment="1" applyProtection="1">
      <alignment horizontal="center" vertical="center"/>
    </xf>
    <xf numFmtId="0" fontId="195" fillId="37" borderId="98" xfId="106" applyFont="1" applyFill="1" applyBorder="1" applyAlignment="1" applyProtection="1">
      <alignment horizontal="center" vertical="center"/>
    </xf>
    <xf numFmtId="0" fontId="195" fillId="37" borderId="33" xfId="106" applyFont="1" applyFill="1" applyBorder="1" applyAlignment="1" applyProtection="1">
      <alignment horizontal="center" vertical="center"/>
    </xf>
    <xf numFmtId="0" fontId="195" fillId="31" borderId="33" xfId="106" applyFont="1" applyFill="1" applyBorder="1" applyAlignment="1" applyProtection="1">
      <alignment horizontal="center" vertical="center"/>
    </xf>
    <xf numFmtId="0" fontId="44" fillId="37" borderId="31" xfId="106" applyFont="1" applyFill="1" applyBorder="1" applyAlignment="1" applyProtection="1">
      <alignment horizontal="center" vertical="center"/>
    </xf>
    <xf numFmtId="0" fontId="17" fillId="37" borderId="27" xfId="124" applyFont="1" applyFill="1" applyBorder="1" applyAlignment="1" applyProtection="1">
      <alignment vertical="center"/>
      <protection locked="0"/>
    </xf>
    <xf numFmtId="0" fontId="17" fillId="37" borderId="26" xfId="0" applyFont="1" applyFill="1" applyBorder="1" applyAlignment="1" applyProtection="1">
      <alignment horizontal="center" vertical="center"/>
      <protection locked="0"/>
    </xf>
    <xf numFmtId="0" fontId="17" fillId="37" borderId="28" xfId="124" applyFont="1" applyFill="1" applyBorder="1" applyAlignment="1" applyProtection="1">
      <alignment vertical="center"/>
      <protection locked="0"/>
    </xf>
    <xf numFmtId="0" fontId="17" fillId="37" borderId="38" xfId="124" applyFont="1" applyFill="1" applyBorder="1" applyAlignment="1" applyProtection="1">
      <alignment vertical="center"/>
      <protection locked="0"/>
    </xf>
    <xf numFmtId="0" fontId="17" fillId="37" borderId="29" xfId="0" applyFont="1" applyFill="1" applyBorder="1" applyAlignment="1" applyProtection="1">
      <alignment horizontal="center" vertical="center"/>
      <protection locked="0"/>
    </xf>
    <xf numFmtId="0" fontId="17" fillId="37" borderId="91" xfId="124" applyFont="1" applyFill="1" applyBorder="1" applyAlignment="1" applyProtection="1">
      <alignment vertical="center"/>
      <protection locked="0"/>
    </xf>
    <xf numFmtId="0" fontId="17" fillId="37" borderId="91" xfId="0" applyFont="1" applyFill="1" applyBorder="1" applyAlignment="1" applyProtection="1">
      <alignment horizontal="center" vertical="center"/>
      <protection locked="0"/>
    </xf>
    <xf numFmtId="2" fontId="5" fillId="33" borderId="40" xfId="1" applyNumberFormat="1" applyFill="1" applyBorder="1" applyProtection="1"/>
    <xf numFmtId="2" fontId="5" fillId="33" borderId="0" xfId="1" applyNumberFormat="1" applyFill="1" applyBorder="1" applyProtection="1"/>
    <xf numFmtId="2" fontId="5" fillId="33" borderId="19" xfId="1" applyNumberFormat="1" applyFill="1" applyBorder="1" applyProtection="1"/>
    <xf numFmtId="0" fontId="5" fillId="33" borderId="25" xfId="1" applyFill="1" applyBorder="1" applyProtection="1"/>
    <xf numFmtId="2" fontId="5" fillId="33" borderId="25" xfId="1" applyNumberFormat="1" applyFill="1" applyBorder="1" applyProtection="1"/>
    <xf numFmtId="2" fontId="5" fillId="33" borderId="0" xfId="1" applyNumberFormat="1" applyFont="1" applyFill="1" applyBorder="1" applyProtection="1"/>
    <xf numFmtId="2" fontId="5" fillId="63" borderId="0" xfId="1" applyNumberFormat="1" applyFill="1" applyBorder="1" applyProtection="1"/>
    <xf numFmtId="2" fontId="5" fillId="63" borderId="19" xfId="1" applyNumberFormat="1" applyFill="1" applyBorder="1" applyProtection="1"/>
    <xf numFmtId="0" fontId="5" fillId="33" borderId="40" xfId="1" applyFill="1" applyBorder="1" applyProtection="1"/>
    <xf numFmtId="0" fontId="5" fillId="33" borderId="0" xfId="1" applyFill="1" applyBorder="1" applyProtection="1"/>
    <xf numFmtId="0" fontId="5" fillId="33" borderId="19" xfId="1" applyFill="1" applyBorder="1" applyProtection="1"/>
    <xf numFmtId="0" fontId="5" fillId="33" borderId="40" xfId="1" applyFont="1" applyFill="1" applyBorder="1" applyProtection="1"/>
    <xf numFmtId="0" fontId="5" fillId="33" borderId="0" xfId="1" applyFont="1" applyFill="1" applyBorder="1" applyProtection="1"/>
    <xf numFmtId="0" fontId="5" fillId="33" borderId="19" xfId="1" applyFont="1" applyFill="1" applyBorder="1" applyProtection="1"/>
    <xf numFmtId="0" fontId="5" fillId="33" borderId="39" xfId="1" applyFont="1" applyFill="1" applyBorder="1" applyProtection="1"/>
    <xf numFmtId="2" fontId="5" fillId="33" borderId="2" xfId="1" applyNumberFormat="1" applyFont="1" applyFill="1" applyBorder="1" applyProtection="1"/>
    <xf numFmtId="0" fontId="5" fillId="33" borderId="2" xfId="1" applyFont="1" applyFill="1" applyBorder="1" applyProtection="1"/>
    <xf numFmtId="0" fontId="5" fillId="33" borderId="44" xfId="1" applyFont="1" applyFill="1" applyBorder="1" applyProtection="1"/>
    <xf numFmtId="0" fontId="5" fillId="33" borderId="39" xfId="1" applyFill="1" applyBorder="1" applyProtection="1"/>
    <xf numFmtId="0" fontId="5" fillId="33" borderId="2" xfId="1" applyFill="1" applyBorder="1" applyProtection="1"/>
    <xf numFmtId="0" fontId="5" fillId="33" borderId="44" xfId="1" applyFill="1" applyBorder="1" applyProtection="1"/>
    <xf numFmtId="0" fontId="5" fillId="33" borderId="34" xfId="1" applyFill="1" applyBorder="1" applyProtection="1"/>
    <xf numFmtId="0" fontId="10" fillId="0" borderId="0" xfId="1" applyFont="1" applyBorder="1" applyAlignment="1" applyProtection="1">
      <alignment vertical="top"/>
      <protection locked="0"/>
    </xf>
    <xf numFmtId="206" fontId="7" fillId="31" borderId="40" xfId="105" applyNumberFormat="1" applyFont="1" applyFill="1" applyBorder="1" applyAlignment="1" applyProtection="1">
      <alignment horizontal="right" vertical="center"/>
    </xf>
    <xf numFmtId="190" fontId="7" fillId="37" borderId="157" xfId="105" applyNumberFormat="1" applyFont="1" applyFill="1" applyBorder="1" applyAlignment="1" applyProtection="1">
      <alignment vertical="center"/>
      <protection locked="0"/>
    </xf>
    <xf numFmtId="190" fontId="7" fillId="4" borderId="157" xfId="105" applyNumberFormat="1" applyFont="1" applyFill="1" applyBorder="1" applyAlignment="1" applyProtection="1">
      <alignment vertical="center"/>
      <protection locked="0"/>
    </xf>
    <xf numFmtId="180" fontId="7" fillId="31" borderId="67" xfId="105" applyNumberFormat="1" applyFont="1" applyFill="1" applyBorder="1" applyAlignment="1" applyProtection="1">
      <alignment vertical="center"/>
    </xf>
    <xf numFmtId="206" fontId="7" fillId="0" borderId="39" xfId="105" applyNumberFormat="1" applyFont="1" applyFill="1" applyBorder="1" applyAlignment="1" applyProtection="1">
      <alignment vertical="center"/>
    </xf>
    <xf numFmtId="206" fontId="7" fillId="35" borderId="39" xfId="105" applyNumberFormat="1" applyFont="1" applyFill="1" applyBorder="1" applyAlignment="1" applyProtection="1">
      <alignment vertical="center"/>
    </xf>
    <xf numFmtId="176" fontId="7" fillId="37" borderId="66" xfId="105" applyNumberFormat="1" applyFont="1" applyFill="1" applyBorder="1" applyAlignment="1" applyProtection="1">
      <alignment horizontal="right" vertical="center"/>
      <protection locked="0"/>
    </xf>
    <xf numFmtId="0" fontId="10" fillId="37" borderId="0" xfId="1" applyFont="1" applyFill="1" applyBorder="1" applyAlignment="1" applyProtection="1">
      <alignment vertical="top"/>
      <protection locked="0"/>
    </xf>
    <xf numFmtId="176" fontId="176" fillId="37" borderId="66" xfId="105" applyNumberFormat="1" applyFont="1" applyFill="1" applyBorder="1" applyAlignment="1" applyProtection="1">
      <alignment horizontal="right" vertical="center"/>
      <protection locked="0"/>
    </xf>
    <xf numFmtId="0" fontId="21" fillId="48" borderId="60" xfId="1" applyFont="1" applyFill="1" applyBorder="1" applyAlignment="1">
      <alignment horizontal="left" vertical="top"/>
    </xf>
    <xf numFmtId="0" fontId="21" fillId="48" borderId="41" xfId="1" applyFont="1" applyFill="1" applyBorder="1" applyAlignment="1">
      <alignment horizontal="left" vertical="top"/>
    </xf>
    <xf numFmtId="0" fontId="55" fillId="48" borderId="32" xfId="1" applyFont="1" applyFill="1" applyBorder="1" applyAlignment="1">
      <alignment horizontal="center"/>
    </xf>
    <xf numFmtId="0" fontId="55" fillId="48" borderId="0" xfId="1" applyFont="1" applyFill="1" applyBorder="1" applyAlignment="1">
      <alignment horizontal="center"/>
    </xf>
    <xf numFmtId="0" fontId="55" fillId="48" borderId="262" xfId="1" applyFont="1" applyFill="1" applyBorder="1" applyAlignment="1">
      <alignment horizontal="center"/>
    </xf>
    <xf numFmtId="0" fontId="45" fillId="48" borderId="32" xfId="1" applyFont="1" applyFill="1" applyBorder="1" applyAlignment="1">
      <alignment horizontal="center"/>
    </xf>
    <xf numFmtId="0" fontId="45" fillId="48" borderId="0" xfId="1" applyFont="1" applyFill="1" applyBorder="1" applyAlignment="1">
      <alignment horizontal="center"/>
    </xf>
    <xf numFmtId="0" fontId="45" fillId="48" borderId="262" xfId="1" applyFont="1" applyFill="1" applyBorder="1" applyAlignment="1">
      <alignment horizontal="center"/>
    </xf>
    <xf numFmtId="0" fontId="19" fillId="48" borderId="32" xfId="1" applyFont="1" applyFill="1" applyBorder="1" applyAlignment="1">
      <alignment horizontal="center"/>
    </xf>
    <xf numFmtId="0" fontId="19" fillId="48" borderId="0" xfId="1" applyFont="1" applyFill="1" applyBorder="1" applyAlignment="1">
      <alignment horizontal="center"/>
    </xf>
    <xf numFmtId="0" fontId="19" fillId="48" borderId="262" xfId="1" applyFont="1" applyFill="1" applyBorder="1" applyAlignment="1">
      <alignment horizontal="center"/>
    </xf>
    <xf numFmtId="0" fontId="128" fillId="48" borderId="32" xfId="1" applyFont="1" applyFill="1" applyBorder="1" applyAlignment="1">
      <alignment horizontal="center"/>
    </xf>
    <xf numFmtId="0" fontId="128" fillId="48" borderId="0" xfId="1" applyFont="1" applyFill="1" applyBorder="1" applyAlignment="1">
      <alignment horizontal="center"/>
    </xf>
    <xf numFmtId="0" fontId="128" fillId="48" borderId="262" xfId="1" applyFont="1" applyFill="1" applyBorder="1" applyAlignment="1">
      <alignment horizontal="center"/>
    </xf>
    <xf numFmtId="0" fontId="16" fillId="0" borderId="23" xfId="1" applyFont="1" applyBorder="1" applyAlignment="1">
      <alignment horizontal="center"/>
    </xf>
    <xf numFmtId="0" fontId="5" fillId="0" borderId="23" xfId="1" applyBorder="1" applyAlignment="1">
      <alignment horizontal="center"/>
    </xf>
    <xf numFmtId="0" fontId="16" fillId="0" borderId="0" xfId="1" applyFont="1" applyAlignment="1"/>
    <xf numFmtId="0" fontId="5" fillId="0" borderId="0" xfId="1" applyAlignment="1"/>
    <xf numFmtId="0" fontId="16" fillId="0" borderId="0" xfId="1" applyFont="1" applyAlignment="1">
      <alignment horizontal="center"/>
    </xf>
    <xf numFmtId="0" fontId="5" fillId="0" borderId="0" xfId="1" applyAlignment="1">
      <alignment horizontal="center"/>
    </xf>
    <xf numFmtId="0" fontId="6" fillId="0" borderId="0" xfId="1" applyFont="1" applyAlignment="1">
      <alignment horizontal="center" vertical="top" wrapText="1"/>
    </xf>
    <xf numFmtId="0" fontId="6" fillId="0" borderId="0" xfId="1" applyFont="1" applyAlignment="1">
      <alignment horizontal="center" vertical="center" wrapText="1"/>
    </xf>
    <xf numFmtId="0" fontId="6" fillId="0" borderId="132" xfId="1" applyFont="1" applyFill="1" applyBorder="1" applyAlignment="1" applyProtection="1">
      <alignment horizontal="center" vertical="top" wrapText="1"/>
    </xf>
    <xf numFmtId="0" fontId="148" fillId="0" borderId="0" xfId="1" applyFont="1" applyFill="1" applyBorder="1" applyAlignment="1" applyProtection="1">
      <alignment horizontal="left"/>
    </xf>
    <xf numFmtId="222" fontId="66" fillId="0" borderId="0" xfId="1" applyNumberFormat="1" applyFont="1" applyBorder="1" applyAlignment="1" applyProtection="1">
      <alignment horizontal="right"/>
    </xf>
    <xf numFmtId="222" fontId="66" fillId="0" borderId="123" xfId="1" applyNumberFormat="1" applyFont="1" applyBorder="1" applyAlignment="1" applyProtection="1">
      <alignment horizontal="right"/>
    </xf>
    <xf numFmtId="0" fontId="10" fillId="0" borderId="0" xfId="1" applyFont="1" applyFill="1" applyBorder="1" applyAlignment="1" applyProtection="1">
      <alignment horizontal="center" vertical="top" wrapText="1"/>
    </xf>
    <xf numFmtId="0" fontId="17" fillId="0" borderId="0" xfId="1" applyFont="1" applyBorder="1" applyAlignment="1" applyProtection="1">
      <alignment horizontal="center"/>
    </xf>
    <xf numFmtId="222" fontId="66" fillId="31" borderId="123" xfId="1" applyNumberFormat="1" applyFont="1" applyFill="1" applyBorder="1" applyAlignment="1" applyProtection="1">
      <alignment horizontal="right"/>
      <protection locked="0"/>
    </xf>
    <xf numFmtId="0" fontId="17" fillId="42" borderId="145" xfId="1" applyFont="1" applyFill="1" applyBorder="1" applyAlignment="1" applyProtection="1">
      <alignment horizontal="right" vertical="center"/>
    </xf>
    <xf numFmtId="0" fontId="17" fillId="42" borderId="132" xfId="1" applyFont="1" applyFill="1" applyBorder="1" applyAlignment="1" applyProtection="1">
      <alignment horizontal="right" vertical="center"/>
    </xf>
    <xf numFmtId="0" fontId="17" fillId="42" borderId="130" xfId="1" applyFont="1" applyFill="1" applyBorder="1" applyAlignment="1" applyProtection="1">
      <alignment horizontal="right" vertical="center"/>
    </xf>
    <xf numFmtId="0" fontId="17" fillId="42" borderId="60" xfId="1" applyFont="1" applyFill="1" applyBorder="1" applyAlignment="1" applyProtection="1">
      <alignment horizontal="right" vertical="center"/>
    </xf>
    <xf numFmtId="0" fontId="17" fillId="42" borderId="41" xfId="1" applyFont="1" applyFill="1" applyBorder="1" applyAlignment="1" applyProtection="1">
      <alignment horizontal="right" vertical="center"/>
    </xf>
    <xf numFmtId="0" fontId="17" fillId="42" borderId="47" xfId="1" applyFont="1" applyFill="1" applyBorder="1" applyAlignment="1" applyProtection="1">
      <alignment horizontal="right" vertical="center"/>
    </xf>
    <xf numFmtId="227" fontId="148" fillId="0" borderId="123" xfId="1" applyNumberFormat="1" applyFont="1" applyBorder="1" applyAlignment="1" applyProtection="1">
      <alignment horizontal="center"/>
    </xf>
    <xf numFmtId="0" fontId="148" fillId="31" borderId="123" xfId="1" applyFont="1" applyFill="1" applyBorder="1" applyAlignment="1" applyProtection="1">
      <alignment horizontal="left"/>
      <protection locked="0"/>
    </xf>
    <xf numFmtId="216" fontId="15" fillId="0" borderId="0" xfId="1" applyNumberFormat="1" applyFont="1" applyBorder="1" applyAlignment="1" applyProtection="1">
      <alignment horizontal="center"/>
    </xf>
    <xf numFmtId="218" fontId="15" fillId="0" borderId="0" xfId="1" applyNumberFormat="1" applyFont="1" applyFill="1" applyBorder="1" applyAlignment="1" applyProtection="1">
      <alignment horizontal="center"/>
    </xf>
    <xf numFmtId="225" fontId="148" fillId="31" borderId="235" xfId="1" applyNumberFormat="1" applyFont="1" applyFill="1" applyBorder="1" applyAlignment="1" applyProtection="1">
      <alignment horizontal="center"/>
      <protection locked="0"/>
    </xf>
    <xf numFmtId="225" fontId="148" fillId="31" borderId="234" xfId="1" applyNumberFormat="1" applyFont="1" applyFill="1" applyBorder="1" applyAlignment="1" applyProtection="1">
      <alignment horizontal="center"/>
      <protection locked="0"/>
    </xf>
    <xf numFmtId="0" fontId="6" fillId="0" borderId="0" xfId="1" applyFont="1" applyFill="1" applyBorder="1" applyAlignment="1" applyProtection="1">
      <alignment horizontal="center" vertical="top" wrapText="1"/>
    </xf>
    <xf numFmtId="0" fontId="15" fillId="31" borderId="176" xfId="1" applyFont="1" applyFill="1" applyBorder="1" applyAlignment="1" applyProtection="1">
      <alignment horizontal="left" vertical="center"/>
      <protection locked="0"/>
    </xf>
    <xf numFmtId="0" fontId="15" fillId="31" borderId="102" xfId="1" applyFont="1" applyFill="1" applyBorder="1" applyAlignment="1" applyProtection="1">
      <alignment horizontal="left" vertical="center"/>
      <protection locked="0"/>
    </xf>
    <xf numFmtId="0" fontId="15" fillId="0" borderId="79" xfId="1" applyFont="1" applyFill="1" applyBorder="1" applyAlignment="1" applyProtection="1">
      <alignment horizontal="center" vertical="center"/>
    </xf>
    <xf numFmtId="0" fontId="15" fillId="0" borderId="78" xfId="1" applyFont="1" applyFill="1" applyBorder="1" applyAlignment="1" applyProtection="1">
      <alignment horizontal="center" vertical="center"/>
    </xf>
    <xf numFmtId="0" fontId="15" fillId="0" borderId="79" xfId="1" applyFont="1" applyFill="1" applyBorder="1" applyAlignment="1" applyProtection="1">
      <alignment horizontal="center"/>
    </xf>
    <xf numFmtId="0" fontId="15" fillId="0" borderId="24" xfId="1" applyFont="1" applyFill="1" applyBorder="1" applyAlignment="1" applyProtection="1">
      <alignment horizontal="center"/>
    </xf>
    <xf numFmtId="0" fontId="15" fillId="0" borderId="78" xfId="1" applyFont="1" applyFill="1" applyBorder="1" applyAlignment="1" applyProtection="1">
      <alignment horizontal="center"/>
    </xf>
    <xf numFmtId="0" fontId="15" fillId="0" borderId="60" xfId="1" applyFont="1" applyFill="1" applyBorder="1" applyAlignment="1" applyProtection="1">
      <alignment horizontal="center"/>
    </xf>
    <xf numFmtId="0" fontId="15" fillId="0" borderId="41" xfId="1" applyFont="1" applyFill="1" applyBorder="1" applyAlignment="1" applyProtection="1">
      <alignment horizontal="center"/>
    </xf>
    <xf numFmtId="0" fontId="15" fillId="0" borderId="59" xfId="1" applyFont="1" applyFill="1" applyBorder="1" applyAlignment="1" applyProtection="1">
      <alignment horizontal="center"/>
    </xf>
    <xf numFmtId="165" fontId="15" fillId="31" borderId="258" xfId="1" applyNumberFormat="1" applyFont="1" applyFill="1" applyBorder="1" applyAlignment="1" applyProtection="1">
      <alignment horizontal="center" vertical="center" shrinkToFit="1"/>
      <protection locked="0"/>
    </xf>
    <xf numFmtId="165" fontId="15" fillId="31" borderId="31" xfId="1" applyNumberFormat="1" applyFont="1" applyFill="1" applyBorder="1" applyAlignment="1" applyProtection="1">
      <alignment horizontal="center" vertical="center" shrinkToFit="1"/>
      <protection locked="0"/>
    </xf>
    <xf numFmtId="0" fontId="15" fillId="31" borderId="260" xfId="1" applyFont="1" applyFill="1" applyBorder="1" applyAlignment="1" applyProtection="1">
      <alignment horizontal="left" vertical="center"/>
      <protection locked="0"/>
    </xf>
    <xf numFmtId="0" fontId="15" fillId="31" borderId="257" xfId="1" applyFont="1" applyFill="1" applyBorder="1" applyAlignment="1" applyProtection="1">
      <alignment horizontal="left" vertical="center"/>
      <protection locked="0"/>
    </xf>
    <xf numFmtId="0" fontId="15" fillId="31" borderId="259" xfId="1" applyFont="1" applyFill="1" applyBorder="1" applyAlignment="1" applyProtection="1">
      <alignment horizontal="left" vertical="center"/>
      <protection locked="0"/>
    </xf>
    <xf numFmtId="0" fontId="15" fillId="31" borderId="31" xfId="1" applyFont="1" applyFill="1" applyBorder="1" applyAlignment="1" applyProtection="1">
      <alignment horizontal="left" vertical="center"/>
      <protection locked="0"/>
    </xf>
    <xf numFmtId="0" fontId="17" fillId="31" borderId="60" xfId="1" applyFont="1" applyFill="1" applyBorder="1" applyAlignment="1" applyProtection="1">
      <alignment horizontal="center" vertical="center"/>
      <protection locked="0"/>
    </xf>
    <xf numFmtId="0" fontId="17" fillId="31" borderId="41" xfId="1" applyFont="1" applyFill="1" applyBorder="1" applyAlignment="1" applyProtection="1">
      <alignment horizontal="center" vertical="center"/>
      <protection locked="0"/>
    </xf>
    <xf numFmtId="0" fontId="17" fillId="31" borderId="59" xfId="1" applyFont="1" applyFill="1" applyBorder="1" applyAlignment="1" applyProtection="1">
      <alignment horizontal="center" vertical="center"/>
      <protection locked="0"/>
    </xf>
    <xf numFmtId="0" fontId="44" fillId="31" borderId="79" xfId="1" applyFont="1" applyFill="1" applyBorder="1" applyAlignment="1" applyProtection="1">
      <alignment horizontal="center" vertical="center"/>
      <protection locked="0"/>
    </xf>
    <xf numFmtId="0" fontId="44" fillId="31" borderId="24" xfId="1" applyFont="1" applyFill="1" applyBorder="1" applyAlignment="1" applyProtection="1">
      <alignment horizontal="center" vertical="center"/>
      <protection locked="0"/>
    </xf>
    <xf numFmtId="0" fontId="44" fillId="31" borderId="78" xfId="1" applyFont="1" applyFill="1" applyBorder="1" applyAlignment="1" applyProtection="1">
      <alignment horizontal="center" vertical="center"/>
      <protection locked="0"/>
    </xf>
    <xf numFmtId="9" fontId="15" fillId="31" borderId="255" xfId="1" applyNumberFormat="1" applyFont="1" applyFill="1" applyBorder="1" applyAlignment="1" applyProtection="1">
      <alignment horizontal="left" vertical="center"/>
      <protection locked="0"/>
    </xf>
    <xf numFmtId="9" fontId="15" fillId="31" borderId="102" xfId="1" applyNumberFormat="1" applyFont="1" applyFill="1" applyBorder="1" applyAlignment="1" applyProtection="1">
      <alignment horizontal="left" vertical="center"/>
      <protection locked="0"/>
    </xf>
    <xf numFmtId="9" fontId="15" fillId="31" borderId="254" xfId="1" applyNumberFormat="1" applyFont="1" applyFill="1" applyBorder="1" applyAlignment="1" applyProtection="1">
      <alignment horizontal="left" vertical="center"/>
      <protection locked="0"/>
    </xf>
    <xf numFmtId="228" fontId="15" fillId="0" borderId="257" xfId="1" applyNumberFormat="1" applyFont="1" applyFill="1" applyBorder="1" applyAlignment="1" applyProtection="1">
      <alignment horizontal="center" vertical="center"/>
    </xf>
    <xf numFmtId="228" fontId="15" fillId="0" borderId="256" xfId="1" applyNumberFormat="1" applyFont="1" applyFill="1" applyBorder="1" applyAlignment="1" applyProtection="1">
      <alignment horizontal="center" vertical="center"/>
    </xf>
    <xf numFmtId="233" fontId="17" fillId="31" borderId="255" xfId="1" applyNumberFormat="1" applyFont="1" applyFill="1" applyBorder="1" applyAlignment="1" applyProtection="1">
      <alignment horizontal="center" vertical="center"/>
      <protection locked="0"/>
    </xf>
    <xf numFmtId="233" fontId="17" fillId="31" borderId="102" xfId="1" applyNumberFormat="1" applyFont="1" applyFill="1" applyBorder="1" applyAlignment="1" applyProtection="1">
      <alignment horizontal="center" vertical="center"/>
      <protection locked="0"/>
    </xf>
    <xf numFmtId="233" fontId="17" fillId="31" borderId="254" xfId="1" applyNumberFormat="1" applyFont="1" applyFill="1" applyBorder="1" applyAlignment="1" applyProtection="1">
      <alignment horizontal="center" vertical="center"/>
      <protection locked="0"/>
    </xf>
    <xf numFmtId="0" fontId="17" fillId="42" borderId="154" xfId="1" applyFont="1" applyFill="1" applyBorder="1" applyAlignment="1" applyProtection="1">
      <alignment horizontal="right" vertical="center"/>
    </xf>
    <xf numFmtId="0" fontId="17" fillId="42" borderId="2" xfId="1" applyFont="1" applyFill="1" applyBorder="1" applyAlignment="1" applyProtection="1">
      <alignment horizontal="right" vertical="center"/>
    </xf>
    <xf numFmtId="0" fontId="17" fillId="42" borderId="44" xfId="1" applyFont="1" applyFill="1" applyBorder="1" applyAlignment="1" applyProtection="1">
      <alignment horizontal="right" vertical="center"/>
    </xf>
    <xf numFmtId="0" fontId="148" fillId="0" borderId="123" xfId="1" applyFont="1" applyFill="1" applyBorder="1" applyAlignment="1" applyProtection="1">
      <alignment horizontal="left"/>
    </xf>
    <xf numFmtId="0" fontId="10" fillId="30" borderId="249" xfId="1" applyFont="1" applyFill="1" applyBorder="1" applyAlignment="1" applyProtection="1">
      <alignment horizontal="center" vertical="top" wrapText="1"/>
    </xf>
    <xf numFmtId="0" fontId="10" fillId="30" borderId="247" xfId="1" applyFont="1" applyFill="1" applyBorder="1" applyAlignment="1" applyProtection="1">
      <alignment horizontal="center" vertical="top" wrapText="1"/>
    </xf>
    <xf numFmtId="0" fontId="10" fillId="30" borderId="231" xfId="1" applyFont="1" applyFill="1" applyBorder="1" applyAlignment="1" applyProtection="1">
      <alignment horizontal="center" vertical="top" wrapText="1"/>
    </xf>
    <xf numFmtId="0" fontId="10" fillId="30" borderId="248" xfId="1" applyFont="1" applyFill="1" applyBorder="1" applyAlignment="1" applyProtection="1">
      <alignment horizontal="center" vertical="top" wrapText="1"/>
    </xf>
    <xf numFmtId="0" fontId="15" fillId="0" borderId="144" xfId="1" applyFont="1" applyFill="1" applyBorder="1" applyAlignment="1" applyProtection="1">
      <alignment horizontal="center" vertical="center"/>
    </xf>
    <xf numFmtId="0" fontId="15" fillId="0" borderId="120" xfId="1" applyFont="1" applyFill="1" applyBorder="1" applyAlignment="1" applyProtection="1">
      <alignment horizontal="center" vertical="center"/>
    </xf>
    <xf numFmtId="9" fontId="15" fillId="31" borderId="60" xfId="1" applyNumberFormat="1" applyFont="1" applyFill="1" applyBorder="1" applyAlignment="1" applyProtection="1">
      <alignment horizontal="center" vertical="center"/>
      <protection locked="0"/>
    </xf>
    <xf numFmtId="9" fontId="15" fillId="31" borderId="59" xfId="1" applyNumberFormat="1" applyFont="1" applyFill="1" applyBorder="1" applyAlignment="1" applyProtection="1">
      <alignment horizontal="center" vertical="center"/>
      <protection locked="0"/>
    </xf>
    <xf numFmtId="172" fontId="15" fillId="42" borderId="184" xfId="1" applyNumberFormat="1" applyFont="1" applyFill="1" applyBorder="1" applyAlignment="1" applyProtection="1">
      <alignment horizontal="center" vertical="center"/>
    </xf>
    <xf numFmtId="172" fontId="15" fillId="42" borderId="251" xfId="1" applyNumberFormat="1" applyFont="1" applyFill="1" applyBorder="1" applyAlignment="1" applyProtection="1">
      <alignment horizontal="center" vertical="center"/>
    </xf>
    <xf numFmtId="0" fontId="15" fillId="42" borderId="40" xfId="1" applyFont="1" applyFill="1" applyBorder="1" applyAlignment="1" applyProtection="1">
      <alignment horizontal="center"/>
    </xf>
    <xf numFmtId="0" fontId="15" fillId="42" borderId="64" xfId="1" applyFont="1" applyFill="1" applyBorder="1" applyAlignment="1" applyProtection="1">
      <alignment horizontal="center"/>
    </xf>
    <xf numFmtId="9" fontId="15" fillId="30" borderId="32" xfId="1" applyNumberFormat="1" applyFont="1" applyFill="1" applyBorder="1" applyAlignment="1" applyProtection="1">
      <alignment horizontal="center"/>
    </xf>
    <xf numFmtId="9" fontId="15" fillId="30" borderId="0" xfId="1" applyNumberFormat="1" applyFont="1" applyFill="1" applyBorder="1" applyAlignment="1" applyProtection="1">
      <alignment horizontal="center"/>
    </xf>
    <xf numFmtId="0" fontId="15" fillId="30" borderId="79" xfId="1" applyFont="1" applyFill="1" applyBorder="1" applyAlignment="1" applyProtection="1">
      <alignment horizontal="center"/>
    </xf>
    <xf numFmtId="0" fontId="15" fillId="30" borderId="24" xfId="1" applyFont="1" applyFill="1" applyBorder="1" applyAlignment="1" applyProtection="1">
      <alignment horizontal="center"/>
    </xf>
    <xf numFmtId="232" fontId="15" fillId="0" borderId="252" xfId="1" applyNumberFormat="1" applyFont="1" applyFill="1" applyBorder="1" applyAlignment="1" applyProtection="1">
      <alignment horizontal="left" vertical="center"/>
    </xf>
    <xf numFmtId="232" fontId="15" fillId="0" borderId="94" xfId="1" applyNumberFormat="1" applyFont="1" applyFill="1" applyBorder="1" applyAlignment="1" applyProtection="1">
      <alignment horizontal="left" vertical="center"/>
    </xf>
    <xf numFmtId="232" fontId="15" fillId="0" borderId="106" xfId="1" applyNumberFormat="1" applyFont="1" applyFill="1" applyBorder="1" applyAlignment="1" applyProtection="1">
      <alignment horizontal="left" vertical="center"/>
    </xf>
    <xf numFmtId="0" fontId="21" fillId="45" borderId="30" xfId="67" applyFont="1" applyFill="1" applyBorder="1" applyAlignment="1">
      <alignment horizontal="left" vertical="center" textRotation="90"/>
    </xf>
    <xf numFmtId="0" fontId="5" fillId="45" borderId="30" xfId="1" applyFill="1" applyBorder="1" applyAlignment="1">
      <alignment horizontal="left" vertical="center" textRotation="90"/>
    </xf>
    <xf numFmtId="0" fontId="6" fillId="0" borderId="43" xfId="1" applyFont="1" applyBorder="1" applyAlignment="1" applyProtection="1">
      <alignment horizontal="left" vertical="center"/>
    </xf>
    <xf numFmtId="0" fontId="5" fillId="0" borderId="23" xfId="1" applyBorder="1" applyAlignment="1">
      <alignment horizontal="left" vertical="center"/>
    </xf>
    <xf numFmtId="0" fontId="21" fillId="46" borderId="30" xfId="67" applyFont="1" applyFill="1" applyBorder="1" applyAlignment="1">
      <alignment horizontal="left" vertical="center" textRotation="90" wrapText="1"/>
    </xf>
    <xf numFmtId="0" fontId="5" fillId="46" borderId="30" xfId="1" applyFill="1" applyBorder="1" applyAlignment="1">
      <alignment horizontal="left" vertical="center" textRotation="90"/>
    </xf>
    <xf numFmtId="0" fontId="21" fillId="46" borderId="30" xfId="67" applyFont="1" applyFill="1" applyBorder="1" applyAlignment="1">
      <alignment horizontal="left" vertical="center" textRotation="90"/>
    </xf>
    <xf numFmtId="3" fontId="115" fillId="4" borderId="32" xfId="105" applyNumberFormat="1" applyFont="1" applyFill="1" applyBorder="1" applyAlignment="1" applyProtection="1">
      <alignment horizontal="left" vertical="center"/>
    </xf>
    <xf numFmtId="3" fontId="115" fillId="4" borderId="19" xfId="105" applyNumberFormat="1" applyFont="1" applyFill="1" applyBorder="1" applyAlignment="1" applyProtection="1">
      <alignment horizontal="left" vertical="center"/>
    </xf>
    <xf numFmtId="49" fontId="5" fillId="33" borderId="301" xfId="1" applyNumberFormat="1" applyFont="1" applyFill="1" applyBorder="1" applyAlignment="1">
      <alignment horizontal="left"/>
    </xf>
    <xf numFmtId="49" fontId="10" fillId="33" borderId="301" xfId="1" applyNumberFormat="1" applyFont="1" applyFill="1" applyBorder="1" applyAlignment="1">
      <alignment horizontal="left"/>
    </xf>
    <xf numFmtId="0" fontId="7" fillId="33" borderId="0" xfId="1" applyFont="1" applyFill="1" applyBorder="1" applyAlignment="1" applyProtection="1">
      <alignment horizontal="left" vertical="top" wrapText="1"/>
    </xf>
    <xf numFmtId="0" fontId="5" fillId="33" borderId="0" xfId="1" applyFill="1" applyBorder="1" applyAlignment="1">
      <alignment horizontal="left" vertical="top" wrapText="1"/>
    </xf>
    <xf numFmtId="0" fontId="5" fillId="33" borderId="0" xfId="1" applyFont="1" applyFill="1" applyBorder="1" applyAlignment="1">
      <alignment horizontal="left" vertical="top" wrapText="1"/>
    </xf>
    <xf numFmtId="0" fontId="10" fillId="33" borderId="0" xfId="1" applyFont="1" applyFill="1" applyBorder="1" applyAlignment="1">
      <alignment horizontal="left" vertical="top" wrapText="1"/>
    </xf>
    <xf numFmtId="0" fontId="5" fillId="33" borderId="0" xfId="1" applyFont="1" applyFill="1" applyBorder="1" applyAlignment="1" applyProtection="1">
      <alignment horizontal="left" vertical="top" wrapText="1"/>
    </xf>
    <xf numFmtId="0" fontId="10" fillId="33" borderId="0" xfId="1" applyFont="1" applyFill="1" applyBorder="1" applyAlignment="1" applyProtection="1">
      <alignment horizontal="left" vertical="top"/>
    </xf>
    <xf numFmtId="0" fontId="10" fillId="33" borderId="0" xfId="1" applyFont="1" applyFill="1" applyBorder="1" applyAlignment="1" applyProtection="1">
      <alignment horizontal="left" vertical="top" wrapText="1"/>
    </xf>
    <xf numFmtId="0" fontId="44" fillId="37" borderId="0" xfId="1" applyFont="1" applyFill="1" applyAlignment="1" applyProtection="1">
      <alignment horizontal="center" vertical="center"/>
      <protection locked="0"/>
    </xf>
    <xf numFmtId="0" fontId="17" fillId="0" borderId="0" xfId="1" applyFont="1" applyAlignment="1">
      <alignment horizontal="center" vertical="top"/>
    </xf>
    <xf numFmtId="0" fontId="15" fillId="0" borderId="0" xfId="1" applyFont="1" applyAlignment="1">
      <alignment horizontal="center" vertical="top" wrapText="1"/>
    </xf>
    <xf numFmtId="0" fontId="14" fillId="37" borderId="0" xfId="1" applyFont="1" applyFill="1" applyAlignment="1" applyProtection="1">
      <alignment horizontal="left" vertical="center"/>
      <protection locked="0"/>
    </xf>
    <xf numFmtId="0" fontId="68" fillId="0" borderId="0" xfId="1" applyFont="1" applyAlignment="1" applyProtection="1">
      <alignment horizontal="left"/>
    </xf>
    <xf numFmtId="0" fontId="136" fillId="0" borderId="0" xfId="1" applyFont="1" applyAlignment="1" applyProtection="1">
      <alignment horizontal="left"/>
    </xf>
    <xf numFmtId="0" fontId="21" fillId="0" borderId="24" xfId="1" applyFont="1" applyBorder="1" applyAlignment="1" applyProtection="1">
      <alignment horizontal="left" vertical="top" wrapText="1"/>
    </xf>
    <xf numFmtId="0" fontId="21" fillId="0" borderId="0" xfId="1" applyFont="1" applyBorder="1" applyAlignment="1" applyProtection="1">
      <alignment horizontal="left" vertical="top" wrapText="1"/>
    </xf>
    <xf numFmtId="0" fontId="14" fillId="27" borderId="60" xfId="1" applyFont="1" applyFill="1" applyBorder="1" applyAlignment="1" applyProtection="1">
      <alignment horizontal="left" vertical="top" wrapText="1"/>
    </xf>
    <xf numFmtId="0" fontId="14" fillId="27" borderId="41" xfId="1" applyFont="1" applyFill="1" applyBorder="1" applyAlignment="1" applyProtection="1">
      <alignment horizontal="left" vertical="top" wrapText="1"/>
    </xf>
    <xf numFmtId="0" fontId="14" fillId="27" borderId="59" xfId="1" applyFont="1" applyFill="1" applyBorder="1" applyAlignment="1" applyProtection="1">
      <alignment horizontal="left" vertical="top" wrapText="1"/>
    </xf>
    <xf numFmtId="0" fontId="10" fillId="31" borderId="40" xfId="1" applyFont="1" applyFill="1" applyBorder="1" applyAlignment="1" applyProtection="1">
      <alignment horizontal="left" vertical="center"/>
      <protection locked="0"/>
    </xf>
    <xf numFmtId="0" fontId="10" fillId="31" borderId="0" xfId="1" applyFont="1" applyFill="1" applyBorder="1" applyAlignment="1" applyProtection="1">
      <alignment horizontal="left" vertical="center"/>
      <protection locked="0"/>
    </xf>
    <xf numFmtId="0" fontId="10" fillId="31" borderId="19" xfId="1" applyFont="1" applyFill="1" applyBorder="1" applyAlignment="1" applyProtection="1">
      <alignment horizontal="left" vertical="center"/>
      <protection locked="0"/>
    </xf>
    <xf numFmtId="0" fontId="5" fillId="0" borderId="0" xfId="1" applyFont="1" applyFill="1" applyBorder="1" applyAlignment="1" applyProtection="1">
      <alignment vertical="center" wrapText="1"/>
    </xf>
    <xf numFmtId="0" fontId="5" fillId="0" borderId="0" xfId="1" applyFill="1" applyBorder="1" applyAlignment="1" applyProtection="1">
      <alignment vertical="center" wrapText="1"/>
    </xf>
    <xf numFmtId="0" fontId="19" fillId="4" borderId="0" xfId="1" applyFont="1" applyFill="1" applyAlignment="1" applyProtection="1">
      <alignment horizontal="right" vertical="center"/>
    </xf>
    <xf numFmtId="4" fontId="176" fillId="33" borderId="40" xfId="1" applyNumberFormat="1" applyFont="1" applyFill="1" applyBorder="1" applyAlignment="1" applyProtection="1">
      <alignment horizontal="center" vertical="center"/>
    </xf>
    <xf numFmtId="4" fontId="176" fillId="33" borderId="19" xfId="1" applyNumberFormat="1" applyFont="1" applyFill="1" applyBorder="1" applyAlignment="1" applyProtection="1">
      <alignment horizontal="center" vertical="center"/>
    </xf>
    <xf numFmtId="4" fontId="7" fillId="0" borderId="40" xfId="1" applyNumberFormat="1" applyFont="1" applyFill="1" applyBorder="1" applyAlignment="1" applyProtection="1">
      <alignment horizontal="center" vertical="center"/>
    </xf>
    <xf numFmtId="4" fontId="7" fillId="0" borderId="19" xfId="1" applyNumberFormat="1" applyFont="1" applyFill="1" applyBorder="1" applyAlignment="1" applyProtection="1">
      <alignment horizontal="center" vertical="center"/>
    </xf>
    <xf numFmtId="183" fontId="7" fillId="37" borderId="68" xfId="164" applyNumberFormat="1" applyFont="1" applyFill="1" applyBorder="1" applyAlignment="1" applyProtection="1">
      <alignment horizontal="center" vertical="center"/>
      <protection locked="0"/>
    </xf>
    <xf numFmtId="183" fontId="7" fillId="37" borderId="264" xfId="164" applyNumberFormat="1" applyFont="1" applyFill="1" applyBorder="1" applyAlignment="1" applyProtection="1">
      <alignment horizontal="center" vertical="center"/>
      <protection locked="0"/>
    </xf>
    <xf numFmtId="182" fontId="7" fillId="37" borderId="68" xfId="164" applyNumberFormat="1" applyFont="1" applyFill="1" applyBorder="1" applyAlignment="1" applyProtection="1">
      <alignment horizontal="center" vertical="center"/>
      <protection locked="0"/>
    </xf>
    <xf numFmtId="182" fontId="7" fillId="37" borderId="263" xfId="164" applyNumberFormat="1" applyFont="1" applyFill="1" applyBorder="1" applyAlignment="1" applyProtection="1">
      <alignment horizontal="center" vertical="center"/>
      <protection locked="0"/>
    </xf>
    <xf numFmtId="182" fontId="7" fillId="0" borderId="43" xfId="1" applyNumberFormat="1" applyFont="1" applyFill="1" applyBorder="1" applyAlignment="1" applyProtection="1">
      <alignment horizontal="center" vertical="center"/>
    </xf>
    <xf numFmtId="182" fontId="7" fillId="0" borderId="42" xfId="1" applyNumberFormat="1" applyFont="1" applyFill="1" applyBorder="1" applyAlignment="1" applyProtection="1">
      <alignment horizontal="center" vertical="center"/>
    </xf>
    <xf numFmtId="182" fontId="7" fillId="37" borderId="43" xfId="164" applyNumberFormat="1" applyFont="1" applyFill="1" applyBorder="1" applyAlignment="1" applyProtection="1">
      <alignment horizontal="center" vertical="center"/>
      <protection locked="0"/>
    </xf>
    <xf numFmtId="182" fontId="3" fillId="31" borderId="40" xfId="1" applyNumberFormat="1" applyFont="1" applyFill="1" applyBorder="1" applyAlignment="1" applyProtection="1">
      <alignment horizontal="center" vertical="center"/>
      <protection locked="0"/>
    </xf>
    <xf numFmtId="182" fontId="3" fillId="31" borderId="0" xfId="1" applyNumberFormat="1" applyFont="1" applyFill="1" applyBorder="1" applyAlignment="1" applyProtection="1">
      <alignment horizontal="center" vertical="center"/>
      <protection locked="0"/>
    </xf>
    <xf numFmtId="183" fontId="7" fillId="37" borderId="65" xfId="164" applyNumberFormat="1" applyFont="1" applyFill="1" applyBorder="1" applyAlignment="1" applyProtection="1">
      <alignment horizontal="center" vertical="center"/>
      <protection locked="0"/>
    </xf>
    <xf numFmtId="183" fontId="7" fillId="37" borderId="72" xfId="164" applyNumberFormat="1" applyFont="1" applyFill="1" applyBorder="1" applyAlignment="1" applyProtection="1">
      <alignment horizontal="center" vertical="center"/>
      <protection locked="0"/>
    </xf>
    <xf numFmtId="0" fontId="113" fillId="0" borderId="65" xfId="1" applyFont="1" applyBorder="1" applyAlignment="1" applyProtection="1">
      <alignment horizontal="center" vertical="center"/>
    </xf>
    <xf numFmtId="0" fontId="113" fillId="0" borderId="72" xfId="1" applyFont="1" applyBorder="1" applyAlignment="1" applyProtection="1">
      <alignment horizontal="center" vertical="center"/>
    </xf>
    <xf numFmtId="0" fontId="7" fillId="0" borderId="65" xfId="1" applyFont="1" applyBorder="1" applyAlignment="1" applyProtection="1">
      <alignment horizontal="center" vertical="center"/>
    </xf>
    <xf numFmtId="0" fontId="7" fillId="0" borderId="72" xfId="1" applyFont="1" applyBorder="1" applyAlignment="1" applyProtection="1">
      <alignment horizontal="center" vertical="center"/>
    </xf>
    <xf numFmtId="0" fontId="113" fillId="0" borderId="19" xfId="1" applyFont="1" applyBorder="1" applyAlignment="1" applyProtection="1">
      <alignment horizontal="center" vertical="center"/>
    </xf>
    <xf numFmtId="0" fontId="7" fillId="0" borderId="19" xfId="1" applyFont="1" applyBorder="1" applyAlignment="1" applyProtection="1">
      <alignment horizontal="center" vertical="center"/>
    </xf>
    <xf numFmtId="182" fontId="7" fillId="37" borderId="40" xfId="164" applyNumberFormat="1" applyFont="1" applyFill="1" applyBorder="1" applyAlignment="1" applyProtection="1">
      <alignment horizontal="center" vertical="center"/>
      <protection locked="0"/>
    </xf>
    <xf numFmtId="182" fontId="7" fillId="37" borderId="0" xfId="164" applyNumberFormat="1" applyFont="1" applyFill="1" applyBorder="1" applyAlignment="1" applyProtection="1">
      <alignment horizontal="center" vertical="center"/>
      <protection locked="0"/>
    </xf>
    <xf numFmtId="182" fontId="7" fillId="37" borderId="65" xfId="164" applyNumberFormat="1" applyFont="1" applyFill="1" applyBorder="1" applyAlignment="1" applyProtection="1">
      <alignment horizontal="center" vertical="center"/>
      <protection locked="0"/>
    </xf>
    <xf numFmtId="182" fontId="7" fillId="37" borderId="19" xfId="164" applyNumberFormat="1" applyFont="1" applyFill="1" applyBorder="1" applyAlignment="1" applyProtection="1">
      <alignment horizontal="center" vertical="center"/>
      <protection locked="0"/>
    </xf>
    <xf numFmtId="0" fontId="113" fillId="0" borderId="0" xfId="1" applyFont="1" applyBorder="1" applyAlignment="1" applyProtection="1">
      <alignment horizontal="center" vertical="center"/>
    </xf>
    <xf numFmtId="0" fontId="113" fillId="0" borderId="61" xfId="1" applyFont="1" applyBorder="1" applyAlignment="1" applyProtection="1">
      <alignment horizontal="center" vertical="center"/>
    </xf>
    <xf numFmtId="0" fontId="113" fillId="0" borderId="71" xfId="1" applyFont="1" applyBorder="1" applyAlignment="1" applyProtection="1">
      <alignment horizontal="center" vertical="center"/>
    </xf>
    <xf numFmtId="183" fontId="7" fillId="31" borderId="65" xfId="1" applyNumberFormat="1" applyFont="1" applyFill="1" applyBorder="1" applyAlignment="1" applyProtection="1">
      <alignment horizontal="center" vertical="center"/>
      <protection locked="0"/>
    </xf>
    <xf numFmtId="183" fontId="7" fillId="31" borderId="72" xfId="1" applyNumberFormat="1" applyFont="1" applyFill="1" applyBorder="1" applyAlignment="1" applyProtection="1">
      <alignment horizontal="center" vertical="center"/>
      <protection locked="0"/>
    </xf>
    <xf numFmtId="182" fontId="7" fillId="0" borderId="40" xfId="1" applyNumberFormat="1" applyFont="1" applyFill="1" applyBorder="1" applyAlignment="1" applyProtection="1">
      <alignment horizontal="center" vertical="center"/>
    </xf>
    <xf numFmtId="182" fontId="7" fillId="0" borderId="19" xfId="1" applyNumberFormat="1" applyFont="1" applyFill="1" applyBorder="1" applyAlignment="1" applyProtection="1">
      <alignment horizontal="center" vertical="center"/>
    </xf>
    <xf numFmtId="0" fontId="14" fillId="0" borderId="40" xfId="1" applyFont="1" applyBorder="1" applyAlignment="1" applyProtection="1">
      <alignment horizontal="center" vertical="center"/>
    </xf>
    <xf numFmtId="0" fontId="14" fillId="0" borderId="19" xfId="1" applyFont="1" applyBorder="1" applyAlignment="1" applyProtection="1">
      <alignment horizontal="center" vertical="center"/>
    </xf>
    <xf numFmtId="0" fontId="113" fillId="0" borderId="40" xfId="1" applyFont="1" applyBorder="1" applyAlignment="1" applyProtection="1">
      <alignment horizontal="center" vertical="center"/>
    </xf>
    <xf numFmtId="182" fontId="176" fillId="31" borderId="40" xfId="1" applyNumberFormat="1" applyFont="1" applyFill="1" applyBorder="1" applyAlignment="1" applyProtection="1">
      <alignment horizontal="center" vertical="center"/>
      <protection locked="0"/>
    </xf>
    <xf numFmtId="182" fontId="176" fillId="31" borderId="0" xfId="1" applyNumberFormat="1" applyFont="1" applyFill="1" applyBorder="1" applyAlignment="1" applyProtection="1">
      <alignment horizontal="center" vertical="center"/>
      <protection locked="0"/>
    </xf>
    <xf numFmtId="182" fontId="7" fillId="31" borderId="65" xfId="1" applyNumberFormat="1" applyFont="1" applyFill="1" applyBorder="1" applyAlignment="1" applyProtection="1">
      <alignment horizontal="center" vertical="center"/>
      <protection locked="0"/>
    </xf>
    <xf numFmtId="182" fontId="7" fillId="31" borderId="19" xfId="1" applyNumberFormat="1" applyFont="1" applyFill="1" applyBorder="1" applyAlignment="1" applyProtection="1">
      <alignment horizontal="center" vertical="center"/>
      <protection locked="0"/>
    </xf>
    <xf numFmtId="0" fontId="113" fillId="0" borderId="39" xfId="1" applyFont="1" applyBorder="1" applyAlignment="1" applyProtection="1">
      <alignment horizontal="center" vertical="center"/>
    </xf>
    <xf numFmtId="0" fontId="113" fillId="0" borderId="44" xfId="1" applyFont="1" applyBorder="1" applyAlignment="1" applyProtection="1">
      <alignment horizontal="center" vertical="center"/>
    </xf>
    <xf numFmtId="4" fontId="7" fillId="0" borderId="43" xfId="1" applyNumberFormat="1" applyFont="1" applyFill="1" applyBorder="1" applyAlignment="1" applyProtection="1">
      <alignment horizontal="center" vertical="center"/>
    </xf>
    <xf numFmtId="4" fontId="7" fillId="0" borderId="42" xfId="1" applyNumberFormat="1" applyFont="1" applyFill="1" applyBorder="1" applyAlignment="1" applyProtection="1">
      <alignment horizontal="center" vertical="center"/>
    </xf>
    <xf numFmtId="0" fontId="14" fillId="0" borderId="0" xfId="1" applyFont="1" applyBorder="1" applyAlignment="1" applyProtection="1">
      <alignment horizontal="center" vertical="center"/>
    </xf>
    <xf numFmtId="0" fontId="113" fillId="0" borderId="65" xfId="1" applyFont="1" applyBorder="1" applyAlignment="1" applyProtection="1">
      <alignment horizontal="left" vertical="center"/>
    </xf>
    <xf numFmtId="0" fontId="113" fillId="0" borderId="0" xfId="1" applyFont="1" applyBorder="1" applyAlignment="1" applyProtection="1">
      <alignment horizontal="left" vertical="center"/>
    </xf>
    <xf numFmtId="0" fontId="113" fillId="0" borderId="2" xfId="1" applyFont="1" applyBorder="1" applyAlignment="1" applyProtection="1">
      <alignment horizontal="center" vertical="center"/>
    </xf>
    <xf numFmtId="0" fontId="142" fillId="0" borderId="87" xfId="67" applyFont="1" applyFill="1" applyBorder="1" applyAlignment="1" applyProtection="1">
      <alignment horizontal="center" wrapText="1"/>
    </xf>
    <xf numFmtId="0" fontId="142" fillId="0" borderId="170" xfId="67" applyFont="1" applyFill="1" applyBorder="1" applyAlignment="1" applyProtection="1">
      <alignment horizontal="center" wrapText="1"/>
    </xf>
    <xf numFmtId="0" fontId="142" fillId="0" borderId="21" xfId="67" applyFont="1" applyFill="1" applyBorder="1" applyAlignment="1" applyProtection="1">
      <alignment horizontal="center" vertical="center" wrapText="1"/>
    </xf>
    <xf numFmtId="0" fontId="142" fillId="0" borderId="172" xfId="67" applyFont="1" applyFill="1" applyBorder="1" applyAlignment="1" applyProtection="1">
      <alignment horizontal="center" vertical="center" wrapText="1"/>
    </xf>
    <xf numFmtId="4" fontId="7" fillId="0" borderId="39" xfId="1" applyNumberFormat="1" applyFont="1" applyFill="1" applyBorder="1" applyAlignment="1" applyProtection="1">
      <alignment horizontal="center" vertical="center"/>
    </xf>
    <xf numFmtId="4" fontId="7" fillId="0" borderId="44" xfId="1" applyNumberFormat="1" applyFont="1" applyFill="1" applyBorder="1" applyAlignment="1" applyProtection="1">
      <alignment horizontal="center" vertical="center"/>
    </xf>
    <xf numFmtId="0" fontId="6" fillId="4" borderId="40" xfId="1" applyFont="1" applyFill="1" applyBorder="1" applyAlignment="1" applyProtection="1">
      <alignment horizontal="center" vertical="center"/>
    </xf>
    <xf numFmtId="0" fontId="6" fillId="4" borderId="19" xfId="1" applyFont="1" applyFill="1" applyBorder="1" applyAlignment="1" applyProtection="1">
      <alignment horizontal="center" vertical="center"/>
    </xf>
    <xf numFmtId="186" fontId="16" fillId="0" borderId="43" xfId="1" applyNumberFormat="1" applyFont="1" applyFill="1" applyBorder="1" applyAlignment="1" applyProtection="1">
      <alignment horizontal="center" vertical="center"/>
    </xf>
    <xf numFmtId="186" fontId="16" fillId="0" borderId="42" xfId="1" applyNumberFormat="1" applyFont="1" applyFill="1" applyBorder="1" applyAlignment="1" applyProtection="1">
      <alignment horizontal="center" vertical="center"/>
    </xf>
    <xf numFmtId="185" fontId="10" fillId="0" borderId="69" xfId="61" applyNumberFormat="1" applyFont="1" applyFill="1" applyBorder="1" applyAlignment="1" applyProtection="1">
      <alignment horizontal="center" vertical="center"/>
    </xf>
    <xf numFmtId="185" fontId="10" fillId="0" borderId="66" xfId="61" applyNumberFormat="1" applyFont="1" applyFill="1" applyBorder="1" applyAlignment="1" applyProtection="1">
      <alignment horizontal="center" vertical="center"/>
    </xf>
    <xf numFmtId="0" fontId="16" fillId="0" borderId="0" xfId="1" applyFont="1" applyBorder="1" applyAlignment="1" applyProtection="1">
      <alignment vertical="center" wrapText="1"/>
    </xf>
    <xf numFmtId="0" fontId="5" fillId="0" borderId="0" xfId="1" applyFont="1" applyBorder="1" applyAlignment="1">
      <alignment vertical="center" wrapText="1"/>
    </xf>
    <xf numFmtId="187" fontId="10" fillId="0" borderId="263" xfId="61" applyNumberFormat="1" applyFont="1" applyFill="1" applyBorder="1" applyAlignment="1" applyProtection="1">
      <alignment horizontal="right" vertical="center"/>
    </xf>
    <xf numFmtId="187" fontId="10" fillId="0" borderId="2" xfId="61" applyNumberFormat="1" applyFont="1" applyFill="1" applyBorder="1" applyAlignment="1" applyProtection="1">
      <alignment horizontal="right" vertical="center"/>
    </xf>
    <xf numFmtId="0" fontId="10" fillId="0" borderId="40" xfId="1" applyFont="1" applyBorder="1" applyAlignment="1" applyProtection="1">
      <alignment horizontal="center" vertical="center"/>
    </xf>
    <xf numFmtId="0" fontId="10" fillId="0" borderId="19" xfId="1" applyFont="1" applyBorder="1" applyAlignment="1" applyProtection="1">
      <alignment horizontal="center" vertical="center"/>
    </xf>
    <xf numFmtId="186" fontId="148" fillId="0" borderId="24" xfId="1" applyNumberFormat="1" applyFont="1" applyFill="1" applyBorder="1" applyAlignment="1" applyProtection="1">
      <alignment horizontal="center" vertical="center"/>
    </xf>
    <xf numFmtId="186" fontId="148" fillId="0" borderId="127" xfId="1" applyNumberFormat="1" applyFont="1" applyFill="1" applyBorder="1" applyAlignment="1" applyProtection="1">
      <alignment horizontal="center" vertical="center"/>
    </xf>
    <xf numFmtId="186" fontId="148" fillId="0" borderId="0" xfId="1" applyNumberFormat="1" applyFont="1" applyFill="1" applyBorder="1" applyAlignment="1" applyProtection="1">
      <alignment horizontal="center" vertical="center"/>
    </xf>
    <xf numFmtId="186" fontId="148" fillId="0" borderId="19" xfId="1" applyNumberFormat="1" applyFont="1" applyFill="1" applyBorder="1" applyAlignment="1" applyProtection="1">
      <alignment horizontal="center" vertical="center"/>
    </xf>
    <xf numFmtId="186" fontId="148" fillId="0" borderId="2" xfId="1" applyNumberFormat="1" applyFont="1" applyFill="1" applyBorder="1" applyAlignment="1" applyProtection="1">
      <alignment horizontal="center" vertical="center"/>
    </xf>
    <xf numFmtId="186" fontId="148" fillId="0" borderId="44" xfId="1" applyNumberFormat="1" applyFont="1" applyFill="1" applyBorder="1" applyAlignment="1" applyProtection="1">
      <alignment horizontal="center" vertical="center"/>
    </xf>
    <xf numFmtId="0" fontId="21" fillId="0" borderId="0" xfId="67" applyFont="1" applyAlignment="1">
      <alignment horizontal="left" vertical="top" wrapText="1"/>
    </xf>
    <xf numFmtId="186" fontId="16" fillId="0" borderId="40" xfId="1" applyNumberFormat="1" applyFont="1" applyFill="1" applyBorder="1" applyAlignment="1" applyProtection="1">
      <alignment horizontal="center" vertical="center"/>
    </xf>
    <xf numFmtId="186" fontId="16" fillId="0" borderId="19" xfId="1" applyNumberFormat="1" applyFont="1" applyFill="1" applyBorder="1" applyAlignment="1" applyProtection="1">
      <alignment horizontal="center" vertical="center"/>
    </xf>
    <xf numFmtId="171" fontId="10" fillId="4" borderId="43" xfId="61" applyNumberFormat="1" applyFont="1" applyFill="1" applyBorder="1" applyAlignment="1" applyProtection="1">
      <alignment horizontal="right" vertical="center"/>
    </xf>
    <xf numFmtId="171" fontId="10" fillId="4" borderId="39" xfId="61" applyNumberFormat="1" applyFont="1" applyFill="1" applyBorder="1" applyAlignment="1" applyProtection="1">
      <alignment horizontal="right" vertical="center"/>
    </xf>
    <xf numFmtId="185" fontId="10" fillId="4" borderId="40" xfId="61" applyNumberFormat="1" applyFont="1" applyFill="1" applyBorder="1" applyAlignment="1" applyProtection="1">
      <alignment horizontal="right" vertical="center"/>
    </xf>
    <xf numFmtId="185" fontId="5" fillId="37" borderId="83" xfId="135" applyNumberFormat="1" applyFont="1" applyFill="1" applyBorder="1" applyAlignment="1" applyProtection="1">
      <alignment horizontal="center" vertical="center"/>
      <protection locked="0"/>
    </xf>
    <xf numFmtId="185" fontId="5" fillId="37" borderId="82" xfId="135" applyNumberFormat="1" applyFont="1" applyFill="1" applyBorder="1" applyAlignment="1" applyProtection="1">
      <alignment horizontal="center" vertical="center"/>
      <protection locked="0"/>
    </xf>
    <xf numFmtId="0" fontId="16" fillId="0" borderId="0" xfId="1" applyFont="1" applyBorder="1" applyAlignment="1" applyProtection="1">
      <alignment horizontal="left" vertical="center" wrapText="1"/>
    </xf>
    <xf numFmtId="0" fontId="16" fillId="0" borderId="2" xfId="1" applyFont="1" applyBorder="1" applyAlignment="1" applyProtection="1">
      <alignment horizontal="left" vertical="center" wrapText="1"/>
    </xf>
    <xf numFmtId="171" fontId="10" fillId="0" borderId="263" xfId="61" applyNumberFormat="1" applyFont="1" applyFill="1" applyBorder="1" applyAlignment="1" applyProtection="1">
      <alignment horizontal="right" vertical="center"/>
    </xf>
    <xf numFmtId="171" fontId="10" fillId="0" borderId="2" xfId="61" applyNumberFormat="1" applyFont="1" applyFill="1" applyBorder="1" applyAlignment="1" applyProtection="1">
      <alignment horizontal="right" vertical="center"/>
    </xf>
    <xf numFmtId="0" fontId="10" fillId="0" borderId="40" xfId="1" applyFont="1" applyFill="1" applyBorder="1" applyAlignment="1" applyProtection="1">
      <alignment horizontal="center" vertical="center"/>
    </xf>
    <xf numFmtId="0" fontId="10" fillId="0" borderId="19" xfId="1" applyFont="1" applyFill="1" applyBorder="1" applyAlignment="1" applyProtection="1">
      <alignment horizontal="center" vertical="center"/>
    </xf>
    <xf numFmtId="186" fontId="148" fillId="0" borderId="126" xfId="1" applyNumberFormat="1" applyFont="1" applyFill="1" applyBorder="1" applyAlignment="1" applyProtection="1">
      <alignment horizontal="center" vertical="center"/>
    </xf>
    <xf numFmtId="186" fontId="148" fillId="0" borderId="40" xfId="1" applyNumberFormat="1" applyFont="1" applyFill="1" applyBorder="1" applyAlignment="1" applyProtection="1">
      <alignment horizontal="center" vertical="center"/>
    </xf>
    <xf numFmtId="186" fontId="148" fillId="0" borderId="39" xfId="1" applyNumberFormat="1" applyFont="1" applyFill="1" applyBorder="1" applyAlignment="1" applyProtection="1">
      <alignment horizontal="center" vertical="center"/>
    </xf>
    <xf numFmtId="185" fontId="10" fillId="0" borderId="0" xfId="61" applyNumberFormat="1" applyFont="1" applyFill="1" applyBorder="1" applyAlignment="1" applyProtection="1">
      <alignment horizontal="right" vertical="center"/>
    </xf>
    <xf numFmtId="185" fontId="10" fillId="37" borderId="83" xfId="61" applyNumberFormat="1" applyFont="1" applyFill="1" applyBorder="1" applyAlignment="1" applyProtection="1">
      <alignment horizontal="center" vertical="center"/>
      <protection locked="0"/>
    </xf>
    <xf numFmtId="185" fontId="10" fillId="37" borderId="82" xfId="61" applyNumberFormat="1" applyFont="1" applyFill="1" applyBorder="1" applyAlignment="1" applyProtection="1">
      <alignment horizontal="center" vertical="center"/>
      <protection locked="0"/>
    </xf>
    <xf numFmtId="185" fontId="10" fillId="33" borderId="69" xfId="61" applyNumberFormat="1" applyFont="1" applyFill="1" applyBorder="1" applyAlignment="1" applyProtection="1">
      <alignment horizontal="center" vertical="center"/>
    </xf>
    <xf numFmtId="185" fontId="10" fillId="33" borderId="66" xfId="61" applyNumberFormat="1" applyFont="1" applyFill="1" applyBorder="1" applyAlignment="1" applyProtection="1">
      <alignment horizontal="center" vertical="center"/>
    </xf>
    <xf numFmtId="0" fontId="6" fillId="0" borderId="40" xfId="1" applyFont="1" applyFill="1" applyBorder="1" applyAlignment="1" applyProtection="1">
      <alignment horizontal="center" vertical="center"/>
    </xf>
    <xf numFmtId="0" fontId="6" fillId="0" borderId="19" xfId="1" applyFont="1" applyFill="1" applyBorder="1" applyAlignment="1" applyProtection="1">
      <alignment horizontal="center" vertical="center"/>
    </xf>
    <xf numFmtId="187" fontId="10" fillId="0" borderId="0" xfId="61" applyNumberFormat="1" applyFont="1" applyFill="1" applyBorder="1" applyAlignment="1" applyProtection="1">
      <alignment horizontal="right" vertical="center"/>
    </xf>
    <xf numFmtId="0" fontId="93" fillId="31" borderId="39" xfId="124" applyFont="1" applyFill="1" applyBorder="1" applyAlignment="1" applyProtection="1">
      <alignment horizontal="center" vertical="center"/>
      <protection locked="0"/>
    </xf>
    <xf numFmtId="0" fontId="93" fillId="31" borderId="125" xfId="124" applyFont="1" applyFill="1" applyBorder="1" applyAlignment="1" applyProtection="1">
      <alignment horizontal="center" vertical="center"/>
      <protection locked="0"/>
    </xf>
    <xf numFmtId="0" fontId="45" fillId="0" borderId="0" xfId="124" applyFont="1" applyAlignment="1" applyProtection="1">
      <alignment horizontal="left" vertical="center" wrapText="1"/>
    </xf>
    <xf numFmtId="0" fontId="45" fillId="31" borderId="91" xfId="124" applyFont="1" applyFill="1" applyBorder="1" applyAlignment="1" applyProtection="1">
      <alignment horizontal="center" vertical="center"/>
      <protection locked="0"/>
    </xf>
    <xf numFmtId="0" fontId="45" fillId="31" borderId="178" xfId="124" applyFont="1" applyFill="1" applyBorder="1" applyAlignment="1" applyProtection="1">
      <alignment horizontal="center" vertical="center"/>
      <protection locked="0"/>
    </xf>
    <xf numFmtId="0" fontId="44" fillId="4" borderId="0" xfId="1" applyFont="1" applyFill="1" applyBorder="1" applyAlignment="1" applyProtection="1">
      <alignment horizontal="right" vertical="center"/>
    </xf>
    <xf numFmtId="185" fontId="15" fillId="0" borderId="107" xfId="124" applyNumberFormat="1" applyFont="1" applyBorder="1" applyAlignment="1" applyProtection="1">
      <alignment horizontal="center" vertical="center" wrapText="1"/>
    </xf>
    <xf numFmtId="185" fontId="15" fillId="0" borderId="106" xfId="124" applyNumberFormat="1" applyFont="1" applyBorder="1" applyAlignment="1" applyProtection="1">
      <alignment horizontal="center" vertical="center" wrapText="1"/>
    </xf>
    <xf numFmtId="0" fontId="93" fillId="31" borderId="91" xfId="124" applyFont="1" applyFill="1" applyBorder="1" applyAlignment="1" applyProtection="1">
      <alignment horizontal="center" vertical="center"/>
      <protection locked="0"/>
    </xf>
    <xf numFmtId="0" fontId="93" fillId="31" borderId="178" xfId="124" applyFont="1" applyFill="1" applyBorder="1" applyAlignment="1" applyProtection="1">
      <alignment horizontal="center" vertical="center"/>
      <protection locked="0"/>
    </xf>
    <xf numFmtId="191" fontId="98" fillId="0" borderId="0" xfId="1" applyNumberFormat="1" applyFont="1" applyBorder="1" applyAlignment="1">
      <alignment horizontal="center"/>
    </xf>
    <xf numFmtId="1" fontId="19" fillId="0" borderId="0" xfId="1" applyNumberFormat="1" applyFont="1" applyBorder="1" applyAlignment="1">
      <alignment horizontal="left"/>
    </xf>
    <xf numFmtId="2" fontId="6" fillId="30" borderId="43" xfId="67" applyNumberFormat="1" applyFont="1" applyFill="1" applyBorder="1" applyAlignment="1">
      <alignment horizontal="center" vertical="center" wrapText="1"/>
    </xf>
    <xf numFmtId="2" fontId="6" fillId="30" borderId="42" xfId="67" applyNumberFormat="1" applyFont="1" applyFill="1" applyBorder="1" applyAlignment="1">
      <alignment horizontal="center" vertical="center" wrapText="1"/>
    </xf>
    <xf numFmtId="2" fontId="6" fillId="30" borderId="39" xfId="67" applyNumberFormat="1" applyFont="1" applyFill="1" applyBorder="1" applyAlignment="1">
      <alignment horizontal="center" vertical="center" wrapText="1"/>
    </xf>
    <xf numFmtId="2" fontId="6" fillId="30" borderId="44" xfId="67" applyNumberFormat="1" applyFont="1" applyFill="1" applyBorder="1" applyAlignment="1">
      <alignment horizontal="center" vertical="center" wrapText="1"/>
    </xf>
    <xf numFmtId="49" fontId="6" fillId="30" borderId="77" xfId="67" applyNumberFormat="1" applyFont="1" applyFill="1" applyBorder="1" applyAlignment="1">
      <alignment horizontal="center" vertical="top"/>
    </xf>
    <xf numFmtId="49" fontId="6" fillId="30" borderId="58" xfId="67" applyNumberFormat="1" applyFont="1" applyFill="1" applyBorder="1" applyAlignment="1">
      <alignment horizontal="center" vertical="top"/>
    </xf>
    <xf numFmtId="2" fontId="6" fillId="30" borderId="43" xfId="67" applyNumberFormat="1" applyFont="1" applyFill="1" applyBorder="1" applyAlignment="1">
      <alignment horizontal="center" vertical="center"/>
    </xf>
    <xf numFmtId="2" fontId="6" fillId="30" borderId="42" xfId="67" applyNumberFormat="1" applyFont="1" applyFill="1" applyBorder="1" applyAlignment="1">
      <alignment horizontal="center" vertical="center"/>
    </xf>
    <xf numFmtId="2" fontId="6" fillId="30" borderId="39" xfId="67" applyNumberFormat="1" applyFont="1" applyFill="1" applyBorder="1" applyAlignment="1">
      <alignment horizontal="center" vertical="center"/>
    </xf>
    <xf numFmtId="2" fontId="6" fillId="30" borderId="44" xfId="67" applyNumberFormat="1" applyFont="1" applyFill="1" applyBorder="1" applyAlignment="1">
      <alignment horizontal="center" vertical="center"/>
    </xf>
    <xf numFmtId="2" fontId="6" fillId="30" borderId="23" xfId="67" applyNumberFormat="1" applyFont="1" applyFill="1" applyBorder="1" applyAlignment="1">
      <alignment horizontal="center" vertical="center" wrapText="1"/>
    </xf>
    <xf numFmtId="2" fontId="6" fillId="30" borderId="2" xfId="67" applyNumberFormat="1" applyFont="1" applyFill="1" applyBorder="1" applyAlignment="1">
      <alignment horizontal="center" vertical="center" wrapText="1"/>
    </xf>
    <xf numFmtId="0" fontId="6" fillId="30" borderId="43" xfId="67" applyFont="1" applyFill="1" applyBorder="1" applyAlignment="1">
      <alignment horizontal="center" vertical="center" readingOrder="1"/>
    </xf>
    <xf numFmtId="0" fontId="6" fillId="30" borderId="42" xfId="67" applyFont="1" applyFill="1" applyBorder="1" applyAlignment="1">
      <alignment horizontal="center" vertical="center" readingOrder="1"/>
    </xf>
    <xf numFmtId="0" fontId="6" fillId="30" borderId="39" xfId="67" applyFont="1" applyFill="1" applyBorder="1" applyAlignment="1">
      <alignment horizontal="center" vertical="center" readingOrder="1"/>
    </xf>
    <xf numFmtId="0" fontId="6" fillId="30" borderId="44" xfId="67" applyFont="1" applyFill="1" applyBorder="1" applyAlignment="1">
      <alignment horizontal="center" vertical="center" readingOrder="1"/>
    </xf>
    <xf numFmtId="0" fontId="6" fillId="30" borderId="23" xfId="67" applyFont="1" applyFill="1" applyBorder="1" applyAlignment="1">
      <alignment horizontal="center" vertical="center" readingOrder="1"/>
    </xf>
    <xf numFmtId="0" fontId="6" fillId="30" borderId="2" xfId="67" applyFont="1" applyFill="1" applyBorder="1" applyAlignment="1">
      <alignment horizontal="center" vertical="center" readingOrder="1"/>
    </xf>
    <xf numFmtId="0" fontId="6" fillId="30" borderId="43" xfId="67" applyFont="1" applyFill="1" applyBorder="1" applyAlignment="1">
      <alignment horizontal="center" vertical="center"/>
    </xf>
    <xf numFmtId="0" fontId="6" fillId="30" borderId="42" xfId="67" applyFont="1" applyFill="1" applyBorder="1" applyAlignment="1">
      <alignment horizontal="center" vertical="center"/>
    </xf>
    <xf numFmtId="0" fontId="6" fillId="30" borderId="39" xfId="67" applyFont="1" applyFill="1" applyBorder="1" applyAlignment="1">
      <alignment horizontal="center" vertical="center"/>
    </xf>
    <xf numFmtId="0" fontId="6" fillId="30" borderId="44" xfId="67" applyFont="1" applyFill="1" applyBorder="1" applyAlignment="1">
      <alignment horizontal="center" vertical="center"/>
    </xf>
    <xf numFmtId="0" fontId="6" fillId="30" borderId="77" xfId="67" applyFont="1" applyFill="1" applyBorder="1" applyAlignment="1">
      <alignment horizontal="center" vertical="top" wrapText="1"/>
    </xf>
    <xf numFmtId="0" fontId="6" fillId="30" borderId="58" xfId="67" applyFont="1" applyFill="1" applyBorder="1" applyAlignment="1">
      <alignment horizontal="center" vertical="top"/>
    </xf>
    <xf numFmtId="4" fontId="5" fillId="0" borderId="77" xfId="95" applyNumberFormat="1" applyFont="1" applyFill="1" applyBorder="1" applyAlignment="1" applyProtection="1">
      <alignment horizontal="center" vertical="center"/>
    </xf>
    <xf numFmtId="4" fontId="5" fillId="0" borderId="58" xfId="95" applyNumberFormat="1" applyFont="1" applyFill="1" applyBorder="1" applyAlignment="1" applyProtection="1">
      <alignment horizontal="center" vertical="center"/>
    </xf>
    <xf numFmtId="0" fontId="5" fillId="0" borderId="43" xfId="1" applyFont="1" applyBorder="1" applyAlignment="1" applyProtection="1">
      <alignment horizontal="center" vertical="center"/>
    </xf>
    <xf numFmtId="0" fontId="5" fillId="0" borderId="305" xfId="1" applyFont="1" applyBorder="1" applyAlignment="1" applyProtection="1">
      <alignment horizontal="center" vertical="center"/>
    </xf>
    <xf numFmtId="0" fontId="14" fillId="0" borderId="43" xfId="1" applyFont="1" applyBorder="1" applyAlignment="1" applyProtection="1">
      <alignment horizontal="center" vertical="center"/>
    </xf>
    <xf numFmtId="0" fontId="14" fillId="0" borderId="305" xfId="1" applyFont="1" applyBorder="1" applyAlignment="1" applyProtection="1">
      <alignment horizontal="center" vertical="center"/>
    </xf>
    <xf numFmtId="0" fontId="16" fillId="0" borderId="39" xfId="1" applyFont="1" applyBorder="1" applyAlignment="1" applyProtection="1">
      <alignment horizontal="center" vertical="center"/>
    </xf>
    <xf numFmtId="0" fontId="16" fillId="0" borderId="44" xfId="1" applyFont="1" applyBorder="1" applyAlignment="1" applyProtection="1">
      <alignment horizontal="center" vertical="center"/>
    </xf>
    <xf numFmtId="0" fontId="5" fillId="33" borderId="39" xfId="164" applyFill="1" applyBorder="1" applyAlignment="1">
      <alignment horizontal="center"/>
    </xf>
    <xf numFmtId="0" fontId="5" fillId="33" borderId="2" xfId="164" applyFill="1" applyBorder="1" applyAlignment="1">
      <alignment horizontal="center"/>
    </xf>
    <xf numFmtId="0" fontId="5" fillId="33" borderId="44" xfId="164" applyFill="1" applyBorder="1" applyAlignment="1">
      <alignment horizontal="center"/>
    </xf>
    <xf numFmtId="0" fontId="5" fillId="0" borderId="43" xfId="164" applyFont="1" applyBorder="1" applyAlignment="1" applyProtection="1">
      <alignment horizontal="left" vertical="center"/>
    </xf>
    <xf numFmtId="0" fontId="5" fillId="0" borderId="263" xfId="164" applyFont="1" applyBorder="1" applyAlignment="1" applyProtection="1">
      <alignment horizontal="left" vertical="center"/>
    </xf>
    <xf numFmtId="0" fontId="5" fillId="0" borderId="305" xfId="164" applyFont="1" applyBorder="1" applyAlignment="1" applyProtection="1">
      <alignment horizontal="left" vertical="center"/>
    </xf>
    <xf numFmtId="0" fontId="5" fillId="0" borderId="77" xfId="1" applyFont="1" applyBorder="1" applyAlignment="1" applyProtection="1">
      <alignment horizontal="center" vertical="center"/>
    </xf>
    <xf numFmtId="0" fontId="5" fillId="0" borderId="58" xfId="1" applyFont="1" applyBorder="1" applyAlignment="1" applyProtection="1">
      <alignment horizontal="center" vertical="center"/>
    </xf>
    <xf numFmtId="0" fontId="5" fillId="0" borderId="77" xfId="164" applyFont="1" applyBorder="1" applyAlignment="1" applyProtection="1">
      <alignment horizontal="left" vertical="center"/>
    </xf>
    <xf numFmtId="0" fontId="5" fillId="0" borderId="57" xfId="164" applyFont="1" applyBorder="1" applyAlignment="1" applyProtection="1">
      <alignment horizontal="left" vertical="center"/>
    </xf>
    <xf numFmtId="0" fontId="5" fillId="0" borderId="58" xfId="164" applyFont="1" applyBorder="1" applyAlignment="1" applyProtection="1">
      <alignment horizontal="left" vertical="center"/>
    </xf>
    <xf numFmtId="0" fontId="10" fillId="0" borderId="32" xfId="1" applyNumberFormat="1" applyFont="1" applyFill="1" applyBorder="1" applyAlignment="1" applyProtection="1">
      <alignment horizontal="center" vertical="center"/>
    </xf>
    <xf numFmtId="0" fontId="10" fillId="0" borderId="262" xfId="1" applyNumberFormat="1" applyFont="1" applyFill="1" applyBorder="1" applyAlignment="1" applyProtection="1">
      <alignment horizontal="center" vertical="center"/>
    </xf>
    <xf numFmtId="0" fontId="10" fillId="0" borderId="60" xfId="1" applyNumberFormat="1" applyFont="1" applyFill="1" applyBorder="1" applyAlignment="1" applyProtection="1">
      <alignment horizontal="center" vertical="center"/>
    </xf>
    <xf numFmtId="0" fontId="10" fillId="0" borderId="59" xfId="1" applyNumberFormat="1" applyFont="1" applyFill="1" applyBorder="1" applyAlignment="1" applyProtection="1">
      <alignment horizontal="center" vertical="center"/>
    </xf>
    <xf numFmtId="0" fontId="15" fillId="0" borderId="0" xfId="1" applyFont="1" applyFill="1" applyAlignment="1" applyProtection="1">
      <alignment horizontal="center" vertical="center"/>
    </xf>
    <xf numFmtId="0" fontId="6" fillId="59" borderId="126" xfId="1" applyFont="1" applyFill="1" applyBorder="1" applyAlignment="1" applyProtection="1">
      <alignment horizontal="center" vertical="center" wrapText="1"/>
    </xf>
    <xf numFmtId="0" fontId="6" fillId="59" borderId="78" xfId="1" applyFont="1" applyFill="1" applyBorder="1" applyAlignment="1" applyProtection="1">
      <alignment horizontal="center" vertical="center" wrapText="1"/>
    </xf>
    <xf numFmtId="0" fontId="10" fillId="59" borderId="40" xfId="1" applyFont="1" applyFill="1" applyBorder="1" applyAlignment="1" applyProtection="1">
      <alignment horizontal="center" vertical="center" wrapText="1"/>
    </xf>
    <xf numFmtId="0" fontId="10" fillId="59" borderId="262" xfId="1" applyFont="1" applyFill="1" applyBorder="1" applyAlignment="1" applyProtection="1">
      <alignment horizontal="center" vertical="center" wrapText="1"/>
    </xf>
    <xf numFmtId="0" fontId="10" fillId="0" borderId="79" xfId="1" applyNumberFormat="1" applyFont="1" applyFill="1" applyBorder="1" applyAlignment="1" applyProtection="1">
      <alignment horizontal="center" vertical="center"/>
    </xf>
    <xf numFmtId="0" fontId="10" fillId="0" borderId="78" xfId="1" applyNumberFormat="1" applyFont="1" applyFill="1" applyBorder="1" applyAlignment="1" applyProtection="1">
      <alignment horizontal="center" vertical="center"/>
    </xf>
    <xf numFmtId="0" fontId="10" fillId="0" borderId="153" xfId="1" applyNumberFormat="1" applyFont="1" applyFill="1" applyBorder="1" applyAlignment="1" applyProtection="1">
      <alignment horizontal="center" vertical="center"/>
    </xf>
    <xf numFmtId="0" fontId="10" fillId="0" borderId="124" xfId="1" applyNumberFormat="1" applyFont="1" applyFill="1" applyBorder="1" applyAlignment="1" applyProtection="1">
      <alignment horizontal="center" vertical="center"/>
    </xf>
    <xf numFmtId="0" fontId="16" fillId="0" borderId="43" xfId="164" applyFont="1" applyBorder="1" applyAlignment="1" applyProtection="1">
      <alignment horizontal="left" vertical="center"/>
    </xf>
    <xf numFmtId="0" fontId="16" fillId="0" borderId="263" xfId="164" applyFont="1" applyBorder="1" applyAlignment="1" applyProtection="1">
      <alignment horizontal="left" vertical="center"/>
    </xf>
    <xf numFmtId="0" fontId="16" fillId="0" borderId="305" xfId="164" applyFont="1" applyBorder="1" applyAlignment="1" applyProtection="1">
      <alignment horizontal="left" vertical="center"/>
    </xf>
    <xf numFmtId="0" fontId="16" fillId="0" borderId="40" xfId="164" applyFont="1" applyBorder="1" applyAlignment="1" applyProtection="1">
      <alignment horizontal="left" vertical="center"/>
    </xf>
    <xf numFmtId="0" fontId="16" fillId="0" borderId="0" xfId="164" applyFont="1" applyBorder="1" applyAlignment="1" applyProtection="1">
      <alignment horizontal="left" vertical="center"/>
    </xf>
    <xf numFmtId="0" fontId="16" fillId="0" borderId="19" xfId="164" applyFont="1" applyBorder="1" applyAlignment="1" applyProtection="1">
      <alignment horizontal="left" vertical="center"/>
    </xf>
    <xf numFmtId="0" fontId="16" fillId="0" borderId="77" xfId="164" applyFont="1" applyBorder="1" applyAlignment="1" applyProtection="1">
      <alignment horizontal="left" vertical="center"/>
    </xf>
    <xf numFmtId="0" fontId="16" fillId="0" borderId="57" xfId="164" applyFont="1" applyBorder="1" applyAlignment="1" applyProtection="1">
      <alignment horizontal="left" vertical="center"/>
    </xf>
    <xf numFmtId="0" fontId="16" fillId="0" borderId="58" xfId="164" applyFont="1" applyBorder="1" applyAlignment="1" applyProtection="1">
      <alignment horizontal="left" vertical="center"/>
    </xf>
    <xf numFmtId="2" fontId="6" fillId="30" borderId="36" xfId="1" applyNumberFormat="1" applyFont="1" applyFill="1" applyBorder="1" applyAlignment="1">
      <alignment horizontal="center" vertical="center" wrapText="1"/>
    </xf>
    <xf numFmtId="0" fontId="5" fillId="0" borderId="34" xfId="1" applyBorder="1" applyAlignment="1">
      <alignment horizontal="center" vertical="center" wrapText="1"/>
    </xf>
    <xf numFmtId="2" fontId="6" fillId="30" borderId="40" xfId="1" applyNumberFormat="1" applyFont="1" applyFill="1" applyBorder="1" applyAlignment="1">
      <alignment horizontal="center"/>
    </xf>
    <xf numFmtId="2" fontId="6" fillId="30" borderId="0" xfId="1" applyNumberFormat="1" applyFont="1" applyFill="1" applyBorder="1" applyAlignment="1">
      <alignment horizontal="center"/>
    </xf>
    <xf numFmtId="2" fontId="6" fillId="30" borderId="77" xfId="1" applyNumberFormat="1" applyFont="1" applyFill="1" applyBorder="1" applyAlignment="1">
      <alignment horizontal="center"/>
    </xf>
    <xf numFmtId="2" fontId="6" fillId="30" borderId="57" xfId="1" applyNumberFormat="1" applyFont="1" applyFill="1" applyBorder="1" applyAlignment="1">
      <alignment horizontal="center"/>
    </xf>
    <xf numFmtId="2" fontId="6" fillId="30" borderId="58" xfId="1" applyNumberFormat="1" applyFont="1" applyFill="1" applyBorder="1" applyAlignment="1">
      <alignment horizontal="center"/>
    </xf>
    <xf numFmtId="3" fontId="105" fillId="0" borderId="65" xfId="1" applyNumberFormat="1" applyFont="1" applyBorder="1" applyAlignment="1">
      <alignment horizontal="center" vertical="center"/>
    </xf>
    <xf numFmtId="3" fontId="105" fillId="0" borderId="19" xfId="1" applyNumberFormat="1" applyFont="1" applyBorder="1" applyAlignment="1">
      <alignment horizontal="center" vertical="center"/>
    </xf>
    <xf numFmtId="3" fontId="105" fillId="0" borderId="68" xfId="1" applyNumberFormat="1" applyFont="1" applyBorder="1" applyAlignment="1">
      <alignment horizontal="center" vertical="center"/>
    </xf>
    <xf numFmtId="3" fontId="105" fillId="0" borderId="305" xfId="1" applyNumberFormat="1" applyFont="1" applyBorder="1" applyAlignment="1">
      <alignment horizontal="center" vertical="center"/>
    </xf>
    <xf numFmtId="190" fontId="105" fillId="0" borderId="112" xfId="1" applyNumberFormat="1" applyFont="1" applyBorder="1" applyAlignment="1">
      <alignment horizontal="center"/>
    </xf>
    <xf numFmtId="190" fontId="105" fillId="0" borderId="111" xfId="1" applyNumberFormat="1" applyFont="1" applyBorder="1" applyAlignment="1">
      <alignment horizontal="center"/>
    </xf>
    <xf numFmtId="190" fontId="106" fillId="30" borderId="8" xfId="1" applyNumberFormat="1" applyFont="1" applyFill="1" applyBorder="1" applyAlignment="1">
      <alignment horizontal="center"/>
    </xf>
    <xf numFmtId="190" fontId="106" fillId="30" borderId="58" xfId="1" applyNumberFormat="1" applyFont="1" applyFill="1" applyBorder="1" applyAlignment="1">
      <alignment horizontal="center"/>
    </xf>
    <xf numFmtId="190" fontId="105" fillId="0" borderId="8" xfId="1" applyNumberFormat="1" applyFont="1" applyBorder="1" applyAlignment="1">
      <alignment horizontal="center"/>
    </xf>
    <xf numFmtId="190" fontId="105" fillId="0" borderId="58" xfId="1" applyNumberFormat="1" applyFont="1" applyBorder="1" applyAlignment="1">
      <alignment horizontal="center"/>
    </xf>
    <xf numFmtId="3" fontId="106" fillId="30" borderId="8" xfId="1" applyNumberFormat="1" applyFont="1" applyFill="1" applyBorder="1" applyAlignment="1">
      <alignment horizontal="center"/>
    </xf>
    <xf numFmtId="3" fontId="106" fillId="30" borderId="58" xfId="1" applyNumberFormat="1" applyFont="1" applyFill="1" applyBorder="1" applyAlignment="1">
      <alignment horizontal="center"/>
    </xf>
    <xf numFmtId="172" fontId="105" fillId="0" borderId="8" xfId="1" applyNumberFormat="1" applyFont="1" applyBorder="1" applyAlignment="1">
      <alignment horizontal="center"/>
    </xf>
    <xf numFmtId="172" fontId="105" fillId="0" borderId="58" xfId="1" applyNumberFormat="1" applyFont="1" applyBorder="1" applyAlignment="1">
      <alignment horizontal="center"/>
    </xf>
    <xf numFmtId="172" fontId="106" fillId="0" borderId="8" xfId="1" applyNumberFormat="1" applyFont="1" applyBorder="1" applyAlignment="1">
      <alignment horizontal="center"/>
    </xf>
    <xf numFmtId="172" fontId="106" fillId="0" borderId="58" xfId="1" applyNumberFormat="1" applyFont="1" applyBorder="1" applyAlignment="1">
      <alignment horizontal="center"/>
    </xf>
    <xf numFmtId="3" fontId="105" fillId="0" borderId="61" xfId="1" applyNumberFormat="1" applyFont="1" applyBorder="1" applyAlignment="1">
      <alignment horizontal="center"/>
    </xf>
    <xf numFmtId="3" fontId="105" fillId="0" borderId="44" xfId="1" applyNumberFormat="1" applyFont="1" applyBorder="1" applyAlignment="1">
      <alignment horizontal="center"/>
    </xf>
    <xf numFmtId="3" fontId="105" fillId="0" borderId="65" xfId="1" applyNumberFormat="1" applyFont="1" applyBorder="1" applyAlignment="1">
      <alignment horizontal="center"/>
    </xf>
    <xf numFmtId="3" fontId="105" fillId="0" borderId="19" xfId="1" applyNumberFormat="1" applyFont="1" applyBorder="1" applyAlignment="1">
      <alignment horizontal="center"/>
    </xf>
    <xf numFmtId="3" fontId="105" fillId="0" borderId="68" xfId="1" applyNumberFormat="1" applyFont="1" applyBorder="1" applyAlignment="1">
      <alignment horizontal="center"/>
    </xf>
    <xf numFmtId="3" fontId="105" fillId="0" borderId="305" xfId="1" applyNumberFormat="1" applyFont="1" applyBorder="1" applyAlignment="1">
      <alignment horizontal="center"/>
    </xf>
    <xf numFmtId="0" fontId="64" fillId="0" borderId="36" xfId="1" applyFont="1" applyBorder="1" applyAlignment="1">
      <alignment horizontal="center" vertical="center" textRotation="90"/>
    </xf>
    <xf numFmtId="0" fontId="64" fillId="0" borderId="25" xfId="1" applyFont="1" applyBorder="1" applyAlignment="1">
      <alignment horizontal="center" vertical="center" textRotation="90"/>
    </xf>
    <xf numFmtId="0" fontId="64" fillId="0" borderId="34" xfId="1" applyFont="1" applyBorder="1" applyAlignment="1">
      <alignment horizontal="center" vertical="center" textRotation="90"/>
    </xf>
    <xf numFmtId="0" fontId="14" fillId="0" borderId="43" xfId="67" applyFont="1" applyBorder="1" applyAlignment="1">
      <alignment horizontal="center" vertical="center" wrapText="1"/>
    </xf>
    <xf numFmtId="0" fontId="14" fillId="0" borderId="23" xfId="67" applyFont="1" applyBorder="1" applyAlignment="1">
      <alignment horizontal="center" vertical="center" wrapText="1"/>
    </xf>
    <xf numFmtId="0" fontId="14" fillId="0" borderId="42" xfId="67" applyFont="1" applyBorder="1" applyAlignment="1">
      <alignment horizontal="center" vertical="center" wrapText="1"/>
    </xf>
    <xf numFmtId="0" fontId="14" fillId="0" borderId="39" xfId="67" applyFont="1" applyBorder="1" applyAlignment="1">
      <alignment horizontal="center" vertical="center" wrapText="1"/>
    </xf>
    <xf numFmtId="0" fontId="14" fillId="0" borderId="2" xfId="67" applyFont="1" applyBorder="1" applyAlignment="1">
      <alignment horizontal="center" vertical="center" wrapText="1"/>
    </xf>
    <xf numFmtId="0" fontId="14" fillId="0" borderId="44" xfId="67" applyFont="1" applyBorder="1" applyAlignment="1">
      <alignment horizontal="center" vertical="center" wrapText="1"/>
    </xf>
    <xf numFmtId="171" fontId="14" fillId="0" borderId="40" xfId="1" applyNumberFormat="1" applyFont="1" applyBorder="1" applyAlignment="1">
      <alignment horizontal="center" vertical="center"/>
    </xf>
    <xf numFmtId="171" fontId="14" fillId="0" borderId="19" xfId="1" applyNumberFormat="1" applyFont="1" applyBorder="1" applyAlignment="1">
      <alignment horizontal="center" vertical="center"/>
    </xf>
    <xf numFmtId="196" fontId="7" fillId="4" borderId="39" xfId="1" applyNumberFormat="1" applyFont="1" applyFill="1" applyBorder="1" applyAlignment="1">
      <alignment horizontal="center" vertical="center"/>
    </xf>
    <xf numFmtId="0" fontId="7" fillId="0" borderId="44" xfId="1" applyFont="1" applyBorder="1" applyAlignment="1">
      <alignment horizontal="center" vertical="center"/>
    </xf>
    <xf numFmtId="188" fontId="14" fillId="0" borderId="43" xfId="1" applyNumberFormat="1" applyFont="1" applyFill="1" applyBorder="1" applyAlignment="1">
      <alignment horizontal="right" vertical="center"/>
    </xf>
    <xf numFmtId="188" fontId="14" fillId="0" borderId="42" xfId="1" applyNumberFormat="1" applyFont="1" applyFill="1" applyBorder="1" applyAlignment="1">
      <alignment horizontal="right" vertical="center"/>
    </xf>
    <xf numFmtId="188" fontId="7" fillId="0" borderId="43" xfId="1" applyNumberFormat="1" applyFont="1" applyBorder="1" applyAlignment="1">
      <alignment horizontal="right" vertical="center"/>
    </xf>
    <xf numFmtId="0" fontId="7" fillId="0" borderId="42" xfId="1" applyFont="1" applyBorder="1" applyAlignment="1">
      <alignment horizontal="right" vertical="center"/>
    </xf>
    <xf numFmtId="188" fontId="7" fillId="0" borderId="40" xfId="1" applyNumberFormat="1" applyFont="1" applyBorder="1" applyAlignment="1">
      <alignment horizontal="right" vertical="center"/>
    </xf>
    <xf numFmtId="0" fontId="7" fillId="0" borderId="19" xfId="1" applyFont="1" applyBorder="1" applyAlignment="1">
      <alignment horizontal="right" vertical="center"/>
    </xf>
    <xf numFmtId="188" fontId="14" fillId="0" borderId="39" xfId="1" applyNumberFormat="1" applyFont="1" applyBorder="1" applyAlignment="1">
      <alignment horizontal="right" vertical="center"/>
    </xf>
    <xf numFmtId="188" fontId="14" fillId="0" borderId="44" xfId="1" applyNumberFormat="1" applyFont="1" applyBorder="1" applyAlignment="1">
      <alignment horizontal="right" vertical="center"/>
    </xf>
    <xf numFmtId="188" fontId="14" fillId="0" borderId="77" xfId="1" applyNumberFormat="1" applyFont="1" applyBorder="1" applyAlignment="1">
      <alignment horizontal="right" vertical="center"/>
    </xf>
    <xf numFmtId="188" fontId="14" fillId="0" borderId="58" xfId="1" applyNumberFormat="1" applyFont="1" applyBorder="1" applyAlignment="1">
      <alignment horizontal="right" vertical="center"/>
    </xf>
    <xf numFmtId="188" fontId="7" fillId="0" borderId="42" xfId="1" applyNumberFormat="1" applyFont="1" applyBorder="1" applyAlignment="1">
      <alignment horizontal="right" vertical="center"/>
    </xf>
    <xf numFmtId="188" fontId="7" fillId="0" borderId="19" xfId="1" applyNumberFormat="1" applyFont="1" applyBorder="1" applyAlignment="1">
      <alignment horizontal="right" vertical="center"/>
    </xf>
    <xf numFmtId="188" fontId="14" fillId="0" borderId="43" xfId="1" applyNumberFormat="1" applyFont="1" applyBorder="1" applyAlignment="1">
      <alignment horizontal="right" vertical="center"/>
    </xf>
    <xf numFmtId="188" fontId="14" fillId="0" borderId="42" xfId="1" applyNumberFormat="1" applyFont="1" applyBorder="1" applyAlignment="1">
      <alignment horizontal="right" vertical="center"/>
    </xf>
    <xf numFmtId="196" fontId="7" fillId="4" borderId="39" xfId="1" applyNumberFormat="1" applyFont="1" applyFill="1" applyBorder="1" applyAlignment="1">
      <alignment horizontal="right" vertical="center"/>
    </xf>
    <xf numFmtId="196" fontId="7" fillId="4" borderId="44" xfId="1" applyNumberFormat="1" applyFont="1" applyFill="1" applyBorder="1" applyAlignment="1">
      <alignment horizontal="right" vertical="center"/>
    </xf>
    <xf numFmtId="4" fontId="14" fillId="0" borderId="134" xfId="1" applyNumberFormat="1" applyFont="1" applyBorder="1" applyAlignment="1">
      <alignment horizontal="center" vertical="center"/>
    </xf>
    <xf numFmtId="4" fontId="14" fillId="0" borderId="133" xfId="1" applyNumberFormat="1" applyFont="1" applyBorder="1" applyAlignment="1">
      <alignment horizontal="center" vertical="center"/>
    </xf>
    <xf numFmtId="197" fontId="14" fillId="0" borderId="131" xfId="1" applyNumberFormat="1" applyFont="1" applyBorder="1" applyAlignment="1">
      <alignment horizontal="center"/>
    </xf>
    <xf numFmtId="197" fontId="14" fillId="0" borderId="130" xfId="1" applyNumberFormat="1" applyFont="1" applyBorder="1" applyAlignment="1">
      <alignment horizontal="center"/>
    </xf>
    <xf numFmtId="197" fontId="14" fillId="0" borderId="40" xfId="1" applyNumberFormat="1" applyFont="1" applyBorder="1" applyAlignment="1">
      <alignment horizontal="center" vertical="center"/>
    </xf>
    <xf numFmtId="197" fontId="14" fillId="0" borderId="19" xfId="1" applyNumberFormat="1" applyFont="1" applyBorder="1" applyAlignment="1">
      <alignment horizontal="center" vertical="center"/>
    </xf>
    <xf numFmtId="197" fontId="7" fillId="0" borderId="40" xfId="1" applyNumberFormat="1" applyFont="1" applyBorder="1" applyAlignment="1">
      <alignment horizontal="center" vertical="center"/>
    </xf>
    <xf numFmtId="197" fontId="7" fillId="0" borderId="19" xfId="1" applyNumberFormat="1" applyFont="1" applyBorder="1" applyAlignment="1">
      <alignment horizontal="center" vertical="center"/>
    </xf>
    <xf numFmtId="197" fontId="7" fillId="0" borderId="39" xfId="1" applyNumberFormat="1" applyFont="1" applyBorder="1" applyAlignment="1">
      <alignment horizontal="center" vertical="center"/>
    </xf>
    <xf numFmtId="197" fontId="7" fillId="0" borderId="44" xfId="1" applyNumberFormat="1" applyFont="1" applyBorder="1" applyAlignment="1">
      <alignment horizontal="center" vertical="center"/>
    </xf>
    <xf numFmtId="3" fontId="62" fillId="0" borderId="109" xfId="1" applyNumberFormat="1" applyFont="1" applyBorder="1" applyAlignment="1">
      <alignment horizontal="center"/>
    </xf>
    <xf numFmtId="3" fontId="62" fillId="0" borderId="108" xfId="1" applyNumberFormat="1" applyFont="1" applyBorder="1" applyAlignment="1">
      <alignment horizontal="center"/>
    </xf>
    <xf numFmtId="0" fontId="62" fillId="33" borderId="2" xfId="1" applyFont="1" applyFill="1" applyBorder="1" applyAlignment="1">
      <alignment horizontal="center"/>
    </xf>
    <xf numFmtId="0" fontId="63" fillId="0" borderId="8" xfId="1" applyFont="1" applyBorder="1" applyAlignment="1">
      <alignment horizontal="center"/>
    </xf>
    <xf numFmtId="0" fontId="63" fillId="0" borderId="58" xfId="1" applyFont="1" applyBorder="1" applyAlignment="1">
      <alignment horizontal="center"/>
    </xf>
    <xf numFmtId="172" fontId="63" fillId="0" borderId="65" xfId="1" applyNumberFormat="1" applyFont="1" applyBorder="1" applyAlignment="1">
      <alignment horizontal="center" vertical="center"/>
    </xf>
    <xf numFmtId="172" fontId="63" fillId="0" borderId="19" xfId="1" applyNumberFormat="1" applyFont="1" applyBorder="1" applyAlignment="1">
      <alignment horizontal="center" vertical="center"/>
    </xf>
    <xf numFmtId="190" fontId="62" fillId="0" borderId="118" xfId="1" applyNumberFormat="1" applyFont="1" applyBorder="1" applyAlignment="1">
      <alignment horizontal="center" vertical="center"/>
    </xf>
    <xf numFmtId="190" fontId="62" fillId="0" borderId="89" xfId="1" applyNumberFormat="1" applyFont="1" applyBorder="1" applyAlignment="1">
      <alignment horizontal="center" vertical="center"/>
    </xf>
    <xf numFmtId="3" fontId="62" fillId="0" borderId="117" xfId="1" applyNumberFormat="1" applyFont="1" applyBorder="1" applyAlignment="1">
      <alignment horizontal="center"/>
    </xf>
    <xf numFmtId="3" fontId="62" fillId="0" borderId="104" xfId="1" applyNumberFormat="1" applyFont="1" applyBorder="1" applyAlignment="1">
      <alignment horizontal="center"/>
    </xf>
    <xf numFmtId="3" fontId="62" fillId="0" borderId="65" xfId="1" applyNumberFormat="1" applyFont="1" applyBorder="1" applyAlignment="1">
      <alignment horizontal="center"/>
    </xf>
    <xf numFmtId="3" fontId="62" fillId="0" borderId="19" xfId="1" applyNumberFormat="1" applyFont="1" applyBorder="1" applyAlignment="1">
      <alignment horizontal="center"/>
    </xf>
    <xf numFmtId="3" fontId="62" fillId="0" borderId="61" xfId="1" applyNumberFormat="1" applyFont="1" applyBorder="1" applyAlignment="1">
      <alignment horizontal="center"/>
    </xf>
    <xf numFmtId="3" fontId="62" fillId="0" borderId="44" xfId="1" applyNumberFormat="1" applyFont="1" applyBorder="1" applyAlignment="1">
      <alignment horizontal="center"/>
    </xf>
    <xf numFmtId="3" fontId="63" fillId="0" borderId="8" xfId="1" applyNumberFormat="1" applyFont="1" applyBorder="1" applyAlignment="1">
      <alignment horizontal="center"/>
    </xf>
    <xf numFmtId="3" fontId="63" fillId="0" borderId="58" xfId="1" applyNumberFormat="1" applyFont="1" applyBorder="1" applyAlignment="1">
      <alignment horizontal="center"/>
    </xf>
    <xf numFmtId="3" fontId="62" fillId="0" borderId="68" xfId="1" applyNumberFormat="1" applyFont="1" applyBorder="1" applyAlignment="1">
      <alignment horizontal="center"/>
    </xf>
    <xf numFmtId="3" fontId="62" fillId="0" borderId="42" xfId="1" applyNumberFormat="1" applyFont="1" applyBorder="1" applyAlignment="1">
      <alignment horizontal="center"/>
    </xf>
    <xf numFmtId="3" fontId="63" fillId="30" borderId="8" xfId="1" applyNumberFormat="1" applyFont="1" applyFill="1" applyBorder="1" applyAlignment="1">
      <alignment horizontal="center"/>
    </xf>
    <xf numFmtId="3" fontId="63" fillId="30" borderId="58" xfId="1" applyNumberFormat="1" applyFont="1" applyFill="1" applyBorder="1" applyAlignment="1">
      <alignment horizontal="center"/>
    </xf>
    <xf numFmtId="190" fontId="62" fillId="0" borderId="115" xfId="1" applyNumberFormat="1" applyFont="1" applyBorder="1" applyAlignment="1">
      <alignment horizontal="center"/>
    </xf>
    <xf numFmtId="190" fontId="62" fillId="0" borderId="111" xfId="1" applyNumberFormat="1" applyFont="1" applyBorder="1" applyAlignment="1">
      <alignment horizontal="center"/>
    </xf>
    <xf numFmtId="190" fontId="63" fillId="30" borderId="77" xfId="1" applyNumberFormat="1" applyFont="1" applyFill="1" applyBorder="1" applyAlignment="1">
      <alignment horizontal="center"/>
    </xf>
    <xf numFmtId="190" fontId="63" fillId="30" borderId="58" xfId="1" applyNumberFormat="1" applyFont="1" applyFill="1" applyBorder="1" applyAlignment="1">
      <alignment horizontal="center"/>
    </xf>
    <xf numFmtId="190" fontId="62" fillId="0" borderId="77" xfId="1" applyNumberFormat="1" applyFont="1" applyBorder="1" applyAlignment="1">
      <alignment horizontal="center"/>
    </xf>
    <xf numFmtId="190" fontId="62" fillId="0" borderId="58" xfId="1" applyNumberFormat="1" applyFont="1" applyBorder="1" applyAlignment="1">
      <alignment horizontal="center"/>
    </xf>
    <xf numFmtId="3" fontId="63" fillId="30" borderId="77" xfId="1" applyNumberFormat="1" applyFont="1" applyFill="1" applyBorder="1" applyAlignment="1">
      <alignment horizontal="center"/>
    </xf>
    <xf numFmtId="172" fontId="62" fillId="0" borderId="77" xfId="1" applyNumberFormat="1" applyFont="1" applyBorder="1" applyAlignment="1">
      <alignment horizontal="center"/>
    </xf>
    <xf numFmtId="172" fontId="62" fillId="0" borderId="58" xfId="1" applyNumberFormat="1" applyFont="1" applyBorder="1" applyAlignment="1">
      <alignment horizontal="center"/>
    </xf>
    <xf numFmtId="172" fontId="63" fillId="0" borderId="77" xfId="1" applyNumberFormat="1" applyFont="1" applyBorder="1" applyAlignment="1">
      <alignment horizontal="center"/>
    </xf>
    <xf numFmtId="172" fontId="63" fillId="0" borderId="58" xfId="1" applyNumberFormat="1" applyFont="1" applyBorder="1" applyAlignment="1">
      <alignment horizontal="center"/>
    </xf>
    <xf numFmtId="3" fontId="62" fillId="0" borderId="39" xfId="1" applyNumberFormat="1" applyFont="1" applyBorder="1" applyAlignment="1">
      <alignment horizontal="center"/>
    </xf>
    <xf numFmtId="3" fontId="62" fillId="0" borderId="40" xfId="1" applyNumberFormat="1" applyFont="1" applyBorder="1" applyAlignment="1">
      <alignment horizontal="center"/>
    </xf>
    <xf numFmtId="3" fontId="62" fillId="0" borderId="43" xfId="1" applyNumberFormat="1" applyFont="1" applyBorder="1" applyAlignment="1">
      <alignment horizontal="center"/>
    </xf>
    <xf numFmtId="3" fontId="62" fillId="0" borderId="305" xfId="1" applyNumberFormat="1" applyFont="1" applyBorder="1" applyAlignment="1">
      <alignment horizontal="center"/>
    </xf>
    <xf numFmtId="0" fontId="112" fillId="47" borderId="0" xfId="1" applyFont="1" applyFill="1" applyBorder="1" applyAlignment="1">
      <alignment horizontal="center" vertical="center"/>
    </xf>
    <xf numFmtId="0" fontId="5" fillId="47" borderId="0" xfId="1" applyFill="1" applyBorder="1" applyAlignment="1">
      <alignment horizontal="center" vertical="center"/>
    </xf>
    <xf numFmtId="0" fontId="14" fillId="58" borderId="57" xfId="1" applyFont="1" applyFill="1" applyBorder="1" applyAlignment="1" applyProtection="1">
      <alignment horizontal="center" vertical="center"/>
      <protection locked="0"/>
    </xf>
    <xf numFmtId="0" fontId="7" fillId="58" borderId="58" xfId="1" applyFont="1" applyFill="1" applyBorder="1" applyAlignment="1">
      <alignment horizontal="center" vertical="center"/>
    </xf>
    <xf numFmtId="0" fontId="172" fillId="3" borderId="23" xfId="2" applyFont="1" applyFill="1" applyBorder="1" applyAlignment="1" applyProtection="1">
      <alignment horizontal="center" vertical="center"/>
    </xf>
    <xf numFmtId="0" fontId="7" fillId="0" borderId="23" xfId="1" applyFont="1" applyBorder="1" applyAlignment="1">
      <alignment horizontal="center" vertical="center"/>
    </xf>
    <xf numFmtId="172" fontId="14" fillId="58" borderId="77" xfId="1" applyNumberFormat="1" applyFont="1" applyFill="1" applyBorder="1" applyAlignment="1">
      <alignment horizontal="center" vertical="center"/>
    </xf>
    <xf numFmtId="172" fontId="14" fillId="58" borderId="58" xfId="1" applyNumberFormat="1" applyFont="1" applyFill="1" applyBorder="1" applyAlignment="1">
      <alignment horizontal="center" vertical="center"/>
    </xf>
    <xf numFmtId="188" fontId="7" fillId="0" borderId="40" xfId="61" applyNumberFormat="1" applyFont="1" applyBorder="1" applyAlignment="1">
      <alignment horizontal="right" vertical="center"/>
    </xf>
    <xf numFmtId="188" fontId="7" fillId="0" borderId="19" xfId="61" applyNumberFormat="1" applyFont="1" applyBorder="1" applyAlignment="1">
      <alignment horizontal="right" vertical="center"/>
    </xf>
    <xf numFmtId="171" fontId="14" fillId="0" borderId="64" xfId="1" applyNumberFormat="1" applyFont="1" applyBorder="1" applyAlignment="1">
      <alignment horizontal="center" vertical="center"/>
    </xf>
    <xf numFmtId="171" fontId="7" fillId="0" borderId="39" xfId="1" applyNumberFormat="1" applyFont="1" applyBorder="1" applyAlignment="1">
      <alignment horizontal="center" vertical="center"/>
    </xf>
    <xf numFmtId="171" fontId="7" fillId="0" borderId="125" xfId="1" applyNumberFormat="1" applyFont="1" applyBorder="1" applyAlignment="1">
      <alignment horizontal="center" vertical="center"/>
    </xf>
    <xf numFmtId="194" fontId="7" fillId="0" borderId="43" xfId="1" applyNumberFormat="1" applyFont="1" applyBorder="1" applyAlignment="1">
      <alignment horizontal="center" vertical="center"/>
    </xf>
    <xf numFmtId="194" fontId="7" fillId="0" borderId="124" xfId="1" applyNumberFormat="1" applyFont="1" applyBorder="1" applyAlignment="1">
      <alignment horizontal="center" vertical="center"/>
    </xf>
    <xf numFmtId="193" fontId="7" fillId="0" borderId="121" xfId="1" applyNumberFormat="1" applyFont="1" applyBorder="1" applyAlignment="1">
      <alignment horizontal="right" vertical="center"/>
    </xf>
    <xf numFmtId="193" fontId="7" fillId="0" borderId="120" xfId="1" applyNumberFormat="1" applyFont="1" applyBorder="1" applyAlignment="1">
      <alignment horizontal="right" vertical="center"/>
    </xf>
    <xf numFmtId="2" fontId="14" fillId="0" borderId="40" xfId="1" applyNumberFormat="1" applyFont="1" applyBorder="1" applyAlignment="1">
      <alignment horizontal="center" vertical="center"/>
    </xf>
    <xf numFmtId="2" fontId="14" fillId="0" borderId="64" xfId="1" applyNumberFormat="1" applyFont="1" applyBorder="1" applyAlignment="1">
      <alignment horizontal="center" vertical="center"/>
    </xf>
    <xf numFmtId="177" fontId="14" fillId="0" borderId="40" xfId="1" applyNumberFormat="1" applyFont="1" applyBorder="1" applyAlignment="1">
      <alignment horizontal="center" vertical="center"/>
    </xf>
    <xf numFmtId="177" fontId="14" fillId="0" borderId="64" xfId="1" applyNumberFormat="1" applyFont="1" applyBorder="1" applyAlignment="1">
      <alignment horizontal="center" vertical="center"/>
    </xf>
    <xf numFmtId="171" fontId="7" fillId="0" borderId="43" xfId="1" applyNumberFormat="1" applyFont="1" applyBorder="1" applyAlignment="1">
      <alignment horizontal="center" vertical="center"/>
    </xf>
    <xf numFmtId="171" fontId="7" fillId="0" borderId="42" xfId="1" applyNumberFormat="1" applyFont="1" applyBorder="1" applyAlignment="1">
      <alignment horizontal="center" vertical="center"/>
    </xf>
    <xf numFmtId="171" fontId="15" fillId="0" borderId="40" xfId="1" applyNumberFormat="1" applyFont="1" applyBorder="1" applyAlignment="1">
      <alignment horizontal="center" vertical="center"/>
    </xf>
    <xf numFmtId="171" fontId="15" fillId="0" borderId="0" xfId="1" applyNumberFormat="1" applyFont="1" applyBorder="1" applyAlignment="1">
      <alignment horizontal="center" vertical="center"/>
    </xf>
    <xf numFmtId="171" fontId="17" fillId="0" borderId="39" xfId="1" applyNumberFormat="1" applyFont="1" applyBorder="1" applyAlignment="1">
      <alignment horizontal="center" vertical="center"/>
    </xf>
    <xf numFmtId="171" fontId="17" fillId="0" borderId="2" xfId="1" applyNumberFormat="1" applyFont="1" applyBorder="1" applyAlignment="1">
      <alignment horizontal="center" vertical="center"/>
    </xf>
    <xf numFmtId="194" fontId="17" fillId="0" borderId="43" xfId="1" applyNumberFormat="1" applyFont="1" applyBorder="1" applyAlignment="1">
      <alignment horizontal="center" vertical="center"/>
    </xf>
    <xf numFmtId="194" fontId="17" fillId="0" borderId="23" xfId="1" applyNumberFormat="1" applyFont="1" applyBorder="1" applyAlignment="1">
      <alignment horizontal="center" vertical="center"/>
    </xf>
    <xf numFmtId="193" fontId="7" fillId="0" borderId="123" xfId="1" applyNumberFormat="1" applyFont="1" applyBorder="1" applyAlignment="1">
      <alignment horizontal="right" vertical="center"/>
    </xf>
    <xf numFmtId="193" fontId="7" fillId="0" borderId="39" xfId="1" applyNumberFormat="1" applyFont="1" applyBorder="1" applyAlignment="1">
      <alignment horizontal="right" vertical="center"/>
    </xf>
    <xf numFmtId="193" fontId="7" fillId="0" borderId="44" xfId="1" applyNumberFormat="1" applyFont="1" applyBorder="1" applyAlignment="1">
      <alignment horizontal="right" vertical="center"/>
    </xf>
    <xf numFmtId="0" fontId="105" fillId="33" borderId="2" xfId="1" applyFont="1" applyFill="1" applyBorder="1" applyAlignment="1">
      <alignment horizontal="center"/>
    </xf>
    <xf numFmtId="0" fontId="5" fillId="33" borderId="2" xfId="1" applyFill="1" applyBorder="1" applyAlignment="1">
      <alignment horizontal="center"/>
    </xf>
    <xf numFmtId="172" fontId="106" fillId="0" borderId="0" xfId="1" applyNumberFormat="1" applyFont="1" applyBorder="1" applyAlignment="1">
      <alignment horizontal="center" vertical="center"/>
    </xf>
    <xf numFmtId="194" fontId="17" fillId="0" borderId="124" xfId="1" applyNumberFormat="1" applyFont="1" applyBorder="1" applyAlignment="1">
      <alignment horizontal="center" vertical="center"/>
    </xf>
    <xf numFmtId="194" fontId="17" fillId="30" borderId="40" xfId="1" applyNumberFormat="1" applyFont="1" applyFill="1" applyBorder="1" applyAlignment="1">
      <alignment horizontal="center" vertical="center"/>
    </xf>
    <xf numFmtId="194" fontId="17" fillId="30" borderId="19" xfId="1" applyNumberFormat="1" applyFont="1" applyFill="1" applyBorder="1" applyAlignment="1">
      <alignment horizontal="center" vertical="center"/>
    </xf>
    <xf numFmtId="2" fontId="15" fillId="30" borderId="40" xfId="1" applyNumberFormat="1" applyFont="1" applyFill="1" applyBorder="1" applyAlignment="1">
      <alignment horizontal="center" vertical="center"/>
    </xf>
    <xf numFmtId="2" fontId="15" fillId="30" borderId="19" xfId="1" applyNumberFormat="1" applyFont="1" applyFill="1" applyBorder="1" applyAlignment="1">
      <alignment horizontal="center" vertical="center"/>
    </xf>
    <xf numFmtId="0" fontId="5" fillId="0" borderId="44" xfId="1" applyBorder="1" applyAlignment="1">
      <alignment horizontal="center" vertical="center"/>
    </xf>
    <xf numFmtId="171" fontId="15" fillId="0" borderId="64" xfId="1" applyNumberFormat="1" applyFont="1" applyBorder="1" applyAlignment="1">
      <alignment horizontal="center" vertical="center"/>
    </xf>
    <xf numFmtId="171" fontId="17" fillId="0" borderId="125" xfId="1" applyNumberFormat="1" applyFont="1" applyBorder="1" applyAlignment="1">
      <alignment horizontal="center" vertical="center"/>
    </xf>
    <xf numFmtId="0" fontId="106" fillId="0" borderId="3" xfId="1" applyFont="1" applyBorder="1" applyAlignment="1">
      <alignment horizontal="center"/>
    </xf>
    <xf numFmtId="0" fontId="106" fillId="0" borderId="129" xfId="1" applyFont="1" applyBorder="1" applyAlignment="1">
      <alignment horizontal="center"/>
    </xf>
    <xf numFmtId="172" fontId="106" fillId="30" borderId="65" xfId="1" applyNumberFormat="1" applyFont="1" applyFill="1" applyBorder="1" applyAlignment="1">
      <alignment horizontal="center" vertical="center"/>
    </xf>
    <xf numFmtId="172" fontId="106" fillId="30" borderId="72" xfId="1" applyNumberFormat="1" applyFont="1" applyFill="1" applyBorder="1" applyAlignment="1">
      <alignment horizontal="center" vertical="center"/>
    </xf>
    <xf numFmtId="3" fontId="105" fillId="0" borderId="0" xfId="1" applyNumberFormat="1" applyFont="1" applyBorder="1" applyAlignment="1">
      <alignment horizontal="center"/>
    </xf>
    <xf numFmtId="194" fontId="17" fillId="0" borderId="40" xfId="1" applyNumberFormat="1" applyFont="1" applyBorder="1" applyAlignment="1">
      <alignment horizontal="center" vertical="center"/>
    </xf>
    <xf numFmtId="194" fontId="17" fillId="0" borderId="19" xfId="1" applyNumberFormat="1" applyFont="1" applyBorder="1" applyAlignment="1">
      <alignment horizontal="center" vertical="center"/>
    </xf>
    <xf numFmtId="171" fontId="15" fillId="0" borderId="19" xfId="1" applyNumberFormat="1" applyFont="1" applyBorder="1" applyAlignment="1">
      <alignment horizontal="center" vertical="center"/>
    </xf>
    <xf numFmtId="171" fontId="15" fillId="30" borderId="40" xfId="1" applyNumberFormat="1" applyFont="1" applyFill="1" applyBorder="1" applyAlignment="1">
      <alignment horizontal="center" vertical="center"/>
    </xf>
    <xf numFmtId="171" fontId="15" fillId="30" borderId="19" xfId="1" applyNumberFormat="1" applyFont="1" applyFill="1" applyBorder="1" applyAlignment="1">
      <alignment horizontal="center" vertical="center"/>
    </xf>
    <xf numFmtId="193" fontId="7" fillId="30" borderId="121" xfId="1" applyNumberFormat="1" applyFont="1" applyFill="1" applyBorder="1" applyAlignment="1">
      <alignment horizontal="right" vertical="center"/>
    </xf>
    <xf numFmtId="193" fontId="7" fillId="30" borderId="122" xfId="1" applyNumberFormat="1" applyFont="1" applyFill="1" applyBorder="1" applyAlignment="1">
      <alignment horizontal="right" vertical="center"/>
    </xf>
    <xf numFmtId="3" fontId="106" fillId="0" borderId="8" xfId="1" applyNumberFormat="1" applyFont="1" applyBorder="1" applyAlignment="1">
      <alignment horizontal="center"/>
    </xf>
    <xf numFmtId="3" fontId="106" fillId="0" borderId="58" xfId="1" applyNumberFormat="1" applyFont="1" applyBorder="1" applyAlignment="1">
      <alignment horizontal="center"/>
    </xf>
    <xf numFmtId="3" fontId="105" fillId="0" borderId="117" xfId="1" applyNumberFormat="1" applyFont="1" applyBorder="1" applyAlignment="1">
      <alignment horizontal="center"/>
    </xf>
    <xf numFmtId="3" fontId="105" fillId="0" borderId="104" xfId="1" applyNumberFormat="1" applyFont="1" applyBorder="1" applyAlignment="1">
      <alignment horizontal="center"/>
    </xf>
    <xf numFmtId="0" fontId="106" fillId="0" borderId="8" xfId="1" applyFont="1" applyBorder="1" applyAlignment="1">
      <alignment horizontal="center"/>
    </xf>
    <xf numFmtId="0" fontId="106" fillId="0" borderId="58" xfId="1" applyFont="1" applyBorder="1" applyAlignment="1">
      <alignment horizontal="center"/>
    </xf>
    <xf numFmtId="177" fontId="15" fillId="0" borderId="40" xfId="1" applyNumberFormat="1" applyFont="1" applyBorder="1" applyAlignment="1">
      <alignment horizontal="center" vertical="center"/>
    </xf>
    <xf numFmtId="177" fontId="15" fillId="0" borderId="64" xfId="1" applyNumberFormat="1" applyFont="1" applyBorder="1" applyAlignment="1">
      <alignment horizontal="center" vertical="center"/>
    </xf>
    <xf numFmtId="177" fontId="15" fillId="30" borderId="40" xfId="1" applyNumberFormat="1" applyFont="1" applyFill="1" applyBorder="1" applyAlignment="1">
      <alignment horizontal="center" vertical="center"/>
    </xf>
    <xf numFmtId="177" fontId="15" fillId="30" borderId="19" xfId="1" applyNumberFormat="1" applyFont="1" applyFill="1" applyBorder="1" applyAlignment="1">
      <alignment horizontal="center" vertical="center"/>
    </xf>
    <xf numFmtId="3" fontId="105" fillId="30" borderId="65" xfId="1" applyNumberFormat="1" applyFont="1" applyFill="1" applyBorder="1" applyAlignment="1">
      <alignment horizontal="center"/>
    </xf>
    <xf numFmtId="3" fontId="105" fillId="30" borderId="72" xfId="1" applyNumberFormat="1" applyFont="1" applyFill="1" applyBorder="1" applyAlignment="1">
      <alignment horizontal="center"/>
    </xf>
    <xf numFmtId="172" fontId="106" fillId="0" borderId="65" xfId="1" applyNumberFormat="1" applyFont="1" applyBorder="1" applyAlignment="1">
      <alignment horizontal="center" vertical="center"/>
    </xf>
    <xf numFmtId="172" fontId="106" fillId="0" borderId="19" xfId="1" applyNumberFormat="1" applyFont="1" applyBorder="1" applyAlignment="1">
      <alignment horizontal="center" vertical="center"/>
    </xf>
    <xf numFmtId="0" fontId="106" fillId="30" borderId="8" xfId="1" applyFont="1" applyFill="1" applyBorder="1" applyAlignment="1">
      <alignment horizontal="center"/>
    </xf>
    <xf numFmtId="0" fontId="106" fillId="30" borderId="116" xfId="1" applyFont="1" applyFill="1" applyBorder="1" applyAlignment="1">
      <alignment horizontal="center"/>
    </xf>
    <xf numFmtId="2" fontId="15" fillId="0" borderId="40" xfId="1" applyNumberFormat="1" applyFont="1" applyBorder="1" applyAlignment="1">
      <alignment horizontal="center" vertical="center"/>
    </xf>
    <xf numFmtId="2" fontId="15" fillId="0" borderId="64" xfId="1" applyNumberFormat="1" applyFont="1" applyBorder="1" applyAlignment="1">
      <alignment horizontal="center" vertical="center"/>
    </xf>
    <xf numFmtId="3" fontId="105" fillId="0" borderId="42" xfId="1" applyNumberFormat="1" applyFont="1" applyBorder="1" applyAlignment="1">
      <alignment horizontal="center"/>
    </xf>
    <xf numFmtId="190" fontId="105" fillId="0" borderId="118" xfId="1" applyNumberFormat="1" applyFont="1" applyBorder="1" applyAlignment="1">
      <alignment horizontal="center" vertical="center"/>
    </xf>
    <xf numFmtId="190" fontId="105" fillId="0" borderId="89" xfId="1" applyNumberFormat="1" applyFont="1" applyBorder="1" applyAlignment="1">
      <alignment horizontal="center" vertical="center"/>
    </xf>
    <xf numFmtId="188" fontId="7" fillId="30" borderId="40" xfId="1" applyNumberFormat="1" applyFont="1" applyFill="1" applyBorder="1" applyAlignment="1">
      <alignment horizontal="right" vertical="center"/>
    </xf>
    <xf numFmtId="188" fontId="7" fillId="30" borderId="19" xfId="1" applyNumberFormat="1" applyFont="1" applyFill="1" applyBorder="1" applyAlignment="1">
      <alignment horizontal="right" vertical="center"/>
    </xf>
    <xf numFmtId="0" fontId="5" fillId="0" borderId="19" xfId="1" applyBorder="1" applyAlignment="1">
      <alignment horizontal="right" vertical="center"/>
    </xf>
    <xf numFmtId="188" fontId="7" fillId="30" borderId="43" xfId="1" applyNumberFormat="1" applyFont="1" applyFill="1" applyBorder="1" applyAlignment="1">
      <alignment horizontal="right" vertical="center"/>
    </xf>
    <xf numFmtId="188" fontId="7" fillId="30" borderId="42" xfId="1" applyNumberFormat="1" applyFont="1" applyFill="1" applyBorder="1" applyAlignment="1">
      <alignment horizontal="right" vertical="center"/>
    </xf>
    <xf numFmtId="0" fontId="6" fillId="0" borderId="77" xfId="1" applyFont="1" applyBorder="1" applyAlignment="1">
      <alignment wrapText="1"/>
    </xf>
    <xf numFmtId="0" fontId="6" fillId="0" borderId="57" xfId="1" applyFont="1" applyBorder="1" applyAlignment="1">
      <alignment wrapText="1"/>
    </xf>
    <xf numFmtId="0" fontId="10" fillId="0" borderId="40" xfId="1" applyFont="1" applyBorder="1" applyAlignment="1">
      <alignment wrapText="1"/>
    </xf>
    <xf numFmtId="0" fontId="10" fillId="0" borderId="0" xfId="1" applyFont="1" applyBorder="1" applyAlignment="1">
      <alignment wrapText="1"/>
    </xf>
    <xf numFmtId="0" fontId="6" fillId="30" borderId="77" xfId="1" applyFont="1" applyFill="1" applyBorder="1" applyAlignment="1">
      <alignment wrapText="1"/>
    </xf>
    <xf numFmtId="0" fontId="6" fillId="30" borderId="57" xfId="1" applyFont="1" applyFill="1" applyBorder="1" applyAlignment="1">
      <alignment wrapText="1"/>
    </xf>
    <xf numFmtId="193" fontId="7" fillId="0" borderId="122" xfId="1" applyNumberFormat="1" applyFont="1" applyBorder="1" applyAlignment="1">
      <alignment horizontal="right" vertical="center"/>
    </xf>
    <xf numFmtId="0" fontId="6" fillId="0" borderId="43" xfId="1" applyFont="1" applyBorder="1" applyAlignment="1">
      <alignment wrapText="1"/>
    </xf>
    <xf numFmtId="0" fontId="6" fillId="0" borderId="23" xfId="1" applyFont="1" applyBorder="1" applyAlignment="1">
      <alignment wrapText="1"/>
    </xf>
    <xf numFmtId="2" fontId="15" fillId="0" borderId="19" xfId="1" applyNumberFormat="1" applyFont="1" applyBorder="1" applyAlignment="1">
      <alignment horizontal="center" vertical="center"/>
    </xf>
    <xf numFmtId="177" fontId="15" fillId="0" borderId="19" xfId="1" applyNumberFormat="1" applyFont="1" applyBorder="1" applyAlignment="1">
      <alignment horizontal="center" vertical="center"/>
    </xf>
    <xf numFmtId="0" fontId="6" fillId="0" borderId="40" xfId="1" applyFont="1" applyBorder="1" applyAlignment="1">
      <alignment wrapText="1"/>
    </xf>
    <xf numFmtId="0" fontId="6" fillId="0" borderId="0" xfId="1" applyFont="1" applyBorder="1" applyAlignment="1">
      <alignment wrapText="1"/>
    </xf>
    <xf numFmtId="0" fontId="10" fillId="0" borderId="91" xfId="1" applyFont="1" applyBorder="1" applyAlignment="1">
      <alignment wrapText="1"/>
    </xf>
    <xf numFmtId="0" fontId="10" fillId="0" borderId="90" xfId="1" applyFont="1" applyBorder="1" applyAlignment="1">
      <alignment wrapText="1"/>
    </xf>
    <xf numFmtId="0" fontId="10" fillId="47" borderId="23" xfId="1" applyFont="1" applyFill="1" applyBorder="1" applyAlignment="1">
      <alignment wrapText="1"/>
    </xf>
    <xf numFmtId="3" fontId="106" fillId="30" borderId="57" xfId="1" applyNumberFormat="1" applyFont="1" applyFill="1" applyBorder="1" applyAlignment="1">
      <alignment horizontal="center"/>
    </xf>
    <xf numFmtId="188" fontId="14" fillId="30" borderId="43" xfId="1" applyNumberFormat="1" applyFont="1" applyFill="1" applyBorder="1" applyAlignment="1">
      <alignment horizontal="right" vertical="center"/>
    </xf>
    <xf numFmtId="188" fontId="14" fillId="30" borderId="42" xfId="1" applyNumberFormat="1" applyFont="1" applyFill="1" applyBorder="1" applyAlignment="1">
      <alignment horizontal="right" vertical="center"/>
    </xf>
    <xf numFmtId="188" fontId="14" fillId="30" borderId="39" xfId="1" applyNumberFormat="1" applyFont="1" applyFill="1" applyBorder="1" applyAlignment="1">
      <alignment horizontal="right" vertical="center"/>
    </xf>
    <xf numFmtId="188" fontId="14" fillId="30" borderId="44" xfId="1" applyNumberFormat="1" applyFont="1" applyFill="1" applyBorder="1" applyAlignment="1">
      <alignment horizontal="right" vertical="center"/>
    </xf>
    <xf numFmtId="196" fontId="7" fillId="30" borderId="39" xfId="1" applyNumberFormat="1" applyFont="1" applyFill="1" applyBorder="1" applyAlignment="1">
      <alignment horizontal="right" vertical="center"/>
    </xf>
    <xf numFmtId="196" fontId="7" fillId="30" borderId="44" xfId="1" applyNumberFormat="1" applyFont="1" applyFill="1" applyBorder="1" applyAlignment="1">
      <alignment horizontal="right" vertical="center"/>
    </xf>
    <xf numFmtId="197" fontId="14" fillId="30" borderId="40" xfId="1" applyNumberFormat="1" applyFont="1" applyFill="1" applyBorder="1" applyAlignment="1">
      <alignment horizontal="center" vertical="center"/>
    </xf>
    <xf numFmtId="197" fontId="14" fillId="30" borderId="19" xfId="1" applyNumberFormat="1" applyFont="1" applyFill="1" applyBorder="1" applyAlignment="1">
      <alignment horizontal="center" vertical="center"/>
    </xf>
    <xf numFmtId="197" fontId="7" fillId="30" borderId="40" xfId="1" applyNumberFormat="1" applyFont="1" applyFill="1" applyBorder="1" applyAlignment="1">
      <alignment horizontal="center" vertical="center"/>
    </xf>
    <xf numFmtId="197" fontId="7" fillId="30" borderId="19" xfId="1" applyNumberFormat="1" applyFont="1" applyFill="1" applyBorder="1" applyAlignment="1">
      <alignment horizontal="center" vertical="center"/>
    </xf>
    <xf numFmtId="190" fontId="105" fillId="30" borderId="118" xfId="1" applyNumberFormat="1" applyFont="1" applyFill="1" applyBorder="1" applyAlignment="1">
      <alignment horizontal="center" vertical="center"/>
    </xf>
    <xf numFmtId="190" fontId="105" fillId="30" borderId="119" xfId="1" applyNumberFormat="1" applyFont="1" applyFill="1" applyBorder="1" applyAlignment="1">
      <alignment horizontal="center" vertical="center"/>
    </xf>
    <xf numFmtId="197" fontId="7" fillId="30" borderId="39" xfId="1" applyNumberFormat="1" applyFont="1" applyFill="1" applyBorder="1" applyAlignment="1">
      <alignment horizontal="center" vertical="center"/>
    </xf>
    <xf numFmtId="197" fontId="7" fillId="30" borderId="44" xfId="1" applyNumberFormat="1" applyFont="1" applyFill="1" applyBorder="1" applyAlignment="1">
      <alignment horizontal="center" vertical="center"/>
    </xf>
    <xf numFmtId="190" fontId="105" fillId="0" borderId="90" xfId="1" applyNumberFormat="1" applyFont="1" applyBorder="1" applyAlignment="1">
      <alignment horizontal="center" vertical="center"/>
    </xf>
    <xf numFmtId="0" fontId="106" fillId="33" borderId="23" xfId="1" applyFont="1" applyFill="1" applyBorder="1" applyAlignment="1">
      <alignment horizontal="center" wrapText="1"/>
    </xf>
    <xf numFmtId="193" fontId="7" fillId="30" borderId="39" xfId="1" applyNumberFormat="1" applyFont="1" applyFill="1" applyBorder="1" applyAlignment="1">
      <alignment horizontal="right" vertical="center"/>
    </xf>
    <xf numFmtId="193" fontId="7" fillId="30" borderId="44" xfId="1" applyNumberFormat="1" applyFont="1" applyFill="1" applyBorder="1" applyAlignment="1">
      <alignment horizontal="right" vertical="center"/>
    </xf>
    <xf numFmtId="196" fontId="7" fillId="30" borderId="39" xfId="1" applyNumberFormat="1" applyFont="1" applyFill="1" applyBorder="1" applyAlignment="1">
      <alignment horizontal="center" vertical="center"/>
    </xf>
    <xf numFmtId="171" fontId="14" fillId="30" borderId="40" xfId="1" applyNumberFormat="1" applyFont="1" applyFill="1" applyBorder="1" applyAlignment="1">
      <alignment horizontal="center" vertical="center"/>
    </xf>
    <xf numFmtId="171" fontId="14" fillId="30" borderId="19" xfId="1" applyNumberFormat="1" applyFont="1" applyFill="1" applyBorder="1" applyAlignment="1">
      <alignment horizontal="center" vertical="center"/>
    </xf>
    <xf numFmtId="0" fontId="5" fillId="0" borderId="42" xfId="1" applyBorder="1" applyAlignment="1">
      <alignment horizontal="right" vertical="center"/>
    </xf>
    <xf numFmtId="188" fontId="7" fillId="39" borderId="43" xfId="1" applyNumberFormat="1" applyFont="1" applyFill="1" applyBorder="1" applyAlignment="1">
      <alignment horizontal="right" vertical="center"/>
    </xf>
    <xf numFmtId="0" fontId="5" fillId="39" borderId="42" xfId="1" applyFill="1" applyBorder="1" applyAlignment="1">
      <alignment horizontal="right" vertical="center"/>
    </xf>
    <xf numFmtId="188" fontId="7" fillId="39" borderId="40" xfId="1" applyNumberFormat="1" applyFont="1" applyFill="1" applyBorder="1" applyAlignment="1">
      <alignment horizontal="right" vertical="center"/>
    </xf>
    <xf numFmtId="0" fontId="5" fillId="39" borderId="19" xfId="1" applyFill="1" applyBorder="1" applyAlignment="1">
      <alignment horizontal="right" vertical="center"/>
    </xf>
    <xf numFmtId="188" fontId="14" fillId="39" borderId="77" xfId="1" applyNumberFormat="1" applyFont="1" applyFill="1" applyBorder="1" applyAlignment="1">
      <alignment horizontal="right" vertical="center"/>
    </xf>
    <xf numFmtId="188" fontId="14" fillId="39" borderId="58" xfId="1" applyNumberFormat="1" applyFont="1" applyFill="1" applyBorder="1" applyAlignment="1">
      <alignment horizontal="right" vertical="center"/>
    </xf>
    <xf numFmtId="188" fontId="14" fillId="39" borderId="43" xfId="1" applyNumberFormat="1" applyFont="1" applyFill="1" applyBorder="1" applyAlignment="1">
      <alignment horizontal="right" vertical="center"/>
    </xf>
    <xf numFmtId="188" fontId="14" fillId="39" borderId="42" xfId="1" applyNumberFormat="1" applyFont="1" applyFill="1" applyBorder="1" applyAlignment="1">
      <alignment horizontal="right" vertical="center"/>
    </xf>
    <xf numFmtId="188" fontId="7" fillId="39" borderId="40" xfId="61" applyNumberFormat="1" applyFont="1" applyFill="1" applyBorder="1" applyAlignment="1">
      <alignment horizontal="right" vertical="center"/>
    </xf>
    <xf numFmtId="188" fontId="7" fillId="39" borderId="19" xfId="61" applyNumberFormat="1" applyFont="1" applyFill="1" applyBorder="1" applyAlignment="1">
      <alignment horizontal="right" vertical="center"/>
    </xf>
    <xf numFmtId="196" fontId="7" fillId="39" borderId="39" xfId="1" applyNumberFormat="1" applyFont="1" applyFill="1" applyBorder="1" applyAlignment="1">
      <alignment horizontal="right" vertical="center"/>
    </xf>
    <xf numFmtId="196" fontId="7" fillId="39" borderId="44" xfId="1" applyNumberFormat="1" applyFont="1" applyFill="1" applyBorder="1" applyAlignment="1">
      <alignment horizontal="right" vertical="center"/>
    </xf>
    <xf numFmtId="188" fontId="14" fillId="39" borderId="39" xfId="1" applyNumberFormat="1" applyFont="1" applyFill="1" applyBorder="1" applyAlignment="1">
      <alignment horizontal="right" vertical="center"/>
    </xf>
    <xf numFmtId="188" fontId="14" fillId="39" borderId="44" xfId="1" applyNumberFormat="1" applyFont="1" applyFill="1" applyBorder="1" applyAlignment="1">
      <alignment horizontal="right" vertical="center"/>
    </xf>
    <xf numFmtId="0" fontId="5" fillId="0" borderId="25" xfId="1" applyBorder="1" applyAlignment="1">
      <alignment horizontal="center" vertical="center" textRotation="90"/>
    </xf>
    <xf numFmtId="0" fontId="5" fillId="0" borderId="34" xfId="1" applyBorder="1" applyAlignment="1">
      <alignment horizontal="center" vertical="center" textRotation="90"/>
    </xf>
    <xf numFmtId="172" fontId="15" fillId="37" borderId="77" xfId="1" applyNumberFormat="1" applyFont="1" applyFill="1" applyBorder="1" applyAlignment="1" applyProtection="1">
      <alignment horizontal="center" vertical="center"/>
      <protection locked="0"/>
    </xf>
    <xf numFmtId="172" fontId="15" fillId="37" borderId="58" xfId="1" applyNumberFormat="1" applyFont="1" applyFill="1" applyBorder="1" applyAlignment="1" applyProtection="1">
      <alignment horizontal="center" vertical="center"/>
      <protection locked="0"/>
    </xf>
    <xf numFmtId="0" fontId="10" fillId="0" borderId="0" xfId="1" applyFont="1" applyBorder="1" applyAlignment="1">
      <alignment horizontal="left" vertical="center"/>
    </xf>
    <xf numFmtId="197" fontId="14" fillId="0" borderId="40" xfId="1" applyNumberFormat="1" applyFont="1" applyBorder="1" applyAlignment="1">
      <alignment horizontal="center"/>
    </xf>
    <xf numFmtId="197" fontId="14" fillId="0" borderId="19" xfId="1" applyNumberFormat="1" applyFont="1" applyBorder="1" applyAlignment="1">
      <alignment horizontal="center"/>
    </xf>
    <xf numFmtId="197" fontId="14" fillId="30" borderId="40" xfId="1" applyNumberFormat="1" applyFont="1" applyFill="1" applyBorder="1" applyAlignment="1">
      <alignment horizontal="center"/>
    </xf>
    <xf numFmtId="197" fontId="14" fillId="30" borderId="19" xfId="1" applyNumberFormat="1" applyFont="1" applyFill="1" applyBorder="1" applyAlignment="1">
      <alignment horizontal="center"/>
    </xf>
    <xf numFmtId="4" fontId="14" fillId="30" borderId="134" xfId="1" applyNumberFormat="1" applyFont="1" applyFill="1" applyBorder="1" applyAlignment="1">
      <alignment horizontal="center" vertical="center"/>
    </xf>
    <xf numFmtId="4" fontId="14" fillId="30" borderId="133" xfId="1" applyNumberFormat="1" applyFont="1" applyFill="1" applyBorder="1" applyAlignment="1">
      <alignment horizontal="center" vertical="center"/>
    </xf>
    <xf numFmtId="171" fontId="7" fillId="30" borderId="43" xfId="1" applyNumberFormat="1" applyFont="1" applyFill="1" applyBorder="1" applyAlignment="1">
      <alignment horizontal="center" vertical="center"/>
    </xf>
    <xf numFmtId="171" fontId="7" fillId="30" borderId="42" xfId="1" applyNumberFormat="1" applyFont="1" applyFill="1" applyBorder="1" applyAlignment="1">
      <alignment horizontal="center" vertical="center"/>
    </xf>
    <xf numFmtId="3" fontId="106" fillId="30" borderId="116" xfId="1" applyNumberFormat="1" applyFont="1" applyFill="1" applyBorder="1" applyAlignment="1">
      <alignment horizontal="center"/>
    </xf>
    <xf numFmtId="0" fontId="14" fillId="37" borderId="77" xfId="1" applyFont="1" applyFill="1" applyBorder="1" applyAlignment="1" applyProtection="1">
      <alignment horizontal="center" vertical="center"/>
      <protection locked="0"/>
    </xf>
    <xf numFmtId="0" fontId="7" fillId="37" borderId="57" xfId="1" applyFont="1" applyFill="1" applyBorder="1" applyAlignment="1">
      <alignment horizontal="center" vertical="center"/>
    </xf>
    <xf numFmtId="0" fontId="7" fillId="37" borderId="58" xfId="1" applyFont="1" applyFill="1" applyBorder="1" applyAlignment="1">
      <alignment horizontal="center" vertical="center"/>
    </xf>
    <xf numFmtId="0" fontId="14" fillId="37" borderId="57" xfId="1" applyFont="1" applyFill="1" applyBorder="1" applyAlignment="1" applyProtection="1">
      <alignment horizontal="center" vertical="center"/>
      <protection locked="0"/>
    </xf>
    <xf numFmtId="171" fontId="17" fillId="0" borderId="44" xfId="1" applyNumberFormat="1" applyFont="1" applyBorder="1" applyAlignment="1">
      <alignment horizontal="center" vertical="center"/>
    </xf>
    <xf numFmtId="171" fontId="17" fillId="30" borderId="39" xfId="1" applyNumberFormat="1" applyFont="1" applyFill="1" applyBorder="1" applyAlignment="1">
      <alignment horizontal="center" vertical="center"/>
    </xf>
    <xf numFmtId="171" fontId="17" fillId="30" borderId="44" xfId="1" applyNumberFormat="1" applyFont="1" applyFill="1" applyBorder="1" applyAlignment="1">
      <alignment horizontal="center" vertical="center"/>
    </xf>
    <xf numFmtId="0" fontId="8" fillId="3" borderId="23" xfId="2" applyFill="1" applyBorder="1" applyAlignment="1" applyProtection="1">
      <alignment horizontal="center" vertical="center"/>
    </xf>
    <xf numFmtId="0" fontId="10" fillId="0" borderId="23" xfId="1" applyFont="1" applyBorder="1" applyAlignment="1">
      <alignment horizontal="center" vertical="center"/>
    </xf>
    <xf numFmtId="3" fontId="106" fillId="0" borderId="57" xfId="1" applyNumberFormat="1" applyFont="1" applyBorder="1" applyAlignment="1">
      <alignment horizontal="center"/>
    </xf>
    <xf numFmtId="172" fontId="106" fillId="0" borderId="57" xfId="1" applyNumberFormat="1" applyFont="1" applyBorder="1" applyAlignment="1"/>
    <xf numFmtId="172" fontId="106" fillId="30" borderId="8" xfId="1" applyNumberFormat="1" applyFont="1" applyFill="1" applyBorder="1" applyAlignment="1"/>
    <xf numFmtId="172" fontId="106" fillId="30" borderId="116" xfId="1" applyNumberFormat="1" applyFont="1" applyFill="1" applyBorder="1" applyAlignment="1"/>
    <xf numFmtId="190" fontId="106" fillId="30" borderId="57" xfId="1" applyNumberFormat="1" applyFont="1" applyFill="1" applyBorder="1" applyAlignment="1">
      <alignment horizontal="center"/>
    </xf>
    <xf numFmtId="190" fontId="106" fillId="30" borderId="116" xfId="1" applyNumberFormat="1" applyFont="1" applyFill="1" applyBorder="1" applyAlignment="1">
      <alignment horizontal="center"/>
    </xf>
    <xf numFmtId="0" fontId="18" fillId="0" borderId="0" xfId="1" applyFont="1" applyAlignment="1">
      <alignment horizontal="center"/>
    </xf>
    <xf numFmtId="190" fontId="105" fillId="0" borderId="0" xfId="1" applyNumberFormat="1" applyFont="1" applyBorder="1" applyAlignment="1">
      <alignment horizontal="center"/>
    </xf>
    <xf numFmtId="172" fontId="105" fillId="0" borderId="0" xfId="1" applyNumberFormat="1" applyFont="1" applyBorder="1" applyAlignment="1">
      <alignment horizontal="center"/>
    </xf>
    <xf numFmtId="190" fontId="105" fillId="0" borderId="114" xfId="1" applyNumberFormat="1" applyFont="1" applyBorder="1" applyAlignment="1">
      <alignment horizontal="center"/>
    </xf>
    <xf numFmtId="0" fontId="18" fillId="47" borderId="0" xfId="1" applyFont="1" applyFill="1" applyAlignment="1">
      <alignment horizontal="center"/>
    </xf>
    <xf numFmtId="3" fontId="105" fillId="0" borderId="2" xfId="1" applyNumberFormat="1" applyFont="1" applyBorder="1" applyAlignment="1">
      <alignment horizontal="center"/>
    </xf>
    <xf numFmtId="190" fontId="105" fillId="30" borderId="112" xfId="1" applyNumberFormat="1" applyFont="1" applyFill="1" applyBorder="1" applyAlignment="1">
      <alignment horizontal="center"/>
    </xf>
    <xf numFmtId="190" fontId="105" fillId="30" borderId="113" xfId="1" applyNumberFormat="1" applyFont="1" applyFill="1" applyBorder="1" applyAlignment="1">
      <alignment horizontal="center"/>
    </xf>
    <xf numFmtId="190" fontId="105" fillId="30" borderId="65" xfId="1" applyNumberFormat="1" applyFont="1" applyFill="1" applyBorder="1" applyAlignment="1">
      <alignment horizontal="center"/>
    </xf>
    <xf numFmtId="190" fontId="105" fillId="30" borderId="72" xfId="1" applyNumberFormat="1" applyFont="1" applyFill="1" applyBorder="1" applyAlignment="1">
      <alignment horizontal="center"/>
    </xf>
    <xf numFmtId="0" fontId="10" fillId="0" borderId="115" xfId="1" applyFont="1" applyBorder="1" applyAlignment="1">
      <alignment wrapText="1"/>
    </xf>
    <xf numFmtId="0" fontId="10" fillId="0" borderId="114" xfId="1" applyFont="1" applyBorder="1" applyAlignment="1">
      <alignment wrapText="1"/>
    </xf>
    <xf numFmtId="0" fontId="10" fillId="0" borderId="39" xfId="1" applyFont="1" applyBorder="1" applyAlignment="1">
      <alignment wrapText="1"/>
    </xf>
    <xf numFmtId="0" fontId="10" fillId="0" borderId="2" xfId="1" applyFont="1" applyBorder="1" applyAlignment="1">
      <alignment wrapText="1"/>
    </xf>
    <xf numFmtId="3" fontId="105" fillId="30" borderId="109" xfId="1" applyNumberFormat="1" applyFont="1" applyFill="1" applyBorder="1" applyAlignment="1">
      <alignment horizontal="center"/>
    </xf>
    <xf numFmtId="3" fontId="105" fillId="30" borderId="110" xfId="1" applyNumberFormat="1" applyFont="1" applyFill="1" applyBorder="1" applyAlignment="1">
      <alignment horizontal="center"/>
    </xf>
    <xf numFmtId="3" fontId="105" fillId="0" borderId="109" xfId="1" applyNumberFormat="1" applyFont="1" applyBorder="1" applyAlignment="1">
      <alignment horizontal="center"/>
    </xf>
    <xf numFmtId="3" fontId="105" fillId="0" borderId="108" xfId="1" applyNumberFormat="1" applyFont="1" applyBorder="1" applyAlignment="1">
      <alignment horizontal="center"/>
    </xf>
    <xf numFmtId="172" fontId="105" fillId="30" borderId="65" xfId="1" applyNumberFormat="1" applyFont="1" applyFill="1" applyBorder="1" applyAlignment="1">
      <alignment horizontal="center"/>
    </xf>
    <xf numFmtId="172" fontId="105" fillId="30" borderId="72" xfId="1" applyNumberFormat="1" applyFont="1" applyFill="1" applyBorder="1" applyAlignment="1">
      <alignment horizontal="center"/>
    </xf>
    <xf numFmtId="188" fontId="14" fillId="53" borderId="39" xfId="1" applyNumberFormat="1" applyFont="1" applyFill="1" applyBorder="1" applyAlignment="1">
      <alignment horizontal="right" vertical="center"/>
    </xf>
    <xf numFmtId="188" fontId="14" fillId="53" borderId="44" xfId="1" applyNumberFormat="1" applyFont="1" applyFill="1" applyBorder="1" applyAlignment="1">
      <alignment horizontal="right" vertical="center"/>
    </xf>
    <xf numFmtId="188" fontId="7" fillId="39" borderId="42" xfId="1" applyNumberFormat="1" applyFont="1" applyFill="1" applyBorder="1" applyAlignment="1">
      <alignment horizontal="right" vertical="center"/>
    </xf>
    <xf numFmtId="2" fontId="15" fillId="0" borderId="0" xfId="1" applyNumberFormat="1" applyFont="1" applyBorder="1" applyAlignment="1">
      <alignment horizontal="center" vertical="center"/>
    </xf>
    <xf numFmtId="177" fontId="15" fillId="0" borderId="0" xfId="1" applyNumberFormat="1" applyFont="1" applyBorder="1" applyAlignment="1">
      <alignment horizontal="center" vertical="center"/>
    </xf>
    <xf numFmtId="0" fontId="105" fillId="33" borderId="44" xfId="1" applyFont="1" applyFill="1" applyBorder="1" applyAlignment="1">
      <alignment horizontal="center"/>
    </xf>
    <xf numFmtId="190" fontId="105" fillId="0" borderId="112" xfId="1" applyNumberFormat="1" applyFont="1" applyBorder="1" applyAlignment="1">
      <alignment horizontal="center" vertical="center"/>
    </xf>
    <xf numFmtId="190" fontId="105" fillId="0" borderId="111" xfId="1" applyNumberFormat="1" applyFont="1" applyBorder="1" applyAlignment="1">
      <alignment horizontal="center" vertical="center"/>
    </xf>
    <xf numFmtId="190" fontId="106" fillId="30" borderId="8" xfId="1" applyNumberFormat="1" applyFont="1" applyFill="1" applyBorder="1" applyAlignment="1">
      <alignment horizontal="center" vertical="center"/>
    </xf>
    <xf numFmtId="190" fontId="106" fillId="30" borderId="58" xfId="1" applyNumberFormat="1" applyFont="1" applyFill="1" applyBorder="1" applyAlignment="1">
      <alignment horizontal="center" vertical="center"/>
    </xf>
    <xf numFmtId="190" fontId="105" fillId="0" borderId="8" xfId="1" applyNumberFormat="1" applyFont="1" applyBorder="1" applyAlignment="1">
      <alignment horizontal="center" vertical="center"/>
    </xf>
    <xf numFmtId="190" fontId="105" fillId="0" borderId="58" xfId="1" applyNumberFormat="1" applyFont="1" applyBorder="1" applyAlignment="1">
      <alignment horizontal="center" vertical="center"/>
    </xf>
    <xf numFmtId="3" fontId="106" fillId="30" borderId="8" xfId="1" applyNumberFormat="1" applyFont="1" applyFill="1" applyBorder="1" applyAlignment="1">
      <alignment horizontal="center" vertical="center"/>
    </xf>
    <xf numFmtId="3" fontId="106" fillId="30" borderId="58" xfId="1" applyNumberFormat="1" applyFont="1" applyFill="1" applyBorder="1" applyAlignment="1">
      <alignment horizontal="center" vertical="center"/>
    </xf>
    <xf numFmtId="172" fontId="105" fillId="0" borderId="8" xfId="1" applyNumberFormat="1" applyFont="1" applyBorder="1" applyAlignment="1">
      <alignment horizontal="center" vertical="center"/>
    </xf>
    <xf numFmtId="172" fontId="105" fillId="0" borderId="58" xfId="1" applyNumberFormat="1" applyFont="1" applyBorder="1" applyAlignment="1">
      <alignment horizontal="center" vertical="center"/>
    </xf>
    <xf numFmtId="172" fontId="106" fillId="0" borderId="8" xfId="1" applyNumberFormat="1" applyFont="1" applyBorder="1" applyAlignment="1">
      <alignment horizontal="center" vertical="center"/>
    </xf>
    <xf numFmtId="172" fontId="106" fillId="0" borderId="58" xfId="1" applyNumberFormat="1" applyFont="1" applyBorder="1" applyAlignment="1">
      <alignment horizontal="center" vertical="center"/>
    </xf>
    <xf numFmtId="3" fontId="105" fillId="0" borderId="61" xfId="1" applyNumberFormat="1" applyFont="1" applyBorder="1" applyAlignment="1">
      <alignment horizontal="center" vertical="center"/>
    </xf>
    <xf numFmtId="3" fontId="105" fillId="0" borderId="44" xfId="1" applyNumberFormat="1" applyFont="1" applyBorder="1" applyAlignment="1">
      <alignment horizontal="center" vertical="center"/>
    </xf>
    <xf numFmtId="209" fontId="188" fillId="0" borderId="57" xfId="1" applyNumberFormat="1" applyFont="1" applyBorder="1" applyAlignment="1" applyProtection="1">
      <alignment horizontal="center" vertical="center"/>
    </xf>
    <xf numFmtId="2" fontId="7" fillId="37" borderId="2" xfId="105" applyNumberFormat="1" applyFont="1" applyFill="1" applyBorder="1" applyAlignment="1" applyProtection="1">
      <alignment horizontal="left" vertical="center"/>
      <protection locked="0"/>
    </xf>
    <xf numFmtId="2" fontId="7" fillId="37" borderId="71" xfId="105" applyNumberFormat="1" applyFont="1" applyFill="1" applyBorder="1" applyAlignment="1" applyProtection="1">
      <alignment horizontal="left" vertical="center"/>
      <protection locked="0"/>
    </xf>
    <xf numFmtId="0" fontId="7" fillId="37" borderId="103" xfId="105" applyFont="1" applyFill="1" applyBorder="1" applyAlignment="1" applyProtection="1">
      <alignment horizontal="left" vertical="center"/>
      <protection locked="0"/>
    </xf>
    <xf numFmtId="0" fontId="7" fillId="37" borderId="160" xfId="105" applyFont="1" applyFill="1" applyBorder="1" applyAlignment="1" applyProtection="1">
      <alignment horizontal="left" vertical="center"/>
      <protection locked="0"/>
    </xf>
    <xf numFmtId="0" fontId="7" fillId="37" borderId="0" xfId="1" applyFont="1" applyFill="1" applyBorder="1" applyAlignment="1" applyProtection="1">
      <alignment horizontal="left" vertical="center"/>
      <protection locked="0"/>
    </xf>
    <xf numFmtId="1" fontId="121" fillId="4" borderId="77" xfId="1" applyNumberFormat="1" applyFont="1" applyFill="1" applyBorder="1" applyAlignment="1" applyProtection="1">
      <alignment horizontal="center" vertical="center"/>
    </xf>
    <xf numFmtId="1" fontId="121" fillId="4" borderId="57" xfId="1" applyNumberFormat="1" applyFont="1" applyFill="1" applyBorder="1" applyAlignment="1" applyProtection="1">
      <alignment horizontal="center" vertical="center"/>
    </xf>
    <xf numFmtId="0" fontId="14" fillId="0" borderId="0" xfId="1" applyFont="1" applyFill="1" applyAlignment="1" applyProtection="1">
      <alignment horizontal="right" vertical="center"/>
      <protection locked="0"/>
    </xf>
    <xf numFmtId="0" fontId="10" fillId="0" borderId="0" xfId="1" applyFont="1" applyAlignment="1">
      <alignment horizontal="right"/>
    </xf>
    <xf numFmtId="0" fontId="7" fillId="31" borderId="57" xfId="1" applyFont="1" applyFill="1" applyBorder="1" applyAlignment="1" applyProtection="1">
      <alignment horizontal="center" vertical="center"/>
      <protection locked="0"/>
    </xf>
    <xf numFmtId="0" fontId="7" fillId="31" borderId="58" xfId="1" applyFont="1" applyFill="1" applyBorder="1" applyAlignment="1" applyProtection="1">
      <alignment horizontal="center" vertical="center"/>
      <protection locked="0"/>
    </xf>
    <xf numFmtId="0" fontId="19" fillId="0" borderId="0" xfId="1" applyFont="1" applyFill="1" applyBorder="1" applyAlignment="1" applyProtection="1">
      <alignment horizontal="right" vertical="top"/>
    </xf>
    <xf numFmtId="0" fontId="103" fillId="4" borderId="0" xfId="1" applyNumberFormat="1" applyFont="1" applyFill="1" applyBorder="1" applyAlignment="1" applyProtection="1">
      <alignment horizontal="left" vertical="center" wrapText="1" readingOrder="1"/>
    </xf>
    <xf numFmtId="0" fontId="10" fillId="0" borderId="0" xfId="1" applyFont="1" applyAlignment="1">
      <alignment horizontal="left" vertical="center"/>
    </xf>
    <xf numFmtId="2" fontId="7" fillId="37" borderId="0" xfId="105" applyNumberFormat="1" applyFont="1" applyFill="1" applyBorder="1" applyAlignment="1" applyProtection="1">
      <alignment horizontal="left" vertical="center"/>
      <protection locked="0"/>
    </xf>
    <xf numFmtId="2" fontId="7" fillId="37" borderId="72" xfId="105" applyNumberFormat="1" applyFont="1" applyFill="1" applyBorder="1" applyAlignment="1" applyProtection="1">
      <alignment horizontal="left" vertical="center"/>
      <protection locked="0"/>
    </xf>
    <xf numFmtId="0" fontId="7" fillId="31" borderId="2" xfId="1" applyFont="1" applyFill="1" applyBorder="1" applyAlignment="1" applyProtection="1">
      <alignment horizontal="right" vertical="center"/>
      <protection locked="0"/>
    </xf>
    <xf numFmtId="0" fontId="7" fillId="31" borderId="71" xfId="1" applyFont="1" applyFill="1" applyBorder="1" applyAlignment="1" applyProtection="1">
      <alignment horizontal="right" vertical="center"/>
      <protection locked="0"/>
    </xf>
    <xf numFmtId="1" fontId="121" fillId="27" borderId="77" xfId="1" applyNumberFormat="1" applyFont="1" applyFill="1" applyBorder="1" applyAlignment="1" applyProtection="1">
      <alignment horizontal="center" vertical="center"/>
    </xf>
    <xf numFmtId="1" fontId="121" fillId="27" borderId="57" xfId="1" applyNumberFormat="1" applyFont="1" applyFill="1" applyBorder="1" applyAlignment="1" applyProtection="1">
      <alignment horizontal="center" vertical="center"/>
    </xf>
    <xf numFmtId="0" fontId="10" fillId="0" borderId="23" xfId="1" applyFont="1" applyBorder="1" applyAlignment="1" applyProtection="1">
      <alignment horizontal="center" vertical="center"/>
    </xf>
    <xf numFmtId="0" fontId="10" fillId="0" borderId="42" xfId="1" applyFont="1" applyBorder="1" applyAlignment="1" applyProtection="1">
      <alignment horizontal="center" vertical="center"/>
    </xf>
    <xf numFmtId="0" fontId="10" fillId="31" borderId="103" xfId="105" applyFont="1" applyFill="1" applyBorder="1" applyAlignment="1" applyProtection="1">
      <alignment horizontal="left" vertical="center"/>
      <protection locked="0"/>
    </xf>
    <xf numFmtId="0" fontId="10" fillId="31" borderId="160" xfId="105" applyFont="1" applyFill="1" applyBorder="1" applyAlignment="1" applyProtection="1">
      <alignment horizontal="left" vertical="center"/>
      <protection locked="0"/>
    </xf>
    <xf numFmtId="0" fontId="10" fillId="31" borderId="2" xfId="105" applyFont="1" applyFill="1" applyBorder="1" applyAlignment="1" applyProtection="1">
      <alignment horizontal="left" vertical="center"/>
      <protection locked="0"/>
    </xf>
    <xf numFmtId="0" fontId="10" fillId="31" borderId="71" xfId="105" applyFont="1" applyFill="1" applyBorder="1" applyAlignment="1" applyProtection="1">
      <alignment horizontal="left" vertical="center"/>
      <protection locked="0"/>
    </xf>
    <xf numFmtId="0" fontId="7" fillId="37" borderId="0" xfId="105" applyFont="1" applyFill="1" applyBorder="1" applyAlignment="1" applyProtection="1">
      <alignment horizontal="left" vertical="center"/>
      <protection locked="0"/>
    </xf>
    <xf numFmtId="0" fontId="7" fillId="37" borderId="72" xfId="105" applyFont="1" applyFill="1" applyBorder="1" applyAlignment="1" applyProtection="1">
      <alignment horizontal="left" vertical="center"/>
      <protection locked="0"/>
    </xf>
    <xf numFmtId="2" fontId="7" fillId="37" borderId="103" xfId="105" applyNumberFormat="1" applyFont="1" applyFill="1" applyBorder="1" applyAlignment="1" applyProtection="1">
      <alignment horizontal="left" vertical="center"/>
      <protection locked="0"/>
    </xf>
    <xf numFmtId="2" fontId="7" fillId="37" borderId="160" xfId="105" applyNumberFormat="1" applyFont="1" applyFill="1" applyBorder="1" applyAlignment="1" applyProtection="1">
      <alignment horizontal="left" vertical="center"/>
      <protection locked="0"/>
    </xf>
    <xf numFmtId="0" fontId="14" fillId="0" borderId="77" xfId="105" applyFont="1" applyBorder="1" applyAlignment="1" applyProtection="1">
      <alignment horizontal="left" vertical="center" wrapText="1"/>
    </xf>
    <xf numFmtId="0" fontId="14" fillId="0" borderId="116" xfId="105" applyFont="1" applyBorder="1" applyAlignment="1" applyProtection="1">
      <alignment horizontal="left" vertical="center" wrapText="1"/>
    </xf>
    <xf numFmtId="0" fontId="7" fillId="0" borderId="2" xfId="1" applyFont="1" applyFill="1" applyBorder="1" applyAlignment="1" applyProtection="1">
      <alignment horizontal="left" vertical="center"/>
    </xf>
    <xf numFmtId="0" fontId="7" fillId="37" borderId="90" xfId="105" applyFont="1" applyFill="1" applyBorder="1" applyAlignment="1" applyProtection="1">
      <alignment horizontal="left" vertical="center"/>
      <protection locked="0"/>
    </xf>
    <xf numFmtId="0" fontId="7" fillId="37" borderId="119" xfId="105" applyFont="1" applyFill="1" applyBorder="1" applyAlignment="1" applyProtection="1">
      <alignment horizontal="left" vertical="center"/>
      <protection locked="0"/>
    </xf>
    <xf numFmtId="0" fontId="7" fillId="37" borderId="2" xfId="105" applyFont="1" applyFill="1" applyBorder="1" applyAlignment="1" applyProtection="1">
      <alignment horizontal="left" vertical="center"/>
      <protection locked="0"/>
    </xf>
    <xf numFmtId="0" fontId="7" fillId="37" borderId="90" xfId="1" applyFont="1" applyFill="1" applyBorder="1" applyAlignment="1" applyProtection="1">
      <alignment horizontal="left" vertical="center"/>
      <protection locked="0"/>
    </xf>
    <xf numFmtId="0" fontId="7" fillId="37" borderId="119" xfId="1" applyFont="1" applyFill="1" applyBorder="1" applyAlignment="1" applyProtection="1">
      <alignment horizontal="left" vertical="center"/>
      <protection locked="0"/>
    </xf>
    <xf numFmtId="0" fontId="7" fillId="31" borderId="2" xfId="1" applyFont="1" applyFill="1" applyBorder="1" applyAlignment="1" applyProtection="1">
      <alignment horizontal="left" vertical="center"/>
      <protection locked="0"/>
    </xf>
    <xf numFmtId="0" fontId="7" fillId="31" borderId="0" xfId="105" applyFont="1" applyFill="1" applyBorder="1" applyAlignment="1" applyProtection="1">
      <alignment horizontal="left" vertical="center"/>
      <protection locked="0"/>
    </xf>
    <xf numFmtId="0" fontId="7" fillId="37" borderId="2" xfId="105" applyFont="1" applyFill="1" applyBorder="1" applyAlignment="1" applyProtection="1">
      <alignment horizontal="left" vertical="center" wrapText="1"/>
      <protection locked="0"/>
    </xf>
    <xf numFmtId="0" fontId="7" fillId="37" borderId="71" xfId="105" applyFont="1" applyFill="1" applyBorder="1" applyAlignment="1" applyProtection="1">
      <alignment horizontal="left" vertical="center" wrapText="1"/>
      <protection locked="0"/>
    </xf>
    <xf numFmtId="0" fontId="7" fillId="33" borderId="0" xfId="105" applyFont="1" applyFill="1" applyBorder="1" applyAlignment="1" applyProtection="1">
      <alignment horizontal="left" vertical="center"/>
      <protection locked="0"/>
    </xf>
    <xf numFmtId="0" fontId="7" fillId="33" borderId="72" xfId="105" applyFont="1" applyFill="1" applyBorder="1" applyAlignment="1" applyProtection="1">
      <alignment horizontal="left" vertical="center"/>
      <protection locked="0"/>
    </xf>
    <xf numFmtId="0" fontId="193" fillId="0" borderId="0" xfId="1" applyFont="1" applyBorder="1" applyAlignment="1" applyProtection="1">
      <alignment horizontal="left" vertical="top" wrapText="1"/>
    </xf>
    <xf numFmtId="0" fontId="14" fillId="31" borderId="0" xfId="1" applyFont="1" applyFill="1" applyAlignment="1" applyProtection="1">
      <alignment vertical="center"/>
      <protection locked="0"/>
    </xf>
    <xf numFmtId="0" fontId="7" fillId="37" borderId="2" xfId="1" applyFont="1" applyFill="1" applyBorder="1" applyAlignment="1" applyProtection="1">
      <alignment horizontal="left" vertical="center"/>
      <protection locked="0"/>
    </xf>
    <xf numFmtId="0" fontId="0" fillId="0" borderId="72" xfId="0" applyBorder="1" applyAlignment="1">
      <alignment horizontal="left" vertical="center"/>
    </xf>
    <xf numFmtId="0" fontId="0" fillId="0" borderId="160" xfId="0" applyBorder="1" applyAlignment="1">
      <alignment horizontal="left" vertical="center"/>
    </xf>
    <xf numFmtId="0" fontId="5" fillId="0" borderId="0" xfId="1" applyAlignment="1">
      <alignment horizontal="left" vertical="center"/>
    </xf>
    <xf numFmtId="0" fontId="5" fillId="0" borderId="72" xfId="1" applyBorder="1" applyAlignment="1">
      <alignment horizontal="left" vertical="center"/>
    </xf>
    <xf numFmtId="0" fontId="5" fillId="0" borderId="103" xfId="1" applyBorder="1" applyAlignment="1">
      <alignment horizontal="left" vertical="center"/>
    </xf>
    <xf numFmtId="0" fontId="5" fillId="0" borderId="160" xfId="1" applyBorder="1" applyAlignment="1">
      <alignment horizontal="left" vertical="center"/>
    </xf>
    <xf numFmtId="0" fontId="0" fillId="33" borderId="72" xfId="0" applyFill="1" applyBorder="1" applyAlignment="1">
      <alignment horizontal="left" vertical="center"/>
    </xf>
    <xf numFmtId="0" fontId="7" fillId="0" borderId="23" xfId="105" applyFont="1" applyFill="1" applyBorder="1" applyAlignment="1" applyProtection="1">
      <alignment horizontal="left" vertical="center"/>
      <protection locked="0"/>
    </xf>
    <xf numFmtId="0" fontId="7" fillId="0" borderId="2" xfId="1" applyFont="1" applyFill="1" applyBorder="1" applyAlignment="1" applyProtection="1">
      <alignment horizontal="right" vertical="center"/>
    </xf>
    <xf numFmtId="0" fontId="7" fillId="0" borderId="71" xfId="1" applyFont="1" applyFill="1" applyBorder="1" applyAlignment="1" applyProtection="1">
      <alignment horizontal="right" vertical="center"/>
    </xf>
    <xf numFmtId="0" fontId="10" fillId="0" borderId="0" xfId="1" applyFont="1" applyFill="1" applyAlignment="1">
      <alignment horizontal="right"/>
    </xf>
    <xf numFmtId="0" fontId="7" fillId="33" borderId="0" xfId="105" applyFont="1" applyFill="1" applyBorder="1" applyAlignment="1" applyProtection="1">
      <alignment horizontal="center" vertical="center"/>
      <protection locked="0"/>
    </xf>
    <xf numFmtId="0" fontId="7" fillId="33" borderId="72" xfId="105" applyFont="1" applyFill="1" applyBorder="1" applyAlignment="1" applyProtection="1">
      <alignment horizontal="center" vertical="center"/>
      <protection locked="0"/>
    </xf>
    <xf numFmtId="0" fontId="103" fillId="0" borderId="0" xfId="1" applyNumberFormat="1" applyFont="1" applyFill="1" applyBorder="1" applyAlignment="1" applyProtection="1">
      <alignment horizontal="left" vertical="center" wrapText="1" readingOrder="1"/>
    </xf>
    <xf numFmtId="0" fontId="10" fillId="0" borderId="0" xfId="1" applyFont="1" applyFill="1" applyAlignment="1">
      <alignment horizontal="left" vertical="center"/>
    </xf>
    <xf numFmtId="0" fontId="7" fillId="37" borderId="2" xfId="1" applyFont="1" applyFill="1" applyBorder="1" applyAlignment="1" applyProtection="1">
      <alignment horizontal="left" vertical="center" wrapText="1"/>
      <protection locked="0"/>
    </xf>
    <xf numFmtId="0" fontId="7" fillId="37" borderId="71" xfId="1" applyFont="1" applyFill="1" applyBorder="1" applyAlignment="1" applyProtection="1">
      <alignment horizontal="left" vertical="center" wrapText="1"/>
      <protection locked="0"/>
    </xf>
    <xf numFmtId="0" fontId="119" fillId="37" borderId="90" xfId="105" applyFont="1" applyFill="1" applyBorder="1" applyAlignment="1" applyProtection="1">
      <alignment horizontal="left" vertical="center"/>
      <protection locked="0"/>
    </xf>
    <xf numFmtId="0" fontId="119" fillId="37" borderId="119" xfId="105" applyFont="1" applyFill="1" applyBorder="1" applyAlignment="1" applyProtection="1">
      <alignment horizontal="left" vertical="center"/>
      <protection locked="0"/>
    </xf>
    <xf numFmtId="0" fontId="7" fillId="37" borderId="71" xfId="1" applyFont="1" applyFill="1" applyBorder="1" applyAlignment="1" applyProtection="1">
      <alignment horizontal="left" vertical="center"/>
      <protection locked="0"/>
    </xf>
    <xf numFmtId="0" fontId="14" fillId="31" borderId="0" xfId="1" applyFont="1" applyFill="1" applyAlignment="1">
      <alignment vertical="center"/>
    </xf>
    <xf numFmtId="0" fontId="7" fillId="37" borderId="103" xfId="1" applyFont="1" applyFill="1" applyBorder="1" applyAlignment="1" applyProtection="1">
      <alignment horizontal="left" vertical="center"/>
      <protection locked="0"/>
    </xf>
    <xf numFmtId="0" fontId="7" fillId="37" borderId="160" xfId="1" applyFont="1" applyFill="1" applyBorder="1" applyAlignment="1" applyProtection="1">
      <alignment horizontal="left" vertical="center"/>
      <protection locked="0"/>
    </xf>
    <xf numFmtId="0" fontId="7" fillId="37" borderId="71" xfId="105" applyFont="1" applyFill="1" applyBorder="1" applyAlignment="1" applyProtection="1">
      <alignment horizontal="left" vertical="center"/>
      <protection locked="0"/>
    </xf>
    <xf numFmtId="0" fontId="56" fillId="31" borderId="0" xfId="1" applyFont="1" applyFill="1" applyAlignment="1" applyProtection="1">
      <alignment vertical="center"/>
      <protection locked="0"/>
    </xf>
    <xf numFmtId="0" fontId="7" fillId="0" borderId="71" xfId="1" applyFont="1" applyFill="1" applyBorder="1" applyAlignment="1" applyProtection="1">
      <alignment horizontal="left" vertical="center"/>
    </xf>
    <xf numFmtId="0" fontId="5" fillId="31" borderId="103" xfId="105" applyFont="1" applyFill="1" applyBorder="1" applyAlignment="1" applyProtection="1">
      <alignment horizontal="left" vertical="center"/>
      <protection locked="0"/>
    </xf>
    <xf numFmtId="0" fontId="5" fillId="31" borderId="160" xfId="105" applyFont="1" applyFill="1" applyBorder="1" applyAlignment="1" applyProtection="1">
      <alignment horizontal="left" vertical="center"/>
      <protection locked="0"/>
    </xf>
    <xf numFmtId="0" fontId="5" fillId="31" borderId="2" xfId="105" applyFont="1" applyFill="1" applyBorder="1" applyAlignment="1" applyProtection="1">
      <alignment horizontal="left" vertical="center"/>
      <protection locked="0"/>
    </xf>
    <xf numFmtId="0" fontId="5" fillId="31" borderId="71" xfId="105" applyFont="1" applyFill="1" applyBorder="1" applyAlignment="1" applyProtection="1">
      <alignment horizontal="left" vertical="center"/>
      <protection locked="0"/>
    </xf>
    <xf numFmtId="0" fontId="5" fillId="0" borderId="23" xfId="1" applyFont="1" applyBorder="1" applyAlignment="1" applyProtection="1">
      <alignment horizontal="center" vertical="center"/>
    </xf>
    <xf numFmtId="0" fontId="5" fillId="0" borderId="42" xfId="1" applyFont="1" applyBorder="1" applyAlignment="1" applyProtection="1">
      <alignment horizontal="center" vertical="center"/>
    </xf>
    <xf numFmtId="0" fontId="5" fillId="0" borderId="0" xfId="1" applyFont="1" applyAlignment="1">
      <alignment horizontal="right"/>
    </xf>
    <xf numFmtId="0" fontId="19" fillId="31" borderId="0" xfId="1" applyFont="1" applyFill="1" applyBorder="1" applyAlignment="1" applyProtection="1">
      <alignment horizontal="right" vertical="top"/>
      <protection locked="0"/>
    </xf>
    <xf numFmtId="0" fontId="5" fillId="0" borderId="0" xfId="1" applyFont="1" applyAlignment="1">
      <alignment horizontal="left" vertical="center"/>
    </xf>
    <xf numFmtId="0" fontId="10" fillId="0" borderId="0" xfId="1" applyFont="1" applyBorder="1" applyAlignment="1" applyProtection="1">
      <alignment horizontal="center" vertical="top" wrapText="1"/>
    </xf>
    <xf numFmtId="0" fontId="154" fillId="4" borderId="0" xfId="1" applyNumberFormat="1" applyFont="1" applyFill="1" applyBorder="1" applyAlignment="1" applyProtection="1">
      <alignment horizontal="left" vertical="center" wrapText="1" readingOrder="1"/>
    </xf>
    <xf numFmtId="0" fontId="7" fillId="37" borderId="0" xfId="105" applyFont="1" applyFill="1" applyBorder="1" applyAlignment="1" applyProtection="1">
      <alignment horizontal="center" vertical="center"/>
      <protection locked="0"/>
    </xf>
    <xf numFmtId="0" fontId="7" fillId="37" borderId="72" xfId="105" applyFont="1" applyFill="1" applyBorder="1" applyAlignment="1" applyProtection="1">
      <alignment horizontal="center" vertical="center"/>
      <protection locked="0"/>
    </xf>
    <xf numFmtId="0" fontId="5" fillId="0" borderId="0" xfId="1" applyAlignment="1">
      <alignment horizontal="right"/>
    </xf>
    <xf numFmtId="0" fontId="7" fillId="37" borderId="261" xfId="105" applyFont="1" applyFill="1" applyBorder="1" applyAlignment="1" applyProtection="1">
      <alignment horizontal="left" vertical="center" wrapText="1"/>
      <protection locked="0"/>
    </xf>
    <xf numFmtId="0" fontId="7" fillId="37" borderId="110" xfId="105" applyFont="1" applyFill="1" applyBorder="1" applyAlignment="1" applyProtection="1">
      <alignment horizontal="left" vertical="center" wrapText="1"/>
      <protection locked="0"/>
    </xf>
    <xf numFmtId="0" fontId="10" fillId="33" borderId="43" xfId="0" applyFont="1" applyFill="1" applyBorder="1" applyAlignment="1" applyProtection="1">
      <alignment horizontal="left" vertical="center"/>
    </xf>
    <xf numFmtId="0" fontId="0" fillId="0" borderId="23" xfId="0" applyBorder="1" applyAlignment="1" applyProtection="1">
      <alignment horizontal="left" vertical="center"/>
    </xf>
    <xf numFmtId="0" fontId="0" fillId="0" borderId="42" xfId="0" applyBorder="1" applyAlignment="1" applyProtection="1">
      <alignment horizontal="left" vertical="center"/>
    </xf>
    <xf numFmtId="0" fontId="10" fillId="33" borderId="40" xfId="1" applyFont="1" applyFill="1" applyBorder="1" applyAlignment="1" applyProtection="1">
      <alignment horizontal="left" vertical="center"/>
    </xf>
    <xf numFmtId="0" fontId="5" fillId="0" borderId="0" xfId="1" applyAlignment="1" applyProtection="1">
      <alignment horizontal="left" vertical="center"/>
    </xf>
    <xf numFmtId="0" fontId="5" fillId="0" borderId="19" xfId="1" applyBorder="1" applyAlignment="1" applyProtection="1">
      <alignment horizontal="left" vertical="center"/>
    </xf>
    <xf numFmtId="0" fontId="7" fillId="31" borderId="103" xfId="105" applyFont="1" applyFill="1" applyBorder="1" applyAlignment="1" applyProtection="1">
      <alignment horizontal="left" vertical="center"/>
      <protection locked="0"/>
    </xf>
    <xf numFmtId="0" fontId="7" fillId="31" borderId="160" xfId="105" applyFont="1" applyFill="1" applyBorder="1" applyAlignment="1" applyProtection="1">
      <alignment horizontal="left" vertical="center"/>
      <protection locked="0"/>
    </xf>
    <xf numFmtId="0" fontId="7" fillId="37" borderId="261" xfId="105" applyFont="1" applyFill="1" applyBorder="1" applyAlignment="1" applyProtection="1">
      <alignment horizontal="left" vertical="center"/>
      <protection locked="0"/>
    </xf>
    <xf numFmtId="0" fontId="7" fillId="37" borderId="110" xfId="105" applyFont="1" applyFill="1" applyBorder="1" applyAlignment="1" applyProtection="1">
      <alignment horizontal="left" vertical="center"/>
      <protection locked="0"/>
    </xf>
    <xf numFmtId="0" fontId="7" fillId="31" borderId="71" xfId="1" applyFont="1" applyFill="1" applyBorder="1" applyAlignment="1" applyProtection="1">
      <alignment horizontal="left" vertical="center"/>
      <protection locked="0"/>
    </xf>
    <xf numFmtId="0" fontId="7" fillId="0" borderId="261" xfId="105" applyFont="1" applyFill="1" applyBorder="1" applyAlignment="1" applyProtection="1">
      <alignment horizontal="left" vertical="center" wrapText="1"/>
      <protection locked="0"/>
    </xf>
    <xf numFmtId="0" fontId="7" fillId="0" borderId="110" xfId="105" applyFont="1" applyFill="1" applyBorder="1" applyAlignment="1" applyProtection="1">
      <alignment horizontal="left" vertical="center" wrapText="1"/>
      <protection locked="0"/>
    </xf>
    <xf numFmtId="0" fontId="14" fillId="31" borderId="0" xfId="1" applyFont="1" applyFill="1" applyAlignment="1" applyProtection="1">
      <alignment horizontal="left" vertical="center"/>
      <protection locked="0"/>
    </xf>
    <xf numFmtId="0" fontId="5" fillId="0" borderId="0" xfId="1" applyAlignment="1" applyProtection="1">
      <alignment horizontal="left" vertical="center"/>
      <protection locked="0"/>
    </xf>
    <xf numFmtId="0" fontId="14" fillId="0" borderId="0" xfId="1" applyFont="1" applyFill="1" applyAlignment="1" applyProtection="1">
      <alignment horizontal="right" vertical="center"/>
    </xf>
    <xf numFmtId="0" fontId="5" fillId="0" borderId="0" xfId="1" applyAlignment="1" applyProtection="1">
      <alignment horizontal="right"/>
    </xf>
    <xf numFmtId="0" fontId="14" fillId="31" borderId="0" xfId="1" applyFont="1" applyFill="1" applyAlignment="1" applyProtection="1">
      <alignment vertical="center"/>
    </xf>
    <xf numFmtId="0" fontId="7" fillId="33" borderId="0" xfId="105" applyFont="1" applyFill="1" applyBorder="1" applyAlignment="1" applyProtection="1">
      <alignment vertical="center"/>
      <protection locked="0"/>
    </xf>
    <xf numFmtId="0" fontId="7" fillId="33" borderId="72" xfId="105" applyFont="1" applyFill="1" applyBorder="1" applyAlignment="1" applyProtection="1">
      <alignment vertical="center"/>
      <protection locked="0"/>
    </xf>
    <xf numFmtId="0" fontId="7" fillId="37" borderId="90" xfId="105" applyFont="1" applyFill="1" applyBorder="1" applyAlignment="1" applyProtection="1">
      <alignment vertical="center"/>
      <protection locked="0"/>
    </xf>
    <xf numFmtId="0" fontId="7" fillId="37" borderId="119" xfId="105" applyFont="1" applyFill="1" applyBorder="1" applyAlignment="1" applyProtection="1">
      <alignment vertical="center"/>
      <protection locked="0"/>
    </xf>
    <xf numFmtId="0" fontId="7" fillId="37" borderId="0" xfId="105" applyFont="1" applyFill="1" applyBorder="1" applyAlignment="1" applyProtection="1">
      <alignment vertical="center"/>
      <protection locked="0"/>
    </xf>
    <xf numFmtId="0" fontId="7" fillId="37" borderId="72" xfId="105" applyFont="1" applyFill="1" applyBorder="1" applyAlignment="1" applyProtection="1">
      <alignment vertical="center"/>
      <protection locked="0"/>
    </xf>
    <xf numFmtId="0" fontId="10" fillId="31" borderId="0" xfId="1" applyFont="1" applyFill="1" applyAlignment="1" applyProtection="1">
      <alignment horizontal="center" vertical="center"/>
      <protection locked="0"/>
    </xf>
    <xf numFmtId="0" fontId="10" fillId="31" borderId="0" xfId="1" applyFont="1" applyFill="1" applyAlignment="1" applyProtection="1">
      <alignment vertical="center" wrapText="1"/>
      <protection locked="0"/>
    </xf>
    <xf numFmtId="209" fontId="125" fillId="0" borderId="0" xfId="1" applyNumberFormat="1" applyFont="1" applyAlignment="1" applyProtection="1">
      <alignment horizontal="center" vertical="top"/>
    </xf>
    <xf numFmtId="209" fontId="150" fillId="0" borderId="0" xfId="1" applyNumberFormat="1" applyFont="1" applyAlignment="1" applyProtection="1">
      <alignment horizontal="right" vertical="top"/>
    </xf>
    <xf numFmtId="0" fontId="10" fillId="33" borderId="40" xfId="0" applyFont="1" applyFill="1" applyBorder="1" applyAlignment="1" applyProtection="1">
      <alignment horizontal="left" vertical="center"/>
    </xf>
    <xf numFmtId="0" fontId="0" fillId="0" borderId="0" xfId="0" applyAlignment="1" applyProtection="1">
      <alignment horizontal="left" vertical="center"/>
    </xf>
    <xf numFmtId="0" fontId="0" fillId="0" borderId="19" xfId="0" applyBorder="1" applyAlignment="1" applyProtection="1">
      <alignment horizontal="left" vertical="center"/>
    </xf>
    <xf numFmtId="0" fontId="149" fillId="32" borderId="0" xfId="105" applyFont="1" applyFill="1" applyBorder="1" applyAlignment="1" applyProtection="1">
      <alignment horizontal="left" vertical="center"/>
      <protection locked="0"/>
    </xf>
    <xf numFmtId="0" fontId="149" fillId="32" borderId="72" xfId="105" applyFont="1" applyFill="1" applyBorder="1" applyAlignment="1" applyProtection="1">
      <alignment horizontal="left" vertical="center"/>
      <protection locked="0"/>
    </xf>
    <xf numFmtId="0" fontId="149" fillId="31" borderId="2" xfId="1" applyFont="1" applyFill="1" applyBorder="1" applyAlignment="1" applyProtection="1">
      <alignment horizontal="left" vertical="center"/>
      <protection locked="0"/>
    </xf>
    <xf numFmtId="0" fontId="149" fillId="32" borderId="0" xfId="1" applyFont="1" applyFill="1" applyBorder="1" applyAlignment="1" applyProtection="1">
      <alignment horizontal="left" vertical="center"/>
      <protection locked="0"/>
    </xf>
    <xf numFmtId="0" fontId="149" fillId="32" borderId="72" xfId="1" applyFont="1" applyFill="1" applyBorder="1" applyAlignment="1" applyProtection="1">
      <alignment horizontal="left" vertical="center"/>
      <protection locked="0"/>
    </xf>
    <xf numFmtId="0" fontId="149" fillId="0" borderId="2" xfId="105" applyFont="1" applyFill="1" applyBorder="1" applyAlignment="1" applyProtection="1">
      <alignment horizontal="left" vertical="center"/>
      <protection locked="0"/>
    </xf>
    <xf numFmtId="0" fontId="149" fillId="0" borderId="2" xfId="1" applyFont="1" applyFill="1" applyBorder="1" applyAlignment="1" applyProtection="1">
      <alignment horizontal="left" vertical="center"/>
      <protection locked="0"/>
    </xf>
    <xf numFmtId="2" fontId="149" fillId="32" borderId="0" xfId="105" applyNumberFormat="1" applyFont="1" applyFill="1" applyBorder="1" applyAlignment="1" applyProtection="1">
      <alignment horizontal="left" vertical="center"/>
      <protection locked="0"/>
    </xf>
    <xf numFmtId="2" fontId="149" fillId="32" borderId="72" xfId="105" applyNumberFormat="1" applyFont="1" applyFill="1" applyBorder="1" applyAlignment="1" applyProtection="1">
      <alignment horizontal="left" vertical="center"/>
      <protection locked="0"/>
    </xf>
    <xf numFmtId="2" fontId="149" fillId="32" borderId="103" xfId="105" applyNumberFormat="1" applyFont="1" applyFill="1" applyBorder="1" applyAlignment="1" applyProtection="1">
      <alignment horizontal="left" vertical="center"/>
      <protection locked="0"/>
    </xf>
    <xf numFmtId="2" fontId="149" fillId="32" borderId="160" xfId="105" applyNumberFormat="1" applyFont="1" applyFill="1" applyBorder="1" applyAlignment="1" applyProtection="1">
      <alignment horizontal="left" vertical="center"/>
      <protection locked="0"/>
    </xf>
    <xf numFmtId="2" fontId="149" fillId="32" borderId="2" xfId="105" applyNumberFormat="1" applyFont="1" applyFill="1" applyBorder="1" applyAlignment="1" applyProtection="1">
      <alignment horizontal="left" vertical="center"/>
      <protection locked="0"/>
    </xf>
    <xf numFmtId="2" fontId="149" fillId="32" borderId="71" xfId="105" applyNumberFormat="1" applyFont="1" applyFill="1" applyBorder="1" applyAlignment="1" applyProtection="1">
      <alignment horizontal="left" vertical="center"/>
      <protection locked="0"/>
    </xf>
    <xf numFmtId="0" fontId="149" fillId="32" borderId="103" xfId="105" applyFont="1" applyFill="1" applyBorder="1" applyAlignment="1" applyProtection="1">
      <alignment horizontal="left" vertical="center"/>
      <protection locked="0"/>
    </xf>
    <xf numFmtId="0" fontId="149" fillId="32" borderId="160" xfId="105" applyFont="1" applyFill="1" applyBorder="1" applyAlignment="1" applyProtection="1">
      <alignment horizontal="left" vertical="center"/>
      <protection locked="0"/>
    </xf>
    <xf numFmtId="0" fontId="10" fillId="0" borderId="32" xfId="1" applyFont="1" applyBorder="1" applyAlignment="1" applyProtection="1">
      <alignment horizontal="center" vertical="center" wrapText="1"/>
    </xf>
    <xf numFmtId="0" fontId="5" fillId="0" borderId="32" xfId="1" applyBorder="1" applyAlignment="1" applyProtection="1">
      <alignment horizontal="center" vertical="center" wrapText="1"/>
    </xf>
    <xf numFmtId="0" fontId="149" fillId="31" borderId="0" xfId="105" applyFont="1" applyFill="1" applyBorder="1" applyAlignment="1" applyProtection="1">
      <alignment horizontal="left" vertical="center"/>
      <protection locked="0"/>
    </xf>
    <xf numFmtId="0" fontId="14" fillId="0" borderId="164" xfId="105" applyFont="1" applyBorder="1" applyAlignment="1" applyProtection="1">
      <alignment horizontal="left" vertical="center" wrapText="1"/>
    </xf>
    <xf numFmtId="0" fontId="14" fillId="0" borderId="185" xfId="105" applyFont="1" applyBorder="1" applyAlignment="1" applyProtection="1">
      <alignment horizontal="left" vertical="center" wrapText="1"/>
    </xf>
    <xf numFmtId="0" fontId="149" fillId="32" borderId="2" xfId="1" applyFont="1" applyFill="1" applyBorder="1" applyAlignment="1" applyProtection="1">
      <alignment horizontal="left" vertical="center"/>
      <protection locked="0"/>
    </xf>
    <xf numFmtId="0" fontId="7" fillId="31" borderId="57" xfId="1" applyFont="1" applyFill="1" applyBorder="1" applyAlignment="1" applyProtection="1">
      <alignment horizontal="left" vertical="center"/>
      <protection locked="0"/>
    </xf>
    <xf numFmtId="0" fontId="7" fillId="31" borderId="58" xfId="1" applyFont="1" applyFill="1" applyBorder="1" applyAlignment="1" applyProtection="1">
      <alignment horizontal="left" vertical="center"/>
      <protection locked="0"/>
    </xf>
    <xf numFmtId="1" fontId="44" fillId="4" borderId="74" xfId="1" applyNumberFormat="1" applyFont="1" applyFill="1" applyBorder="1" applyAlignment="1" applyProtection="1">
      <alignment horizontal="center" vertical="center"/>
    </xf>
    <xf numFmtId="1" fontId="44" fillId="4" borderId="75" xfId="1" applyNumberFormat="1" applyFont="1" applyFill="1" applyBorder="1" applyAlignment="1" applyProtection="1">
      <alignment horizontal="center" vertical="center"/>
    </xf>
    <xf numFmtId="1" fontId="44" fillId="27" borderId="74" xfId="1" applyNumberFormat="1" applyFont="1" applyFill="1" applyBorder="1" applyAlignment="1" applyProtection="1">
      <alignment horizontal="center" vertical="center"/>
    </xf>
    <xf numFmtId="1" fontId="44" fillId="27" borderId="75" xfId="1" applyNumberFormat="1" applyFont="1" applyFill="1" applyBorder="1" applyAlignment="1" applyProtection="1">
      <alignment horizontal="center" vertical="center"/>
    </xf>
    <xf numFmtId="0" fontId="113" fillId="31" borderId="2" xfId="1" applyFont="1" applyFill="1" applyBorder="1" applyAlignment="1" applyProtection="1">
      <alignment horizontal="left" vertical="center"/>
      <protection locked="0"/>
    </xf>
    <xf numFmtId="0" fontId="113" fillId="31" borderId="71" xfId="1" applyFont="1" applyFill="1" applyBorder="1" applyAlignment="1" applyProtection="1">
      <alignment horizontal="left" vertical="center"/>
      <protection locked="0"/>
    </xf>
    <xf numFmtId="1" fontId="121" fillId="4" borderId="74" xfId="1" applyNumberFormat="1" applyFont="1" applyFill="1" applyBorder="1" applyAlignment="1" applyProtection="1">
      <alignment horizontal="center" vertical="center"/>
    </xf>
    <xf numFmtId="1" fontId="121" fillId="4" borderId="75" xfId="1" applyNumberFormat="1" applyFont="1" applyFill="1" applyBorder="1" applyAlignment="1" applyProtection="1">
      <alignment horizontal="center" vertical="center"/>
    </xf>
    <xf numFmtId="1" fontId="100" fillId="27" borderId="74" xfId="1" applyNumberFormat="1" applyFont="1" applyFill="1" applyBorder="1" applyAlignment="1" applyProtection="1">
      <alignment horizontal="center" vertical="center"/>
    </xf>
    <xf numFmtId="1" fontId="100" fillId="27" borderId="75" xfId="1" applyNumberFormat="1" applyFont="1" applyFill="1" applyBorder="1" applyAlignment="1" applyProtection="1">
      <alignment horizontal="center" vertical="center"/>
    </xf>
    <xf numFmtId="1" fontId="100" fillId="4" borderId="74" xfId="1" applyNumberFormat="1" applyFont="1" applyFill="1" applyBorder="1" applyAlignment="1" applyProtection="1">
      <alignment horizontal="center" vertical="center"/>
    </xf>
    <xf numFmtId="1" fontId="100" fillId="4" borderId="75" xfId="1" applyNumberFormat="1" applyFont="1" applyFill="1" applyBorder="1" applyAlignment="1" applyProtection="1">
      <alignment horizontal="center" vertical="center"/>
    </xf>
    <xf numFmtId="0" fontId="149" fillId="0" borderId="2" xfId="105" applyFont="1" applyFill="1" applyBorder="1" applyAlignment="1" applyProtection="1">
      <alignment horizontal="left" vertical="center" wrapText="1"/>
      <protection locked="0"/>
    </xf>
    <xf numFmtId="0" fontId="149" fillId="0" borderId="71" xfId="105" applyFont="1" applyFill="1" applyBorder="1" applyAlignment="1" applyProtection="1">
      <alignment horizontal="left" vertical="center" wrapText="1"/>
      <protection locked="0"/>
    </xf>
    <xf numFmtId="0" fontId="104" fillId="31" borderId="0" xfId="1" applyFont="1" applyFill="1" applyBorder="1" applyAlignment="1" applyProtection="1">
      <alignment horizontal="right" vertical="top"/>
      <protection locked="0"/>
    </xf>
  </cellXfs>
  <cellStyles count="182">
    <cellStyle name="20% - Akzent1" xfId="3" xr:uid="{00000000-0005-0000-0000-000000000000}"/>
    <cellStyle name="20% - Akzent2" xfId="4" xr:uid="{00000000-0005-0000-0000-000001000000}"/>
    <cellStyle name="20% - Akzent3" xfId="5" xr:uid="{00000000-0005-0000-0000-000002000000}"/>
    <cellStyle name="20% - Akzent4" xfId="6" xr:uid="{00000000-0005-0000-0000-000003000000}"/>
    <cellStyle name="20% - Akzent5" xfId="7" xr:uid="{00000000-0005-0000-0000-000004000000}"/>
    <cellStyle name="20% - Akzent6" xfId="8" xr:uid="{00000000-0005-0000-0000-000005000000}"/>
    <cellStyle name="40% - Akzent1" xfId="9" xr:uid="{00000000-0005-0000-0000-000006000000}"/>
    <cellStyle name="40% - Akzent2" xfId="10" xr:uid="{00000000-0005-0000-0000-000007000000}"/>
    <cellStyle name="40% - Akzent3" xfId="11" xr:uid="{00000000-0005-0000-0000-000008000000}"/>
    <cellStyle name="40% - Akzent4" xfId="12" xr:uid="{00000000-0005-0000-0000-000009000000}"/>
    <cellStyle name="40% - Akzent5" xfId="13" xr:uid="{00000000-0005-0000-0000-00000A000000}"/>
    <cellStyle name="40% - Akzent6" xfId="14" xr:uid="{00000000-0005-0000-0000-00000B000000}"/>
    <cellStyle name="60% - Akzent1" xfId="15" xr:uid="{00000000-0005-0000-0000-00000C000000}"/>
    <cellStyle name="60% - Akzent2" xfId="16" xr:uid="{00000000-0005-0000-0000-00000D000000}"/>
    <cellStyle name="60% - Akzent3" xfId="17" xr:uid="{00000000-0005-0000-0000-00000E000000}"/>
    <cellStyle name="60% - Akzent4" xfId="18" xr:uid="{00000000-0005-0000-0000-00000F000000}"/>
    <cellStyle name="60% - Akzent5" xfId="19" xr:uid="{00000000-0005-0000-0000-000010000000}"/>
    <cellStyle name="60% - Akzent6" xfId="20" xr:uid="{00000000-0005-0000-0000-000011000000}"/>
    <cellStyle name="Akzent1 2" xfId="21" xr:uid="{00000000-0005-0000-0000-000012000000}"/>
    <cellStyle name="Akzent2 2" xfId="22" xr:uid="{00000000-0005-0000-0000-000013000000}"/>
    <cellStyle name="Akzent3 2" xfId="23" xr:uid="{00000000-0005-0000-0000-000014000000}"/>
    <cellStyle name="Akzent4 2" xfId="24" xr:uid="{00000000-0005-0000-0000-000015000000}"/>
    <cellStyle name="Akzent5 2" xfId="25" xr:uid="{00000000-0005-0000-0000-000016000000}"/>
    <cellStyle name="Akzent6 2" xfId="26" xr:uid="{00000000-0005-0000-0000-000017000000}"/>
    <cellStyle name="Ausgabe 2" xfId="27" xr:uid="{00000000-0005-0000-0000-000018000000}"/>
    <cellStyle name="Ausgabe 3" xfId="122" xr:uid="{00000000-0005-0000-0000-000019000000}"/>
    <cellStyle name="Berechnung 2" xfId="28" xr:uid="{00000000-0005-0000-0000-00001A000000}"/>
    <cellStyle name="Berechnung 3" xfId="130" xr:uid="{00000000-0005-0000-0000-00001B000000}"/>
    <cellStyle name="blau" xfId="123" xr:uid="{00000000-0005-0000-0000-00001C000000}"/>
    <cellStyle name="Dezimal (2)" xfId="29" xr:uid="{00000000-0005-0000-0000-00001D000000}"/>
    <cellStyle name="Dezimal (2) 2" xfId="146" xr:uid="{00000000-0005-0000-0000-00001E000000}"/>
    <cellStyle name="Dezimal [1]" xfId="30" xr:uid="{00000000-0005-0000-0000-00001F000000}"/>
    <cellStyle name="Dezimal [1] 2" xfId="31" xr:uid="{00000000-0005-0000-0000-000020000000}"/>
    <cellStyle name="Dezimal [1] 2 2" xfId="32" xr:uid="{00000000-0005-0000-0000-000021000000}"/>
    <cellStyle name="Dezimal [1] 2 2 2" xfId="149" xr:uid="{00000000-0005-0000-0000-000022000000}"/>
    <cellStyle name="Dezimal [1] 2 3" xfId="148" xr:uid="{00000000-0005-0000-0000-000023000000}"/>
    <cellStyle name="Dezimal [1] 3" xfId="33" xr:uid="{00000000-0005-0000-0000-000024000000}"/>
    <cellStyle name="Dezimal [1] 3 2" xfId="150" xr:uid="{00000000-0005-0000-0000-000025000000}"/>
    <cellStyle name="Dezimal [1] 4" xfId="147" xr:uid="{00000000-0005-0000-0000-000026000000}"/>
    <cellStyle name="Eingabe 2" xfId="34" xr:uid="{00000000-0005-0000-0000-000027000000}"/>
    <cellStyle name="Eingabe2kommastelle" xfId="35" xr:uid="{00000000-0005-0000-0000-000028000000}"/>
    <cellStyle name="Eingabe2kommastelle 2" xfId="151" xr:uid="{00000000-0005-0000-0000-000029000000}"/>
    <cellStyle name="Ergebnis 2" xfId="36" xr:uid="{00000000-0005-0000-0000-00002A000000}"/>
    <cellStyle name="Erklärender Text 2" xfId="37" xr:uid="{00000000-0005-0000-0000-00002B000000}"/>
    <cellStyle name="Euro" xfId="38" xr:uid="{00000000-0005-0000-0000-00002C000000}"/>
    <cellStyle name="Euro 2" xfId="39" xr:uid="{00000000-0005-0000-0000-00002D000000}"/>
    <cellStyle name="Euro 2 2" xfId="40" xr:uid="{00000000-0005-0000-0000-00002E000000}"/>
    <cellStyle name="Euro 2 2 2" xfId="153" xr:uid="{00000000-0005-0000-0000-00002F000000}"/>
    <cellStyle name="Euro 2 3" xfId="152" xr:uid="{00000000-0005-0000-0000-000030000000}"/>
    <cellStyle name="Euro 3" xfId="41" xr:uid="{00000000-0005-0000-0000-000031000000}"/>
    <cellStyle name="Euro 3 2" xfId="154" xr:uid="{00000000-0005-0000-0000-000032000000}"/>
    <cellStyle name="Euro 4" xfId="42" xr:uid="{00000000-0005-0000-0000-000033000000}"/>
    <cellStyle name="Euro 4 2" xfId="155" xr:uid="{00000000-0005-0000-0000-000034000000}"/>
    <cellStyle name="Euro 5" xfId="140" xr:uid="{00000000-0005-0000-0000-000035000000}"/>
    <cellStyle name="Euro_Tabak_Kalkulation 2010 Auflagen 15_55_71_72_101116" xfId="43" xr:uid="{00000000-0005-0000-0000-000036000000}"/>
    <cellStyle name="europrom3" xfId="44" xr:uid="{00000000-0005-0000-0000-000037000000}"/>
    <cellStyle name="Gut 2" xfId="45" xr:uid="{00000000-0005-0000-0000-000038000000}"/>
    <cellStyle name="Hyperlink 2" xfId="46" xr:uid="{00000000-0005-0000-0000-000039000000}"/>
    <cellStyle name="Hyperlink 2 2" xfId="145" xr:uid="{00000000-0005-0000-0000-00003A000000}"/>
    <cellStyle name="Hyperlink 3" xfId="47" xr:uid="{00000000-0005-0000-0000-00003B000000}"/>
    <cellStyle name="Komma 2" xfId="48" xr:uid="{00000000-0005-0000-0000-00003C000000}"/>
    <cellStyle name="Komma 2 2" xfId="156" xr:uid="{00000000-0005-0000-0000-00003D000000}"/>
    <cellStyle name="Komma 3" xfId="49" xr:uid="{00000000-0005-0000-0000-00003E000000}"/>
    <cellStyle name="Komma 3 2" xfId="50" xr:uid="{00000000-0005-0000-0000-00003F000000}"/>
    <cellStyle name="Komma 4" xfId="142" xr:uid="{00000000-0005-0000-0000-000040000000}"/>
    <cellStyle name="Link" xfId="2" builtinId="8"/>
    <cellStyle name="Link 2" xfId="141" xr:uid="{00000000-0005-0000-0000-000042000000}"/>
    <cellStyle name="M_w_Z+%2_Sz_AS10_R_G" xfId="51" xr:uid="{00000000-0005-0000-0000-000043000000}"/>
    <cellStyle name="M_w_Z+%2_Sz_AS10_R_G 2" xfId="157" xr:uid="{00000000-0005-0000-0000-000044000000}"/>
    <cellStyle name="M_w_Z+2nr_Sz_AS10_R_G" xfId="52" xr:uid="{00000000-0005-0000-0000-000045000000}"/>
    <cellStyle name="M_w_Z+2nr_Sz_AS10_R_G 2" xfId="158" xr:uid="{00000000-0005-0000-0000-000046000000}"/>
    <cellStyle name="matrix_allgem" xfId="53" xr:uid="{00000000-0005-0000-0000-000047000000}"/>
    <cellStyle name="Matrix1" xfId="54" xr:uid="{00000000-0005-0000-0000-000048000000}"/>
    <cellStyle name="Matrix1 2" xfId="143" xr:uid="{00000000-0005-0000-0000-000049000000}"/>
    <cellStyle name="MatrixNr" xfId="55" xr:uid="{00000000-0005-0000-0000-00004A000000}"/>
    <cellStyle name="Neutral 2" xfId="56" xr:uid="{00000000-0005-0000-0000-00004B000000}"/>
    <cellStyle name="Notiz 2" xfId="57" xr:uid="{00000000-0005-0000-0000-00004C000000}"/>
    <cellStyle name="Notiz 2 2" xfId="58" xr:uid="{00000000-0005-0000-0000-00004D000000}"/>
    <cellStyle name="Notiz 2 2 2" xfId="160" xr:uid="{00000000-0005-0000-0000-00004E000000}"/>
    <cellStyle name="Notiz 2 3" xfId="159" xr:uid="{00000000-0005-0000-0000-00004F000000}"/>
    <cellStyle name="Notiz 3" xfId="59" xr:uid="{00000000-0005-0000-0000-000050000000}"/>
    <cellStyle name="Notiz 3 2" xfId="161" xr:uid="{00000000-0005-0000-0000-000051000000}"/>
    <cellStyle name="Notiz 4" xfId="60" xr:uid="{00000000-0005-0000-0000-000052000000}"/>
    <cellStyle name="Notiz 4 2" xfId="162" xr:uid="{00000000-0005-0000-0000-000053000000}"/>
    <cellStyle name="Prozent 2" xfId="61" xr:uid="{00000000-0005-0000-0000-000054000000}"/>
    <cellStyle name="Prozent 2 2" xfId="135" xr:uid="{00000000-0005-0000-0000-000055000000}"/>
    <cellStyle name="Prozent 3" xfId="62" xr:uid="{00000000-0005-0000-0000-000056000000}"/>
    <cellStyle name="Prozent 3 2" xfId="163" xr:uid="{00000000-0005-0000-0000-000057000000}"/>
    <cellStyle name="Prozent 4" xfId="63" xr:uid="{00000000-0005-0000-0000-000058000000}"/>
    <cellStyle name="Prozent 4 2" xfId="64" xr:uid="{00000000-0005-0000-0000-000059000000}"/>
    <cellStyle name="Prozent 5" xfId="131" xr:uid="{00000000-0005-0000-0000-00005A000000}"/>
    <cellStyle name="Schlecht 2" xfId="65" xr:uid="{00000000-0005-0000-0000-00005B000000}"/>
    <cellStyle name="Spaltenüberschrift" xfId="66" xr:uid="{00000000-0005-0000-0000-00005C000000}"/>
    <cellStyle name="Standard" xfId="0" builtinId="0"/>
    <cellStyle name="Standard 10" xfId="178" xr:uid="{00000000-0005-0000-0000-00005E000000}"/>
    <cellStyle name="Standard 11" xfId="179" xr:uid="{00000000-0005-0000-0000-00005F000000}"/>
    <cellStyle name="Standard 12" xfId="180" xr:uid="{00000000-0005-0000-0000-000060000000}"/>
    <cellStyle name="Standard 2" xfId="1" xr:uid="{00000000-0005-0000-0000-000061000000}"/>
    <cellStyle name="Standard 2 2" xfId="67" xr:uid="{00000000-0005-0000-0000-000062000000}"/>
    <cellStyle name="Standard 2 2 2" xfId="164" xr:uid="{00000000-0005-0000-0000-000063000000}"/>
    <cellStyle name="Standard 2 3" xfId="68" xr:uid="{00000000-0005-0000-0000-000064000000}"/>
    <cellStyle name="Standard 2 3 2" xfId="181" xr:uid="{00000000-0005-0000-0000-000065000000}"/>
    <cellStyle name="Standard 2 4" xfId="69" xr:uid="{00000000-0005-0000-0000-000066000000}"/>
    <cellStyle name="Standard 3" xfId="70" xr:uid="{00000000-0005-0000-0000-000067000000}"/>
    <cellStyle name="Standard 3 2" xfId="136" xr:uid="{00000000-0005-0000-0000-000068000000}"/>
    <cellStyle name="Standard 3 3" xfId="144" xr:uid="{00000000-0005-0000-0000-000069000000}"/>
    <cellStyle name="Standard 4" xfId="71" xr:uid="{00000000-0005-0000-0000-00006A000000}"/>
    <cellStyle name="Standard 4 2" xfId="72" xr:uid="{00000000-0005-0000-0000-00006B000000}"/>
    <cellStyle name="Standard 4 2 2" xfId="73" xr:uid="{00000000-0005-0000-0000-00006C000000}"/>
    <cellStyle name="Standard 4 2 2 2" xfId="74" xr:uid="{00000000-0005-0000-0000-00006D000000}"/>
    <cellStyle name="Standard 4 2 2 2 2" xfId="75" xr:uid="{00000000-0005-0000-0000-00006E000000}"/>
    <cellStyle name="Standard 4 2 2 3" xfId="76" xr:uid="{00000000-0005-0000-0000-00006F000000}"/>
    <cellStyle name="Standard 4 2 2 4" xfId="77" xr:uid="{00000000-0005-0000-0000-000070000000}"/>
    <cellStyle name="Standard 4 2 2 5" xfId="78" xr:uid="{00000000-0005-0000-0000-000071000000}"/>
    <cellStyle name="Standard 4 2 3" xfId="79" xr:uid="{00000000-0005-0000-0000-000072000000}"/>
    <cellStyle name="Standard 4 2 3 2" xfId="80" xr:uid="{00000000-0005-0000-0000-000073000000}"/>
    <cellStyle name="Standard 4 2 4" xfId="81" xr:uid="{00000000-0005-0000-0000-000074000000}"/>
    <cellStyle name="Standard 4 2 5" xfId="82" xr:uid="{00000000-0005-0000-0000-000075000000}"/>
    <cellStyle name="Standard 4 2 6" xfId="83" xr:uid="{00000000-0005-0000-0000-000076000000}"/>
    <cellStyle name="Standard 4 3" xfId="84" xr:uid="{00000000-0005-0000-0000-000077000000}"/>
    <cellStyle name="Standard 4 3 2" xfId="85" xr:uid="{00000000-0005-0000-0000-000078000000}"/>
    <cellStyle name="Standard 4 3 2 2" xfId="86" xr:uid="{00000000-0005-0000-0000-000079000000}"/>
    <cellStyle name="Standard 4 3 3" xfId="87" xr:uid="{00000000-0005-0000-0000-00007A000000}"/>
    <cellStyle name="Standard 4 3 4" xfId="88" xr:uid="{00000000-0005-0000-0000-00007B000000}"/>
    <cellStyle name="Standard 4 3 5" xfId="89" xr:uid="{00000000-0005-0000-0000-00007C000000}"/>
    <cellStyle name="Standard 4 4" xfId="90" xr:uid="{00000000-0005-0000-0000-00007D000000}"/>
    <cellStyle name="Standard 4 4 2" xfId="91" xr:uid="{00000000-0005-0000-0000-00007E000000}"/>
    <cellStyle name="Standard 4 5" xfId="92" xr:uid="{00000000-0005-0000-0000-00007F000000}"/>
    <cellStyle name="Standard 4 6" xfId="93" xr:uid="{00000000-0005-0000-0000-000080000000}"/>
    <cellStyle name="Standard 4 7" xfId="94" xr:uid="{00000000-0005-0000-0000-000081000000}"/>
    <cellStyle name="Standard 5" xfId="95" xr:uid="{00000000-0005-0000-0000-000082000000}"/>
    <cellStyle name="Standard 5 2" xfId="96" xr:uid="{00000000-0005-0000-0000-000083000000}"/>
    <cellStyle name="Standard 5 2 2" xfId="97" xr:uid="{00000000-0005-0000-0000-000084000000}"/>
    <cellStyle name="Standard 5 3" xfId="98" xr:uid="{00000000-0005-0000-0000-000085000000}"/>
    <cellStyle name="Standard 5 4" xfId="99" xr:uid="{00000000-0005-0000-0000-000086000000}"/>
    <cellStyle name="Standard 5 5" xfId="100" xr:uid="{00000000-0005-0000-0000-000087000000}"/>
    <cellStyle name="Standard 5 5 2" xfId="165" xr:uid="{00000000-0005-0000-0000-000088000000}"/>
    <cellStyle name="Standard 5 6" xfId="101" xr:uid="{00000000-0005-0000-0000-000089000000}"/>
    <cellStyle name="Standard 5 7" xfId="133" xr:uid="{00000000-0005-0000-0000-00008A000000}"/>
    <cellStyle name="Standard 6" xfId="102" xr:uid="{00000000-0005-0000-0000-00008B000000}"/>
    <cellStyle name="Standard 7" xfId="132" xr:uid="{00000000-0005-0000-0000-00008C000000}"/>
    <cellStyle name="Standard 8" xfId="134" xr:uid="{00000000-0005-0000-0000-00008D000000}"/>
    <cellStyle name="Standard 8 2" xfId="172" xr:uid="{00000000-0005-0000-0000-00008E000000}"/>
    <cellStyle name="Standard 9" xfId="139" xr:uid="{00000000-0005-0000-0000-00008F000000}"/>
    <cellStyle name="Standard 9 2" xfId="174" xr:uid="{00000000-0005-0000-0000-000090000000}"/>
    <cellStyle name="Standard neu" xfId="103" xr:uid="{00000000-0005-0000-0000-000091000000}"/>
    <cellStyle name="Standard neu 2" xfId="104" xr:uid="{00000000-0005-0000-0000-000092000000}"/>
    <cellStyle name="Standard neu 2 2" xfId="166" xr:uid="{00000000-0005-0000-0000-000093000000}"/>
    <cellStyle name="Standard_db" xfId="105" xr:uid="{00000000-0005-0000-0000-000094000000}"/>
    <cellStyle name="Standard_PSM1" xfId="124" xr:uid="{00000000-0005-0000-0000-000095000000}"/>
    <cellStyle name="Standard_PSM1 2" xfId="106" xr:uid="{00000000-0005-0000-0000-000096000000}"/>
    <cellStyle name="Stil 1" xfId="107" xr:uid="{00000000-0005-0000-0000-000097000000}"/>
    <cellStyle name="Stil 1 2" xfId="128" xr:uid="{00000000-0005-0000-0000-000098000000}"/>
    <cellStyle name="Stil 2" xfId="125" xr:uid="{00000000-0005-0000-0000-000099000000}"/>
    <cellStyle name="Stil 3" xfId="126" xr:uid="{00000000-0005-0000-0000-00009A000000}"/>
    <cellStyle name="Stil 3 2" xfId="127" xr:uid="{00000000-0005-0000-0000-00009B000000}"/>
    <cellStyle name="Stil 3 2 2" xfId="138" xr:uid="{00000000-0005-0000-0000-00009C000000}"/>
    <cellStyle name="Stil 3 3" xfId="137" xr:uid="{00000000-0005-0000-0000-00009D000000}"/>
    <cellStyle name="Text" xfId="108" xr:uid="{00000000-0005-0000-0000-00009E000000}"/>
    <cellStyle name="Text 2" xfId="109" xr:uid="{00000000-0005-0000-0000-00009F000000}"/>
    <cellStyle name="Text 2 2" xfId="110" xr:uid="{00000000-0005-0000-0000-0000A0000000}"/>
    <cellStyle name="Text 2 2 2" xfId="169" xr:uid="{00000000-0005-0000-0000-0000A1000000}"/>
    <cellStyle name="Text 2 3" xfId="168" xr:uid="{00000000-0005-0000-0000-0000A2000000}"/>
    <cellStyle name="Text 3" xfId="111" xr:uid="{00000000-0005-0000-0000-0000A3000000}"/>
    <cellStyle name="Text 3 2" xfId="170" xr:uid="{00000000-0005-0000-0000-0000A4000000}"/>
    <cellStyle name="Text 4" xfId="167" xr:uid="{00000000-0005-0000-0000-0000A5000000}"/>
    <cellStyle name="Überschrift 1 2" xfId="112" xr:uid="{00000000-0005-0000-0000-0000A6000000}"/>
    <cellStyle name="Überschrift 2 2" xfId="113" xr:uid="{00000000-0005-0000-0000-0000A7000000}"/>
    <cellStyle name="Überschrift 3 2" xfId="114" xr:uid="{00000000-0005-0000-0000-0000A8000000}"/>
    <cellStyle name="Überschrift 4 2" xfId="115" xr:uid="{00000000-0005-0000-0000-0000A9000000}"/>
    <cellStyle name="Überschrift 5" xfId="116" xr:uid="{00000000-0005-0000-0000-0000AA000000}"/>
    <cellStyle name="Verknüpfte Zelle 2" xfId="117" xr:uid="{00000000-0005-0000-0000-0000AB000000}"/>
    <cellStyle name="Verknüpfte Zelle 3" xfId="129" xr:uid="{00000000-0005-0000-0000-0000AC000000}"/>
    <cellStyle name="Währung 2" xfId="118" xr:uid="{00000000-0005-0000-0000-0000AD000000}"/>
    <cellStyle name="Währung 2 2" xfId="171" xr:uid="{00000000-0005-0000-0000-0000AE000000}"/>
    <cellStyle name="Währung 2 2 2" xfId="175" xr:uid="{00000000-0005-0000-0000-0000AF000000}"/>
    <cellStyle name="Währung 2 2 3" xfId="177" xr:uid="{00000000-0005-0000-0000-0000B0000000}"/>
    <cellStyle name="Währung 2 3" xfId="173" xr:uid="{00000000-0005-0000-0000-0000B1000000}"/>
    <cellStyle name="Währung 2 4" xfId="176" xr:uid="{00000000-0005-0000-0000-0000B2000000}"/>
    <cellStyle name="Warnender Text 2" xfId="119" xr:uid="{00000000-0005-0000-0000-0000B3000000}"/>
    <cellStyle name="ZeileSpalterot" xfId="120" xr:uid="{00000000-0005-0000-0000-0000B4000000}"/>
    <cellStyle name="Zelle überprüfen 2" xfId="121" xr:uid="{00000000-0005-0000-0000-0000B5000000}"/>
  </cellStyles>
  <dxfs count="13">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condense val="0"/>
        <extend val="0"/>
        <color indexed="43"/>
      </font>
    </dxf>
    <dxf>
      <fill>
        <patternFill>
          <bgColor indexed="9"/>
        </patternFill>
      </fill>
      <border>
        <left/>
        <right/>
        <top/>
      </border>
    </dxf>
    <dxf>
      <font>
        <condense val="0"/>
        <extend val="0"/>
        <color indexed="9"/>
      </font>
      <fill>
        <patternFill>
          <bgColor indexed="9"/>
        </patternFill>
      </fill>
      <border>
        <left/>
        <right/>
      </border>
    </dxf>
    <dxf>
      <font>
        <condense val="0"/>
        <extend val="0"/>
        <color indexed="9"/>
      </font>
      <fill>
        <patternFill>
          <bgColor indexed="9"/>
        </patternFill>
      </fill>
      <border>
        <left/>
        <right/>
        <top/>
      </border>
    </dxf>
  </dxfs>
  <tableStyles count="0" defaultTableStyle="TableStyleMedium2" defaultPivotStyle="PivotStyleLight16"/>
  <colors>
    <mruColors>
      <color rgb="FFFFFF99"/>
      <color rgb="FF99CCFF"/>
      <color rgb="FF33CC33"/>
      <color rgb="FF99FF99"/>
      <color rgb="FF66330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2249427725644"/>
          <c:y val="8.8266399810391596E-2"/>
          <c:w val="0.77755677800548895"/>
          <c:h val="0.78915547133204744"/>
        </c:manualLayout>
      </c:layout>
      <c:barChart>
        <c:barDir val="bar"/>
        <c:grouping val="clustered"/>
        <c:varyColors val="0"/>
        <c:ser>
          <c:idx val="0"/>
          <c:order val="0"/>
          <c:spPr>
            <a:solidFill>
              <a:srgbClr val="33CC33"/>
            </a:solidFill>
            <a:ln w="25400">
              <a:noFill/>
            </a:ln>
          </c:spPr>
          <c:invertIfNegative val="1"/>
          <c:dLbls>
            <c:numFmt formatCode="#,##0" sourceLinked="0"/>
            <c:spPr>
              <a:solidFill>
                <a:schemeClr val="bg1"/>
              </a:solidFill>
              <a:ln w="25400">
                <a:noFill/>
              </a:ln>
            </c:spPr>
            <c:txPr>
              <a:bodyPr/>
              <a:lstStyle/>
              <a:p>
                <a:pPr>
                  <a:defRPr sz="9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'E1'!$C$14:$C$64</c:f>
              <c:strCache>
                <c:ptCount val="11"/>
                <c:pt idx="0">
                  <c:v>Winterweizen (Futter-)</c:v>
                </c:pt>
                <c:pt idx="1">
                  <c:v>Winterroggen</c:v>
                </c:pt>
                <c:pt idx="2">
                  <c:v>Dinkel</c:v>
                </c:pt>
                <c:pt idx="3">
                  <c:v>Braugerste</c:v>
                </c:pt>
                <c:pt idx="4">
                  <c:v>Körnermais </c:v>
                </c:pt>
                <c:pt idx="5">
                  <c:v>Sommerraps </c:v>
                </c:pt>
                <c:pt idx="6">
                  <c:v>Sonnenblumen </c:v>
                </c:pt>
                <c:pt idx="7">
                  <c:v>Öko-Winterweizen (Futter)</c:v>
                </c:pt>
                <c:pt idx="8">
                  <c:v>Öko-Dinkel</c:v>
                </c:pt>
                <c:pt idx="9">
                  <c:v>Öko-Hafer</c:v>
                </c:pt>
                <c:pt idx="10">
                  <c:v>Öko-Körnermais </c:v>
                </c:pt>
              </c:strCache>
            </c:strRef>
          </c:cat>
          <c:val>
            <c:numRef>
              <c:f>'E1'!$M$14:$M$64</c:f>
              <c:numCache>
                <c:formatCode>#,##0__</c:formatCode>
                <c:ptCount val="11"/>
                <c:pt idx="0">
                  <c:v>605.43032635000009</c:v>
                </c:pt>
                <c:pt idx="1">
                  <c:v>140.94068817666675</c:v>
                </c:pt>
                <c:pt idx="2">
                  <c:v>613.73766562746709</c:v>
                </c:pt>
                <c:pt idx="3">
                  <c:v>608.5985523403333</c:v>
                </c:pt>
                <c:pt idx="4">
                  <c:v>477.09205717866666</c:v>
                </c:pt>
                <c:pt idx="5">
                  <c:v>-30.218882458666826</c:v>
                </c:pt>
                <c:pt idx="6">
                  <c:v>-13.821114146666787</c:v>
                </c:pt>
                <c:pt idx="7">
                  <c:v>196.78766633333339</c:v>
                </c:pt>
                <c:pt idx="8">
                  <c:v>773.44686407333324</c:v>
                </c:pt>
                <c:pt idx="9">
                  <c:v>627.38786661583345</c:v>
                </c:pt>
                <c:pt idx="10">
                  <c:v>654.72955277333381</c:v>
                </c:pt>
              </c:numCache>
            </c:numRef>
          </c:val>
          <c:extLst>
            <c:ext xmlns:c14="http://schemas.microsoft.com/office/drawing/2007/8/2/chart" uri="{6F2FDCE9-48DA-4B69-8628-5D25D57E5C99}">
              <c14:invertSolidFillFmt>
                <c14:spPr xmlns:c14="http://schemas.microsoft.com/office/drawing/2007/8/2/chart">
                  <a:solidFill>
                    <a:srgbClr val="FF0000"/>
                  </a:solidFill>
                  <a:ln w="25400">
                    <a:noFill/>
                  </a:ln>
                </c14:spPr>
              </c14:invertSolidFillFmt>
            </c:ext>
            <c:ext xmlns:c16="http://schemas.microsoft.com/office/drawing/2014/chart" uri="{C3380CC4-5D6E-409C-BE32-E72D297353CC}">
              <c16:uniqueId val="{00000000-AA85-4756-BC16-C70D8F6A4BB1}"/>
            </c:ext>
          </c:extLst>
        </c:ser>
        <c:dLbls>
          <c:showLegendKey val="0"/>
          <c:showVal val="0"/>
          <c:showCatName val="0"/>
          <c:showSerName val="0"/>
          <c:showPercent val="0"/>
          <c:showBubbleSize val="0"/>
        </c:dLbls>
        <c:gapWidth val="50"/>
        <c:axId val="100217600"/>
        <c:axId val="100219136"/>
      </c:barChart>
      <c:catAx>
        <c:axId val="100217600"/>
        <c:scaling>
          <c:orientation val="maxMin"/>
        </c:scaling>
        <c:delete val="0"/>
        <c:axPos val="l"/>
        <c:numFmt formatCode="General" sourceLinked="1"/>
        <c:majorTickMark val="none"/>
        <c:minorTickMark val="none"/>
        <c:tickLblPos val="low"/>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100219136"/>
        <c:crosses val="autoZero"/>
        <c:auto val="0"/>
        <c:lblAlgn val="ctr"/>
        <c:lblOffset val="100"/>
        <c:noMultiLvlLbl val="0"/>
      </c:catAx>
      <c:valAx>
        <c:axId val="100219136"/>
        <c:scaling>
          <c:orientation val="minMax"/>
        </c:scaling>
        <c:delete val="0"/>
        <c:axPos val="t"/>
        <c:majorGridlines>
          <c:spPr>
            <a:ln w="3175">
              <a:solidFill>
                <a:srgbClr val="000000"/>
              </a:solidFill>
              <a:prstDash val="solid"/>
            </a:ln>
          </c:spPr>
        </c:majorGridlines>
        <c:title>
          <c:tx>
            <c:rich>
              <a:bodyPr/>
              <a:lstStyle/>
              <a:p>
                <a:pPr algn="l">
                  <a:defRPr sz="1200" b="1" i="0" u="none" strike="noStrike" baseline="0">
                    <a:solidFill>
                      <a:srgbClr val="000000"/>
                    </a:solidFill>
                    <a:latin typeface="Arial"/>
                    <a:ea typeface="Arial"/>
                    <a:cs typeface="Arial"/>
                  </a:defRPr>
                </a:pPr>
                <a:r>
                  <a:rPr lang="de-DE"/>
                  <a:t>€ / ha</a:t>
                </a:r>
              </a:p>
            </c:rich>
          </c:tx>
          <c:layout>
            <c:manualLayout>
              <c:xMode val="edge"/>
              <c:yMode val="edge"/>
              <c:x val="0.93035680503292262"/>
              <c:y val="0.920358285415305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00217600"/>
        <c:crosses val="autoZero"/>
        <c:crossBetween val="between"/>
      </c:valAx>
      <c:spPr>
        <a:solidFill>
          <a:sysClr val="window" lastClr="FFFFFF"/>
        </a:solidFill>
        <a:ln w="12700">
          <a:solidFill>
            <a:srgbClr val="808080"/>
          </a:solidFill>
          <a:prstDash val="solid"/>
        </a:ln>
      </c:spPr>
    </c:plotArea>
    <c:plotVisOnly val="1"/>
    <c:dispBlanksAs val="gap"/>
    <c:showDLblsOverMax val="0"/>
  </c:chart>
  <c:spPr>
    <a:solidFill>
      <a:srgbClr val="FFFFCC"/>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1488053241378E-2"/>
          <c:y val="0.15230292063232534"/>
          <c:w val="0.88039457459926018"/>
          <c:h val="0.68807339449541283"/>
        </c:manualLayout>
      </c:layout>
      <c:barChart>
        <c:barDir val="col"/>
        <c:grouping val="clustered"/>
        <c:varyColors val="0"/>
        <c:ser>
          <c:idx val="1"/>
          <c:order val="0"/>
          <c:tx>
            <c:v>ohne Prämien</c:v>
          </c:tx>
          <c:spPr>
            <a:solidFill>
              <a:srgbClr val="99FF99"/>
            </a:solidFill>
          </c:spPr>
          <c:invertIfNegative val="0"/>
          <c:dLbls>
            <c:spPr>
              <a:noFill/>
              <a:ln>
                <a:noFill/>
              </a:ln>
              <a:effectLst/>
            </c:spPr>
            <c:txPr>
              <a:bodyPr/>
              <a:lstStyle/>
              <a:p>
                <a:pPr>
                  <a:defRPr sz="1000">
                    <a:solidFill>
                      <a:srgbClr val="663300"/>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'EK1'!$D$6:$J$6</c:f>
              <c:strCache>
                <c:ptCount val="7"/>
                <c:pt idx="0">
                  <c:v>Winterraps</c:v>
                </c:pt>
                <c:pt idx="1">
                  <c:v>Winterweizen (Brot-)</c:v>
                </c:pt>
                <c:pt idx="2">
                  <c:v>Braugerste</c:v>
                </c:pt>
                <c:pt idx="3">
                  <c:v>Winterweizen (Futter-)</c:v>
                </c:pt>
                <c:pt idx="4">
                  <c:v>Körnermais </c:v>
                </c:pt>
                <c:pt idx="5">
                  <c:v>Begrünung</c:v>
                </c:pt>
                <c:pt idx="6">
                  <c:v>Ø DB je ha AF </c:v>
                </c:pt>
              </c:strCache>
            </c:strRef>
          </c:cat>
          <c:val>
            <c:numRef>
              <c:f>'EK1'!$D$21:$J$21</c:f>
              <c:numCache>
                <c:formatCode>#,##0____</c:formatCode>
                <c:ptCount val="7"/>
                <c:pt idx="0">
                  <c:v>492.58696901333315</c:v>
                </c:pt>
                <c:pt idx="1">
                  <c:v>516.94845469999996</c:v>
                </c:pt>
                <c:pt idx="2">
                  <c:v>608.5985523403333</c:v>
                </c:pt>
                <c:pt idx="3">
                  <c:v>605.43032635000009</c:v>
                </c:pt>
                <c:pt idx="4">
                  <c:v>477.09205717866666</c:v>
                </c:pt>
                <c:pt idx="5">
                  <c:v>-164.78959179</c:v>
                </c:pt>
                <c:pt idx="6">
                  <c:v>487.61066544596656</c:v>
                </c:pt>
              </c:numCache>
            </c:numRef>
          </c:val>
          <c:extLst>
            <c:ext xmlns:c16="http://schemas.microsoft.com/office/drawing/2014/chart" uri="{C3380CC4-5D6E-409C-BE32-E72D297353CC}">
              <c16:uniqueId val="{00000000-56F1-4934-8FAB-652AC05A7A1E}"/>
            </c:ext>
          </c:extLst>
        </c:ser>
        <c:ser>
          <c:idx val="2"/>
          <c:order val="1"/>
          <c:tx>
            <c:v>mit Prämien</c:v>
          </c:tx>
          <c:spPr>
            <a:solidFill>
              <a:srgbClr val="33CC33"/>
            </a:solidFill>
          </c:spPr>
          <c:invertIfNegative val="0"/>
          <c:dLbls>
            <c:spPr>
              <a:noFill/>
              <a:ln>
                <a:noFill/>
              </a:ln>
              <a:effectLst/>
            </c:spPr>
            <c:txPr>
              <a:bodyPr/>
              <a:lstStyle/>
              <a:p>
                <a:pPr>
                  <a:defRPr sz="1000">
                    <a:solidFill>
                      <a:srgbClr val="663300"/>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'EK1'!$D$6:$J$6</c:f>
              <c:strCache>
                <c:ptCount val="7"/>
                <c:pt idx="0">
                  <c:v>Winterraps</c:v>
                </c:pt>
                <c:pt idx="1">
                  <c:v>Winterweizen (Brot-)</c:v>
                </c:pt>
                <c:pt idx="2">
                  <c:v>Braugerste</c:v>
                </c:pt>
                <c:pt idx="3">
                  <c:v>Winterweizen (Futter-)</c:v>
                </c:pt>
                <c:pt idx="4">
                  <c:v>Körnermais </c:v>
                </c:pt>
                <c:pt idx="5">
                  <c:v>Begrünung</c:v>
                </c:pt>
                <c:pt idx="6">
                  <c:v>Ø DB je ha AF </c:v>
                </c:pt>
              </c:strCache>
            </c:strRef>
          </c:cat>
          <c:val>
            <c:numRef>
              <c:f>'EK1'!$D$22:$J$22</c:f>
              <c:numCache>
                <c:formatCode>#,##0____</c:formatCode>
                <c:ptCount val="7"/>
                <c:pt idx="0">
                  <c:v>655.96715031848873</c:v>
                </c:pt>
                <c:pt idx="1">
                  <c:v>676.73952000483325</c:v>
                </c:pt>
                <c:pt idx="2">
                  <c:v>776.01479027650271</c:v>
                </c:pt>
                <c:pt idx="3">
                  <c:v>590.56618015741674</c:v>
                </c:pt>
                <c:pt idx="4">
                  <c:v>642.79615765515553</c:v>
                </c:pt>
                <c:pt idx="5">
                  <c:v>110.83716161174999</c:v>
                </c:pt>
                <c:pt idx="6">
                  <c:v>687.95689969607088</c:v>
                </c:pt>
              </c:numCache>
            </c:numRef>
          </c:val>
          <c:extLst>
            <c:ext xmlns:c16="http://schemas.microsoft.com/office/drawing/2014/chart" uri="{C3380CC4-5D6E-409C-BE32-E72D297353CC}">
              <c16:uniqueId val="{00000001-56F1-4934-8FAB-652AC05A7A1E}"/>
            </c:ext>
          </c:extLst>
        </c:ser>
        <c:dLbls>
          <c:showLegendKey val="0"/>
          <c:showVal val="0"/>
          <c:showCatName val="0"/>
          <c:showSerName val="0"/>
          <c:showPercent val="0"/>
          <c:showBubbleSize val="0"/>
        </c:dLbls>
        <c:gapWidth val="150"/>
        <c:axId val="101394688"/>
        <c:axId val="101400576"/>
      </c:barChart>
      <c:catAx>
        <c:axId val="101394688"/>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1400576"/>
        <c:crosses val="autoZero"/>
        <c:auto val="0"/>
        <c:lblAlgn val="ctr"/>
        <c:lblOffset val="100"/>
        <c:noMultiLvlLbl val="0"/>
      </c:catAx>
      <c:valAx>
        <c:axId val="101400576"/>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1.8501174195330847E-2"/>
              <c:y val="4.955372113181964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1394688"/>
        <c:crosses val="autoZero"/>
        <c:crossBetween val="between"/>
      </c:valAx>
      <c:spPr>
        <a:noFill/>
        <a:ln w="25400">
          <a:noFill/>
        </a:ln>
      </c:spPr>
    </c:plotArea>
    <c:legend>
      <c:legendPos val="r"/>
      <c:layout>
        <c:manualLayout>
          <c:xMode val="edge"/>
          <c:yMode val="edge"/>
          <c:x val="0.80000095635818791"/>
          <c:y val="5.5474452554744529E-2"/>
          <c:w val="0.12493299741573577"/>
          <c:h val="9.3129084198082468E-2"/>
        </c:manualLayout>
      </c:layout>
      <c:overlay val="0"/>
      <c:txPr>
        <a:bodyPr/>
        <a:lstStyle/>
        <a:p>
          <a:pPr>
            <a:defRPr sz="12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28891580057461E-2"/>
          <c:y val="0.1423352882309725"/>
          <c:w val="0.88039457459926018"/>
          <c:h val="0.68807339449541283"/>
        </c:manualLayout>
      </c:layout>
      <c:barChart>
        <c:barDir val="col"/>
        <c:grouping val="clustered"/>
        <c:varyColors val="0"/>
        <c:ser>
          <c:idx val="0"/>
          <c:order val="0"/>
          <c:tx>
            <c:v>ohne Prämien</c:v>
          </c:tx>
          <c:spPr>
            <a:solidFill>
              <a:srgbClr val="99FF99"/>
            </a:solidFill>
            <a:ln w="0">
              <a:noFill/>
              <a:prstDash val="solid"/>
            </a:ln>
          </c:spPr>
          <c:invertIfNegative val="0"/>
          <c:dPt>
            <c:idx val="6"/>
            <c:invertIfNegative val="0"/>
            <c:bubble3D val="0"/>
            <c:extLst>
              <c:ext xmlns:c16="http://schemas.microsoft.com/office/drawing/2014/chart" uri="{C3380CC4-5D6E-409C-BE32-E72D297353CC}">
                <c16:uniqueId val="{00000000-D309-4701-A05C-097604BEA8B7}"/>
              </c:ext>
            </c:extLst>
          </c:dPt>
          <c:dPt>
            <c:idx val="8"/>
            <c:invertIfNegative val="0"/>
            <c:bubble3D val="0"/>
            <c:extLst>
              <c:ext xmlns:c16="http://schemas.microsoft.com/office/drawing/2014/chart" uri="{C3380CC4-5D6E-409C-BE32-E72D297353CC}">
                <c16:uniqueId val="{00000001-D309-4701-A05C-097604BEA8B7}"/>
              </c:ext>
            </c:extLst>
          </c:dPt>
          <c:dLbls>
            <c:dLbl>
              <c:idx val="0"/>
              <c:layout>
                <c:manualLayout>
                  <c:x val="-5.6569532251259146E-3"/>
                  <c:y val="8.863851520099683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09-4701-A05C-097604BEA8B7}"/>
                </c:ext>
              </c:extLst>
            </c:dLbl>
            <c:dLbl>
              <c:idx val="1"/>
              <c:layout>
                <c:manualLayout>
                  <c:x val="-8.4854298376888723E-3"/>
                  <c:y val="-2.41744197710967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09-4701-A05C-097604BEA8B7}"/>
                </c:ext>
              </c:extLst>
            </c:dLbl>
            <c:dLbl>
              <c:idx val="2"/>
              <c:layout>
                <c:manualLayout>
                  <c:x val="-1.14236434563942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09-4701-A05C-097604BEA8B7}"/>
                </c:ext>
              </c:extLst>
            </c:dLbl>
            <c:dLbl>
              <c:idx val="3"/>
              <c:layout>
                <c:manualLayout>
                  <c:x val="-5.65695322512586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09-4701-A05C-097604BEA8B7}"/>
                </c:ext>
              </c:extLst>
            </c:dLbl>
            <c:dLbl>
              <c:idx val="4"/>
              <c:layout>
                <c:manualLayout>
                  <c:x val="-8.4854298376888723E-3"/>
                  <c:y val="-8.863851520099683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09-4701-A05C-097604BEA8B7}"/>
                </c:ext>
              </c:extLst>
            </c:dLbl>
            <c:dLbl>
              <c:idx val="8"/>
              <c:layout>
                <c:manualLayout>
                  <c:x val="-9.9956880243449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09-4701-A05C-097604BEA8B7}"/>
                </c:ext>
              </c:extLst>
            </c:dLbl>
            <c:spPr>
              <a:solidFill>
                <a:sysClr val="window" lastClr="FFFFFF"/>
              </a:solidFill>
              <a:ln w="25400">
                <a:noFill/>
              </a:ln>
            </c:spPr>
            <c:txPr>
              <a:bodyPr/>
              <a:lstStyle/>
              <a:p>
                <a:pPr algn="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EÖ1!$D$7:$S$7</c:f>
              <c:strCache>
                <c:ptCount val="16"/>
                <c:pt idx="0">
                  <c:v>Öko-Kleegras einjährig (70:30) </c:v>
                </c:pt>
                <c:pt idx="1">
                  <c:v>Öko-Luzernegras zweijährig (50:50)</c:v>
                </c:pt>
                <c:pt idx="2">
                  <c:v>Öko-Winterroggen (Brot)</c:v>
                </c:pt>
                <c:pt idx="3">
                  <c:v>Öko-Winterweizen (Brot)</c:v>
                </c:pt>
                <c:pt idx="4">
                  <c:v>Öko-Wintergerste</c:v>
                </c:pt>
                <c:pt idx="5">
                  <c:v>Öko-Braugerste</c:v>
                </c:pt>
                <c:pt idx="6">
                  <c:v>Öko-Hafer</c:v>
                </c:pt>
                <c:pt idx="7">
                  <c:v>Öko-Ackerbohnen </c:v>
                </c:pt>
                <c:pt idx="8">
                  <c:v>Öko-Winterweizen (Futter)</c:v>
                </c:pt>
                <c:pt idx="9">
                  <c:v>Öko-Ackerbohnen </c:v>
                </c:pt>
                <c:pt idx="10">
                  <c:v>Öko-Futtererbsen</c:v>
                </c:pt>
                <c:pt idx="11">
                  <c:v>Öko-Sojabohnen</c:v>
                </c:pt>
                <c:pt idx="12">
                  <c:v>Öko-Körnermais </c:v>
                </c:pt>
                <c:pt idx="13">
                  <c:v>FAKT-Begrünung</c:v>
                </c:pt>
                <c:pt idx="14">
                  <c:v>Öko-Speisekartoffeln spät</c:v>
                </c:pt>
                <c:pt idx="15">
                  <c:v>Ø DB je ha AF </c:v>
                </c:pt>
              </c:strCache>
            </c:strRef>
          </c:cat>
          <c:val>
            <c:numRef>
              <c:f>EÖ1!$D$22:$S$22</c:f>
              <c:numCache>
                <c:formatCode>#,##0____</c:formatCode>
                <c:ptCount val="16"/>
                <c:pt idx="0">
                  <c:v>365.05510991</c:v>
                </c:pt>
                <c:pt idx="1">
                  <c:v>384.21968290999996</c:v>
                </c:pt>
                <c:pt idx="2">
                  <c:v>256.00466661583346</c:v>
                </c:pt>
                <c:pt idx="3">
                  <c:v>653.19246407333344</c:v>
                </c:pt>
                <c:pt idx="4">
                  <c:v>133.59746661583335</c:v>
                </c:pt>
                <c:pt idx="5">
                  <c:v>804.36934576833323</c:v>
                </c:pt>
                <c:pt idx="6">
                  <c:v>627.38786661583345</c:v>
                </c:pt>
                <c:pt idx="7">
                  <c:v>578.33374372333344</c:v>
                </c:pt>
                <c:pt idx="8">
                  <c:v>196.78766633333339</c:v>
                </c:pt>
                <c:pt idx="9">
                  <c:v>578.33374372333344</c:v>
                </c:pt>
                <c:pt idx="10">
                  <c:v>524.22456811333348</c:v>
                </c:pt>
                <c:pt idx="11">
                  <c:v>939.53997293333305</c:v>
                </c:pt>
                <c:pt idx="12">
                  <c:v>654.72955277333381</c:v>
                </c:pt>
                <c:pt idx="13">
                  <c:v>-337.15924999999999</c:v>
                </c:pt>
                <c:pt idx="14">
                  <c:v>0</c:v>
                </c:pt>
                <c:pt idx="15">
                  <c:v>575.73974741916686</c:v>
                </c:pt>
              </c:numCache>
            </c:numRef>
          </c:val>
          <c:extLst>
            <c:ext xmlns:c16="http://schemas.microsoft.com/office/drawing/2014/chart" uri="{C3380CC4-5D6E-409C-BE32-E72D297353CC}">
              <c16:uniqueId val="{00000007-D309-4701-A05C-097604BEA8B7}"/>
            </c:ext>
          </c:extLst>
        </c:ser>
        <c:ser>
          <c:idx val="1"/>
          <c:order val="1"/>
          <c:tx>
            <c:v>mit Prämien</c:v>
          </c:tx>
          <c:spPr>
            <a:solidFill>
              <a:srgbClr val="33CC33"/>
            </a:solidFill>
            <a:ln>
              <a:noFill/>
            </a:ln>
          </c:spPr>
          <c:invertIfNegative val="0"/>
          <c:dLbls>
            <c:spPr>
              <a:solidFill>
                <a:sysClr val="window" lastClr="FFFFFF"/>
              </a:solidFill>
            </c:spPr>
            <c:txPr>
              <a:bodyPr/>
              <a:lstStyle/>
              <a:p>
                <a:pP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EÖ1!$D$7:$S$7</c:f>
              <c:strCache>
                <c:ptCount val="16"/>
                <c:pt idx="0">
                  <c:v>Öko-Kleegras einjährig (70:30) </c:v>
                </c:pt>
                <c:pt idx="1">
                  <c:v>Öko-Luzernegras zweijährig (50:50)</c:v>
                </c:pt>
                <c:pt idx="2">
                  <c:v>Öko-Winterroggen (Brot)</c:v>
                </c:pt>
                <c:pt idx="3">
                  <c:v>Öko-Winterweizen (Brot)</c:v>
                </c:pt>
                <c:pt idx="4">
                  <c:v>Öko-Wintergerste</c:v>
                </c:pt>
                <c:pt idx="5">
                  <c:v>Öko-Braugerste</c:v>
                </c:pt>
                <c:pt idx="6">
                  <c:v>Öko-Hafer</c:v>
                </c:pt>
                <c:pt idx="7">
                  <c:v>Öko-Ackerbohnen </c:v>
                </c:pt>
                <c:pt idx="8">
                  <c:v>Öko-Winterweizen (Futter)</c:v>
                </c:pt>
                <c:pt idx="9">
                  <c:v>Öko-Ackerbohnen </c:v>
                </c:pt>
                <c:pt idx="10">
                  <c:v>Öko-Futtererbsen</c:v>
                </c:pt>
                <c:pt idx="11">
                  <c:v>Öko-Sojabohnen</c:v>
                </c:pt>
                <c:pt idx="12">
                  <c:v>Öko-Körnermais </c:v>
                </c:pt>
                <c:pt idx="13">
                  <c:v>FAKT-Begrünung</c:v>
                </c:pt>
                <c:pt idx="14">
                  <c:v>Öko-Speisekartoffeln spät</c:v>
                </c:pt>
                <c:pt idx="15">
                  <c:v>Ø DB je ha AF </c:v>
                </c:pt>
              </c:strCache>
            </c:strRef>
          </c:cat>
          <c:val>
            <c:numRef>
              <c:f>EÖ1!$D$23:$S$23</c:f>
              <c:numCache>
                <c:formatCode>#,##0____</c:formatCode>
                <c:ptCount val="16"/>
                <c:pt idx="0">
                  <c:v>786.31408619228341</c:v>
                </c:pt>
                <c:pt idx="1">
                  <c:v>805.7022458772833</c:v>
                </c:pt>
                <c:pt idx="2">
                  <c:v>657.33405439301816</c:v>
                </c:pt>
                <c:pt idx="3">
                  <c:v>1054.1390428208556</c:v>
                </c:pt>
                <c:pt idx="4">
                  <c:v>533.64810372635145</c:v>
                </c:pt>
                <c:pt idx="5">
                  <c:v>1210.246423649736</c:v>
                </c:pt>
                <c:pt idx="6">
                  <c:v>1032.3227655042988</c:v>
                </c:pt>
                <c:pt idx="7">
                  <c:v>988.95735825436122</c:v>
                </c:pt>
                <c:pt idx="8">
                  <c:v>597.56152244055556</c:v>
                </c:pt>
                <c:pt idx="9">
                  <c:v>988.95735825436122</c:v>
                </c:pt>
                <c:pt idx="10">
                  <c:v>935.12643951427788</c:v>
                </c:pt>
                <c:pt idx="11">
                  <c:v>1347.9798893744442</c:v>
                </c:pt>
                <c:pt idx="12">
                  <c:v>1057.6089657131115</c:v>
                </c:pt>
                <c:pt idx="13">
                  <c:v>-162.96891041666666</c:v>
                </c:pt>
                <c:pt idx="14">
                  <c:v>0</c:v>
                </c:pt>
                <c:pt idx="15">
                  <c:v>983.86844369698224</c:v>
                </c:pt>
              </c:numCache>
            </c:numRef>
          </c:val>
          <c:extLst>
            <c:ext xmlns:c16="http://schemas.microsoft.com/office/drawing/2014/chart" uri="{C3380CC4-5D6E-409C-BE32-E72D297353CC}">
              <c16:uniqueId val="{00000008-D309-4701-A05C-097604BEA8B7}"/>
            </c:ext>
          </c:extLst>
        </c:ser>
        <c:dLbls>
          <c:showLegendKey val="0"/>
          <c:showVal val="0"/>
          <c:showCatName val="0"/>
          <c:showSerName val="0"/>
          <c:showPercent val="0"/>
          <c:showBubbleSize val="0"/>
        </c:dLbls>
        <c:gapWidth val="150"/>
        <c:axId val="104774656"/>
        <c:axId val="104788736"/>
      </c:barChart>
      <c:catAx>
        <c:axId val="104774656"/>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4788736"/>
        <c:crosses val="autoZero"/>
        <c:auto val="0"/>
        <c:lblAlgn val="ctr"/>
        <c:lblOffset val="100"/>
        <c:noMultiLvlLbl val="0"/>
      </c:catAx>
      <c:valAx>
        <c:axId val="104788736"/>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2.1704880375436587E-2"/>
              <c:y val="3.4961738237349209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4774656"/>
        <c:crosses val="autoZero"/>
        <c:crossBetween val="between"/>
      </c:valAx>
      <c:spPr>
        <a:noFill/>
        <a:ln w="25400">
          <a:noFill/>
        </a:ln>
      </c:spPr>
    </c:plotArea>
    <c:legend>
      <c:legendPos val="r"/>
      <c:layout>
        <c:manualLayout>
          <c:xMode val="edge"/>
          <c:yMode val="edge"/>
          <c:x val="0.80343553538741674"/>
          <c:y val="2.1514959880366415E-2"/>
          <c:w val="0.14979778337424421"/>
          <c:h val="0.17372281931911795"/>
        </c:manualLayout>
      </c:layout>
      <c:overlay val="0"/>
      <c:txPr>
        <a:bodyPr/>
        <a:lstStyle/>
        <a:p>
          <a:pPr>
            <a:defRPr sz="12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160" b="1" i="0" u="none" strike="noStrike" baseline="0">
                <a:solidFill>
                  <a:srgbClr val="000000"/>
                </a:solidFill>
                <a:latin typeface="Calibri"/>
                <a:ea typeface="Calibri"/>
                <a:cs typeface="Calibri"/>
              </a:defRPr>
            </a:pPr>
            <a:r>
              <a:rPr lang="de-DE" b="0"/>
              <a:t>Kostendeckender Erlös</a:t>
            </a:r>
          </a:p>
        </c:rich>
      </c:tx>
      <c:layout>
        <c:manualLayout>
          <c:xMode val="edge"/>
          <c:yMode val="edge"/>
          <c:x val="0.46962716250215714"/>
          <c:y val="4.686103707630463E-2"/>
        </c:manualLayout>
      </c:layout>
      <c:overlay val="1"/>
    </c:title>
    <c:autoTitleDeleted val="0"/>
    <c:plotArea>
      <c:layout>
        <c:manualLayout>
          <c:layoutTarget val="inner"/>
          <c:xMode val="edge"/>
          <c:yMode val="edge"/>
          <c:x val="6.9150120250845451E-2"/>
          <c:y val="0.14228504831533187"/>
          <c:w val="0.86896729404540496"/>
          <c:h val="0.60406533840503429"/>
        </c:manualLayout>
      </c:layout>
      <c:barChart>
        <c:barDir val="col"/>
        <c:grouping val="clustered"/>
        <c:varyColors val="0"/>
        <c:ser>
          <c:idx val="0"/>
          <c:order val="0"/>
          <c:tx>
            <c:strRef>
              <c:f>Kostenrechnung!$Q$176</c:f>
              <c:strCache>
                <c:ptCount val="1"/>
                <c:pt idx="0">
                  <c:v>ohne Prämien</c:v>
                </c:pt>
              </c:strCache>
            </c:strRef>
          </c:tx>
          <c:spPr>
            <a:solidFill>
              <a:srgbClr val="002060"/>
            </a:solidFill>
            <a:ln>
              <a:solidFill>
                <a:schemeClr val="tx1"/>
              </a:solidFill>
            </a:ln>
          </c:spPr>
          <c:invertIfNegative val="0"/>
          <c:dLbls>
            <c:dLbl>
              <c:idx val="0"/>
              <c:layout>
                <c:manualLayout>
                  <c:x val="0"/>
                  <c:y val="-4.41826112549461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F3-46C9-9909-62EF6FEAA4BC}"/>
                </c:ext>
              </c:extLst>
            </c:dLbl>
            <c:dLbl>
              <c:idx val="1"/>
              <c:layout>
                <c:manualLayout>
                  <c:x val="1.5925679493568408E-3"/>
                  <c:y val="-2.65095667529677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F3-46C9-9909-62EF6FEAA4BC}"/>
                </c:ext>
              </c:extLst>
            </c:dLbl>
            <c:dLbl>
              <c:idx val="2"/>
              <c:layout>
                <c:manualLayout>
                  <c:x val="7.9628397467842033E-3"/>
                  <c:y val="-2.20913056274730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F3-46C9-9909-62EF6FEAA4BC}"/>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Kostenrechnung!$R$173:$X$175</c:f>
              <c:multiLvlStrCache>
                <c:ptCount val="7"/>
                <c:lvl>
                  <c:pt idx="0">
                    <c:v>Öko-Kleegras einjährig (70:30) </c:v>
                  </c:pt>
                  <c:pt idx="1">
                    <c:v>Öko-Winterweizen (Futter)</c:v>
                  </c:pt>
                  <c:pt idx="2">
                    <c:v>Öko-Dinkel</c:v>
                  </c:pt>
                  <c:pt idx="3">
                    <c:v>Öko-Lupine</c:v>
                  </c:pt>
                  <c:pt idx="4">
                    <c:v>Öko-Winterroggen (Brot)</c:v>
                  </c:pt>
                  <c:pt idx="5">
                    <c:v>Öko-Hafer</c:v>
                  </c:pt>
                  <c:pt idx="6">
                    <c:v>Öko-Sojabohnen</c:v>
                  </c:pt>
                </c:lvl>
                <c:lvl>
                  <c:pt idx="0">
                    <c:v>mittel</c:v>
                  </c:pt>
                  <c:pt idx="1">
                    <c:v>mittel</c:v>
                  </c:pt>
                  <c:pt idx="2">
                    <c:v>mittel</c:v>
                  </c:pt>
                  <c:pt idx="3">
                    <c:v>mittel</c:v>
                  </c:pt>
                  <c:pt idx="4">
                    <c:v>mittel</c:v>
                  </c:pt>
                  <c:pt idx="5">
                    <c:v>mittel</c:v>
                  </c:pt>
                  <c:pt idx="6">
                    <c:v>mittel</c:v>
                  </c:pt>
                </c:lvl>
                <c:lvl>
                  <c:pt idx="0">
                    <c:v>420dt/ha</c:v>
                  </c:pt>
                  <c:pt idx="1">
                    <c:v>40dt/ha</c:v>
                  </c:pt>
                  <c:pt idx="2">
                    <c:v>40dt/ha</c:v>
                  </c:pt>
                  <c:pt idx="3">
                    <c:v>20dt/ha</c:v>
                  </c:pt>
                  <c:pt idx="4">
                    <c:v>40dt/ha</c:v>
                  </c:pt>
                  <c:pt idx="5">
                    <c:v>40dt/ha</c:v>
                  </c:pt>
                  <c:pt idx="6">
                    <c:v>25dt/ha</c:v>
                  </c:pt>
                </c:lvl>
              </c:multiLvlStrCache>
            </c:multiLvlStrRef>
          </c:cat>
          <c:val>
            <c:numRef>
              <c:f>Kostenrechnung!$R$176:$X$176</c:f>
              <c:numCache>
                <c:formatCode>0.00\ </c:formatCode>
                <c:ptCount val="7"/>
                <c:pt idx="0" formatCode="#,##0.00__">
                  <c:v>1.7516331281136108</c:v>
                </c:pt>
                <c:pt idx="1">
                  <c:v>51.983561938986107</c:v>
                </c:pt>
                <c:pt idx="2" formatCode="#,##0.00__">
                  <c:v>50.202639729478619</c:v>
                </c:pt>
                <c:pt idx="3">
                  <c:v>90.119225539109721</c:v>
                </c:pt>
                <c:pt idx="4" formatCode="#,##0.00__">
                  <c:v>49.66699864017454</c:v>
                </c:pt>
                <c:pt idx="5" formatCode="0.00">
                  <c:v>52.192280862392522</c:v>
                </c:pt>
                <c:pt idx="6" formatCode="#,##0.00__">
                  <c:v>86.499604425022227</c:v>
                </c:pt>
              </c:numCache>
            </c:numRef>
          </c:val>
          <c:extLst>
            <c:ext xmlns:c16="http://schemas.microsoft.com/office/drawing/2014/chart" uri="{C3380CC4-5D6E-409C-BE32-E72D297353CC}">
              <c16:uniqueId val="{00000003-7EF3-46C9-9909-62EF6FEAA4BC}"/>
            </c:ext>
          </c:extLst>
        </c:ser>
        <c:ser>
          <c:idx val="1"/>
          <c:order val="1"/>
          <c:tx>
            <c:strRef>
              <c:f>Kostenrechnung!$Q$177</c:f>
              <c:strCache>
                <c:ptCount val="1"/>
                <c:pt idx="0">
                  <c:v>mit Prämien</c:v>
                </c:pt>
              </c:strCache>
            </c:strRef>
          </c:tx>
          <c:spPr>
            <a:pattFill prst="wdUpDiag">
              <a:fgClr>
                <a:srgbClr val="002060"/>
              </a:fgClr>
              <a:bgClr>
                <a:schemeClr val="bg1"/>
              </a:bgClr>
            </a:pattFill>
            <a:ln w="25400" cap="sq" cmpd="sng">
              <a:solidFill>
                <a:schemeClr val="tx1"/>
              </a:solidFill>
              <a:prstDash val="solid"/>
              <a:round/>
            </a:ln>
          </c:spPr>
          <c:invertIfNegative val="0"/>
          <c:dLbls>
            <c:dLbl>
              <c:idx val="0"/>
              <c:layout>
                <c:manualLayout>
                  <c:x val="2.8431441981444879E-3"/>
                  <c:y val="-2.22160943261118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F3-46C9-9909-62EF6FEAA4BC}"/>
                </c:ext>
              </c:extLst>
            </c:dLbl>
            <c:dLbl>
              <c:idx val="1"/>
              <c:layout>
                <c:manualLayout>
                  <c:x val="1.0463878033234399E-2"/>
                  <c:y val="-7.1034176363815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F3-46C9-9909-62EF6FEAA4BC}"/>
                </c:ext>
              </c:extLst>
            </c:dLbl>
            <c:dLbl>
              <c:idx val="2"/>
              <c:layout>
                <c:manualLayout>
                  <c:x val="5.7716599815865206E-3"/>
                  <c:y val="-2.02334234232898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F3-46C9-9909-62EF6FEAA4BC}"/>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Kostenrechnung!$R$173:$X$175</c:f>
              <c:multiLvlStrCache>
                <c:ptCount val="7"/>
                <c:lvl>
                  <c:pt idx="0">
                    <c:v>Öko-Kleegras einjährig (70:30) </c:v>
                  </c:pt>
                  <c:pt idx="1">
                    <c:v>Öko-Winterweizen (Futter)</c:v>
                  </c:pt>
                  <c:pt idx="2">
                    <c:v>Öko-Dinkel</c:v>
                  </c:pt>
                  <c:pt idx="3">
                    <c:v>Öko-Lupine</c:v>
                  </c:pt>
                  <c:pt idx="4">
                    <c:v>Öko-Winterroggen (Brot)</c:v>
                  </c:pt>
                  <c:pt idx="5">
                    <c:v>Öko-Hafer</c:v>
                  </c:pt>
                  <c:pt idx="6">
                    <c:v>Öko-Sojabohnen</c:v>
                  </c:pt>
                </c:lvl>
                <c:lvl>
                  <c:pt idx="0">
                    <c:v>mittel</c:v>
                  </c:pt>
                  <c:pt idx="1">
                    <c:v>mittel</c:v>
                  </c:pt>
                  <c:pt idx="2">
                    <c:v>mittel</c:v>
                  </c:pt>
                  <c:pt idx="3">
                    <c:v>mittel</c:v>
                  </c:pt>
                  <c:pt idx="4">
                    <c:v>mittel</c:v>
                  </c:pt>
                  <c:pt idx="5">
                    <c:v>mittel</c:v>
                  </c:pt>
                  <c:pt idx="6">
                    <c:v>mittel</c:v>
                  </c:pt>
                </c:lvl>
                <c:lvl>
                  <c:pt idx="0">
                    <c:v>420dt/ha</c:v>
                  </c:pt>
                  <c:pt idx="1">
                    <c:v>40dt/ha</c:v>
                  </c:pt>
                  <c:pt idx="2">
                    <c:v>40dt/ha</c:v>
                  </c:pt>
                  <c:pt idx="3">
                    <c:v>20dt/ha</c:v>
                  </c:pt>
                  <c:pt idx="4">
                    <c:v>40dt/ha</c:v>
                  </c:pt>
                  <c:pt idx="5">
                    <c:v>40dt/ha</c:v>
                  </c:pt>
                  <c:pt idx="6">
                    <c:v>25dt/ha</c:v>
                  </c:pt>
                </c:lvl>
              </c:multiLvlStrCache>
            </c:multiLvlStrRef>
          </c:cat>
          <c:val>
            <c:numRef>
              <c:f>Kostenrechnung!$R$177:$X$177</c:f>
              <c:numCache>
                <c:formatCode>0.00\ </c:formatCode>
                <c:ptCount val="7"/>
                <c:pt idx="0" formatCode="#,##0.00__">
                  <c:v>0.75877598525646794</c:v>
                </c:pt>
                <c:pt idx="1">
                  <c:v>41.558561938986102</c:v>
                </c:pt>
                <c:pt idx="2" formatCode="#,##0.00__">
                  <c:v>39.777639729478622</c:v>
                </c:pt>
                <c:pt idx="3">
                  <c:v>69.269225539109726</c:v>
                </c:pt>
                <c:pt idx="4" formatCode="#,##0.00__">
                  <c:v>39.241998640174543</c:v>
                </c:pt>
                <c:pt idx="5" formatCode="0.00">
                  <c:v>41.767280862392525</c:v>
                </c:pt>
                <c:pt idx="6" formatCode="#,##0.00__">
                  <c:v>69.81960442502222</c:v>
                </c:pt>
              </c:numCache>
            </c:numRef>
          </c:val>
          <c:extLst>
            <c:ext xmlns:c16="http://schemas.microsoft.com/office/drawing/2014/chart" uri="{C3380CC4-5D6E-409C-BE32-E72D297353CC}">
              <c16:uniqueId val="{00000007-7EF3-46C9-9909-62EF6FEAA4BC}"/>
            </c:ext>
          </c:extLst>
        </c:ser>
        <c:dLbls>
          <c:showLegendKey val="0"/>
          <c:showVal val="0"/>
          <c:showCatName val="0"/>
          <c:showSerName val="0"/>
          <c:showPercent val="0"/>
          <c:showBubbleSize val="0"/>
        </c:dLbls>
        <c:gapWidth val="150"/>
        <c:axId val="118339072"/>
        <c:axId val="118340608"/>
      </c:barChart>
      <c:catAx>
        <c:axId val="118339072"/>
        <c:scaling>
          <c:orientation val="minMax"/>
        </c:scaling>
        <c:delete val="0"/>
        <c:axPos val="b"/>
        <c:numFmt formatCode="General" sourceLinked="1"/>
        <c:majorTickMark val="out"/>
        <c:minorTickMark val="none"/>
        <c:tickLblPos val="low"/>
        <c:txPr>
          <a:bodyPr rot="0" vert="horz"/>
          <a:lstStyle/>
          <a:p>
            <a:pPr>
              <a:defRPr sz="1800" b="0" i="0" u="none" strike="noStrike" baseline="0">
                <a:solidFill>
                  <a:srgbClr val="000000"/>
                </a:solidFill>
                <a:latin typeface="Calibri"/>
                <a:ea typeface="Calibri"/>
                <a:cs typeface="Calibri"/>
              </a:defRPr>
            </a:pPr>
            <a:endParaRPr lang="de-DE"/>
          </a:p>
        </c:txPr>
        <c:crossAx val="118340608"/>
        <c:crosses val="autoZero"/>
        <c:auto val="1"/>
        <c:lblAlgn val="ctr"/>
        <c:lblOffset val="100"/>
        <c:noMultiLvlLbl val="1"/>
      </c:catAx>
      <c:valAx>
        <c:axId val="118340608"/>
        <c:scaling>
          <c:orientation val="minMax"/>
        </c:scaling>
        <c:delete val="0"/>
        <c:axPos val="l"/>
        <c:majorGridlines/>
        <c:title>
          <c:tx>
            <c:rich>
              <a:bodyPr rot="0" vert="horz"/>
              <a:lstStyle/>
              <a:p>
                <a:pPr algn="ctr">
                  <a:defRPr sz="1800" b="1" i="0" u="none" strike="noStrike" baseline="0">
                    <a:solidFill>
                      <a:srgbClr val="000000"/>
                    </a:solidFill>
                    <a:latin typeface="Calibri"/>
                    <a:ea typeface="Calibri"/>
                    <a:cs typeface="Calibri"/>
                  </a:defRPr>
                </a:pPr>
                <a:r>
                  <a:rPr lang="de-DE"/>
                  <a:t>€/dt</a:t>
                </a:r>
              </a:p>
            </c:rich>
          </c:tx>
          <c:layout>
            <c:manualLayout>
              <c:xMode val="edge"/>
              <c:yMode val="edge"/>
              <c:x val="3.7590177997602142E-2"/>
              <c:y val="3.9050348601556886E-2"/>
            </c:manualLayout>
          </c:layout>
          <c:overlay val="0"/>
        </c:title>
        <c:numFmt formatCode="#,##0" sourceLinked="0"/>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18339072"/>
        <c:crosses val="autoZero"/>
        <c:crossBetween val="between"/>
      </c:valAx>
      <c:spPr>
        <a:solidFill>
          <a:sysClr val="window" lastClr="FFFFFF"/>
        </a:solidFill>
        <a:ln w="25400">
          <a:noFill/>
        </a:ln>
      </c:spPr>
    </c:plotArea>
    <c:legend>
      <c:legendPos val="r"/>
      <c:layout>
        <c:manualLayout>
          <c:xMode val="edge"/>
          <c:yMode val="edge"/>
          <c:x val="0.43354691931953848"/>
          <c:y val="0.91779973409903459"/>
          <c:w val="0.10703862255445602"/>
          <c:h val="8.2038847148148478E-2"/>
        </c:manualLayout>
      </c:layout>
      <c:overlay val="0"/>
      <c:txPr>
        <a:bodyPr/>
        <a:lstStyle/>
        <a:p>
          <a:pPr>
            <a:defRPr sz="1425"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rgbClr val="99CCFF"/>
    </a:solidFill>
    <a:ln>
      <a:noFill/>
    </a:ln>
  </c:spPr>
  <c:txPr>
    <a:bodyPr/>
    <a:lstStyle/>
    <a:p>
      <a:pPr>
        <a:defRPr sz="18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Kostenrechnung!$Q$140</c:f>
          <c:strCache>
            <c:ptCount val="1"/>
          </c:strCache>
        </c:strRef>
      </c:tx>
      <c:overlay val="1"/>
      <c:txPr>
        <a:bodyPr/>
        <a:lstStyle/>
        <a:p>
          <a:pPr>
            <a:defRPr sz="2160" b="1" i="0" u="none" strike="noStrike" baseline="0">
              <a:solidFill>
                <a:srgbClr val="000000"/>
              </a:solidFill>
              <a:latin typeface="Calibri"/>
              <a:ea typeface="Calibri"/>
              <a:cs typeface="Calibri"/>
            </a:defRPr>
          </a:pPr>
          <a:endParaRPr lang="de-DE"/>
        </a:p>
      </c:txPr>
    </c:title>
    <c:autoTitleDeleted val="0"/>
    <c:plotArea>
      <c:layout>
        <c:manualLayout>
          <c:layoutTarget val="inner"/>
          <c:xMode val="edge"/>
          <c:yMode val="edge"/>
          <c:x val="0.1158322421598509"/>
          <c:y val="0.13584540738377851"/>
          <c:w val="0.85260962452921751"/>
          <c:h val="0.6226464087933512"/>
        </c:manualLayout>
      </c:layout>
      <c:barChart>
        <c:barDir val="col"/>
        <c:grouping val="clustered"/>
        <c:varyColors val="0"/>
        <c:ser>
          <c:idx val="0"/>
          <c:order val="0"/>
          <c:tx>
            <c:strRef>
              <c:f>Kostenrechnung!$Q$145</c:f>
              <c:strCache>
                <c:ptCount val="1"/>
                <c:pt idx="0">
                  <c:v>ohne Prämien</c:v>
                </c:pt>
              </c:strCache>
            </c:strRef>
          </c:tx>
          <c:spPr>
            <a:solidFill>
              <a:srgbClr val="002060"/>
            </a:solidFill>
            <a:ln>
              <a:noFill/>
            </a:ln>
          </c:spPr>
          <c:invertIfNegative val="0"/>
          <c:dLbls>
            <c:dLbl>
              <c:idx val="0"/>
              <c:layout>
                <c:manualLayout>
                  <c:x val="-1.636457604961542E-3"/>
                  <c:y val="9.51131530143884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62-441B-8888-82A382802359}"/>
                </c:ext>
              </c:extLst>
            </c:dLbl>
            <c:dLbl>
              <c:idx val="1"/>
              <c:layout>
                <c:manualLayout>
                  <c:x val="-3.2246374608578769E-3"/>
                  <c:y val="7.09183696051484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62-441B-8888-82A382802359}"/>
                </c:ext>
              </c:extLst>
            </c:dLbl>
            <c:dLbl>
              <c:idx val="2"/>
              <c:layout>
                <c:manualLayout>
                  <c:x val="3.3295838020247471E-3"/>
                  <c:y val="3.932139174003324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62-441B-8888-82A382802359}"/>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Kostenrechnung!$R$141:$X$144</c:f>
              <c:multiLvlStrCache>
                <c:ptCount val="7"/>
                <c:lvl>
                  <c:pt idx="0">
                    <c:v>Öko-Kleegras einjährig (70:30) </c:v>
                  </c:pt>
                  <c:pt idx="1">
                    <c:v>Öko-Winterweizen (Futter)</c:v>
                  </c:pt>
                  <c:pt idx="2">
                    <c:v>Öko-Dinkel</c:v>
                  </c:pt>
                  <c:pt idx="3">
                    <c:v>Öko-Lupine</c:v>
                  </c:pt>
                  <c:pt idx="4">
                    <c:v>Öko-Winterroggen (Brot)</c:v>
                  </c:pt>
                  <c:pt idx="5">
                    <c:v>Öko-Hafer</c:v>
                  </c:pt>
                  <c:pt idx="6">
                    <c:v>Öko-Sojabohnen</c:v>
                  </c:pt>
                </c:lvl>
                <c:lvl>
                  <c:pt idx="0">
                    <c:v>mittel</c:v>
                  </c:pt>
                  <c:pt idx="1">
                    <c:v>mittel</c:v>
                  </c:pt>
                  <c:pt idx="2">
                    <c:v>mittel</c:v>
                  </c:pt>
                  <c:pt idx="3">
                    <c:v>mittel</c:v>
                  </c:pt>
                  <c:pt idx="4">
                    <c:v>mittel</c:v>
                  </c:pt>
                  <c:pt idx="5">
                    <c:v>mittel</c:v>
                  </c:pt>
                  <c:pt idx="6">
                    <c:v>mittel</c:v>
                  </c:pt>
                </c:lvl>
                <c:lvl>
                  <c:pt idx="0">
                    <c:v>142</c:v>
                  </c:pt>
                  <c:pt idx="1">
                    <c:v>40dt/ha</c:v>
                  </c:pt>
                  <c:pt idx="2">
                    <c:v>40dt/ha</c:v>
                  </c:pt>
                  <c:pt idx="3">
                    <c:v>20dt/ha</c:v>
                  </c:pt>
                  <c:pt idx="4">
                    <c:v>40dt/ha</c:v>
                  </c:pt>
                  <c:pt idx="5">
                    <c:v>40dt/ha</c:v>
                  </c:pt>
                  <c:pt idx="6">
                    <c:v>25dt/ha</c:v>
                  </c:pt>
                </c:lvl>
              </c:multiLvlStrCache>
            </c:multiLvlStrRef>
          </c:cat>
          <c:val>
            <c:numRef>
              <c:f>Kostenrechnung!$R$145:$X$145</c:f>
              <c:numCache>
                <c:formatCode>#,##0__</c:formatCode>
                <c:ptCount val="7"/>
                <c:pt idx="0">
                  <c:v>365.05510991</c:v>
                </c:pt>
                <c:pt idx="1">
                  <c:v>196.78766633333339</c:v>
                </c:pt>
                <c:pt idx="2">
                  <c:v>773.44686407333324</c:v>
                </c:pt>
                <c:pt idx="3">
                  <c:v>410.49337773666662</c:v>
                </c:pt>
                <c:pt idx="4">
                  <c:v>256.00466661583346</c:v>
                </c:pt>
                <c:pt idx="5" formatCode="0">
                  <c:v>627.38786661583345</c:v>
                </c:pt>
                <c:pt idx="6">
                  <c:v>939.53997293333305</c:v>
                </c:pt>
              </c:numCache>
            </c:numRef>
          </c:val>
          <c:extLst>
            <c:ext xmlns:c16="http://schemas.microsoft.com/office/drawing/2014/chart" uri="{C3380CC4-5D6E-409C-BE32-E72D297353CC}">
              <c16:uniqueId val="{00000003-CC62-441B-8888-82A382802359}"/>
            </c:ext>
          </c:extLst>
        </c:ser>
        <c:ser>
          <c:idx val="1"/>
          <c:order val="1"/>
          <c:tx>
            <c:strRef>
              <c:f>Kostenrechnung!$Q$146</c:f>
              <c:strCache>
                <c:ptCount val="1"/>
                <c:pt idx="0">
                  <c:v>mit Prämien</c:v>
                </c:pt>
              </c:strCache>
            </c:strRef>
          </c:tx>
          <c:spPr>
            <a:pattFill prst="wdUpDiag">
              <a:fgClr>
                <a:srgbClr val="002060"/>
              </a:fgClr>
              <a:bgClr>
                <a:schemeClr val="bg1"/>
              </a:bgClr>
            </a:pattFill>
            <a:ln w="25400" cap="sq" cmpd="sng">
              <a:solidFill>
                <a:schemeClr val="tx1"/>
              </a:solidFill>
              <a:prstDash val="solid"/>
              <a:round/>
            </a:ln>
          </c:spPr>
          <c:invertIfNegative val="1"/>
          <c:dLbls>
            <c:dLbl>
              <c:idx val="0"/>
              <c:layout>
                <c:manualLayout>
                  <c:x val="1.2987565743471255E-3"/>
                  <c:y val="2.6839815343486788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62-441B-8888-82A382802359}"/>
                </c:ext>
              </c:extLst>
            </c:dLbl>
            <c:dLbl>
              <c:idx val="1"/>
              <c:layout>
                <c:manualLayout>
                  <c:x val="2.7418599702064271E-3"/>
                  <c:y val="4.13892614182080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62-441B-8888-82A382802359}"/>
                </c:ext>
              </c:extLst>
            </c:dLbl>
            <c:dLbl>
              <c:idx val="2"/>
              <c:layout>
                <c:manualLayout>
                  <c:x val="-1.9503237770954307E-3"/>
                  <c:y val="2.2511098422983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62-441B-8888-82A382802359}"/>
                </c:ext>
              </c:extLst>
            </c:dLbl>
            <c:dLbl>
              <c:idx val="5"/>
              <c:spPr>
                <a:noFill/>
                <a:ln>
                  <a:noFill/>
                </a:ln>
                <a:effectLst/>
              </c:spPr>
              <c:txPr>
                <a:bodyPr anchorCtr="0"/>
                <a:lstStyle/>
                <a:p>
                  <a:pPr algn="ctr">
                    <a:defRPr lang="en-US" sz="1800" b="0" i="0" u="none" strike="noStrike" kern="1200"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00-A48A-4B9E-916D-5736162CC3A5}"/>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Kostenrechnung!$R$141:$X$144</c:f>
              <c:multiLvlStrCache>
                <c:ptCount val="7"/>
                <c:lvl>
                  <c:pt idx="0">
                    <c:v>Öko-Kleegras einjährig (70:30) </c:v>
                  </c:pt>
                  <c:pt idx="1">
                    <c:v>Öko-Winterweizen (Futter)</c:v>
                  </c:pt>
                  <c:pt idx="2">
                    <c:v>Öko-Dinkel</c:v>
                  </c:pt>
                  <c:pt idx="3">
                    <c:v>Öko-Lupine</c:v>
                  </c:pt>
                  <c:pt idx="4">
                    <c:v>Öko-Winterroggen (Brot)</c:v>
                  </c:pt>
                  <c:pt idx="5">
                    <c:v>Öko-Hafer</c:v>
                  </c:pt>
                  <c:pt idx="6">
                    <c:v>Öko-Sojabohnen</c:v>
                  </c:pt>
                </c:lvl>
                <c:lvl>
                  <c:pt idx="0">
                    <c:v>mittel</c:v>
                  </c:pt>
                  <c:pt idx="1">
                    <c:v>mittel</c:v>
                  </c:pt>
                  <c:pt idx="2">
                    <c:v>mittel</c:v>
                  </c:pt>
                  <c:pt idx="3">
                    <c:v>mittel</c:v>
                  </c:pt>
                  <c:pt idx="4">
                    <c:v>mittel</c:v>
                  </c:pt>
                  <c:pt idx="5">
                    <c:v>mittel</c:v>
                  </c:pt>
                  <c:pt idx="6">
                    <c:v>mittel</c:v>
                  </c:pt>
                </c:lvl>
                <c:lvl>
                  <c:pt idx="0">
                    <c:v>142</c:v>
                  </c:pt>
                  <c:pt idx="1">
                    <c:v>40dt/ha</c:v>
                  </c:pt>
                  <c:pt idx="2">
                    <c:v>40dt/ha</c:v>
                  </c:pt>
                  <c:pt idx="3">
                    <c:v>20dt/ha</c:v>
                  </c:pt>
                  <c:pt idx="4">
                    <c:v>40dt/ha</c:v>
                  </c:pt>
                  <c:pt idx="5">
                    <c:v>40dt/ha</c:v>
                  </c:pt>
                  <c:pt idx="6">
                    <c:v>25dt/ha</c:v>
                  </c:pt>
                </c:lvl>
              </c:multiLvlStrCache>
            </c:multiLvlStrRef>
          </c:cat>
          <c:val>
            <c:numRef>
              <c:f>Kostenrechnung!$R$146:$X$146</c:f>
              <c:numCache>
                <c:formatCode>#,##0__</c:formatCode>
                <c:ptCount val="7"/>
                <c:pt idx="0">
                  <c:v>786.31408619228341</c:v>
                </c:pt>
                <c:pt idx="1">
                  <c:v>597.56152244055556</c:v>
                </c:pt>
                <c:pt idx="2">
                  <c:v>1174.7184108208555</c:v>
                </c:pt>
                <c:pt idx="3">
                  <c:v>821.24748921780554</c:v>
                </c:pt>
                <c:pt idx="4">
                  <c:v>657.33405439301816</c:v>
                </c:pt>
                <c:pt idx="5" formatCode="0">
                  <c:v>1032.3227655042988</c:v>
                </c:pt>
                <c:pt idx="6">
                  <c:v>1347.9798893744442</c:v>
                </c:pt>
              </c:numCache>
            </c:numRef>
          </c:val>
          <c:extLst>
            <c:ext xmlns:c16="http://schemas.microsoft.com/office/drawing/2014/chart" uri="{C3380CC4-5D6E-409C-BE32-E72D297353CC}">
              <c16:uniqueId val="{00000007-CC62-441B-8888-82A382802359}"/>
            </c:ext>
          </c:extLst>
        </c:ser>
        <c:dLbls>
          <c:showLegendKey val="0"/>
          <c:showVal val="0"/>
          <c:showCatName val="0"/>
          <c:showSerName val="0"/>
          <c:showPercent val="0"/>
          <c:showBubbleSize val="0"/>
        </c:dLbls>
        <c:gapWidth val="150"/>
        <c:axId val="116908032"/>
        <c:axId val="116909568"/>
      </c:barChart>
      <c:catAx>
        <c:axId val="116908032"/>
        <c:scaling>
          <c:orientation val="minMax"/>
        </c:scaling>
        <c:delete val="0"/>
        <c:axPos val="b"/>
        <c:numFmt formatCode="General" sourceLinked="1"/>
        <c:majorTickMark val="out"/>
        <c:minorTickMark val="none"/>
        <c:tickLblPos val="low"/>
        <c:txPr>
          <a:bodyPr rot="0" vert="horz"/>
          <a:lstStyle/>
          <a:p>
            <a:pPr>
              <a:defRPr sz="1800" b="0" i="0" u="none" strike="noStrike" baseline="0">
                <a:solidFill>
                  <a:srgbClr val="000000"/>
                </a:solidFill>
                <a:latin typeface="Calibri"/>
                <a:ea typeface="Calibri"/>
                <a:cs typeface="Calibri"/>
              </a:defRPr>
            </a:pPr>
            <a:endParaRPr lang="de-DE"/>
          </a:p>
        </c:txPr>
        <c:crossAx val="116909568"/>
        <c:crosses val="autoZero"/>
        <c:auto val="1"/>
        <c:lblAlgn val="ctr"/>
        <c:lblOffset val="100"/>
        <c:noMultiLvlLbl val="1"/>
      </c:catAx>
      <c:valAx>
        <c:axId val="116909568"/>
        <c:scaling>
          <c:orientation val="minMax"/>
        </c:scaling>
        <c:delete val="0"/>
        <c:axPos val="l"/>
        <c:majorGridlines/>
        <c:title>
          <c:tx>
            <c:rich>
              <a:bodyPr rot="0" vert="horz"/>
              <a:lstStyle/>
              <a:p>
                <a:pPr algn="ctr">
                  <a:defRPr sz="1800" b="1" i="0" u="none" strike="noStrike" baseline="0">
                    <a:solidFill>
                      <a:srgbClr val="000000"/>
                    </a:solidFill>
                    <a:latin typeface="Calibri"/>
                    <a:ea typeface="Calibri"/>
                    <a:cs typeface="Calibri"/>
                  </a:defRPr>
                </a:pPr>
                <a:r>
                  <a:rPr lang="de-DE"/>
                  <a:t>€/ha</a:t>
                </a:r>
              </a:p>
            </c:rich>
          </c:tx>
          <c:layout>
            <c:manualLayout>
              <c:xMode val="edge"/>
              <c:yMode val="edge"/>
              <c:x val="6.6854552576841005E-3"/>
              <c:y val="1.6195357720566742E-2"/>
            </c:manualLayout>
          </c:layout>
          <c:overlay val="0"/>
        </c:title>
        <c:numFmt formatCode="#,##0" sourceLinked="0"/>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16908032"/>
        <c:crosses val="autoZero"/>
        <c:crossBetween val="between"/>
      </c:valAx>
      <c:spPr>
        <a:solidFill>
          <a:sysClr val="window" lastClr="FFFFFF"/>
        </a:solidFill>
        <a:ln w="25400">
          <a:noFill/>
        </a:ln>
      </c:spPr>
    </c:plotArea>
    <c:legend>
      <c:legendPos val="tr"/>
      <c:legendEntry>
        <c:idx val="0"/>
        <c:txPr>
          <a:bodyPr/>
          <a:lstStyle/>
          <a:p>
            <a:pPr>
              <a:defRPr sz="1425" b="0" i="0" u="none" strike="noStrike" baseline="0">
                <a:solidFill>
                  <a:srgbClr val="000000"/>
                </a:solidFill>
                <a:latin typeface="Calibri"/>
                <a:ea typeface="Calibri"/>
                <a:cs typeface="Calibri"/>
              </a:defRPr>
            </a:pPr>
            <a:endParaRPr lang="de-DE"/>
          </a:p>
        </c:txPr>
      </c:legendEntry>
      <c:legendEntry>
        <c:idx val="1"/>
        <c:txPr>
          <a:bodyPr/>
          <a:lstStyle/>
          <a:p>
            <a:pPr>
              <a:defRPr sz="1425" b="0" i="0" u="none" strike="noStrike" baseline="0">
                <a:solidFill>
                  <a:srgbClr val="000000"/>
                </a:solidFill>
                <a:latin typeface="Calibri"/>
                <a:ea typeface="Calibri"/>
                <a:cs typeface="Calibri"/>
              </a:defRPr>
            </a:pPr>
            <a:endParaRPr lang="de-DE"/>
          </a:p>
        </c:txPr>
      </c:legendEntry>
      <c:layout>
        <c:manualLayout>
          <c:xMode val="edge"/>
          <c:yMode val="edge"/>
          <c:x val="0.48217869184915552"/>
          <c:y val="0.90001933884490415"/>
          <c:w val="0.10662449307536113"/>
          <c:h val="9.5031177585704521E-2"/>
        </c:manualLayout>
      </c:layout>
      <c:overlay val="1"/>
      <c:txPr>
        <a:bodyPr/>
        <a:lstStyle/>
        <a:p>
          <a:pPr>
            <a:defRPr sz="1425"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rgbClr val="99CCFF"/>
    </a:solidFill>
    <a:ln>
      <a:noFill/>
    </a:ln>
  </c:spPr>
  <c:txPr>
    <a:bodyPr/>
    <a:lstStyle/>
    <a:p>
      <a:pPr>
        <a:defRPr sz="18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horizontalDpi="1200" verticalDpi="120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  </a:t>
            </a:r>
          </a:p>
          <a:p>
            <a:pPr>
              <a:defRPr sz="10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-hohes Leistungsniveau-</a:t>
            </a:r>
          </a:p>
        </c:rich>
      </c:tx>
      <c:layout>
        <c:manualLayout>
          <c:xMode val="edge"/>
          <c:yMode val="edge"/>
          <c:x val="0.16856712355400016"/>
          <c:y val="0.10531092594008273"/>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4655803675148688E-2"/>
          <c:y val="9.5784744446224548E-2"/>
          <c:w val="0.95178435839028097"/>
          <c:h val="0.59804716349036025"/>
        </c:manualLayout>
      </c:layout>
      <c:barChart>
        <c:barDir val="col"/>
        <c:grouping val="clustered"/>
        <c:varyColors val="0"/>
        <c:ser>
          <c:idx val="0"/>
          <c:order val="0"/>
          <c:spPr>
            <a:solidFill>
              <a:srgbClr val="8080FF"/>
            </a:solidFill>
            <a:ln w="12700">
              <a:solidFill>
                <a:srgbClr val="000000"/>
              </a:solidFill>
              <a:prstDash val="solid"/>
            </a:ln>
          </c:spPr>
          <c:invertIfNegative val="0"/>
          <c:dLbls>
            <c:dLbl>
              <c:idx val="8"/>
              <c:layout>
                <c:manualLayout>
                  <c:x val="2.5437196204688537E-3"/>
                  <c:y val="-1.48658887518578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AD-449B-A0F7-77EC4CB7449A}"/>
                </c:ext>
              </c:extLst>
            </c:dLbl>
            <c:dLbl>
              <c:idx val="15"/>
              <c:layout>
                <c:manualLayout>
                  <c:x val="-8.1035352457020193E-4"/>
                  <c:y val="-1.046346189498070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AD-449B-A0F7-77EC4CB7449A}"/>
                </c:ext>
              </c:extLst>
            </c:dLbl>
            <c:dLbl>
              <c:idx val="16"/>
              <c:layout>
                <c:manualLayout>
                  <c:x val="-8.9883403849062339E-4"/>
                  <c:y val="-9.17810592236284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AD-449B-A0F7-77EC4CB7449A}"/>
                </c:ext>
              </c:extLst>
            </c:dLbl>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68AD-449B-A0F7-77EC4CB7449A}"/>
            </c:ext>
          </c:extLst>
        </c:ser>
        <c:dLbls>
          <c:showLegendKey val="0"/>
          <c:showVal val="0"/>
          <c:showCatName val="0"/>
          <c:showSerName val="0"/>
          <c:showPercent val="0"/>
          <c:showBubbleSize val="0"/>
        </c:dLbls>
        <c:gapWidth val="50"/>
        <c:axId val="127068800"/>
        <c:axId val="127070592"/>
      </c:barChart>
      <c:catAx>
        <c:axId val="127068800"/>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7070592"/>
        <c:crosses val="autoZero"/>
        <c:auto val="0"/>
        <c:lblAlgn val="ctr"/>
        <c:lblOffset val="100"/>
        <c:tickLblSkip val="1"/>
        <c:tickMarkSkip val="1"/>
        <c:noMultiLvlLbl val="0"/>
      </c:catAx>
      <c:valAx>
        <c:axId val="127070592"/>
        <c:scaling>
          <c:orientation val="minMax"/>
        </c:scaling>
        <c:delete val="0"/>
        <c:axPos val="l"/>
        <c:majorGridlines>
          <c:spPr>
            <a:ln w="3175">
              <a:solidFill>
                <a:srgbClr val="000000"/>
              </a:solidFill>
              <a:prstDash val="sysDot"/>
            </a:ln>
          </c:spPr>
        </c:majorGridlines>
        <c:title>
          <c:tx>
            <c:rich>
              <a:bodyPr rot="0" vert="horz"/>
              <a:lstStyle/>
              <a:p>
                <a:pPr algn="l">
                  <a:defRPr sz="1000" b="1" i="0" u="none" strike="noStrike" baseline="0">
                    <a:solidFill>
                      <a:srgbClr val="000000"/>
                    </a:solidFill>
                    <a:latin typeface="Arial"/>
                    <a:ea typeface="Arial"/>
                    <a:cs typeface="Arial"/>
                  </a:defRPr>
                </a:pPr>
                <a:r>
                  <a:rPr lang="de-DE"/>
                  <a:t>€ / ha</a:t>
                </a:r>
              </a:p>
            </c:rich>
          </c:tx>
          <c:layout>
            <c:manualLayout>
              <c:xMode val="edge"/>
              <c:yMode val="edge"/>
              <c:x val="4.3094054300123051E-2"/>
              <c:y val="6.3687154396962514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70688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Footer>&amp;L&amp;11LEL Schwäbisch Gmünd&amp;Z45&amp;R&amp;11&amp;N</c:oddFooter>
    </c:headerFooter>
    <c:pageMargins b="0.984251969" l="0.78740157499999996" r="0.78740157499999996" t="0.78" header="0.4921259845" footer="0.32"/>
    <c:pageSetup paperSize="60" orientation="landscape" horizontalDpi="3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a:t>
            </a:r>
          </a:p>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-mittleres Leistungsniveau-</a:t>
            </a:r>
          </a:p>
        </c:rich>
      </c:tx>
      <c:layout>
        <c:manualLayout>
          <c:xMode val="edge"/>
          <c:yMode val="edge"/>
          <c:x val="0.18373978797609428"/>
          <c:y val="4.0357654636510018E-2"/>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313717049605701E-2"/>
          <c:y val="4.20748031496063E-2"/>
          <c:w val="0.95686282950394297"/>
          <c:h val="0.65762812543168947"/>
        </c:manualLayout>
      </c:layout>
      <c:barChart>
        <c:barDir val="col"/>
        <c:grouping val="clustered"/>
        <c:varyColors val="0"/>
        <c:ser>
          <c:idx val="0"/>
          <c:order val="0"/>
          <c:spPr>
            <a:solidFill>
              <a:srgbClr val="8080FF"/>
            </a:solidFill>
            <a:ln w="12700">
              <a:solidFill>
                <a:srgbClr val="000000"/>
              </a:solidFill>
              <a:prstDash val="solid"/>
            </a:ln>
          </c:spPr>
          <c:invertIfNegative val="0"/>
          <c:dLbls>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E1C-4AB7-9415-0567D849C00A}"/>
            </c:ext>
          </c:extLst>
        </c:ser>
        <c:dLbls>
          <c:showLegendKey val="0"/>
          <c:showVal val="0"/>
          <c:showCatName val="0"/>
          <c:showSerName val="0"/>
          <c:showPercent val="0"/>
          <c:showBubbleSize val="0"/>
        </c:dLbls>
        <c:gapWidth val="50"/>
        <c:axId val="122123776"/>
        <c:axId val="122125312"/>
      </c:barChart>
      <c:catAx>
        <c:axId val="122123776"/>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2125312"/>
        <c:crosses val="autoZero"/>
        <c:auto val="0"/>
        <c:lblAlgn val="ctr"/>
        <c:lblOffset val="100"/>
        <c:tickLblSkip val="1"/>
        <c:tickMarkSkip val="1"/>
        <c:noMultiLvlLbl val="0"/>
      </c:catAx>
      <c:valAx>
        <c:axId val="122125312"/>
        <c:scaling>
          <c:orientation val="minMax"/>
        </c:scaling>
        <c:delete val="0"/>
        <c:axPos val="l"/>
        <c:majorGridlines>
          <c:spPr>
            <a:ln w="3175">
              <a:solidFill>
                <a:srgbClr val="000000"/>
              </a:solidFill>
              <a:prstDash val="sysDot"/>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212377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a:t>
            </a:r>
          </a:p>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-niedriges Leistungsniveau-</a:t>
            </a:r>
          </a:p>
        </c:rich>
      </c:tx>
      <c:layout>
        <c:manualLayout>
          <c:xMode val="edge"/>
          <c:yMode val="edge"/>
          <c:x val="0.2021915416681512"/>
          <c:y val="3.2262028003471679E-3"/>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9354593773728167E-2"/>
          <c:y val="6.4884395417159971E-2"/>
          <c:w val="0.94608959757023536"/>
          <c:h val="0.53291238356541948"/>
        </c:manualLayout>
      </c:layout>
      <c:barChart>
        <c:barDir val="col"/>
        <c:grouping val="clustered"/>
        <c:varyColors val="0"/>
        <c:ser>
          <c:idx val="0"/>
          <c:order val="0"/>
          <c:spPr>
            <a:solidFill>
              <a:srgbClr val="8080FF"/>
            </a:solidFill>
            <a:ln w="12700">
              <a:solidFill>
                <a:srgbClr val="000000"/>
              </a:solidFill>
              <a:prstDash val="solid"/>
            </a:ln>
          </c:spPr>
          <c:invertIfNegative val="0"/>
          <c:dLbls>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F0FB-4AD3-AA54-FCE4F19898E0}"/>
            </c:ext>
          </c:extLst>
        </c:ser>
        <c:dLbls>
          <c:showLegendKey val="0"/>
          <c:showVal val="0"/>
          <c:showCatName val="0"/>
          <c:showSerName val="0"/>
          <c:showPercent val="0"/>
          <c:showBubbleSize val="0"/>
        </c:dLbls>
        <c:gapWidth val="50"/>
        <c:axId val="122326400"/>
        <c:axId val="122340480"/>
      </c:barChart>
      <c:catAx>
        <c:axId val="122326400"/>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2340480"/>
        <c:crosses val="autoZero"/>
        <c:auto val="0"/>
        <c:lblAlgn val="ctr"/>
        <c:lblOffset val="100"/>
        <c:tickLblSkip val="1"/>
        <c:tickMarkSkip val="1"/>
        <c:noMultiLvlLbl val="0"/>
      </c:catAx>
      <c:valAx>
        <c:axId val="122340480"/>
        <c:scaling>
          <c:orientation val="minMax"/>
        </c:scaling>
        <c:delete val="0"/>
        <c:axPos val="l"/>
        <c:majorGridlines>
          <c:spPr>
            <a:ln w="1905">
              <a:solidFill>
                <a:srgbClr val="000000"/>
              </a:solidFill>
              <a:prstDash val="sysDot"/>
            </a:ln>
          </c:spPr>
        </c:majorGridlines>
        <c:title>
          <c:tx>
            <c:rich>
              <a:bodyPr rot="0" vert="horz"/>
              <a:lstStyle/>
              <a:p>
                <a:pPr algn="l">
                  <a:defRPr sz="1100" b="1" i="0" u="none" strike="noStrike" baseline="0">
                    <a:solidFill>
                      <a:srgbClr val="000000"/>
                    </a:solidFill>
                    <a:latin typeface="Calibri"/>
                    <a:ea typeface="Calibri"/>
                    <a:cs typeface="Calibri"/>
                  </a:defRPr>
                </a:pPr>
                <a:r>
                  <a:rPr lang="de-DE"/>
                  <a:t>€ / ha</a:t>
                </a:r>
              </a:p>
            </c:rich>
          </c:tx>
          <c:layout>
            <c:manualLayout>
              <c:xMode val="edge"/>
              <c:yMode val="edge"/>
              <c:x val="4.80120188596335E-2"/>
              <c:y val="1.524008951072351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2326400"/>
        <c:crosses val="autoZero"/>
        <c:crossBetween val="between"/>
      </c:valAx>
      <c:spPr>
        <a:ln>
          <a:prstDash val="sysDot"/>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trlProps/ctrlProp1.xml><?xml version="1.0" encoding="utf-8"?>
<formControlPr xmlns="http://schemas.microsoft.com/office/spreadsheetml/2009/9/main" objectType="Radio" firstButton="1" fmlaLink="$W$25" lockText="1" noThreeD="1"/>
</file>

<file path=xl/ctrlProps/ctrlProp10.xml><?xml version="1.0" encoding="utf-8"?>
<formControlPr xmlns="http://schemas.microsoft.com/office/spreadsheetml/2009/9/main" objectType="Drop" dropStyle="combo" dx="18" fmlaLink="AB35" fmlaRange="'SD3'!$C$24:$C$85" noThreeD="1" sel="1" val="0"/>
</file>

<file path=xl/ctrlProps/ctrlProp100.xml><?xml version="1.0" encoding="utf-8"?>
<formControlPr xmlns="http://schemas.microsoft.com/office/spreadsheetml/2009/9/main" objectType="CheckBox" fmlaLink="$T$16" lockText="1" noThreeD="1"/>
</file>

<file path=xl/ctrlProps/ctrlProp101.xml><?xml version="1.0" encoding="utf-8"?>
<formControlPr xmlns="http://schemas.microsoft.com/office/spreadsheetml/2009/9/main" objectType="CheckBox" fmlaLink="$T$4" lockText="1" noThreeD="1"/>
</file>

<file path=xl/ctrlProps/ctrlProp102.xml><?xml version="1.0" encoding="utf-8"?>
<formControlPr xmlns="http://schemas.microsoft.com/office/spreadsheetml/2009/9/main" objectType="CheckBox" fmlaLink="$T$3" lockText="1" noThreeD="1"/>
</file>

<file path=xl/ctrlProps/ctrlProp103.xml><?xml version="1.0" encoding="utf-8"?>
<formControlPr xmlns="http://schemas.microsoft.com/office/spreadsheetml/2009/9/main" objectType="CheckBox" checked="Checked" fmlaLink="$S$14" lockText="1" noThreeD="1"/>
</file>

<file path=xl/ctrlProps/ctrlProp104.xml><?xml version="1.0" encoding="utf-8"?>
<formControlPr xmlns="http://schemas.microsoft.com/office/spreadsheetml/2009/9/main" objectType="CheckBox" fmlaLink="$S$15" lockText="1" noThreeD="1"/>
</file>

<file path=xl/ctrlProps/ctrlProp105.xml><?xml version="1.0" encoding="utf-8"?>
<formControlPr xmlns="http://schemas.microsoft.com/office/spreadsheetml/2009/9/main" objectType="CheckBox" fmlaLink="$S$16" lockText="1" noThreeD="1"/>
</file>

<file path=xl/ctrlProps/ctrlProp106.xml><?xml version="1.0" encoding="utf-8"?>
<formControlPr xmlns="http://schemas.microsoft.com/office/spreadsheetml/2009/9/main" objectType="CheckBox" fmlaLink="$S$17" lockText="1" noThreeD="1"/>
</file>

<file path=xl/ctrlProps/ctrlProp107.xml><?xml version="1.0" encoding="utf-8"?>
<formControlPr xmlns="http://schemas.microsoft.com/office/spreadsheetml/2009/9/main" objectType="CheckBox" checked="Checked" fmlaLink="$R$14" lockText="1" noThreeD="1"/>
</file>

<file path=xl/ctrlProps/ctrlProp108.xml><?xml version="1.0" encoding="utf-8"?>
<formControlPr xmlns="http://schemas.microsoft.com/office/spreadsheetml/2009/9/main" objectType="CheckBox" fmlaLink="$R$15" lockText="1" noThreeD="1"/>
</file>

<file path=xl/ctrlProps/ctrlProp109.xml><?xml version="1.0" encoding="utf-8"?>
<formControlPr xmlns="http://schemas.microsoft.com/office/spreadsheetml/2009/9/main" objectType="CheckBox" fmlaLink="$R$16" lockText="1" noThreeD="1"/>
</file>

<file path=xl/ctrlProps/ctrlProp11.xml><?xml version="1.0" encoding="utf-8"?>
<formControlPr xmlns="http://schemas.microsoft.com/office/spreadsheetml/2009/9/main" objectType="Drop" dropStyle="combo" dx="18" fmlaLink="AB36" fmlaRange="'SD3'!$C$24:$C$85" noThreeD="1" sel="1" val="0"/>
</file>

<file path=xl/ctrlProps/ctrlProp110.xml><?xml version="1.0" encoding="utf-8"?>
<formControlPr xmlns="http://schemas.microsoft.com/office/spreadsheetml/2009/9/main" objectType="CheckBox" fmlaLink="$R$17" lockText="1" noThreeD="1"/>
</file>

<file path=xl/ctrlProps/ctrlProp111.xml><?xml version="1.0" encoding="utf-8"?>
<formControlPr xmlns="http://schemas.microsoft.com/office/spreadsheetml/2009/9/main" objectType="CheckBox" checked="Checked" fmlaLink="$T$14" lockText="1" noThreeD="1"/>
</file>

<file path=xl/ctrlProps/ctrlProp112.xml><?xml version="1.0" encoding="utf-8"?>
<formControlPr xmlns="http://schemas.microsoft.com/office/spreadsheetml/2009/9/main" objectType="CheckBox" fmlaLink="$T$15" lockText="1" noThreeD="1"/>
</file>

<file path=xl/ctrlProps/ctrlProp113.xml><?xml version="1.0" encoding="utf-8"?>
<formControlPr xmlns="http://schemas.microsoft.com/office/spreadsheetml/2009/9/main" objectType="CheckBox" fmlaLink="$T$16" lockText="1" noThreeD="1"/>
</file>

<file path=xl/ctrlProps/ctrlProp114.xml><?xml version="1.0" encoding="utf-8"?>
<formControlPr xmlns="http://schemas.microsoft.com/office/spreadsheetml/2009/9/main" objectType="CheckBox" fmlaLink="$T$17" lockText="1" noThreeD="1"/>
</file>

<file path=xl/ctrlProps/ctrlProp115.xml><?xml version="1.0" encoding="utf-8"?>
<formControlPr xmlns="http://schemas.microsoft.com/office/spreadsheetml/2009/9/main" objectType="CheckBox" fmlaLink="$T$3" lockText="1" noThreeD="1"/>
</file>

<file path=xl/ctrlProps/ctrlProp116.xml><?xml version="1.0" encoding="utf-8"?>
<formControlPr xmlns="http://schemas.microsoft.com/office/spreadsheetml/2009/9/main" objectType="CheckBox" fmlaLink="$T$4" lockText="1" noThreeD="1"/>
</file>

<file path=xl/ctrlProps/ctrlProp117.xml><?xml version="1.0" encoding="utf-8"?>
<formControlPr xmlns="http://schemas.microsoft.com/office/spreadsheetml/2009/9/main" objectType="CheckBox" fmlaLink="$T$4" lockText="1" noThreeD="1"/>
</file>

<file path=xl/ctrlProps/ctrlProp118.xml><?xml version="1.0" encoding="utf-8"?>
<formControlPr xmlns="http://schemas.microsoft.com/office/spreadsheetml/2009/9/main" objectType="CheckBox" fmlaLink="$T$3" lockText="1" noThreeD="1"/>
</file>

<file path=xl/ctrlProps/ctrlProp119.xml><?xml version="1.0" encoding="utf-8"?>
<formControlPr xmlns="http://schemas.microsoft.com/office/spreadsheetml/2009/9/main" objectType="CheckBox" checked="Checked" fmlaLink="$S$14" lockText="1" noThreeD="1"/>
</file>

<file path=xl/ctrlProps/ctrlProp12.xml><?xml version="1.0" encoding="utf-8"?>
<formControlPr xmlns="http://schemas.microsoft.com/office/spreadsheetml/2009/9/main" objectType="Drop" dropStyle="combo" dx="18" fmlaLink="AB39" fmlaRange="'SD3'!$C$90:$C$104" noThreeD="1" sel="15" val="0"/>
</file>

<file path=xl/ctrlProps/ctrlProp120.xml><?xml version="1.0" encoding="utf-8"?>
<formControlPr xmlns="http://schemas.microsoft.com/office/spreadsheetml/2009/9/main" objectType="CheckBox" fmlaLink="$S$15" lockText="1" noThreeD="1"/>
</file>

<file path=xl/ctrlProps/ctrlProp121.xml><?xml version="1.0" encoding="utf-8"?>
<formControlPr xmlns="http://schemas.microsoft.com/office/spreadsheetml/2009/9/main" objectType="CheckBox" fmlaLink="$S$16" lockText="1" noThreeD="1"/>
</file>

<file path=xl/ctrlProps/ctrlProp122.xml><?xml version="1.0" encoding="utf-8"?>
<formControlPr xmlns="http://schemas.microsoft.com/office/spreadsheetml/2009/9/main" objectType="CheckBox" fmlaLink="$S$17" lockText="1" noThreeD="1"/>
</file>

<file path=xl/ctrlProps/ctrlProp123.xml><?xml version="1.0" encoding="utf-8"?>
<formControlPr xmlns="http://schemas.microsoft.com/office/spreadsheetml/2009/9/main" objectType="CheckBox" checked="Checked" fmlaLink="$R$14" lockText="1" noThreeD="1"/>
</file>

<file path=xl/ctrlProps/ctrlProp124.xml><?xml version="1.0" encoding="utf-8"?>
<formControlPr xmlns="http://schemas.microsoft.com/office/spreadsheetml/2009/9/main" objectType="CheckBox" fmlaLink="$R$15" lockText="1" noThreeD="1"/>
</file>

<file path=xl/ctrlProps/ctrlProp125.xml><?xml version="1.0" encoding="utf-8"?>
<formControlPr xmlns="http://schemas.microsoft.com/office/spreadsheetml/2009/9/main" objectType="CheckBox" fmlaLink="$R$16" lockText="1" noThreeD="1"/>
</file>

<file path=xl/ctrlProps/ctrlProp126.xml><?xml version="1.0" encoding="utf-8"?>
<formControlPr xmlns="http://schemas.microsoft.com/office/spreadsheetml/2009/9/main" objectType="CheckBox" fmlaLink="$R$17" lockText="1" noThreeD="1"/>
</file>

<file path=xl/ctrlProps/ctrlProp127.xml><?xml version="1.0" encoding="utf-8"?>
<formControlPr xmlns="http://schemas.microsoft.com/office/spreadsheetml/2009/9/main" objectType="CheckBox" checked="Checked" fmlaLink="$T$14" lockText="1" noThreeD="1"/>
</file>

<file path=xl/ctrlProps/ctrlProp128.xml><?xml version="1.0" encoding="utf-8"?>
<formControlPr xmlns="http://schemas.microsoft.com/office/spreadsheetml/2009/9/main" objectType="CheckBox" fmlaLink="$T$15" lockText="1" noThreeD="1"/>
</file>

<file path=xl/ctrlProps/ctrlProp129.xml><?xml version="1.0" encoding="utf-8"?>
<formControlPr xmlns="http://schemas.microsoft.com/office/spreadsheetml/2009/9/main" objectType="CheckBox" fmlaLink="$T$16" lockText="1" noThreeD="1"/>
</file>

<file path=xl/ctrlProps/ctrlProp13.xml><?xml version="1.0" encoding="utf-8"?>
<formControlPr xmlns="http://schemas.microsoft.com/office/spreadsheetml/2009/9/main" objectType="Drop" dropStyle="combo" dx="18" fmlaLink="AB40" fmlaRange="'SD3'!$C$90:$C$104" noThreeD="1" sel="1" val="0"/>
</file>

<file path=xl/ctrlProps/ctrlProp130.xml><?xml version="1.0" encoding="utf-8"?>
<formControlPr xmlns="http://schemas.microsoft.com/office/spreadsheetml/2009/9/main" objectType="CheckBox" fmlaLink="$T$17" lockText="1" noThreeD="1"/>
</file>

<file path=xl/ctrlProps/ctrlProp131.xml><?xml version="1.0" encoding="utf-8"?>
<formControlPr xmlns="http://schemas.microsoft.com/office/spreadsheetml/2009/9/main" objectType="CheckBox" fmlaLink="$T$3" lockText="1" noThreeD="1"/>
</file>

<file path=xl/ctrlProps/ctrlProp132.xml><?xml version="1.0" encoding="utf-8"?>
<formControlPr xmlns="http://schemas.microsoft.com/office/spreadsheetml/2009/9/main" objectType="CheckBox" fmlaLink="$T$4" lockText="1" noThreeD="1"/>
</file>

<file path=xl/ctrlProps/ctrlProp133.xml><?xml version="1.0" encoding="utf-8"?>
<formControlPr xmlns="http://schemas.microsoft.com/office/spreadsheetml/2009/9/main" objectType="CheckBox" fmlaLink="$T$4" lockText="1" noThreeD="1"/>
</file>

<file path=xl/ctrlProps/ctrlProp134.xml><?xml version="1.0" encoding="utf-8"?>
<formControlPr xmlns="http://schemas.microsoft.com/office/spreadsheetml/2009/9/main" objectType="CheckBox" fmlaLink="$T$3" lockText="1" noThreeD="1"/>
</file>

<file path=xl/ctrlProps/ctrlProp135.xml><?xml version="1.0" encoding="utf-8"?>
<formControlPr xmlns="http://schemas.microsoft.com/office/spreadsheetml/2009/9/main" objectType="CheckBox" checked="Checked" fmlaLink="$S$14" lockText="1" noThreeD="1"/>
</file>

<file path=xl/ctrlProps/ctrlProp136.xml><?xml version="1.0" encoding="utf-8"?>
<formControlPr xmlns="http://schemas.microsoft.com/office/spreadsheetml/2009/9/main" objectType="CheckBox" fmlaLink="$S$15" lockText="1" noThreeD="1"/>
</file>

<file path=xl/ctrlProps/ctrlProp137.xml><?xml version="1.0" encoding="utf-8"?>
<formControlPr xmlns="http://schemas.microsoft.com/office/spreadsheetml/2009/9/main" objectType="CheckBox" fmlaLink="$S$16" lockText="1" noThreeD="1"/>
</file>

<file path=xl/ctrlProps/ctrlProp138.xml><?xml version="1.0" encoding="utf-8"?>
<formControlPr xmlns="http://schemas.microsoft.com/office/spreadsheetml/2009/9/main" objectType="CheckBox" fmlaLink="$S$17" lockText="1" noThreeD="1"/>
</file>

<file path=xl/ctrlProps/ctrlProp139.xml><?xml version="1.0" encoding="utf-8"?>
<formControlPr xmlns="http://schemas.microsoft.com/office/spreadsheetml/2009/9/main" objectType="CheckBox" checked="Checked" fmlaLink="$R$14" lockText="1" noThreeD="1"/>
</file>

<file path=xl/ctrlProps/ctrlProp14.xml><?xml version="1.0" encoding="utf-8"?>
<formControlPr xmlns="http://schemas.microsoft.com/office/spreadsheetml/2009/9/main" objectType="Drop" dropStyle="combo" dx="18" fmlaLink="AB64" fmlaRange="'SD3'!$C$24:$C$85" noThreeD="1" sel="40" val="0"/>
</file>

<file path=xl/ctrlProps/ctrlProp140.xml><?xml version="1.0" encoding="utf-8"?>
<formControlPr xmlns="http://schemas.microsoft.com/office/spreadsheetml/2009/9/main" objectType="CheckBox" fmlaLink="$R$15" lockText="1" noThreeD="1"/>
</file>

<file path=xl/ctrlProps/ctrlProp141.xml><?xml version="1.0" encoding="utf-8"?>
<formControlPr xmlns="http://schemas.microsoft.com/office/spreadsheetml/2009/9/main" objectType="CheckBox" fmlaLink="$R$16" lockText="1" noThreeD="1"/>
</file>

<file path=xl/ctrlProps/ctrlProp142.xml><?xml version="1.0" encoding="utf-8"?>
<formControlPr xmlns="http://schemas.microsoft.com/office/spreadsheetml/2009/9/main" objectType="CheckBox" fmlaLink="$R$17" lockText="1" noThreeD="1"/>
</file>

<file path=xl/ctrlProps/ctrlProp143.xml><?xml version="1.0" encoding="utf-8"?>
<formControlPr xmlns="http://schemas.microsoft.com/office/spreadsheetml/2009/9/main" objectType="CheckBox" checked="Checked" fmlaLink="$T$14" lockText="1" noThreeD="1"/>
</file>

<file path=xl/ctrlProps/ctrlProp144.xml><?xml version="1.0" encoding="utf-8"?>
<formControlPr xmlns="http://schemas.microsoft.com/office/spreadsheetml/2009/9/main" objectType="CheckBox" fmlaLink="$T$15" lockText="1" noThreeD="1"/>
</file>

<file path=xl/ctrlProps/ctrlProp145.xml><?xml version="1.0" encoding="utf-8"?>
<formControlPr xmlns="http://schemas.microsoft.com/office/spreadsheetml/2009/9/main" objectType="CheckBox" fmlaLink="$T$16" lockText="1" noThreeD="1"/>
</file>

<file path=xl/ctrlProps/ctrlProp146.xml><?xml version="1.0" encoding="utf-8"?>
<formControlPr xmlns="http://schemas.microsoft.com/office/spreadsheetml/2009/9/main" objectType="CheckBox" fmlaLink="$T$17" lockText="1" noThreeD="1"/>
</file>

<file path=xl/ctrlProps/ctrlProp147.xml><?xml version="1.0" encoding="utf-8"?>
<formControlPr xmlns="http://schemas.microsoft.com/office/spreadsheetml/2009/9/main" objectType="CheckBox" fmlaLink="$T$3" lockText="1" noThreeD="1"/>
</file>

<file path=xl/ctrlProps/ctrlProp148.xml><?xml version="1.0" encoding="utf-8"?>
<formControlPr xmlns="http://schemas.microsoft.com/office/spreadsheetml/2009/9/main" objectType="CheckBox" fmlaLink="$T$4" lockText="1" noThreeD="1"/>
</file>

<file path=xl/ctrlProps/ctrlProp149.xml><?xml version="1.0" encoding="utf-8"?>
<formControlPr xmlns="http://schemas.microsoft.com/office/spreadsheetml/2009/9/main" objectType="CheckBox" fmlaLink="$T$4" lockText="1" noThreeD="1"/>
</file>

<file path=xl/ctrlProps/ctrlProp15.xml><?xml version="1.0" encoding="utf-8"?>
<formControlPr xmlns="http://schemas.microsoft.com/office/spreadsheetml/2009/9/main" objectType="Drop" dropStyle="combo" dx="18" fmlaLink="AB71" fmlaRange="'SD3'!$C$90:$C$104" noThreeD="1" sel="15" val="0"/>
</file>

<file path=xl/ctrlProps/ctrlProp150.xml><?xml version="1.0" encoding="utf-8"?>
<formControlPr xmlns="http://schemas.microsoft.com/office/spreadsheetml/2009/9/main" objectType="CheckBox" fmlaLink="$T$3" lockText="1" noThreeD="1"/>
</file>

<file path=xl/ctrlProps/ctrlProp151.xml><?xml version="1.0" encoding="utf-8"?>
<formControlPr xmlns="http://schemas.microsoft.com/office/spreadsheetml/2009/9/main" objectType="CheckBox" checked="Checked" fmlaLink="$S$14" lockText="1" noThreeD="1"/>
</file>

<file path=xl/ctrlProps/ctrlProp152.xml><?xml version="1.0" encoding="utf-8"?>
<formControlPr xmlns="http://schemas.microsoft.com/office/spreadsheetml/2009/9/main" objectType="CheckBox" fmlaLink="$S$15" lockText="1" noThreeD="1"/>
</file>

<file path=xl/ctrlProps/ctrlProp153.xml><?xml version="1.0" encoding="utf-8"?>
<formControlPr xmlns="http://schemas.microsoft.com/office/spreadsheetml/2009/9/main" objectType="CheckBox" fmlaLink="$S$16" lockText="1" noThreeD="1"/>
</file>

<file path=xl/ctrlProps/ctrlProp154.xml><?xml version="1.0" encoding="utf-8"?>
<formControlPr xmlns="http://schemas.microsoft.com/office/spreadsheetml/2009/9/main" objectType="CheckBox" fmlaLink="$S$17" lockText="1" noThreeD="1"/>
</file>

<file path=xl/ctrlProps/ctrlProp155.xml><?xml version="1.0" encoding="utf-8"?>
<formControlPr xmlns="http://schemas.microsoft.com/office/spreadsheetml/2009/9/main" objectType="CheckBox" checked="Checked" fmlaLink="$R$14" lockText="1" noThreeD="1"/>
</file>

<file path=xl/ctrlProps/ctrlProp156.xml><?xml version="1.0" encoding="utf-8"?>
<formControlPr xmlns="http://schemas.microsoft.com/office/spreadsheetml/2009/9/main" objectType="CheckBox" fmlaLink="$R$15" lockText="1" noThreeD="1"/>
</file>

<file path=xl/ctrlProps/ctrlProp157.xml><?xml version="1.0" encoding="utf-8"?>
<formControlPr xmlns="http://schemas.microsoft.com/office/spreadsheetml/2009/9/main" objectType="CheckBox" fmlaLink="$R$16" lockText="1" noThreeD="1"/>
</file>

<file path=xl/ctrlProps/ctrlProp158.xml><?xml version="1.0" encoding="utf-8"?>
<formControlPr xmlns="http://schemas.microsoft.com/office/spreadsheetml/2009/9/main" objectType="CheckBox" fmlaLink="$R$17" lockText="1" noThreeD="1"/>
</file>

<file path=xl/ctrlProps/ctrlProp159.xml><?xml version="1.0" encoding="utf-8"?>
<formControlPr xmlns="http://schemas.microsoft.com/office/spreadsheetml/2009/9/main" objectType="CheckBox" checked="Checked" fmlaLink="$T$14" lockText="1" noThreeD="1"/>
</file>

<file path=xl/ctrlProps/ctrlProp16.xml><?xml version="1.0" encoding="utf-8"?>
<formControlPr xmlns="http://schemas.microsoft.com/office/spreadsheetml/2009/9/main" objectType="Drop" dropStyle="combo" dx="18" fmlaLink="AB72" fmlaRange="'SD3'!$C$90:$C$104" noThreeD="1" sel="1" val="0"/>
</file>

<file path=xl/ctrlProps/ctrlProp160.xml><?xml version="1.0" encoding="utf-8"?>
<formControlPr xmlns="http://schemas.microsoft.com/office/spreadsheetml/2009/9/main" objectType="CheckBox" fmlaLink="$T$15" lockText="1" noThreeD="1"/>
</file>

<file path=xl/ctrlProps/ctrlProp161.xml><?xml version="1.0" encoding="utf-8"?>
<formControlPr xmlns="http://schemas.microsoft.com/office/spreadsheetml/2009/9/main" objectType="CheckBox" fmlaLink="$T$16" lockText="1" noThreeD="1"/>
</file>

<file path=xl/ctrlProps/ctrlProp162.xml><?xml version="1.0" encoding="utf-8"?>
<formControlPr xmlns="http://schemas.microsoft.com/office/spreadsheetml/2009/9/main" objectType="CheckBox" fmlaLink="$T$17" lockText="1" noThreeD="1"/>
</file>

<file path=xl/ctrlProps/ctrlProp163.xml><?xml version="1.0" encoding="utf-8"?>
<formControlPr xmlns="http://schemas.microsoft.com/office/spreadsheetml/2009/9/main" objectType="CheckBox" fmlaLink="$T$3" lockText="1" noThreeD="1"/>
</file>

<file path=xl/ctrlProps/ctrlProp164.xml><?xml version="1.0" encoding="utf-8"?>
<formControlPr xmlns="http://schemas.microsoft.com/office/spreadsheetml/2009/9/main" objectType="CheckBox" fmlaLink="$T$4" lockText="1" noThreeD="1"/>
</file>

<file path=xl/ctrlProps/ctrlProp165.xml><?xml version="1.0" encoding="utf-8"?>
<formControlPr xmlns="http://schemas.microsoft.com/office/spreadsheetml/2009/9/main" objectType="CheckBox" fmlaLink="$T$4" lockText="1" noThreeD="1"/>
</file>

<file path=xl/ctrlProps/ctrlProp166.xml><?xml version="1.0" encoding="utf-8"?>
<formControlPr xmlns="http://schemas.microsoft.com/office/spreadsheetml/2009/9/main" objectType="CheckBox" fmlaLink="$T$3" lockText="1" noThreeD="1"/>
</file>

<file path=xl/ctrlProps/ctrlProp167.xml><?xml version="1.0" encoding="utf-8"?>
<formControlPr xmlns="http://schemas.microsoft.com/office/spreadsheetml/2009/9/main" objectType="CheckBox" checked="Checked" fmlaLink="$S$14" lockText="1" noThreeD="1"/>
</file>

<file path=xl/ctrlProps/ctrlProp168.xml><?xml version="1.0" encoding="utf-8"?>
<formControlPr xmlns="http://schemas.microsoft.com/office/spreadsheetml/2009/9/main" objectType="CheckBox" fmlaLink="$S$15" lockText="1" noThreeD="1"/>
</file>

<file path=xl/ctrlProps/ctrlProp169.xml><?xml version="1.0" encoding="utf-8"?>
<formControlPr xmlns="http://schemas.microsoft.com/office/spreadsheetml/2009/9/main" objectType="CheckBox" fmlaLink="$S$16" lockText="1" noThreeD="1"/>
</file>

<file path=xl/ctrlProps/ctrlProp17.xml><?xml version="1.0" encoding="utf-8"?>
<formControlPr xmlns="http://schemas.microsoft.com/office/spreadsheetml/2009/9/main" objectType="Drop" dropStyle="combo" dx="18" fmlaLink="AB73" fmlaRange="'SD3'!$C$90:$C$104" noThreeD="1" sel="1" val="0"/>
</file>

<file path=xl/ctrlProps/ctrlProp170.xml><?xml version="1.0" encoding="utf-8"?>
<formControlPr xmlns="http://schemas.microsoft.com/office/spreadsheetml/2009/9/main" objectType="CheckBox" fmlaLink="$S$17" lockText="1" noThreeD="1"/>
</file>

<file path=xl/ctrlProps/ctrlProp171.xml><?xml version="1.0" encoding="utf-8"?>
<formControlPr xmlns="http://schemas.microsoft.com/office/spreadsheetml/2009/9/main" objectType="CheckBox" checked="Checked" fmlaLink="$R$14" lockText="1" noThreeD="1"/>
</file>

<file path=xl/ctrlProps/ctrlProp172.xml><?xml version="1.0" encoding="utf-8"?>
<formControlPr xmlns="http://schemas.microsoft.com/office/spreadsheetml/2009/9/main" objectType="CheckBox" fmlaLink="$R$15" lockText="1" noThreeD="1"/>
</file>

<file path=xl/ctrlProps/ctrlProp173.xml><?xml version="1.0" encoding="utf-8"?>
<formControlPr xmlns="http://schemas.microsoft.com/office/spreadsheetml/2009/9/main" objectType="CheckBox" fmlaLink="$R$16" lockText="1" noThreeD="1"/>
</file>

<file path=xl/ctrlProps/ctrlProp174.xml><?xml version="1.0" encoding="utf-8"?>
<formControlPr xmlns="http://schemas.microsoft.com/office/spreadsheetml/2009/9/main" objectType="CheckBox" fmlaLink="$R$17" lockText="1" noThreeD="1"/>
</file>

<file path=xl/ctrlProps/ctrlProp175.xml><?xml version="1.0" encoding="utf-8"?>
<formControlPr xmlns="http://schemas.microsoft.com/office/spreadsheetml/2009/9/main" objectType="CheckBox" checked="Checked" fmlaLink="$T$14" lockText="1" noThreeD="1"/>
</file>

<file path=xl/ctrlProps/ctrlProp176.xml><?xml version="1.0" encoding="utf-8"?>
<formControlPr xmlns="http://schemas.microsoft.com/office/spreadsheetml/2009/9/main" objectType="CheckBox" fmlaLink="$T$15" lockText="1" noThreeD="1"/>
</file>

<file path=xl/ctrlProps/ctrlProp177.xml><?xml version="1.0" encoding="utf-8"?>
<formControlPr xmlns="http://schemas.microsoft.com/office/spreadsheetml/2009/9/main" objectType="CheckBox" fmlaLink="$T$16" lockText="1" noThreeD="1"/>
</file>

<file path=xl/ctrlProps/ctrlProp178.xml><?xml version="1.0" encoding="utf-8"?>
<formControlPr xmlns="http://schemas.microsoft.com/office/spreadsheetml/2009/9/main" objectType="CheckBox" fmlaLink="$T$17" lockText="1" noThreeD="1"/>
</file>

<file path=xl/ctrlProps/ctrlProp179.xml><?xml version="1.0" encoding="utf-8"?>
<formControlPr xmlns="http://schemas.microsoft.com/office/spreadsheetml/2009/9/main" objectType="CheckBox" fmlaLink="$T$3" lockText="1" noThreeD="1"/>
</file>

<file path=xl/ctrlProps/ctrlProp18.xml><?xml version="1.0" encoding="utf-8"?>
<formControlPr xmlns="http://schemas.microsoft.com/office/spreadsheetml/2009/9/main" objectType="Drop" dropStyle="combo" dx="18" fmlaLink="AB37" fmlaRange="'SD3'!$C$24:$C$85" noThreeD="1" sel="1" val="0"/>
</file>

<file path=xl/ctrlProps/ctrlProp180.xml><?xml version="1.0" encoding="utf-8"?>
<formControlPr xmlns="http://schemas.microsoft.com/office/spreadsheetml/2009/9/main" objectType="CheckBox" fmlaLink="$T$4" lockText="1" noThreeD="1"/>
</file>

<file path=xl/ctrlProps/ctrlProp19.xml><?xml version="1.0" encoding="utf-8"?>
<formControlPr xmlns="http://schemas.microsoft.com/office/spreadsheetml/2009/9/main" objectType="Drop" dropStyle="combo" dx="18" fmlaLink="AB36" fmlaRange="'SD3'!$C$24:$C$85" noThreeD="1" sel="1" val="0"/>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Drop" dropStyle="combo" dx="18" fmlaLink="AB37" fmlaRange="'SD3'!$C$24:$C$85" noThreeD="1" sel="1" val="0"/>
</file>

<file path=xl/ctrlProps/ctrlProp21.xml><?xml version="1.0" encoding="utf-8"?>
<formControlPr xmlns="http://schemas.microsoft.com/office/spreadsheetml/2009/9/main" objectType="Drop" dropStyle="combo" dx="18" fmlaLink="AB65" fmlaRange="'SD3'!$C$24:$C$85" noThreeD="1" sel="41" val="0"/>
</file>

<file path=xl/ctrlProps/ctrlProp22.xml><?xml version="1.0" encoding="utf-8"?>
<formControlPr xmlns="http://schemas.microsoft.com/office/spreadsheetml/2009/9/main" objectType="Drop" dropStyle="combo" dx="18" fmlaLink="AB66" fmlaRange="'SD3'!$C$24:$C$85" noThreeD="1" sel="1" val="0"/>
</file>

<file path=xl/ctrlProps/ctrlProp23.xml><?xml version="1.0" encoding="utf-8"?>
<formControlPr xmlns="http://schemas.microsoft.com/office/spreadsheetml/2009/9/main" objectType="Drop" dropStyle="combo" dx="18" fmlaLink="AB67" fmlaRange="'SD3'!$C$24:$C$85" noThreeD="1" sel="1" val="0"/>
</file>

<file path=xl/ctrlProps/ctrlProp24.xml><?xml version="1.0" encoding="utf-8"?>
<formControlPr xmlns="http://schemas.microsoft.com/office/spreadsheetml/2009/9/main" objectType="Drop" dropStyle="combo" dx="18" fmlaLink="AB68" fmlaRange="'SD3'!$C$24:$C$85" noThreeD="1" sel="1" val="0"/>
</file>

<file path=xl/ctrlProps/ctrlProp25.xml><?xml version="1.0" encoding="utf-8"?>
<formControlPr xmlns="http://schemas.microsoft.com/office/spreadsheetml/2009/9/main" objectType="Drop" dropStyle="combo" dx="18" fmlaLink="AB69" fmlaRange="'SD3'!$C$24:$C$85" noThreeD="1" sel="22" val="0"/>
</file>

<file path=xl/ctrlProps/ctrlProp26.xml><?xml version="1.0" encoding="utf-8"?>
<formControlPr xmlns="http://schemas.microsoft.com/office/spreadsheetml/2009/9/main" objectType="Drop" dropLines="3" dropStyle="combo" dx="18" fmlaLink="X7" fmlaRange="$V$8:$V$9" noThreeD="1" sel="2" val="0"/>
</file>

<file path=xl/ctrlProps/ctrlProp27.xml><?xml version="1.0" encoding="utf-8"?>
<formControlPr xmlns="http://schemas.microsoft.com/office/spreadsheetml/2009/9/main" objectType="Drop" dropLines="4" dropStyle="combo" dx="19" fmlaLink="AM5" fmlaRange="$AJ$6:$AJ$7" noThreeD="1" sel="2" val="0"/>
</file>

<file path=xl/ctrlProps/ctrlProp28.xml><?xml version="1.0" encoding="utf-8"?>
<formControlPr xmlns="http://schemas.microsoft.com/office/spreadsheetml/2009/9/main" objectType="CheckBox" fmlaLink="$T$4" lockText="1" noThreeD="1"/>
</file>

<file path=xl/ctrlProps/ctrlProp29.xml><?xml version="1.0" encoding="utf-8"?>
<formControlPr xmlns="http://schemas.microsoft.com/office/spreadsheetml/2009/9/main" objectType="CheckBox" checked="Checked" fmlaLink="$T$3" lockText="1" noThreeD="1"/>
</file>

<file path=xl/ctrlProps/ctrlProp3.xml><?xml version="1.0" encoding="utf-8"?>
<formControlPr xmlns="http://schemas.microsoft.com/office/spreadsheetml/2009/9/main" objectType="Radio" checked="Checked" firstButton="1" fmlaLink="$W$5" lockText="1" noThreeD="1"/>
</file>

<file path=xl/ctrlProps/ctrlProp30.xml><?xml version="1.0" encoding="utf-8"?>
<formControlPr xmlns="http://schemas.microsoft.com/office/spreadsheetml/2009/9/main" objectType="CheckBox" fmlaLink="$T$4" lockText="1" noThreeD="1"/>
</file>

<file path=xl/ctrlProps/ctrlProp31.xml><?xml version="1.0" encoding="utf-8"?>
<formControlPr xmlns="http://schemas.microsoft.com/office/spreadsheetml/2009/9/main" objectType="CheckBox" checked="Checked" fmlaLink="$T$3" lockText="1" noThreeD="1"/>
</file>

<file path=xl/ctrlProps/ctrlProp32.xml><?xml version="1.0" encoding="utf-8"?>
<formControlPr xmlns="http://schemas.microsoft.com/office/spreadsheetml/2009/9/main" objectType="CheckBox" fmlaLink="$T$4" lockText="1" noThreeD="1"/>
</file>

<file path=xl/ctrlProps/ctrlProp33.xml><?xml version="1.0" encoding="utf-8"?>
<formControlPr xmlns="http://schemas.microsoft.com/office/spreadsheetml/2009/9/main" objectType="CheckBox" checked="Checked" fmlaLink="$T$3" lockText="1" noThreeD="1"/>
</file>

<file path=xl/ctrlProps/ctrlProp34.xml><?xml version="1.0" encoding="utf-8"?>
<formControlPr xmlns="http://schemas.microsoft.com/office/spreadsheetml/2009/9/main" objectType="CheckBox" fmlaLink="$T$4" lockText="1" noThreeD="1"/>
</file>

<file path=xl/ctrlProps/ctrlProp35.xml><?xml version="1.0" encoding="utf-8"?>
<formControlPr xmlns="http://schemas.microsoft.com/office/spreadsheetml/2009/9/main" objectType="CheckBox" checked="Checked" fmlaLink="$T$3" lockText="1" noThreeD="1"/>
</file>

<file path=xl/ctrlProps/ctrlProp36.xml><?xml version="1.0" encoding="utf-8"?>
<formControlPr xmlns="http://schemas.microsoft.com/office/spreadsheetml/2009/9/main" objectType="CheckBox" fmlaLink="$T$4" lockText="1" noThreeD="1"/>
</file>

<file path=xl/ctrlProps/ctrlProp37.xml><?xml version="1.0" encoding="utf-8"?>
<formControlPr xmlns="http://schemas.microsoft.com/office/spreadsheetml/2009/9/main" objectType="CheckBox" checked="Checked" fmlaLink="$T$3" lockText="1" noThreeD="1"/>
</file>

<file path=xl/ctrlProps/ctrlProp38.xml><?xml version="1.0" encoding="utf-8"?>
<formControlPr xmlns="http://schemas.microsoft.com/office/spreadsheetml/2009/9/main" objectType="CheckBox" fmlaLink="$T$4" lockText="1" noThreeD="1"/>
</file>

<file path=xl/ctrlProps/ctrlProp39.xml><?xml version="1.0" encoding="utf-8"?>
<formControlPr xmlns="http://schemas.microsoft.com/office/spreadsheetml/2009/9/main" objectType="CheckBox" checked="Checked" fmlaLink="$T$3"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CheckBox" fmlaLink="$T$4" lockText="1" noThreeD="1"/>
</file>

<file path=xl/ctrlProps/ctrlProp41.xml><?xml version="1.0" encoding="utf-8"?>
<formControlPr xmlns="http://schemas.microsoft.com/office/spreadsheetml/2009/9/main" objectType="CheckBox" checked="Checked" fmlaLink="$T$3" lockText="1" noThreeD="1"/>
</file>

<file path=xl/ctrlProps/ctrlProp42.xml><?xml version="1.0" encoding="utf-8"?>
<formControlPr xmlns="http://schemas.microsoft.com/office/spreadsheetml/2009/9/main" objectType="CheckBox" fmlaLink="$T$4" lockText="1" noThreeD="1"/>
</file>

<file path=xl/ctrlProps/ctrlProp43.xml><?xml version="1.0" encoding="utf-8"?>
<formControlPr xmlns="http://schemas.microsoft.com/office/spreadsheetml/2009/9/main" objectType="CheckBox" checked="Checked" fmlaLink="$T$3" lockText="1" noThreeD="1"/>
</file>

<file path=xl/ctrlProps/ctrlProp44.xml><?xml version="1.0" encoding="utf-8"?>
<formControlPr xmlns="http://schemas.microsoft.com/office/spreadsheetml/2009/9/main" objectType="CheckBox" fmlaLink="$T$4" lockText="1" noThreeD="1"/>
</file>

<file path=xl/ctrlProps/ctrlProp45.xml><?xml version="1.0" encoding="utf-8"?>
<formControlPr xmlns="http://schemas.microsoft.com/office/spreadsheetml/2009/9/main" objectType="CheckBox" checked="Checked" fmlaLink="$T$3" lockText="1" noThreeD="1"/>
</file>

<file path=xl/ctrlProps/ctrlProp46.xml><?xml version="1.0" encoding="utf-8"?>
<formControlPr xmlns="http://schemas.microsoft.com/office/spreadsheetml/2009/9/main" objectType="CheckBox" fmlaLink="$T$4" lockText="1" noThreeD="1"/>
</file>

<file path=xl/ctrlProps/ctrlProp47.xml><?xml version="1.0" encoding="utf-8"?>
<formControlPr xmlns="http://schemas.microsoft.com/office/spreadsheetml/2009/9/main" objectType="CheckBox" checked="Checked" fmlaLink="$T$3" lockText="1" noThreeD="1"/>
</file>

<file path=xl/ctrlProps/ctrlProp48.xml><?xml version="1.0" encoding="utf-8"?>
<formControlPr xmlns="http://schemas.microsoft.com/office/spreadsheetml/2009/9/main" objectType="CheckBox" fmlaLink="$T$4" lockText="1" noThreeD="1"/>
</file>

<file path=xl/ctrlProps/ctrlProp49.xml><?xml version="1.0" encoding="utf-8"?>
<formControlPr xmlns="http://schemas.microsoft.com/office/spreadsheetml/2009/9/main" objectType="CheckBox" checked="Checked" fmlaLink="$T$3"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CheckBox" fmlaLink="$T$4" lockText="1" noThreeD="1"/>
</file>

<file path=xl/ctrlProps/ctrlProp51.xml><?xml version="1.0" encoding="utf-8"?>
<formControlPr xmlns="http://schemas.microsoft.com/office/spreadsheetml/2009/9/main" objectType="CheckBox" checked="Checked" fmlaLink="$T$3" lockText="1" noThreeD="1"/>
</file>

<file path=xl/ctrlProps/ctrlProp52.xml><?xml version="1.0" encoding="utf-8"?>
<formControlPr xmlns="http://schemas.microsoft.com/office/spreadsheetml/2009/9/main" objectType="CheckBox" fmlaLink="$T$4" lockText="1" noThreeD="1"/>
</file>

<file path=xl/ctrlProps/ctrlProp53.xml><?xml version="1.0" encoding="utf-8"?>
<formControlPr xmlns="http://schemas.microsoft.com/office/spreadsheetml/2009/9/main" objectType="CheckBox" checked="Checked" fmlaLink="$T$3" lockText="1" noThreeD="1"/>
</file>

<file path=xl/ctrlProps/ctrlProp54.xml><?xml version="1.0" encoding="utf-8"?>
<formControlPr xmlns="http://schemas.microsoft.com/office/spreadsheetml/2009/9/main" objectType="CheckBox" fmlaLink="$T$4" lockText="1" noThreeD="1"/>
</file>

<file path=xl/ctrlProps/ctrlProp55.xml><?xml version="1.0" encoding="utf-8"?>
<formControlPr xmlns="http://schemas.microsoft.com/office/spreadsheetml/2009/9/main" objectType="CheckBox" fmlaLink="$T$3" lockText="1" noThreeD="1"/>
</file>

<file path=xl/ctrlProps/ctrlProp56.xml><?xml version="1.0" encoding="utf-8"?>
<formControlPr xmlns="http://schemas.microsoft.com/office/spreadsheetml/2009/9/main" objectType="CheckBox" checked="Checked" fmlaLink="$T$4" lockText="1" noThreeD="1"/>
</file>

<file path=xl/ctrlProps/ctrlProp57.xml><?xml version="1.0" encoding="utf-8"?>
<formControlPr xmlns="http://schemas.microsoft.com/office/spreadsheetml/2009/9/main" objectType="CheckBox" fmlaLink="$T$3" lockText="1" noThreeD="1"/>
</file>

<file path=xl/ctrlProps/ctrlProp58.xml><?xml version="1.0" encoding="utf-8"?>
<formControlPr xmlns="http://schemas.microsoft.com/office/spreadsheetml/2009/9/main" objectType="CheckBox" fmlaLink="$T$4" lockText="1" noThreeD="1"/>
</file>

<file path=xl/ctrlProps/ctrlProp59.xml><?xml version="1.0" encoding="utf-8"?>
<formControlPr xmlns="http://schemas.microsoft.com/office/spreadsheetml/2009/9/main" objectType="CheckBox" checked="Checked" fmlaLink="$T$3" lockText="1" noThreeD="1"/>
</file>

<file path=xl/ctrlProps/ctrlProp6.xml><?xml version="1.0" encoding="utf-8"?>
<formControlPr xmlns="http://schemas.microsoft.com/office/spreadsheetml/2009/9/main" objectType="Drop" dropStyle="combo" dx="18" fmlaLink="AB31" fmlaRange="'SD3'!$C$24:$C$85" noThreeD="1" sel="2" val="0"/>
</file>

<file path=xl/ctrlProps/ctrlProp60.xml><?xml version="1.0" encoding="utf-8"?>
<formControlPr xmlns="http://schemas.microsoft.com/office/spreadsheetml/2009/9/main" objectType="CheckBox" checked="Checked" fmlaLink="$T$4" lockText="1" noThreeD="1"/>
</file>

<file path=xl/ctrlProps/ctrlProp61.xml><?xml version="1.0" encoding="utf-8"?>
<formControlPr xmlns="http://schemas.microsoft.com/office/spreadsheetml/2009/9/main" objectType="CheckBox" fmlaLink="$T$3" lockText="1" noThreeD="1"/>
</file>

<file path=xl/ctrlProps/ctrlProp62.xml><?xml version="1.0" encoding="utf-8"?>
<formControlPr xmlns="http://schemas.microsoft.com/office/spreadsheetml/2009/9/main" objectType="CheckBox" fmlaLink="$T$4" lockText="1" noThreeD="1"/>
</file>

<file path=xl/ctrlProps/ctrlProp63.xml><?xml version="1.0" encoding="utf-8"?>
<formControlPr xmlns="http://schemas.microsoft.com/office/spreadsheetml/2009/9/main" objectType="CheckBox" checked="Checked" fmlaLink="$T$3" lockText="1" noThreeD="1"/>
</file>

<file path=xl/ctrlProps/ctrlProp64.xml><?xml version="1.0" encoding="utf-8"?>
<formControlPr xmlns="http://schemas.microsoft.com/office/spreadsheetml/2009/9/main" objectType="CheckBox" fmlaLink="$T$4" lockText="1" noThreeD="1"/>
</file>

<file path=xl/ctrlProps/ctrlProp65.xml><?xml version="1.0" encoding="utf-8"?>
<formControlPr xmlns="http://schemas.microsoft.com/office/spreadsheetml/2009/9/main" objectType="CheckBox" checked="Checked" fmlaLink="$T$3" lockText="1" noThreeD="1"/>
</file>

<file path=xl/ctrlProps/ctrlProp66.xml><?xml version="1.0" encoding="utf-8"?>
<formControlPr xmlns="http://schemas.microsoft.com/office/spreadsheetml/2009/9/main" objectType="CheckBox" fmlaLink="$T$4" lockText="1" noThreeD="1"/>
</file>

<file path=xl/ctrlProps/ctrlProp67.xml><?xml version="1.0" encoding="utf-8"?>
<formControlPr xmlns="http://schemas.microsoft.com/office/spreadsheetml/2009/9/main" objectType="CheckBox" checked="Checked" fmlaLink="$T$3" lockText="1" noThreeD="1"/>
</file>

<file path=xl/ctrlProps/ctrlProp68.xml><?xml version="1.0" encoding="utf-8"?>
<formControlPr xmlns="http://schemas.microsoft.com/office/spreadsheetml/2009/9/main" objectType="CheckBox" fmlaLink="$T$4" lockText="1" noThreeD="1"/>
</file>

<file path=xl/ctrlProps/ctrlProp69.xml><?xml version="1.0" encoding="utf-8"?>
<formControlPr xmlns="http://schemas.microsoft.com/office/spreadsheetml/2009/9/main" objectType="CheckBox" checked="Checked" fmlaLink="$T$3" lockText="1" noThreeD="1"/>
</file>

<file path=xl/ctrlProps/ctrlProp7.xml><?xml version="1.0" encoding="utf-8"?>
<formControlPr xmlns="http://schemas.microsoft.com/office/spreadsheetml/2009/9/main" objectType="Drop" dropStyle="combo" dx="18" fmlaLink="AB32" fmlaRange="'SD3'!$C$24:$C$85" noThreeD="1" sel="4" val="0"/>
</file>

<file path=xl/ctrlProps/ctrlProp70.xml><?xml version="1.0" encoding="utf-8"?>
<formControlPr xmlns="http://schemas.microsoft.com/office/spreadsheetml/2009/9/main" objectType="CheckBox" fmlaLink="$T$3" lockText="1" noThreeD="1"/>
</file>

<file path=xl/ctrlProps/ctrlProp71.xml><?xml version="1.0" encoding="utf-8"?>
<formControlPr xmlns="http://schemas.microsoft.com/office/spreadsheetml/2009/9/main" objectType="CheckBox" fmlaLink="$T$4" lockText="1" noThreeD="1"/>
</file>

<file path=xl/ctrlProps/ctrlProp72.xml><?xml version="1.0" encoding="utf-8"?>
<formControlPr xmlns="http://schemas.microsoft.com/office/spreadsheetml/2009/9/main" objectType="CheckBox" fmlaLink="$T$4" lockText="1" noThreeD="1"/>
</file>

<file path=xl/ctrlProps/ctrlProp73.xml><?xml version="1.0" encoding="utf-8"?>
<formControlPr xmlns="http://schemas.microsoft.com/office/spreadsheetml/2009/9/main" objectType="CheckBox" checked="Checked" fmlaLink="$T$3" lockText="1" noThreeD="1"/>
</file>

<file path=xl/ctrlProps/ctrlProp74.xml><?xml version="1.0" encoding="utf-8"?>
<formControlPr xmlns="http://schemas.microsoft.com/office/spreadsheetml/2009/9/main" objectType="CheckBox" checked="Checked" fmlaLink="$S$14" lockText="1" noThreeD="1"/>
</file>

<file path=xl/ctrlProps/ctrlProp75.xml><?xml version="1.0" encoding="utf-8"?>
<formControlPr xmlns="http://schemas.microsoft.com/office/spreadsheetml/2009/9/main" objectType="CheckBox" fmlaLink="$S$15" lockText="1" noThreeD="1"/>
</file>

<file path=xl/ctrlProps/ctrlProp76.xml><?xml version="1.0" encoding="utf-8"?>
<formControlPr xmlns="http://schemas.microsoft.com/office/spreadsheetml/2009/9/main" objectType="CheckBox" fmlaLink="$S$16" lockText="1" noThreeD="1"/>
</file>

<file path=xl/ctrlProps/ctrlProp77.xml><?xml version="1.0" encoding="utf-8"?>
<formControlPr xmlns="http://schemas.microsoft.com/office/spreadsheetml/2009/9/main" objectType="CheckBox" checked="Checked" fmlaLink="$R$14" lockText="1" noThreeD="1"/>
</file>

<file path=xl/ctrlProps/ctrlProp78.xml><?xml version="1.0" encoding="utf-8"?>
<formControlPr xmlns="http://schemas.microsoft.com/office/spreadsheetml/2009/9/main" objectType="CheckBox" fmlaLink="$R$15" lockText="1" noThreeD="1"/>
</file>

<file path=xl/ctrlProps/ctrlProp79.xml><?xml version="1.0" encoding="utf-8"?>
<formControlPr xmlns="http://schemas.microsoft.com/office/spreadsheetml/2009/9/main" objectType="CheckBox" fmlaLink="$R$16" lockText="1" noThreeD="1"/>
</file>

<file path=xl/ctrlProps/ctrlProp8.xml><?xml version="1.0" encoding="utf-8"?>
<formControlPr xmlns="http://schemas.microsoft.com/office/spreadsheetml/2009/9/main" objectType="Drop" dropStyle="combo" dx="18" fmlaLink="AB33" fmlaRange="'SD3'!$C$24:$C$85" noThreeD="1" sel="16" val="0"/>
</file>

<file path=xl/ctrlProps/ctrlProp80.xml><?xml version="1.0" encoding="utf-8"?>
<formControlPr xmlns="http://schemas.microsoft.com/office/spreadsheetml/2009/9/main" objectType="CheckBox" checked="Checked" fmlaLink="$T$14" lockText="1" noThreeD="1"/>
</file>

<file path=xl/ctrlProps/ctrlProp81.xml><?xml version="1.0" encoding="utf-8"?>
<formControlPr xmlns="http://schemas.microsoft.com/office/spreadsheetml/2009/9/main" objectType="CheckBox" fmlaLink="$T$15" lockText="1" noThreeD="1"/>
</file>

<file path=xl/ctrlProps/ctrlProp82.xml><?xml version="1.0" encoding="utf-8"?>
<formControlPr xmlns="http://schemas.microsoft.com/office/spreadsheetml/2009/9/main" objectType="CheckBox" fmlaLink="$T$16" lockText="1" noThreeD="1"/>
</file>

<file path=xl/ctrlProps/ctrlProp83.xml><?xml version="1.0" encoding="utf-8"?>
<formControlPr xmlns="http://schemas.microsoft.com/office/spreadsheetml/2009/9/main" objectType="CheckBox" checked="Checked" fmlaLink="$S$14" lockText="1" noThreeD="1"/>
</file>

<file path=xl/ctrlProps/ctrlProp84.xml><?xml version="1.0" encoding="utf-8"?>
<formControlPr xmlns="http://schemas.microsoft.com/office/spreadsheetml/2009/9/main" objectType="CheckBox" fmlaLink="$S$15" lockText="1" noThreeD="1"/>
</file>

<file path=xl/ctrlProps/ctrlProp85.xml><?xml version="1.0" encoding="utf-8"?>
<formControlPr xmlns="http://schemas.microsoft.com/office/spreadsheetml/2009/9/main" objectType="CheckBox" fmlaLink="$S$16" lockText="1" noThreeD="1"/>
</file>

<file path=xl/ctrlProps/ctrlProp86.xml><?xml version="1.0" encoding="utf-8"?>
<formControlPr xmlns="http://schemas.microsoft.com/office/spreadsheetml/2009/9/main" objectType="CheckBox" checked="Checked" fmlaLink="$R$14" lockText="1" noThreeD="1"/>
</file>

<file path=xl/ctrlProps/ctrlProp87.xml><?xml version="1.0" encoding="utf-8"?>
<formControlPr xmlns="http://schemas.microsoft.com/office/spreadsheetml/2009/9/main" objectType="CheckBox" fmlaLink="$R$15" lockText="1" noThreeD="1"/>
</file>

<file path=xl/ctrlProps/ctrlProp88.xml><?xml version="1.0" encoding="utf-8"?>
<formControlPr xmlns="http://schemas.microsoft.com/office/spreadsheetml/2009/9/main" objectType="CheckBox" fmlaLink="$R$16" lockText="1" noThreeD="1"/>
</file>

<file path=xl/ctrlProps/ctrlProp89.xml><?xml version="1.0" encoding="utf-8"?>
<formControlPr xmlns="http://schemas.microsoft.com/office/spreadsheetml/2009/9/main" objectType="CheckBox" checked="Checked" fmlaLink="$T$14" lockText="1" noThreeD="1"/>
</file>

<file path=xl/ctrlProps/ctrlProp9.xml><?xml version="1.0" encoding="utf-8"?>
<formControlPr xmlns="http://schemas.microsoft.com/office/spreadsheetml/2009/9/main" objectType="Drop" dropStyle="combo" dx="18" fmlaLink="AB34" fmlaRange="'SD3'!$C$24:$C$85" noThreeD="1" sel="17" val="0"/>
</file>

<file path=xl/ctrlProps/ctrlProp90.xml><?xml version="1.0" encoding="utf-8"?>
<formControlPr xmlns="http://schemas.microsoft.com/office/spreadsheetml/2009/9/main" objectType="CheckBox" fmlaLink="$T$15" lockText="1" noThreeD="1"/>
</file>

<file path=xl/ctrlProps/ctrlProp91.xml><?xml version="1.0" encoding="utf-8"?>
<formControlPr xmlns="http://schemas.microsoft.com/office/spreadsheetml/2009/9/main" objectType="CheckBox" fmlaLink="$T$16" lockText="1" noThreeD="1"/>
</file>

<file path=xl/ctrlProps/ctrlProp92.xml><?xml version="1.0" encoding="utf-8"?>
<formControlPr xmlns="http://schemas.microsoft.com/office/spreadsheetml/2009/9/main" objectType="CheckBox" checked="Checked" fmlaLink="$S$14" lockText="1" noThreeD="1"/>
</file>

<file path=xl/ctrlProps/ctrlProp93.xml><?xml version="1.0" encoding="utf-8"?>
<formControlPr xmlns="http://schemas.microsoft.com/office/spreadsheetml/2009/9/main" objectType="CheckBox" fmlaLink="$S$15" lockText="1" noThreeD="1"/>
</file>

<file path=xl/ctrlProps/ctrlProp94.xml><?xml version="1.0" encoding="utf-8"?>
<formControlPr xmlns="http://schemas.microsoft.com/office/spreadsheetml/2009/9/main" objectType="CheckBox" fmlaLink="$S$16" lockText="1" noThreeD="1"/>
</file>

<file path=xl/ctrlProps/ctrlProp95.xml><?xml version="1.0" encoding="utf-8"?>
<formControlPr xmlns="http://schemas.microsoft.com/office/spreadsheetml/2009/9/main" objectType="CheckBox" checked="Checked" fmlaLink="$R$14" lockText="1" noThreeD="1"/>
</file>

<file path=xl/ctrlProps/ctrlProp96.xml><?xml version="1.0" encoding="utf-8"?>
<formControlPr xmlns="http://schemas.microsoft.com/office/spreadsheetml/2009/9/main" objectType="CheckBox" fmlaLink="$R$15" lockText="1" noThreeD="1"/>
</file>

<file path=xl/ctrlProps/ctrlProp97.xml><?xml version="1.0" encoding="utf-8"?>
<formControlPr xmlns="http://schemas.microsoft.com/office/spreadsheetml/2009/9/main" objectType="CheckBox" fmlaLink="$R$16" lockText="1" noThreeD="1"/>
</file>

<file path=xl/ctrlProps/ctrlProp98.xml><?xml version="1.0" encoding="utf-8"?>
<formControlPr xmlns="http://schemas.microsoft.com/office/spreadsheetml/2009/9/main" objectType="CheckBox" checked="Checked" fmlaLink="$T$14" lockText="1" noThreeD="1"/>
</file>

<file path=xl/ctrlProps/ctrlProp99.xml><?xml version="1.0" encoding="utf-8"?>
<formControlPr xmlns="http://schemas.microsoft.com/office/spreadsheetml/2009/9/main" objectType="CheckBox" fmlaLink="$T$15"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hyperlink" Target="#Inhalt!A1:A8"/></Relationships>
</file>

<file path=xl/drawings/_rels/drawing11.xml.rels><?xml version="1.0" encoding="UTF-8" standalone="yes"?>
<Relationships xmlns="http://schemas.openxmlformats.org/package/2006/relationships"><Relationship Id="rId1" Type="http://schemas.openxmlformats.org/officeDocument/2006/relationships/hyperlink" Target="#Inhalt!B12"/></Relationships>
</file>

<file path=xl/drawings/_rels/drawing12.xml.rels><?xml version="1.0" encoding="UTF-8" standalone="yes"?>
<Relationships xmlns="http://schemas.openxmlformats.org/package/2006/relationships"><Relationship Id="rId2" Type="http://schemas.openxmlformats.org/officeDocument/2006/relationships/hyperlink" Target="#Inhalt!B12"/><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hyperlink" Target="#Inhalt!B12"/><Relationship Id="rId2" Type="http://schemas.openxmlformats.org/officeDocument/2006/relationships/hyperlink" Target="#Kostenrechnung!A1"/><Relationship Id="rId1" Type="http://schemas.openxmlformats.org/officeDocument/2006/relationships/hyperlink" Target="#Inhalt!A1:A8"/></Relationships>
</file>

<file path=xl/drawings/_rels/drawing14.xml.rels><?xml version="1.0" encoding="UTF-8" standalone="yes"?>
<Relationships xmlns="http://schemas.openxmlformats.org/package/2006/relationships"><Relationship Id="rId1" Type="http://schemas.openxmlformats.org/officeDocument/2006/relationships/hyperlink" Target="#Inhalt!B12"/></Relationships>
</file>

<file path=xl/drawings/_rels/drawing15.xml.rels><?xml version="1.0" encoding="UTF-8" standalone="yes"?>
<Relationships xmlns="http://schemas.openxmlformats.org/package/2006/relationships"><Relationship Id="rId1" Type="http://schemas.openxmlformats.org/officeDocument/2006/relationships/hyperlink" Target="#Inhalt!B12"/></Relationships>
</file>

<file path=xl/drawings/_rels/drawing16.xml.rels><?xml version="1.0" encoding="UTF-8" standalone="yes"?>
<Relationships xmlns="http://schemas.openxmlformats.org/package/2006/relationships"><Relationship Id="rId1" Type="http://schemas.openxmlformats.org/officeDocument/2006/relationships/hyperlink" Target="#Inhalt!B12"/></Relationships>
</file>

<file path=xl/drawings/_rels/drawing17.xml.rels><?xml version="1.0" encoding="UTF-8" standalone="yes"?>
<Relationships xmlns="http://schemas.openxmlformats.org/package/2006/relationships"><Relationship Id="rId1" Type="http://schemas.openxmlformats.org/officeDocument/2006/relationships/hyperlink" Target="#Inhalt!B12"/></Relationships>
</file>

<file path=xl/drawings/_rels/drawing18.xml.rels><?xml version="1.0" encoding="UTF-8" standalone="yes"?>
<Relationships xmlns="http://schemas.openxmlformats.org/package/2006/relationships"><Relationship Id="rId1" Type="http://schemas.openxmlformats.org/officeDocument/2006/relationships/hyperlink" Target="#Inhalt!B12"/></Relationships>
</file>

<file path=xl/drawings/_rels/drawing19.xml.rels><?xml version="1.0" encoding="UTF-8" standalone="yes"?>
<Relationships xmlns="http://schemas.openxmlformats.org/package/2006/relationships"><Relationship Id="rId1" Type="http://schemas.openxmlformats.org/officeDocument/2006/relationships/hyperlink" Target="#Inhalt!B12"/></Relationships>
</file>

<file path=xl/drawings/_rels/drawing2.xml.rels><?xml version="1.0" encoding="UTF-8" standalone="yes"?>
<Relationships xmlns="http://schemas.openxmlformats.org/package/2006/relationships"><Relationship Id="rId1" Type="http://schemas.openxmlformats.org/officeDocument/2006/relationships/hyperlink" Target="#Inhalt!B56"/></Relationships>
</file>

<file path=xl/drawings/_rels/drawing20.xml.rels><?xml version="1.0" encoding="UTF-8" standalone="yes"?>
<Relationships xmlns="http://schemas.openxmlformats.org/package/2006/relationships"><Relationship Id="rId1" Type="http://schemas.openxmlformats.org/officeDocument/2006/relationships/hyperlink" Target="#Inhalt!B12"/></Relationships>
</file>

<file path=xl/drawings/_rels/drawing21.xml.rels><?xml version="1.0" encoding="UTF-8" standalone="yes"?>
<Relationships xmlns="http://schemas.openxmlformats.org/package/2006/relationships"><Relationship Id="rId1" Type="http://schemas.openxmlformats.org/officeDocument/2006/relationships/hyperlink" Target="#Inhalt!B12"/></Relationships>
</file>

<file path=xl/drawings/_rels/drawing22.xml.rels><?xml version="1.0" encoding="UTF-8" standalone="yes"?>
<Relationships xmlns="http://schemas.openxmlformats.org/package/2006/relationships"><Relationship Id="rId3" Type="http://schemas.openxmlformats.org/officeDocument/2006/relationships/hyperlink" Target="#Inhalt!A1:A8"/><Relationship Id="rId2" Type="http://schemas.openxmlformats.org/officeDocument/2006/relationships/chart" Target="../charts/chart5.xml"/><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2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2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2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2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2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xml.rels><?xml version="1.0" encoding="UTF-8" standalone="yes"?>
<Relationships xmlns="http://schemas.openxmlformats.org/package/2006/relationships"><Relationship Id="rId3" Type="http://schemas.openxmlformats.org/officeDocument/2006/relationships/hyperlink" Target="#Inhalt!A1:A8"/><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6.xml.rels><?xml version="1.0" encoding="UTF-8" standalone="yes"?>
<Relationships xmlns="http://schemas.openxmlformats.org/package/2006/relationships"><Relationship Id="rId3" Type="http://schemas.openxmlformats.org/officeDocument/2006/relationships/hyperlink" Target="#Kostenrechnung!E2"/><Relationship Id="rId2" Type="http://schemas.openxmlformats.org/officeDocument/2006/relationships/hyperlink" Target="#Inhalt!B52"/><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xml.rels><?xml version="1.0" encoding="UTF-8" standalone="yes"?>
<Relationships xmlns="http://schemas.openxmlformats.org/package/2006/relationships"><Relationship Id="rId1" Type="http://schemas.openxmlformats.org/officeDocument/2006/relationships/hyperlink" Target="#Inhalt!A1:A8"/></Relationships>
</file>

<file path=xl/drawings/_rels/drawing4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1.xml"/></Relationships>
</file>

<file path=xl/drawings/_rels/drawing5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2"/></Relationships>
</file>

<file path=xl/drawings/_rels/drawing6.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2.xml"/></Relationships>
</file>

<file path=xl/drawings/_rels/drawing6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1"/></Relationships>
</file>

<file path=xl/drawings/_rels/drawing6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8"/></Relationships>
</file>

<file path=xl/drawings/_rels/drawing6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6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2"/></Relationships>
</file>

<file path=xl/drawings/_rels/drawing6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6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2"/></Relationships>
</file>

<file path=xl/drawings/_rels/drawing6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4"/></Relationships>
</file>

<file path=xl/drawings/_rels/drawing6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1"/></Relationships>
</file>

<file path=xl/drawings/_rels/drawing68.xml.rels><?xml version="1.0" encoding="UTF-8" standalone="yes"?>
<Relationships xmlns="http://schemas.openxmlformats.org/package/2006/relationships"><Relationship Id="rId2" Type="http://schemas.openxmlformats.org/officeDocument/2006/relationships/hyperlink" Target="#Inhalt!B52"/><Relationship Id="rId1" Type="http://schemas.openxmlformats.org/officeDocument/2006/relationships/hyperlink" Target="#Kostenrechnung!E2"/></Relationships>
</file>

<file path=xl/drawings/_rels/drawing6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0"/></Relationships>
</file>

<file path=xl/drawings/_rels/drawing7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8"/></Relationships>
</file>

<file path=xl/drawings/_rels/drawing7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6"/></Relationships>
</file>

<file path=xl/drawings/_rels/drawing7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7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7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7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hyperlink" Target="#Inhalt!B60"/></Relationships>
</file>

<file path=xl/drawings/_rels/drawing7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8"/></Relationships>
</file>

<file path=xl/drawings/_rels/drawing7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7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4"/></Relationships>
</file>

<file path=xl/drawings/_rels/drawing8.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3.xml"/></Relationships>
</file>

<file path=xl/drawings/_rels/drawing8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7"/></Relationships>
</file>

<file path=xl/drawings/_rels/drawing8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8"/></Relationships>
</file>

<file path=xl/drawings/_rels/drawing8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6"/></Relationships>
</file>

<file path=xl/drawings/drawing1.xml><?xml version="1.0" encoding="utf-8"?>
<xdr:wsDr xmlns:xdr="http://schemas.openxmlformats.org/drawingml/2006/spreadsheetDrawing" xmlns:a="http://schemas.openxmlformats.org/drawingml/2006/main">
  <xdr:oneCellAnchor>
    <xdr:from>
      <xdr:col>2</xdr:col>
      <xdr:colOff>3741420</xdr:colOff>
      <xdr:row>1</xdr:row>
      <xdr:rowOff>22860</xdr:rowOff>
    </xdr:from>
    <xdr:ext cx="1307686" cy="952866"/>
    <xdr:pic>
      <xdr:nvPicPr>
        <xdr:cNvPr id="5" name="Grafik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3100" y="198120"/>
          <a:ext cx="1307686" cy="95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98161</xdr:colOff>
      <xdr:row>3</xdr:row>
      <xdr:rowOff>64878</xdr:rowOff>
    </xdr:from>
    <xdr:ext cx="889795" cy="217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6156061" y="903078"/>
          <a:ext cx="8897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b="0"/>
            <a:t>K.Cypzirsch,2012</a:t>
          </a:r>
        </a:p>
      </xdr:txBody>
    </xdr:sp>
    <xdr:clientData/>
  </xdr:oneCellAnchor>
  <xdr:oneCellAnchor>
    <xdr:from>
      <xdr:col>1</xdr:col>
      <xdr:colOff>15240</xdr:colOff>
      <xdr:row>0</xdr:row>
      <xdr:rowOff>152400</xdr:rowOff>
    </xdr:from>
    <xdr:ext cx="1578534" cy="1066800"/>
    <xdr:pic>
      <xdr:nvPicPr>
        <xdr:cNvPr id="7" name="Grafik 5">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120" y="152400"/>
          <a:ext cx="1578534"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182880</xdr:colOff>
          <xdr:row>6</xdr:row>
          <xdr:rowOff>76200</xdr:rowOff>
        </xdr:from>
        <xdr:to>
          <xdr:col>12</xdr:col>
          <xdr:colOff>22860</xdr:colOff>
          <xdr:row>6</xdr:row>
          <xdr:rowOff>327660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E00-000001200000}"/>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twoCellAnchor>
    <xdr:from>
      <xdr:col>17</xdr:col>
      <xdr:colOff>8626</xdr:colOff>
      <xdr:row>1</xdr:row>
      <xdr:rowOff>16329</xdr:rowOff>
    </xdr:from>
    <xdr:to>
      <xdr:col>18</xdr:col>
      <xdr:colOff>0</xdr:colOff>
      <xdr:row>2</xdr:row>
      <xdr:rowOff>0</xdr:rowOff>
    </xdr:to>
    <xdr:sp macro="" textlink="">
      <xdr:nvSpPr>
        <xdr:cNvPr id="3" name="Rectangle 40">
          <a:hlinkClick xmlns:r="http://schemas.openxmlformats.org/officeDocument/2006/relationships" r:id="rId1"/>
          <a:extLst>
            <a:ext uri="{FF2B5EF4-FFF2-40B4-BE49-F238E27FC236}">
              <a16:creationId xmlns:a16="http://schemas.microsoft.com/office/drawing/2014/main" id="{00000000-0008-0000-0600-000003000000}"/>
            </a:ext>
          </a:extLst>
        </xdr:cNvPr>
        <xdr:cNvSpPr>
          <a:spLocks noChangeArrowheads="1"/>
        </xdr:cNvSpPr>
      </xdr:nvSpPr>
      <xdr:spPr bwMode="auto">
        <a:xfrm>
          <a:off x="9402997" y="190500"/>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15</xdr:col>
      <xdr:colOff>114993</xdr:colOff>
      <xdr:row>4</xdr:row>
      <xdr:rowOff>15587</xdr:rowOff>
    </xdr:from>
    <xdr:to>
      <xdr:col>17</xdr:col>
      <xdr:colOff>720437</xdr:colOff>
      <xdr:row>4</xdr:row>
      <xdr:rowOff>438150</xdr:rowOff>
    </xdr:to>
    <xdr:sp macro="" textlink="">
      <xdr:nvSpPr>
        <xdr:cNvPr id="4" name="Textfeld 3">
          <a:extLst>
            <a:ext uri="{FF2B5EF4-FFF2-40B4-BE49-F238E27FC236}">
              <a16:creationId xmlns:a16="http://schemas.microsoft.com/office/drawing/2014/main" id="{00000000-0008-0000-0600-000004000000}"/>
            </a:ext>
          </a:extLst>
        </xdr:cNvPr>
        <xdr:cNvSpPr txBox="1"/>
      </xdr:nvSpPr>
      <xdr:spPr>
        <a:xfrm>
          <a:off x="9887643" y="787112"/>
          <a:ext cx="2072294" cy="422563"/>
        </a:xfrm>
        <a:prstGeom prst="rect">
          <a:avLst/>
        </a:prstGeom>
        <a:solidFill>
          <a:schemeClr val="lt1"/>
        </a:solidFill>
        <a:ln w="9525"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a:solidFill>
                <a:srgbClr val="FF0000"/>
              </a:solidFill>
              <a:latin typeface="Arial" panose="020B0604020202020204" pitchFamily="34" charset="0"/>
              <a:cs typeface="Arial" panose="020B0604020202020204" pitchFamily="34" charset="0"/>
            </a:rPr>
            <a:t>Bitte Bezugsjahr</a:t>
          </a:r>
          <a:r>
            <a:rPr lang="de-DE" sz="1050" baseline="0">
              <a:solidFill>
                <a:srgbClr val="FF0000"/>
              </a:solidFill>
              <a:latin typeface="Arial" panose="020B0604020202020204" pitchFamily="34" charset="0"/>
              <a:cs typeface="Arial" panose="020B0604020202020204" pitchFamily="34" charset="0"/>
            </a:rPr>
            <a:t> auswählen. Drop-Down Menü in O6</a:t>
          </a:r>
          <a:endParaRPr lang="de-DE" sz="1050">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452871</xdr:colOff>
      <xdr:row>0</xdr:row>
      <xdr:rowOff>160020</xdr:rowOff>
    </xdr:from>
    <xdr:to>
      <xdr:col>46</xdr:col>
      <xdr:colOff>708660</xdr:colOff>
      <xdr:row>1</xdr:row>
      <xdr:rowOff>220980</xdr:rowOff>
    </xdr:to>
    <xdr:sp macro="" textlink="">
      <xdr:nvSpPr>
        <xdr:cNvPr id="2" name="Rectangle 45">
          <a:hlinkClick xmlns:r="http://schemas.openxmlformats.org/officeDocument/2006/relationships" r:id="rId1"/>
          <a:extLst>
            <a:ext uri="{FF2B5EF4-FFF2-40B4-BE49-F238E27FC236}">
              <a16:creationId xmlns:a16="http://schemas.microsoft.com/office/drawing/2014/main" id="{00000000-0008-0000-0D00-000002000000}"/>
            </a:ext>
          </a:extLst>
        </xdr:cNvPr>
        <xdr:cNvSpPr>
          <a:spLocks noChangeArrowheads="1"/>
        </xdr:cNvSpPr>
      </xdr:nvSpPr>
      <xdr:spPr bwMode="auto">
        <a:xfrm>
          <a:off x="11189451" y="160020"/>
          <a:ext cx="1840749" cy="236220"/>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8</xdr:col>
          <xdr:colOff>60960</xdr:colOff>
          <xdr:row>6</xdr:row>
          <xdr:rowOff>60960</xdr:rowOff>
        </xdr:from>
        <xdr:to>
          <xdr:col>10</xdr:col>
          <xdr:colOff>708660</xdr:colOff>
          <xdr:row>6</xdr:row>
          <xdr:rowOff>350520</xdr:rowOff>
        </xdr:to>
        <xdr:sp macro="" textlink="">
          <xdr:nvSpPr>
            <xdr:cNvPr id="56323" name="Drop Down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twoCellAnchor>
    <xdr:from>
      <xdr:col>15</xdr:col>
      <xdr:colOff>85725</xdr:colOff>
      <xdr:row>4</xdr:row>
      <xdr:rowOff>45720</xdr:rowOff>
    </xdr:from>
    <xdr:to>
      <xdr:col>45</xdr:col>
      <xdr:colOff>245744</xdr:colOff>
      <xdr:row>6</xdr:row>
      <xdr:rowOff>87630</xdr:rowOff>
    </xdr:to>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858375" y="1102995"/>
          <a:ext cx="1884044" cy="441960"/>
        </a:xfrm>
        <a:prstGeom prst="rect">
          <a:avLst/>
        </a:prstGeom>
        <a:solidFill>
          <a:schemeClr val="lt1"/>
        </a:solidFill>
        <a:ln w="9525"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a:solidFill>
                <a:srgbClr val="FF0000"/>
              </a:solidFill>
              <a:latin typeface="Arial" panose="020B0604020202020204" pitchFamily="34" charset="0"/>
              <a:cs typeface="Arial" panose="020B0604020202020204" pitchFamily="34" charset="0"/>
            </a:rPr>
            <a:t>Bitte Bezugsjahr</a:t>
          </a:r>
          <a:r>
            <a:rPr lang="de-DE" sz="1050" baseline="0">
              <a:solidFill>
                <a:srgbClr val="FF0000"/>
              </a:solidFill>
              <a:latin typeface="Arial" panose="020B0604020202020204" pitchFamily="34" charset="0"/>
              <a:cs typeface="Arial" panose="020B0604020202020204" pitchFamily="34" charset="0"/>
            </a:rPr>
            <a:t> auswählen. Drop-Down Menü in O6</a:t>
          </a:r>
          <a:endParaRPr lang="de-DE" sz="1050">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86264</xdr:colOff>
      <xdr:row>138</xdr:row>
      <xdr:rowOff>0</xdr:rowOff>
    </xdr:from>
    <xdr:ext cx="6660455" cy="4075118"/>
    <xdr:pic>
      <xdr:nvPicPr>
        <xdr:cNvPr id="2" name="Grafik 8">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6364" y="17769840"/>
          <a:ext cx="6660455" cy="407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16</xdr:col>
      <xdr:colOff>0</xdr:colOff>
      <xdr:row>1</xdr:row>
      <xdr:rowOff>91044</xdr:rowOff>
    </xdr:from>
    <xdr:to>
      <xdr:col>18</xdr:col>
      <xdr:colOff>240475</xdr:colOff>
      <xdr:row>2</xdr:row>
      <xdr:rowOff>21772</xdr:rowOff>
    </xdr:to>
    <xdr:sp macro="" textlink="">
      <xdr:nvSpPr>
        <xdr:cNvPr id="5" name="Rectangle 45">
          <a:hlinkClick xmlns:r="http://schemas.openxmlformats.org/officeDocument/2006/relationships" r:id="rId2"/>
          <a:extLst>
            <a:ext uri="{FF2B5EF4-FFF2-40B4-BE49-F238E27FC236}">
              <a16:creationId xmlns:a16="http://schemas.microsoft.com/office/drawing/2014/main" id="{00000000-0008-0000-0E00-000005000000}"/>
            </a:ext>
          </a:extLst>
        </xdr:cNvPr>
        <xdr:cNvSpPr>
          <a:spLocks noChangeArrowheads="1"/>
        </xdr:cNvSpPr>
      </xdr:nvSpPr>
      <xdr:spPr bwMode="auto">
        <a:xfrm>
          <a:off x="9971314" y="210787"/>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17</xdr:col>
      <xdr:colOff>25879</xdr:colOff>
      <xdr:row>1</xdr:row>
      <xdr:rowOff>8626</xdr:rowOff>
    </xdr:from>
    <xdr:to>
      <xdr:col>17</xdr:col>
      <xdr:colOff>1647669</xdr:colOff>
      <xdr:row>2</xdr:row>
      <xdr:rowOff>42413</xdr:rowOff>
    </xdr:to>
    <xdr:sp macro="" textlink="">
      <xdr:nvSpPr>
        <xdr:cNvPr id="2" name="Rectangle 40">
          <a:hlinkClick xmlns:r="http://schemas.openxmlformats.org/officeDocument/2006/relationships" r:id="rId1"/>
          <a:extLst>
            <a:ext uri="{FF2B5EF4-FFF2-40B4-BE49-F238E27FC236}">
              <a16:creationId xmlns:a16="http://schemas.microsoft.com/office/drawing/2014/main" id="{00000000-0008-0000-0F00-000002000000}"/>
            </a:ext>
          </a:extLst>
        </xdr:cNvPr>
        <xdr:cNvSpPr>
          <a:spLocks noChangeArrowheads="1"/>
        </xdr:cNvSpPr>
      </xdr:nvSpPr>
      <xdr:spPr bwMode="auto">
        <a:xfrm>
          <a:off x="13627579" y="176266"/>
          <a:ext cx="775970" cy="201427"/>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1</xdr:col>
      <xdr:colOff>1</xdr:colOff>
      <xdr:row>21</xdr:row>
      <xdr:rowOff>161924</xdr:rowOff>
    </xdr:from>
    <xdr:to>
      <xdr:col>2</xdr:col>
      <xdr:colOff>2</xdr:colOff>
      <xdr:row>30</xdr:row>
      <xdr:rowOff>76199</xdr:rowOff>
    </xdr:to>
    <xdr:sp macro="" textlink="">
      <xdr:nvSpPr>
        <xdr:cNvPr id="3" name="Textfeld 2">
          <a:extLst>
            <a:ext uri="{FF2B5EF4-FFF2-40B4-BE49-F238E27FC236}">
              <a16:creationId xmlns:a16="http://schemas.microsoft.com/office/drawing/2014/main" id="{00000000-0008-0000-0F00-000003000000}"/>
            </a:ext>
          </a:extLst>
        </xdr:cNvPr>
        <xdr:cNvSpPr txBox="1"/>
      </xdr:nvSpPr>
      <xdr:spPr>
        <a:xfrm rot="16200000">
          <a:off x="488634" y="3993831"/>
          <a:ext cx="1423035"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Bodenbearb</a:t>
          </a:r>
          <a:r>
            <a:rPr lang="de-DE" sz="1050"/>
            <a:t>.</a:t>
          </a:r>
        </a:p>
      </xdr:txBody>
    </xdr:sp>
    <xdr:clientData/>
  </xdr:twoCellAnchor>
  <xdr:twoCellAnchor>
    <xdr:from>
      <xdr:col>1</xdr:col>
      <xdr:colOff>2</xdr:colOff>
      <xdr:row>31</xdr:row>
      <xdr:rowOff>0</xdr:rowOff>
    </xdr:from>
    <xdr:to>
      <xdr:col>2</xdr:col>
      <xdr:colOff>3</xdr:colOff>
      <xdr:row>36</xdr:row>
      <xdr:rowOff>0</xdr:rowOff>
    </xdr:to>
    <xdr:sp macro="" textlink="">
      <xdr:nvSpPr>
        <xdr:cNvPr id="4" name="Textfeld 3">
          <a:extLst>
            <a:ext uri="{FF2B5EF4-FFF2-40B4-BE49-F238E27FC236}">
              <a16:creationId xmlns:a16="http://schemas.microsoft.com/office/drawing/2014/main" id="{00000000-0008-0000-0F00-000004000000}"/>
            </a:ext>
          </a:extLst>
        </xdr:cNvPr>
        <xdr:cNvSpPr txBox="1"/>
      </xdr:nvSpPr>
      <xdr:spPr>
        <a:xfrm rot="16200000">
          <a:off x="529592" y="5467350"/>
          <a:ext cx="13411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Bestellung</a:t>
          </a:r>
          <a:endParaRPr lang="de-DE" sz="1050"/>
        </a:p>
      </xdr:txBody>
    </xdr:sp>
    <xdr:clientData/>
  </xdr:twoCellAnchor>
  <xdr:twoCellAnchor>
    <xdr:from>
      <xdr:col>1</xdr:col>
      <xdr:colOff>5</xdr:colOff>
      <xdr:row>40</xdr:row>
      <xdr:rowOff>45720</xdr:rowOff>
    </xdr:from>
    <xdr:to>
      <xdr:col>2</xdr:col>
      <xdr:colOff>5</xdr:colOff>
      <xdr:row>47</xdr:row>
      <xdr:rowOff>68586</xdr:rowOff>
    </xdr:to>
    <xdr:sp macro="" textlink="">
      <xdr:nvSpPr>
        <xdr:cNvPr id="5" name="Textfeld 4">
          <a:extLst>
            <a:ext uri="{FF2B5EF4-FFF2-40B4-BE49-F238E27FC236}">
              <a16:creationId xmlns:a16="http://schemas.microsoft.com/office/drawing/2014/main" id="{00000000-0008-0000-0F00-000005000000}"/>
            </a:ext>
          </a:extLst>
        </xdr:cNvPr>
        <xdr:cNvSpPr txBox="1"/>
      </xdr:nvSpPr>
      <xdr:spPr>
        <a:xfrm rot="16200000">
          <a:off x="601982" y="7620003"/>
          <a:ext cx="1196346"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Pflege</a:t>
          </a:r>
          <a:endParaRPr lang="de-DE" sz="1050"/>
        </a:p>
      </xdr:txBody>
    </xdr:sp>
    <xdr:clientData/>
  </xdr:twoCellAnchor>
  <xdr:twoCellAnchor>
    <xdr:from>
      <xdr:col>1</xdr:col>
      <xdr:colOff>1</xdr:colOff>
      <xdr:row>36</xdr:row>
      <xdr:rowOff>0</xdr:rowOff>
    </xdr:from>
    <xdr:to>
      <xdr:col>2</xdr:col>
      <xdr:colOff>0</xdr:colOff>
      <xdr:row>40</xdr:row>
      <xdr:rowOff>53339</xdr:rowOff>
    </xdr:to>
    <xdr:sp macro="" textlink="">
      <xdr:nvSpPr>
        <xdr:cNvPr id="6" name="Textfeld 5">
          <a:extLst>
            <a:ext uri="{FF2B5EF4-FFF2-40B4-BE49-F238E27FC236}">
              <a16:creationId xmlns:a16="http://schemas.microsoft.com/office/drawing/2014/main" id="{00000000-0008-0000-0F00-000006000000}"/>
            </a:ext>
          </a:extLst>
        </xdr:cNvPr>
        <xdr:cNvSpPr txBox="1"/>
      </xdr:nvSpPr>
      <xdr:spPr>
        <a:xfrm rot="16200000">
          <a:off x="754381" y="6583680"/>
          <a:ext cx="891539" cy="800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Düngung</a:t>
          </a:r>
          <a:r>
            <a:rPr lang="de-DE" sz="1050"/>
            <a:t> </a:t>
          </a:r>
        </a:p>
      </xdr:txBody>
    </xdr:sp>
    <xdr:clientData/>
  </xdr:twoCellAnchor>
  <xdr:twoCellAnchor>
    <xdr:from>
      <xdr:col>0</xdr:col>
      <xdr:colOff>165913</xdr:colOff>
      <xdr:row>59</xdr:row>
      <xdr:rowOff>2853</xdr:rowOff>
    </xdr:from>
    <xdr:to>
      <xdr:col>2</xdr:col>
      <xdr:colOff>2</xdr:colOff>
      <xdr:row>71</xdr:row>
      <xdr:rowOff>3</xdr:rowOff>
    </xdr:to>
    <xdr:sp macro="" textlink="">
      <xdr:nvSpPr>
        <xdr:cNvPr id="7" name="Textfeld 6">
          <a:extLst>
            <a:ext uri="{FF2B5EF4-FFF2-40B4-BE49-F238E27FC236}">
              <a16:creationId xmlns:a16="http://schemas.microsoft.com/office/drawing/2014/main" id="{00000000-0008-0000-0F00-000007000000}"/>
            </a:ext>
          </a:extLst>
        </xdr:cNvPr>
        <xdr:cNvSpPr txBox="1"/>
      </xdr:nvSpPr>
      <xdr:spPr>
        <a:xfrm rot="16200000">
          <a:off x="-593797" y="10302803"/>
          <a:ext cx="2024070" cy="5046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Kartoffeln</a:t>
          </a:r>
          <a:endParaRPr lang="de-DE" sz="1050"/>
        </a:p>
      </xdr:txBody>
    </xdr:sp>
    <xdr:clientData/>
  </xdr:twoCellAnchor>
  <xdr:twoCellAnchor>
    <xdr:from>
      <xdr:col>1</xdr:col>
      <xdr:colOff>1</xdr:colOff>
      <xdr:row>48</xdr:row>
      <xdr:rowOff>0</xdr:rowOff>
    </xdr:from>
    <xdr:to>
      <xdr:col>2</xdr:col>
      <xdr:colOff>2</xdr:colOff>
      <xdr:row>48</xdr:row>
      <xdr:rowOff>2</xdr:rowOff>
    </xdr:to>
    <xdr:sp macro="" textlink="">
      <xdr:nvSpPr>
        <xdr:cNvPr id="8" name="Textfeld 7">
          <a:extLst>
            <a:ext uri="{FF2B5EF4-FFF2-40B4-BE49-F238E27FC236}">
              <a16:creationId xmlns:a16="http://schemas.microsoft.com/office/drawing/2014/main" id="{00000000-0008-0000-0F00-000008000000}"/>
            </a:ext>
          </a:extLst>
        </xdr:cNvPr>
        <xdr:cNvSpPr txBox="1"/>
      </xdr:nvSpPr>
      <xdr:spPr>
        <a:xfrm rot="16200000">
          <a:off x="948691" y="8568690"/>
          <a:ext cx="5029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050"/>
            <a:t>Ernte</a:t>
          </a:r>
        </a:p>
      </xdr:txBody>
    </xdr:sp>
    <xdr:clientData/>
  </xdr:twoCellAnchor>
  <xdr:twoCellAnchor>
    <xdr:from>
      <xdr:col>1</xdr:col>
      <xdr:colOff>3</xdr:colOff>
      <xdr:row>46</xdr:row>
      <xdr:rowOff>121920</xdr:rowOff>
    </xdr:from>
    <xdr:to>
      <xdr:col>2</xdr:col>
      <xdr:colOff>4</xdr:colOff>
      <xdr:row>52</xdr:row>
      <xdr:rowOff>2</xdr:rowOff>
    </xdr:to>
    <xdr:sp macro="" textlink="">
      <xdr:nvSpPr>
        <xdr:cNvPr id="9" name="Textfeld 8">
          <a:extLst>
            <a:ext uri="{FF2B5EF4-FFF2-40B4-BE49-F238E27FC236}">
              <a16:creationId xmlns:a16="http://schemas.microsoft.com/office/drawing/2014/main" id="{00000000-0008-0000-0F00-000009000000}"/>
            </a:ext>
          </a:extLst>
        </xdr:cNvPr>
        <xdr:cNvSpPr txBox="1"/>
      </xdr:nvSpPr>
      <xdr:spPr>
        <a:xfrm rot="16200000">
          <a:off x="40643" y="7589520"/>
          <a:ext cx="528322" cy="2743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900"/>
            </a:lnSpc>
          </a:pPr>
          <a:r>
            <a:rPr lang="de-DE" sz="800"/>
            <a:t>Transport</a:t>
          </a:r>
          <a:endParaRPr lang="de-DE" sz="900"/>
        </a:p>
      </xdr:txBody>
    </xdr:sp>
    <xdr:clientData/>
  </xdr:twoCellAnchor>
  <xdr:twoCellAnchor>
    <xdr:from>
      <xdr:col>0</xdr:col>
      <xdr:colOff>165911</xdr:colOff>
      <xdr:row>52</xdr:row>
      <xdr:rowOff>0</xdr:rowOff>
    </xdr:from>
    <xdr:to>
      <xdr:col>2</xdr:col>
      <xdr:colOff>3</xdr:colOff>
      <xdr:row>59</xdr:row>
      <xdr:rowOff>0</xdr:rowOff>
    </xdr:to>
    <xdr:sp macro="" textlink="">
      <xdr:nvSpPr>
        <xdr:cNvPr id="10" name="Textfeld 9">
          <a:extLst>
            <a:ext uri="{FF2B5EF4-FFF2-40B4-BE49-F238E27FC236}">
              <a16:creationId xmlns:a16="http://schemas.microsoft.com/office/drawing/2014/main" id="{00000000-0008-0000-0F00-00000A000000}"/>
            </a:ext>
          </a:extLst>
        </xdr:cNvPr>
        <xdr:cNvSpPr txBox="1"/>
      </xdr:nvSpPr>
      <xdr:spPr>
        <a:xfrm rot="16200000">
          <a:off x="-94074" y="8349500"/>
          <a:ext cx="1023697" cy="503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Grünland</a:t>
          </a:r>
          <a:endParaRPr lang="de-DE" sz="1100"/>
        </a:p>
      </xdr:txBody>
    </xdr:sp>
    <xdr:clientData/>
  </xdr:twoCellAnchor>
  <xdr:oneCellAnchor>
    <xdr:from>
      <xdr:col>24</xdr:col>
      <xdr:colOff>315576</xdr:colOff>
      <xdr:row>1</xdr:row>
      <xdr:rowOff>82935</xdr:rowOff>
    </xdr:from>
    <xdr:ext cx="1839685" cy="298800"/>
    <xdr:sp macro="" textlink="">
      <xdr:nvSpPr>
        <xdr:cNvPr id="16" name="Textfeld 15">
          <a:hlinkClick xmlns:r="http://schemas.openxmlformats.org/officeDocument/2006/relationships" r:id="rId2"/>
          <a:extLst>
            <a:ext uri="{FF2B5EF4-FFF2-40B4-BE49-F238E27FC236}">
              <a16:creationId xmlns:a16="http://schemas.microsoft.com/office/drawing/2014/main" id="{00000000-0008-0000-0F00-000010000000}"/>
            </a:ext>
          </a:extLst>
        </xdr:cNvPr>
        <xdr:cNvSpPr txBox="1"/>
      </xdr:nvSpPr>
      <xdr:spPr>
        <a:xfrm>
          <a:off x="12592243" y="213783"/>
          <a:ext cx="1839685"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15</xdr:col>
      <xdr:colOff>64325</xdr:colOff>
      <xdr:row>0</xdr:row>
      <xdr:rowOff>107950</xdr:rowOff>
    </xdr:from>
    <xdr:to>
      <xdr:col>15</xdr:col>
      <xdr:colOff>1993900</xdr:colOff>
      <xdr:row>1</xdr:row>
      <xdr:rowOff>227364</xdr:rowOff>
    </xdr:to>
    <xdr:sp macro="" textlink="">
      <xdr:nvSpPr>
        <xdr:cNvPr id="17" name="Rectangle 45">
          <a:hlinkClick xmlns:r="http://schemas.openxmlformats.org/officeDocument/2006/relationships" r:id="rId3"/>
          <a:extLst>
            <a:ext uri="{FF2B5EF4-FFF2-40B4-BE49-F238E27FC236}">
              <a16:creationId xmlns:a16="http://schemas.microsoft.com/office/drawing/2014/main" id="{00000000-0008-0000-0F00-000011000000}"/>
            </a:ext>
          </a:extLst>
        </xdr:cNvPr>
        <xdr:cNvSpPr>
          <a:spLocks noChangeArrowheads="1"/>
        </xdr:cNvSpPr>
      </xdr:nvSpPr>
      <xdr:spPr bwMode="auto">
        <a:xfrm>
          <a:off x="8770175" y="107950"/>
          <a:ext cx="1929575" cy="246414"/>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5</xdr:col>
      <xdr:colOff>259080</xdr:colOff>
      <xdr:row>75</xdr:row>
      <xdr:rowOff>106681</xdr:rowOff>
    </xdr:from>
    <xdr:to>
      <xdr:col>9</xdr:col>
      <xdr:colOff>354152</xdr:colOff>
      <xdr:row>84</xdr:row>
      <xdr:rowOff>144781</xdr:rowOff>
    </xdr:to>
    <xdr:sp macro="" textlink="">
      <xdr:nvSpPr>
        <xdr:cNvPr id="13" name="Textfeld 12">
          <a:extLst>
            <a:ext uri="{FF2B5EF4-FFF2-40B4-BE49-F238E27FC236}">
              <a16:creationId xmlns:a16="http://schemas.microsoft.com/office/drawing/2014/main" id="{00000000-0008-0000-0F00-00000D000000}"/>
            </a:ext>
          </a:extLst>
        </xdr:cNvPr>
        <xdr:cNvSpPr txBox="1"/>
      </xdr:nvSpPr>
      <xdr:spPr>
        <a:xfrm>
          <a:off x="6530340" y="12275821"/>
          <a:ext cx="2434412" cy="1478280"/>
        </a:xfrm>
        <a:prstGeom prst="rect">
          <a:avLst/>
        </a:prstGeom>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t"/>
        <a:lstStyle/>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r>
            <a:rPr lang="de-DE" sz="1200" b="0" baseline="0">
              <a:solidFill>
                <a:schemeClr val="dk1"/>
              </a:solidFill>
              <a:effectLst/>
              <a:latin typeface="+mn-lt"/>
              <a:ea typeface="+mn-ea"/>
              <a:cs typeface="+mn-cs"/>
            </a:rPr>
            <a:t>Anhand dieser Tabelle soll d</a:t>
          </a:r>
          <a:r>
            <a:rPr lang="de-DE" sz="1200" b="0">
              <a:solidFill>
                <a:schemeClr val="dk1"/>
              </a:solidFill>
              <a:effectLst/>
              <a:latin typeface="+mn-lt"/>
              <a:ea typeface="+mn-ea"/>
              <a:cs typeface="+mn-cs"/>
            </a:rPr>
            <a:t>ie Kalkulation</a:t>
          </a:r>
          <a:r>
            <a:rPr lang="de-DE" sz="1200" b="0" baseline="0">
              <a:solidFill>
                <a:schemeClr val="dk1"/>
              </a:solidFill>
              <a:effectLst/>
              <a:latin typeface="+mn-lt"/>
              <a:ea typeface="+mn-ea"/>
              <a:cs typeface="+mn-cs"/>
            </a:rPr>
            <a:t> der </a:t>
          </a:r>
          <a:r>
            <a:rPr lang="de-DE" sz="1200" b="1" baseline="0">
              <a:solidFill>
                <a:schemeClr val="dk1"/>
              </a:solidFill>
              <a:effectLst/>
              <a:latin typeface="+mn-lt"/>
              <a:ea typeface="+mn-ea"/>
              <a:cs typeface="+mn-cs"/>
            </a:rPr>
            <a:t>Handarbeitswerte </a:t>
          </a:r>
          <a:r>
            <a:rPr lang="de-DE" sz="1200" b="0" baseline="0">
              <a:solidFill>
                <a:schemeClr val="dk1"/>
              </a:solidFill>
              <a:effectLst/>
              <a:latin typeface="+mn-lt"/>
              <a:ea typeface="+mn-ea"/>
              <a:cs typeface="+mn-cs"/>
            </a:rPr>
            <a:t>erleichtert werden. Die ermittelten Werte der einzelnen Arbeitsgänge können als weiteren Arbeitsgang in die obige Tabelle eingetragen werden (Zeile 72)</a:t>
          </a:r>
          <a:endParaRPr lang="de-DE" sz="1200" b="0">
            <a:effectLst/>
          </a:endParaRPr>
        </a:p>
        <a:p>
          <a:pPr>
            <a:lnSpc>
              <a:spcPts val="1100"/>
            </a:lnSpc>
          </a:pPr>
          <a:endParaRPr lang="de-DE" sz="1200" b="1">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1</xdr:row>
      <xdr:rowOff>58188</xdr:rowOff>
    </xdr:from>
    <xdr:to>
      <xdr:col>17</xdr:col>
      <xdr:colOff>281940</xdr:colOff>
      <xdr:row>2</xdr:row>
      <xdr:rowOff>30480</xdr:rowOff>
    </xdr:to>
    <xdr:sp macro="" textlink="">
      <xdr:nvSpPr>
        <xdr:cNvPr id="4" name="Rectangle 45">
          <a:hlinkClick xmlns:r="http://schemas.openxmlformats.org/officeDocument/2006/relationships" r:id="rId1"/>
          <a:extLst>
            <a:ext uri="{FF2B5EF4-FFF2-40B4-BE49-F238E27FC236}">
              <a16:creationId xmlns:a16="http://schemas.microsoft.com/office/drawing/2014/main" id="{00000000-0008-0000-1000-000004000000}"/>
            </a:ext>
          </a:extLst>
        </xdr:cNvPr>
        <xdr:cNvSpPr>
          <a:spLocks noChangeArrowheads="1"/>
        </xdr:cNvSpPr>
      </xdr:nvSpPr>
      <xdr:spPr bwMode="auto">
        <a:xfrm>
          <a:off x="7947660" y="233448"/>
          <a:ext cx="1684020" cy="238992"/>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17</xdr:col>
      <xdr:colOff>411480</xdr:colOff>
      <xdr:row>0</xdr:row>
      <xdr:rowOff>91440</xdr:rowOff>
    </xdr:from>
    <xdr:to>
      <xdr:col>30</xdr:col>
      <xdr:colOff>167640</xdr:colOff>
      <xdr:row>1</xdr:row>
      <xdr:rowOff>144780</xdr:rowOff>
    </xdr:to>
    <xdr:sp macro="" textlink="">
      <xdr:nvSpPr>
        <xdr:cNvPr id="3" name="Rectangle 45">
          <a:hlinkClick xmlns:r="http://schemas.openxmlformats.org/officeDocument/2006/relationships" r:id="rId1"/>
          <a:extLst>
            <a:ext uri="{FF2B5EF4-FFF2-40B4-BE49-F238E27FC236}">
              <a16:creationId xmlns:a16="http://schemas.microsoft.com/office/drawing/2014/main" id="{00000000-0008-0000-1100-000003000000}"/>
            </a:ext>
          </a:extLst>
        </xdr:cNvPr>
        <xdr:cNvSpPr>
          <a:spLocks noChangeArrowheads="1"/>
        </xdr:cNvSpPr>
      </xdr:nvSpPr>
      <xdr:spPr bwMode="auto">
        <a:xfrm>
          <a:off x="9677400" y="91440"/>
          <a:ext cx="1859280" cy="342900"/>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7</xdr:col>
      <xdr:colOff>117929</xdr:colOff>
      <xdr:row>0</xdr:row>
      <xdr:rowOff>154214</xdr:rowOff>
    </xdr:from>
    <xdr:to>
      <xdr:col>9</xdr:col>
      <xdr:colOff>392050</xdr:colOff>
      <xdr:row>1</xdr:row>
      <xdr:rowOff>199242</xdr:rowOff>
    </xdr:to>
    <xdr:sp macro="" textlink="">
      <xdr:nvSpPr>
        <xdr:cNvPr id="3" name="Rectangle 45">
          <a:hlinkClick xmlns:r="http://schemas.openxmlformats.org/officeDocument/2006/relationships" r:id="rId1"/>
          <a:extLst>
            <a:ext uri="{FF2B5EF4-FFF2-40B4-BE49-F238E27FC236}">
              <a16:creationId xmlns:a16="http://schemas.microsoft.com/office/drawing/2014/main" id="{00000000-0008-0000-1200-000003000000}"/>
            </a:ext>
          </a:extLst>
        </xdr:cNvPr>
        <xdr:cNvSpPr>
          <a:spLocks noChangeArrowheads="1"/>
        </xdr:cNvSpPr>
      </xdr:nvSpPr>
      <xdr:spPr bwMode="auto">
        <a:xfrm>
          <a:off x="3828143" y="154214"/>
          <a:ext cx="1725550"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10</xdr:col>
      <xdr:colOff>120386</xdr:colOff>
      <xdr:row>0</xdr:row>
      <xdr:rowOff>34982</xdr:rowOff>
    </xdr:from>
    <xdr:to>
      <xdr:col>12</xdr:col>
      <xdr:colOff>259080</xdr:colOff>
      <xdr:row>0</xdr:row>
      <xdr:rowOff>274320</xdr:rowOff>
    </xdr:to>
    <xdr:sp macro="" textlink="">
      <xdr:nvSpPr>
        <xdr:cNvPr id="3" name="Rectangle 45">
          <a:hlinkClick xmlns:r="http://schemas.openxmlformats.org/officeDocument/2006/relationships" r:id="rId1"/>
          <a:extLst>
            <a:ext uri="{FF2B5EF4-FFF2-40B4-BE49-F238E27FC236}">
              <a16:creationId xmlns:a16="http://schemas.microsoft.com/office/drawing/2014/main" id="{00000000-0008-0000-1300-000003000000}"/>
            </a:ext>
          </a:extLst>
        </xdr:cNvPr>
        <xdr:cNvSpPr>
          <a:spLocks noChangeArrowheads="1"/>
        </xdr:cNvSpPr>
      </xdr:nvSpPr>
      <xdr:spPr bwMode="auto">
        <a:xfrm>
          <a:off x="7458446" y="34982"/>
          <a:ext cx="1731274" cy="23933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8</xdr:col>
      <xdr:colOff>135054</xdr:colOff>
      <xdr:row>0</xdr:row>
      <xdr:rowOff>67705</xdr:rowOff>
    </xdr:from>
    <xdr:to>
      <xdr:col>11</xdr:col>
      <xdr:colOff>284237</xdr:colOff>
      <xdr:row>1</xdr:row>
      <xdr:rowOff>108857</xdr:rowOff>
    </xdr:to>
    <xdr:sp macro="" textlink="">
      <xdr:nvSpPr>
        <xdr:cNvPr id="3" name="Rectangle 45">
          <a:hlinkClick xmlns:r="http://schemas.openxmlformats.org/officeDocument/2006/relationships" r:id="rId1"/>
          <a:extLst>
            <a:ext uri="{FF2B5EF4-FFF2-40B4-BE49-F238E27FC236}">
              <a16:creationId xmlns:a16="http://schemas.microsoft.com/office/drawing/2014/main" id="{00000000-0008-0000-1400-000003000000}"/>
            </a:ext>
          </a:extLst>
        </xdr:cNvPr>
        <xdr:cNvSpPr>
          <a:spLocks noChangeArrowheads="1"/>
        </xdr:cNvSpPr>
      </xdr:nvSpPr>
      <xdr:spPr bwMode="auto">
        <a:xfrm>
          <a:off x="4670768" y="67705"/>
          <a:ext cx="1727612" cy="234676"/>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9</xdr:col>
      <xdr:colOff>419100</xdr:colOff>
      <xdr:row>0</xdr:row>
      <xdr:rowOff>99060</xdr:rowOff>
    </xdr:from>
    <xdr:to>
      <xdr:col>12</xdr:col>
      <xdr:colOff>190549</xdr:colOff>
      <xdr:row>1</xdr:row>
      <xdr:rowOff>227661</xdr:rowOff>
    </xdr:to>
    <xdr:sp macro="" textlink="">
      <xdr:nvSpPr>
        <xdr:cNvPr id="4" name="Rectangle 45">
          <a:hlinkClick xmlns:r="http://schemas.openxmlformats.org/officeDocument/2006/relationships" r:id="rId1"/>
          <a:extLst>
            <a:ext uri="{FF2B5EF4-FFF2-40B4-BE49-F238E27FC236}">
              <a16:creationId xmlns:a16="http://schemas.microsoft.com/office/drawing/2014/main" id="{00000000-0008-0000-1500-000004000000}"/>
            </a:ext>
          </a:extLst>
        </xdr:cNvPr>
        <xdr:cNvSpPr>
          <a:spLocks noChangeArrowheads="1"/>
        </xdr:cNvSpPr>
      </xdr:nvSpPr>
      <xdr:spPr bwMode="auto">
        <a:xfrm>
          <a:off x="7109460" y="99060"/>
          <a:ext cx="1729789" cy="235281"/>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45720</xdr:colOff>
          <xdr:row>24</xdr:row>
          <xdr:rowOff>0</xdr:rowOff>
        </xdr:from>
        <xdr:to>
          <xdr:col>11</xdr:col>
          <xdr:colOff>114300</xdr:colOff>
          <xdr:row>25</xdr:row>
          <xdr:rowOff>7620</xdr:rowOff>
        </xdr:to>
        <xdr:sp macro="" textlink="">
          <xdr:nvSpPr>
            <xdr:cNvPr id="98305" name="Option Button 1" hidden="1">
              <a:extLst>
                <a:ext uri="{63B3BB69-23CF-44E3-9099-C40C66FF867C}">
                  <a14:compatExt spid="_x0000_s98305"/>
                </a:ext>
                <a:ext uri="{FF2B5EF4-FFF2-40B4-BE49-F238E27FC236}">
                  <a16:creationId xmlns:a16="http://schemas.microsoft.com/office/drawing/2014/main" id="{00000000-0008-0000-0500-00000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23</xdr:row>
          <xdr:rowOff>213360</xdr:rowOff>
        </xdr:from>
        <xdr:to>
          <xdr:col>13</xdr:col>
          <xdr:colOff>76200</xdr:colOff>
          <xdr:row>24</xdr:row>
          <xdr:rowOff>213360</xdr:rowOff>
        </xdr:to>
        <xdr:sp macro="" textlink="">
          <xdr:nvSpPr>
            <xdr:cNvPr id="98306" name="Option Button 2" hidden="1">
              <a:extLst>
                <a:ext uri="{63B3BB69-23CF-44E3-9099-C40C66FF867C}">
                  <a14:compatExt spid="_x0000_s98306"/>
                </a:ext>
                <a:ext uri="{FF2B5EF4-FFF2-40B4-BE49-F238E27FC236}">
                  <a16:creationId xmlns:a16="http://schemas.microsoft.com/office/drawing/2014/main" id="{00000000-0008-0000-0500-00000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8</xdr:row>
          <xdr:rowOff>175260</xdr:rowOff>
        </xdr:from>
        <xdr:to>
          <xdr:col>2</xdr:col>
          <xdr:colOff>457200</xdr:colOff>
          <xdr:row>10</xdr:row>
          <xdr:rowOff>7620</xdr:rowOff>
        </xdr:to>
        <xdr:sp macro="" textlink="">
          <xdr:nvSpPr>
            <xdr:cNvPr id="98307" name="Option Button 3" hidden="1">
              <a:extLst>
                <a:ext uri="{63B3BB69-23CF-44E3-9099-C40C66FF867C}">
                  <a14:compatExt spid="_x0000_s98307"/>
                </a:ext>
                <a:ext uri="{FF2B5EF4-FFF2-40B4-BE49-F238E27FC236}">
                  <a16:creationId xmlns:a16="http://schemas.microsoft.com/office/drawing/2014/main" id="{00000000-0008-0000-0500-00000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9</xdr:row>
          <xdr:rowOff>182880</xdr:rowOff>
        </xdr:from>
        <xdr:to>
          <xdr:col>2</xdr:col>
          <xdr:colOff>457200</xdr:colOff>
          <xdr:row>11</xdr:row>
          <xdr:rowOff>22860</xdr:rowOff>
        </xdr:to>
        <xdr:sp macro="" textlink="">
          <xdr:nvSpPr>
            <xdr:cNvPr id="98308" name="Option Button 4" hidden="1">
              <a:extLst>
                <a:ext uri="{63B3BB69-23CF-44E3-9099-C40C66FF867C}">
                  <a14:compatExt spid="_x0000_s98308"/>
                </a:ext>
                <a:ext uri="{FF2B5EF4-FFF2-40B4-BE49-F238E27FC236}">
                  <a16:creationId xmlns:a16="http://schemas.microsoft.com/office/drawing/2014/main" id="{00000000-0008-0000-0500-00000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8</xdr:row>
          <xdr:rowOff>0</xdr:rowOff>
        </xdr:from>
        <xdr:to>
          <xdr:col>7</xdr:col>
          <xdr:colOff>0</xdr:colOff>
          <xdr:row>11</xdr:row>
          <xdr:rowOff>182880</xdr:rowOff>
        </xdr:to>
        <xdr:sp macro="" textlink="">
          <xdr:nvSpPr>
            <xdr:cNvPr id="98309" name="Group Box 5" hidden="1">
              <a:extLst>
                <a:ext uri="{63B3BB69-23CF-44E3-9099-C40C66FF867C}">
                  <a14:compatExt spid="_x0000_s98309"/>
                </a:ext>
                <a:ext uri="{FF2B5EF4-FFF2-40B4-BE49-F238E27FC236}">
                  <a16:creationId xmlns:a16="http://schemas.microsoft.com/office/drawing/2014/main" id="{00000000-0008-0000-0500-0000058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57150</xdr:colOff>
      <xdr:row>1</xdr:row>
      <xdr:rowOff>38100</xdr:rowOff>
    </xdr:from>
    <xdr:to>
      <xdr:col>4</xdr:col>
      <xdr:colOff>132484</xdr:colOff>
      <xdr:row>2</xdr:row>
      <xdr:rowOff>9525</xdr:rowOff>
    </xdr:to>
    <xdr:sp macro="" textlink="">
      <xdr:nvSpPr>
        <xdr:cNvPr id="7" name="Rectangle 9">
          <a:hlinkClick xmlns:r="http://schemas.openxmlformats.org/officeDocument/2006/relationships" r:id="rId1"/>
          <a:extLst>
            <a:ext uri="{FF2B5EF4-FFF2-40B4-BE49-F238E27FC236}">
              <a16:creationId xmlns:a16="http://schemas.microsoft.com/office/drawing/2014/main" id="{00000000-0008-0000-0B00-000007000000}"/>
            </a:ext>
          </a:extLst>
        </xdr:cNvPr>
        <xdr:cNvSpPr>
          <a:spLocks noChangeArrowheads="1"/>
        </xdr:cNvSpPr>
      </xdr:nvSpPr>
      <xdr:spPr bwMode="auto">
        <a:xfrm>
          <a:off x="834390" y="205740"/>
          <a:ext cx="2407054" cy="139065"/>
        </a:xfrm>
        <a:prstGeom prst="rect">
          <a:avLst/>
        </a:prstGeom>
        <a:solidFill>
          <a:srgbClr val="F6CD7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sng" strike="noStrike" baseline="0">
              <a:solidFill>
                <a:srgbClr val="000000"/>
              </a:solidFill>
              <a:latin typeface="Arial"/>
              <a:cs typeface="Arial"/>
            </a:rPr>
            <a:t>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0</xdr:colOff>
          <xdr:row>30</xdr:row>
          <xdr:rowOff>0</xdr:rowOff>
        </xdr:from>
        <xdr:to>
          <xdr:col>10</xdr:col>
          <xdr:colOff>22860</xdr:colOff>
          <xdr:row>31</xdr:row>
          <xdr:rowOff>22860</xdr:rowOff>
        </xdr:to>
        <xdr:sp macro="" textlink="">
          <xdr:nvSpPr>
            <xdr:cNvPr id="98310" name="Drop Down 6" hidden="1">
              <a:extLst>
                <a:ext uri="{63B3BB69-23CF-44E3-9099-C40C66FF867C}">
                  <a14:compatExt spid="_x0000_s98310"/>
                </a:ext>
                <a:ext uri="{FF2B5EF4-FFF2-40B4-BE49-F238E27FC236}">
                  <a16:creationId xmlns:a16="http://schemas.microsoft.com/office/drawing/2014/main" id="{00000000-0008-0000-0500-000006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10</xdr:col>
          <xdr:colOff>22860</xdr:colOff>
          <xdr:row>32</xdr:row>
          <xdr:rowOff>22860</xdr:rowOff>
        </xdr:to>
        <xdr:sp macro="" textlink="">
          <xdr:nvSpPr>
            <xdr:cNvPr id="98311" name="Drop Down 7" hidden="1">
              <a:extLst>
                <a:ext uri="{63B3BB69-23CF-44E3-9099-C40C66FF867C}">
                  <a14:compatExt spid="_x0000_s98311"/>
                </a:ext>
                <a:ext uri="{FF2B5EF4-FFF2-40B4-BE49-F238E27FC236}">
                  <a16:creationId xmlns:a16="http://schemas.microsoft.com/office/drawing/2014/main" id="{00000000-0008-0000-0500-000007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10</xdr:col>
          <xdr:colOff>22860</xdr:colOff>
          <xdr:row>33</xdr:row>
          <xdr:rowOff>22860</xdr:rowOff>
        </xdr:to>
        <xdr:sp macro="" textlink="">
          <xdr:nvSpPr>
            <xdr:cNvPr id="98312" name="Drop Down 8" hidden="1">
              <a:extLst>
                <a:ext uri="{63B3BB69-23CF-44E3-9099-C40C66FF867C}">
                  <a14:compatExt spid="_x0000_s98312"/>
                </a:ext>
                <a:ext uri="{FF2B5EF4-FFF2-40B4-BE49-F238E27FC236}">
                  <a16:creationId xmlns:a16="http://schemas.microsoft.com/office/drawing/2014/main" id="{00000000-0008-0000-0500-000008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10</xdr:col>
          <xdr:colOff>22860</xdr:colOff>
          <xdr:row>34</xdr:row>
          <xdr:rowOff>22860</xdr:rowOff>
        </xdr:to>
        <xdr:sp macro="" textlink="">
          <xdr:nvSpPr>
            <xdr:cNvPr id="98313" name="Drop Down 9" hidden="1">
              <a:extLst>
                <a:ext uri="{63B3BB69-23CF-44E3-9099-C40C66FF867C}">
                  <a14:compatExt spid="_x0000_s98313"/>
                </a:ext>
                <a:ext uri="{FF2B5EF4-FFF2-40B4-BE49-F238E27FC236}">
                  <a16:creationId xmlns:a16="http://schemas.microsoft.com/office/drawing/2014/main" id="{00000000-0008-0000-0500-000009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10</xdr:col>
          <xdr:colOff>22860</xdr:colOff>
          <xdr:row>35</xdr:row>
          <xdr:rowOff>22860</xdr:rowOff>
        </xdr:to>
        <xdr:sp macro="" textlink="">
          <xdr:nvSpPr>
            <xdr:cNvPr id="98314" name="Drop Down 10" hidden="1">
              <a:extLst>
                <a:ext uri="{63B3BB69-23CF-44E3-9099-C40C66FF867C}">
                  <a14:compatExt spid="_x0000_s98314"/>
                </a:ext>
                <a:ext uri="{FF2B5EF4-FFF2-40B4-BE49-F238E27FC236}">
                  <a16:creationId xmlns:a16="http://schemas.microsoft.com/office/drawing/2014/main" id="{00000000-0008-0000-0500-00000A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10</xdr:col>
          <xdr:colOff>22860</xdr:colOff>
          <xdr:row>36</xdr:row>
          <xdr:rowOff>22860</xdr:rowOff>
        </xdr:to>
        <xdr:sp macro="" textlink="">
          <xdr:nvSpPr>
            <xdr:cNvPr id="98315" name="Drop Down 11" hidden="1">
              <a:extLst>
                <a:ext uri="{63B3BB69-23CF-44E3-9099-C40C66FF867C}">
                  <a14:compatExt spid="_x0000_s98315"/>
                </a:ext>
                <a:ext uri="{FF2B5EF4-FFF2-40B4-BE49-F238E27FC236}">
                  <a16:creationId xmlns:a16="http://schemas.microsoft.com/office/drawing/2014/main" id="{00000000-0008-0000-0500-00000B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190500</xdr:rowOff>
        </xdr:from>
        <xdr:to>
          <xdr:col>10</xdr:col>
          <xdr:colOff>0</xdr:colOff>
          <xdr:row>39</xdr:row>
          <xdr:rowOff>0</xdr:rowOff>
        </xdr:to>
        <xdr:sp macro="" textlink="">
          <xdr:nvSpPr>
            <xdr:cNvPr id="98316" name="Drop Down 12" hidden="1">
              <a:extLst>
                <a:ext uri="{63B3BB69-23CF-44E3-9099-C40C66FF867C}">
                  <a14:compatExt spid="_x0000_s98316"/>
                </a:ext>
                <a:ext uri="{FF2B5EF4-FFF2-40B4-BE49-F238E27FC236}">
                  <a16:creationId xmlns:a16="http://schemas.microsoft.com/office/drawing/2014/main" id="{00000000-0008-0000-0500-00000C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10</xdr:col>
          <xdr:colOff>0</xdr:colOff>
          <xdr:row>40</xdr:row>
          <xdr:rowOff>22860</xdr:rowOff>
        </xdr:to>
        <xdr:sp macro="" textlink="">
          <xdr:nvSpPr>
            <xdr:cNvPr id="98317" name="Drop Down 13" hidden="1">
              <a:extLst>
                <a:ext uri="{63B3BB69-23CF-44E3-9099-C40C66FF867C}">
                  <a14:compatExt spid="_x0000_s98317"/>
                </a:ext>
                <a:ext uri="{FF2B5EF4-FFF2-40B4-BE49-F238E27FC236}">
                  <a16:creationId xmlns:a16="http://schemas.microsoft.com/office/drawing/2014/main" id="{00000000-0008-0000-0500-00000D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10</xdr:col>
          <xdr:colOff>22860</xdr:colOff>
          <xdr:row>64</xdr:row>
          <xdr:rowOff>22860</xdr:rowOff>
        </xdr:to>
        <xdr:sp macro="" textlink="">
          <xdr:nvSpPr>
            <xdr:cNvPr id="98318" name="Drop Down 14" hidden="1">
              <a:extLst>
                <a:ext uri="{63B3BB69-23CF-44E3-9099-C40C66FF867C}">
                  <a14:compatExt spid="_x0000_s98318"/>
                </a:ext>
                <a:ext uri="{FF2B5EF4-FFF2-40B4-BE49-F238E27FC236}">
                  <a16:creationId xmlns:a16="http://schemas.microsoft.com/office/drawing/2014/main" id="{00000000-0008-0000-0500-00000E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10</xdr:col>
          <xdr:colOff>0</xdr:colOff>
          <xdr:row>71</xdr:row>
          <xdr:rowOff>22860</xdr:rowOff>
        </xdr:to>
        <xdr:sp macro="" textlink="">
          <xdr:nvSpPr>
            <xdr:cNvPr id="98319" name="Drop Down 15" hidden="1">
              <a:extLst>
                <a:ext uri="{63B3BB69-23CF-44E3-9099-C40C66FF867C}">
                  <a14:compatExt spid="_x0000_s98319"/>
                </a:ext>
                <a:ext uri="{FF2B5EF4-FFF2-40B4-BE49-F238E27FC236}">
                  <a16:creationId xmlns:a16="http://schemas.microsoft.com/office/drawing/2014/main" id="{00000000-0008-0000-0500-00000F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10</xdr:col>
          <xdr:colOff>0</xdr:colOff>
          <xdr:row>72</xdr:row>
          <xdr:rowOff>22860</xdr:rowOff>
        </xdr:to>
        <xdr:sp macro="" textlink="">
          <xdr:nvSpPr>
            <xdr:cNvPr id="98320" name="Drop Down 16" hidden="1">
              <a:extLst>
                <a:ext uri="{63B3BB69-23CF-44E3-9099-C40C66FF867C}">
                  <a14:compatExt spid="_x0000_s98320"/>
                </a:ext>
                <a:ext uri="{FF2B5EF4-FFF2-40B4-BE49-F238E27FC236}">
                  <a16:creationId xmlns:a16="http://schemas.microsoft.com/office/drawing/2014/main" id="{00000000-0008-0000-0500-000010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10</xdr:col>
          <xdr:colOff>0</xdr:colOff>
          <xdr:row>73</xdr:row>
          <xdr:rowOff>22860</xdr:rowOff>
        </xdr:to>
        <xdr:sp macro="" textlink="">
          <xdr:nvSpPr>
            <xdr:cNvPr id="98321" name="Drop Down 17" hidden="1">
              <a:extLst>
                <a:ext uri="{63B3BB69-23CF-44E3-9099-C40C66FF867C}">
                  <a14:compatExt spid="_x0000_s98321"/>
                </a:ext>
                <a:ext uri="{FF2B5EF4-FFF2-40B4-BE49-F238E27FC236}">
                  <a16:creationId xmlns:a16="http://schemas.microsoft.com/office/drawing/2014/main" id="{00000000-0008-0000-0500-000011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10</xdr:col>
          <xdr:colOff>22860</xdr:colOff>
          <xdr:row>37</xdr:row>
          <xdr:rowOff>22860</xdr:rowOff>
        </xdr:to>
        <xdr:sp macro="" textlink="">
          <xdr:nvSpPr>
            <xdr:cNvPr id="98322" name="Drop Down 18" hidden="1">
              <a:extLst>
                <a:ext uri="{63B3BB69-23CF-44E3-9099-C40C66FF867C}">
                  <a14:compatExt spid="_x0000_s98322"/>
                </a:ext>
                <a:ext uri="{FF2B5EF4-FFF2-40B4-BE49-F238E27FC236}">
                  <a16:creationId xmlns:a16="http://schemas.microsoft.com/office/drawing/2014/main" id="{00000000-0008-0000-0500-000012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10</xdr:col>
          <xdr:colOff>22860</xdr:colOff>
          <xdr:row>36</xdr:row>
          <xdr:rowOff>22860</xdr:rowOff>
        </xdr:to>
        <xdr:sp macro="" textlink="">
          <xdr:nvSpPr>
            <xdr:cNvPr id="98323" name="Drop Down 19" hidden="1">
              <a:extLst>
                <a:ext uri="{63B3BB69-23CF-44E3-9099-C40C66FF867C}">
                  <a14:compatExt spid="_x0000_s98323"/>
                </a:ext>
                <a:ext uri="{FF2B5EF4-FFF2-40B4-BE49-F238E27FC236}">
                  <a16:creationId xmlns:a16="http://schemas.microsoft.com/office/drawing/2014/main" id="{00000000-0008-0000-0500-000013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10</xdr:col>
          <xdr:colOff>22860</xdr:colOff>
          <xdr:row>37</xdr:row>
          <xdr:rowOff>22860</xdr:rowOff>
        </xdr:to>
        <xdr:sp macro="" textlink="">
          <xdr:nvSpPr>
            <xdr:cNvPr id="98324" name="Drop Down 20" hidden="1">
              <a:extLst>
                <a:ext uri="{63B3BB69-23CF-44E3-9099-C40C66FF867C}">
                  <a14:compatExt spid="_x0000_s98324"/>
                </a:ext>
                <a:ext uri="{FF2B5EF4-FFF2-40B4-BE49-F238E27FC236}">
                  <a16:creationId xmlns:a16="http://schemas.microsoft.com/office/drawing/2014/main" id="{00000000-0008-0000-0500-000014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10</xdr:col>
          <xdr:colOff>22860</xdr:colOff>
          <xdr:row>65</xdr:row>
          <xdr:rowOff>22860</xdr:rowOff>
        </xdr:to>
        <xdr:sp macro="" textlink="">
          <xdr:nvSpPr>
            <xdr:cNvPr id="98325" name="Drop Down 21" hidden="1">
              <a:extLst>
                <a:ext uri="{63B3BB69-23CF-44E3-9099-C40C66FF867C}">
                  <a14:compatExt spid="_x0000_s98325"/>
                </a:ext>
                <a:ext uri="{FF2B5EF4-FFF2-40B4-BE49-F238E27FC236}">
                  <a16:creationId xmlns:a16="http://schemas.microsoft.com/office/drawing/2014/main" id="{00000000-0008-0000-0500-000015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10</xdr:col>
          <xdr:colOff>22860</xdr:colOff>
          <xdr:row>66</xdr:row>
          <xdr:rowOff>22860</xdr:rowOff>
        </xdr:to>
        <xdr:sp macro="" textlink="">
          <xdr:nvSpPr>
            <xdr:cNvPr id="98326" name="Drop Down 22" hidden="1">
              <a:extLst>
                <a:ext uri="{63B3BB69-23CF-44E3-9099-C40C66FF867C}">
                  <a14:compatExt spid="_x0000_s98326"/>
                </a:ext>
                <a:ext uri="{FF2B5EF4-FFF2-40B4-BE49-F238E27FC236}">
                  <a16:creationId xmlns:a16="http://schemas.microsoft.com/office/drawing/2014/main" id="{00000000-0008-0000-0500-000016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66</xdr:row>
          <xdr:rowOff>0</xdr:rowOff>
        </xdr:from>
        <xdr:to>
          <xdr:col>10</xdr:col>
          <xdr:colOff>22860</xdr:colOff>
          <xdr:row>67</xdr:row>
          <xdr:rowOff>22860</xdr:rowOff>
        </xdr:to>
        <xdr:sp macro="" textlink="">
          <xdr:nvSpPr>
            <xdr:cNvPr id="98327" name="Drop Down 23" hidden="1">
              <a:extLst>
                <a:ext uri="{63B3BB69-23CF-44E3-9099-C40C66FF867C}">
                  <a14:compatExt spid="_x0000_s98327"/>
                </a:ext>
                <a:ext uri="{FF2B5EF4-FFF2-40B4-BE49-F238E27FC236}">
                  <a16:creationId xmlns:a16="http://schemas.microsoft.com/office/drawing/2014/main" id="{00000000-0008-0000-0500-000017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10</xdr:col>
          <xdr:colOff>22860</xdr:colOff>
          <xdr:row>68</xdr:row>
          <xdr:rowOff>22860</xdr:rowOff>
        </xdr:to>
        <xdr:sp macro="" textlink="">
          <xdr:nvSpPr>
            <xdr:cNvPr id="98328" name="Drop Down 24" hidden="1">
              <a:extLst>
                <a:ext uri="{63B3BB69-23CF-44E3-9099-C40C66FF867C}">
                  <a14:compatExt spid="_x0000_s98328"/>
                </a:ext>
                <a:ext uri="{FF2B5EF4-FFF2-40B4-BE49-F238E27FC236}">
                  <a16:creationId xmlns:a16="http://schemas.microsoft.com/office/drawing/2014/main" id="{00000000-0008-0000-0500-000018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0</xdr:rowOff>
        </xdr:from>
        <xdr:to>
          <xdr:col>10</xdr:col>
          <xdr:colOff>22860</xdr:colOff>
          <xdr:row>69</xdr:row>
          <xdr:rowOff>60960</xdr:rowOff>
        </xdr:to>
        <xdr:sp macro="" textlink="">
          <xdr:nvSpPr>
            <xdr:cNvPr id="98329" name="Drop Down 25" hidden="1">
              <a:extLst>
                <a:ext uri="{63B3BB69-23CF-44E3-9099-C40C66FF867C}">
                  <a14:compatExt spid="_x0000_s98329"/>
                </a:ext>
                <a:ext uri="{FF2B5EF4-FFF2-40B4-BE49-F238E27FC236}">
                  <a16:creationId xmlns:a16="http://schemas.microsoft.com/office/drawing/2014/main" id="{00000000-0008-0000-0500-000019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8</xdr:col>
      <xdr:colOff>464820</xdr:colOff>
      <xdr:row>0</xdr:row>
      <xdr:rowOff>165313</xdr:rowOff>
    </xdr:from>
    <xdr:to>
      <xdr:col>10</xdr:col>
      <xdr:colOff>258425</xdr:colOff>
      <xdr:row>1</xdr:row>
      <xdr:rowOff>182880</xdr:rowOff>
    </xdr:to>
    <xdr:sp macro="" textlink="">
      <xdr:nvSpPr>
        <xdr:cNvPr id="5" name="Rectangle 45">
          <a:hlinkClick xmlns:r="http://schemas.openxmlformats.org/officeDocument/2006/relationships" r:id="rId1"/>
          <a:extLst>
            <a:ext uri="{FF2B5EF4-FFF2-40B4-BE49-F238E27FC236}">
              <a16:creationId xmlns:a16="http://schemas.microsoft.com/office/drawing/2014/main" id="{00000000-0008-0000-1700-000005000000}"/>
            </a:ext>
          </a:extLst>
        </xdr:cNvPr>
        <xdr:cNvSpPr>
          <a:spLocks noChangeArrowheads="1"/>
        </xdr:cNvSpPr>
      </xdr:nvSpPr>
      <xdr:spPr bwMode="auto">
        <a:xfrm>
          <a:off x="5532120" y="165313"/>
          <a:ext cx="1721465" cy="223307"/>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5</xdr:col>
      <xdr:colOff>571500</xdr:colOff>
      <xdr:row>0</xdr:row>
      <xdr:rowOff>60960</xdr:rowOff>
    </xdr:from>
    <xdr:to>
      <xdr:col>8</xdr:col>
      <xdr:colOff>170251</xdr:colOff>
      <xdr:row>1</xdr:row>
      <xdr:rowOff>124247</xdr:rowOff>
    </xdr:to>
    <xdr:sp macro="" textlink="">
      <xdr:nvSpPr>
        <xdr:cNvPr id="3" name="Rectangle 45">
          <a:hlinkClick xmlns:r="http://schemas.openxmlformats.org/officeDocument/2006/relationships" r:id="rId1"/>
          <a:extLst>
            <a:ext uri="{FF2B5EF4-FFF2-40B4-BE49-F238E27FC236}">
              <a16:creationId xmlns:a16="http://schemas.microsoft.com/office/drawing/2014/main" id="{00000000-0008-0000-1800-000003000000}"/>
            </a:ext>
          </a:extLst>
        </xdr:cNvPr>
        <xdr:cNvSpPr>
          <a:spLocks noChangeArrowheads="1"/>
        </xdr:cNvSpPr>
      </xdr:nvSpPr>
      <xdr:spPr bwMode="auto">
        <a:xfrm>
          <a:off x="5212080" y="60960"/>
          <a:ext cx="1724731" cy="230927"/>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177</xdr:row>
      <xdr:rowOff>0</xdr:rowOff>
    </xdr:from>
    <xdr:to>
      <xdr:col>17</xdr:col>
      <xdr:colOff>914400</xdr:colOff>
      <xdr:row>223</xdr:row>
      <xdr:rowOff>93519</xdr:rowOff>
    </xdr:to>
    <xdr:graphicFrame macro="">
      <xdr:nvGraphicFramePr>
        <xdr:cNvPr id="2" name="Diagramm 1" descr="kostendeckung">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41564</xdr:colOff>
      <xdr:row>146</xdr:row>
      <xdr:rowOff>76929</xdr:rowOff>
    </xdr:from>
    <xdr:to>
      <xdr:col>17</xdr:col>
      <xdr:colOff>609599</xdr:colOff>
      <xdr:row>169</xdr:row>
      <xdr:rowOff>102005</xdr:rowOff>
    </xdr:to>
    <xdr:graphicFrame macro="">
      <xdr:nvGraphicFramePr>
        <xdr:cNvPr id="3" name="Diagramm 1" descr="kostendeckung">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15240</xdr:rowOff>
    </xdr:from>
    <xdr:to>
      <xdr:col>5</xdr:col>
      <xdr:colOff>863792</xdr:colOff>
      <xdr:row>0</xdr:row>
      <xdr:rowOff>230900</xdr:rowOff>
    </xdr:to>
    <xdr:sp macro="" textlink="">
      <xdr:nvSpPr>
        <xdr:cNvPr id="4" name="Rectangle 40">
          <a:hlinkClick xmlns:r="http://schemas.openxmlformats.org/officeDocument/2006/relationships" r:id="rId3"/>
          <a:extLst>
            <a:ext uri="{FF2B5EF4-FFF2-40B4-BE49-F238E27FC236}">
              <a16:creationId xmlns:a16="http://schemas.microsoft.com/office/drawing/2014/main" id="{00000000-0008-0000-1A00-000004000000}"/>
            </a:ext>
          </a:extLst>
        </xdr:cNvPr>
        <xdr:cNvSpPr>
          <a:spLocks noChangeArrowheads="1"/>
        </xdr:cNvSpPr>
      </xdr:nvSpPr>
      <xdr:spPr bwMode="auto">
        <a:xfrm>
          <a:off x="0" y="15240"/>
          <a:ext cx="1701992" cy="21566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5</xdr:col>
      <xdr:colOff>1150620</xdr:colOff>
      <xdr:row>0</xdr:row>
      <xdr:rowOff>0</xdr:rowOff>
    </xdr:from>
    <xdr:to>
      <xdr:col>12</xdr:col>
      <xdr:colOff>137160</xdr:colOff>
      <xdr:row>0</xdr:row>
      <xdr:rowOff>274320</xdr:rowOff>
    </xdr:to>
    <xdr:sp macro="" textlink="">
      <xdr:nvSpPr>
        <xdr:cNvPr id="6" name="Textfeld 5">
          <a:extLst>
            <a:ext uri="{FF2B5EF4-FFF2-40B4-BE49-F238E27FC236}">
              <a16:creationId xmlns:a16="http://schemas.microsoft.com/office/drawing/2014/main" id="{00000000-0008-0000-1A00-000006000000}"/>
            </a:ext>
          </a:extLst>
        </xdr:cNvPr>
        <xdr:cNvSpPr txBox="1"/>
      </xdr:nvSpPr>
      <xdr:spPr>
        <a:xfrm>
          <a:off x="1988820" y="0"/>
          <a:ext cx="7124700" cy="274320"/>
        </a:xfrm>
        <a:prstGeom prst="rect">
          <a:avLst/>
        </a:prstGeom>
        <a:solidFill>
          <a:schemeClr val="lt1"/>
        </a:solidFill>
        <a:ln w="9525"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a:solidFill>
                <a:srgbClr val="FF0000"/>
              </a:solidFill>
              <a:effectLst/>
              <a:latin typeface="Arial" panose="020B0604020202020204" pitchFamily="34" charset="0"/>
              <a:ea typeface="+mn-ea"/>
              <a:cs typeface="Arial" panose="020B0604020202020204" pitchFamily="34" charset="0"/>
            </a:rPr>
            <a:t>Gelbe Felder anklicken und Kultur bzw. Bewirtschaftungsintensität über Schaltfläche wählen!</a:t>
          </a:r>
          <a:endParaRPr lang="de-DE" sz="1200">
            <a:solidFill>
              <a:srgbClr val="FF0000"/>
            </a:solidFill>
            <a:effectLst/>
            <a:latin typeface="Arial" panose="020B0604020202020204" pitchFamily="34" charset="0"/>
            <a:cs typeface="Arial" panose="020B0604020202020204" pitchFamily="34" charset="0"/>
          </a:endParaRP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0.38949</cdr:x>
      <cdr:y>0.03465</cdr:y>
    </cdr:from>
    <cdr:to>
      <cdr:x>0.71693</cdr:x>
      <cdr:y>0.11004</cdr:y>
    </cdr:to>
    <cdr:sp macro="" textlink="">
      <cdr:nvSpPr>
        <cdr:cNvPr id="2" name="Textfeld 1"/>
        <cdr:cNvSpPr txBox="1"/>
      </cdr:nvSpPr>
      <cdr:spPr>
        <a:xfrm xmlns:a="http://schemas.openxmlformats.org/drawingml/2006/main">
          <a:off x="5574225" y="207818"/>
          <a:ext cx="4686298" cy="4522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2400"/>
            <a:t>Deckungsbeiträge</a:t>
          </a:r>
        </a:p>
      </cdr:txBody>
    </cdr:sp>
  </cdr:relSizeAnchor>
</c:userShapes>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182880</xdr:colOff>
          <xdr:row>2</xdr:row>
          <xdr:rowOff>251460</xdr:rowOff>
        </xdr:from>
        <xdr:to>
          <xdr:col>13</xdr:col>
          <xdr:colOff>22860</xdr:colOff>
          <xdr:row>3</xdr:row>
          <xdr:rowOff>175260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B00-000002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1</xdr:row>
          <xdr:rowOff>259080</xdr:rowOff>
        </xdr:from>
        <xdr:to>
          <xdr:col>13</xdr:col>
          <xdr:colOff>7620</xdr:colOff>
          <xdr:row>2</xdr:row>
          <xdr:rowOff>297180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B00-000003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43815</xdr:colOff>
      <xdr:row>0</xdr:row>
      <xdr:rowOff>0</xdr:rowOff>
    </xdr:from>
    <xdr:to>
      <xdr:col>3</xdr:col>
      <xdr:colOff>249527</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568ED25D-4C35-4091-B372-C90AED6B3F72}"/>
            </a:ext>
          </a:extLst>
        </xdr:cNvPr>
        <xdr:cNvSpPr>
          <a:spLocks noChangeArrowheads="1"/>
        </xdr:cNvSpPr>
      </xdr:nvSpPr>
      <xdr:spPr bwMode="auto">
        <a:xfrm>
          <a:off x="158115" y="0"/>
          <a:ext cx="146301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F9B316AF-9A70-4301-A4B5-66B1CA35C817}"/>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121920</xdr:colOff>
          <xdr:row>3</xdr:row>
          <xdr:rowOff>7620</xdr:rowOff>
        </xdr:from>
        <xdr:to>
          <xdr:col>12</xdr:col>
          <xdr:colOff>381000</xdr:colOff>
          <xdr:row>3</xdr:row>
          <xdr:rowOff>236220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C00-000001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121920</xdr:colOff>
          <xdr:row>2</xdr:row>
          <xdr:rowOff>38100</xdr:rowOff>
        </xdr:from>
        <xdr:to>
          <xdr:col>12</xdr:col>
          <xdr:colOff>388620</xdr:colOff>
          <xdr:row>2</xdr:row>
          <xdr:rowOff>274320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C00-000002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FBF2B6A6-49B2-4380-92D2-83FEED5950C6}"/>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B9C5A12F-A9DB-4CDE-A115-39BB2B9AC6FA}"/>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38100</xdr:rowOff>
        </xdr:from>
        <xdr:to>
          <xdr:col>12</xdr:col>
          <xdr:colOff>533400</xdr:colOff>
          <xdr:row>4</xdr:row>
          <xdr:rowOff>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D00-000001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12</xdr:col>
          <xdr:colOff>533400</xdr:colOff>
          <xdr:row>2</xdr:row>
          <xdr:rowOff>274320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D00-000002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C43FBBC6-0C1B-4316-9DBA-F05A07A77B85}"/>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84901128-5566-4BE6-AF94-09CFC1D73B78}"/>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38100</xdr:rowOff>
        </xdr:from>
        <xdr:to>
          <xdr:col>13</xdr:col>
          <xdr:colOff>0</xdr:colOff>
          <xdr:row>4</xdr:row>
          <xdr:rowOff>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E00-00000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13</xdr:col>
          <xdr:colOff>0</xdr:colOff>
          <xdr:row>2</xdr:row>
          <xdr:rowOff>274320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E00-00000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1DFD8521-3753-497B-82AE-E01F86264FA8}"/>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7DCE63DA-9F0D-4C7F-A8E8-CE1CB78D72B1}"/>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38100</xdr:rowOff>
        </xdr:from>
        <xdr:to>
          <xdr:col>13</xdr:col>
          <xdr:colOff>0</xdr:colOff>
          <xdr:row>4</xdr:row>
          <xdr:rowOff>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F00-00000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0</xdr:rowOff>
        </xdr:from>
        <xdr:to>
          <xdr:col>13</xdr:col>
          <xdr:colOff>0</xdr:colOff>
          <xdr:row>2</xdr:row>
          <xdr:rowOff>236220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F00-00000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04808894-02A6-4BEC-B94E-E4AA0FA31ECA}"/>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1D471255-907A-42B4-8FB7-668C5B8F093A}"/>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0</xdr:rowOff>
        </xdr:from>
        <xdr:to>
          <xdr:col>13</xdr:col>
          <xdr:colOff>0</xdr:colOff>
          <xdr:row>3</xdr:row>
          <xdr:rowOff>213360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2000-000001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13</xdr:col>
          <xdr:colOff>0</xdr:colOff>
          <xdr:row>2</xdr:row>
          <xdr:rowOff>274320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2000-000002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38F14909-C4A0-4658-9B8C-12F111D27EA9}"/>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FE66EF1C-A2C9-42CD-9A45-8B20C41CCCBB}"/>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3</xdr:col>
      <xdr:colOff>353683</xdr:colOff>
      <xdr:row>14</xdr:row>
      <xdr:rowOff>0</xdr:rowOff>
    </xdr:from>
    <xdr:to>
      <xdr:col>13</xdr:col>
      <xdr:colOff>388189</xdr:colOff>
      <xdr:row>14</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2753983" y="2346960"/>
          <a:ext cx="803550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353683</xdr:colOff>
      <xdr:row>13</xdr:row>
      <xdr:rowOff>0</xdr:rowOff>
    </xdr:from>
    <xdr:to>
      <xdr:col>5</xdr:col>
      <xdr:colOff>353683</xdr:colOff>
      <xdr:row>14</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V="1">
          <a:off x="4354183"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345057</xdr:colOff>
      <xdr:row>12</xdr:row>
      <xdr:rowOff>181155</xdr:rowOff>
    </xdr:from>
    <xdr:to>
      <xdr:col>3</xdr:col>
      <xdr:colOff>345057</xdr:colOff>
      <xdr:row>14</xdr:row>
      <xdr:rowOff>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flipV="1">
          <a:off x="2745357" y="2177595"/>
          <a:ext cx="0" cy="16936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345057</xdr:colOff>
      <xdr:row>13</xdr:row>
      <xdr:rowOff>8626</xdr:rowOff>
    </xdr:from>
    <xdr:to>
      <xdr:col>7</xdr:col>
      <xdr:colOff>345057</xdr:colOff>
      <xdr:row>14</xdr:row>
      <xdr:rowOff>0</xdr:rowOff>
    </xdr:to>
    <xdr:sp macro="" textlink="">
      <xdr:nvSpPr>
        <xdr:cNvPr id="5" name="Line 4">
          <a:extLst>
            <a:ext uri="{FF2B5EF4-FFF2-40B4-BE49-F238E27FC236}">
              <a16:creationId xmlns:a16="http://schemas.microsoft.com/office/drawing/2014/main" id="{00000000-0008-0000-0100-000005000000}"/>
            </a:ext>
          </a:extLst>
        </xdr:cNvPr>
        <xdr:cNvSpPr>
          <a:spLocks noChangeShapeType="1"/>
        </xdr:cNvSpPr>
      </xdr:nvSpPr>
      <xdr:spPr bwMode="auto">
        <a:xfrm flipV="1">
          <a:off x="5945757" y="2187946"/>
          <a:ext cx="0" cy="15901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362309</xdr:colOff>
      <xdr:row>13</xdr:row>
      <xdr:rowOff>0</xdr:rowOff>
    </xdr:from>
    <xdr:to>
      <xdr:col>9</xdr:col>
      <xdr:colOff>362309</xdr:colOff>
      <xdr:row>14</xdr:row>
      <xdr:rowOff>8626</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bwMode="auto">
        <a:xfrm flipV="1">
          <a:off x="7563209" y="2179320"/>
          <a:ext cx="0" cy="17626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353683</xdr:colOff>
      <xdr:row>12</xdr:row>
      <xdr:rowOff>181155</xdr:rowOff>
    </xdr:from>
    <xdr:to>
      <xdr:col>11</xdr:col>
      <xdr:colOff>353683</xdr:colOff>
      <xdr:row>14</xdr:row>
      <xdr:rowOff>0</xdr:rowOff>
    </xdr:to>
    <xdr:sp macro="" textlink="">
      <xdr:nvSpPr>
        <xdr:cNvPr id="7" name="Line 6">
          <a:extLst>
            <a:ext uri="{FF2B5EF4-FFF2-40B4-BE49-F238E27FC236}">
              <a16:creationId xmlns:a16="http://schemas.microsoft.com/office/drawing/2014/main" id="{00000000-0008-0000-0100-000007000000}"/>
            </a:ext>
          </a:extLst>
        </xdr:cNvPr>
        <xdr:cNvSpPr>
          <a:spLocks noChangeShapeType="1"/>
        </xdr:cNvSpPr>
      </xdr:nvSpPr>
      <xdr:spPr bwMode="auto">
        <a:xfrm flipV="1">
          <a:off x="9154783" y="2177595"/>
          <a:ext cx="0" cy="16936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327804</xdr:colOff>
      <xdr:row>13</xdr:row>
      <xdr:rowOff>0</xdr:rowOff>
    </xdr:from>
    <xdr:to>
      <xdr:col>13</xdr:col>
      <xdr:colOff>327804</xdr:colOff>
      <xdr:row>14</xdr:row>
      <xdr:rowOff>0</xdr:rowOff>
    </xdr:to>
    <xdr:sp macro="" textlink="">
      <xdr:nvSpPr>
        <xdr:cNvPr id="8" name="Line 7">
          <a:extLst>
            <a:ext uri="{FF2B5EF4-FFF2-40B4-BE49-F238E27FC236}">
              <a16:creationId xmlns:a16="http://schemas.microsoft.com/office/drawing/2014/main" id="{00000000-0008-0000-0100-000008000000}"/>
            </a:ext>
          </a:extLst>
        </xdr:cNvPr>
        <xdr:cNvSpPr>
          <a:spLocks noChangeShapeType="1"/>
        </xdr:cNvSpPr>
      </xdr:nvSpPr>
      <xdr:spPr bwMode="auto">
        <a:xfrm flipV="1">
          <a:off x="10729104"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181155</xdr:colOff>
      <xdr:row>14</xdr:row>
      <xdr:rowOff>0</xdr:rowOff>
    </xdr:from>
    <xdr:to>
      <xdr:col>8</xdr:col>
      <xdr:colOff>181155</xdr:colOff>
      <xdr:row>16</xdr:row>
      <xdr:rowOff>77638</xdr:rowOff>
    </xdr:to>
    <xdr:sp macro="" textlink="">
      <xdr:nvSpPr>
        <xdr:cNvPr id="9" name="Line 8">
          <a:extLst>
            <a:ext uri="{FF2B5EF4-FFF2-40B4-BE49-F238E27FC236}">
              <a16:creationId xmlns:a16="http://schemas.microsoft.com/office/drawing/2014/main" id="{00000000-0008-0000-0100-000009000000}"/>
            </a:ext>
          </a:extLst>
        </xdr:cNvPr>
        <xdr:cNvSpPr>
          <a:spLocks noChangeShapeType="1"/>
        </xdr:cNvSpPr>
      </xdr:nvSpPr>
      <xdr:spPr bwMode="auto">
        <a:xfrm>
          <a:off x="6581955" y="2346960"/>
          <a:ext cx="0" cy="41291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364073</xdr:colOff>
      <xdr:row>14</xdr:row>
      <xdr:rowOff>3464</xdr:rowOff>
    </xdr:from>
    <xdr:to>
      <xdr:col>17</xdr:col>
      <xdr:colOff>412173</xdr:colOff>
      <xdr:row>14</xdr:row>
      <xdr:rowOff>3464</xdr:rowOff>
    </xdr:to>
    <xdr:sp macro="" textlink="">
      <xdr:nvSpPr>
        <xdr:cNvPr id="10" name="Line 9">
          <a:extLst>
            <a:ext uri="{FF2B5EF4-FFF2-40B4-BE49-F238E27FC236}">
              <a16:creationId xmlns:a16="http://schemas.microsoft.com/office/drawing/2014/main" id="{00000000-0008-0000-0100-00000A000000}"/>
            </a:ext>
          </a:extLst>
        </xdr:cNvPr>
        <xdr:cNvSpPr>
          <a:spLocks noChangeShapeType="1"/>
        </xdr:cNvSpPr>
      </xdr:nvSpPr>
      <xdr:spPr bwMode="auto">
        <a:xfrm>
          <a:off x="842055" y="3515591"/>
          <a:ext cx="700308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370936</xdr:colOff>
      <xdr:row>16</xdr:row>
      <xdr:rowOff>77638</xdr:rowOff>
    </xdr:from>
    <xdr:to>
      <xdr:col>13</xdr:col>
      <xdr:colOff>388189</xdr:colOff>
      <xdr:row>16</xdr:row>
      <xdr:rowOff>77638</xdr:rowOff>
    </xdr:to>
    <xdr:sp macro="" textlink="">
      <xdr:nvSpPr>
        <xdr:cNvPr id="11" name="Line 10">
          <a:extLst>
            <a:ext uri="{FF2B5EF4-FFF2-40B4-BE49-F238E27FC236}">
              <a16:creationId xmlns:a16="http://schemas.microsoft.com/office/drawing/2014/main" id="{00000000-0008-0000-0100-00000B000000}"/>
            </a:ext>
          </a:extLst>
        </xdr:cNvPr>
        <xdr:cNvSpPr>
          <a:spLocks noChangeShapeType="1"/>
        </xdr:cNvSpPr>
      </xdr:nvSpPr>
      <xdr:spPr bwMode="auto">
        <a:xfrm>
          <a:off x="2771236" y="2759878"/>
          <a:ext cx="801825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388189</xdr:colOff>
      <xdr:row>16</xdr:row>
      <xdr:rowOff>77638</xdr:rowOff>
    </xdr:from>
    <xdr:to>
      <xdr:col>13</xdr:col>
      <xdr:colOff>388189</xdr:colOff>
      <xdr:row>16</xdr:row>
      <xdr:rowOff>181155</xdr:rowOff>
    </xdr:to>
    <xdr:sp macro="" textlink="">
      <xdr:nvSpPr>
        <xdr:cNvPr id="12" name="Line 11">
          <a:extLst>
            <a:ext uri="{FF2B5EF4-FFF2-40B4-BE49-F238E27FC236}">
              <a16:creationId xmlns:a16="http://schemas.microsoft.com/office/drawing/2014/main" id="{00000000-0008-0000-0100-00000C000000}"/>
            </a:ext>
          </a:extLst>
        </xdr:cNvPr>
        <xdr:cNvSpPr>
          <a:spLocks noChangeShapeType="1"/>
        </xdr:cNvSpPr>
      </xdr:nvSpPr>
      <xdr:spPr bwMode="auto">
        <a:xfrm>
          <a:off x="10789489" y="2759878"/>
          <a:ext cx="0" cy="8827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362309</xdr:colOff>
      <xdr:row>16</xdr:row>
      <xdr:rowOff>86264</xdr:rowOff>
    </xdr:from>
    <xdr:to>
      <xdr:col>11</xdr:col>
      <xdr:colOff>362309</xdr:colOff>
      <xdr:row>16</xdr:row>
      <xdr:rowOff>181155</xdr:rowOff>
    </xdr:to>
    <xdr:sp macro="" textlink="">
      <xdr:nvSpPr>
        <xdr:cNvPr id="13" name="Line 12">
          <a:extLst>
            <a:ext uri="{FF2B5EF4-FFF2-40B4-BE49-F238E27FC236}">
              <a16:creationId xmlns:a16="http://schemas.microsoft.com/office/drawing/2014/main" id="{00000000-0008-0000-0100-00000D000000}"/>
            </a:ext>
          </a:extLst>
        </xdr:cNvPr>
        <xdr:cNvSpPr>
          <a:spLocks noChangeShapeType="1"/>
        </xdr:cNvSpPr>
      </xdr:nvSpPr>
      <xdr:spPr bwMode="auto">
        <a:xfrm>
          <a:off x="9163409" y="2768504"/>
          <a:ext cx="0" cy="796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362309</xdr:colOff>
      <xdr:row>16</xdr:row>
      <xdr:rowOff>77638</xdr:rowOff>
    </xdr:from>
    <xdr:to>
      <xdr:col>9</xdr:col>
      <xdr:colOff>362309</xdr:colOff>
      <xdr:row>16</xdr:row>
      <xdr:rowOff>181155</xdr:rowOff>
    </xdr:to>
    <xdr:sp macro="" textlink="">
      <xdr:nvSpPr>
        <xdr:cNvPr id="14" name="Line 13">
          <a:extLst>
            <a:ext uri="{FF2B5EF4-FFF2-40B4-BE49-F238E27FC236}">
              <a16:creationId xmlns:a16="http://schemas.microsoft.com/office/drawing/2014/main" id="{00000000-0008-0000-0100-00000E000000}"/>
            </a:ext>
          </a:extLst>
        </xdr:cNvPr>
        <xdr:cNvSpPr>
          <a:spLocks noChangeShapeType="1"/>
        </xdr:cNvSpPr>
      </xdr:nvSpPr>
      <xdr:spPr bwMode="auto">
        <a:xfrm>
          <a:off x="7563209" y="2759878"/>
          <a:ext cx="0" cy="8827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353683</xdr:colOff>
      <xdr:row>16</xdr:row>
      <xdr:rowOff>77638</xdr:rowOff>
    </xdr:from>
    <xdr:to>
      <xdr:col>7</xdr:col>
      <xdr:colOff>353683</xdr:colOff>
      <xdr:row>17</xdr:row>
      <xdr:rowOff>0</xdr:rowOff>
    </xdr:to>
    <xdr:sp macro="" textlink="">
      <xdr:nvSpPr>
        <xdr:cNvPr id="15" name="Line 14">
          <a:extLst>
            <a:ext uri="{FF2B5EF4-FFF2-40B4-BE49-F238E27FC236}">
              <a16:creationId xmlns:a16="http://schemas.microsoft.com/office/drawing/2014/main" id="{00000000-0008-0000-0100-00000F000000}"/>
            </a:ext>
          </a:extLst>
        </xdr:cNvPr>
        <xdr:cNvSpPr>
          <a:spLocks noChangeShapeType="1"/>
        </xdr:cNvSpPr>
      </xdr:nvSpPr>
      <xdr:spPr bwMode="auto">
        <a:xfrm>
          <a:off x="59543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353683</xdr:colOff>
      <xdr:row>16</xdr:row>
      <xdr:rowOff>77638</xdr:rowOff>
    </xdr:from>
    <xdr:to>
      <xdr:col>5</xdr:col>
      <xdr:colOff>353683</xdr:colOff>
      <xdr:row>17</xdr:row>
      <xdr:rowOff>0</xdr:rowOff>
    </xdr:to>
    <xdr:sp macro="" textlink="">
      <xdr:nvSpPr>
        <xdr:cNvPr id="16" name="Line 15">
          <a:extLst>
            <a:ext uri="{FF2B5EF4-FFF2-40B4-BE49-F238E27FC236}">
              <a16:creationId xmlns:a16="http://schemas.microsoft.com/office/drawing/2014/main" id="{00000000-0008-0000-0100-000010000000}"/>
            </a:ext>
          </a:extLst>
        </xdr:cNvPr>
        <xdr:cNvSpPr>
          <a:spLocks noChangeShapeType="1"/>
        </xdr:cNvSpPr>
      </xdr:nvSpPr>
      <xdr:spPr bwMode="auto">
        <a:xfrm>
          <a:off x="43541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16</xdr:row>
      <xdr:rowOff>77638</xdr:rowOff>
    </xdr:from>
    <xdr:to>
      <xdr:col>3</xdr:col>
      <xdr:colOff>353683</xdr:colOff>
      <xdr:row>17</xdr:row>
      <xdr:rowOff>0</xdr:rowOff>
    </xdr:to>
    <xdr:sp macro="" textlink="">
      <xdr:nvSpPr>
        <xdr:cNvPr id="17" name="Line 16">
          <a:extLst>
            <a:ext uri="{FF2B5EF4-FFF2-40B4-BE49-F238E27FC236}">
              <a16:creationId xmlns:a16="http://schemas.microsoft.com/office/drawing/2014/main" id="{00000000-0008-0000-0100-000011000000}"/>
            </a:ext>
          </a:extLst>
        </xdr:cNvPr>
        <xdr:cNvSpPr>
          <a:spLocks noChangeShapeType="1"/>
        </xdr:cNvSpPr>
      </xdr:nvSpPr>
      <xdr:spPr bwMode="auto">
        <a:xfrm>
          <a:off x="27539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21</xdr:row>
      <xdr:rowOff>94891</xdr:rowOff>
    </xdr:from>
    <xdr:to>
      <xdr:col>13</xdr:col>
      <xdr:colOff>388189</xdr:colOff>
      <xdr:row>21</xdr:row>
      <xdr:rowOff>94891</xdr:rowOff>
    </xdr:to>
    <xdr:sp macro="" textlink="">
      <xdr:nvSpPr>
        <xdr:cNvPr id="18" name="Line 17">
          <a:extLst>
            <a:ext uri="{FF2B5EF4-FFF2-40B4-BE49-F238E27FC236}">
              <a16:creationId xmlns:a16="http://schemas.microsoft.com/office/drawing/2014/main" id="{00000000-0008-0000-0100-000012000000}"/>
            </a:ext>
          </a:extLst>
        </xdr:cNvPr>
        <xdr:cNvSpPr>
          <a:spLocks noChangeShapeType="1"/>
        </xdr:cNvSpPr>
      </xdr:nvSpPr>
      <xdr:spPr bwMode="auto">
        <a:xfrm>
          <a:off x="2753983" y="3615331"/>
          <a:ext cx="803550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388189</xdr:colOff>
      <xdr:row>21</xdr:row>
      <xdr:rowOff>0</xdr:rowOff>
    </xdr:from>
    <xdr:to>
      <xdr:col>13</xdr:col>
      <xdr:colOff>388189</xdr:colOff>
      <xdr:row>21</xdr:row>
      <xdr:rowOff>103517</xdr:rowOff>
    </xdr:to>
    <xdr:sp macro="" textlink="">
      <xdr:nvSpPr>
        <xdr:cNvPr id="19" name="Line 18">
          <a:extLst>
            <a:ext uri="{FF2B5EF4-FFF2-40B4-BE49-F238E27FC236}">
              <a16:creationId xmlns:a16="http://schemas.microsoft.com/office/drawing/2014/main" id="{00000000-0008-0000-0100-000013000000}"/>
            </a:ext>
          </a:extLst>
        </xdr:cNvPr>
        <xdr:cNvSpPr>
          <a:spLocks noChangeShapeType="1"/>
        </xdr:cNvSpPr>
      </xdr:nvSpPr>
      <xdr:spPr bwMode="auto">
        <a:xfrm flipV="1">
          <a:off x="10789489" y="3520440"/>
          <a:ext cx="0" cy="1035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353683</xdr:colOff>
      <xdr:row>21</xdr:row>
      <xdr:rowOff>0</xdr:rowOff>
    </xdr:from>
    <xdr:to>
      <xdr:col>11</xdr:col>
      <xdr:colOff>353683</xdr:colOff>
      <xdr:row>21</xdr:row>
      <xdr:rowOff>94891</xdr:rowOff>
    </xdr:to>
    <xdr:sp macro="" textlink="">
      <xdr:nvSpPr>
        <xdr:cNvPr id="20" name="Line 19">
          <a:extLst>
            <a:ext uri="{FF2B5EF4-FFF2-40B4-BE49-F238E27FC236}">
              <a16:creationId xmlns:a16="http://schemas.microsoft.com/office/drawing/2014/main" id="{00000000-0008-0000-0100-000014000000}"/>
            </a:ext>
          </a:extLst>
        </xdr:cNvPr>
        <xdr:cNvSpPr>
          <a:spLocks noChangeShapeType="1"/>
        </xdr:cNvSpPr>
      </xdr:nvSpPr>
      <xdr:spPr bwMode="auto">
        <a:xfrm flipV="1">
          <a:off x="9154783"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345057</xdr:colOff>
      <xdr:row>20</xdr:row>
      <xdr:rowOff>181155</xdr:rowOff>
    </xdr:from>
    <xdr:to>
      <xdr:col>9</xdr:col>
      <xdr:colOff>345057</xdr:colOff>
      <xdr:row>21</xdr:row>
      <xdr:rowOff>94891</xdr:rowOff>
    </xdr:to>
    <xdr:sp macro="" textlink="">
      <xdr:nvSpPr>
        <xdr:cNvPr id="21" name="Line 20">
          <a:extLst>
            <a:ext uri="{FF2B5EF4-FFF2-40B4-BE49-F238E27FC236}">
              <a16:creationId xmlns:a16="http://schemas.microsoft.com/office/drawing/2014/main" id="{00000000-0008-0000-0100-000015000000}"/>
            </a:ext>
          </a:extLst>
        </xdr:cNvPr>
        <xdr:cNvSpPr>
          <a:spLocks noChangeShapeType="1"/>
        </xdr:cNvSpPr>
      </xdr:nvSpPr>
      <xdr:spPr bwMode="auto">
        <a:xfrm flipV="1">
          <a:off x="7545957" y="3518715"/>
          <a:ext cx="0" cy="966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345057</xdr:colOff>
      <xdr:row>21</xdr:row>
      <xdr:rowOff>0</xdr:rowOff>
    </xdr:from>
    <xdr:to>
      <xdr:col>7</xdr:col>
      <xdr:colOff>345057</xdr:colOff>
      <xdr:row>21</xdr:row>
      <xdr:rowOff>94891</xdr:rowOff>
    </xdr:to>
    <xdr:sp macro="" textlink="">
      <xdr:nvSpPr>
        <xdr:cNvPr id="22" name="Line 21">
          <a:extLst>
            <a:ext uri="{FF2B5EF4-FFF2-40B4-BE49-F238E27FC236}">
              <a16:creationId xmlns:a16="http://schemas.microsoft.com/office/drawing/2014/main" id="{00000000-0008-0000-0100-000016000000}"/>
            </a:ext>
          </a:extLst>
        </xdr:cNvPr>
        <xdr:cNvSpPr>
          <a:spLocks noChangeShapeType="1"/>
        </xdr:cNvSpPr>
      </xdr:nvSpPr>
      <xdr:spPr bwMode="auto">
        <a:xfrm flipV="1">
          <a:off x="5945757"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21</xdr:row>
      <xdr:rowOff>0</xdr:rowOff>
    </xdr:from>
    <xdr:to>
      <xdr:col>3</xdr:col>
      <xdr:colOff>353683</xdr:colOff>
      <xdr:row>21</xdr:row>
      <xdr:rowOff>94891</xdr:rowOff>
    </xdr:to>
    <xdr:sp macro="" textlink="">
      <xdr:nvSpPr>
        <xdr:cNvPr id="23" name="Line 22">
          <a:extLst>
            <a:ext uri="{FF2B5EF4-FFF2-40B4-BE49-F238E27FC236}">
              <a16:creationId xmlns:a16="http://schemas.microsoft.com/office/drawing/2014/main" id="{00000000-0008-0000-0100-000017000000}"/>
            </a:ext>
          </a:extLst>
        </xdr:cNvPr>
        <xdr:cNvSpPr>
          <a:spLocks noChangeShapeType="1"/>
        </xdr:cNvSpPr>
      </xdr:nvSpPr>
      <xdr:spPr bwMode="auto">
        <a:xfrm flipV="1">
          <a:off x="2753983"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24</xdr:row>
      <xdr:rowOff>69010</xdr:rowOff>
    </xdr:from>
    <xdr:to>
      <xdr:col>7</xdr:col>
      <xdr:colOff>373380</xdr:colOff>
      <xdr:row>24</xdr:row>
      <xdr:rowOff>76199</xdr:rowOff>
    </xdr:to>
    <xdr:sp macro="" textlink="">
      <xdr:nvSpPr>
        <xdr:cNvPr id="24" name="Line 23">
          <a:extLst>
            <a:ext uri="{FF2B5EF4-FFF2-40B4-BE49-F238E27FC236}">
              <a16:creationId xmlns:a16="http://schemas.microsoft.com/office/drawing/2014/main" id="{00000000-0008-0000-0100-000018000000}"/>
            </a:ext>
          </a:extLst>
        </xdr:cNvPr>
        <xdr:cNvSpPr>
          <a:spLocks noChangeShapeType="1"/>
        </xdr:cNvSpPr>
      </xdr:nvSpPr>
      <xdr:spPr bwMode="auto">
        <a:xfrm>
          <a:off x="833743" y="6347890"/>
          <a:ext cx="2084717" cy="718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345057</xdr:colOff>
      <xdr:row>24</xdr:row>
      <xdr:rowOff>69011</xdr:rowOff>
    </xdr:from>
    <xdr:to>
      <xdr:col>3</xdr:col>
      <xdr:colOff>345057</xdr:colOff>
      <xdr:row>25</xdr:row>
      <xdr:rowOff>0</xdr:rowOff>
    </xdr:to>
    <xdr:sp macro="" textlink="">
      <xdr:nvSpPr>
        <xdr:cNvPr id="25" name="Line 24">
          <a:extLst>
            <a:ext uri="{FF2B5EF4-FFF2-40B4-BE49-F238E27FC236}">
              <a16:creationId xmlns:a16="http://schemas.microsoft.com/office/drawing/2014/main" id="{00000000-0008-0000-0100-000019000000}"/>
            </a:ext>
          </a:extLst>
        </xdr:cNvPr>
        <xdr:cNvSpPr>
          <a:spLocks noChangeShapeType="1"/>
        </xdr:cNvSpPr>
      </xdr:nvSpPr>
      <xdr:spPr bwMode="auto">
        <a:xfrm>
          <a:off x="2745357" y="4092371"/>
          <a:ext cx="0" cy="986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345057</xdr:colOff>
      <xdr:row>21</xdr:row>
      <xdr:rowOff>0</xdr:rowOff>
    </xdr:from>
    <xdr:to>
      <xdr:col>5</xdr:col>
      <xdr:colOff>345057</xdr:colOff>
      <xdr:row>24</xdr:row>
      <xdr:rowOff>181155</xdr:rowOff>
    </xdr:to>
    <xdr:sp macro="" textlink="">
      <xdr:nvSpPr>
        <xdr:cNvPr id="30" name="Line 29">
          <a:extLst>
            <a:ext uri="{FF2B5EF4-FFF2-40B4-BE49-F238E27FC236}">
              <a16:creationId xmlns:a16="http://schemas.microsoft.com/office/drawing/2014/main" id="{00000000-0008-0000-0100-00001E000000}"/>
            </a:ext>
          </a:extLst>
        </xdr:cNvPr>
        <xdr:cNvSpPr>
          <a:spLocks noChangeShapeType="1"/>
        </xdr:cNvSpPr>
      </xdr:nvSpPr>
      <xdr:spPr bwMode="auto">
        <a:xfrm>
          <a:off x="4345557" y="3520440"/>
          <a:ext cx="0" cy="66883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362309</xdr:colOff>
      <xdr:row>24</xdr:row>
      <xdr:rowOff>69011</xdr:rowOff>
    </xdr:from>
    <xdr:to>
      <xdr:col>7</xdr:col>
      <xdr:colOff>362309</xdr:colOff>
      <xdr:row>25</xdr:row>
      <xdr:rowOff>0</xdr:rowOff>
    </xdr:to>
    <xdr:sp macro="" textlink="">
      <xdr:nvSpPr>
        <xdr:cNvPr id="31" name="Line 30">
          <a:extLst>
            <a:ext uri="{FF2B5EF4-FFF2-40B4-BE49-F238E27FC236}">
              <a16:creationId xmlns:a16="http://schemas.microsoft.com/office/drawing/2014/main" id="{00000000-0008-0000-0100-00001F000000}"/>
            </a:ext>
          </a:extLst>
        </xdr:cNvPr>
        <xdr:cNvSpPr>
          <a:spLocks noChangeShapeType="1"/>
        </xdr:cNvSpPr>
      </xdr:nvSpPr>
      <xdr:spPr bwMode="auto">
        <a:xfrm>
          <a:off x="5963009" y="4092371"/>
          <a:ext cx="0" cy="986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362309</xdr:colOff>
      <xdr:row>13</xdr:row>
      <xdr:rowOff>0</xdr:rowOff>
    </xdr:from>
    <xdr:to>
      <xdr:col>15</xdr:col>
      <xdr:colOff>362309</xdr:colOff>
      <xdr:row>14</xdr:row>
      <xdr:rowOff>0</xdr:rowOff>
    </xdr:to>
    <xdr:sp macro="" textlink="">
      <xdr:nvSpPr>
        <xdr:cNvPr id="32" name="Line 34">
          <a:extLst>
            <a:ext uri="{FF2B5EF4-FFF2-40B4-BE49-F238E27FC236}">
              <a16:creationId xmlns:a16="http://schemas.microsoft.com/office/drawing/2014/main" id="{00000000-0008-0000-0100-000020000000}"/>
            </a:ext>
          </a:extLst>
        </xdr:cNvPr>
        <xdr:cNvSpPr>
          <a:spLocks noChangeShapeType="1"/>
        </xdr:cNvSpPr>
      </xdr:nvSpPr>
      <xdr:spPr bwMode="auto">
        <a:xfrm flipV="1">
          <a:off x="12363809"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24197</xdr:colOff>
      <xdr:row>33</xdr:row>
      <xdr:rowOff>684607</xdr:rowOff>
    </xdr:from>
    <xdr:ext cx="1518249" cy="276045"/>
    <xdr:pic>
      <xdr:nvPicPr>
        <xdr:cNvPr id="37" name="Grafik 2">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217" y="7893127"/>
          <a:ext cx="1518249" cy="276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25879</xdr:colOff>
      <xdr:row>51</xdr:row>
      <xdr:rowOff>103517</xdr:rowOff>
    </xdr:from>
    <xdr:ext cx="5748068" cy="1052423"/>
    <xdr:pic>
      <xdr:nvPicPr>
        <xdr:cNvPr id="38" name="Grafik 3">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6079" y="8820797"/>
          <a:ext cx="5748068" cy="105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169190</xdr:colOff>
      <xdr:row>1</xdr:row>
      <xdr:rowOff>51707</xdr:rowOff>
    </xdr:from>
    <xdr:to>
      <xdr:col>21</xdr:col>
      <xdr:colOff>254000</xdr:colOff>
      <xdr:row>1</xdr:row>
      <xdr:rowOff>317500</xdr:rowOff>
    </xdr:to>
    <xdr:sp macro="" textlink="">
      <xdr:nvSpPr>
        <xdr:cNvPr id="34" name="Rectangle 40">
          <a:hlinkClick xmlns:r="http://schemas.openxmlformats.org/officeDocument/2006/relationships" r:id="rId3"/>
          <a:extLst>
            <a:ext uri="{FF2B5EF4-FFF2-40B4-BE49-F238E27FC236}">
              <a16:creationId xmlns:a16="http://schemas.microsoft.com/office/drawing/2014/main" id="{00000000-0008-0000-0100-000022000000}"/>
            </a:ext>
          </a:extLst>
        </xdr:cNvPr>
        <xdr:cNvSpPr>
          <a:spLocks noChangeArrowheads="1"/>
        </xdr:cNvSpPr>
      </xdr:nvSpPr>
      <xdr:spPr bwMode="auto">
        <a:xfrm>
          <a:off x="8393298" y="134085"/>
          <a:ext cx="1691188" cy="265793"/>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17</xdr:col>
      <xdr:colOff>406759</xdr:colOff>
      <xdr:row>13</xdr:row>
      <xdr:rowOff>1270</xdr:rowOff>
    </xdr:from>
    <xdr:to>
      <xdr:col>17</xdr:col>
      <xdr:colOff>406759</xdr:colOff>
      <xdr:row>14</xdr:row>
      <xdr:rowOff>1270</xdr:rowOff>
    </xdr:to>
    <xdr:sp macro="" textlink="">
      <xdr:nvSpPr>
        <xdr:cNvPr id="33" name="Line 34">
          <a:extLst>
            <a:ext uri="{FF2B5EF4-FFF2-40B4-BE49-F238E27FC236}">
              <a16:creationId xmlns:a16="http://schemas.microsoft.com/office/drawing/2014/main" id="{00000000-0008-0000-0100-000021000000}"/>
            </a:ext>
          </a:extLst>
        </xdr:cNvPr>
        <xdr:cNvSpPr>
          <a:spLocks noChangeShapeType="1"/>
        </xdr:cNvSpPr>
      </xdr:nvSpPr>
      <xdr:spPr bwMode="auto">
        <a:xfrm flipV="1">
          <a:off x="7823559" y="3322320"/>
          <a:ext cx="0"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38100</xdr:rowOff>
        </xdr:from>
        <xdr:to>
          <xdr:col>13</xdr:col>
          <xdr:colOff>0</xdr:colOff>
          <xdr:row>4</xdr:row>
          <xdr:rowOff>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2100-000001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13</xdr:col>
          <xdr:colOff>0</xdr:colOff>
          <xdr:row>2</xdr:row>
          <xdr:rowOff>274320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2100-000002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4851688F-5B60-440B-B458-3C624ADD127C}"/>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C55F6D87-8630-4A47-80EC-99BA89BADC81}"/>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0</xdr:rowOff>
        </xdr:from>
        <xdr:to>
          <xdr:col>13</xdr:col>
          <xdr:colOff>0</xdr:colOff>
          <xdr:row>3</xdr:row>
          <xdr:rowOff>213360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2200-000001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13</xdr:col>
          <xdr:colOff>0</xdr:colOff>
          <xdr:row>2</xdr:row>
          <xdr:rowOff>274320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2200-000002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27B6A418-E0B1-485D-9682-8828ED014DCD}"/>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AAB9FEEE-3417-4A77-979C-8AC52C1712A6}"/>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38100</xdr:rowOff>
        </xdr:from>
        <xdr:to>
          <xdr:col>13</xdr:col>
          <xdr:colOff>0</xdr:colOff>
          <xdr:row>4</xdr:row>
          <xdr:rowOff>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2300-000001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13</xdr:col>
          <xdr:colOff>0</xdr:colOff>
          <xdr:row>2</xdr:row>
          <xdr:rowOff>274320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2300-000002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FC8EBC45-B2B1-488B-98FA-A1C356372C62}"/>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49924195-ED3F-4ADE-A9FE-6E4E0B86F30F}"/>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0</xdr:rowOff>
        </xdr:from>
        <xdr:to>
          <xdr:col>13</xdr:col>
          <xdr:colOff>0</xdr:colOff>
          <xdr:row>3</xdr:row>
          <xdr:rowOff>213360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2400-00000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0</xdr:rowOff>
        </xdr:from>
        <xdr:to>
          <xdr:col>13</xdr:col>
          <xdr:colOff>0</xdr:colOff>
          <xdr:row>2</xdr:row>
          <xdr:rowOff>236220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2400-00000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703C3F23-71D4-4EF8-A0F6-6D854EB50F0C}"/>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01046188-8CC9-420E-9D8D-4D3043F79066}"/>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38100</xdr:rowOff>
        </xdr:from>
        <xdr:to>
          <xdr:col>13</xdr:col>
          <xdr:colOff>0</xdr:colOff>
          <xdr:row>4</xdr:row>
          <xdr:rowOff>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2500-000001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13</xdr:col>
          <xdr:colOff>0</xdr:colOff>
          <xdr:row>2</xdr:row>
          <xdr:rowOff>274320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2500-000002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1EDE4656-25C3-4E1A-A300-AE42140A7C54}"/>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6258794A-802C-4ACC-B53C-35D35EE89C72}"/>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9E776E5C-1384-4407-8A1A-A24D780125B3}"/>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5" name="Rectangle 29">
          <a:hlinkClick xmlns:r="http://schemas.openxmlformats.org/officeDocument/2006/relationships" r:id="rId2"/>
          <a:extLst>
            <a:ext uri="{FF2B5EF4-FFF2-40B4-BE49-F238E27FC236}">
              <a16:creationId xmlns:a16="http://schemas.microsoft.com/office/drawing/2014/main" id="{E846F0A1-2D65-4D00-8F73-A199006E114B}"/>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6.xml><?xml version="1.0" encoding="utf-8"?>
<xdr:wsDr xmlns:xdr="http://schemas.openxmlformats.org/drawingml/2006/spreadsheetDrawing" xmlns:a="http://schemas.openxmlformats.org/drawingml/2006/main">
  <xdr:oneCellAnchor>
    <xdr:from>
      <xdr:col>32</xdr:col>
      <xdr:colOff>609600</xdr:colOff>
      <xdr:row>15</xdr:row>
      <xdr:rowOff>161925</xdr:rowOff>
    </xdr:from>
    <xdr:ext cx="5738723" cy="3560769"/>
    <xdr:pic>
      <xdr:nvPicPr>
        <xdr:cNvPr id="6" name="Grafik 23">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3181350"/>
          <a:ext cx="5738723" cy="356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A5CC3BE4-9A35-4700-B245-430B64DFF2F4}"/>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3"/>
          <a:extLst>
            <a:ext uri="{FF2B5EF4-FFF2-40B4-BE49-F238E27FC236}">
              <a16:creationId xmlns:a16="http://schemas.microsoft.com/office/drawing/2014/main" id="{A4AED324-3C48-456C-B08F-0487B00DFA3E}"/>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32</xdr:col>
      <xdr:colOff>180975</xdr:colOff>
      <xdr:row>6</xdr:row>
      <xdr:rowOff>49530</xdr:rowOff>
    </xdr:from>
    <xdr:to>
      <xdr:col>35</xdr:col>
      <xdr:colOff>424815</xdr:colOff>
      <xdr:row>8</xdr:row>
      <xdr:rowOff>120015</xdr:rowOff>
    </xdr:to>
    <xdr:sp macro="" textlink="">
      <xdr:nvSpPr>
        <xdr:cNvPr id="2" name="Textfeld 1">
          <a:extLst>
            <a:ext uri="{FF2B5EF4-FFF2-40B4-BE49-F238E27FC236}">
              <a16:creationId xmlns:a16="http://schemas.microsoft.com/office/drawing/2014/main" id="{B9E4E3DD-3479-4D47-B745-E78E28C54B01}"/>
            </a:ext>
          </a:extLst>
        </xdr:cNvPr>
        <xdr:cNvSpPr txBox="1"/>
      </xdr:nvSpPr>
      <xdr:spPr>
        <a:xfrm>
          <a:off x="9553575" y="1783080"/>
          <a:ext cx="2644140" cy="480060"/>
        </a:xfrm>
        <a:prstGeom prst="rect">
          <a:avLst/>
        </a:prstGeom>
        <a:solidFill>
          <a:schemeClr val="bg1"/>
        </a:solidFill>
        <a:ln>
          <a:solidFill>
            <a:srgbClr val="FF0000"/>
          </a:solidFill>
          <a:prstDash val="sysDot"/>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t"/>
        <a:lstStyle/>
        <a:p>
          <a:r>
            <a:rPr lang="de-DE" sz="1100" b="1">
              <a:solidFill>
                <a:srgbClr val="FF0000"/>
              </a:solidFill>
              <a:effectLst/>
              <a:latin typeface="+mn-lt"/>
              <a:ea typeface="+mn-ea"/>
              <a:cs typeface="+mn-cs"/>
            </a:rPr>
            <a:t>Es liegen keine Preise vor!</a:t>
          </a:r>
        </a:p>
        <a:p>
          <a:r>
            <a:rPr lang="de-DE" sz="1100" b="1">
              <a:solidFill>
                <a:srgbClr val="FF0000"/>
              </a:solidFill>
              <a:effectLst/>
              <a:latin typeface="+mn-lt"/>
              <a:ea typeface="+mn-ea"/>
              <a:cs typeface="+mn-cs"/>
            </a:rPr>
            <a:t>Bitte individuellen</a:t>
          </a:r>
          <a:r>
            <a:rPr lang="de-DE" sz="1100" b="1" baseline="0">
              <a:solidFill>
                <a:srgbClr val="FF0000"/>
              </a:solidFill>
              <a:effectLst/>
              <a:latin typeface="+mn-lt"/>
              <a:ea typeface="+mn-ea"/>
              <a:cs typeface="+mn-cs"/>
            </a:rPr>
            <a:t> Preis in G9 einsetzen</a:t>
          </a:r>
          <a:endParaRPr lang="de-DE">
            <a:solidFill>
              <a:srgbClr val="FF0000"/>
            </a:solidFill>
            <a:effectLst/>
          </a:endParaRPr>
        </a:p>
        <a:p>
          <a:endParaRPr lang="de-DE" sz="1100">
            <a:solidFill>
              <a:srgbClr val="FF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00215D02-A7EA-45A5-8B5E-3CCB72122962}"/>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16D0B35D-5200-47F9-9921-E77C22C246C0}"/>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81FF08D4-D02E-497A-A229-FEBBDD9C353D}"/>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6CA84842-F563-4BAF-BF03-348288AE6C00}"/>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7EEE70D1-37ED-49D9-87B0-E17105CA194E}"/>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C32E9173-FEE2-4811-A2B9-6BB56379DE2F}"/>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12</xdr:col>
      <xdr:colOff>0</xdr:colOff>
      <xdr:row>1</xdr:row>
      <xdr:rowOff>38100</xdr:rowOff>
    </xdr:from>
    <xdr:to>
      <xdr:col>14</xdr:col>
      <xdr:colOff>99060</xdr:colOff>
      <xdr:row>1</xdr:row>
      <xdr:rowOff>304800</xdr:rowOff>
    </xdr:to>
    <xdr:sp macro="" textlink="">
      <xdr:nvSpPr>
        <xdr:cNvPr id="4" name="Rectangle 40">
          <a:hlinkClick xmlns:r="http://schemas.openxmlformats.org/officeDocument/2006/relationships" r:id="rId1"/>
          <a:extLst>
            <a:ext uri="{FF2B5EF4-FFF2-40B4-BE49-F238E27FC236}">
              <a16:creationId xmlns:a16="http://schemas.microsoft.com/office/drawing/2014/main" id="{00000000-0008-0000-0200-000004000000}"/>
            </a:ext>
          </a:extLst>
        </xdr:cNvPr>
        <xdr:cNvSpPr>
          <a:spLocks noChangeArrowheads="1"/>
        </xdr:cNvSpPr>
      </xdr:nvSpPr>
      <xdr:spPr bwMode="auto">
        <a:xfrm>
          <a:off x="7940040" y="129540"/>
          <a:ext cx="1135380"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2968EC41-7791-4349-B0C4-BED712668D91}"/>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3D3B93D7-B43F-41F4-8267-E1563A6DE586}"/>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26</xdr:col>
      <xdr:colOff>142875</xdr:colOff>
      <xdr:row>6</xdr:row>
      <xdr:rowOff>152400</xdr:rowOff>
    </xdr:from>
    <xdr:to>
      <xdr:col>29</xdr:col>
      <xdr:colOff>386715</xdr:colOff>
      <xdr:row>9</xdr:row>
      <xdr:rowOff>11430</xdr:rowOff>
    </xdr:to>
    <xdr:sp macro="" textlink="">
      <xdr:nvSpPr>
        <xdr:cNvPr id="2" name="Textfeld 1">
          <a:extLst>
            <a:ext uri="{FF2B5EF4-FFF2-40B4-BE49-F238E27FC236}">
              <a16:creationId xmlns:a16="http://schemas.microsoft.com/office/drawing/2014/main" id="{2361739A-2360-4B7F-BB5B-71FD8CC402FA}"/>
            </a:ext>
          </a:extLst>
        </xdr:cNvPr>
        <xdr:cNvSpPr txBox="1"/>
      </xdr:nvSpPr>
      <xdr:spPr>
        <a:xfrm>
          <a:off x="9515475" y="1885950"/>
          <a:ext cx="2644140" cy="478155"/>
        </a:xfrm>
        <a:prstGeom prst="rect">
          <a:avLst/>
        </a:prstGeom>
        <a:solidFill>
          <a:schemeClr val="bg1"/>
        </a:solidFill>
        <a:ln>
          <a:solidFill>
            <a:srgbClr val="FF0000"/>
          </a:solidFill>
          <a:prstDash val="sysDot"/>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t"/>
        <a:lstStyle/>
        <a:p>
          <a:r>
            <a:rPr lang="de-DE" sz="1100" b="1">
              <a:solidFill>
                <a:srgbClr val="FF0000"/>
              </a:solidFill>
              <a:effectLst/>
              <a:latin typeface="+mn-lt"/>
              <a:ea typeface="+mn-ea"/>
              <a:cs typeface="+mn-cs"/>
            </a:rPr>
            <a:t>Es liegen keine Preise vor!</a:t>
          </a:r>
        </a:p>
        <a:p>
          <a:r>
            <a:rPr lang="de-DE" sz="1100" b="1">
              <a:solidFill>
                <a:srgbClr val="FF0000"/>
              </a:solidFill>
              <a:effectLst/>
              <a:latin typeface="+mn-lt"/>
              <a:ea typeface="+mn-ea"/>
              <a:cs typeface="+mn-cs"/>
            </a:rPr>
            <a:t>Bitte individuellen</a:t>
          </a:r>
          <a:r>
            <a:rPr lang="de-DE" sz="1100" b="1" baseline="0">
              <a:solidFill>
                <a:srgbClr val="FF0000"/>
              </a:solidFill>
              <a:effectLst/>
              <a:latin typeface="+mn-lt"/>
              <a:ea typeface="+mn-ea"/>
              <a:cs typeface="+mn-cs"/>
            </a:rPr>
            <a:t> Preis in G9 einsetzen</a:t>
          </a:r>
          <a:endParaRPr lang="de-DE">
            <a:solidFill>
              <a:srgbClr val="FF0000"/>
            </a:solidFill>
            <a:effectLst/>
          </a:endParaRPr>
        </a:p>
        <a:p>
          <a:endParaRPr lang="de-DE" sz="1100">
            <a:solidFill>
              <a:srgbClr val="FF0000"/>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09A6AB4A-5181-4BDC-AD9B-0EAB6BE29ED6}"/>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B9895127-0DBC-4E17-92B3-529D71EFF51E}"/>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073C63C7-BFE6-4997-93C7-CFF8ACB51537}"/>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3C2D3A70-18E4-462F-8853-6E2E59A0ED31}"/>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6E94EA80-76A9-48DC-A130-3949BAC452F1}"/>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243BB422-97B2-4B78-BE2C-5D08843E4282}"/>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26</xdr:col>
      <xdr:colOff>161925</xdr:colOff>
      <xdr:row>6</xdr:row>
      <xdr:rowOff>114300</xdr:rowOff>
    </xdr:from>
    <xdr:to>
      <xdr:col>29</xdr:col>
      <xdr:colOff>405765</xdr:colOff>
      <xdr:row>8</xdr:row>
      <xdr:rowOff>182880</xdr:rowOff>
    </xdr:to>
    <xdr:sp macro="" textlink="">
      <xdr:nvSpPr>
        <xdr:cNvPr id="2" name="Textfeld 1">
          <a:extLst>
            <a:ext uri="{FF2B5EF4-FFF2-40B4-BE49-F238E27FC236}">
              <a16:creationId xmlns:a16="http://schemas.microsoft.com/office/drawing/2014/main" id="{C9A09A31-1A00-457E-B43D-DB6B52717207}"/>
            </a:ext>
          </a:extLst>
        </xdr:cNvPr>
        <xdr:cNvSpPr txBox="1"/>
      </xdr:nvSpPr>
      <xdr:spPr>
        <a:xfrm>
          <a:off x="9572625" y="1847850"/>
          <a:ext cx="2644140" cy="478155"/>
        </a:xfrm>
        <a:prstGeom prst="rect">
          <a:avLst/>
        </a:prstGeom>
        <a:solidFill>
          <a:schemeClr val="bg1"/>
        </a:solidFill>
        <a:ln>
          <a:solidFill>
            <a:srgbClr val="FF0000"/>
          </a:solidFill>
          <a:prstDash val="sysDot"/>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t"/>
        <a:lstStyle/>
        <a:p>
          <a:r>
            <a:rPr lang="de-DE" sz="1100" b="1">
              <a:solidFill>
                <a:srgbClr val="FF0000"/>
              </a:solidFill>
              <a:effectLst/>
              <a:latin typeface="+mn-lt"/>
              <a:ea typeface="+mn-ea"/>
              <a:cs typeface="+mn-cs"/>
            </a:rPr>
            <a:t>Es liegen keine Preise vor!</a:t>
          </a:r>
        </a:p>
        <a:p>
          <a:r>
            <a:rPr lang="de-DE" sz="1100" b="1">
              <a:solidFill>
                <a:srgbClr val="FF0000"/>
              </a:solidFill>
              <a:effectLst/>
              <a:latin typeface="+mn-lt"/>
              <a:ea typeface="+mn-ea"/>
              <a:cs typeface="+mn-cs"/>
            </a:rPr>
            <a:t>Bitte individuellen</a:t>
          </a:r>
          <a:r>
            <a:rPr lang="de-DE" sz="1100" b="1" baseline="0">
              <a:solidFill>
                <a:srgbClr val="FF0000"/>
              </a:solidFill>
              <a:effectLst/>
              <a:latin typeface="+mn-lt"/>
              <a:ea typeface="+mn-ea"/>
              <a:cs typeface="+mn-cs"/>
            </a:rPr>
            <a:t> Preis in G9 einsetzen</a:t>
          </a:r>
          <a:endParaRPr lang="de-DE">
            <a:solidFill>
              <a:srgbClr val="FF0000"/>
            </a:solidFill>
            <a:effectLst/>
          </a:endParaRPr>
        </a:p>
        <a:p>
          <a:endParaRPr lang="de-DE" sz="1100">
            <a:solidFill>
              <a:srgbClr val="FF0000"/>
            </a:solidFill>
          </a:endParaRP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7</xdr:col>
      <xdr:colOff>381000</xdr:colOff>
      <xdr:row>14</xdr:row>
      <xdr:rowOff>66040</xdr:rowOff>
    </xdr:from>
    <xdr:ext cx="152400" cy="106680"/>
    <xdr:sp macro="" textlink="">
      <xdr:nvSpPr>
        <xdr:cNvPr id="7" name="Check Box 27" hidden="1">
          <a:extLst>
            <a:ext uri="{63B3BB69-23CF-44E3-9099-C40C66FF867C}">
              <a14:compatExt xmlns:a14="http://schemas.microsoft.com/office/drawing/2010/main" spid="_x0000_s85019"/>
            </a:ext>
            <a:ext uri="{FF2B5EF4-FFF2-40B4-BE49-F238E27FC236}">
              <a16:creationId xmlns:a16="http://schemas.microsoft.com/office/drawing/2014/main" id="{00000000-0008-0000-2F00-000007000000}"/>
            </a:ext>
          </a:extLst>
        </xdr:cNvPr>
        <xdr:cNvSpPr/>
      </xdr:nvSpPr>
      <xdr:spPr>
        <a:xfrm>
          <a:off x="5981700" y="2413000"/>
          <a:ext cx="152400" cy="106680"/>
        </a:xfrm>
        <a:prstGeom prst="rect">
          <a:avLst/>
        </a:prstGeom>
      </xdr:spPr>
    </xdr:sp>
    <xdr:clientData fPrintsWithSheet="0"/>
  </xdr:oneCellAnchor>
  <xdr:oneCellAnchor>
    <xdr:from>
      <xdr:col>7</xdr:col>
      <xdr:colOff>381000</xdr:colOff>
      <xdr:row>15</xdr:row>
      <xdr:rowOff>71120</xdr:rowOff>
    </xdr:from>
    <xdr:ext cx="152400" cy="106680"/>
    <xdr:sp macro="" textlink="">
      <xdr:nvSpPr>
        <xdr:cNvPr id="8" name="Check Box 28" hidden="1">
          <a:extLst>
            <a:ext uri="{63B3BB69-23CF-44E3-9099-C40C66FF867C}">
              <a14:compatExt xmlns:a14="http://schemas.microsoft.com/office/drawing/2010/main" spid="_x0000_s85020"/>
            </a:ext>
            <a:ext uri="{FF2B5EF4-FFF2-40B4-BE49-F238E27FC236}">
              <a16:creationId xmlns:a16="http://schemas.microsoft.com/office/drawing/2014/main" id="{00000000-0008-0000-2F00-000008000000}"/>
            </a:ext>
          </a:extLst>
        </xdr:cNvPr>
        <xdr:cNvSpPr/>
      </xdr:nvSpPr>
      <xdr:spPr>
        <a:xfrm>
          <a:off x="5981700" y="2585720"/>
          <a:ext cx="152400" cy="106680"/>
        </a:xfrm>
        <a:prstGeom prst="rect">
          <a:avLst/>
        </a:prstGeom>
      </xdr:spPr>
    </xdr:sp>
    <xdr:clientData fPrintsWithSheet="0"/>
  </xdr:oneCellAnchor>
  <xdr:oneCellAnchor>
    <xdr:from>
      <xdr:col>10</xdr:col>
      <xdr:colOff>381000</xdr:colOff>
      <xdr:row>13</xdr:row>
      <xdr:rowOff>53340</xdr:rowOff>
    </xdr:from>
    <xdr:ext cx="144780" cy="121920"/>
    <xdr:sp macro="" textlink="">
      <xdr:nvSpPr>
        <xdr:cNvPr id="9" name="Check Box 29" hidden="1">
          <a:extLst>
            <a:ext uri="{63B3BB69-23CF-44E3-9099-C40C66FF867C}">
              <a14:compatExt xmlns:a14="http://schemas.microsoft.com/office/drawing/2010/main" spid="_x0000_s85021"/>
            </a:ext>
            <a:ext uri="{FF2B5EF4-FFF2-40B4-BE49-F238E27FC236}">
              <a16:creationId xmlns:a16="http://schemas.microsoft.com/office/drawing/2014/main" id="{00000000-0008-0000-2F00-000009000000}"/>
            </a:ext>
          </a:extLst>
        </xdr:cNvPr>
        <xdr:cNvSpPr/>
      </xdr:nvSpPr>
      <xdr:spPr>
        <a:xfrm>
          <a:off x="8382000" y="2232660"/>
          <a:ext cx="144780" cy="121920"/>
        </a:xfrm>
        <a:prstGeom prst="rect">
          <a:avLst/>
        </a:prstGeom>
      </xdr:spPr>
    </xdr:sp>
    <xdr:clientData fPrintsWithSheet="0"/>
  </xdr:oneCellAnchor>
  <xdr:oneCellAnchor>
    <xdr:from>
      <xdr:col>13</xdr:col>
      <xdr:colOff>373380</xdr:colOff>
      <xdr:row>16</xdr:row>
      <xdr:rowOff>68580</xdr:rowOff>
    </xdr:from>
    <xdr:ext cx="144780" cy="106680"/>
    <xdr:sp macro="" textlink="">
      <xdr:nvSpPr>
        <xdr:cNvPr id="10" name="Check Box 30" hidden="1">
          <a:extLst>
            <a:ext uri="{63B3BB69-23CF-44E3-9099-C40C66FF867C}">
              <a14:compatExt xmlns:a14="http://schemas.microsoft.com/office/drawing/2010/main" spid="_x0000_s85022"/>
            </a:ext>
            <a:ext uri="{FF2B5EF4-FFF2-40B4-BE49-F238E27FC236}">
              <a16:creationId xmlns:a16="http://schemas.microsoft.com/office/drawing/2014/main" id="{00000000-0008-0000-2F00-00000A000000}"/>
            </a:ext>
          </a:extLst>
        </xdr:cNvPr>
        <xdr:cNvSpPr/>
      </xdr:nvSpPr>
      <xdr:spPr>
        <a:xfrm>
          <a:off x="10774680" y="2750820"/>
          <a:ext cx="144780" cy="106680"/>
        </a:xfrm>
        <a:prstGeom prst="rect">
          <a:avLst/>
        </a:prstGeom>
      </xdr:spPr>
    </xdr:sp>
    <xdr:clientData fPrintsWithSheet="0"/>
  </xdr:oneCellAnchor>
  <xdr:oneCellAnchor>
    <xdr:from>
      <xdr:col>13</xdr:col>
      <xdr:colOff>373380</xdr:colOff>
      <xdr:row>13</xdr:row>
      <xdr:rowOff>53340</xdr:rowOff>
    </xdr:from>
    <xdr:ext cx="144780" cy="121920"/>
    <xdr:sp macro="" textlink="">
      <xdr:nvSpPr>
        <xdr:cNvPr id="11" name="Check Box 31" hidden="1">
          <a:extLst>
            <a:ext uri="{63B3BB69-23CF-44E3-9099-C40C66FF867C}">
              <a14:compatExt xmlns:a14="http://schemas.microsoft.com/office/drawing/2010/main" spid="_x0000_s85023"/>
            </a:ext>
            <a:ext uri="{FF2B5EF4-FFF2-40B4-BE49-F238E27FC236}">
              <a16:creationId xmlns:a16="http://schemas.microsoft.com/office/drawing/2014/main" id="{00000000-0008-0000-2F00-00000B000000}"/>
            </a:ext>
          </a:extLst>
        </xdr:cNvPr>
        <xdr:cNvSpPr/>
      </xdr:nvSpPr>
      <xdr:spPr>
        <a:xfrm>
          <a:off x="10774680" y="2232660"/>
          <a:ext cx="144780" cy="121920"/>
        </a:xfrm>
        <a:prstGeom prst="rect">
          <a:avLst/>
        </a:prstGeom>
      </xdr:spPr>
    </xdr:sp>
    <xdr:clientData fPrintsWithSheet="0"/>
  </xdr:oneCellAnchor>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CA3A44AA-3BED-44AD-B7E6-3FB651DE1D59}"/>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38100</xdr:colOff>
      <xdr:row>0</xdr:row>
      <xdr:rowOff>0</xdr:rowOff>
    </xdr:from>
    <xdr:to>
      <xdr:col>6</xdr:col>
      <xdr:colOff>35401</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B7F707AE-BE0B-4CD0-86D7-5AB311082824}"/>
            </a:ext>
          </a:extLst>
        </xdr:cNvPr>
        <xdr:cNvSpPr>
          <a:spLocks noChangeArrowheads="1"/>
        </xdr:cNvSpPr>
      </xdr:nvSpPr>
      <xdr:spPr bwMode="auto">
        <a:xfrm>
          <a:off x="21145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F908AFF4-373C-4027-BFBE-78BA86078035}"/>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B26437AD-F425-4853-B9B6-97B8A575D7FA}"/>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32</xdr:col>
      <xdr:colOff>95250</xdr:colOff>
      <xdr:row>6</xdr:row>
      <xdr:rowOff>38100</xdr:rowOff>
    </xdr:from>
    <xdr:to>
      <xdr:col>35</xdr:col>
      <xdr:colOff>339090</xdr:colOff>
      <xdr:row>8</xdr:row>
      <xdr:rowOff>106680</xdr:rowOff>
    </xdr:to>
    <xdr:sp macro="" textlink="">
      <xdr:nvSpPr>
        <xdr:cNvPr id="2" name="Textfeld 1">
          <a:extLst>
            <a:ext uri="{FF2B5EF4-FFF2-40B4-BE49-F238E27FC236}">
              <a16:creationId xmlns:a16="http://schemas.microsoft.com/office/drawing/2014/main" id="{3D443F62-3C8A-42F9-B997-CDFE1755F33C}"/>
            </a:ext>
          </a:extLst>
        </xdr:cNvPr>
        <xdr:cNvSpPr txBox="1"/>
      </xdr:nvSpPr>
      <xdr:spPr>
        <a:xfrm>
          <a:off x="9686925" y="1771650"/>
          <a:ext cx="2644140" cy="478155"/>
        </a:xfrm>
        <a:prstGeom prst="rect">
          <a:avLst/>
        </a:prstGeom>
        <a:solidFill>
          <a:schemeClr val="bg1"/>
        </a:solidFill>
        <a:ln>
          <a:solidFill>
            <a:srgbClr val="FF0000"/>
          </a:solidFill>
          <a:prstDash val="sysDot"/>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t"/>
        <a:lstStyle/>
        <a:p>
          <a:r>
            <a:rPr lang="de-DE" sz="1100" b="1">
              <a:solidFill>
                <a:srgbClr val="FF0000"/>
              </a:solidFill>
              <a:effectLst/>
              <a:latin typeface="+mn-lt"/>
              <a:ea typeface="+mn-ea"/>
              <a:cs typeface="+mn-cs"/>
            </a:rPr>
            <a:t>Es liegen keine Preise vor!</a:t>
          </a:r>
        </a:p>
        <a:p>
          <a:r>
            <a:rPr lang="de-DE" sz="1100" b="1">
              <a:solidFill>
                <a:srgbClr val="FF0000"/>
              </a:solidFill>
              <a:effectLst/>
              <a:latin typeface="+mn-lt"/>
              <a:ea typeface="+mn-ea"/>
              <a:cs typeface="+mn-cs"/>
            </a:rPr>
            <a:t>Bitte individuellen</a:t>
          </a:r>
          <a:r>
            <a:rPr lang="de-DE" sz="1100" b="1" baseline="0">
              <a:solidFill>
                <a:srgbClr val="FF0000"/>
              </a:solidFill>
              <a:effectLst/>
              <a:latin typeface="+mn-lt"/>
              <a:ea typeface="+mn-ea"/>
              <a:cs typeface="+mn-cs"/>
            </a:rPr>
            <a:t> Preis in G9 einsetzen</a:t>
          </a:r>
          <a:endParaRPr lang="de-DE">
            <a:solidFill>
              <a:srgbClr val="FF0000"/>
            </a:solidFill>
            <a:effectLst/>
          </a:endParaRPr>
        </a:p>
        <a:p>
          <a:endParaRPr lang="de-DE" sz="1100">
            <a:solidFill>
              <a:srgbClr val="FF0000"/>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89D6AE98-BF77-4A45-92A2-91AC880D4A2D}"/>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468F49A9-059C-46CA-8B92-3AD75407EE17}"/>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4" name="Rectangle 28">
          <a:hlinkClick xmlns:r="http://schemas.openxmlformats.org/officeDocument/2006/relationships" r:id="rId1"/>
          <a:extLst>
            <a:ext uri="{FF2B5EF4-FFF2-40B4-BE49-F238E27FC236}">
              <a16:creationId xmlns:a16="http://schemas.microsoft.com/office/drawing/2014/main" id="{9FBEEEAE-7F94-424B-914B-1890D865A988}"/>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5" name="Rectangle 29">
          <a:hlinkClick xmlns:r="http://schemas.openxmlformats.org/officeDocument/2006/relationships" r:id="rId2"/>
          <a:extLst>
            <a:ext uri="{FF2B5EF4-FFF2-40B4-BE49-F238E27FC236}">
              <a16:creationId xmlns:a16="http://schemas.microsoft.com/office/drawing/2014/main" id="{3C596C39-6B0F-45D1-9780-E8551606B3A7}"/>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BC83D331-6C2D-4E19-AC0D-7C002831B707}"/>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B2C87E04-90B2-497D-AF74-A126170B80AA}"/>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22860</xdr:rowOff>
        </xdr:from>
        <xdr:to>
          <xdr:col>13</xdr:col>
          <xdr:colOff>7620</xdr:colOff>
          <xdr:row>4</xdr:row>
          <xdr:rowOff>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3400-0000014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13</xdr:col>
          <xdr:colOff>7620</xdr:colOff>
          <xdr:row>2</xdr:row>
          <xdr:rowOff>274320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3400-0000024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FE7802F0-8463-4800-A188-8B1579091AB7}"/>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B8CF9343-7639-4700-9C68-B2F331A342A7}"/>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8626</xdr:colOff>
      <xdr:row>5</xdr:row>
      <xdr:rowOff>86264</xdr:rowOff>
    </xdr:from>
    <xdr:to>
      <xdr:col>11</xdr:col>
      <xdr:colOff>733245</xdr:colOff>
      <xdr:row>40</xdr:row>
      <xdr:rowOff>112143</xdr:rowOff>
    </xdr:to>
    <xdr:graphicFrame macro="">
      <xdr:nvGraphicFramePr>
        <xdr:cNvPr id="2" name="Diagramm 12">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846826</xdr:colOff>
      <xdr:row>1</xdr:row>
      <xdr:rowOff>81643</xdr:rowOff>
    </xdr:from>
    <xdr:to>
      <xdr:col>14</xdr:col>
      <xdr:colOff>990600</xdr:colOff>
      <xdr:row>2</xdr:row>
      <xdr:rowOff>0</xdr:rowOff>
    </xdr:to>
    <xdr:sp macro="" textlink="">
      <xdr:nvSpPr>
        <xdr:cNvPr id="4" name="Rectangle 40">
          <a:hlinkClick xmlns:r="http://schemas.openxmlformats.org/officeDocument/2006/relationships" r:id="rId2"/>
          <a:extLst>
            <a:ext uri="{FF2B5EF4-FFF2-40B4-BE49-F238E27FC236}">
              <a16:creationId xmlns:a16="http://schemas.microsoft.com/office/drawing/2014/main" id="{00000000-0008-0000-0300-000004000000}"/>
            </a:ext>
          </a:extLst>
        </xdr:cNvPr>
        <xdr:cNvSpPr>
          <a:spLocks noChangeArrowheads="1"/>
        </xdr:cNvSpPr>
      </xdr:nvSpPr>
      <xdr:spPr bwMode="auto">
        <a:xfrm>
          <a:off x="10356586" y="249283"/>
          <a:ext cx="1850654" cy="261257"/>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22860</xdr:rowOff>
        </xdr:from>
        <xdr:to>
          <xdr:col>13</xdr:col>
          <xdr:colOff>0</xdr:colOff>
          <xdr:row>4</xdr:row>
          <xdr:rowOff>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3500-000001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13</xdr:col>
          <xdr:colOff>0</xdr:colOff>
          <xdr:row>2</xdr:row>
          <xdr:rowOff>274320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3500-000002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3031F138-8802-4200-9932-2D4A9AF7C2A5}"/>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3B18EA10-B9F7-46F2-A6D9-B6BF497F8159}"/>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E045C1B7-41DB-4B13-8659-C81F37DF782B}"/>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1C04E890-E840-4A6E-B5EF-2D64721BE451}"/>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0F7CBA23-2425-4E7E-9A5D-739D06F2D2B9}"/>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4DFB0729-1D34-4D68-945F-990BC2EF6417}"/>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1</xdr:col>
      <xdr:colOff>28575</xdr:colOff>
      <xdr:row>0</xdr:row>
      <xdr:rowOff>0</xdr:rowOff>
    </xdr:from>
    <xdr:to>
      <xdr:col>3</xdr:col>
      <xdr:colOff>228572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E3493360-B278-496E-BADD-9CB8007C387A}"/>
            </a:ext>
          </a:extLst>
        </xdr:cNvPr>
        <xdr:cNvSpPr>
          <a:spLocks noChangeArrowheads="1"/>
        </xdr:cNvSpPr>
      </xdr:nvSpPr>
      <xdr:spPr bwMode="auto">
        <a:xfrm>
          <a:off x="142875" y="0"/>
          <a:ext cx="1457297" cy="266700"/>
        </a:xfrm>
        <a:prstGeom prst="rect">
          <a:avLst/>
        </a:prstGeom>
        <a:solidFill>
          <a:srgbClr val="F6CD72"/>
        </a:solidFill>
        <a:ln w="9525">
          <a:solidFill>
            <a:schemeClr val="tx1"/>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09A085D0-E936-40F7-8B85-84672667F8CB}"/>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182880</xdr:colOff>
          <xdr:row>2</xdr:row>
          <xdr:rowOff>251460</xdr:rowOff>
        </xdr:from>
        <xdr:to>
          <xdr:col>13</xdr:col>
          <xdr:colOff>22860</xdr:colOff>
          <xdr:row>3</xdr:row>
          <xdr:rowOff>182880</xdr:rowOff>
        </xdr:to>
        <xdr:sp macro="" textlink="">
          <xdr:nvSpPr>
            <xdr:cNvPr id="191489" name="Check Box 1" hidden="1">
              <a:extLst>
                <a:ext uri="{63B3BB69-23CF-44E3-9099-C40C66FF867C}">
                  <a14:compatExt spid="_x0000_s191489"/>
                </a:ext>
                <a:ext uri="{FF2B5EF4-FFF2-40B4-BE49-F238E27FC236}">
                  <a16:creationId xmlns:a16="http://schemas.microsoft.com/office/drawing/2014/main" id="{00000000-0008-0000-3900-000001E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1</xdr:row>
          <xdr:rowOff>259080</xdr:rowOff>
        </xdr:from>
        <xdr:to>
          <xdr:col>13</xdr:col>
          <xdr:colOff>7620</xdr:colOff>
          <xdr:row>2</xdr:row>
          <xdr:rowOff>297180</xdr:rowOff>
        </xdr:to>
        <xdr:sp macro="" textlink="">
          <xdr:nvSpPr>
            <xdr:cNvPr id="191490" name="Check Box 2" hidden="1">
              <a:extLst>
                <a:ext uri="{63B3BB69-23CF-44E3-9099-C40C66FF867C}">
                  <a14:compatExt spid="_x0000_s191490"/>
                </a:ext>
                <a:ext uri="{FF2B5EF4-FFF2-40B4-BE49-F238E27FC236}">
                  <a16:creationId xmlns:a16="http://schemas.microsoft.com/office/drawing/2014/main" id="{00000000-0008-0000-3900-000002E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4" name="Rectangle 28">
          <a:hlinkClick xmlns:r="http://schemas.openxmlformats.org/officeDocument/2006/relationships" r:id="rId1"/>
          <a:extLst>
            <a:ext uri="{FF2B5EF4-FFF2-40B4-BE49-F238E27FC236}">
              <a16:creationId xmlns:a16="http://schemas.microsoft.com/office/drawing/2014/main" id="{C84E82FE-55E4-4A4F-AAF6-F78B4C84FBFD}"/>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5" name="Rectangle 29">
          <a:hlinkClick xmlns:r="http://schemas.openxmlformats.org/officeDocument/2006/relationships" r:id="rId2"/>
          <a:extLst>
            <a:ext uri="{FF2B5EF4-FFF2-40B4-BE49-F238E27FC236}">
              <a16:creationId xmlns:a16="http://schemas.microsoft.com/office/drawing/2014/main" id="{152A3E5B-E9C2-4614-BA83-5A1B419EE503}"/>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3B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6</xdr:col>
      <xdr:colOff>28575</xdr:colOff>
      <xdr:row>0</xdr:row>
      <xdr:rowOff>266700</xdr:rowOff>
    </xdr:to>
    <xdr:sp macro="" textlink="">
      <xdr:nvSpPr>
        <xdr:cNvPr id="6" name="Rectangle 29">
          <a:hlinkClick xmlns:r="http://schemas.openxmlformats.org/officeDocument/2006/relationships" r:id="rId2"/>
          <a:extLst>
            <a:ext uri="{FF2B5EF4-FFF2-40B4-BE49-F238E27FC236}">
              <a16:creationId xmlns:a16="http://schemas.microsoft.com/office/drawing/2014/main" id="{00000000-0008-0000-3B00-000006000000}"/>
            </a:ext>
          </a:extLst>
        </xdr:cNvPr>
        <xdr:cNvSpPr>
          <a:spLocks noChangeArrowheads="1"/>
        </xdr:cNvSpPr>
      </xdr:nvSpPr>
      <xdr:spPr bwMode="auto">
        <a:xfrm>
          <a:off x="3200400" y="0"/>
          <a:ext cx="1628775" cy="16764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57150</xdr:colOff>
      <xdr:row>44</xdr:row>
      <xdr:rowOff>0</xdr:rowOff>
    </xdr:from>
    <xdr:to>
      <xdr:col>19</xdr:col>
      <xdr:colOff>38100</xdr:colOff>
      <xdr:row>52</xdr:row>
      <xdr:rowOff>114300</xdr:rowOff>
    </xdr:to>
    <xdr:sp macro="" textlink="">
      <xdr:nvSpPr>
        <xdr:cNvPr id="7" name="Textfeld 6">
          <a:extLst>
            <a:ext uri="{FF2B5EF4-FFF2-40B4-BE49-F238E27FC236}">
              <a16:creationId xmlns:a16="http://schemas.microsoft.com/office/drawing/2014/main" id="{00000000-0008-0000-3B00-000007000000}"/>
            </a:ext>
          </a:extLst>
        </xdr:cNvPr>
        <xdr:cNvSpPr txBox="1"/>
      </xdr:nvSpPr>
      <xdr:spPr>
        <a:xfrm>
          <a:off x="9315450" y="8412480"/>
          <a:ext cx="1672590" cy="163830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!c</a:t>
          </a:r>
          <a:endParaRPr lang="de-DE" sz="1200" b="1">
            <a:solidFill>
              <a:srgbClr val="FF0000"/>
            </a:solidFill>
          </a:endParaRPr>
        </a:p>
      </xdr:txBody>
    </xdr:sp>
    <xdr:clientData/>
  </xdr:twoCellAnchor>
  <xdr:twoCellAnchor>
    <xdr:from>
      <xdr:col>16</xdr:col>
      <xdr:colOff>66675</xdr:colOff>
      <xdr:row>59</xdr:row>
      <xdr:rowOff>9525</xdr:rowOff>
    </xdr:from>
    <xdr:to>
      <xdr:col>19</xdr:col>
      <xdr:colOff>472440</xdr:colOff>
      <xdr:row>65</xdr:row>
      <xdr:rowOff>45720</xdr:rowOff>
    </xdr:to>
    <xdr:sp macro="" textlink="">
      <xdr:nvSpPr>
        <xdr:cNvPr id="8" name="Textfeld 7">
          <a:extLst>
            <a:ext uri="{FF2B5EF4-FFF2-40B4-BE49-F238E27FC236}">
              <a16:creationId xmlns:a16="http://schemas.microsoft.com/office/drawing/2014/main" id="{00000000-0008-0000-3B00-000008000000}"/>
            </a:ext>
          </a:extLst>
        </xdr:cNvPr>
        <xdr:cNvSpPr txBox="1"/>
      </xdr:nvSpPr>
      <xdr:spPr>
        <a:xfrm>
          <a:off x="9324975" y="11569065"/>
          <a:ext cx="2097405" cy="124777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113941</xdr:colOff>
      <xdr:row>24</xdr:row>
      <xdr:rowOff>3019</xdr:rowOff>
    </xdr:from>
    <xdr:to>
      <xdr:col>19</xdr:col>
      <xdr:colOff>99060</xdr:colOff>
      <xdr:row>32</xdr:row>
      <xdr:rowOff>48308</xdr:rowOff>
    </xdr:to>
    <xdr:sp macro="" textlink="">
      <xdr:nvSpPr>
        <xdr:cNvPr id="9" name="Textfeld 8">
          <a:extLst>
            <a:ext uri="{FF2B5EF4-FFF2-40B4-BE49-F238E27FC236}">
              <a16:creationId xmlns:a16="http://schemas.microsoft.com/office/drawing/2014/main" id="{00000000-0008-0000-3B00-000009000000}"/>
            </a:ext>
          </a:extLst>
        </xdr:cNvPr>
        <xdr:cNvSpPr txBox="1"/>
      </xdr:nvSpPr>
      <xdr:spPr>
        <a:xfrm>
          <a:off x="9372241" y="5237959"/>
          <a:ext cx="1676759" cy="1675969"/>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3D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3D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113401</xdr:colOff>
      <xdr:row>44</xdr:row>
      <xdr:rowOff>0</xdr:rowOff>
    </xdr:from>
    <xdr:to>
      <xdr:col>16</xdr:col>
      <xdr:colOff>1716134</xdr:colOff>
      <xdr:row>52</xdr:row>
      <xdr:rowOff>114300</xdr:rowOff>
    </xdr:to>
    <xdr:sp macro="" textlink="">
      <xdr:nvSpPr>
        <xdr:cNvPr id="7" name="Textfeld 6">
          <a:extLst>
            <a:ext uri="{FF2B5EF4-FFF2-40B4-BE49-F238E27FC236}">
              <a16:creationId xmlns:a16="http://schemas.microsoft.com/office/drawing/2014/main" id="{00000000-0008-0000-3D00-000007000000}"/>
            </a:ext>
          </a:extLst>
        </xdr:cNvPr>
        <xdr:cNvSpPr txBox="1"/>
      </xdr:nvSpPr>
      <xdr:spPr>
        <a:xfrm>
          <a:off x="12915001" y="737616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59</xdr:row>
      <xdr:rowOff>0</xdr:rowOff>
    </xdr:from>
    <xdr:to>
      <xdr:col>16</xdr:col>
      <xdr:colOff>1704138</xdr:colOff>
      <xdr:row>66</xdr:row>
      <xdr:rowOff>238125</xdr:rowOff>
    </xdr:to>
    <xdr:sp macro="" textlink="">
      <xdr:nvSpPr>
        <xdr:cNvPr id="8" name="Textfeld 7">
          <a:extLst>
            <a:ext uri="{FF2B5EF4-FFF2-40B4-BE49-F238E27FC236}">
              <a16:creationId xmlns:a16="http://schemas.microsoft.com/office/drawing/2014/main" id="{00000000-0008-0000-3D00-000008000000}"/>
            </a:ext>
          </a:extLst>
        </xdr:cNvPr>
        <xdr:cNvSpPr txBox="1"/>
      </xdr:nvSpPr>
      <xdr:spPr>
        <a:xfrm>
          <a:off x="12877800" y="989076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99885</xdr:colOff>
      <xdr:row>24</xdr:row>
      <xdr:rowOff>9080</xdr:rowOff>
    </xdr:from>
    <xdr:to>
      <xdr:col>16</xdr:col>
      <xdr:colOff>1744498</xdr:colOff>
      <xdr:row>32</xdr:row>
      <xdr:rowOff>43472</xdr:rowOff>
    </xdr:to>
    <xdr:sp macro="" textlink="">
      <xdr:nvSpPr>
        <xdr:cNvPr id="9" name="Textfeld 8">
          <a:extLst>
            <a:ext uri="{FF2B5EF4-FFF2-40B4-BE49-F238E27FC236}">
              <a16:creationId xmlns:a16="http://schemas.microsoft.com/office/drawing/2014/main" id="{00000000-0008-0000-3D00-000009000000}"/>
            </a:ext>
          </a:extLst>
        </xdr:cNvPr>
        <xdr:cNvSpPr txBox="1"/>
      </xdr:nvSpPr>
      <xdr:spPr>
        <a:xfrm>
          <a:off x="12901485" y="4032440"/>
          <a:ext cx="699733" cy="13755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3E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3E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158115</xdr:colOff>
      <xdr:row>44</xdr:row>
      <xdr:rowOff>9525</xdr:rowOff>
    </xdr:from>
    <xdr:to>
      <xdr:col>16</xdr:col>
      <xdr:colOff>1780381</xdr:colOff>
      <xdr:row>52</xdr:row>
      <xdr:rowOff>123825</xdr:rowOff>
    </xdr:to>
    <xdr:sp macro="" textlink="">
      <xdr:nvSpPr>
        <xdr:cNvPr id="7" name="Textfeld 6">
          <a:extLst>
            <a:ext uri="{FF2B5EF4-FFF2-40B4-BE49-F238E27FC236}">
              <a16:creationId xmlns:a16="http://schemas.microsoft.com/office/drawing/2014/main" id="{00000000-0008-0000-3E00-000007000000}"/>
            </a:ext>
          </a:extLst>
        </xdr:cNvPr>
        <xdr:cNvSpPr txBox="1"/>
      </xdr:nvSpPr>
      <xdr:spPr>
        <a:xfrm>
          <a:off x="12959715" y="7385685"/>
          <a:ext cx="639286"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113401</xdr:colOff>
      <xdr:row>59</xdr:row>
      <xdr:rowOff>0</xdr:rowOff>
    </xdr:from>
    <xdr:to>
      <xdr:col>16</xdr:col>
      <xdr:colOff>1716134</xdr:colOff>
      <xdr:row>66</xdr:row>
      <xdr:rowOff>238125</xdr:rowOff>
    </xdr:to>
    <xdr:sp macro="" textlink="">
      <xdr:nvSpPr>
        <xdr:cNvPr id="8" name="Textfeld 7">
          <a:extLst>
            <a:ext uri="{FF2B5EF4-FFF2-40B4-BE49-F238E27FC236}">
              <a16:creationId xmlns:a16="http://schemas.microsoft.com/office/drawing/2014/main" id="{00000000-0008-0000-3E00-000008000000}"/>
            </a:ext>
          </a:extLst>
        </xdr:cNvPr>
        <xdr:cNvSpPr txBox="1"/>
      </xdr:nvSpPr>
      <xdr:spPr>
        <a:xfrm>
          <a:off x="12915001" y="989076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108965</xdr:colOff>
      <xdr:row>24</xdr:row>
      <xdr:rowOff>9081</xdr:rowOff>
    </xdr:from>
    <xdr:to>
      <xdr:col>16</xdr:col>
      <xdr:colOff>1753860</xdr:colOff>
      <xdr:row>32</xdr:row>
      <xdr:rowOff>43473</xdr:rowOff>
    </xdr:to>
    <xdr:sp macro="" textlink="">
      <xdr:nvSpPr>
        <xdr:cNvPr id="9" name="Textfeld 8">
          <a:extLst>
            <a:ext uri="{FF2B5EF4-FFF2-40B4-BE49-F238E27FC236}">
              <a16:creationId xmlns:a16="http://schemas.microsoft.com/office/drawing/2014/main" id="{00000000-0008-0000-3E00-000009000000}"/>
            </a:ext>
          </a:extLst>
        </xdr:cNvPr>
        <xdr:cNvSpPr txBox="1"/>
      </xdr:nvSpPr>
      <xdr:spPr>
        <a:xfrm>
          <a:off x="12910565" y="4032441"/>
          <a:ext cx="692395" cy="13755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3C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3C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113401</xdr:colOff>
      <xdr:row>45</xdr:row>
      <xdr:rowOff>0</xdr:rowOff>
    </xdr:from>
    <xdr:to>
      <xdr:col>16</xdr:col>
      <xdr:colOff>1716134</xdr:colOff>
      <xdr:row>53</xdr:row>
      <xdr:rowOff>114300</xdr:rowOff>
    </xdr:to>
    <xdr:sp macro="" textlink="">
      <xdr:nvSpPr>
        <xdr:cNvPr id="7" name="Textfeld 6">
          <a:extLst>
            <a:ext uri="{FF2B5EF4-FFF2-40B4-BE49-F238E27FC236}">
              <a16:creationId xmlns:a16="http://schemas.microsoft.com/office/drawing/2014/main" id="{00000000-0008-0000-3C00-000007000000}"/>
            </a:ext>
          </a:extLst>
        </xdr:cNvPr>
        <xdr:cNvSpPr txBox="1"/>
      </xdr:nvSpPr>
      <xdr:spPr>
        <a:xfrm>
          <a:off x="12915001" y="754380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66675</xdr:colOff>
      <xdr:row>60</xdr:row>
      <xdr:rowOff>0</xdr:rowOff>
    </xdr:from>
    <xdr:to>
      <xdr:col>16</xdr:col>
      <xdr:colOff>1702798</xdr:colOff>
      <xdr:row>68</xdr:row>
      <xdr:rowOff>1905</xdr:rowOff>
    </xdr:to>
    <xdr:sp macro="" textlink="">
      <xdr:nvSpPr>
        <xdr:cNvPr id="8" name="Textfeld 7">
          <a:extLst>
            <a:ext uri="{FF2B5EF4-FFF2-40B4-BE49-F238E27FC236}">
              <a16:creationId xmlns:a16="http://schemas.microsoft.com/office/drawing/2014/main" id="{00000000-0008-0000-3C00-000008000000}"/>
            </a:ext>
          </a:extLst>
        </xdr:cNvPr>
        <xdr:cNvSpPr txBox="1"/>
      </xdr:nvSpPr>
      <xdr:spPr>
        <a:xfrm>
          <a:off x="12868275" y="10058400"/>
          <a:ext cx="73696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73956</xdr:colOff>
      <xdr:row>25</xdr:row>
      <xdr:rowOff>10931</xdr:rowOff>
    </xdr:from>
    <xdr:to>
      <xdr:col>16</xdr:col>
      <xdr:colOff>1726491</xdr:colOff>
      <xdr:row>33</xdr:row>
      <xdr:rowOff>83523</xdr:rowOff>
    </xdr:to>
    <xdr:sp macro="" textlink="">
      <xdr:nvSpPr>
        <xdr:cNvPr id="9" name="Textfeld 8">
          <a:extLst>
            <a:ext uri="{FF2B5EF4-FFF2-40B4-BE49-F238E27FC236}">
              <a16:creationId xmlns:a16="http://schemas.microsoft.com/office/drawing/2014/main" id="{00000000-0008-0000-3C00-000009000000}"/>
            </a:ext>
          </a:extLst>
        </xdr:cNvPr>
        <xdr:cNvSpPr txBox="1"/>
      </xdr:nvSpPr>
      <xdr:spPr>
        <a:xfrm>
          <a:off x="12875556" y="4201931"/>
          <a:ext cx="722895" cy="14137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a:extLst>
            <a:ext uri="{FF2B5EF4-FFF2-40B4-BE49-F238E27FC236}">
              <a16:creationId xmlns:a16="http://schemas.microsoft.com/office/drawing/2014/main" id="{00000000-0008-0000-3F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2">
          <a:hlinkClick xmlns:r="http://schemas.openxmlformats.org/officeDocument/2006/relationships" r:id="rId2"/>
          <a:extLst>
            <a:ext uri="{FF2B5EF4-FFF2-40B4-BE49-F238E27FC236}">
              <a16:creationId xmlns:a16="http://schemas.microsoft.com/office/drawing/2014/main" id="{00000000-0008-0000-3F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160020</xdr:colOff>
      <xdr:row>45</xdr:row>
      <xdr:rowOff>0</xdr:rowOff>
    </xdr:from>
    <xdr:to>
      <xdr:col>16</xdr:col>
      <xdr:colOff>1797425</xdr:colOff>
      <xdr:row>53</xdr:row>
      <xdr:rowOff>114300</xdr:rowOff>
    </xdr:to>
    <xdr:sp macro="" textlink="">
      <xdr:nvSpPr>
        <xdr:cNvPr id="7" name="Textfeld 6">
          <a:extLst>
            <a:ext uri="{FF2B5EF4-FFF2-40B4-BE49-F238E27FC236}">
              <a16:creationId xmlns:a16="http://schemas.microsoft.com/office/drawing/2014/main" id="{00000000-0008-0000-3F00-000007000000}"/>
            </a:ext>
          </a:extLst>
        </xdr:cNvPr>
        <xdr:cNvSpPr txBox="1"/>
      </xdr:nvSpPr>
      <xdr:spPr>
        <a:xfrm>
          <a:off x="12961620" y="7543800"/>
          <a:ext cx="639185"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57150</xdr:colOff>
      <xdr:row>60</xdr:row>
      <xdr:rowOff>0</xdr:rowOff>
    </xdr:from>
    <xdr:to>
      <xdr:col>16</xdr:col>
      <xdr:colOff>1677953</xdr:colOff>
      <xdr:row>68</xdr:row>
      <xdr:rowOff>1905</xdr:rowOff>
    </xdr:to>
    <xdr:sp macro="" textlink="">
      <xdr:nvSpPr>
        <xdr:cNvPr id="8" name="Textfeld 7">
          <a:extLst>
            <a:ext uri="{FF2B5EF4-FFF2-40B4-BE49-F238E27FC236}">
              <a16:creationId xmlns:a16="http://schemas.microsoft.com/office/drawing/2014/main" id="{00000000-0008-0000-3F00-000008000000}"/>
            </a:ext>
          </a:extLst>
        </xdr:cNvPr>
        <xdr:cNvSpPr txBox="1"/>
      </xdr:nvSpPr>
      <xdr:spPr>
        <a:xfrm>
          <a:off x="12858750" y="10058400"/>
          <a:ext cx="74450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137160</xdr:colOff>
          <xdr:row>3</xdr:row>
          <xdr:rowOff>7620</xdr:rowOff>
        </xdr:from>
        <xdr:to>
          <xdr:col>12</xdr:col>
          <xdr:colOff>403860</xdr:colOff>
          <xdr:row>3</xdr:row>
          <xdr:rowOff>236220</xdr:rowOff>
        </xdr:to>
        <xdr:sp macro="" textlink="">
          <xdr:nvSpPr>
            <xdr:cNvPr id="70671" name="Check Box 15" hidden="1">
              <a:extLst>
                <a:ext uri="{63B3BB69-23CF-44E3-9099-C40C66FF867C}">
                  <a14:compatExt spid="_x0000_s70671"/>
                </a:ext>
                <a:ext uri="{FF2B5EF4-FFF2-40B4-BE49-F238E27FC236}">
                  <a16:creationId xmlns:a16="http://schemas.microsoft.com/office/drawing/2014/main" id="{00000000-0008-0000-3E00-00000F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144780</xdr:colOff>
          <xdr:row>2</xdr:row>
          <xdr:rowOff>45720</xdr:rowOff>
        </xdr:from>
        <xdr:to>
          <xdr:col>12</xdr:col>
          <xdr:colOff>426720</xdr:colOff>
          <xdr:row>2</xdr:row>
          <xdr:rowOff>289560</xdr:rowOff>
        </xdr:to>
        <xdr:sp macro="" textlink="">
          <xdr:nvSpPr>
            <xdr:cNvPr id="70672" name="Check Box 16" hidden="1">
              <a:extLst>
                <a:ext uri="{63B3BB69-23CF-44E3-9099-C40C66FF867C}">
                  <a14:compatExt spid="_x0000_s70672"/>
                </a:ext>
                <a:ext uri="{FF2B5EF4-FFF2-40B4-BE49-F238E27FC236}">
                  <a16:creationId xmlns:a16="http://schemas.microsoft.com/office/drawing/2014/main" id="{00000000-0008-0000-3E00-000010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12</xdr:col>
      <xdr:colOff>17317</xdr:colOff>
      <xdr:row>4</xdr:row>
      <xdr:rowOff>259773</xdr:rowOff>
    </xdr:from>
    <xdr:to>
      <xdr:col>23</xdr:col>
      <xdr:colOff>588818</xdr:colOff>
      <xdr:row>24</xdr:row>
      <xdr:rowOff>128650</xdr:rowOff>
    </xdr:to>
    <xdr:graphicFrame macro="">
      <xdr:nvGraphicFramePr>
        <xdr:cNvPr id="8" name="Diagramm 1">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574682</xdr:colOff>
      <xdr:row>2</xdr:row>
      <xdr:rowOff>0</xdr:rowOff>
    </xdr:from>
    <xdr:to>
      <xdr:col>14</xdr:col>
      <xdr:colOff>228600</xdr:colOff>
      <xdr:row>3</xdr:row>
      <xdr:rowOff>70757</xdr:rowOff>
    </xdr:to>
    <xdr:sp macro="" textlink="">
      <xdr:nvSpPr>
        <xdr:cNvPr id="4" name="Rectangle 40">
          <a:hlinkClick xmlns:r="http://schemas.openxmlformats.org/officeDocument/2006/relationships" r:id="rId2"/>
          <a:extLst>
            <a:ext uri="{FF2B5EF4-FFF2-40B4-BE49-F238E27FC236}">
              <a16:creationId xmlns:a16="http://schemas.microsoft.com/office/drawing/2014/main" id="{00000000-0008-0000-0400-000004000000}"/>
            </a:ext>
          </a:extLst>
        </xdr:cNvPr>
        <xdr:cNvSpPr>
          <a:spLocks noChangeArrowheads="1"/>
        </xdr:cNvSpPr>
      </xdr:nvSpPr>
      <xdr:spPr bwMode="auto">
        <a:xfrm>
          <a:off x="8667122" y="266700"/>
          <a:ext cx="1840858" cy="268877"/>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3</xdr:col>
      <xdr:colOff>441960</xdr:colOff>
      <xdr:row>2</xdr:row>
      <xdr:rowOff>167640</xdr:rowOff>
    </xdr:from>
    <xdr:to>
      <xdr:col>8</xdr:col>
      <xdr:colOff>182880</xdr:colOff>
      <xdr:row>4</xdr:row>
      <xdr:rowOff>175260</xdr:rowOff>
    </xdr:to>
    <xdr:sp macro="" textlink="">
      <xdr:nvSpPr>
        <xdr:cNvPr id="5" name="Textfeld 4">
          <a:extLst>
            <a:ext uri="{FF2B5EF4-FFF2-40B4-BE49-F238E27FC236}">
              <a16:creationId xmlns:a16="http://schemas.microsoft.com/office/drawing/2014/main" id="{00000000-0008-0000-0400-000005000000}"/>
            </a:ext>
          </a:extLst>
        </xdr:cNvPr>
        <xdr:cNvSpPr txBox="1"/>
      </xdr:nvSpPr>
      <xdr:spPr>
        <a:xfrm>
          <a:off x="2506980" y="434340"/>
          <a:ext cx="4122420" cy="472440"/>
        </a:xfrm>
        <a:prstGeom prst="rect">
          <a:avLst/>
        </a:prstGeom>
        <a:solidFill>
          <a:schemeClr val="bg1"/>
        </a:solidFill>
        <a:ln>
          <a:solidFill>
            <a:srgbClr val="FF0000"/>
          </a:solidFill>
          <a:prstDash val="sysDot"/>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t"/>
        <a:lstStyle/>
        <a:p>
          <a:r>
            <a:rPr lang="de-DE" sz="1100" b="1">
              <a:solidFill>
                <a:srgbClr val="FF0000"/>
              </a:solidFill>
              <a:effectLst/>
              <a:latin typeface="+mn-lt"/>
              <a:ea typeface="+mn-ea"/>
              <a:cs typeface="+mn-cs"/>
            </a:rPr>
            <a:t>Gelbe Felder anklicken und Kultur bzw. Bewirtschaftungsintensität über Schaltfläche wählen!</a:t>
          </a:r>
          <a:endParaRPr lang="de-DE">
            <a:solidFill>
              <a:srgbClr val="FF0000"/>
            </a:solidFill>
            <a:effectLst/>
          </a:endParaRPr>
        </a:p>
        <a:p>
          <a:endParaRPr lang="de-DE" sz="1100">
            <a:solidFill>
              <a:srgbClr val="FF0000"/>
            </a:solidFill>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78">
          <a:hlinkClick xmlns:r="http://schemas.openxmlformats.org/officeDocument/2006/relationships" r:id="rId1"/>
          <a:extLst>
            <a:ext uri="{FF2B5EF4-FFF2-40B4-BE49-F238E27FC236}">
              <a16:creationId xmlns:a16="http://schemas.microsoft.com/office/drawing/2014/main" id="{00000000-0008-0000-40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79">
          <a:hlinkClick xmlns:r="http://schemas.openxmlformats.org/officeDocument/2006/relationships" r:id="rId2"/>
          <a:extLst>
            <a:ext uri="{FF2B5EF4-FFF2-40B4-BE49-F238E27FC236}">
              <a16:creationId xmlns:a16="http://schemas.microsoft.com/office/drawing/2014/main" id="{00000000-0008-0000-40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114300</xdr:colOff>
          <xdr:row>2</xdr:row>
          <xdr:rowOff>259080</xdr:rowOff>
        </xdr:from>
        <xdr:to>
          <xdr:col>12</xdr:col>
          <xdr:colOff>373380</xdr:colOff>
          <xdr:row>3</xdr:row>
          <xdr:rowOff>76200</xdr:rowOff>
        </xdr:to>
        <xdr:sp macro="" textlink="">
          <xdr:nvSpPr>
            <xdr:cNvPr id="69648" name="Check Box 16" hidden="1">
              <a:extLst>
                <a:ext uri="{63B3BB69-23CF-44E3-9099-C40C66FF867C}">
                  <a14:compatExt spid="_x0000_s69648"/>
                </a:ext>
                <a:ext uri="{FF2B5EF4-FFF2-40B4-BE49-F238E27FC236}">
                  <a16:creationId xmlns:a16="http://schemas.microsoft.com/office/drawing/2014/main" id="{00000000-0008-0000-3F00-000010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xdr:row>
          <xdr:rowOff>7620</xdr:rowOff>
        </xdr:from>
        <xdr:to>
          <xdr:col>12</xdr:col>
          <xdr:colOff>381000</xdr:colOff>
          <xdr:row>2</xdr:row>
          <xdr:rowOff>251460</xdr:rowOff>
        </xdr:to>
        <xdr:sp macro="" textlink="">
          <xdr:nvSpPr>
            <xdr:cNvPr id="69649" name="Check Box 17" hidden="1">
              <a:extLst>
                <a:ext uri="{63B3BB69-23CF-44E3-9099-C40C66FF867C}">
                  <a14:compatExt spid="_x0000_s69649"/>
                </a:ext>
                <a:ext uri="{FF2B5EF4-FFF2-40B4-BE49-F238E27FC236}">
                  <a16:creationId xmlns:a16="http://schemas.microsoft.com/office/drawing/2014/main" id="{00000000-0008-0000-3F00-000011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104775</xdr:colOff>
      <xdr:row>44</xdr:row>
      <xdr:rowOff>0</xdr:rowOff>
    </xdr:from>
    <xdr:to>
      <xdr:col>16</xdr:col>
      <xdr:colOff>1717904</xdr:colOff>
      <xdr:row>52</xdr:row>
      <xdr:rowOff>114300</xdr:rowOff>
    </xdr:to>
    <xdr:sp macro="" textlink="">
      <xdr:nvSpPr>
        <xdr:cNvPr id="9" name="Textfeld 8">
          <a:extLst>
            <a:ext uri="{FF2B5EF4-FFF2-40B4-BE49-F238E27FC236}">
              <a16:creationId xmlns:a16="http://schemas.microsoft.com/office/drawing/2014/main" id="{00000000-0008-0000-4000-000009000000}"/>
            </a:ext>
          </a:extLst>
        </xdr:cNvPr>
        <xdr:cNvSpPr txBox="1"/>
      </xdr:nvSpPr>
      <xdr:spPr>
        <a:xfrm>
          <a:off x="12906375" y="7376160"/>
          <a:ext cx="6987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59</xdr:row>
      <xdr:rowOff>0</xdr:rowOff>
    </xdr:from>
    <xdr:to>
      <xdr:col>16</xdr:col>
      <xdr:colOff>1704138</xdr:colOff>
      <xdr:row>66</xdr:row>
      <xdr:rowOff>238125</xdr:rowOff>
    </xdr:to>
    <xdr:sp macro="" textlink="">
      <xdr:nvSpPr>
        <xdr:cNvPr id="10" name="Textfeld 9">
          <a:extLst>
            <a:ext uri="{FF2B5EF4-FFF2-40B4-BE49-F238E27FC236}">
              <a16:creationId xmlns:a16="http://schemas.microsoft.com/office/drawing/2014/main" id="{00000000-0008-0000-4000-00000A000000}"/>
            </a:ext>
          </a:extLst>
        </xdr:cNvPr>
        <xdr:cNvSpPr txBox="1"/>
      </xdr:nvSpPr>
      <xdr:spPr>
        <a:xfrm>
          <a:off x="12877800" y="989076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41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41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141976</xdr:colOff>
      <xdr:row>45</xdr:row>
      <xdr:rowOff>0</xdr:rowOff>
    </xdr:from>
    <xdr:to>
      <xdr:col>16</xdr:col>
      <xdr:colOff>1744175</xdr:colOff>
      <xdr:row>53</xdr:row>
      <xdr:rowOff>114300</xdr:rowOff>
    </xdr:to>
    <xdr:sp macro="" textlink="">
      <xdr:nvSpPr>
        <xdr:cNvPr id="7" name="Textfeld 6">
          <a:extLst>
            <a:ext uri="{FF2B5EF4-FFF2-40B4-BE49-F238E27FC236}">
              <a16:creationId xmlns:a16="http://schemas.microsoft.com/office/drawing/2014/main" id="{00000000-0008-0000-4100-000007000000}"/>
            </a:ext>
          </a:extLst>
        </xdr:cNvPr>
        <xdr:cNvSpPr txBox="1"/>
      </xdr:nvSpPr>
      <xdr:spPr>
        <a:xfrm>
          <a:off x="12943576" y="7543800"/>
          <a:ext cx="65731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85725</xdr:colOff>
      <xdr:row>60</xdr:row>
      <xdr:rowOff>0</xdr:rowOff>
    </xdr:from>
    <xdr:to>
      <xdr:col>16</xdr:col>
      <xdr:colOff>1705799</xdr:colOff>
      <xdr:row>68</xdr:row>
      <xdr:rowOff>1905</xdr:rowOff>
    </xdr:to>
    <xdr:sp macro="" textlink="">
      <xdr:nvSpPr>
        <xdr:cNvPr id="8" name="Textfeld 7">
          <a:extLst>
            <a:ext uri="{FF2B5EF4-FFF2-40B4-BE49-F238E27FC236}">
              <a16:creationId xmlns:a16="http://schemas.microsoft.com/office/drawing/2014/main" id="{00000000-0008-0000-4100-000008000000}"/>
            </a:ext>
          </a:extLst>
        </xdr:cNvPr>
        <xdr:cNvSpPr txBox="1"/>
      </xdr:nvSpPr>
      <xdr:spPr>
        <a:xfrm>
          <a:off x="12887325" y="10058400"/>
          <a:ext cx="713294"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114300</xdr:colOff>
          <xdr:row>2</xdr:row>
          <xdr:rowOff>259080</xdr:rowOff>
        </xdr:from>
        <xdr:to>
          <xdr:col>12</xdr:col>
          <xdr:colOff>381000</xdr:colOff>
          <xdr:row>3</xdr:row>
          <xdr:rowOff>76200</xdr:rowOff>
        </xdr:to>
        <xdr:sp macro="" textlink="">
          <xdr:nvSpPr>
            <xdr:cNvPr id="71695" name="Check Box 15" hidden="1">
              <a:extLst>
                <a:ext uri="{63B3BB69-23CF-44E3-9099-C40C66FF867C}">
                  <a14:compatExt spid="_x0000_s71695"/>
                </a:ext>
                <a:ext uri="{FF2B5EF4-FFF2-40B4-BE49-F238E27FC236}">
                  <a16:creationId xmlns:a16="http://schemas.microsoft.com/office/drawing/2014/main" id="{00000000-0008-0000-4000-00000F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2</xdr:row>
          <xdr:rowOff>38100</xdr:rowOff>
        </xdr:from>
        <xdr:to>
          <xdr:col>12</xdr:col>
          <xdr:colOff>419100</xdr:colOff>
          <xdr:row>2</xdr:row>
          <xdr:rowOff>289560</xdr:rowOff>
        </xdr:to>
        <xdr:sp macro="" textlink="">
          <xdr:nvSpPr>
            <xdr:cNvPr id="71696" name="Check Box 16" hidden="1">
              <a:extLst>
                <a:ext uri="{63B3BB69-23CF-44E3-9099-C40C66FF867C}">
                  <a14:compatExt spid="_x0000_s71696"/>
                </a:ext>
                <a:ext uri="{FF2B5EF4-FFF2-40B4-BE49-F238E27FC236}">
                  <a16:creationId xmlns:a16="http://schemas.microsoft.com/office/drawing/2014/main" id="{00000000-0008-0000-4000-000010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a:extLst>
            <a:ext uri="{FF2B5EF4-FFF2-40B4-BE49-F238E27FC236}">
              <a16:creationId xmlns:a16="http://schemas.microsoft.com/office/drawing/2014/main" id="{00000000-0008-0000-43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a:extLst>
            <a:ext uri="{FF2B5EF4-FFF2-40B4-BE49-F238E27FC236}">
              <a16:creationId xmlns:a16="http://schemas.microsoft.com/office/drawing/2014/main" id="{00000000-0008-0000-43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113401</xdr:colOff>
      <xdr:row>45</xdr:row>
      <xdr:rowOff>0</xdr:rowOff>
    </xdr:from>
    <xdr:to>
      <xdr:col>16</xdr:col>
      <xdr:colOff>1716134</xdr:colOff>
      <xdr:row>53</xdr:row>
      <xdr:rowOff>114300</xdr:rowOff>
    </xdr:to>
    <xdr:sp macro="" textlink="">
      <xdr:nvSpPr>
        <xdr:cNvPr id="7" name="Textfeld 6">
          <a:extLst>
            <a:ext uri="{FF2B5EF4-FFF2-40B4-BE49-F238E27FC236}">
              <a16:creationId xmlns:a16="http://schemas.microsoft.com/office/drawing/2014/main" id="{00000000-0008-0000-4300-000007000000}"/>
            </a:ext>
          </a:extLst>
        </xdr:cNvPr>
        <xdr:cNvSpPr txBox="1"/>
      </xdr:nvSpPr>
      <xdr:spPr>
        <a:xfrm>
          <a:off x="12915001" y="754380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95250</xdr:colOff>
      <xdr:row>60</xdr:row>
      <xdr:rowOff>0</xdr:rowOff>
    </xdr:from>
    <xdr:to>
      <xdr:col>16</xdr:col>
      <xdr:colOff>1731373</xdr:colOff>
      <xdr:row>68</xdr:row>
      <xdr:rowOff>1905</xdr:rowOff>
    </xdr:to>
    <xdr:sp macro="" textlink="">
      <xdr:nvSpPr>
        <xdr:cNvPr id="8" name="Textfeld 7">
          <a:extLst>
            <a:ext uri="{FF2B5EF4-FFF2-40B4-BE49-F238E27FC236}">
              <a16:creationId xmlns:a16="http://schemas.microsoft.com/office/drawing/2014/main" id="{00000000-0008-0000-4300-000008000000}"/>
            </a:ext>
          </a:extLst>
        </xdr:cNvPr>
        <xdr:cNvSpPr txBox="1"/>
      </xdr:nvSpPr>
      <xdr:spPr>
        <a:xfrm>
          <a:off x="12896850" y="10058400"/>
          <a:ext cx="70648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137160</xdr:colOff>
          <xdr:row>2</xdr:row>
          <xdr:rowOff>259080</xdr:rowOff>
        </xdr:from>
        <xdr:to>
          <xdr:col>12</xdr:col>
          <xdr:colOff>289560</xdr:colOff>
          <xdr:row>3</xdr:row>
          <xdr:rowOff>76200</xdr:rowOff>
        </xdr:to>
        <xdr:sp macro="" textlink="">
          <xdr:nvSpPr>
            <xdr:cNvPr id="73743" name="Check Box 15" hidden="1">
              <a:extLst>
                <a:ext uri="{63B3BB69-23CF-44E3-9099-C40C66FF867C}">
                  <a14:compatExt spid="_x0000_s73743"/>
                </a:ext>
                <a:ext uri="{FF2B5EF4-FFF2-40B4-BE49-F238E27FC236}">
                  <a16:creationId xmlns:a16="http://schemas.microsoft.com/office/drawing/2014/main" id="{00000000-0008-0000-4100-00000F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2</xdr:row>
          <xdr:rowOff>60960</xdr:rowOff>
        </xdr:from>
        <xdr:to>
          <xdr:col>12</xdr:col>
          <xdr:colOff>419100</xdr:colOff>
          <xdr:row>2</xdr:row>
          <xdr:rowOff>297180</xdr:rowOff>
        </xdr:to>
        <xdr:sp macro="" textlink="">
          <xdr:nvSpPr>
            <xdr:cNvPr id="73744" name="Check Box 16" hidden="1">
              <a:extLst>
                <a:ext uri="{63B3BB69-23CF-44E3-9099-C40C66FF867C}">
                  <a14:compatExt spid="_x0000_s73744"/>
                </a:ext>
                <a:ext uri="{FF2B5EF4-FFF2-40B4-BE49-F238E27FC236}">
                  <a16:creationId xmlns:a16="http://schemas.microsoft.com/office/drawing/2014/main" id="{00000000-0008-0000-4100-000010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a:extLst>
            <a:ext uri="{FF2B5EF4-FFF2-40B4-BE49-F238E27FC236}">
              <a16:creationId xmlns:a16="http://schemas.microsoft.com/office/drawing/2014/main" id="{00000000-0008-0000-44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a:extLst>
            <a:ext uri="{FF2B5EF4-FFF2-40B4-BE49-F238E27FC236}">
              <a16:creationId xmlns:a16="http://schemas.microsoft.com/office/drawing/2014/main" id="{00000000-0008-0000-44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128641</xdr:colOff>
      <xdr:row>45</xdr:row>
      <xdr:rowOff>0</xdr:rowOff>
    </xdr:from>
    <xdr:to>
      <xdr:col>16</xdr:col>
      <xdr:colOff>1743750</xdr:colOff>
      <xdr:row>53</xdr:row>
      <xdr:rowOff>114300</xdr:rowOff>
    </xdr:to>
    <xdr:sp macro="" textlink="">
      <xdr:nvSpPr>
        <xdr:cNvPr id="7" name="Textfeld 6">
          <a:extLst>
            <a:ext uri="{FF2B5EF4-FFF2-40B4-BE49-F238E27FC236}">
              <a16:creationId xmlns:a16="http://schemas.microsoft.com/office/drawing/2014/main" id="{00000000-0008-0000-4400-000007000000}"/>
            </a:ext>
          </a:extLst>
        </xdr:cNvPr>
        <xdr:cNvSpPr txBox="1"/>
      </xdr:nvSpPr>
      <xdr:spPr>
        <a:xfrm>
          <a:off x="12930241" y="7543800"/>
          <a:ext cx="6702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60</xdr:row>
      <xdr:rowOff>0</xdr:rowOff>
    </xdr:from>
    <xdr:to>
      <xdr:col>16</xdr:col>
      <xdr:colOff>1704138</xdr:colOff>
      <xdr:row>68</xdr:row>
      <xdr:rowOff>1905</xdr:rowOff>
    </xdr:to>
    <xdr:sp macro="" textlink="">
      <xdr:nvSpPr>
        <xdr:cNvPr id="8" name="Textfeld 7">
          <a:extLst>
            <a:ext uri="{FF2B5EF4-FFF2-40B4-BE49-F238E27FC236}">
              <a16:creationId xmlns:a16="http://schemas.microsoft.com/office/drawing/2014/main" id="{00000000-0008-0000-4400-000008000000}"/>
            </a:ext>
          </a:extLst>
        </xdr:cNvPr>
        <xdr:cNvSpPr txBox="1"/>
      </xdr:nvSpPr>
      <xdr:spPr>
        <a:xfrm>
          <a:off x="12877800" y="1005840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0</xdr:colOff>
          <xdr:row>3</xdr:row>
          <xdr:rowOff>22860</xdr:rowOff>
        </xdr:from>
        <xdr:to>
          <xdr:col>12</xdr:col>
          <xdr:colOff>266700</xdr:colOff>
          <xdr:row>4</xdr:row>
          <xdr:rowOff>0</xdr:rowOff>
        </xdr:to>
        <xdr:sp macro="" textlink="">
          <xdr:nvSpPr>
            <xdr:cNvPr id="74767" name="Check Box 15" hidden="1">
              <a:extLst>
                <a:ext uri="{63B3BB69-23CF-44E3-9099-C40C66FF867C}">
                  <a14:compatExt spid="_x0000_s74767"/>
                </a:ext>
                <a:ext uri="{FF2B5EF4-FFF2-40B4-BE49-F238E27FC236}">
                  <a16:creationId xmlns:a16="http://schemas.microsoft.com/office/drawing/2014/main" id="{00000000-0008-0000-4200-00000F2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2</xdr:row>
          <xdr:rowOff>38100</xdr:rowOff>
        </xdr:from>
        <xdr:to>
          <xdr:col>12</xdr:col>
          <xdr:colOff>289560</xdr:colOff>
          <xdr:row>2</xdr:row>
          <xdr:rowOff>274320</xdr:rowOff>
        </xdr:to>
        <xdr:sp macro="" textlink="">
          <xdr:nvSpPr>
            <xdr:cNvPr id="74768" name="Check Box 16" hidden="1">
              <a:extLst>
                <a:ext uri="{63B3BB69-23CF-44E3-9099-C40C66FF867C}">
                  <a14:compatExt spid="_x0000_s74768"/>
                </a:ext>
                <a:ext uri="{FF2B5EF4-FFF2-40B4-BE49-F238E27FC236}">
                  <a16:creationId xmlns:a16="http://schemas.microsoft.com/office/drawing/2014/main" id="{00000000-0008-0000-4200-0000102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a:extLst>
            <a:ext uri="{FF2B5EF4-FFF2-40B4-BE49-F238E27FC236}">
              <a16:creationId xmlns:a16="http://schemas.microsoft.com/office/drawing/2014/main" id="{00000000-0008-0000-4500-000002000000}"/>
            </a:ext>
          </a:extLst>
        </xdr:cNvPr>
        <xdr:cNvSpPr>
          <a:spLocks noChangeArrowheads="1"/>
        </xdr:cNvSpPr>
      </xdr:nvSpPr>
      <xdr:spPr bwMode="auto">
        <a:xfrm>
          <a:off x="180975" y="9525"/>
          <a:ext cx="1452614"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a:extLst>
            <a:ext uri="{FF2B5EF4-FFF2-40B4-BE49-F238E27FC236}">
              <a16:creationId xmlns:a16="http://schemas.microsoft.com/office/drawing/2014/main" id="{00000000-0008-0000-4500-000003000000}"/>
            </a:ext>
          </a:extLst>
        </xdr:cNvPr>
        <xdr:cNvSpPr>
          <a:spLocks noChangeArrowheads="1"/>
        </xdr:cNvSpPr>
      </xdr:nvSpPr>
      <xdr:spPr bwMode="auto">
        <a:xfrm>
          <a:off x="2143125" y="9525"/>
          <a:ext cx="1438275"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113401</xdr:colOff>
      <xdr:row>45</xdr:row>
      <xdr:rowOff>0</xdr:rowOff>
    </xdr:from>
    <xdr:to>
      <xdr:col>16</xdr:col>
      <xdr:colOff>1716134</xdr:colOff>
      <xdr:row>53</xdr:row>
      <xdr:rowOff>114300</xdr:rowOff>
    </xdr:to>
    <xdr:sp macro="" textlink="">
      <xdr:nvSpPr>
        <xdr:cNvPr id="7" name="Textfeld 6">
          <a:extLst>
            <a:ext uri="{FF2B5EF4-FFF2-40B4-BE49-F238E27FC236}">
              <a16:creationId xmlns:a16="http://schemas.microsoft.com/office/drawing/2014/main" id="{00000000-0008-0000-4500-000007000000}"/>
            </a:ext>
          </a:extLst>
        </xdr:cNvPr>
        <xdr:cNvSpPr txBox="1"/>
      </xdr:nvSpPr>
      <xdr:spPr>
        <a:xfrm>
          <a:off x="9428851" y="8020050"/>
          <a:ext cx="1602733" cy="163830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95250</xdr:colOff>
      <xdr:row>60</xdr:row>
      <xdr:rowOff>0</xdr:rowOff>
    </xdr:from>
    <xdr:to>
      <xdr:col>16</xdr:col>
      <xdr:colOff>1731373</xdr:colOff>
      <xdr:row>68</xdr:row>
      <xdr:rowOff>1905</xdr:rowOff>
    </xdr:to>
    <xdr:sp macro="" textlink="">
      <xdr:nvSpPr>
        <xdr:cNvPr id="8" name="Textfeld 7">
          <a:extLst>
            <a:ext uri="{FF2B5EF4-FFF2-40B4-BE49-F238E27FC236}">
              <a16:creationId xmlns:a16="http://schemas.microsoft.com/office/drawing/2014/main" id="{00000000-0008-0000-4500-000008000000}"/>
            </a:ext>
          </a:extLst>
        </xdr:cNvPr>
        <xdr:cNvSpPr txBox="1"/>
      </xdr:nvSpPr>
      <xdr:spPr>
        <a:xfrm>
          <a:off x="9410700" y="11220450"/>
          <a:ext cx="1636123" cy="16402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137160</xdr:colOff>
          <xdr:row>2</xdr:row>
          <xdr:rowOff>259080</xdr:rowOff>
        </xdr:from>
        <xdr:to>
          <xdr:col>12</xdr:col>
          <xdr:colOff>297180</xdr:colOff>
          <xdr:row>3</xdr:row>
          <xdr:rowOff>83820</xdr:rowOff>
        </xdr:to>
        <xdr:sp macro="" textlink="">
          <xdr:nvSpPr>
            <xdr:cNvPr id="228353" name="Check Box 1" hidden="1">
              <a:extLst>
                <a:ext uri="{63B3BB69-23CF-44E3-9099-C40C66FF867C}">
                  <a14:compatExt spid="_x0000_s228353"/>
                </a:ext>
                <a:ext uri="{FF2B5EF4-FFF2-40B4-BE49-F238E27FC236}">
                  <a16:creationId xmlns:a16="http://schemas.microsoft.com/office/drawing/2014/main" id="{00000000-0008-0000-4300-0000017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2</xdr:row>
          <xdr:rowOff>60960</xdr:rowOff>
        </xdr:from>
        <xdr:to>
          <xdr:col>12</xdr:col>
          <xdr:colOff>419100</xdr:colOff>
          <xdr:row>2</xdr:row>
          <xdr:rowOff>304800</xdr:rowOff>
        </xdr:to>
        <xdr:sp macro="" textlink="">
          <xdr:nvSpPr>
            <xdr:cNvPr id="228354" name="Check Box 2" hidden="1">
              <a:extLst>
                <a:ext uri="{63B3BB69-23CF-44E3-9099-C40C66FF867C}">
                  <a14:compatExt spid="_x0000_s228354"/>
                </a:ext>
                <a:ext uri="{FF2B5EF4-FFF2-40B4-BE49-F238E27FC236}">
                  <a16:creationId xmlns:a16="http://schemas.microsoft.com/office/drawing/2014/main" id="{00000000-0008-0000-4300-0000027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a:extLst>
            <a:ext uri="{FF2B5EF4-FFF2-40B4-BE49-F238E27FC236}">
              <a16:creationId xmlns:a16="http://schemas.microsoft.com/office/drawing/2014/main" id="{00000000-0008-0000-46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a:extLst>
            <a:ext uri="{FF2B5EF4-FFF2-40B4-BE49-F238E27FC236}">
              <a16:creationId xmlns:a16="http://schemas.microsoft.com/office/drawing/2014/main" id="{00000000-0008-0000-46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76200</xdr:colOff>
      <xdr:row>45</xdr:row>
      <xdr:rowOff>0</xdr:rowOff>
    </xdr:from>
    <xdr:to>
      <xdr:col>16</xdr:col>
      <xdr:colOff>1704138</xdr:colOff>
      <xdr:row>53</xdr:row>
      <xdr:rowOff>114300</xdr:rowOff>
    </xdr:to>
    <xdr:sp macro="" textlink="">
      <xdr:nvSpPr>
        <xdr:cNvPr id="7" name="Textfeld 6">
          <a:extLst>
            <a:ext uri="{FF2B5EF4-FFF2-40B4-BE49-F238E27FC236}">
              <a16:creationId xmlns:a16="http://schemas.microsoft.com/office/drawing/2014/main" id="{00000000-0008-0000-4600-000007000000}"/>
            </a:ext>
          </a:extLst>
        </xdr:cNvPr>
        <xdr:cNvSpPr txBox="1"/>
      </xdr:nvSpPr>
      <xdr:spPr>
        <a:xfrm>
          <a:off x="12877800" y="7543800"/>
          <a:ext cx="72115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z.B. ein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113401</xdr:colOff>
      <xdr:row>60</xdr:row>
      <xdr:rowOff>0</xdr:rowOff>
    </xdr:from>
    <xdr:to>
      <xdr:col>16</xdr:col>
      <xdr:colOff>1716134</xdr:colOff>
      <xdr:row>68</xdr:row>
      <xdr:rowOff>1905</xdr:rowOff>
    </xdr:to>
    <xdr:sp macro="" textlink="">
      <xdr:nvSpPr>
        <xdr:cNvPr id="8" name="Textfeld 7">
          <a:extLst>
            <a:ext uri="{FF2B5EF4-FFF2-40B4-BE49-F238E27FC236}">
              <a16:creationId xmlns:a16="http://schemas.microsoft.com/office/drawing/2014/main" id="{00000000-0008-0000-4600-000008000000}"/>
            </a:ext>
          </a:extLst>
        </xdr:cNvPr>
        <xdr:cNvSpPr txBox="1"/>
      </xdr:nvSpPr>
      <xdr:spPr>
        <a:xfrm>
          <a:off x="12915001" y="1005840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0</xdr:colOff>
          <xdr:row>3</xdr:row>
          <xdr:rowOff>30480</xdr:rowOff>
        </xdr:from>
        <xdr:to>
          <xdr:col>12</xdr:col>
          <xdr:colOff>266700</xdr:colOff>
          <xdr:row>4</xdr:row>
          <xdr:rowOff>7620</xdr:rowOff>
        </xdr:to>
        <xdr:sp macro="" textlink="">
          <xdr:nvSpPr>
            <xdr:cNvPr id="75791" name="Check Box 15" hidden="1">
              <a:extLst>
                <a:ext uri="{63B3BB69-23CF-44E3-9099-C40C66FF867C}">
                  <a14:compatExt spid="_x0000_s75791"/>
                </a:ext>
                <a:ext uri="{FF2B5EF4-FFF2-40B4-BE49-F238E27FC236}">
                  <a16:creationId xmlns:a16="http://schemas.microsoft.com/office/drawing/2014/main" id="{00000000-0008-0000-4400-00000F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2</xdr:row>
          <xdr:rowOff>38100</xdr:rowOff>
        </xdr:from>
        <xdr:to>
          <xdr:col>12</xdr:col>
          <xdr:colOff>297180</xdr:colOff>
          <xdr:row>2</xdr:row>
          <xdr:rowOff>274320</xdr:rowOff>
        </xdr:to>
        <xdr:sp macro="" textlink="">
          <xdr:nvSpPr>
            <xdr:cNvPr id="75792" name="Check Box 16" hidden="1">
              <a:extLst>
                <a:ext uri="{63B3BB69-23CF-44E3-9099-C40C66FF867C}">
                  <a14:compatExt spid="_x0000_s75792"/>
                </a:ext>
                <a:ext uri="{FF2B5EF4-FFF2-40B4-BE49-F238E27FC236}">
                  <a16:creationId xmlns:a16="http://schemas.microsoft.com/office/drawing/2014/main" id="{00000000-0008-0000-4400-000010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6.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47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47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95250</xdr:colOff>
      <xdr:row>60</xdr:row>
      <xdr:rowOff>19050</xdr:rowOff>
    </xdr:from>
    <xdr:to>
      <xdr:col>16</xdr:col>
      <xdr:colOff>1731373</xdr:colOff>
      <xdr:row>67</xdr:row>
      <xdr:rowOff>188595</xdr:rowOff>
    </xdr:to>
    <xdr:sp macro="" textlink="">
      <xdr:nvSpPr>
        <xdr:cNvPr id="7" name="Textfeld 6">
          <a:extLst>
            <a:ext uri="{FF2B5EF4-FFF2-40B4-BE49-F238E27FC236}">
              <a16:creationId xmlns:a16="http://schemas.microsoft.com/office/drawing/2014/main" id="{00000000-0008-0000-4700-000007000000}"/>
            </a:ext>
          </a:extLst>
        </xdr:cNvPr>
        <xdr:cNvSpPr txBox="1"/>
      </xdr:nvSpPr>
      <xdr:spPr>
        <a:xfrm>
          <a:off x="12896850" y="10077450"/>
          <a:ext cx="706483" cy="132016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76200</xdr:colOff>
      <xdr:row>45</xdr:row>
      <xdr:rowOff>0</xdr:rowOff>
    </xdr:from>
    <xdr:to>
      <xdr:col>16</xdr:col>
      <xdr:colOff>1705943</xdr:colOff>
      <xdr:row>53</xdr:row>
      <xdr:rowOff>114300</xdr:rowOff>
    </xdr:to>
    <xdr:sp macro="" textlink="">
      <xdr:nvSpPr>
        <xdr:cNvPr id="8" name="Textfeld 7">
          <a:extLst>
            <a:ext uri="{FF2B5EF4-FFF2-40B4-BE49-F238E27FC236}">
              <a16:creationId xmlns:a16="http://schemas.microsoft.com/office/drawing/2014/main" id="{00000000-0008-0000-4700-000008000000}"/>
            </a:ext>
          </a:extLst>
        </xdr:cNvPr>
        <xdr:cNvSpPr txBox="1"/>
      </xdr:nvSpPr>
      <xdr:spPr>
        <a:xfrm>
          <a:off x="12877800" y="7543800"/>
          <a:ext cx="72296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1">
          <a:hlinkClick xmlns:r="http://schemas.openxmlformats.org/officeDocument/2006/relationships" r:id="rId1"/>
          <a:extLst>
            <a:ext uri="{FF2B5EF4-FFF2-40B4-BE49-F238E27FC236}">
              <a16:creationId xmlns:a16="http://schemas.microsoft.com/office/drawing/2014/main" id="{00000000-0008-0000-48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2">
          <a:hlinkClick xmlns:r="http://schemas.openxmlformats.org/officeDocument/2006/relationships" r:id="rId2"/>
          <a:extLst>
            <a:ext uri="{FF2B5EF4-FFF2-40B4-BE49-F238E27FC236}">
              <a16:creationId xmlns:a16="http://schemas.microsoft.com/office/drawing/2014/main" id="{00000000-0008-0000-48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128641</xdr:colOff>
      <xdr:row>58</xdr:row>
      <xdr:rowOff>180975</xdr:rowOff>
    </xdr:from>
    <xdr:to>
      <xdr:col>16</xdr:col>
      <xdr:colOff>1743750</xdr:colOff>
      <xdr:row>66</xdr:row>
      <xdr:rowOff>228600</xdr:rowOff>
    </xdr:to>
    <xdr:sp macro="" textlink="">
      <xdr:nvSpPr>
        <xdr:cNvPr id="7" name="Textfeld 6">
          <a:extLst>
            <a:ext uri="{FF2B5EF4-FFF2-40B4-BE49-F238E27FC236}">
              <a16:creationId xmlns:a16="http://schemas.microsoft.com/office/drawing/2014/main" id="{00000000-0008-0000-4800-000007000000}"/>
            </a:ext>
          </a:extLst>
        </xdr:cNvPr>
        <xdr:cNvSpPr txBox="1"/>
      </xdr:nvSpPr>
      <xdr:spPr>
        <a:xfrm>
          <a:off x="12930241" y="9888855"/>
          <a:ext cx="670229"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95250</xdr:colOff>
      <xdr:row>44</xdr:row>
      <xdr:rowOff>0</xdr:rowOff>
    </xdr:from>
    <xdr:to>
      <xdr:col>16</xdr:col>
      <xdr:colOff>1731373</xdr:colOff>
      <xdr:row>52</xdr:row>
      <xdr:rowOff>114300</xdr:rowOff>
    </xdr:to>
    <xdr:sp macro="" textlink="">
      <xdr:nvSpPr>
        <xdr:cNvPr id="8" name="Textfeld 7">
          <a:extLst>
            <a:ext uri="{FF2B5EF4-FFF2-40B4-BE49-F238E27FC236}">
              <a16:creationId xmlns:a16="http://schemas.microsoft.com/office/drawing/2014/main" id="{00000000-0008-0000-4800-000008000000}"/>
            </a:ext>
          </a:extLst>
        </xdr:cNvPr>
        <xdr:cNvSpPr txBox="1"/>
      </xdr:nvSpPr>
      <xdr:spPr>
        <a:xfrm>
          <a:off x="12896850" y="7376160"/>
          <a:ext cx="70648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a:extLst>
            <a:ext uri="{FF2B5EF4-FFF2-40B4-BE49-F238E27FC236}">
              <a16:creationId xmlns:a16="http://schemas.microsoft.com/office/drawing/2014/main" id="{00000000-0008-0000-4900-000002000000}"/>
            </a:ext>
          </a:extLst>
        </xdr:cNvPr>
        <xdr:cNvSpPr>
          <a:spLocks noChangeArrowheads="1"/>
        </xdr:cNvSpPr>
      </xdr:nvSpPr>
      <xdr:spPr bwMode="auto">
        <a:xfrm>
          <a:off x="2131695" y="9525"/>
          <a:ext cx="1461135" cy="26670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95400159-178D-4AF5-A51F-6BFBD06DBE93}"/>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6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4A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4A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113401</xdr:colOff>
      <xdr:row>59</xdr:row>
      <xdr:rowOff>0</xdr:rowOff>
    </xdr:from>
    <xdr:to>
      <xdr:col>16</xdr:col>
      <xdr:colOff>1716134</xdr:colOff>
      <xdr:row>66</xdr:row>
      <xdr:rowOff>238125</xdr:rowOff>
    </xdr:to>
    <xdr:sp macro="" textlink="">
      <xdr:nvSpPr>
        <xdr:cNvPr id="7" name="Textfeld 6">
          <a:extLst>
            <a:ext uri="{FF2B5EF4-FFF2-40B4-BE49-F238E27FC236}">
              <a16:creationId xmlns:a16="http://schemas.microsoft.com/office/drawing/2014/main" id="{00000000-0008-0000-4A00-000007000000}"/>
            </a:ext>
          </a:extLst>
        </xdr:cNvPr>
        <xdr:cNvSpPr txBox="1"/>
      </xdr:nvSpPr>
      <xdr:spPr>
        <a:xfrm>
          <a:off x="12915001" y="989076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76200</xdr:colOff>
      <xdr:row>44</xdr:row>
      <xdr:rowOff>0</xdr:rowOff>
    </xdr:from>
    <xdr:to>
      <xdr:col>16</xdr:col>
      <xdr:colOff>1705943</xdr:colOff>
      <xdr:row>52</xdr:row>
      <xdr:rowOff>114300</xdr:rowOff>
    </xdr:to>
    <xdr:sp macro="" textlink="">
      <xdr:nvSpPr>
        <xdr:cNvPr id="8" name="Textfeld 7">
          <a:extLst>
            <a:ext uri="{FF2B5EF4-FFF2-40B4-BE49-F238E27FC236}">
              <a16:creationId xmlns:a16="http://schemas.microsoft.com/office/drawing/2014/main" id="{00000000-0008-0000-4A00-000008000000}"/>
            </a:ext>
          </a:extLst>
        </xdr:cNvPr>
        <xdr:cNvSpPr txBox="1"/>
      </xdr:nvSpPr>
      <xdr:spPr>
        <a:xfrm>
          <a:off x="12877800" y="7376160"/>
          <a:ext cx="72296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wsDr>
</file>

<file path=xl/drawings/drawing7.xml><?xml version="1.0" encoding="utf-8"?>
<c:userShapes xmlns:c="http://schemas.openxmlformats.org/drawingml/2006/chart">
  <cdr:relSizeAnchor xmlns:cdr="http://schemas.openxmlformats.org/drawingml/2006/chartDrawing">
    <cdr:from>
      <cdr:x>0.68599</cdr:x>
      <cdr:y>0.08559</cdr:y>
    </cdr:from>
    <cdr:to>
      <cdr:x>0.93212</cdr:x>
      <cdr:y>0.33292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70.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a:extLst>
            <a:ext uri="{FF2B5EF4-FFF2-40B4-BE49-F238E27FC236}">
              <a16:creationId xmlns:a16="http://schemas.microsoft.com/office/drawing/2014/main" id="{00000000-0008-0000-4B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00000000-0008-0000-4B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66675</xdr:colOff>
      <xdr:row>69</xdr:row>
      <xdr:rowOff>163830</xdr:rowOff>
    </xdr:from>
    <xdr:to>
      <xdr:col>16</xdr:col>
      <xdr:colOff>1702798</xdr:colOff>
      <xdr:row>72</xdr:row>
      <xdr:rowOff>114354</xdr:rowOff>
    </xdr:to>
    <xdr:sp macro="" textlink="">
      <xdr:nvSpPr>
        <xdr:cNvPr id="7" name="Textfeld 6">
          <a:extLst>
            <a:ext uri="{FF2B5EF4-FFF2-40B4-BE49-F238E27FC236}">
              <a16:creationId xmlns:a16="http://schemas.microsoft.com/office/drawing/2014/main" id="{00000000-0008-0000-4B00-000007000000}"/>
            </a:ext>
          </a:extLst>
        </xdr:cNvPr>
        <xdr:cNvSpPr txBox="1"/>
      </xdr:nvSpPr>
      <xdr:spPr>
        <a:xfrm>
          <a:off x="12868275" y="11730990"/>
          <a:ext cx="736963" cy="453444"/>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1743750</xdr:colOff>
      <xdr:row>52</xdr:row>
      <xdr:rowOff>114300</xdr:rowOff>
    </xdr:to>
    <xdr:sp macro="" textlink="">
      <xdr:nvSpPr>
        <xdr:cNvPr id="8" name="Textfeld 7">
          <a:extLst>
            <a:ext uri="{FF2B5EF4-FFF2-40B4-BE49-F238E27FC236}">
              <a16:creationId xmlns:a16="http://schemas.microsoft.com/office/drawing/2014/main" id="{00000000-0008-0000-4B00-000008000000}"/>
            </a:ext>
          </a:extLst>
        </xdr:cNvPr>
        <xdr:cNvSpPr txBox="1"/>
      </xdr:nvSpPr>
      <xdr:spPr>
        <a:xfrm>
          <a:off x="12930241" y="7376160"/>
          <a:ext cx="6702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57150</xdr:colOff>
      <xdr:row>59</xdr:row>
      <xdr:rowOff>0</xdr:rowOff>
    </xdr:from>
    <xdr:to>
      <xdr:col>16</xdr:col>
      <xdr:colOff>1677953</xdr:colOff>
      <xdr:row>66</xdr:row>
      <xdr:rowOff>238125</xdr:rowOff>
    </xdr:to>
    <xdr:sp macro="" textlink="">
      <xdr:nvSpPr>
        <xdr:cNvPr id="9" name="Textfeld 8">
          <a:extLst>
            <a:ext uri="{FF2B5EF4-FFF2-40B4-BE49-F238E27FC236}">
              <a16:creationId xmlns:a16="http://schemas.microsoft.com/office/drawing/2014/main" id="{00000000-0008-0000-4B00-000009000000}"/>
            </a:ext>
          </a:extLst>
        </xdr:cNvPr>
        <xdr:cNvSpPr txBox="1"/>
      </xdr:nvSpPr>
      <xdr:spPr>
        <a:xfrm>
          <a:off x="12858750" y="9890760"/>
          <a:ext cx="74450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4D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4D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97155</xdr:colOff>
      <xdr:row>44</xdr:row>
      <xdr:rowOff>9525</xdr:rowOff>
    </xdr:from>
    <xdr:to>
      <xdr:col>16</xdr:col>
      <xdr:colOff>1718023</xdr:colOff>
      <xdr:row>52</xdr:row>
      <xdr:rowOff>123825</xdr:rowOff>
    </xdr:to>
    <xdr:sp macro="" textlink="">
      <xdr:nvSpPr>
        <xdr:cNvPr id="7" name="Textfeld 6">
          <a:extLst>
            <a:ext uri="{FF2B5EF4-FFF2-40B4-BE49-F238E27FC236}">
              <a16:creationId xmlns:a16="http://schemas.microsoft.com/office/drawing/2014/main" id="{00000000-0008-0000-4D00-000007000000}"/>
            </a:ext>
          </a:extLst>
        </xdr:cNvPr>
        <xdr:cNvSpPr txBox="1"/>
      </xdr:nvSpPr>
      <xdr:spPr>
        <a:xfrm>
          <a:off x="12898755" y="7385685"/>
          <a:ext cx="7064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96256</xdr:colOff>
      <xdr:row>58</xdr:row>
      <xdr:rowOff>180975</xdr:rowOff>
    </xdr:from>
    <xdr:to>
      <xdr:col>16</xdr:col>
      <xdr:colOff>1716051</xdr:colOff>
      <xdr:row>66</xdr:row>
      <xdr:rowOff>228600</xdr:rowOff>
    </xdr:to>
    <xdr:sp macro="" textlink="">
      <xdr:nvSpPr>
        <xdr:cNvPr id="8" name="Textfeld 7">
          <a:extLst>
            <a:ext uri="{FF2B5EF4-FFF2-40B4-BE49-F238E27FC236}">
              <a16:creationId xmlns:a16="http://schemas.microsoft.com/office/drawing/2014/main" id="{00000000-0008-0000-4D00-000008000000}"/>
            </a:ext>
          </a:extLst>
        </xdr:cNvPr>
        <xdr:cNvSpPr txBox="1"/>
      </xdr:nvSpPr>
      <xdr:spPr>
        <a:xfrm>
          <a:off x="12897856" y="9888855"/>
          <a:ext cx="705395"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a:extLst>
            <a:ext uri="{FF2B5EF4-FFF2-40B4-BE49-F238E27FC236}">
              <a16:creationId xmlns:a16="http://schemas.microsoft.com/office/drawing/2014/main" id="{00000000-0008-0000-50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00000000-0008-0000-50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0</xdr:colOff>
      <xdr:row>45</xdr:row>
      <xdr:rowOff>0</xdr:rowOff>
    </xdr:from>
    <xdr:to>
      <xdr:col>16</xdr:col>
      <xdr:colOff>1604388</xdr:colOff>
      <xdr:row>53</xdr:row>
      <xdr:rowOff>114300</xdr:rowOff>
    </xdr:to>
    <xdr:sp macro="" textlink="">
      <xdr:nvSpPr>
        <xdr:cNvPr id="7" name="Textfeld 6">
          <a:extLst>
            <a:ext uri="{FF2B5EF4-FFF2-40B4-BE49-F238E27FC236}">
              <a16:creationId xmlns:a16="http://schemas.microsoft.com/office/drawing/2014/main" id="{00000000-0008-0000-5000-000007000000}"/>
            </a:ext>
          </a:extLst>
        </xdr:cNvPr>
        <xdr:cNvSpPr txBox="1"/>
      </xdr:nvSpPr>
      <xdr:spPr>
        <a:xfrm>
          <a:off x="12801600" y="7543800"/>
          <a:ext cx="7966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1604388</xdr:colOff>
      <xdr:row>68</xdr:row>
      <xdr:rowOff>1905</xdr:rowOff>
    </xdr:to>
    <xdr:sp macro="" textlink="">
      <xdr:nvSpPr>
        <xdr:cNvPr id="8" name="Textfeld 7">
          <a:extLst>
            <a:ext uri="{FF2B5EF4-FFF2-40B4-BE49-F238E27FC236}">
              <a16:creationId xmlns:a16="http://schemas.microsoft.com/office/drawing/2014/main" id="{00000000-0008-0000-5000-000008000000}"/>
            </a:ext>
          </a:extLst>
        </xdr:cNvPr>
        <xdr:cNvSpPr txBox="1"/>
      </xdr:nvSpPr>
      <xdr:spPr>
        <a:xfrm>
          <a:off x="12801600" y="10058400"/>
          <a:ext cx="79666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xdr:col>
      <xdr:colOff>94565</xdr:colOff>
      <xdr:row>15</xdr:row>
      <xdr:rowOff>93345</xdr:rowOff>
    </xdr:from>
    <xdr:to>
      <xdr:col>7</xdr:col>
      <xdr:colOff>9525</xdr:colOff>
      <xdr:row>16</xdr:row>
      <xdr:rowOff>128853</xdr:rowOff>
    </xdr:to>
    <xdr:sp macro="" textlink="">
      <xdr:nvSpPr>
        <xdr:cNvPr id="9" name="Textfeld 8">
          <a:extLst>
            <a:ext uri="{FF2B5EF4-FFF2-40B4-BE49-F238E27FC236}">
              <a16:creationId xmlns:a16="http://schemas.microsoft.com/office/drawing/2014/main" id="{00000000-0008-0000-5000-000009000000}"/>
            </a:ext>
          </a:extLst>
        </xdr:cNvPr>
        <xdr:cNvSpPr txBox="1"/>
      </xdr:nvSpPr>
      <xdr:spPr>
        <a:xfrm>
          <a:off x="208865" y="3490595"/>
          <a:ext cx="3991660" cy="226008"/>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FF0000"/>
              </a:solidFill>
              <a:latin typeface="Arial Narrow" panose="020B0606020202030204" pitchFamily="34" charset="0"/>
            </a:rPr>
            <a:t>keine gleichzeitige</a:t>
          </a:r>
          <a:r>
            <a:rPr lang="de-DE" sz="1100" b="1" baseline="0">
              <a:solidFill>
                <a:srgbClr val="FF0000"/>
              </a:solidFill>
              <a:latin typeface="Arial Narrow" panose="020B0606020202030204" pitchFamily="34" charset="0"/>
            </a:rPr>
            <a:t> Auszahlung von D 2 auf der selben Fläche mgl.!</a:t>
          </a:r>
          <a:endParaRPr lang="de-DE" sz="1100" b="1">
            <a:solidFill>
              <a:srgbClr val="FF0000"/>
            </a:solidFill>
            <a:latin typeface="Arial Narrow" panose="020B0606020202030204" pitchFamily="34" charset="0"/>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19">
          <a:hlinkClick xmlns:r="http://schemas.openxmlformats.org/officeDocument/2006/relationships" r:id="rId1"/>
          <a:extLst>
            <a:ext uri="{FF2B5EF4-FFF2-40B4-BE49-F238E27FC236}">
              <a16:creationId xmlns:a16="http://schemas.microsoft.com/office/drawing/2014/main" id="{00000000-0008-0000-51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0">
          <a:hlinkClick xmlns:r="http://schemas.openxmlformats.org/officeDocument/2006/relationships" r:id="rId2"/>
          <a:extLst>
            <a:ext uri="{FF2B5EF4-FFF2-40B4-BE49-F238E27FC236}">
              <a16:creationId xmlns:a16="http://schemas.microsoft.com/office/drawing/2014/main" id="{00000000-0008-0000-51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52815</xdr:colOff>
      <xdr:row>45</xdr:row>
      <xdr:rowOff>0</xdr:rowOff>
    </xdr:from>
    <xdr:to>
      <xdr:col>16</xdr:col>
      <xdr:colOff>1665809</xdr:colOff>
      <xdr:row>53</xdr:row>
      <xdr:rowOff>114300</xdr:rowOff>
    </xdr:to>
    <xdr:sp macro="" textlink="">
      <xdr:nvSpPr>
        <xdr:cNvPr id="7" name="Textfeld 6">
          <a:extLst>
            <a:ext uri="{FF2B5EF4-FFF2-40B4-BE49-F238E27FC236}">
              <a16:creationId xmlns:a16="http://schemas.microsoft.com/office/drawing/2014/main" id="{00000000-0008-0000-5100-000007000000}"/>
            </a:ext>
          </a:extLst>
        </xdr:cNvPr>
        <xdr:cNvSpPr txBox="1"/>
      </xdr:nvSpPr>
      <xdr:spPr>
        <a:xfrm>
          <a:off x="12854415" y="7543800"/>
          <a:ext cx="744314"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52815</xdr:colOff>
      <xdr:row>60</xdr:row>
      <xdr:rowOff>8802</xdr:rowOff>
    </xdr:from>
    <xdr:to>
      <xdr:col>16</xdr:col>
      <xdr:colOff>1665809</xdr:colOff>
      <xdr:row>68</xdr:row>
      <xdr:rowOff>3087</xdr:rowOff>
    </xdr:to>
    <xdr:sp macro="" textlink="">
      <xdr:nvSpPr>
        <xdr:cNvPr id="8" name="Textfeld 7">
          <a:extLst>
            <a:ext uri="{FF2B5EF4-FFF2-40B4-BE49-F238E27FC236}">
              <a16:creationId xmlns:a16="http://schemas.microsoft.com/office/drawing/2014/main" id="{00000000-0008-0000-5100-000008000000}"/>
            </a:ext>
          </a:extLst>
        </xdr:cNvPr>
        <xdr:cNvSpPr txBox="1"/>
      </xdr:nvSpPr>
      <xdr:spPr>
        <a:xfrm>
          <a:off x="12854415" y="10067202"/>
          <a:ext cx="744314" cy="13354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77638</xdr:colOff>
      <xdr:row>25</xdr:row>
      <xdr:rowOff>8627</xdr:rowOff>
    </xdr:from>
    <xdr:to>
      <xdr:col>16</xdr:col>
      <xdr:colOff>1715075</xdr:colOff>
      <xdr:row>30</xdr:row>
      <xdr:rowOff>43132</xdr:rowOff>
    </xdr:to>
    <xdr:sp macro="" textlink="">
      <xdr:nvSpPr>
        <xdr:cNvPr id="10" name="Textfeld 9">
          <a:extLst>
            <a:ext uri="{FF2B5EF4-FFF2-40B4-BE49-F238E27FC236}">
              <a16:creationId xmlns:a16="http://schemas.microsoft.com/office/drawing/2014/main" id="{00000000-0008-0000-5100-00000A000000}"/>
            </a:ext>
          </a:extLst>
        </xdr:cNvPr>
        <xdr:cNvSpPr txBox="1"/>
      </xdr:nvSpPr>
      <xdr:spPr>
        <a:xfrm>
          <a:off x="12879238" y="4199627"/>
          <a:ext cx="723037" cy="8727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baseline="0">
              <a:solidFill>
                <a:srgbClr val="FF0000"/>
              </a:solidFill>
            </a:rPr>
            <a:t>N- Bindung bei Begrünungs zwischenfrüchten mit Leguminosen    laut NÄBI (LEL 2014)</a:t>
          </a:r>
          <a:endParaRPr lang="de-DE" sz="1200" b="1">
            <a:solidFill>
              <a:srgbClr val="FF0000"/>
            </a:solidFill>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a:extLst>
            <a:ext uri="{FF2B5EF4-FFF2-40B4-BE49-F238E27FC236}">
              <a16:creationId xmlns:a16="http://schemas.microsoft.com/office/drawing/2014/main" id="{00000000-0008-0000-52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a:extLst>
            <a:ext uri="{FF2B5EF4-FFF2-40B4-BE49-F238E27FC236}">
              <a16:creationId xmlns:a16="http://schemas.microsoft.com/office/drawing/2014/main" id="{00000000-0008-0000-52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160020</xdr:colOff>
          <xdr:row>2</xdr:row>
          <xdr:rowOff>76200</xdr:rowOff>
        </xdr:from>
        <xdr:to>
          <xdr:col>12</xdr:col>
          <xdr:colOff>289560</xdr:colOff>
          <xdr:row>2</xdr:row>
          <xdr:rowOff>190500</xdr:rowOff>
        </xdr:to>
        <xdr:sp macro="" textlink="">
          <xdr:nvSpPr>
            <xdr:cNvPr id="87057" name="Check Box 17" hidden="1">
              <a:extLst>
                <a:ext uri="{63B3BB69-23CF-44E3-9099-C40C66FF867C}">
                  <a14:compatExt spid="_x0000_s87057"/>
                </a:ext>
                <a:ext uri="{FF2B5EF4-FFF2-40B4-BE49-F238E27FC236}">
                  <a16:creationId xmlns:a16="http://schemas.microsoft.com/office/drawing/2014/main" id="{00000000-0008-0000-4D00-0000115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3</xdr:row>
          <xdr:rowOff>76200</xdr:rowOff>
        </xdr:from>
        <xdr:to>
          <xdr:col>12</xdr:col>
          <xdr:colOff>297180</xdr:colOff>
          <xdr:row>3</xdr:row>
          <xdr:rowOff>175260</xdr:rowOff>
        </xdr:to>
        <xdr:sp macro="" textlink="">
          <xdr:nvSpPr>
            <xdr:cNvPr id="87058" name="Check Box 18" hidden="1">
              <a:extLst>
                <a:ext uri="{63B3BB69-23CF-44E3-9099-C40C66FF867C}">
                  <a14:compatExt spid="_x0000_s87058"/>
                </a:ext>
                <a:ext uri="{FF2B5EF4-FFF2-40B4-BE49-F238E27FC236}">
                  <a16:creationId xmlns:a16="http://schemas.microsoft.com/office/drawing/2014/main" id="{00000000-0008-0000-4D00-0000125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75.xml><?xml version="1.0" encoding="utf-8"?>
<xdr:wsDr xmlns:xdr="http://schemas.openxmlformats.org/drawingml/2006/spreadsheetDrawing" xmlns:a="http://schemas.openxmlformats.org/drawingml/2006/main">
  <xdr:twoCellAnchor>
    <xdr:from>
      <xdr:col>0</xdr:col>
      <xdr:colOff>114300</xdr:colOff>
      <xdr:row>51</xdr:row>
      <xdr:rowOff>45720</xdr:rowOff>
    </xdr:from>
    <xdr:to>
      <xdr:col>11</xdr:col>
      <xdr:colOff>502920</xdr:colOff>
      <xdr:row>79</xdr:row>
      <xdr:rowOff>60960</xdr:rowOff>
    </xdr:to>
    <xdr:graphicFrame macro="">
      <xdr:nvGraphicFramePr>
        <xdr:cNvPr id="2" name="Diagramm 6">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106680</xdr:colOff>
      <xdr:row>27</xdr:row>
      <xdr:rowOff>121920</xdr:rowOff>
    </xdr:from>
    <xdr:to>
      <xdr:col>11</xdr:col>
      <xdr:colOff>449580</xdr:colOff>
      <xdr:row>51</xdr:row>
      <xdr:rowOff>160020</xdr:rowOff>
    </xdr:to>
    <xdr:graphicFrame macro="">
      <xdr:nvGraphicFramePr>
        <xdr:cNvPr id="3" name="Diagramm 11">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60960</xdr:colOff>
      <xdr:row>2</xdr:row>
      <xdr:rowOff>7620</xdr:rowOff>
    </xdr:from>
    <xdr:to>
      <xdr:col>11</xdr:col>
      <xdr:colOff>548640</xdr:colOff>
      <xdr:row>25</xdr:row>
      <xdr:rowOff>121920</xdr:rowOff>
    </xdr:to>
    <xdr:graphicFrame macro="">
      <xdr:nvGraphicFramePr>
        <xdr:cNvPr id="4" name="Diagramm 12">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9524</xdr:colOff>
      <xdr:row>1</xdr:row>
      <xdr:rowOff>0</xdr:rowOff>
    </xdr:from>
    <xdr:to>
      <xdr:col>2</xdr:col>
      <xdr:colOff>759330</xdr:colOff>
      <xdr:row>1</xdr:row>
      <xdr:rowOff>276225</xdr:rowOff>
    </xdr:to>
    <xdr:sp macro="" textlink="">
      <xdr:nvSpPr>
        <xdr:cNvPr id="5" name="Rectangle 17">
          <a:hlinkClick xmlns:r="http://schemas.openxmlformats.org/officeDocument/2006/relationships" r:id="rId4"/>
          <a:extLst>
            <a:ext uri="{FF2B5EF4-FFF2-40B4-BE49-F238E27FC236}">
              <a16:creationId xmlns:a16="http://schemas.microsoft.com/office/drawing/2014/main" id="{00000000-0008-0000-3A00-000005000000}"/>
            </a:ext>
          </a:extLst>
        </xdr:cNvPr>
        <xdr:cNvSpPr>
          <a:spLocks noChangeArrowheads="1"/>
        </xdr:cNvSpPr>
      </xdr:nvSpPr>
      <xdr:spPr bwMode="auto">
        <a:xfrm>
          <a:off x="802004" y="167640"/>
          <a:ext cx="1542286" cy="169545"/>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1</xdr:col>
      <xdr:colOff>370936</xdr:colOff>
      <xdr:row>27</xdr:row>
      <xdr:rowOff>25879</xdr:rowOff>
    </xdr:from>
    <xdr:to>
      <xdr:col>2</xdr:col>
      <xdr:colOff>181128</xdr:colOff>
      <xdr:row>28</xdr:row>
      <xdr:rowOff>42815</xdr:rowOff>
    </xdr:to>
    <xdr:sp macro="" textlink="">
      <xdr:nvSpPr>
        <xdr:cNvPr id="6" name="Textfeld 5">
          <a:extLst>
            <a:ext uri="{FF2B5EF4-FFF2-40B4-BE49-F238E27FC236}">
              <a16:creationId xmlns:a16="http://schemas.microsoft.com/office/drawing/2014/main" id="{00000000-0008-0000-3A00-000006000000}"/>
            </a:ext>
          </a:extLst>
        </xdr:cNvPr>
        <xdr:cNvSpPr txBox="1"/>
      </xdr:nvSpPr>
      <xdr:spPr>
        <a:xfrm>
          <a:off x="1163416" y="4552159"/>
          <a:ext cx="602672" cy="184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t>€/ha</a:t>
          </a:r>
        </a:p>
      </xdr:txBody>
    </xdr:sp>
    <xdr:clientData/>
  </xdr:twoCellAnchor>
</xdr:wsDr>
</file>

<file path=xl/drawings/drawing76.xml><?xml version="1.0" encoding="utf-8"?>
<c:userShapes xmlns:c="http://schemas.openxmlformats.org/drawingml/2006/chart">
  <cdr:relSizeAnchor xmlns:cdr="http://schemas.openxmlformats.org/drawingml/2006/chartDrawing">
    <cdr:from>
      <cdr:x>0.00099</cdr:x>
      <cdr:y>0.00888</cdr:y>
    </cdr:from>
    <cdr:to>
      <cdr:x>0.00608</cdr:x>
      <cdr:y>0.017</cdr:y>
    </cdr:to>
    <cdr:sp macro="" textlink="">
      <cdr:nvSpPr>
        <cdr:cNvPr id="4" name="Text 16"/>
        <cdr:cNvSpPr txBox="1">
          <a:spLocks xmlns:a="http://schemas.openxmlformats.org/drawingml/2006/main" noChangeArrowheads="1"/>
        </cdr:cNvSpPr>
      </cdr:nvSpPr>
      <cdr:spPr bwMode="auto">
        <a:xfrm xmlns:a="http://schemas.openxmlformats.org/drawingml/2006/main" flipH="1">
          <a:off x="0" y="50034"/>
          <a:ext cx="50958" cy="45719"/>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wrap="square" lIns="36576" tIns="27432" rIns="0" bIns="0" anchor="t" upright="1"/>
        <a:lstStyle xmlns:a="http://schemas.openxmlformats.org/drawingml/2006/main"/>
        <a:p xmlns:a="http://schemas.openxmlformats.org/drawingml/2006/main">
          <a:endParaRPr lang="de-DE"/>
        </a:p>
      </cdr:txBody>
    </cdr:sp>
  </cdr:relSizeAnchor>
</c:userShapes>
</file>

<file path=xl/drawings/drawing7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42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42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a:extLst>
            <a:ext uri="{FF2B5EF4-FFF2-40B4-BE49-F238E27FC236}">
              <a16:creationId xmlns:a16="http://schemas.microsoft.com/office/drawing/2014/main" id="{00000000-0008-0000-4200-000004000000}"/>
            </a:ext>
          </a:extLst>
        </xdr:cNvPr>
        <xdr:cNvSpPr/>
      </xdr:nvSpPr>
      <xdr:spPr bwMode="auto">
        <a:xfrm>
          <a:off x="7314301" y="0"/>
          <a:ext cx="686723"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18ABE6F-8959-4A88-8B57-0E0BF4757860}" type="TxLink">
            <a:rPr lang="de-DE" sz="1100"/>
            <a:pPr algn="l"/>
            <a:t>#NV</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a:extLst>
            <a:ext uri="{FF2B5EF4-FFF2-40B4-BE49-F238E27FC236}">
              <a16:creationId xmlns:a16="http://schemas.microsoft.com/office/drawing/2014/main" id="{00000000-0008-0000-4200-000005000000}"/>
            </a:ext>
          </a:extLst>
        </xdr:cNvPr>
        <xdr:cNvSpPr/>
      </xdr:nvSpPr>
      <xdr:spPr bwMode="auto">
        <a:xfrm>
          <a:off x="9667875" y="9525"/>
          <a:ext cx="430837" cy="16001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E6CC9AC-8125-461C-AC9C-67527C353662}" type="TxLink">
            <a:rPr lang="de-DE" sz="1100"/>
            <a:pPr algn="l"/>
            <a:t>#NV</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a:extLst>
            <a:ext uri="{FF2B5EF4-FFF2-40B4-BE49-F238E27FC236}">
              <a16:creationId xmlns:a16="http://schemas.microsoft.com/office/drawing/2014/main" id="{00000000-0008-0000-4200-000006000000}"/>
            </a:ext>
          </a:extLst>
        </xdr:cNvPr>
        <xdr:cNvSpPr/>
      </xdr:nvSpPr>
      <xdr:spPr bwMode="auto">
        <a:xfrm>
          <a:off x="12092940" y="0"/>
          <a:ext cx="441195"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EAB785-3866-43DA-9C5D-0DAF6D308A7E}" type="TxLink">
            <a:rPr lang="de-DE" sz="1100"/>
            <a:pPr algn="l"/>
            <a:t>#NV</a:t>
          </a:fld>
          <a:endParaRPr lang="de-DE" sz="1100"/>
        </a:p>
      </xdr:txBody>
    </xdr:sp>
    <xdr:clientData/>
  </xdr:twoCellAnchor>
  <xdr:twoCellAnchor>
    <xdr:from>
      <xdr:col>16</xdr:col>
      <xdr:colOff>142875</xdr:colOff>
      <xdr:row>45</xdr:row>
      <xdr:rowOff>0</xdr:rowOff>
    </xdr:from>
    <xdr:to>
      <xdr:col>16</xdr:col>
      <xdr:colOff>1780491</xdr:colOff>
      <xdr:row>53</xdr:row>
      <xdr:rowOff>114300</xdr:rowOff>
    </xdr:to>
    <xdr:sp macro="" textlink="">
      <xdr:nvSpPr>
        <xdr:cNvPr id="7" name="Textfeld 6">
          <a:extLst>
            <a:ext uri="{FF2B5EF4-FFF2-40B4-BE49-F238E27FC236}">
              <a16:creationId xmlns:a16="http://schemas.microsoft.com/office/drawing/2014/main" id="{00000000-0008-0000-4200-000007000000}"/>
            </a:ext>
          </a:extLst>
        </xdr:cNvPr>
        <xdr:cNvSpPr txBox="1"/>
      </xdr:nvSpPr>
      <xdr:spPr>
        <a:xfrm>
          <a:off x="12944475" y="7543800"/>
          <a:ext cx="654636"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60</xdr:row>
      <xdr:rowOff>0</xdr:rowOff>
    </xdr:from>
    <xdr:to>
      <xdr:col>16</xdr:col>
      <xdr:colOff>1705872</xdr:colOff>
      <xdr:row>68</xdr:row>
      <xdr:rowOff>1905</xdr:rowOff>
    </xdr:to>
    <xdr:sp macro="" textlink="">
      <xdr:nvSpPr>
        <xdr:cNvPr id="8" name="Textfeld 7">
          <a:extLst>
            <a:ext uri="{FF2B5EF4-FFF2-40B4-BE49-F238E27FC236}">
              <a16:creationId xmlns:a16="http://schemas.microsoft.com/office/drawing/2014/main" id="{00000000-0008-0000-4200-000008000000}"/>
            </a:ext>
          </a:extLst>
        </xdr:cNvPr>
        <xdr:cNvSpPr txBox="1"/>
      </xdr:nvSpPr>
      <xdr:spPr>
        <a:xfrm>
          <a:off x="12877800" y="10058400"/>
          <a:ext cx="722892"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106680</xdr:colOff>
          <xdr:row>2</xdr:row>
          <xdr:rowOff>251460</xdr:rowOff>
        </xdr:from>
        <xdr:to>
          <xdr:col>12</xdr:col>
          <xdr:colOff>373380</xdr:colOff>
          <xdr:row>3</xdr:row>
          <xdr:rowOff>198120</xdr:rowOff>
        </xdr:to>
        <xdr:sp macro="" textlink="">
          <xdr:nvSpPr>
            <xdr:cNvPr id="72719" name="Check Box 15" hidden="1">
              <a:extLst>
                <a:ext uri="{63B3BB69-23CF-44E3-9099-C40C66FF867C}">
                  <a14:compatExt spid="_x0000_s72719"/>
                </a:ext>
                <a:ext uri="{FF2B5EF4-FFF2-40B4-BE49-F238E27FC236}">
                  <a16:creationId xmlns:a16="http://schemas.microsoft.com/office/drawing/2014/main" id="{00000000-0008-0000-4F00-00000F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99060</xdr:colOff>
          <xdr:row>2</xdr:row>
          <xdr:rowOff>38100</xdr:rowOff>
        </xdr:from>
        <xdr:to>
          <xdr:col>12</xdr:col>
          <xdr:colOff>381000</xdr:colOff>
          <xdr:row>3</xdr:row>
          <xdr:rowOff>7620</xdr:rowOff>
        </xdr:to>
        <xdr:sp macro="" textlink="">
          <xdr:nvSpPr>
            <xdr:cNvPr id="72720" name="Check Box 16" hidden="1">
              <a:extLst>
                <a:ext uri="{63B3BB69-23CF-44E3-9099-C40C66FF867C}">
                  <a14:compatExt spid="_x0000_s72720"/>
                </a:ext>
                <a:ext uri="{FF2B5EF4-FFF2-40B4-BE49-F238E27FC236}">
                  <a16:creationId xmlns:a16="http://schemas.microsoft.com/office/drawing/2014/main" id="{00000000-0008-0000-4F00-000010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8.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a:extLst>
            <a:ext uri="{FF2B5EF4-FFF2-40B4-BE49-F238E27FC236}">
              <a16:creationId xmlns:a16="http://schemas.microsoft.com/office/drawing/2014/main" id="{00000000-0008-0000-4C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00000000-0008-0000-4C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a:extLst>
            <a:ext uri="{FF2B5EF4-FFF2-40B4-BE49-F238E27FC236}">
              <a16:creationId xmlns:a16="http://schemas.microsoft.com/office/drawing/2014/main" id="{00000000-0008-0000-4C00-000004000000}"/>
            </a:ext>
          </a:extLst>
        </xdr:cNvPr>
        <xdr:cNvSpPr/>
      </xdr:nvSpPr>
      <xdr:spPr bwMode="auto">
        <a:xfrm>
          <a:off x="7314301" y="0"/>
          <a:ext cx="686723"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a:pPr algn="l"/>
            <a:t>#NV</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a:extLst>
            <a:ext uri="{FF2B5EF4-FFF2-40B4-BE49-F238E27FC236}">
              <a16:creationId xmlns:a16="http://schemas.microsoft.com/office/drawing/2014/main" id="{00000000-0008-0000-4C00-000005000000}"/>
            </a:ext>
          </a:extLst>
        </xdr:cNvPr>
        <xdr:cNvSpPr/>
      </xdr:nvSpPr>
      <xdr:spPr bwMode="auto">
        <a:xfrm>
          <a:off x="9667875" y="9525"/>
          <a:ext cx="430837" cy="16001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77CC096-59C3-45B6-B7FE-6B91D7671DB1}" type="TxLink">
            <a:rPr lang="de-DE" sz="1100"/>
            <a:pPr algn="l"/>
            <a:t>#NV</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a:extLst>
            <a:ext uri="{FF2B5EF4-FFF2-40B4-BE49-F238E27FC236}">
              <a16:creationId xmlns:a16="http://schemas.microsoft.com/office/drawing/2014/main" id="{00000000-0008-0000-4C00-000006000000}"/>
            </a:ext>
          </a:extLst>
        </xdr:cNvPr>
        <xdr:cNvSpPr/>
      </xdr:nvSpPr>
      <xdr:spPr bwMode="auto">
        <a:xfrm>
          <a:off x="12092940" y="0"/>
          <a:ext cx="441195"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a:pPr algn="l"/>
            <a:t>#NV</a:t>
          </a:fld>
          <a:endParaRPr lang="de-DE" sz="1100"/>
        </a:p>
      </xdr:txBody>
    </xdr:sp>
    <xdr:clientData/>
  </xdr:twoCellAnchor>
  <xdr:twoCellAnchor>
    <xdr:from>
      <xdr:col>16</xdr:col>
      <xdr:colOff>114300</xdr:colOff>
      <xdr:row>44</xdr:row>
      <xdr:rowOff>167640</xdr:rowOff>
    </xdr:from>
    <xdr:to>
      <xdr:col>16</xdr:col>
      <xdr:colOff>1744043</xdr:colOff>
      <xdr:row>53</xdr:row>
      <xdr:rowOff>91440</xdr:rowOff>
    </xdr:to>
    <xdr:sp macro="" textlink="">
      <xdr:nvSpPr>
        <xdr:cNvPr id="7" name="Textfeld 6">
          <a:extLst>
            <a:ext uri="{FF2B5EF4-FFF2-40B4-BE49-F238E27FC236}">
              <a16:creationId xmlns:a16="http://schemas.microsoft.com/office/drawing/2014/main" id="{00000000-0008-0000-4C00-000007000000}"/>
            </a:ext>
          </a:extLst>
        </xdr:cNvPr>
        <xdr:cNvSpPr txBox="1"/>
      </xdr:nvSpPr>
      <xdr:spPr>
        <a:xfrm>
          <a:off x="9258300" y="7940040"/>
          <a:ext cx="1629743" cy="163830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1629743</xdr:colOff>
      <xdr:row>68</xdr:row>
      <xdr:rowOff>1905</xdr:rowOff>
    </xdr:to>
    <xdr:sp macro="" textlink="">
      <xdr:nvSpPr>
        <xdr:cNvPr id="8" name="Textfeld 7">
          <a:extLst>
            <a:ext uri="{FF2B5EF4-FFF2-40B4-BE49-F238E27FC236}">
              <a16:creationId xmlns:a16="http://schemas.microsoft.com/office/drawing/2014/main" id="{00000000-0008-0000-4C00-000008000000}"/>
            </a:ext>
          </a:extLst>
        </xdr:cNvPr>
        <xdr:cNvSpPr txBox="1"/>
      </xdr:nvSpPr>
      <xdr:spPr>
        <a:xfrm>
          <a:off x="12801600" y="10058400"/>
          <a:ext cx="79916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9" name="Rechteck 8">
          <a:extLst>
            <a:ext uri="{FF2B5EF4-FFF2-40B4-BE49-F238E27FC236}">
              <a16:creationId xmlns:a16="http://schemas.microsoft.com/office/drawing/2014/main" id="{00000000-0008-0000-4C00-000009000000}"/>
            </a:ext>
          </a:extLst>
        </xdr:cNvPr>
        <xdr:cNvSpPr/>
      </xdr:nvSpPr>
      <xdr:spPr bwMode="auto">
        <a:xfrm>
          <a:off x="5618059" y="8626"/>
          <a:ext cx="435263" cy="19049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#NV</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a:extLst>
            <a:ext uri="{FF2B5EF4-FFF2-40B4-BE49-F238E27FC236}">
              <a16:creationId xmlns:a16="http://schemas.microsoft.com/office/drawing/2014/main" id="{00000000-0008-0000-4C00-00000A000000}"/>
            </a:ext>
          </a:extLst>
        </xdr:cNvPr>
        <xdr:cNvSpPr/>
      </xdr:nvSpPr>
      <xdr:spPr bwMode="auto">
        <a:xfrm>
          <a:off x="5592181" y="0"/>
          <a:ext cx="435263" cy="19049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#NV</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a:extLst>
            <a:ext uri="{FF2B5EF4-FFF2-40B4-BE49-F238E27FC236}">
              <a16:creationId xmlns:a16="http://schemas.microsoft.com/office/drawing/2014/main" id="{00000000-0008-0000-4C00-00000B000000}"/>
            </a:ext>
          </a:extLst>
        </xdr:cNvPr>
        <xdr:cNvSpPr/>
      </xdr:nvSpPr>
      <xdr:spPr bwMode="auto">
        <a:xfrm>
          <a:off x="5592181" y="0"/>
          <a:ext cx="435263" cy="19049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#NV</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a:extLst>
            <a:ext uri="{FF2B5EF4-FFF2-40B4-BE49-F238E27FC236}">
              <a16:creationId xmlns:a16="http://schemas.microsoft.com/office/drawing/2014/main" id="{00000000-0008-0000-4C00-00000C000000}"/>
            </a:ext>
          </a:extLst>
        </xdr:cNvPr>
        <xdr:cNvSpPr/>
      </xdr:nvSpPr>
      <xdr:spPr bwMode="auto">
        <a:xfrm>
          <a:off x="5592181" y="0"/>
          <a:ext cx="435263" cy="19049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#NV</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3" name="Rechteck 12">
          <a:extLst>
            <a:ext uri="{FF2B5EF4-FFF2-40B4-BE49-F238E27FC236}">
              <a16:creationId xmlns:a16="http://schemas.microsoft.com/office/drawing/2014/main" id="{00000000-0008-0000-4C00-00000D000000}"/>
            </a:ext>
          </a:extLst>
        </xdr:cNvPr>
        <xdr:cNvSpPr/>
      </xdr:nvSpPr>
      <xdr:spPr bwMode="auto">
        <a:xfrm>
          <a:off x="7130415" y="9525"/>
          <a:ext cx="430837" cy="19049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#NV</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4" name="Rechteck 13">
          <a:extLst>
            <a:ext uri="{FF2B5EF4-FFF2-40B4-BE49-F238E27FC236}">
              <a16:creationId xmlns:a16="http://schemas.microsoft.com/office/drawing/2014/main" id="{00000000-0008-0000-4C00-00000E000000}"/>
            </a:ext>
          </a:extLst>
        </xdr:cNvPr>
        <xdr:cNvSpPr/>
      </xdr:nvSpPr>
      <xdr:spPr bwMode="auto">
        <a:xfrm>
          <a:off x="7130415" y="9525"/>
          <a:ext cx="430837" cy="19049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#NV</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5" name="Rechteck 14">
          <a:extLst>
            <a:ext uri="{FF2B5EF4-FFF2-40B4-BE49-F238E27FC236}">
              <a16:creationId xmlns:a16="http://schemas.microsoft.com/office/drawing/2014/main" id="{00000000-0008-0000-4C00-00000F000000}"/>
            </a:ext>
          </a:extLst>
        </xdr:cNvPr>
        <xdr:cNvSpPr/>
      </xdr:nvSpPr>
      <xdr:spPr bwMode="auto">
        <a:xfrm>
          <a:off x="8801100" y="0"/>
          <a:ext cx="441195" cy="19049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#NV</a:t>
          </a:fld>
          <a:endParaRPr lang="de-DE"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4E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4E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a:extLst>
            <a:ext uri="{FF2B5EF4-FFF2-40B4-BE49-F238E27FC236}">
              <a16:creationId xmlns:a16="http://schemas.microsoft.com/office/drawing/2014/main" id="{00000000-0008-0000-4E00-000004000000}"/>
            </a:ext>
          </a:extLst>
        </xdr:cNvPr>
        <xdr:cNvSpPr/>
      </xdr:nvSpPr>
      <xdr:spPr bwMode="auto">
        <a:xfrm>
          <a:off x="7314301" y="0"/>
          <a:ext cx="686723"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CC5B516-9161-4BAC-8192-7E8D8B05583C}" type="TxLink">
            <a:rPr lang="de-DE" sz="1100"/>
            <a:pPr algn="l"/>
            <a:t>#NV</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a:extLst>
            <a:ext uri="{FF2B5EF4-FFF2-40B4-BE49-F238E27FC236}">
              <a16:creationId xmlns:a16="http://schemas.microsoft.com/office/drawing/2014/main" id="{00000000-0008-0000-4E00-000005000000}"/>
            </a:ext>
          </a:extLst>
        </xdr:cNvPr>
        <xdr:cNvSpPr/>
      </xdr:nvSpPr>
      <xdr:spPr bwMode="auto">
        <a:xfrm>
          <a:off x="9667875" y="9525"/>
          <a:ext cx="430837" cy="16001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681CC32-00D6-4088-B1AD-3F13E4E17351}" type="TxLink">
            <a:rPr lang="de-DE" sz="1100"/>
            <a:pPr algn="l"/>
            <a:t>#NV</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a:extLst>
            <a:ext uri="{FF2B5EF4-FFF2-40B4-BE49-F238E27FC236}">
              <a16:creationId xmlns:a16="http://schemas.microsoft.com/office/drawing/2014/main" id="{00000000-0008-0000-4E00-000006000000}"/>
            </a:ext>
          </a:extLst>
        </xdr:cNvPr>
        <xdr:cNvSpPr/>
      </xdr:nvSpPr>
      <xdr:spPr bwMode="auto">
        <a:xfrm>
          <a:off x="12092940" y="0"/>
          <a:ext cx="441195"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31A9700-F9E2-4794-BB5C-E93CA6762A02}" type="TxLink">
            <a:rPr lang="de-DE" sz="1100"/>
            <a:pPr algn="l"/>
            <a:t>#NV</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10</xdr:col>
          <xdr:colOff>175260</xdr:colOff>
          <xdr:row>13</xdr:row>
          <xdr:rowOff>60960</xdr:rowOff>
        </xdr:from>
        <xdr:to>
          <xdr:col>10</xdr:col>
          <xdr:colOff>388620</xdr:colOff>
          <xdr:row>14</xdr:row>
          <xdr:rowOff>45720</xdr:rowOff>
        </xdr:to>
        <xdr:sp macro="" textlink="">
          <xdr:nvSpPr>
            <xdr:cNvPr id="103440" name="Check Box 16" hidden="1">
              <a:extLst>
                <a:ext uri="{63B3BB69-23CF-44E3-9099-C40C66FF867C}">
                  <a14:compatExt spid="_x0000_s103440"/>
                </a:ext>
                <a:ext uri="{FF2B5EF4-FFF2-40B4-BE49-F238E27FC236}">
                  <a16:creationId xmlns:a16="http://schemas.microsoft.com/office/drawing/2014/main" id="{00000000-0008-0000-5100-000010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38100</xdr:rowOff>
        </xdr:from>
        <xdr:to>
          <xdr:col>10</xdr:col>
          <xdr:colOff>388620</xdr:colOff>
          <xdr:row>14</xdr:row>
          <xdr:rowOff>182880</xdr:rowOff>
        </xdr:to>
        <xdr:sp macro="" textlink="">
          <xdr:nvSpPr>
            <xdr:cNvPr id="103441" name="Check Box 17" hidden="1">
              <a:extLst>
                <a:ext uri="{63B3BB69-23CF-44E3-9099-C40C66FF867C}">
                  <a14:compatExt spid="_x0000_s103441"/>
                </a:ext>
                <a:ext uri="{FF2B5EF4-FFF2-40B4-BE49-F238E27FC236}">
                  <a16:creationId xmlns:a16="http://schemas.microsoft.com/office/drawing/2014/main" id="{00000000-0008-0000-5100-000011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175260</xdr:rowOff>
        </xdr:from>
        <xdr:to>
          <xdr:col>10</xdr:col>
          <xdr:colOff>388620</xdr:colOff>
          <xdr:row>15</xdr:row>
          <xdr:rowOff>121920</xdr:rowOff>
        </xdr:to>
        <xdr:sp macro="" textlink="">
          <xdr:nvSpPr>
            <xdr:cNvPr id="103442" name="Check Box 18" hidden="1">
              <a:extLst>
                <a:ext uri="{63B3BB69-23CF-44E3-9099-C40C66FF867C}">
                  <a14:compatExt spid="_x0000_s103442"/>
                </a:ext>
                <a:ext uri="{FF2B5EF4-FFF2-40B4-BE49-F238E27FC236}">
                  <a16:creationId xmlns:a16="http://schemas.microsoft.com/office/drawing/2014/main" id="{00000000-0008-0000-5100-000012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xdr:row>
          <xdr:rowOff>38100</xdr:rowOff>
        </xdr:from>
        <xdr:to>
          <xdr:col>7</xdr:col>
          <xdr:colOff>365760</xdr:colOff>
          <xdr:row>14</xdr:row>
          <xdr:rowOff>22860</xdr:rowOff>
        </xdr:to>
        <xdr:sp macro="" textlink="">
          <xdr:nvSpPr>
            <xdr:cNvPr id="103443" name="Check Box 19" hidden="1">
              <a:extLst>
                <a:ext uri="{63B3BB69-23CF-44E3-9099-C40C66FF867C}">
                  <a14:compatExt spid="_x0000_s103443"/>
                </a:ext>
                <a:ext uri="{FF2B5EF4-FFF2-40B4-BE49-F238E27FC236}">
                  <a16:creationId xmlns:a16="http://schemas.microsoft.com/office/drawing/2014/main" id="{00000000-0008-0000-5100-000013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14</xdr:row>
          <xdr:rowOff>45720</xdr:rowOff>
        </xdr:from>
        <xdr:to>
          <xdr:col>7</xdr:col>
          <xdr:colOff>350520</xdr:colOff>
          <xdr:row>15</xdr:row>
          <xdr:rowOff>0</xdr:rowOff>
        </xdr:to>
        <xdr:sp macro="" textlink="">
          <xdr:nvSpPr>
            <xdr:cNvPr id="103444" name="Check Box 20" hidden="1">
              <a:extLst>
                <a:ext uri="{63B3BB69-23CF-44E3-9099-C40C66FF867C}">
                  <a14:compatExt spid="_x0000_s103444"/>
                </a:ext>
                <a:ext uri="{FF2B5EF4-FFF2-40B4-BE49-F238E27FC236}">
                  <a16:creationId xmlns:a16="http://schemas.microsoft.com/office/drawing/2014/main" id="{00000000-0008-0000-5100-000014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15</xdr:row>
          <xdr:rowOff>38100</xdr:rowOff>
        </xdr:from>
        <xdr:to>
          <xdr:col>7</xdr:col>
          <xdr:colOff>365760</xdr:colOff>
          <xdr:row>15</xdr:row>
          <xdr:rowOff>182880</xdr:rowOff>
        </xdr:to>
        <xdr:sp macro="" textlink="">
          <xdr:nvSpPr>
            <xdr:cNvPr id="103445" name="Check Box 21" hidden="1">
              <a:extLst>
                <a:ext uri="{63B3BB69-23CF-44E3-9099-C40C66FF867C}">
                  <a14:compatExt spid="_x0000_s103445"/>
                </a:ext>
                <a:ext uri="{FF2B5EF4-FFF2-40B4-BE49-F238E27FC236}">
                  <a16:creationId xmlns:a16="http://schemas.microsoft.com/office/drawing/2014/main" id="{00000000-0008-0000-5100-000015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13</xdr:row>
          <xdr:rowOff>60960</xdr:rowOff>
        </xdr:from>
        <xdr:to>
          <xdr:col>13</xdr:col>
          <xdr:colOff>403860</xdr:colOff>
          <xdr:row>14</xdr:row>
          <xdr:rowOff>45720</xdr:rowOff>
        </xdr:to>
        <xdr:sp macro="" textlink="">
          <xdr:nvSpPr>
            <xdr:cNvPr id="103446" name="Check Box 22" hidden="1">
              <a:extLst>
                <a:ext uri="{63B3BB69-23CF-44E3-9099-C40C66FF867C}">
                  <a14:compatExt spid="_x0000_s103446"/>
                </a:ext>
                <a:ext uri="{FF2B5EF4-FFF2-40B4-BE49-F238E27FC236}">
                  <a16:creationId xmlns:a16="http://schemas.microsoft.com/office/drawing/2014/main" id="{00000000-0008-0000-5100-000016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14</xdr:row>
          <xdr:rowOff>38100</xdr:rowOff>
        </xdr:from>
        <xdr:to>
          <xdr:col>13</xdr:col>
          <xdr:colOff>403860</xdr:colOff>
          <xdr:row>14</xdr:row>
          <xdr:rowOff>182880</xdr:rowOff>
        </xdr:to>
        <xdr:sp macro="" textlink="">
          <xdr:nvSpPr>
            <xdr:cNvPr id="103447" name="Check Box 23" hidden="1">
              <a:extLst>
                <a:ext uri="{63B3BB69-23CF-44E3-9099-C40C66FF867C}">
                  <a14:compatExt spid="_x0000_s103447"/>
                </a:ext>
                <a:ext uri="{FF2B5EF4-FFF2-40B4-BE49-F238E27FC236}">
                  <a16:creationId xmlns:a16="http://schemas.microsoft.com/office/drawing/2014/main" id="{00000000-0008-0000-5100-000017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15</xdr:row>
          <xdr:rowOff>22860</xdr:rowOff>
        </xdr:from>
        <xdr:to>
          <xdr:col>13</xdr:col>
          <xdr:colOff>403860</xdr:colOff>
          <xdr:row>15</xdr:row>
          <xdr:rowOff>175260</xdr:rowOff>
        </xdr:to>
        <xdr:sp macro="" textlink="">
          <xdr:nvSpPr>
            <xdr:cNvPr id="103448" name="Check Box 24" hidden="1">
              <a:extLst>
                <a:ext uri="{63B3BB69-23CF-44E3-9099-C40C66FF867C}">
                  <a14:compatExt spid="_x0000_s103448"/>
                </a:ext>
                <a:ext uri="{FF2B5EF4-FFF2-40B4-BE49-F238E27FC236}">
                  <a16:creationId xmlns:a16="http://schemas.microsoft.com/office/drawing/2014/main" id="{00000000-0008-0000-5100-000018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13</xdr:row>
          <xdr:rowOff>60960</xdr:rowOff>
        </xdr:from>
        <xdr:to>
          <xdr:col>10</xdr:col>
          <xdr:colOff>388620</xdr:colOff>
          <xdr:row>14</xdr:row>
          <xdr:rowOff>45720</xdr:rowOff>
        </xdr:to>
        <xdr:sp macro="" textlink="">
          <xdr:nvSpPr>
            <xdr:cNvPr id="103449" name="Check Box 25" hidden="1">
              <a:extLst>
                <a:ext uri="{63B3BB69-23CF-44E3-9099-C40C66FF867C}">
                  <a14:compatExt spid="_x0000_s103449"/>
                </a:ext>
                <a:ext uri="{FF2B5EF4-FFF2-40B4-BE49-F238E27FC236}">
                  <a16:creationId xmlns:a16="http://schemas.microsoft.com/office/drawing/2014/main" id="{00000000-0008-0000-5100-000019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38100</xdr:rowOff>
        </xdr:from>
        <xdr:to>
          <xdr:col>10</xdr:col>
          <xdr:colOff>388620</xdr:colOff>
          <xdr:row>14</xdr:row>
          <xdr:rowOff>182880</xdr:rowOff>
        </xdr:to>
        <xdr:sp macro="" textlink="">
          <xdr:nvSpPr>
            <xdr:cNvPr id="103450" name="Check Box 26" hidden="1">
              <a:extLst>
                <a:ext uri="{63B3BB69-23CF-44E3-9099-C40C66FF867C}">
                  <a14:compatExt spid="_x0000_s103450"/>
                </a:ext>
                <a:ext uri="{FF2B5EF4-FFF2-40B4-BE49-F238E27FC236}">
                  <a16:creationId xmlns:a16="http://schemas.microsoft.com/office/drawing/2014/main" id="{00000000-0008-0000-5100-00001A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175260</xdr:rowOff>
        </xdr:from>
        <xdr:to>
          <xdr:col>10</xdr:col>
          <xdr:colOff>388620</xdr:colOff>
          <xdr:row>15</xdr:row>
          <xdr:rowOff>121920</xdr:rowOff>
        </xdr:to>
        <xdr:sp macro="" textlink="">
          <xdr:nvSpPr>
            <xdr:cNvPr id="103451" name="Check Box 27" hidden="1">
              <a:extLst>
                <a:ext uri="{63B3BB69-23CF-44E3-9099-C40C66FF867C}">
                  <a14:compatExt spid="_x0000_s103451"/>
                </a:ext>
                <a:ext uri="{FF2B5EF4-FFF2-40B4-BE49-F238E27FC236}">
                  <a16:creationId xmlns:a16="http://schemas.microsoft.com/office/drawing/2014/main" id="{00000000-0008-0000-5100-00001B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xdr:row>
          <xdr:rowOff>38100</xdr:rowOff>
        </xdr:from>
        <xdr:to>
          <xdr:col>7</xdr:col>
          <xdr:colOff>365760</xdr:colOff>
          <xdr:row>14</xdr:row>
          <xdr:rowOff>22860</xdr:rowOff>
        </xdr:to>
        <xdr:sp macro="" textlink="">
          <xdr:nvSpPr>
            <xdr:cNvPr id="103452" name="Check Box 28" hidden="1">
              <a:extLst>
                <a:ext uri="{63B3BB69-23CF-44E3-9099-C40C66FF867C}">
                  <a14:compatExt spid="_x0000_s103452"/>
                </a:ext>
                <a:ext uri="{FF2B5EF4-FFF2-40B4-BE49-F238E27FC236}">
                  <a16:creationId xmlns:a16="http://schemas.microsoft.com/office/drawing/2014/main" id="{00000000-0008-0000-5100-00001C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14</xdr:row>
          <xdr:rowOff>45720</xdr:rowOff>
        </xdr:from>
        <xdr:to>
          <xdr:col>7</xdr:col>
          <xdr:colOff>350520</xdr:colOff>
          <xdr:row>15</xdr:row>
          <xdr:rowOff>0</xdr:rowOff>
        </xdr:to>
        <xdr:sp macro="" textlink="">
          <xdr:nvSpPr>
            <xdr:cNvPr id="103453" name="Check Box 29" hidden="1">
              <a:extLst>
                <a:ext uri="{63B3BB69-23CF-44E3-9099-C40C66FF867C}">
                  <a14:compatExt spid="_x0000_s103453"/>
                </a:ext>
                <a:ext uri="{FF2B5EF4-FFF2-40B4-BE49-F238E27FC236}">
                  <a16:creationId xmlns:a16="http://schemas.microsoft.com/office/drawing/2014/main" id="{00000000-0008-0000-5100-00001D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15</xdr:row>
          <xdr:rowOff>38100</xdr:rowOff>
        </xdr:from>
        <xdr:to>
          <xdr:col>7</xdr:col>
          <xdr:colOff>365760</xdr:colOff>
          <xdr:row>15</xdr:row>
          <xdr:rowOff>182880</xdr:rowOff>
        </xdr:to>
        <xdr:sp macro="" textlink="">
          <xdr:nvSpPr>
            <xdr:cNvPr id="103454" name="Check Box 30" hidden="1">
              <a:extLst>
                <a:ext uri="{63B3BB69-23CF-44E3-9099-C40C66FF867C}">
                  <a14:compatExt spid="_x0000_s103454"/>
                </a:ext>
                <a:ext uri="{FF2B5EF4-FFF2-40B4-BE49-F238E27FC236}">
                  <a16:creationId xmlns:a16="http://schemas.microsoft.com/office/drawing/2014/main" id="{00000000-0008-0000-5100-00001E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13</xdr:row>
          <xdr:rowOff>60960</xdr:rowOff>
        </xdr:from>
        <xdr:to>
          <xdr:col>13</xdr:col>
          <xdr:colOff>403860</xdr:colOff>
          <xdr:row>14</xdr:row>
          <xdr:rowOff>45720</xdr:rowOff>
        </xdr:to>
        <xdr:sp macro="" textlink="">
          <xdr:nvSpPr>
            <xdr:cNvPr id="103455" name="Check Box 31" hidden="1">
              <a:extLst>
                <a:ext uri="{63B3BB69-23CF-44E3-9099-C40C66FF867C}">
                  <a14:compatExt spid="_x0000_s103455"/>
                </a:ext>
                <a:ext uri="{FF2B5EF4-FFF2-40B4-BE49-F238E27FC236}">
                  <a16:creationId xmlns:a16="http://schemas.microsoft.com/office/drawing/2014/main" id="{00000000-0008-0000-5100-00001F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14</xdr:row>
          <xdr:rowOff>38100</xdr:rowOff>
        </xdr:from>
        <xdr:to>
          <xdr:col>13</xdr:col>
          <xdr:colOff>403860</xdr:colOff>
          <xdr:row>14</xdr:row>
          <xdr:rowOff>182880</xdr:rowOff>
        </xdr:to>
        <xdr:sp macro="" textlink="">
          <xdr:nvSpPr>
            <xdr:cNvPr id="103456" name="Check Box 32" hidden="1">
              <a:extLst>
                <a:ext uri="{63B3BB69-23CF-44E3-9099-C40C66FF867C}">
                  <a14:compatExt spid="_x0000_s103456"/>
                </a:ext>
                <a:ext uri="{FF2B5EF4-FFF2-40B4-BE49-F238E27FC236}">
                  <a16:creationId xmlns:a16="http://schemas.microsoft.com/office/drawing/2014/main" id="{00000000-0008-0000-5100-000020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15</xdr:row>
          <xdr:rowOff>22860</xdr:rowOff>
        </xdr:from>
        <xdr:to>
          <xdr:col>13</xdr:col>
          <xdr:colOff>403860</xdr:colOff>
          <xdr:row>15</xdr:row>
          <xdr:rowOff>175260</xdr:rowOff>
        </xdr:to>
        <xdr:sp macro="" textlink="">
          <xdr:nvSpPr>
            <xdr:cNvPr id="103457" name="Check Box 33" hidden="1">
              <a:extLst>
                <a:ext uri="{63B3BB69-23CF-44E3-9099-C40C66FF867C}">
                  <a14:compatExt spid="_x0000_s103457"/>
                </a:ext>
                <a:ext uri="{FF2B5EF4-FFF2-40B4-BE49-F238E27FC236}">
                  <a16:creationId xmlns:a16="http://schemas.microsoft.com/office/drawing/2014/main" id="{00000000-0008-0000-5100-000021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16</xdr:col>
      <xdr:colOff>66675</xdr:colOff>
      <xdr:row>69</xdr:row>
      <xdr:rowOff>163830</xdr:rowOff>
    </xdr:from>
    <xdr:to>
      <xdr:col>16</xdr:col>
      <xdr:colOff>1679804</xdr:colOff>
      <xdr:row>72</xdr:row>
      <xdr:rowOff>114348</xdr:rowOff>
    </xdr:to>
    <xdr:sp macro="" textlink="">
      <xdr:nvSpPr>
        <xdr:cNvPr id="25" name="Textfeld 24">
          <a:extLst>
            <a:ext uri="{FF2B5EF4-FFF2-40B4-BE49-F238E27FC236}">
              <a16:creationId xmlns:a16="http://schemas.microsoft.com/office/drawing/2014/main" id="{00000000-0008-0000-4E00-000019000000}"/>
            </a:ext>
          </a:extLst>
        </xdr:cNvPr>
        <xdr:cNvSpPr txBox="1"/>
      </xdr:nvSpPr>
      <xdr:spPr>
        <a:xfrm>
          <a:off x="12868275" y="11730990"/>
          <a:ext cx="736829" cy="453438"/>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1761003</xdr:colOff>
      <xdr:row>52</xdr:row>
      <xdr:rowOff>114300</xdr:rowOff>
    </xdr:to>
    <xdr:sp macro="" textlink="">
      <xdr:nvSpPr>
        <xdr:cNvPr id="26" name="Textfeld 25">
          <a:extLst>
            <a:ext uri="{FF2B5EF4-FFF2-40B4-BE49-F238E27FC236}">
              <a16:creationId xmlns:a16="http://schemas.microsoft.com/office/drawing/2014/main" id="{00000000-0008-0000-4E00-00001A000000}"/>
            </a:ext>
          </a:extLst>
        </xdr:cNvPr>
        <xdr:cNvSpPr txBox="1"/>
      </xdr:nvSpPr>
      <xdr:spPr>
        <a:xfrm>
          <a:off x="12930241" y="7376160"/>
          <a:ext cx="672242"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73504</xdr:colOff>
      <xdr:row>55</xdr:row>
      <xdr:rowOff>181156</xdr:rowOff>
    </xdr:from>
    <xdr:to>
      <xdr:col>17</xdr:col>
      <xdr:colOff>24357</xdr:colOff>
      <xdr:row>62</xdr:row>
      <xdr:rowOff>159487</xdr:rowOff>
    </xdr:to>
    <xdr:sp macro="" textlink="">
      <xdr:nvSpPr>
        <xdr:cNvPr id="27" name="Textfeld 26">
          <a:extLst>
            <a:ext uri="{FF2B5EF4-FFF2-40B4-BE49-F238E27FC236}">
              <a16:creationId xmlns:a16="http://schemas.microsoft.com/office/drawing/2014/main" id="{00000000-0008-0000-4E00-00001B000000}"/>
            </a:ext>
          </a:extLst>
        </xdr:cNvPr>
        <xdr:cNvSpPr txBox="1"/>
      </xdr:nvSpPr>
      <xdr:spPr>
        <a:xfrm>
          <a:off x="12875104" y="9386116"/>
          <a:ext cx="750953" cy="1167051"/>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3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175260</xdr:colOff>
          <xdr:row>13</xdr:row>
          <xdr:rowOff>60960</xdr:rowOff>
        </xdr:from>
        <xdr:to>
          <xdr:col>10</xdr:col>
          <xdr:colOff>388620</xdr:colOff>
          <xdr:row>14</xdr:row>
          <xdr:rowOff>45720</xdr:rowOff>
        </xdr:to>
        <xdr:sp macro="" textlink="">
          <xdr:nvSpPr>
            <xdr:cNvPr id="103458" name="Check Box 34" hidden="1">
              <a:extLst>
                <a:ext uri="{63B3BB69-23CF-44E3-9099-C40C66FF867C}">
                  <a14:compatExt spid="_x0000_s103458"/>
                </a:ext>
                <a:ext uri="{FF2B5EF4-FFF2-40B4-BE49-F238E27FC236}">
                  <a16:creationId xmlns:a16="http://schemas.microsoft.com/office/drawing/2014/main" id="{00000000-0008-0000-5100-000022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38100</xdr:rowOff>
        </xdr:from>
        <xdr:to>
          <xdr:col>10</xdr:col>
          <xdr:colOff>388620</xdr:colOff>
          <xdr:row>14</xdr:row>
          <xdr:rowOff>182880</xdr:rowOff>
        </xdr:to>
        <xdr:sp macro="" textlink="">
          <xdr:nvSpPr>
            <xdr:cNvPr id="103459" name="Check Box 35" hidden="1">
              <a:extLst>
                <a:ext uri="{63B3BB69-23CF-44E3-9099-C40C66FF867C}">
                  <a14:compatExt spid="_x0000_s103459"/>
                </a:ext>
                <a:ext uri="{FF2B5EF4-FFF2-40B4-BE49-F238E27FC236}">
                  <a16:creationId xmlns:a16="http://schemas.microsoft.com/office/drawing/2014/main" id="{00000000-0008-0000-5100-000023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175260</xdr:rowOff>
        </xdr:from>
        <xdr:to>
          <xdr:col>10</xdr:col>
          <xdr:colOff>388620</xdr:colOff>
          <xdr:row>15</xdr:row>
          <xdr:rowOff>121920</xdr:rowOff>
        </xdr:to>
        <xdr:sp macro="" textlink="">
          <xdr:nvSpPr>
            <xdr:cNvPr id="103460" name="Check Box 36" hidden="1">
              <a:extLst>
                <a:ext uri="{63B3BB69-23CF-44E3-9099-C40C66FF867C}">
                  <a14:compatExt spid="_x0000_s103460"/>
                </a:ext>
                <a:ext uri="{FF2B5EF4-FFF2-40B4-BE49-F238E27FC236}">
                  <a16:creationId xmlns:a16="http://schemas.microsoft.com/office/drawing/2014/main" id="{00000000-0008-0000-5100-000024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xdr:row>
          <xdr:rowOff>38100</xdr:rowOff>
        </xdr:from>
        <xdr:to>
          <xdr:col>7</xdr:col>
          <xdr:colOff>365760</xdr:colOff>
          <xdr:row>14</xdr:row>
          <xdr:rowOff>22860</xdr:rowOff>
        </xdr:to>
        <xdr:sp macro="" textlink="">
          <xdr:nvSpPr>
            <xdr:cNvPr id="103461" name="Check Box 37" hidden="1">
              <a:extLst>
                <a:ext uri="{63B3BB69-23CF-44E3-9099-C40C66FF867C}">
                  <a14:compatExt spid="_x0000_s103461"/>
                </a:ext>
                <a:ext uri="{FF2B5EF4-FFF2-40B4-BE49-F238E27FC236}">
                  <a16:creationId xmlns:a16="http://schemas.microsoft.com/office/drawing/2014/main" id="{00000000-0008-0000-5100-000025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14</xdr:row>
          <xdr:rowOff>45720</xdr:rowOff>
        </xdr:from>
        <xdr:to>
          <xdr:col>7</xdr:col>
          <xdr:colOff>350520</xdr:colOff>
          <xdr:row>15</xdr:row>
          <xdr:rowOff>0</xdr:rowOff>
        </xdr:to>
        <xdr:sp macro="" textlink="">
          <xdr:nvSpPr>
            <xdr:cNvPr id="103462" name="Check Box 38" hidden="1">
              <a:extLst>
                <a:ext uri="{63B3BB69-23CF-44E3-9099-C40C66FF867C}">
                  <a14:compatExt spid="_x0000_s103462"/>
                </a:ext>
                <a:ext uri="{FF2B5EF4-FFF2-40B4-BE49-F238E27FC236}">
                  <a16:creationId xmlns:a16="http://schemas.microsoft.com/office/drawing/2014/main" id="{00000000-0008-0000-5100-000026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15</xdr:row>
          <xdr:rowOff>38100</xdr:rowOff>
        </xdr:from>
        <xdr:to>
          <xdr:col>7</xdr:col>
          <xdr:colOff>365760</xdr:colOff>
          <xdr:row>15</xdr:row>
          <xdr:rowOff>182880</xdr:rowOff>
        </xdr:to>
        <xdr:sp macro="" textlink="">
          <xdr:nvSpPr>
            <xdr:cNvPr id="103463" name="Check Box 39" hidden="1">
              <a:extLst>
                <a:ext uri="{63B3BB69-23CF-44E3-9099-C40C66FF867C}">
                  <a14:compatExt spid="_x0000_s103463"/>
                </a:ext>
                <a:ext uri="{FF2B5EF4-FFF2-40B4-BE49-F238E27FC236}">
                  <a16:creationId xmlns:a16="http://schemas.microsoft.com/office/drawing/2014/main" id="{00000000-0008-0000-5100-000027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13</xdr:row>
          <xdr:rowOff>60960</xdr:rowOff>
        </xdr:from>
        <xdr:to>
          <xdr:col>13</xdr:col>
          <xdr:colOff>403860</xdr:colOff>
          <xdr:row>14</xdr:row>
          <xdr:rowOff>45720</xdr:rowOff>
        </xdr:to>
        <xdr:sp macro="" textlink="">
          <xdr:nvSpPr>
            <xdr:cNvPr id="103464" name="Check Box 40" hidden="1">
              <a:extLst>
                <a:ext uri="{63B3BB69-23CF-44E3-9099-C40C66FF867C}">
                  <a14:compatExt spid="_x0000_s103464"/>
                </a:ext>
                <a:ext uri="{FF2B5EF4-FFF2-40B4-BE49-F238E27FC236}">
                  <a16:creationId xmlns:a16="http://schemas.microsoft.com/office/drawing/2014/main" id="{00000000-0008-0000-5100-000028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14</xdr:row>
          <xdr:rowOff>38100</xdr:rowOff>
        </xdr:from>
        <xdr:to>
          <xdr:col>13</xdr:col>
          <xdr:colOff>403860</xdr:colOff>
          <xdr:row>14</xdr:row>
          <xdr:rowOff>182880</xdr:rowOff>
        </xdr:to>
        <xdr:sp macro="" textlink="">
          <xdr:nvSpPr>
            <xdr:cNvPr id="103465" name="Check Box 41" hidden="1">
              <a:extLst>
                <a:ext uri="{63B3BB69-23CF-44E3-9099-C40C66FF867C}">
                  <a14:compatExt spid="_x0000_s103465"/>
                </a:ext>
                <a:ext uri="{FF2B5EF4-FFF2-40B4-BE49-F238E27FC236}">
                  <a16:creationId xmlns:a16="http://schemas.microsoft.com/office/drawing/2014/main" id="{00000000-0008-0000-5100-000029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15</xdr:row>
          <xdr:rowOff>22860</xdr:rowOff>
        </xdr:from>
        <xdr:to>
          <xdr:col>13</xdr:col>
          <xdr:colOff>403860</xdr:colOff>
          <xdr:row>15</xdr:row>
          <xdr:rowOff>175260</xdr:rowOff>
        </xdr:to>
        <xdr:sp macro="" textlink="">
          <xdr:nvSpPr>
            <xdr:cNvPr id="103466" name="Check Box 42" hidden="1">
              <a:extLst>
                <a:ext uri="{63B3BB69-23CF-44E3-9099-C40C66FF867C}">
                  <a14:compatExt spid="_x0000_s103466"/>
                </a:ext>
                <a:ext uri="{FF2B5EF4-FFF2-40B4-BE49-F238E27FC236}">
                  <a16:creationId xmlns:a16="http://schemas.microsoft.com/office/drawing/2014/main" id="{00000000-0008-0000-5100-00002A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16</xdr:col>
      <xdr:colOff>66675</xdr:colOff>
      <xdr:row>69</xdr:row>
      <xdr:rowOff>163830</xdr:rowOff>
    </xdr:from>
    <xdr:to>
      <xdr:col>16</xdr:col>
      <xdr:colOff>1679804</xdr:colOff>
      <xdr:row>72</xdr:row>
      <xdr:rowOff>114348</xdr:rowOff>
    </xdr:to>
    <xdr:sp macro="" textlink="">
      <xdr:nvSpPr>
        <xdr:cNvPr id="37" name="Textfeld 36">
          <a:extLst>
            <a:ext uri="{FF2B5EF4-FFF2-40B4-BE49-F238E27FC236}">
              <a16:creationId xmlns:a16="http://schemas.microsoft.com/office/drawing/2014/main" id="{00000000-0008-0000-4E00-000025000000}"/>
            </a:ext>
          </a:extLst>
        </xdr:cNvPr>
        <xdr:cNvSpPr txBox="1"/>
      </xdr:nvSpPr>
      <xdr:spPr>
        <a:xfrm>
          <a:off x="12868275" y="11730990"/>
          <a:ext cx="736829" cy="453438"/>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1761003</xdr:colOff>
      <xdr:row>52</xdr:row>
      <xdr:rowOff>114300</xdr:rowOff>
    </xdr:to>
    <xdr:sp macro="" textlink="">
      <xdr:nvSpPr>
        <xdr:cNvPr id="38" name="Textfeld 37">
          <a:extLst>
            <a:ext uri="{FF2B5EF4-FFF2-40B4-BE49-F238E27FC236}">
              <a16:creationId xmlns:a16="http://schemas.microsoft.com/office/drawing/2014/main" id="{00000000-0008-0000-4E00-000026000000}"/>
            </a:ext>
          </a:extLst>
        </xdr:cNvPr>
        <xdr:cNvSpPr txBox="1"/>
      </xdr:nvSpPr>
      <xdr:spPr>
        <a:xfrm>
          <a:off x="12930241" y="7376160"/>
          <a:ext cx="672242"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69012</xdr:colOff>
      <xdr:row>64</xdr:row>
      <xdr:rowOff>164909</xdr:rowOff>
    </xdr:from>
    <xdr:to>
      <xdr:col>17</xdr:col>
      <xdr:colOff>10306</xdr:colOff>
      <xdr:row>68</xdr:row>
      <xdr:rowOff>77681</xdr:rowOff>
    </xdr:to>
    <xdr:sp macro="" textlink="">
      <xdr:nvSpPr>
        <xdr:cNvPr id="39" name="Textfeld 38">
          <a:extLst>
            <a:ext uri="{FF2B5EF4-FFF2-40B4-BE49-F238E27FC236}">
              <a16:creationId xmlns:a16="http://schemas.microsoft.com/office/drawing/2014/main" id="{00000000-0008-0000-4E00-000027000000}"/>
            </a:ext>
          </a:extLst>
        </xdr:cNvPr>
        <xdr:cNvSpPr txBox="1"/>
      </xdr:nvSpPr>
      <xdr:spPr>
        <a:xfrm>
          <a:off x="12870612" y="10893869"/>
          <a:ext cx="741394" cy="58333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Bei Linsentrocknung bitte nur WG (%) mit geraden Dezimalzahlen eingeben.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174914</xdr:colOff>
      <xdr:row>24</xdr:row>
      <xdr:rowOff>95251</xdr:rowOff>
    </xdr:from>
    <xdr:to>
      <xdr:col>19</xdr:col>
      <xdr:colOff>320040</xdr:colOff>
      <xdr:row>38</xdr:row>
      <xdr:rowOff>335280</xdr:rowOff>
    </xdr:to>
    <xdr:graphicFrame macro="">
      <xdr:nvGraphicFramePr>
        <xdr:cNvPr id="4" name="Diagramm 1">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2819</xdr:colOff>
      <xdr:row>2</xdr:row>
      <xdr:rowOff>76200</xdr:rowOff>
    </xdr:from>
    <xdr:to>
      <xdr:col>11</xdr:col>
      <xdr:colOff>295275</xdr:colOff>
      <xdr:row>3</xdr:row>
      <xdr:rowOff>84546</xdr:rowOff>
    </xdr:to>
    <xdr:sp macro="" textlink="">
      <xdr:nvSpPr>
        <xdr:cNvPr id="5" name="Rectangle 40">
          <a:hlinkClick xmlns:r="http://schemas.openxmlformats.org/officeDocument/2006/relationships" r:id="rId2"/>
          <a:extLst>
            <a:ext uri="{FF2B5EF4-FFF2-40B4-BE49-F238E27FC236}">
              <a16:creationId xmlns:a16="http://schemas.microsoft.com/office/drawing/2014/main" id="{00000000-0008-0000-0500-000005000000}"/>
            </a:ext>
          </a:extLst>
        </xdr:cNvPr>
        <xdr:cNvSpPr>
          <a:spLocks noChangeArrowheads="1"/>
        </xdr:cNvSpPr>
      </xdr:nvSpPr>
      <xdr:spPr bwMode="auto">
        <a:xfrm>
          <a:off x="7346594" y="76200"/>
          <a:ext cx="1740256" cy="275046"/>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3</xdr:col>
      <xdr:colOff>256540</xdr:colOff>
      <xdr:row>4</xdr:row>
      <xdr:rowOff>106680</xdr:rowOff>
    </xdr:from>
    <xdr:to>
      <xdr:col>7</xdr:col>
      <xdr:colOff>599440</xdr:colOff>
      <xdr:row>4</xdr:row>
      <xdr:rowOff>556260</xdr:rowOff>
    </xdr:to>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2415540" y="595630"/>
          <a:ext cx="3752850" cy="449580"/>
        </a:xfrm>
        <a:prstGeom prst="rect">
          <a:avLst/>
        </a:prstGeom>
        <a:solidFill>
          <a:schemeClr val="bg1"/>
        </a:solidFill>
        <a:ln>
          <a:solidFill>
            <a:srgbClr val="FF0000"/>
          </a:solidFill>
          <a:prstDash val="sysDot"/>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t"/>
        <a:lstStyle/>
        <a:p>
          <a:r>
            <a:rPr lang="de-DE" sz="1100" b="1">
              <a:solidFill>
                <a:srgbClr val="FF0000"/>
              </a:solidFill>
              <a:latin typeface="Arial" panose="020B0604020202020204" pitchFamily="34" charset="0"/>
              <a:cs typeface="Arial" panose="020B0604020202020204" pitchFamily="34" charset="0"/>
            </a:rPr>
            <a:t>Gelbe Felder anklicken und Kultur bzw. Bewirtschaftungsintensität über Schaltfläche wählen!</a:t>
          </a:r>
        </a:p>
        <a:p>
          <a:endParaRPr lang="de-DE" sz="1100" baseline="0">
            <a:solidFill>
              <a:srgbClr val="FF0000"/>
            </a:solidFill>
            <a:latin typeface="Arial" panose="020B0604020202020204" pitchFamily="34" charset="0"/>
            <a:cs typeface="Arial" panose="020B0604020202020204" pitchFamily="34" charset="0"/>
          </a:endParaRPr>
        </a:p>
        <a:p>
          <a:endParaRPr lang="de-DE" sz="1100">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a:extLst>
            <a:ext uri="{FF2B5EF4-FFF2-40B4-BE49-F238E27FC236}">
              <a16:creationId xmlns:a16="http://schemas.microsoft.com/office/drawing/2014/main" id="{00000000-0008-0000-4F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00000000-0008-0000-4F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0</xdr:colOff>
      <xdr:row>44</xdr:row>
      <xdr:rowOff>0</xdr:rowOff>
    </xdr:from>
    <xdr:to>
      <xdr:col>16</xdr:col>
      <xdr:colOff>1604388</xdr:colOff>
      <xdr:row>52</xdr:row>
      <xdr:rowOff>114300</xdr:rowOff>
    </xdr:to>
    <xdr:sp macro="" textlink="">
      <xdr:nvSpPr>
        <xdr:cNvPr id="7" name="Textfeld 6">
          <a:extLst>
            <a:ext uri="{FF2B5EF4-FFF2-40B4-BE49-F238E27FC236}">
              <a16:creationId xmlns:a16="http://schemas.microsoft.com/office/drawing/2014/main" id="{00000000-0008-0000-4F00-000007000000}"/>
            </a:ext>
          </a:extLst>
        </xdr:cNvPr>
        <xdr:cNvSpPr txBox="1"/>
      </xdr:nvSpPr>
      <xdr:spPr>
        <a:xfrm>
          <a:off x="12801600" y="7376160"/>
          <a:ext cx="7966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1604388</xdr:colOff>
      <xdr:row>68</xdr:row>
      <xdr:rowOff>1905</xdr:rowOff>
    </xdr:to>
    <xdr:sp macro="" textlink="">
      <xdr:nvSpPr>
        <xdr:cNvPr id="8" name="Textfeld 7">
          <a:extLst>
            <a:ext uri="{FF2B5EF4-FFF2-40B4-BE49-F238E27FC236}">
              <a16:creationId xmlns:a16="http://schemas.microsoft.com/office/drawing/2014/main" id="{00000000-0008-0000-4F00-000008000000}"/>
            </a:ext>
          </a:extLst>
        </xdr:cNvPr>
        <xdr:cNvSpPr txBox="1"/>
      </xdr:nvSpPr>
      <xdr:spPr>
        <a:xfrm>
          <a:off x="12801600" y="10058400"/>
          <a:ext cx="79666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3">
          <a:hlinkClick xmlns:r="http://schemas.openxmlformats.org/officeDocument/2006/relationships" r:id="rId1"/>
          <a:extLst>
            <a:ext uri="{FF2B5EF4-FFF2-40B4-BE49-F238E27FC236}">
              <a16:creationId xmlns:a16="http://schemas.microsoft.com/office/drawing/2014/main" id="{00000000-0008-0000-53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4">
          <a:hlinkClick xmlns:r="http://schemas.openxmlformats.org/officeDocument/2006/relationships" r:id="rId2"/>
          <a:extLst>
            <a:ext uri="{FF2B5EF4-FFF2-40B4-BE49-F238E27FC236}">
              <a16:creationId xmlns:a16="http://schemas.microsoft.com/office/drawing/2014/main" id="{00000000-0008-0000-53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21</xdr:colOff>
      <xdr:row>0</xdr:row>
      <xdr:rowOff>190499</xdr:rowOff>
    </xdr:to>
    <xdr:sp macro="" textlink="$J$1">
      <xdr:nvSpPr>
        <xdr:cNvPr id="4" name="Rechteck 3">
          <a:extLst>
            <a:ext uri="{FF2B5EF4-FFF2-40B4-BE49-F238E27FC236}">
              <a16:creationId xmlns:a16="http://schemas.microsoft.com/office/drawing/2014/main" id="{00000000-0008-0000-5300-000004000000}"/>
            </a:ext>
          </a:extLst>
        </xdr:cNvPr>
        <xdr:cNvSpPr/>
      </xdr:nvSpPr>
      <xdr:spPr bwMode="auto">
        <a:xfrm>
          <a:off x="7314301" y="0"/>
          <a:ext cx="686720"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A444D0D-9E55-429B-96E4-D335D0024BFB}"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a:extLst>
            <a:ext uri="{FF2B5EF4-FFF2-40B4-BE49-F238E27FC236}">
              <a16:creationId xmlns:a16="http://schemas.microsoft.com/office/drawing/2014/main" id="{00000000-0008-0000-5300-000005000000}"/>
            </a:ext>
          </a:extLst>
        </xdr:cNvPr>
        <xdr:cNvSpPr/>
      </xdr:nvSpPr>
      <xdr:spPr bwMode="auto">
        <a:xfrm>
          <a:off x="9667875" y="9525"/>
          <a:ext cx="430837" cy="16001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928AD20-82C3-48E3-AE42-51CCC8C86D0B}" type="TxLink">
            <a:rPr lang="de-DE" sz="1100"/>
            <a:pPr algn="l"/>
            <a:t>#BEZUG!</a:t>
          </a:fld>
          <a:endParaRPr lang="de-DE" sz="1100"/>
        </a:p>
      </xdr:txBody>
    </xdr:sp>
    <xdr:clientData/>
  </xdr:twoCellAnchor>
  <xdr:twoCellAnchor>
    <xdr:from>
      <xdr:col>15</xdr:col>
      <xdr:colOff>91440</xdr:colOff>
      <xdr:row>0</xdr:row>
      <xdr:rowOff>0</xdr:rowOff>
    </xdr:from>
    <xdr:to>
      <xdr:col>15</xdr:col>
      <xdr:colOff>526637</xdr:colOff>
      <xdr:row>0</xdr:row>
      <xdr:rowOff>190499</xdr:rowOff>
    </xdr:to>
    <xdr:sp macro="" textlink="$P$1">
      <xdr:nvSpPr>
        <xdr:cNvPr id="6" name="Rechteck 5">
          <a:extLst>
            <a:ext uri="{FF2B5EF4-FFF2-40B4-BE49-F238E27FC236}">
              <a16:creationId xmlns:a16="http://schemas.microsoft.com/office/drawing/2014/main" id="{00000000-0008-0000-5300-000006000000}"/>
            </a:ext>
          </a:extLst>
        </xdr:cNvPr>
        <xdr:cNvSpPr/>
      </xdr:nvSpPr>
      <xdr:spPr bwMode="auto">
        <a:xfrm>
          <a:off x="12092940" y="0"/>
          <a:ext cx="435197"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A098A6B-7A9C-4759-A95D-08CE54A77EE3}"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17</xdr:col>
          <xdr:colOff>754380</xdr:colOff>
          <xdr:row>1</xdr:row>
          <xdr:rowOff>251460</xdr:rowOff>
        </xdr:from>
        <xdr:to>
          <xdr:col>30</xdr:col>
          <xdr:colOff>259080</xdr:colOff>
          <xdr:row>2</xdr:row>
          <xdr:rowOff>175260</xdr:rowOff>
        </xdr:to>
        <xdr:sp macro="" textlink="">
          <xdr:nvSpPr>
            <xdr:cNvPr id="104464" name="Check Box 16" hidden="1">
              <a:extLst>
                <a:ext uri="{63B3BB69-23CF-44E3-9099-C40C66FF867C}">
                  <a14:compatExt spid="_x0000_s104464"/>
                </a:ext>
                <a:ext uri="{FF2B5EF4-FFF2-40B4-BE49-F238E27FC236}">
                  <a16:creationId xmlns:a16="http://schemas.microsoft.com/office/drawing/2014/main" id="{00000000-0008-0000-5300-000010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754380</xdr:colOff>
          <xdr:row>1</xdr:row>
          <xdr:rowOff>60960</xdr:rowOff>
        </xdr:from>
        <xdr:to>
          <xdr:col>30</xdr:col>
          <xdr:colOff>259080</xdr:colOff>
          <xdr:row>1</xdr:row>
          <xdr:rowOff>289560</xdr:rowOff>
        </xdr:to>
        <xdr:sp macro="" textlink="">
          <xdr:nvSpPr>
            <xdr:cNvPr id="104465" name="Check Box 17" hidden="1">
              <a:extLst>
                <a:ext uri="{63B3BB69-23CF-44E3-9099-C40C66FF867C}">
                  <a14:compatExt spid="_x0000_s104465"/>
                </a:ext>
                <a:ext uri="{FF2B5EF4-FFF2-40B4-BE49-F238E27FC236}">
                  <a16:creationId xmlns:a16="http://schemas.microsoft.com/office/drawing/2014/main" id="{00000000-0008-0000-5300-000011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a:extLst>
            <a:ext uri="{FF2B5EF4-FFF2-40B4-BE49-F238E27FC236}">
              <a16:creationId xmlns:a16="http://schemas.microsoft.com/office/drawing/2014/main" id="{00000000-0008-0000-5300-000009000000}"/>
            </a:ext>
          </a:extLst>
        </xdr:cNvPr>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175260</xdr:colOff>
          <xdr:row>13</xdr:row>
          <xdr:rowOff>60960</xdr:rowOff>
        </xdr:from>
        <xdr:to>
          <xdr:col>10</xdr:col>
          <xdr:colOff>388620</xdr:colOff>
          <xdr:row>14</xdr:row>
          <xdr:rowOff>45720</xdr:rowOff>
        </xdr:to>
        <xdr:sp macro="" textlink="">
          <xdr:nvSpPr>
            <xdr:cNvPr id="104466" name="Check Box 18" hidden="1">
              <a:extLst>
                <a:ext uri="{63B3BB69-23CF-44E3-9099-C40C66FF867C}">
                  <a14:compatExt spid="_x0000_s104466"/>
                </a:ext>
                <a:ext uri="{FF2B5EF4-FFF2-40B4-BE49-F238E27FC236}">
                  <a16:creationId xmlns:a16="http://schemas.microsoft.com/office/drawing/2014/main" id="{00000000-0008-0000-5300-000012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38100</xdr:rowOff>
        </xdr:from>
        <xdr:to>
          <xdr:col>10</xdr:col>
          <xdr:colOff>388620</xdr:colOff>
          <xdr:row>14</xdr:row>
          <xdr:rowOff>182880</xdr:rowOff>
        </xdr:to>
        <xdr:sp macro="" textlink="">
          <xdr:nvSpPr>
            <xdr:cNvPr id="104467" name="Check Box 19" hidden="1">
              <a:extLst>
                <a:ext uri="{63B3BB69-23CF-44E3-9099-C40C66FF867C}">
                  <a14:compatExt spid="_x0000_s104467"/>
                </a:ext>
                <a:ext uri="{FF2B5EF4-FFF2-40B4-BE49-F238E27FC236}">
                  <a16:creationId xmlns:a16="http://schemas.microsoft.com/office/drawing/2014/main" id="{00000000-0008-0000-5300-000013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175260</xdr:rowOff>
        </xdr:from>
        <xdr:to>
          <xdr:col>10</xdr:col>
          <xdr:colOff>388620</xdr:colOff>
          <xdr:row>15</xdr:row>
          <xdr:rowOff>121920</xdr:rowOff>
        </xdr:to>
        <xdr:sp macro="" textlink="">
          <xdr:nvSpPr>
            <xdr:cNvPr id="104468" name="Check Box 20" hidden="1">
              <a:extLst>
                <a:ext uri="{63B3BB69-23CF-44E3-9099-C40C66FF867C}">
                  <a14:compatExt spid="_x0000_s104468"/>
                </a:ext>
                <a:ext uri="{FF2B5EF4-FFF2-40B4-BE49-F238E27FC236}">
                  <a16:creationId xmlns:a16="http://schemas.microsoft.com/office/drawing/2014/main" id="{00000000-0008-0000-5300-000014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15</xdr:row>
          <xdr:rowOff>152400</xdr:rowOff>
        </xdr:from>
        <xdr:to>
          <xdr:col>10</xdr:col>
          <xdr:colOff>381000</xdr:colOff>
          <xdr:row>16</xdr:row>
          <xdr:rowOff>114300</xdr:rowOff>
        </xdr:to>
        <xdr:sp macro="" textlink="">
          <xdr:nvSpPr>
            <xdr:cNvPr id="104469" name="Check Box 21" hidden="1">
              <a:extLst>
                <a:ext uri="{63B3BB69-23CF-44E3-9099-C40C66FF867C}">
                  <a14:compatExt spid="_x0000_s104469"/>
                </a:ext>
                <a:ext uri="{FF2B5EF4-FFF2-40B4-BE49-F238E27FC236}">
                  <a16:creationId xmlns:a16="http://schemas.microsoft.com/office/drawing/2014/main" id="{00000000-0008-0000-5300-000015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xdr:row>
          <xdr:rowOff>38100</xdr:rowOff>
        </xdr:from>
        <xdr:to>
          <xdr:col>7</xdr:col>
          <xdr:colOff>365760</xdr:colOff>
          <xdr:row>14</xdr:row>
          <xdr:rowOff>22860</xdr:rowOff>
        </xdr:to>
        <xdr:sp macro="" textlink="">
          <xdr:nvSpPr>
            <xdr:cNvPr id="104470" name="Check Box 22" hidden="1">
              <a:extLst>
                <a:ext uri="{63B3BB69-23CF-44E3-9099-C40C66FF867C}">
                  <a14:compatExt spid="_x0000_s104470"/>
                </a:ext>
                <a:ext uri="{FF2B5EF4-FFF2-40B4-BE49-F238E27FC236}">
                  <a16:creationId xmlns:a16="http://schemas.microsoft.com/office/drawing/2014/main" id="{00000000-0008-0000-5300-000016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14</xdr:row>
          <xdr:rowOff>45720</xdr:rowOff>
        </xdr:from>
        <xdr:to>
          <xdr:col>7</xdr:col>
          <xdr:colOff>350520</xdr:colOff>
          <xdr:row>15</xdr:row>
          <xdr:rowOff>0</xdr:rowOff>
        </xdr:to>
        <xdr:sp macro="" textlink="">
          <xdr:nvSpPr>
            <xdr:cNvPr id="104471" name="Check Box 23" hidden="1">
              <a:extLst>
                <a:ext uri="{63B3BB69-23CF-44E3-9099-C40C66FF867C}">
                  <a14:compatExt spid="_x0000_s104471"/>
                </a:ext>
                <a:ext uri="{FF2B5EF4-FFF2-40B4-BE49-F238E27FC236}">
                  <a16:creationId xmlns:a16="http://schemas.microsoft.com/office/drawing/2014/main" id="{00000000-0008-0000-5300-000017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15</xdr:row>
          <xdr:rowOff>38100</xdr:rowOff>
        </xdr:from>
        <xdr:to>
          <xdr:col>7</xdr:col>
          <xdr:colOff>365760</xdr:colOff>
          <xdr:row>15</xdr:row>
          <xdr:rowOff>182880</xdr:rowOff>
        </xdr:to>
        <xdr:sp macro="" textlink="">
          <xdr:nvSpPr>
            <xdr:cNvPr id="104472" name="Check Box 24" hidden="1">
              <a:extLst>
                <a:ext uri="{63B3BB69-23CF-44E3-9099-C40C66FF867C}">
                  <a14:compatExt spid="_x0000_s104472"/>
                </a:ext>
                <a:ext uri="{FF2B5EF4-FFF2-40B4-BE49-F238E27FC236}">
                  <a16:creationId xmlns:a16="http://schemas.microsoft.com/office/drawing/2014/main" id="{00000000-0008-0000-5300-000018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160020</xdr:colOff>
          <xdr:row>16</xdr:row>
          <xdr:rowOff>38100</xdr:rowOff>
        </xdr:from>
        <xdr:to>
          <xdr:col>7</xdr:col>
          <xdr:colOff>388620</xdr:colOff>
          <xdr:row>16</xdr:row>
          <xdr:rowOff>182880</xdr:rowOff>
        </xdr:to>
        <xdr:sp macro="" textlink="">
          <xdr:nvSpPr>
            <xdr:cNvPr id="104473" name="Check Box 25" hidden="1">
              <a:extLst>
                <a:ext uri="{63B3BB69-23CF-44E3-9099-C40C66FF867C}">
                  <a14:compatExt spid="_x0000_s104473"/>
                </a:ext>
                <a:ext uri="{FF2B5EF4-FFF2-40B4-BE49-F238E27FC236}">
                  <a16:creationId xmlns:a16="http://schemas.microsoft.com/office/drawing/2014/main" id="{00000000-0008-0000-5300-000019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13</xdr:row>
          <xdr:rowOff>60960</xdr:rowOff>
        </xdr:from>
        <xdr:to>
          <xdr:col>13</xdr:col>
          <xdr:colOff>403860</xdr:colOff>
          <xdr:row>14</xdr:row>
          <xdr:rowOff>45720</xdr:rowOff>
        </xdr:to>
        <xdr:sp macro="" textlink="">
          <xdr:nvSpPr>
            <xdr:cNvPr id="104474" name="Check Box 26" hidden="1">
              <a:extLst>
                <a:ext uri="{63B3BB69-23CF-44E3-9099-C40C66FF867C}">
                  <a14:compatExt spid="_x0000_s104474"/>
                </a:ext>
                <a:ext uri="{FF2B5EF4-FFF2-40B4-BE49-F238E27FC236}">
                  <a16:creationId xmlns:a16="http://schemas.microsoft.com/office/drawing/2014/main" id="{00000000-0008-0000-5300-00001A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14</xdr:row>
          <xdr:rowOff>38100</xdr:rowOff>
        </xdr:from>
        <xdr:to>
          <xdr:col>13</xdr:col>
          <xdr:colOff>403860</xdr:colOff>
          <xdr:row>14</xdr:row>
          <xdr:rowOff>182880</xdr:rowOff>
        </xdr:to>
        <xdr:sp macro="" textlink="">
          <xdr:nvSpPr>
            <xdr:cNvPr id="104475" name="Check Box 27" hidden="1">
              <a:extLst>
                <a:ext uri="{63B3BB69-23CF-44E3-9099-C40C66FF867C}">
                  <a14:compatExt spid="_x0000_s104475"/>
                </a:ext>
                <a:ext uri="{FF2B5EF4-FFF2-40B4-BE49-F238E27FC236}">
                  <a16:creationId xmlns:a16="http://schemas.microsoft.com/office/drawing/2014/main" id="{00000000-0008-0000-5300-00001B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15</xdr:row>
          <xdr:rowOff>22860</xdr:rowOff>
        </xdr:from>
        <xdr:to>
          <xdr:col>13</xdr:col>
          <xdr:colOff>403860</xdr:colOff>
          <xdr:row>15</xdr:row>
          <xdr:rowOff>175260</xdr:rowOff>
        </xdr:to>
        <xdr:sp macro="" textlink="">
          <xdr:nvSpPr>
            <xdr:cNvPr id="104476" name="Check Box 28" hidden="1">
              <a:extLst>
                <a:ext uri="{63B3BB69-23CF-44E3-9099-C40C66FF867C}">
                  <a14:compatExt spid="_x0000_s104476"/>
                </a:ext>
                <a:ext uri="{FF2B5EF4-FFF2-40B4-BE49-F238E27FC236}">
                  <a16:creationId xmlns:a16="http://schemas.microsoft.com/office/drawing/2014/main" id="{00000000-0008-0000-5300-00001C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16</xdr:row>
          <xdr:rowOff>22860</xdr:rowOff>
        </xdr:from>
        <xdr:to>
          <xdr:col>13</xdr:col>
          <xdr:colOff>403860</xdr:colOff>
          <xdr:row>16</xdr:row>
          <xdr:rowOff>175260</xdr:rowOff>
        </xdr:to>
        <xdr:sp macro="" textlink="">
          <xdr:nvSpPr>
            <xdr:cNvPr id="104477" name="Check Box 29" hidden="1">
              <a:extLst>
                <a:ext uri="{63B3BB69-23CF-44E3-9099-C40C66FF867C}">
                  <a14:compatExt spid="_x0000_s104477"/>
                </a:ext>
                <a:ext uri="{FF2B5EF4-FFF2-40B4-BE49-F238E27FC236}">
                  <a16:creationId xmlns:a16="http://schemas.microsoft.com/office/drawing/2014/main" id="{00000000-0008-0000-5300-00001D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106680</xdr:rowOff>
        </xdr:from>
        <xdr:to>
          <xdr:col>12</xdr:col>
          <xdr:colOff>220980</xdr:colOff>
          <xdr:row>2</xdr:row>
          <xdr:rowOff>259080</xdr:rowOff>
        </xdr:to>
        <xdr:sp macro="" textlink="">
          <xdr:nvSpPr>
            <xdr:cNvPr id="104478" name="Check Box 30" hidden="1">
              <a:extLst>
                <a:ext uri="{63B3BB69-23CF-44E3-9099-C40C66FF867C}">
                  <a14:compatExt spid="_x0000_s104478"/>
                </a:ext>
                <a:ext uri="{FF2B5EF4-FFF2-40B4-BE49-F238E27FC236}">
                  <a16:creationId xmlns:a16="http://schemas.microsoft.com/office/drawing/2014/main" id="{00000000-0008-0000-5300-00001E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45720</xdr:colOff>
          <xdr:row>3</xdr:row>
          <xdr:rowOff>60960</xdr:rowOff>
        </xdr:from>
        <xdr:to>
          <xdr:col>12</xdr:col>
          <xdr:colOff>228600</xdr:colOff>
          <xdr:row>3</xdr:row>
          <xdr:rowOff>213360</xdr:rowOff>
        </xdr:to>
        <xdr:sp macro="" textlink="">
          <xdr:nvSpPr>
            <xdr:cNvPr id="104479" name="Check Box 31" hidden="1">
              <a:extLst>
                <a:ext uri="{63B3BB69-23CF-44E3-9099-C40C66FF867C}">
                  <a14:compatExt spid="_x0000_s104479"/>
                </a:ext>
                <a:ext uri="{FF2B5EF4-FFF2-40B4-BE49-F238E27FC236}">
                  <a16:creationId xmlns:a16="http://schemas.microsoft.com/office/drawing/2014/main" id="{00000000-0008-0000-5300-00001F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a:extLst>
            <a:ext uri="{FF2B5EF4-FFF2-40B4-BE49-F238E27FC236}">
              <a16:creationId xmlns:a16="http://schemas.microsoft.com/office/drawing/2014/main" id="{00000000-0008-0000-54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00000000-0008-0000-54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a:extLst>
            <a:ext uri="{FF2B5EF4-FFF2-40B4-BE49-F238E27FC236}">
              <a16:creationId xmlns:a16="http://schemas.microsoft.com/office/drawing/2014/main" id="{00000000-0008-0000-5400-000004000000}"/>
            </a:ext>
          </a:extLst>
        </xdr:cNvPr>
        <xdr:cNvSpPr/>
      </xdr:nvSpPr>
      <xdr:spPr bwMode="auto">
        <a:xfrm>
          <a:off x="7314301" y="0"/>
          <a:ext cx="686723"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B2D45C6-2AE8-435C-A703-5AFF6F590482}"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a:extLst>
            <a:ext uri="{FF2B5EF4-FFF2-40B4-BE49-F238E27FC236}">
              <a16:creationId xmlns:a16="http://schemas.microsoft.com/office/drawing/2014/main" id="{00000000-0008-0000-5400-000005000000}"/>
            </a:ext>
          </a:extLst>
        </xdr:cNvPr>
        <xdr:cNvSpPr/>
      </xdr:nvSpPr>
      <xdr:spPr bwMode="auto">
        <a:xfrm>
          <a:off x="9667875" y="9525"/>
          <a:ext cx="430837" cy="16001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BCD37F-B876-4507-A9B0-A0539E77C3A7}"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a:extLst>
            <a:ext uri="{FF2B5EF4-FFF2-40B4-BE49-F238E27FC236}">
              <a16:creationId xmlns:a16="http://schemas.microsoft.com/office/drawing/2014/main" id="{00000000-0008-0000-5400-000006000000}"/>
            </a:ext>
          </a:extLst>
        </xdr:cNvPr>
        <xdr:cNvSpPr/>
      </xdr:nvSpPr>
      <xdr:spPr bwMode="auto">
        <a:xfrm>
          <a:off x="12092940" y="0"/>
          <a:ext cx="441195"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1F0EE87-5A59-44B5-ABB5-3D83DA65C28C}"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266700</xdr:colOff>
          <xdr:row>1</xdr:row>
          <xdr:rowOff>259080</xdr:rowOff>
        </xdr:from>
        <xdr:to>
          <xdr:col>18</xdr:col>
          <xdr:colOff>525780</xdr:colOff>
          <xdr:row>2</xdr:row>
          <xdr:rowOff>182880</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5400-000010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251460</xdr:colOff>
          <xdr:row>1</xdr:row>
          <xdr:rowOff>60960</xdr:rowOff>
        </xdr:from>
        <xdr:to>
          <xdr:col>18</xdr:col>
          <xdr:colOff>518160</xdr:colOff>
          <xdr:row>1</xdr:row>
          <xdr:rowOff>297180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5400-000011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105187</xdr:colOff>
      <xdr:row>11</xdr:row>
      <xdr:rowOff>34505</xdr:rowOff>
    </xdr:to>
    <xdr:sp macro="" textlink="">
      <xdr:nvSpPr>
        <xdr:cNvPr id="9" name="Textfeld 8">
          <a:extLst>
            <a:ext uri="{FF2B5EF4-FFF2-40B4-BE49-F238E27FC236}">
              <a16:creationId xmlns:a16="http://schemas.microsoft.com/office/drawing/2014/main" id="{00000000-0008-0000-5400-000009000000}"/>
            </a:ext>
          </a:extLst>
        </xdr:cNvPr>
        <xdr:cNvSpPr txBox="1"/>
      </xdr:nvSpPr>
      <xdr:spPr>
        <a:xfrm>
          <a:off x="12801600" y="167640"/>
          <a:ext cx="905287"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175260</xdr:colOff>
          <xdr:row>13</xdr:row>
          <xdr:rowOff>60960</xdr:rowOff>
        </xdr:from>
        <xdr:to>
          <xdr:col>10</xdr:col>
          <xdr:colOff>388620</xdr:colOff>
          <xdr:row>14</xdr:row>
          <xdr:rowOff>45720</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5400-000012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38100</xdr:rowOff>
        </xdr:from>
        <xdr:to>
          <xdr:col>10</xdr:col>
          <xdr:colOff>388620</xdr:colOff>
          <xdr:row>14</xdr:row>
          <xdr:rowOff>182880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5400-000013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175260</xdr:rowOff>
        </xdr:from>
        <xdr:to>
          <xdr:col>10</xdr:col>
          <xdr:colOff>388620</xdr:colOff>
          <xdr:row>15</xdr:row>
          <xdr:rowOff>121920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5400-000014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15</xdr:row>
          <xdr:rowOff>152400</xdr:rowOff>
        </xdr:from>
        <xdr:to>
          <xdr:col>10</xdr:col>
          <xdr:colOff>381000</xdr:colOff>
          <xdr:row>16</xdr:row>
          <xdr:rowOff>114300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5400-000015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xdr:row>
          <xdr:rowOff>38100</xdr:rowOff>
        </xdr:from>
        <xdr:to>
          <xdr:col>7</xdr:col>
          <xdr:colOff>365760</xdr:colOff>
          <xdr:row>14</xdr:row>
          <xdr:rowOff>22860</xdr:rowOff>
        </xdr:to>
        <xdr:sp macro="" textlink="">
          <xdr:nvSpPr>
            <xdr:cNvPr id="105494" name="Check Box 22" hidden="1">
              <a:extLst>
                <a:ext uri="{63B3BB69-23CF-44E3-9099-C40C66FF867C}">
                  <a14:compatExt spid="_x0000_s105494"/>
                </a:ext>
                <a:ext uri="{FF2B5EF4-FFF2-40B4-BE49-F238E27FC236}">
                  <a16:creationId xmlns:a16="http://schemas.microsoft.com/office/drawing/2014/main" id="{00000000-0008-0000-5400-000016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14</xdr:row>
          <xdr:rowOff>45720</xdr:rowOff>
        </xdr:from>
        <xdr:to>
          <xdr:col>7</xdr:col>
          <xdr:colOff>350520</xdr:colOff>
          <xdr:row>15</xdr:row>
          <xdr:rowOff>0</xdr:rowOff>
        </xdr:to>
        <xdr:sp macro="" textlink="">
          <xdr:nvSpPr>
            <xdr:cNvPr id="105495" name="Check Box 23" hidden="1">
              <a:extLst>
                <a:ext uri="{63B3BB69-23CF-44E3-9099-C40C66FF867C}">
                  <a14:compatExt spid="_x0000_s105495"/>
                </a:ext>
                <a:ext uri="{FF2B5EF4-FFF2-40B4-BE49-F238E27FC236}">
                  <a16:creationId xmlns:a16="http://schemas.microsoft.com/office/drawing/2014/main" id="{00000000-0008-0000-5400-000017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15</xdr:row>
          <xdr:rowOff>38100</xdr:rowOff>
        </xdr:from>
        <xdr:to>
          <xdr:col>7</xdr:col>
          <xdr:colOff>365760</xdr:colOff>
          <xdr:row>15</xdr:row>
          <xdr:rowOff>182880</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5400-000018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160020</xdr:colOff>
          <xdr:row>16</xdr:row>
          <xdr:rowOff>38100</xdr:rowOff>
        </xdr:from>
        <xdr:to>
          <xdr:col>7</xdr:col>
          <xdr:colOff>388620</xdr:colOff>
          <xdr:row>16</xdr:row>
          <xdr:rowOff>182880</xdr:rowOff>
        </xdr:to>
        <xdr:sp macro="" textlink="">
          <xdr:nvSpPr>
            <xdr:cNvPr id="105497" name="Check Box 25" hidden="1">
              <a:extLst>
                <a:ext uri="{63B3BB69-23CF-44E3-9099-C40C66FF867C}">
                  <a14:compatExt spid="_x0000_s105497"/>
                </a:ext>
                <a:ext uri="{FF2B5EF4-FFF2-40B4-BE49-F238E27FC236}">
                  <a16:creationId xmlns:a16="http://schemas.microsoft.com/office/drawing/2014/main" id="{00000000-0008-0000-5400-000019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13</xdr:row>
          <xdr:rowOff>60960</xdr:rowOff>
        </xdr:from>
        <xdr:to>
          <xdr:col>13</xdr:col>
          <xdr:colOff>403860</xdr:colOff>
          <xdr:row>14</xdr:row>
          <xdr:rowOff>45720</xdr:rowOff>
        </xdr:to>
        <xdr:sp macro="" textlink="">
          <xdr:nvSpPr>
            <xdr:cNvPr id="105498" name="Check Box 26" hidden="1">
              <a:extLst>
                <a:ext uri="{63B3BB69-23CF-44E3-9099-C40C66FF867C}">
                  <a14:compatExt spid="_x0000_s105498"/>
                </a:ext>
                <a:ext uri="{FF2B5EF4-FFF2-40B4-BE49-F238E27FC236}">
                  <a16:creationId xmlns:a16="http://schemas.microsoft.com/office/drawing/2014/main" id="{00000000-0008-0000-5400-00001A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14</xdr:row>
          <xdr:rowOff>38100</xdr:rowOff>
        </xdr:from>
        <xdr:to>
          <xdr:col>13</xdr:col>
          <xdr:colOff>403860</xdr:colOff>
          <xdr:row>14</xdr:row>
          <xdr:rowOff>182880</xdr:rowOff>
        </xdr:to>
        <xdr:sp macro="" textlink="">
          <xdr:nvSpPr>
            <xdr:cNvPr id="105499" name="Check Box 27" hidden="1">
              <a:extLst>
                <a:ext uri="{63B3BB69-23CF-44E3-9099-C40C66FF867C}">
                  <a14:compatExt spid="_x0000_s105499"/>
                </a:ext>
                <a:ext uri="{FF2B5EF4-FFF2-40B4-BE49-F238E27FC236}">
                  <a16:creationId xmlns:a16="http://schemas.microsoft.com/office/drawing/2014/main" id="{00000000-0008-0000-5400-00001B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15</xdr:row>
          <xdr:rowOff>22860</xdr:rowOff>
        </xdr:from>
        <xdr:to>
          <xdr:col>13</xdr:col>
          <xdr:colOff>403860</xdr:colOff>
          <xdr:row>15</xdr:row>
          <xdr:rowOff>175260</xdr:rowOff>
        </xdr:to>
        <xdr:sp macro="" textlink="">
          <xdr:nvSpPr>
            <xdr:cNvPr id="105500" name="Check Box 28" hidden="1">
              <a:extLst>
                <a:ext uri="{63B3BB69-23CF-44E3-9099-C40C66FF867C}">
                  <a14:compatExt spid="_x0000_s105500"/>
                </a:ext>
                <a:ext uri="{FF2B5EF4-FFF2-40B4-BE49-F238E27FC236}">
                  <a16:creationId xmlns:a16="http://schemas.microsoft.com/office/drawing/2014/main" id="{00000000-0008-0000-5400-00001C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16</xdr:row>
          <xdr:rowOff>22860</xdr:rowOff>
        </xdr:from>
        <xdr:to>
          <xdr:col>13</xdr:col>
          <xdr:colOff>403860</xdr:colOff>
          <xdr:row>16</xdr:row>
          <xdr:rowOff>175260</xdr:rowOff>
        </xdr:to>
        <xdr:sp macro="" textlink="">
          <xdr:nvSpPr>
            <xdr:cNvPr id="105501" name="Check Box 29" hidden="1">
              <a:extLst>
                <a:ext uri="{63B3BB69-23CF-44E3-9099-C40C66FF867C}">
                  <a14:compatExt spid="_x0000_s105501"/>
                </a:ext>
                <a:ext uri="{FF2B5EF4-FFF2-40B4-BE49-F238E27FC236}">
                  <a16:creationId xmlns:a16="http://schemas.microsoft.com/office/drawing/2014/main" id="{00000000-0008-0000-5400-00001D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106680</xdr:rowOff>
        </xdr:from>
        <xdr:to>
          <xdr:col>12</xdr:col>
          <xdr:colOff>220980</xdr:colOff>
          <xdr:row>2</xdr:row>
          <xdr:rowOff>259080</xdr:rowOff>
        </xdr:to>
        <xdr:sp macro="" textlink="">
          <xdr:nvSpPr>
            <xdr:cNvPr id="105502" name="Check Box 30" hidden="1">
              <a:extLst>
                <a:ext uri="{63B3BB69-23CF-44E3-9099-C40C66FF867C}">
                  <a14:compatExt spid="_x0000_s105502"/>
                </a:ext>
                <a:ext uri="{FF2B5EF4-FFF2-40B4-BE49-F238E27FC236}">
                  <a16:creationId xmlns:a16="http://schemas.microsoft.com/office/drawing/2014/main" id="{00000000-0008-0000-5400-00001E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45720</xdr:colOff>
          <xdr:row>3</xdr:row>
          <xdr:rowOff>60960</xdr:rowOff>
        </xdr:from>
        <xdr:to>
          <xdr:col>12</xdr:col>
          <xdr:colOff>228600</xdr:colOff>
          <xdr:row>3</xdr:row>
          <xdr:rowOff>213360</xdr:rowOff>
        </xdr:to>
        <xdr:sp macro="" textlink="">
          <xdr:nvSpPr>
            <xdr:cNvPr id="105503" name="Check Box 31" hidden="1">
              <a:extLst>
                <a:ext uri="{63B3BB69-23CF-44E3-9099-C40C66FF867C}">
                  <a14:compatExt spid="_x0000_s105503"/>
                </a:ext>
                <a:ext uri="{FF2B5EF4-FFF2-40B4-BE49-F238E27FC236}">
                  <a16:creationId xmlns:a16="http://schemas.microsoft.com/office/drawing/2014/main" id="{00000000-0008-0000-5400-00001F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a:extLst>
            <a:ext uri="{FF2B5EF4-FFF2-40B4-BE49-F238E27FC236}">
              <a16:creationId xmlns:a16="http://schemas.microsoft.com/office/drawing/2014/main" id="{00000000-0008-0000-55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00000000-0008-0000-55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a:extLst>
            <a:ext uri="{FF2B5EF4-FFF2-40B4-BE49-F238E27FC236}">
              <a16:creationId xmlns:a16="http://schemas.microsoft.com/office/drawing/2014/main" id="{00000000-0008-0000-5500-000004000000}"/>
            </a:ext>
          </a:extLst>
        </xdr:cNvPr>
        <xdr:cNvSpPr/>
      </xdr:nvSpPr>
      <xdr:spPr bwMode="auto">
        <a:xfrm>
          <a:off x="7314301" y="0"/>
          <a:ext cx="686723"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B17D3CD-C7E4-40ED-910B-866D930A3686}"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a:extLst>
            <a:ext uri="{FF2B5EF4-FFF2-40B4-BE49-F238E27FC236}">
              <a16:creationId xmlns:a16="http://schemas.microsoft.com/office/drawing/2014/main" id="{00000000-0008-0000-5500-000005000000}"/>
            </a:ext>
          </a:extLst>
        </xdr:cNvPr>
        <xdr:cNvSpPr/>
      </xdr:nvSpPr>
      <xdr:spPr bwMode="auto">
        <a:xfrm>
          <a:off x="9667875" y="9525"/>
          <a:ext cx="430837" cy="16001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BB7DB3-3D0F-4E08-9D85-ECB23DC92E05}"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a:extLst>
            <a:ext uri="{FF2B5EF4-FFF2-40B4-BE49-F238E27FC236}">
              <a16:creationId xmlns:a16="http://schemas.microsoft.com/office/drawing/2014/main" id="{00000000-0008-0000-5500-000006000000}"/>
            </a:ext>
          </a:extLst>
        </xdr:cNvPr>
        <xdr:cNvSpPr/>
      </xdr:nvSpPr>
      <xdr:spPr bwMode="auto">
        <a:xfrm>
          <a:off x="12092940" y="0"/>
          <a:ext cx="441195"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FA2D681-A9AF-4E4A-83FB-ADEFD6AE3942}"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213360</xdr:colOff>
          <xdr:row>1</xdr:row>
          <xdr:rowOff>259080</xdr:rowOff>
        </xdr:from>
        <xdr:to>
          <xdr:col>18</xdr:col>
          <xdr:colOff>464820</xdr:colOff>
          <xdr:row>2</xdr:row>
          <xdr:rowOff>182880</xdr:rowOff>
        </xdr:to>
        <xdr:sp macro="" textlink="">
          <xdr:nvSpPr>
            <xdr:cNvPr id="106512" name="Check Box 16" hidden="1">
              <a:extLst>
                <a:ext uri="{63B3BB69-23CF-44E3-9099-C40C66FF867C}">
                  <a14:compatExt spid="_x0000_s106512"/>
                </a:ext>
                <a:ext uri="{FF2B5EF4-FFF2-40B4-BE49-F238E27FC236}">
                  <a16:creationId xmlns:a16="http://schemas.microsoft.com/office/drawing/2014/main" id="{00000000-0008-0000-5500-000010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198120</xdr:colOff>
          <xdr:row>1</xdr:row>
          <xdr:rowOff>60960</xdr:rowOff>
        </xdr:from>
        <xdr:to>
          <xdr:col>18</xdr:col>
          <xdr:colOff>464820</xdr:colOff>
          <xdr:row>1</xdr:row>
          <xdr:rowOff>297180</xdr:rowOff>
        </xdr:to>
        <xdr:sp macro="" textlink="">
          <xdr:nvSpPr>
            <xdr:cNvPr id="106513" name="Check Box 17" hidden="1">
              <a:extLst>
                <a:ext uri="{63B3BB69-23CF-44E3-9099-C40C66FF867C}">
                  <a14:compatExt spid="_x0000_s106513"/>
                </a:ext>
                <a:ext uri="{FF2B5EF4-FFF2-40B4-BE49-F238E27FC236}">
                  <a16:creationId xmlns:a16="http://schemas.microsoft.com/office/drawing/2014/main" id="{00000000-0008-0000-5500-000011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a:extLst>
            <a:ext uri="{FF2B5EF4-FFF2-40B4-BE49-F238E27FC236}">
              <a16:creationId xmlns:a16="http://schemas.microsoft.com/office/drawing/2014/main" id="{00000000-0008-0000-5500-000009000000}"/>
            </a:ext>
          </a:extLst>
        </xdr:cNvPr>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175260</xdr:colOff>
          <xdr:row>13</xdr:row>
          <xdr:rowOff>60960</xdr:rowOff>
        </xdr:from>
        <xdr:to>
          <xdr:col>10</xdr:col>
          <xdr:colOff>388620</xdr:colOff>
          <xdr:row>14</xdr:row>
          <xdr:rowOff>45720</xdr:rowOff>
        </xdr:to>
        <xdr:sp macro="" textlink="">
          <xdr:nvSpPr>
            <xdr:cNvPr id="106514" name="Check Box 18" hidden="1">
              <a:extLst>
                <a:ext uri="{63B3BB69-23CF-44E3-9099-C40C66FF867C}">
                  <a14:compatExt spid="_x0000_s106514"/>
                </a:ext>
                <a:ext uri="{FF2B5EF4-FFF2-40B4-BE49-F238E27FC236}">
                  <a16:creationId xmlns:a16="http://schemas.microsoft.com/office/drawing/2014/main" id="{00000000-0008-0000-5500-000012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38100</xdr:rowOff>
        </xdr:from>
        <xdr:to>
          <xdr:col>10</xdr:col>
          <xdr:colOff>388620</xdr:colOff>
          <xdr:row>14</xdr:row>
          <xdr:rowOff>182880</xdr:rowOff>
        </xdr:to>
        <xdr:sp macro="" textlink="">
          <xdr:nvSpPr>
            <xdr:cNvPr id="106515" name="Check Box 19" hidden="1">
              <a:extLst>
                <a:ext uri="{63B3BB69-23CF-44E3-9099-C40C66FF867C}">
                  <a14:compatExt spid="_x0000_s106515"/>
                </a:ext>
                <a:ext uri="{FF2B5EF4-FFF2-40B4-BE49-F238E27FC236}">
                  <a16:creationId xmlns:a16="http://schemas.microsoft.com/office/drawing/2014/main" id="{00000000-0008-0000-5500-000013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175260</xdr:rowOff>
        </xdr:from>
        <xdr:to>
          <xdr:col>10</xdr:col>
          <xdr:colOff>388620</xdr:colOff>
          <xdr:row>15</xdr:row>
          <xdr:rowOff>121920</xdr:rowOff>
        </xdr:to>
        <xdr:sp macro="" textlink="">
          <xdr:nvSpPr>
            <xdr:cNvPr id="106516" name="Check Box 20" hidden="1">
              <a:extLst>
                <a:ext uri="{63B3BB69-23CF-44E3-9099-C40C66FF867C}">
                  <a14:compatExt spid="_x0000_s106516"/>
                </a:ext>
                <a:ext uri="{FF2B5EF4-FFF2-40B4-BE49-F238E27FC236}">
                  <a16:creationId xmlns:a16="http://schemas.microsoft.com/office/drawing/2014/main" id="{00000000-0008-0000-5500-000014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15</xdr:row>
          <xdr:rowOff>152400</xdr:rowOff>
        </xdr:from>
        <xdr:to>
          <xdr:col>10</xdr:col>
          <xdr:colOff>381000</xdr:colOff>
          <xdr:row>16</xdr:row>
          <xdr:rowOff>114300</xdr:rowOff>
        </xdr:to>
        <xdr:sp macro="" textlink="">
          <xdr:nvSpPr>
            <xdr:cNvPr id="106517" name="Check Box 21" hidden="1">
              <a:extLst>
                <a:ext uri="{63B3BB69-23CF-44E3-9099-C40C66FF867C}">
                  <a14:compatExt spid="_x0000_s106517"/>
                </a:ext>
                <a:ext uri="{FF2B5EF4-FFF2-40B4-BE49-F238E27FC236}">
                  <a16:creationId xmlns:a16="http://schemas.microsoft.com/office/drawing/2014/main" id="{00000000-0008-0000-5500-000015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xdr:row>
          <xdr:rowOff>38100</xdr:rowOff>
        </xdr:from>
        <xdr:to>
          <xdr:col>7</xdr:col>
          <xdr:colOff>365760</xdr:colOff>
          <xdr:row>14</xdr:row>
          <xdr:rowOff>22860</xdr:rowOff>
        </xdr:to>
        <xdr:sp macro="" textlink="">
          <xdr:nvSpPr>
            <xdr:cNvPr id="106518" name="Check Box 22" hidden="1">
              <a:extLst>
                <a:ext uri="{63B3BB69-23CF-44E3-9099-C40C66FF867C}">
                  <a14:compatExt spid="_x0000_s106518"/>
                </a:ext>
                <a:ext uri="{FF2B5EF4-FFF2-40B4-BE49-F238E27FC236}">
                  <a16:creationId xmlns:a16="http://schemas.microsoft.com/office/drawing/2014/main" id="{00000000-0008-0000-5500-000016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14</xdr:row>
          <xdr:rowOff>45720</xdr:rowOff>
        </xdr:from>
        <xdr:to>
          <xdr:col>7</xdr:col>
          <xdr:colOff>350520</xdr:colOff>
          <xdr:row>15</xdr:row>
          <xdr:rowOff>0</xdr:rowOff>
        </xdr:to>
        <xdr:sp macro="" textlink="">
          <xdr:nvSpPr>
            <xdr:cNvPr id="106519" name="Check Box 23" hidden="1">
              <a:extLst>
                <a:ext uri="{63B3BB69-23CF-44E3-9099-C40C66FF867C}">
                  <a14:compatExt spid="_x0000_s106519"/>
                </a:ext>
                <a:ext uri="{FF2B5EF4-FFF2-40B4-BE49-F238E27FC236}">
                  <a16:creationId xmlns:a16="http://schemas.microsoft.com/office/drawing/2014/main" id="{00000000-0008-0000-5500-000017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15</xdr:row>
          <xdr:rowOff>38100</xdr:rowOff>
        </xdr:from>
        <xdr:to>
          <xdr:col>7</xdr:col>
          <xdr:colOff>365760</xdr:colOff>
          <xdr:row>15</xdr:row>
          <xdr:rowOff>182880</xdr:rowOff>
        </xdr:to>
        <xdr:sp macro="" textlink="">
          <xdr:nvSpPr>
            <xdr:cNvPr id="106520" name="Check Box 24" hidden="1">
              <a:extLst>
                <a:ext uri="{63B3BB69-23CF-44E3-9099-C40C66FF867C}">
                  <a14:compatExt spid="_x0000_s106520"/>
                </a:ext>
                <a:ext uri="{FF2B5EF4-FFF2-40B4-BE49-F238E27FC236}">
                  <a16:creationId xmlns:a16="http://schemas.microsoft.com/office/drawing/2014/main" id="{00000000-0008-0000-5500-000018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160020</xdr:colOff>
          <xdr:row>16</xdr:row>
          <xdr:rowOff>38100</xdr:rowOff>
        </xdr:from>
        <xdr:to>
          <xdr:col>7</xdr:col>
          <xdr:colOff>388620</xdr:colOff>
          <xdr:row>16</xdr:row>
          <xdr:rowOff>182880</xdr:rowOff>
        </xdr:to>
        <xdr:sp macro="" textlink="">
          <xdr:nvSpPr>
            <xdr:cNvPr id="106521" name="Check Box 25" hidden="1">
              <a:extLst>
                <a:ext uri="{63B3BB69-23CF-44E3-9099-C40C66FF867C}">
                  <a14:compatExt spid="_x0000_s106521"/>
                </a:ext>
                <a:ext uri="{FF2B5EF4-FFF2-40B4-BE49-F238E27FC236}">
                  <a16:creationId xmlns:a16="http://schemas.microsoft.com/office/drawing/2014/main" id="{00000000-0008-0000-5500-000019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13</xdr:row>
          <xdr:rowOff>60960</xdr:rowOff>
        </xdr:from>
        <xdr:to>
          <xdr:col>13</xdr:col>
          <xdr:colOff>403860</xdr:colOff>
          <xdr:row>14</xdr:row>
          <xdr:rowOff>45720</xdr:rowOff>
        </xdr:to>
        <xdr:sp macro="" textlink="">
          <xdr:nvSpPr>
            <xdr:cNvPr id="106522" name="Check Box 26" hidden="1">
              <a:extLst>
                <a:ext uri="{63B3BB69-23CF-44E3-9099-C40C66FF867C}">
                  <a14:compatExt spid="_x0000_s106522"/>
                </a:ext>
                <a:ext uri="{FF2B5EF4-FFF2-40B4-BE49-F238E27FC236}">
                  <a16:creationId xmlns:a16="http://schemas.microsoft.com/office/drawing/2014/main" id="{00000000-0008-0000-5500-00001A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14</xdr:row>
          <xdr:rowOff>38100</xdr:rowOff>
        </xdr:from>
        <xdr:to>
          <xdr:col>13</xdr:col>
          <xdr:colOff>403860</xdr:colOff>
          <xdr:row>14</xdr:row>
          <xdr:rowOff>182880</xdr:rowOff>
        </xdr:to>
        <xdr:sp macro="" textlink="">
          <xdr:nvSpPr>
            <xdr:cNvPr id="106523" name="Check Box 27" hidden="1">
              <a:extLst>
                <a:ext uri="{63B3BB69-23CF-44E3-9099-C40C66FF867C}">
                  <a14:compatExt spid="_x0000_s106523"/>
                </a:ext>
                <a:ext uri="{FF2B5EF4-FFF2-40B4-BE49-F238E27FC236}">
                  <a16:creationId xmlns:a16="http://schemas.microsoft.com/office/drawing/2014/main" id="{00000000-0008-0000-5500-00001B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15</xdr:row>
          <xdr:rowOff>22860</xdr:rowOff>
        </xdr:from>
        <xdr:to>
          <xdr:col>13</xdr:col>
          <xdr:colOff>403860</xdr:colOff>
          <xdr:row>15</xdr:row>
          <xdr:rowOff>175260</xdr:rowOff>
        </xdr:to>
        <xdr:sp macro="" textlink="">
          <xdr:nvSpPr>
            <xdr:cNvPr id="106524" name="Check Box 28" hidden="1">
              <a:extLst>
                <a:ext uri="{63B3BB69-23CF-44E3-9099-C40C66FF867C}">
                  <a14:compatExt spid="_x0000_s106524"/>
                </a:ext>
                <a:ext uri="{FF2B5EF4-FFF2-40B4-BE49-F238E27FC236}">
                  <a16:creationId xmlns:a16="http://schemas.microsoft.com/office/drawing/2014/main" id="{00000000-0008-0000-5500-00001C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16</xdr:row>
          <xdr:rowOff>22860</xdr:rowOff>
        </xdr:from>
        <xdr:to>
          <xdr:col>13</xdr:col>
          <xdr:colOff>403860</xdr:colOff>
          <xdr:row>16</xdr:row>
          <xdr:rowOff>175260</xdr:rowOff>
        </xdr:to>
        <xdr:sp macro="" textlink="">
          <xdr:nvSpPr>
            <xdr:cNvPr id="106525" name="Check Box 29" hidden="1">
              <a:extLst>
                <a:ext uri="{63B3BB69-23CF-44E3-9099-C40C66FF867C}">
                  <a14:compatExt spid="_x0000_s106525"/>
                </a:ext>
                <a:ext uri="{FF2B5EF4-FFF2-40B4-BE49-F238E27FC236}">
                  <a16:creationId xmlns:a16="http://schemas.microsoft.com/office/drawing/2014/main" id="{00000000-0008-0000-5500-00001D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106680</xdr:rowOff>
        </xdr:from>
        <xdr:to>
          <xdr:col>12</xdr:col>
          <xdr:colOff>220980</xdr:colOff>
          <xdr:row>2</xdr:row>
          <xdr:rowOff>259080</xdr:rowOff>
        </xdr:to>
        <xdr:sp macro="" textlink="">
          <xdr:nvSpPr>
            <xdr:cNvPr id="106526" name="Check Box 30" hidden="1">
              <a:extLst>
                <a:ext uri="{63B3BB69-23CF-44E3-9099-C40C66FF867C}">
                  <a14:compatExt spid="_x0000_s106526"/>
                </a:ext>
                <a:ext uri="{FF2B5EF4-FFF2-40B4-BE49-F238E27FC236}">
                  <a16:creationId xmlns:a16="http://schemas.microsoft.com/office/drawing/2014/main" id="{00000000-0008-0000-5500-00001E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45720</xdr:colOff>
          <xdr:row>3</xdr:row>
          <xdr:rowOff>60960</xdr:rowOff>
        </xdr:from>
        <xdr:to>
          <xdr:col>12</xdr:col>
          <xdr:colOff>228600</xdr:colOff>
          <xdr:row>3</xdr:row>
          <xdr:rowOff>213360</xdr:rowOff>
        </xdr:to>
        <xdr:sp macro="" textlink="">
          <xdr:nvSpPr>
            <xdr:cNvPr id="106527" name="Check Box 31" hidden="1">
              <a:extLst>
                <a:ext uri="{63B3BB69-23CF-44E3-9099-C40C66FF867C}">
                  <a14:compatExt spid="_x0000_s106527"/>
                </a:ext>
                <a:ext uri="{FF2B5EF4-FFF2-40B4-BE49-F238E27FC236}">
                  <a16:creationId xmlns:a16="http://schemas.microsoft.com/office/drawing/2014/main" id="{00000000-0008-0000-5500-00001F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a:extLst>
            <a:ext uri="{FF2B5EF4-FFF2-40B4-BE49-F238E27FC236}">
              <a16:creationId xmlns:a16="http://schemas.microsoft.com/office/drawing/2014/main" id="{00000000-0008-0000-56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00000000-0008-0000-56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a:extLst>
            <a:ext uri="{FF2B5EF4-FFF2-40B4-BE49-F238E27FC236}">
              <a16:creationId xmlns:a16="http://schemas.microsoft.com/office/drawing/2014/main" id="{00000000-0008-0000-5600-000004000000}"/>
            </a:ext>
          </a:extLst>
        </xdr:cNvPr>
        <xdr:cNvSpPr/>
      </xdr:nvSpPr>
      <xdr:spPr bwMode="auto">
        <a:xfrm>
          <a:off x="7314301" y="0"/>
          <a:ext cx="686723"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8836FBA-0ADF-4640-AF2D-937D6F414352}"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a:extLst>
            <a:ext uri="{FF2B5EF4-FFF2-40B4-BE49-F238E27FC236}">
              <a16:creationId xmlns:a16="http://schemas.microsoft.com/office/drawing/2014/main" id="{00000000-0008-0000-5600-000005000000}"/>
            </a:ext>
          </a:extLst>
        </xdr:cNvPr>
        <xdr:cNvSpPr/>
      </xdr:nvSpPr>
      <xdr:spPr bwMode="auto">
        <a:xfrm>
          <a:off x="9667875" y="9525"/>
          <a:ext cx="430837" cy="16001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8F263CE-B290-41ED-90E1-D7A89C271046}"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a:extLst>
            <a:ext uri="{FF2B5EF4-FFF2-40B4-BE49-F238E27FC236}">
              <a16:creationId xmlns:a16="http://schemas.microsoft.com/office/drawing/2014/main" id="{00000000-0008-0000-5600-000006000000}"/>
            </a:ext>
          </a:extLst>
        </xdr:cNvPr>
        <xdr:cNvSpPr/>
      </xdr:nvSpPr>
      <xdr:spPr bwMode="auto">
        <a:xfrm>
          <a:off x="12092940" y="0"/>
          <a:ext cx="441195"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9F1BC9B-CF74-4BC4-8AED-47B5B709B416}"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213360</xdr:colOff>
          <xdr:row>1</xdr:row>
          <xdr:rowOff>259080</xdr:rowOff>
        </xdr:from>
        <xdr:to>
          <xdr:col>18</xdr:col>
          <xdr:colOff>464820</xdr:colOff>
          <xdr:row>2</xdr:row>
          <xdr:rowOff>182880</xdr:rowOff>
        </xdr:to>
        <xdr:sp macro="" textlink="">
          <xdr:nvSpPr>
            <xdr:cNvPr id="107536" name="Check Box 16" hidden="1">
              <a:extLst>
                <a:ext uri="{63B3BB69-23CF-44E3-9099-C40C66FF867C}">
                  <a14:compatExt spid="_x0000_s107536"/>
                </a:ext>
                <a:ext uri="{FF2B5EF4-FFF2-40B4-BE49-F238E27FC236}">
                  <a16:creationId xmlns:a16="http://schemas.microsoft.com/office/drawing/2014/main" id="{00000000-0008-0000-5600-000010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198120</xdr:colOff>
          <xdr:row>1</xdr:row>
          <xdr:rowOff>60960</xdr:rowOff>
        </xdr:from>
        <xdr:to>
          <xdr:col>18</xdr:col>
          <xdr:colOff>464820</xdr:colOff>
          <xdr:row>1</xdr:row>
          <xdr:rowOff>297180</xdr:rowOff>
        </xdr:to>
        <xdr:sp macro="" textlink="">
          <xdr:nvSpPr>
            <xdr:cNvPr id="107537" name="Check Box 17" hidden="1">
              <a:extLst>
                <a:ext uri="{63B3BB69-23CF-44E3-9099-C40C66FF867C}">
                  <a14:compatExt spid="_x0000_s107537"/>
                </a:ext>
                <a:ext uri="{FF2B5EF4-FFF2-40B4-BE49-F238E27FC236}">
                  <a16:creationId xmlns:a16="http://schemas.microsoft.com/office/drawing/2014/main" id="{00000000-0008-0000-5600-000011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a:extLst>
            <a:ext uri="{FF2B5EF4-FFF2-40B4-BE49-F238E27FC236}">
              <a16:creationId xmlns:a16="http://schemas.microsoft.com/office/drawing/2014/main" id="{00000000-0008-0000-5600-000009000000}"/>
            </a:ext>
          </a:extLst>
        </xdr:cNvPr>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175260</xdr:colOff>
          <xdr:row>13</xdr:row>
          <xdr:rowOff>60960</xdr:rowOff>
        </xdr:from>
        <xdr:to>
          <xdr:col>10</xdr:col>
          <xdr:colOff>388620</xdr:colOff>
          <xdr:row>14</xdr:row>
          <xdr:rowOff>45720</xdr:rowOff>
        </xdr:to>
        <xdr:sp macro="" textlink="">
          <xdr:nvSpPr>
            <xdr:cNvPr id="107538" name="Check Box 18" hidden="1">
              <a:extLst>
                <a:ext uri="{63B3BB69-23CF-44E3-9099-C40C66FF867C}">
                  <a14:compatExt spid="_x0000_s107538"/>
                </a:ext>
                <a:ext uri="{FF2B5EF4-FFF2-40B4-BE49-F238E27FC236}">
                  <a16:creationId xmlns:a16="http://schemas.microsoft.com/office/drawing/2014/main" id="{00000000-0008-0000-5600-000012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38100</xdr:rowOff>
        </xdr:from>
        <xdr:to>
          <xdr:col>10</xdr:col>
          <xdr:colOff>388620</xdr:colOff>
          <xdr:row>14</xdr:row>
          <xdr:rowOff>182880</xdr:rowOff>
        </xdr:to>
        <xdr:sp macro="" textlink="">
          <xdr:nvSpPr>
            <xdr:cNvPr id="107539" name="Check Box 19" hidden="1">
              <a:extLst>
                <a:ext uri="{63B3BB69-23CF-44E3-9099-C40C66FF867C}">
                  <a14:compatExt spid="_x0000_s107539"/>
                </a:ext>
                <a:ext uri="{FF2B5EF4-FFF2-40B4-BE49-F238E27FC236}">
                  <a16:creationId xmlns:a16="http://schemas.microsoft.com/office/drawing/2014/main" id="{00000000-0008-0000-5600-000013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175260</xdr:rowOff>
        </xdr:from>
        <xdr:to>
          <xdr:col>10</xdr:col>
          <xdr:colOff>388620</xdr:colOff>
          <xdr:row>15</xdr:row>
          <xdr:rowOff>121920</xdr:rowOff>
        </xdr:to>
        <xdr:sp macro="" textlink="">
          <xdr:nvSpPr>
            <xdr:cNvPr id="107540" name="Check Box 20" hidden="1">
              <a:extLst>
                <a:ext uri="{63B3BB69-23CF-44E3-9099-C40C66FF867C}">
                  <a14:compatExt spid="_x0000_s107540"/>
                </a:ext>
                <a:ext uri="{FF2B5EF4-FFF2-40B4-BE49-F238E27FC236}">
                  <a16:creationId xmlns:a16="http://schemas.microsoft.com/office/drawing/2014/main" id="{00000000-0008-0000-5600-000014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15</xdr:row>
          <xdr:rowOff>152400</xdr:rowOff>
        </xdr:from>
        <xdr:to>
          <xdr:col>10</xdr:col>
          <xdr:colOff>381000</xdr:colOff>
          <xdr:row>16</xdr:row>
          <xdr:rowOff>114300</xdr:rowOff>
        </xdr:to>
        <xdr:sp macro="" textlink="">
          <xdr:nvSpPr>
            <xdr:cNvPr id="107541" name="Check Box 21" hidden="1">
              <a:extLst>
                <a:ext uri="{63B3BB69-23CF-44E3-9099-C40C66FF867C}">
                  <a14:compatExt spid="_x0000_s107541"/>
                </a:ext>
                <a:ext uri="{FF2B5EF4-FFF2-40B4-BE49-F238E27FC236}">
                  <a16:creationId xmlns:a16="http://schemas.microsoft.com/office/drawing/2014/main" id="{00000000-0008-0000-5600-000015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xdr:row>
          <xdr:rowOff>38100</xdr:rowOff>
        </xdr:from>
        <xdr:to>
          <xdr:col>7</xdr:col>
          <xdr:colOff>365760</xdr:colOff>
          <xdr:row>14</xdr:row>
          <xdr:rowOff>22860</xdr:rowOff>
        </xdr:to>
        <xdr:sp macro="" textlink="">
          <xdr:nvSpPr>
            <xdr:cNvPr id="107542" name="Check Box 22" hidden="1">
              <a:extLst>
                <a:ext uri="{63B3BB69-23CF-44E3-9099-C40C66FF867C}">
                  <a14:compatExt spid="_x0000_s107542"/>
                </a:ext>
                <a:ext uri="{FF2B5EF4-FFF2-40B4-BE49-F238E27FC236}">
                  <a16:creationId xmlns:a16="http://schemas.microsoft.com/office/drawing/2014/main" id="{00000000-0008-0000-5600-000016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14</xdr:row>
          <xdr:rowOff>45720</xdr:rowOff>
        </xdr:from>
        <xdr:to>
          <xdr:col>7</xdr:col>
          <xdr:colOff>350520</xdr:colOff>
          <xdr:row>15</xdr:row>
          <xdr:rowOff>0</xdr:rowOff>
        </xdr:to>
        <xdr:sp macro="" textlink="">
          <xdr:nvSpPr>
            <xdr:cNvPr id="107543" name="Check Box 23" hidden="1">
              <a:extLst>
                <a:ext uri="{63B3BB69-23CF-44E3-9099-C40C66FF867C}">
                  <a14:compatExt spid="_x0000_s107543"/>
                </a:ext>
                <a:ext uri="{FF2B5EF4-FFF2-40B4-BE49-F238E27FC236}">
                  <a16:creationId xmlns:a16="http://schemas.microsoft.com/office/drawing/2014/main" id="{00000000-0008-0000-5600-000017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15</xdr:row>
          <xdr:rowOff>38100</xdr:rowOff>
        </xdr:from>
        <xdr:to>
          <xdr:col>7</xdr:col>
          <xdr:colOff>365760</xdr:colOff>
          <xdr:row>15</xdr:row>
          <xdr:rowOff>182880</xdr:rowOff>
        </xdr:to>
        <xdr:sp macro="" textlink="">
          <xdr:nvSpPr>
            <xdr:cNvPr id="107544" name="Check Box 24" hidden="1">
              <a:extLst>
                <a:ext uri="{63B3BB69-23CF-44E3-9099-C40C66FF867C}">
                  <a14:compatExt spid="_x0000_s107544"/>
                </a:ext>
                <a:ext uri="{FF2B5EF4-FFF2-40B4-BE49-F238E27FC236}">
                  <a16:creationId xmlns:a16="http://schemas.microsoft.com/office/drawing/2014/main" id="{00000000-0008-0000-5600-000018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160020</xdr:colOff>
          <xdr:row>16</xdr:row>
          <xdr:rowOff>38100</xdr:rowOff>
        </xdr:from>
        <xdr:to>
          <xdr:col>7</xdr:col>
          <xdr:colOff>388620</xdr:colOff>
          <xdr:row>16</xdr:row>
          <xdr:rowOff>182880</xdr:rowOff>
        </xdr:to>
        <xdr:sp macro="" textlink="">
          <xdr:nvSpPr>
            <xdr:cNvPr id="107545" name="Check Box 25" hidden="1">
              <a:extLst>
                <a:ext uri="{63B3BB69-23CF-44E3-9099-C40C66FF867C}">
                  <a14:compatExt spid="_x0000_s107545"/>
                </a:ext>
                <a:ext uri="{FF2B5EF4-FFF2-40B4-BE49-F238E27FC236}">
                  <a16:creationId xmlns:a16="http://schemas.microsoft.com/office/drawing/2014/main" id="{00000000-0008-0000-5600-000019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13</xdr:row>
          <xdr:rowOff>60960</xdr:rowOff>
        </xdr:from>
        <xdr:to>
          <xdr:col>13</xdr:col>
          <xdr:colOff>403860</xdr:colOff>
          <xdr:row>14</xdr:row>
          <xdr:rowOff>45720</xdr:rowOff>
        </xdr:to>
        <xdr:sp macro="" textlink="">
          <xdr:nvSpPr>
            <xdr:cNvPr id="107546" name="Check Box 26" hidden="1">
              <a:extLst>
                <a:ext uri="{63B3BB69-23CF-44E3-9099-C40C66FF867C}">
                  <a14:compatExt spid="_x0000_s107546"/>
                </a:ext>
                <a:ext uri="{FF2B5EF4-FFF2-40B4-BE49-F238E27FC236}">
                  <a16:creationId xmlns:a16="http://schemas.microsoft.com/office/drawing/2014/main" id="{00000000-0008-0000-5600-00001A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14</xdr:row>
          <xdr:rowOff>38100</xdr:rowOff>
        </xdr:from>
        <xdr:to>
          <xdr:col>13</xdr:col>
          <xdr:colOff>403860</xdr:colOff>
          <xdr:row>14</xdr:row>
          <xdr:rowOff>182880</xdr:rowOff>
        </xdr:to>
        <xdr:sp macro="" textlink="">
          <xdr:nvSpPr>
            <xdr:cNvPr id="107547" name="Check Box 27" hidden="1">
              <a:extLst>
                <a:ext uri="{63B3BB69-23CF-44E3-9099-C40C66FF867C}">
                  <a14:compatExt spid="_x0000_s107547"/>
                </a:ext>
                <a:ext uri="{FF2B5EF4-FFF2-40B4-BE49-F238E27FC236}">
                  <a16:creationId xmlns:a16="http://schemas.microsoft.com/office/drawing/2014/main" id="{00000000-0008-0000-5600-00001B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15</xdr:row>
          <xdr:rowOff>22860</xdr:rowOff>
        </xdr:from>
        <xdr:to>
          <xdr:col>13</xdr:col>
          <xdr:colOff>403860</xdr:colOff>
          <xdr:row>15</xdr:row>
          <xdr:rowOff>175260</xdr:rowOff>
        </xdr:to>
        <xdr:sp macro="" textlink="">
          <xdr:nvSpPr>
            <xdr:cNvPr id="107548" name="Check Box 28" hidden="1">
              <a:extLst>
                <a:ext uri="{63B3BB69-23CF-44E3-9099-C40C66FF867C}">
                  <a14:compatExt spid="_x0000_s107548"/>
                </a:ext>
                <a:ext uri="{FF2B5EF4-FFF2-40B4-BE49-F238E27FC236}">
                  <a16:creationId xmlns:a16="http://schemas.microsoft.com/office/drawing/2014/main" id="{00000000-0008-0000-5600-00001C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16</xdr:row>
          <xdr:rowOff>22860</xdr:rowOff>
        </xdr:from>
        <xdr:to>
          <xdr:col>13</xdr:col>
          <xdr:colOff>403860</xdr:colOff>
          <xdr:row>16</xdr:row>
          <xdr:rowOff>175260</xdr:rowOff>
        </xdr:to>
        <xdr:sp macro="" textlink="">
          <xdr:nvSpPr>
            <xdr:cNvPr id="107549" name="Check Box 29" hidden="1">
              <a:extLst>
                <a:ext uri="{63B3BB69-23CF-44E3-9099-C40C66FF867C}">
                  <a14:compatExt spid="_x0000_s107549"/>
                </a:ext>
                <a:ext uri="{FF2B5EF4-FFF2-40B4-BE49-F238E27FC236}">
                  <a16:creationId xmlns:a16="http://schemas.microsoft.com/office/drawing/2014/main" id="{00000000-0008-0000-5600-00001D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106680</xdr:rowOff>
        </xdr:from>
        <xdr:to>
          <xdr:col>12</xdr:col>
          <xdr:colOff>220980</xdr:colOff>
          <xdr:row>2</xdr:row>
          <xdr:rowOff>259080</xdr:rowOff>
        </xdr:to>
        <xdr:sp macro="" textlink="">
          <xdr:nvSpPr>
            <xdr:cNvPr id="107550" name="Check Box 30" hidden="1">
              <a:extLst>
                <a:ext uri="{63B3BB69-23CF-44E3-9099-C40C66FF867C}">
                  <a14:compatExt spid="_x0000_s107550"/>
                </a:ext>
                <a:ext uri="{FF2B5EF4-FFF2-40B4-BE49-F238E27FC236}">
                  <a16:creationId xmlns:a16="http://schemas.microsoft.com/office/drawing/2014/main" id="{00000000-0008-0000-5600-00001E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45720</xdr:colOff>
          <xdr:row>3</xdr:row>
          <xdr:rowOff>60960</xdr:rowOff>
        </xdr:from>
        <xdr:to>
          <xdr:col>12</xdr:col>
          <xdr:colOff>228600</xdr:colOff>
          <xdr:row>3</xdr:row>
          <xdr:rowOff>213360</xdr:rowOff>
        </xdr:to>
        <xdr:sp macro="" textlink="">
          <xdr:nvSpPr>
            <xdr:cNvPr id="107551" name="Check Box 31" hidden="1">
              <a:extLst>
                <a:ext uri="{63B3BB69-23CF-44E3-9099-C40C66FF867C}">
                  <a14:compatExt spid="_x0000_s107551"/>
                </a:ext>
                <a:ext uri="{FF2B5EF4-FFF2-40B4-BE49-F238E27FC236}">
                  <a16:creationId xmlns:a16="http://schemas.microsoft.com/office/drawing/2014/main" id="{00000000-0008-0000-5600-00001F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57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57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22</xdr:colOff>
      <xdr:row>0</xdr:row>
      <xdr:rowOff>190499</xdr:rowOff>
    </xdr:to>
    <xdr:sp macro="" textlink="$J$1">
      <xdr:nvSpPr>
        <xdr:cNvPr id="4" name="Rechteck 3">
          <a:extLst>
            <a:ext uri="{FF2B5EF4-FFF2-40B4-BE49-F238E27FC236}">
              <a16:creationId xmlns:a16="http://schemas.microsoft.com/office/drawing/2014/main" id="{00000000-0008-0000-5700-000004000000}"/>
            </a:ext>
          </a:extLst>
        </xdr:cNvPr>
        <xdr:cNvSpPr/>
      </xdr:nvSpPr>
      <xdr:spPr bwMode="auto">
        <a:xfrm>
          <a:off x="7314301" y="0"/>
          <a:ext cx="686721"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00B2714-770E-4DEB-871A-758080ABA5B8}" type="TxLink">
            <a:rPr lang="de-DE" sz="1100"/>
            <a:pPr algn="l"/>
            <a:t>#BEZUG!</a:t>
          </a:fld>
          <a:endParaRPr lang="de-DE" sz="1100"/>
        </a:p>
      </xdr:txBody>
    </xdr:sp>
    <xdr:clientData/>
  </xdr:twoCellAnchor>
  <xdr:twoCellAnchor>
    <xdr:from>
      <xdr:col>12</xdr:col>
      <xdr:colOff>66675</xdr:colOff>
      <xdr:row>0</xdr:row>
      <xdr:rowOff>9525</xdr:rowOff>
    </xdr:from>
    <xdr:to>
      <xdr:col>12</xdr:col>
      <xdr:colOff>517287</xdr:colOff>
      <xdr:row>0</xdr:row>
      <xdr:rowOff>200024</xdr:rowOff>
    </xdr:to>
    <xdr:sp macro="" textlink="$M$1">
      <xdr:nvSpPr>
        <xdr:cNvPr id="5" name="Rechteck 4">
          <a:extLst>
            <a:ext uri="{FF2B5EF4-FFF2-40B4-BE49-F238E27FC236}">
              <a16:creationId xmlns:a16="http://schemas.microsoft.com/office/drawing/2014/main" id="{00000000-0008-0000-5700-000005000000}"/>
            </a:ext>
          </a:extLst>
        </xdr:cNvPr>
        <xdr:cNvSpPr/>
      </xdr:nvSpPr>
      <xdr:spPr bwMode="auto">
        <a:xfrm>
          <a:off x="9667875" y="9525"/>
          <a:ext cx="450612" cy="16001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4CCEC1A-2387-4B2C-968F-3C00153DD1C1}" type="TxLink">
            <a:rPr lang="de-DE" sz="1100"/>
            <a:pPr algn="l"/>
            <a:t>#BEZUG!</a:t>
          </a:fld>
          <a:endParaRPr lang="de-DE" sz="1100"/>
        </a:p>
      </xdr:txBody>
    </xdr:sp>
    <xdr:clientData/>
  </xdr:twoCellAnchor>
  <xdr:twoCellAnchor>
    <xdr:from>
      <xdr:col>15</xdr:col>
      <xdr:colOff>91440</xdr:colOff>
      <xdr:row>0</xdr:row>
      <xdr:rowOff>0</xdr:rowOff>
    </xdr:from>
    <xdr:to>
      <xdr:col>15</xdr:col>
      <xdr:colOff>533217</xdr:colOff>
      <xdr:row>0</xdr:row>
      <xdr:rowOff>190499</xdr:rowOff>
    </xdr:to>
    <xdr:sp macro="" textlink="$P$1">
      <xdr:nvSpPr>
        <xdr:cNvPr id="6" name="Rechteck 5">
          <a:extLst>
            <a:ext uri="{FF2B5EF4-FFF2-40B4-BE49-F238E27FC236}">
              <a16:creationId xmlns:a16="http://schemas.microsoft.com/office/drawing/2014/main" id="{00000000-0008-0000-5700-000006000000}"/>
            </a:ext>
          </a:extLst>
        </xdr:cNvPr>
        <xdr:cNvSpPr/>
      </xdr:nvSpPr>
      <xdr:spPr bwMode="auto">
        <a:xfrm>
          <a:off x="12092940" y="0"/>
          <a:ext cx="441777"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548B608-AA48-40A2-9C42-A5692FCB178A}"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213360</xdr:colOff>
          <xdr:row>1</xdr:row>
          <xdr:rowOff>259080</xdr:rowOff>
        </xdr:from>
        <xdr:to>
          <xdr:col>18</xdr:col>
          <xdr:colOff>480060</xdr:colOff>
          <xdr:row>2</xdr:row>
          <xdr:rowOff>182880</xdr:rowOff>
        </xdr:to>
        <xdr:sp macro="" textlink="">
          <xdr:nvSpPr>
            <xdr:cNvPr id="108560" name="Check Box 16" hidden="1">
              <a:extLst>
                <a:ext uri="{63B3BB69-23CF-44E3-9099-C40C66FF867C}">
                  <a14:compatExt spid="_x0000_s108560"/>
                </a:ext>
                <a:ext uri="{FF2B5EF4-FFF2-40B4-BE49-F238E27FC236}">
                  <a16:creationId xmlns:a16="http://schemas.microsoft.com/office/drawing/2014/main" id="{00000000-0008-0000-5700-000010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213360</xdr:colOff>
          <xdr:row>1</xdr:row>
          <xdr:rowOff>60960</xdr:rowOff>
        </xdr:from>
        <xdr:to>
          <xdr:col>18</xdr:col>
          <xdr:colOff>480060</xdr:colOff>
          <xdr:row>1</xdr:row>
          <xdr:rowOff>297180</xdr:rowOff>
        </xdr:to>
        <xdr:sp macro="" textlink="">
          <xdr:nvSpPr>
            <xdr:cNvPr id="108561" name="Check Box 17" hidden="1">
              <a:extLst>
                <a:ext uri="{63B3BB69-23CF-44E3-9099-C40C66FF867C}">
                  <a14:compatExt spid="_x0000_s108561"/>
                </a:ext>
                <a:ext uri="{FF2B5EF4-FFF2-40B4-BE49-F238E27FC236}">
                  <a16:creationId xmlns:a16="http://schemas.microsoft.com/office/drawing/2014/main" id="{00000000-0008-0000-5700-000011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a:extLst>
            <a:ext uri="{FF2B5EF4-FFF2-40B4-BE49-F238E27FC236}">
              <a16:creationId xmlns:a16="http://schemas.microsoft.com/office/drawing/2014/main" id="{00000000-0008-0000-5700-000009000000}"/>
            </a:ext>
          </a:extLst>
        </xdr:cNvPr>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175260</xdr:colOff>
          <xdr:row>13</xdr:row>
          <xdr:rowOff>60960</xdr:rowOff>
        </xdr:from>
        <xdr:to>
          <xdr:col>10</xdr:col>
          <xdr:colOff>388620</xdr:colOff>
          <xdr:row>14</xdr:row>
          <xdr:rowOff>45720</xdr:rowOff>
        </xdr:to>
        <xdr:sp macro="" textlink="">
          <xdr:nvSpPr>
            <xdr:cNvPr id="108562" name="Check Box 18" hidden="1">
              <a:extLst>
                <a:ext uri="{63B3BB69-23CF-44E3-9099-C40C66FF867C}">
                  <a14:compatExt spid="_x0000_s108562"/>
                </a:ext>
                <a:ext uri="{FF2B5EF4-FFF2-40B4-BE49-F238E27FC236}">
                  <a16:creationId xmlns:a16="http://schemas.microsoft.com/office/drawing/2014/main" id="{00000000-0008-0000-5700-000012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38100</xdr:rowOff>
        </xdr:from>
        <xdr:to>
          <xdr:col>10</xdr:col>
          <xdr:colOff>388620</xdr:colOff>
          <xdr:row>14</xdr:row>
          <xdr:rowOff>182880</xdr:rowOff>
        </xdr:to>
        <xdr:sp macro="" textlink="">
          <xdr:nvSpPr>
            <xdr:cNvPr id="108563" name="Check Box 19" hidden="1">
              <a:extLst>
                <a:ext uri="{63B3BB69-23CF-44E3-9099-C40C66FF867C}">
                  <a14:compatExt spid="_x0000_s108563"/>
                </a:ext>
                <a:ext uri="{FF2B5EF4-FFF2-40B4-BE49-F238E27FC236}">
                  <a16:creationId xmlns:a16="http://schemas.microsoft.com/office/drawing/2014/main" id="{00000000-0008-0000-5700-000013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175260</xdr:rowOff>
        </xdr:from>
        <xdr:to>
          <xdr:col>10</xdr:col>
          <xdr:colOff>388620</xdr:colOff>
          <xdr:row>15</xdr:row>
          <xdr:rowOff>121920</xdr:rowOff>
        </xdr:to>
        <xdr:sp macro="" textlink="">
          <xdr:nvSpPr>
            <xdr:cNvPr id="108564" name="Check Box 20" hidden="1">
              <a:extLst>
                <a:ext uri="{63B3BB69-23CF-44E3-9099-C40C66FF867C}">
                  <a14:compatExt spid="_x0000_s108564"/>
                </a:ext>
                <a:ext uri="{FF2B5EF4-FFF2-40B4-BE49-F238E27FC236}">
                  <a16:creationId xmlns:a16="http://schemas.microsoft.com/office/drawing/2014/main" id="{00000000-0008-0000-5700-000014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15</xdr:row>
          <xdr:rowOff>152400</xdr:rowOff>
        </xdr:from>
        <xdr:to>
          <xdr:col>10</xdr:col>
          <xdr:colOff>381000</xdr:colOff>
          <xdr:row>16</xdr:row>
          <xdr:rowOff>114300</xdr:rowOff>
        </xdr:to>
        <xdr:sp macro="" textlink="">
          <xdr:nvSpPr>
            <xdr:cNvPr id="108565" name="Check Box 21" hidden="1">
              <a:extLst>
                <a:ext uri="{63B3BB69-23CF-44E3-9099-C40C66FF867C}">
                  <a14:compatExt spid="_x0000_s108565"/>
                </a:ext>
                <a:ext uri="{FF2B5EF4-FFF2-40B4-BE49-F238E27FC236}">
                  <a16:creationId xmlns:a16="http://schemas.microsoft.com/office/drawing/2014/main" id="{00000000-0008-0000-5700-000015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xdr:row>
          <xdr:rowOff>38100</xdr:rowOff>
        </xdr:from>
        <xdr:to>
          <xdr:col>7</xdr:col>
          <xdr:colOff>365760</xdr:colOff>
          <xdr:row>14</xdr:row>
          <xdr:rowOff>22860</xdr:rowOff>
        </xdr:to>
        <xdr:sp macro="" textlink="">
          <xdr:nvSpPr>
            <xdr:cNvPr id="108566" name="Check Box 22" hidden="1">
              <a:extLst>
                <a:ext uri="{63B3BB69-23CF-44E3-9099-C40C66FF867C}">
                  <a14:compatExt spid="_x0000_s108566"/>
                </a:ext>
                <a:ext uri="{FF2B5EF4-FFF2-40B4-BE49-F238E27FC236}">
                  <a16:creationId xmlns:a16="http://schemas.microsoft.com/office/drawing/2014/main" id="{00000000-0008-0000-5700-000016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14</xdr:row>
          <xdr:rowOff>45720</xdr:rowOff>
        </xdr:from>
        <xdr:to>
          <xdr:col>7</xdr:col>
          <xdr:colOff>350520</xdr:colOff>
          <xdr:row>15</xdr:row>
          <xdr:rowOff>0</xdr:rowOff>
        </xdr:to>
        <xdr:sp macro="" textlink="">
          <xdr:nvSpPr>
            <xdr:cNvPr id="108567" name="Check Box 23" hidden="1">
              <a:extLst>
                <a:ext uri="{63B3BB69-23CF-44E3-9099-C40C66FF867C}">
                  <a14:compatExt spid="_x0000_s108567"/>
                </a:ext>
                <a:ext uri="{FF2B5EF4-FFF2-40B4-BE49-F238E27FC236}">
                  <a16:creationId xmlns:a16="http://schemas.microsoft.com/office/drawing/2014/main" id="{00000000-0008-0000-5700-000017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15</xdr:row>
          <xdr:rowOff>38100</xdr:rowOff>
        </xdr:from>
        <xdr:to>
          <xdr:col>7</xdr:col>
          <xdr:colOff>365760</xdr:colOff>
          <xdr:row>15</xdr:row>
          <xdr:rowOff>182880</xdr:rowOff>
        </xdr:to>
        <xdr:sp macro="" textlink="">
          <xdr:nvSpPr>
            <xdr:cNvPr id="108568" name="Check Box 24" hidden="1">
              <a:extLst>
                <a:ext uri="{63B3BB69-23CF-44E3-9099-C40C66FF867C}">
                  <a14:compatExt spid="_x0000_s108568"/>
                </a:ext>
                <a:ext uri="{FF2B5EF4-FFF2-40B4-BE49-F238E27FC236}">
                  <a16:creationId xmlns:a16="http://schemas.microsoft.com/office/drawing/2014/main" id="{00000000-0008-0000-5700-000018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160020</xdr:colOff>
          <xdr:row>16</xdr:row>
          <xdr:rowOff>38100</xdr:rowOff>
        </xdr:from>
        <xdr:to>
          <xdr:col>7</xdr:col>
          <xdr:colOff>388620</xdr:colOff>
          <xdr:row>16</xdr:row>
          <xdr:rowOff>182880</xdr:rowOff>
        </xdr:to>
        <xdr:sp macro="" textlink="">
          <xdr:nvSpPr>
            <xdr:cNvPr id="108569" name="Check Box 25" hidden="1">
              <a:extLst>
                <a:ext uri="{63B3BB69-23CF-44E3-9099-C40C66FF867C}">
                  <a14:compatExt spid="_x0000_s108569"/>
                </a:ext>
                <a:ext uri="{FF2B5EF4-FFF2-40B4-BE49-F238E27FC236}">
                  <a16:creationId xmlns:a16="http://schemas.microsoft.com/office/drawing/2014/main" id="{00000000-0008-0000-5700-000019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13</xdr:row>
          <xdr:rowOff>60960</xdr:rowOff>
        </xdr:from>
        <xdr:to>
          <xdr:col>13</xdr:col>
          <xdr:colOff>403860</xdr:colOff>
          <xdr:row>14</xdr:row>
          <xdr:rowOff>45720</xdr:rowOff>
        </xdr:to>
        <xdr:sp macro="" textlink="">
          <xdr:nvSpPr>
            <xdr:cNvPr id="108570" name="Check Box 26" hidden="1">
              <a:extLst>
                <a:ext uri="{63B3BB69-23CF-44E3-9099-C40C66FF867C}">
                  <a14:compatExt spid="_x0000_s108570"/>
                </a:ext>
                <a:ext uri="{FF2B5EF4-FFF2-40B4-BE49-F238E27FC236}">
                  <a16:creationId xmlns:a16="http://schemas.microsoft.com/office/drawing/2014/main" id="{00000000-0008-0000-5700-00001A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14</xdr:row>
          <xdr:rowOff>38100</xdr:rowOff>
        </xdr:from>
        <xdr:to>
          <xdr:col>13</xdr:col>
          <xdr:colOff>403860</xdr:colOff>
          <xdr:row>14</xdr:row>
          <xdr:rowOff>182880</xdr:rowOff>
        </xdr:to>
        <xdr:sp macro="" textlink="">
          <xdr:nvSpPr>
            <xdr:cNvPr id="108571" name="Check Box 27" hidden="1">
              <a:extLst>
                <a:ext uri="{63B3BB69-23CF-44E3-9099-C40C66FF867C}">
                  <a14:compatExt spid="_x0000_s108571"/>
                </a:ext>
                <a:ext uri="{FF2B5EF4-FFF2-40B4-BE49-F238E27FC236}">
                  <a16:creationId xmlns:a16="http://schemas.microsoft.com/office/drawing/2014/main" id="{00000000-0008-0000-5700-00001B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15</xdr:row>
          <xdr:rowOff>22860</xdr:rowOff>
        </xdr:from>
        <xdr:to>
          <xdr:col>13</xdr:col>
          <xdr:colOff>403860</xdr:colOff>
          <xdr:row>15</xdr:row>
          <xdr:rowOff>175260</xdr:rowOff>
        </xdr:to>
        <xdr:sp macro="" textlink="">
          <xdr:nvSpPr>
            <xdr:cNvPr id="108572" name="Check Box 28" hidden="1">
              <a:extLst>
                <a:ext uri="{63B3BB69-23CF-44E3-9099-C40C66FF867C}">
                  <a14:compatExt spid="_x0000_s108572"/>
                </a:ext>
                <a:ext uri="{FF2B5EF4-FFF2-40B4-BE49-F238E27FC236}">
                  <a16:creationId xmlns:a16="http://schemas.microsoft.com/office/drawing/2014/main" id="{00000000-0008-0000-5700-00001C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16</xdr:row>
          <xdr:rowOff>22860</xdr:rowOff>
        </xdr:from>
        <xdr:to>
          <xdr:col>13</xdr:col>
          <xdr:colOff>403860</xdr:colOff>
          <xdr:row>16</xdr:row>
          <xdr:rowOff>175260</xdr:rowOff>
        </xdr:to>
        <xdr:sp macro="" textlink="">
          <xdr:nvSpPr>
            <xdr:cNvPr id="108573" name="Check Box 29" hidden="1">
              <a:extLst>
                <a:ext uri="{63B3BB69-23CF-44E3-9099-C40C66FF867C}">
                  <a14:compatExt spid="_x0000_s108573"/>
                </a:ext>
                <a:ext uri="{FF2B5EF4-FFF2-40B4-BE49-F238E27FC236}">
                  <a16:creationId xmlns:a16="http://schemas.microsoft.com/office/drawing/2014/main" id="{00000000-0008-0000-5700-00001D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106680</xdr:rowOff>
        </xdr:from>
        <xdr:to>
          <xdr:col>12</xdr:col>
          <xdr:colOff>220980</xdr:colOff>
          <xdr:row>2</xdr:row>
          <xdr:rowOff>259080</xdr:rowOff>
        </xdr:to>
        <xdr:sp macro="" textlink="">
          <xdr:nvSpPr>
            <xdr:cNvPr id="108574" name="Check Box 30" hidden="1">
              <a:extLst>
                <a:ext uri="{63B3BB69-23CF-44E3-9099-C40C66FF867C}">
                  <a14:compatExt spid="_x0000_s108574"/>
                </a:ext>
                <a:ext uri="{FF2B5EF4-FFF2-40B4-BE49-F238E27FC236}">
                  <a16:creationId xmlns:a16="http://schemas.microsoft.com/office/drawing/2014/main" id="{00000000-0008-0000-5700-00001E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45720</xdr:colOff>
          <xdr:row>3</xdr:row>
          <xdr:rowOff>60960</xdr:rowOff>
        </xdr:from>
        <xdr:to>
          <xdr:col>12</xdr:col>
          <xdr:colOff>228600</xdr:colOff>
          <xdr:row>3</xdr:row>
          <xdr:rowOff>213360</xdr:rowOff>
        </xdr:to>
        <xdr:sp macro="" textlink="">
          <xdr:nvSpPr>
            <xdr:cNvPr id="108575" name="Check Box 31" hidden="1">
              <a:extLst>
                <a:ext uri="{63B3BB69-23CF-44E3-9099-C40C66FF867C}">
                  <a14:compatExt spid="_x0000_s108575"/>
                </a:ext>
                <a:ext uri="{FF2B5EF4-FFF2-40B4-BE49-F238E27FC236}">
                  <a16:creationId xmlns:a16="http://schemas.microsoft.com/office/drawing/2014/main" id="{00000000-0008-0000-5700-00001F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c:userShapes xmlns:c="http://schemas.openxmlformats.org/drawingml/2006/chart">
  <cdr:relSizeAnchor xmlns:cdr="http://schemas.openxmlformats.org/drawingml/2006/chartDrawing">
    <cdr:from>
      <cdr:x>0.68599</cdr:x>
      <cdr:y>0.08559</cdr:y>
    </cdr:from>
    <cdr:to>
      <cdr:x>0.93212</cdr:x>
      <cdr:y>0.33292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3.xml"/><Relationship Id="rId4" Type="http://schemas.openxmlformats.org/officeDocument/2006/relationships/printerSettings" Target="../printerSettings/printerSettings3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5.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6.vml"/><Relationship Id="rId5" Type="http://schemas.openxmlformats.org/officeDocument/2006/relationships/drawing" Target="../drawings/drawing4.xml"/><Relationship Id="rId4" Type="http://schemas.openxmlformats.org/officeDocument/2006/relationships/printerSettings" Target="../printerSettings/printerSettings3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drawing" Target="../drawings/drawing5.xml"/><Relationship Id="rId4"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drawing" Target="../drawings/drawing6.xml"/><Relationship Id="rId4" Type="http://schemas.openxmlformats.org/officeDocument/2006/relationships/printerSettings" Target="../printerSettings/printerSettings4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5" Type="http://schemas.openxmlformats.org/officeDocument/2006/relationships/drawing" Target="../drawings/drawing8.xml"/><Relationship Id="rId4" Type="http://schemas.openxmlformats.org/officeDocument/2006/relationships/printerSettings" Target="../printerSettings/printerSettings48.bin"/></Relationships>
</file>

<file path=xl/worksheets/_rels/sheet15.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printerSettings" Target="../printerSettings/printerSettings51.bin"/><Relationship Id="rId7" Type="http://schemas.openxmlformats.org/officeDocument/2006/relationships/ctrlProp" Target="../ctrlProps/ctrlProp26.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7.vml"/><Relationship Id="rId5" Type="http://schemas.openxmlformats.org/officeDocument/2006/relationships/drawing" Target="../drawings/drawing10.xml"/><Relationship Id="rId4" Type="http://schemas.openxmlformats.org/officeDocument/2006/relationships/printerSettings" Target="../printerSettings/printerSettings5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trlProp" Target="../ctrlProps/ctrlProp27.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8.vml"/><Relationship Id="rId5" Type="http://schemas.openxmlformats.org/officeDocument/2006/relationships/drawing" Target="../drawings/drawing11.xml"/><Relationship Id="rId4" Type="http://schemas.openxmlformats.org/officeDocument/2006/relationships/printerSettings" Target="../printerSettings/printerSettings5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drawing" Target="../drawings/drawing12.xml"/><Relationship Id="rId4" Type="http://schemas.openxmlformats.org/officeDocument/2006/relationships/printerSettings" Target="../printerSettings/printerSettings6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7.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9.vml"/><Relationship Id="rId5" Type="http://schemas.openxmlformats.org/officeDocument/2006/relationships/drawing" Target="../drawings/drawing13.xml"/><Relationship Id="rId4" Type="http://schemas.openxmlformats.org/officeDocument/2006/relationships/printerSettings" Target="../printerSettings/printerSettings6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7.bin"/><Relationship Id="rId7" Type="http://schemas.openxmlformats.org/officeDocument/2006/relationships/comments" Target="../comments8.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vmlDrawing" Target="../drawings/vmlDrawing10.vml"/><Relationship Id="rId5" Type="http://schemas.openxmlformats.org/officeDocument/2006/relationships/drawing" Target="../drawings/drawing14.xml"/><Relationship Id="rId4" Type="http://schemas.openxmlformats.org/officeDocument/2006/relationships/printerSettings" Target="../printerSettings/printerSettings6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7" Type="http://schemas.openxmlformats.org/officeDocument/2006/relationships/comments" Target="../comments9.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vmlDrawing" Target="../drawings/vmlDrawing11.vml"/><Relationship Id="rId5" Type="http://schemas.openxmlformats.org/officeDocument/2006/relationships/drawing" Target="../drawings/drawing15.xml"/><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5.bin"/><Relationship Id="rId7" Type="http://schemas.openxmlformats.org/officeDocument/2006/relationships/comments" Target="../comments10.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vmlDrawing" Target="../drawings/vmlDrawing12.vml"/><Relationship Id="rId5" Type="http://schemas.openxmlformats.org/officeDocument/2006/relationships/drawing" Target="../drawings/drawing16.xml"/><Relationship Id="rId4" Type="http://schemas.openxmlformats.org/officeDocument/2006/relationships/printerSettings" Target="../printerSettings/printerSettings7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drawing" Target="../drawings/drawing17.xml"/><Relationship Id="rId4" Type="http://schemas.openxmlformats.org/officeDocument/2006/relationships/printerSettings" Target="../printerSettings/printerSettings8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drawing" Target="../drawings/drawing18.xml"/><Relationship Id="rId4" Type="http://schemas.openxmlformats.org/officeDocument/2006/relationships/printerSettings" Target="../printerSettings/printerSettings8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comments" Target="../comments11.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vmlDrawing" Target="../drawings/vmlDrawing13.vml"/><Relationship Id="rId5" Type="http://schemas.openxmlformats.org/officeDocument/2006/relationships/drawing" Target="../drawings/drawing19.xml"/><Relationship Id="rId4" Type="http://schemas.openxmlformats.org/officeDocument/2006/relationships/printerSettings" Target="../printerSettings/printerSettings8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5" Type="http://schemas.openxmlformats.org/officeDocument/2006/relationships/drawing" Target="../drawings/drawing20.xml"/><Relationship Id="rId4" Type="http://schemas.openxmlformats.org/officeDocument/2006/relationships/printerSettings" Target="../printerSettings/printerSettings9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95.bin"/><Relationship Id="rId7" Type="http://schemas.openxmlformats.org/officeDocument/2006/relationships/comments" Target="../comments12.xm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vmlDrawing" Target="../drawings/vmlDrawing14.vml"/><Relationship Id="rId5" Type="http://schemas.openxmlformats.org/officeDocument/2006/relationships/drawing" Target="../drawings/drawing21.xml"/><Relationship Id="rId4" Type="http://schemas.openxmlformats.org/officeDocument/2006/relationships/printerSettings" Target="../printerSettings/printerSettings9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comments" Target="../comments13.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vmlDrawing" Target="../drawings/vmlDrawing15.vml"/><Relationship Id="rId5" Type="http://schemas.openxmlformats.org/officeDocument/2006/relationships/drawing" Target="../drawings/drawing22.xml"/><Relationship Id="rId4" Type="http://schemas.openxmlformats.org/officeDocument/2006/relationships/printerSettings" Target="../printerSettings/printerSettings100.bin"/></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29.xml"/><Relationship Id="rId3" Type="http://schemas.openxmlformats.org/officeDocument/2006/relationships/printerSettings" Target="../printerSettings/printerSettings103.bin"/><Relationship Id="rId7" Type="http://schemas.openxmlformats.org/officeDocument/2006/relationships/ctrlProp" Target="../ctrlProps/ctrlProp28.x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vmlDrawing" Target="../drawings/vmlDrawing16.vml"/><Relationship Id="rId5" Type="http://schemas.openxmlformats.org/officeDocument/2006/relationships/drawing" Target="../drawings/drawing24.xml"/><Relationship Id="rId4" Type="http://schemas.openxmlformats.org/officeDocument/2006/relationships/printerSettings" Target="../printerSettings/printerSettings104.bin"/><Relationship Id="rId9"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printerSettings" Target="../printerSettings/printerSettings107.bin"/><Relationship Id="rId7" Type="http://schemas.openxmlformats.org/officeDocument/2006/relationships/ctrlProp" Target="../ctrlProps/ctrlProp30.x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vmlDrawing" Target="../drawings/vmlDrawing17.vml"/><Relationship Id="rId5" Type="http://schemas.openxmlformats.org/officeDocument/2006/relationships/drawing" Target="../drawings/drawing25.xml"/><Relationship Id="rId4" Type="http://schemas.openxmlformats.org/officeDocument/2006/relationships/printerSettings" Target="../printerSettings/printerSettings10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printerSettings" Target="../printerSettings/printerSettings111.bin"/><Relationship Id="rId7" Type="http://schemas.openxmlformats.org/officeDocument/2006/relationships/ctrlProp" Target="../ctrlProps/ctrlProp32.xm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vmlDrawing" Target="../drawings/vmlDrawing18.vml"/><Relationship Id="rId5" Type="http://schemas.openxmlformats.org/officeDocument/2006/relationships/drawing" Target="../drawings/drawing26.xml"/><Relationship Id="rId4" Type="http://schemas.openxmlformats.org/officeDocument/2006/relationships/printerSettings" Target="../printerSettings/printerSettings112.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35.xml"/><Relationship Id="rId3" Type="http://schemas.openxmlformats.org/officeDocument/2006/relationships/printerSettings" Target="../printerSettings/printerSettings115.bin"/><Relationship Id="rId7" Type="http://schemas.openxmlformats.org/officeDocument/2006/relationships/ctrlProp" Target="../ctrlProps/ctrlProp34.xm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vmlDrawing" Target="../drawings/vmlDrawing19.vml"/><Relationship Id="rId5" Type="http://schemas.openxmlformats.org/officeDocument/2006/relationships/drawing" Target="../drawings/drawing27.xml"/><Relationship Id="rId4" Type="http://schemas.openxmlformats.org/officeDocument/2006/relationships/printerSettings" Target="../printerSettings/printerSettings116.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printerSettings" Target="../printerSettings/printerSettings119.bin"/><Relationship Id="rId7" Type="http://schemas.openxmlformats.org/officeDocument/2006/relationships/ctrlProp" Target="../ctrlProps/ctrlProp36.xml"/><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6" Type="http://schemas.openxmlformats.org/officeDocument/2006/relationships/vmlDrawing" Target="../drawings/vmlDrawing20.vml"/><Relationship Id="rId5" Type="http://schemas.openxmlformats.org/officeDocument/2006/relationships/drawing" Target="../drawings/drawing28.xml"/><Relationship Id="rId4" Type="http://schemas.openxmlformats.org/officeDocument/2006/relationships/printerSettings" Target="../printerSettings/printerSettings120.bin"/></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printerSettings" Target="../printerSettings/printerSettings123.bin"/><Relationship Id="rId7" Type="http://schemas.openxmlformats.org/officeDocument/2006/relationships/ctrlProp" Target="../ctrlProps/ctrlProp38.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vmlDrawing" Target="../drawings/vmlDrawing21.vml"/><Relationship Id="rId5" Type="http://schemas.openxmlformats.org/officeDocument/2006/relationships/drawing" Target="../drawings/drawing29.xml"/><Relationship Id="rId4" Type="http://schemas.openxmlformats.org/officeDocument/2006/relationships/printerSettings" Target="../printerSettings/printerSettings124.bin"/></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printerSettings" Target="../printerSettings/printerSettings127.bin"/><Relationship Id="rId7" Type="http://schemas.openxmlformats.org/officeDocument/2006/relationships/ctrlProp" Target="../ctrlProps/ctrlProp40.xml"/><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6" Type="http://schemas.openxmlformats.org/officeDocument/2006/relationships/vmlDrawing" Target="../drawings/vmlDrawing22.vml"/><Relationship Id="rId5" Type="http://schemas.openxmlformats.org/officeDocument/2006/relationships/drawing" Target="../drawings/drawing30.xml"/><Relationship Id="rId4" Type="http://schemas.openxmlformats.org/officeDocument/2006/relationships/printerSettings" Target="../printerSettings/printerSettings128.bin"/></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printerSettings" Target="../printerSettings/printerSettings131.bin"/><Relationship Id="rId7" Type="http://schemas.openxmlformats.org/officeDocument/2006/relationships/ctrlProp" Target="../ctrlProps/ctrlProp42.xml"/><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vmlDrawing" Target="../drawings/vmlDrawing23.vml"/><Relationship Id="rId5" Type="http://schemas.openxmlformats.org/officeDocument/2006/relationships/drawing" Target="../drawings/drawing31.xml"/><Relationship Id="rId4" Type="http://schemas.openxmlformats.org/officeDocument/2006/relationships/printerSettings" Target="../printerSettings/printerSettings132.bin"/></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printerSettings" Target="../printerSettings/printerSettings135.bin"/><Relationship Id="rId7" Type="http://schemas.openxmlformats.org/officeDocument/2006/relationships/ctrlProp" Target="../ctrlProps/ctrlProp44.xml"/><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vmlDrawing" Target="../drawings/vmlDrawing24.vml"/><Relationship Id="rId5" Type="http://schemas.openxmlformats.org/officeDocument/2006/relationships/drawing" Target="../drawings/drawing32.xml"/><Relationship Id="rId4" Type="http://schemas.openxmlformats.org/officeDocument/2006/relationships/printerSettings" Target="../printerSettings/printerSettings136.bin"/></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47.xml"/><Relationship Id="rId3" Type="http://schemas.openxmlformats.org/officeDocument/2006/relationships/printerSettings" Target="../printerSettings/printerSettings139.bin"/><Relationship Id="rId7" Type="http://schemas.openxmlformats.org/officeDocument/2006/relationships/ctrlProp" Target="../ctrlProps/ctrlProp46.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vmlDrawing" Target="../drawings/vmlDrawing25.vml"/><Relationship Id="rId5" Type="http://schemas.openxmlformats.org/officeDocument/2006/relationships/drawing" Target="../drawings/drawing33.xml"/><Relationship Id="rId4" Type="http://schemas.openxmlformats.org/officeDocument/2006/relationships/printerSettings" Target="../printerSettings/printerSettings140.bin"/></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printerSettings" Target="../printerSettings/printerSettings143.bin"/><Relationship Id="rId7" Type="http://schemas.openxmlformats.org/officeDocument/2006/relationships/ctrlProp" Target="../ctrlProps/ctrlProp48.x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vmlDrawing" Target="../drawings/vmlDrawing26.vml"/><Relationship Id="rId5" Type="http://schemas.openxmlformats.org/officeDocument/2006/relationships/drawing" Target="../drawings/drawing34.xml"/><Relationship Id="rId4" Type="http://schemas.openxmlformats.org/officeDocument/2006/relationships/printerSettings" Target="../printerSettings/printerSettings144.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5" Type="http://schemas.openxmlformats.org/officeDocument/2006/relationships/drawing" Target="../drawings/drawing35.xml"/><Relationship Id="rId4" Type="http://schemas.openxmlformats.org/officeDocument/2006/relationships/printerSettings" Target="../printerSettings/printerSettings14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5" Type="http://schemas.openxmlformats.org/officeDocument/2006/relationships/drawing" Target="../drawings/drawing36.xml"/><Relationship Id="rId4" Type="http://schemas.openxmlformats.org/officeDocument/2006/relationships/printerSettings" Target="../printerSettings/printerSettings152.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55.bin"/><Relationship Id="rId7" Type="http://schemas.openxmlformats.org/officeDocument/2006/relationships/comments" Target="../comments15.xml"/><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vmlDrawing" Target="../drawings/vmlDrawing27.vml"/><Relationship Id="rId5" Type="http://schemas.openxmlformats.org/officeDocument/2006/relationships/drawing" Target="../drawings/drawing37.xml"/><Relationship Id="rId4" Type="http://schemas.openxmlformats.org/officeDocument/2006/relationships/printerSettings" Target="../printerSettings/printerSettings156.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5" Type="http://schemas.openxmlformats.org/officeDocument/2006/relationships/drawing" Target="../drawings/drawing38.xml"/><Relationship Id="rId4" Type="http://schemas.openxmlformats.org/officeDocument/2006/relationships/printerSettings" Target="../printerSettings/printerSettings160.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63.bin"/><Relationship Id="rId7" Type="http://schemas.openxmlformats.org/officeDocument/2006/relationships/comments" Target="../comments16.xml"/><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vmlDrawing" Target="../drawings/vmlDrawing28.vml"/><Relationship Id="rId5" Type="http://schemas.openxmlformats.org/officeDocument/2006/relationships/drawing" Target="../drawings/drawing39.xml"/><Relationship Id="rId4" Type="http://schemas.openxmlformats.org/officeDocument/2006/relationships/printerSettings" Target="../printerSettings/printerSettings16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5" Type="http://schemas.openxmlformats.org/officeDocument/2006/relationships/drawing" Target="../drawings/drawing40.xml"/><Relationship Id="rId4" Type="http://schemas.openxmlformats.org/officeDocument/2006/relationships/printerSettings" Target="../printerSettings/printerSettings168.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comments" Target="../comments17.xml"/><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vmlDrawing" Target="../drawings/vmlDrawing29.vml"/><Relationship Id="rId5" Type="http://schemas.openxmlformats.org/officeDocument/2006/relationships/drawing" Target="../drawings/drawing41.xml"/><Relationship Id="rId4" Type="http://schemas.openxmlformats.org/officeDocument/2006/relationships/printerSettings" Target="../printerSettings/printerSettings172.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75.bin"/><Relationship Id="rId7" Type="http://schemas.openxmlformats.org/officeDocument/2006/relationships/comments" Target="../comments18.xml"/><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6" Type="http://schemas.openxmlformats.org/officeDocument/2006/relationships/vmlDrawing" Target="../drawings/vmlDrawing30.vml"/><Relationship Id="rId5" Type="http://schemas.openxmlformats.org/officeDocument/2006/relationships/drawing" Target="../drawings/drawing42.xml"/><Relationship Id="rId4" Type="http://schemas.openxmlformats.org/officeDocument/2006/relationships/printerSettings" Target="../printerSettings/printerSettings176.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79.bin"/><Relationship Id="rId7" Type="http://schemas.openxmlformats.org/officeDocument/2006/relationships/comments" Target="../comments19.xml"/><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vmlDrawing" Target="../drawings/vmlDrawing31.vml"/><Relationship Id="rId5" Type="http://schemas.openxmlformats.org/officeDocument/2006/relationships/drawing" Target="../drawings/drawing43.xml"/><Relationship Id="rId4" Type="http://schemas.openxmlformats.org/officeDocument/2006/relationships/printerSettings" Target="../printerSettings/printerSettings180.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83.bin"/><Relationship Id="rId7" Type="http://schemas.openxmlformats.org/officeDocument/2006/relationships/comments" Target="../comments20.xml"/><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vmlDrawing" Target="../drawings/vmlDrawing32.vml"/><Relationship Id="rId5" Type="http://schemas.openxmlformats.org/officeDocument/2006/relationships/drawing" Target="../drawings/drawing44.xml"/><Relationship Id="rId4" Type="http://schemas.openxmlformats.org/officeDocument/2006/relationships/printerSettings" Target="../printerSettings/printerSettings184.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87.bin"/><Relationship Id="rId7" Type="http://schemas.openxmlformats.org/officeDocument/2006/relationships/comments" Target="../comments21.xml"/><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vmlDrawing" Target="../drawings/vmlDrawing33.vml"/><Relationship Id="rId5" Type="http://schemas.openxmlformats.org/officeDocument/2006/relationships/drawing" Target="../drawings/drawing45.xml"/><Relationship Id="rId4" Type="http://schemas.openxmlformats.org/officeDocument/2006/relationships/printerSettings" Target="../printerSettings/printerSettings18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20.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91.bin"/><Relationship Id="rId7" Type="http://schemas.openxmlformats.org/officeDocument/2006/relationships/comments" Target="../comments22.xml"/><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6" Type="http://schemas.openxmlformats.org/officeDocument/2006/relationships/vmlDrawing" Target="../drawings/vmlDrawing34.vml"/><Relationship Id="rId5" Type="http://schemas.openxmlformats.org/officeDocument/2006/relationships/drawing" Target="../drawings/drawing46.xml"/><Relationship Id="rId4" Type="http://schemas.openxmlformats.org/officeDocument/2006/relationships/printerSettings" Target="../printerSettings/printerSettings192.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95.bin"/><Relationship Id="rId7" Type="http://schemas.openxmlformats.org/officeDocument/2006/relationships/comments" Target="../comments23.xml"/><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vmlDrawing" Target="../drawings/vmlDrawing35.vml"/><Relationship Id="rId5" Type="http://schemas.openxmlformats.org/officeDocument/2006/relationships/drawing" Target="../drawings/drawing47.xml"/><Relationship Id="rId4" Type="http://schemas.openxmlformats.org/officeDocument/2006/relationships/printerSettings" Target="../printerSettings/printerSettings196.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99.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5" Type="http://schemas.openxmlformats.org/officeDocument/2006/relationships/drawing" Target="../drawings/drawing48.xml"/><Relationship Id="rId4" Type="http://schemas.openxmlformats.org/officeDocument/2006/relationships/printerSettings" Target="../printerSettings/printerSettings200.bin"/></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51.xml"/><Relationship Id="rId3" Type="http://schemas.openxmlformats.org/officeDocument/2006/relationships/printerSettings" Target="../printerSettings/printerSettings203.bin"/><Relationship Id="rId7" Type="http://schemas.openxmlformats.org/officeDocument/2006/relationships/ctrlProp" Target="../ctrlProps/ctrlProp50.xml"/><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vmlDrawing" Target="../drawings/vmlDrawing36.vml"/><Relationship Id="rId5" Type="http://schemas.openxmlformats.org/officeDocument/2006/relationships/drawing" Target="../drawings/drawing49.xml"/><Relationship Id="rId4" Type="http://schemas.openxmlformats.org/officeDocument/2006/relationships/printerSettings" Target="../printerSettings/printerSettings204.bin"/></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53.xml"/><Relationship Id="rId3" Type="http://schemas.openxmlformats.org/officeDocument/2006/relationships/printerSettings" Target="../printerSettings/printerSettings207.bin"/><Relationship Id="rId7" Type="http://schemas.openxmlformats.org/officeDocument/2006/relationships/ctrlProp" Target="../ctrlProps/ctrlProp52.xml"/><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vmlDrawing" Target="../drawings/vmlDrawing37.vml"/><Relationship Id="rId5" Type="http://schemas.openxmlformats.org/officeDocument/2006/relationships/drawing" Target="../drawings/drawing50.xml"/><Relationship Id="rId4" Type="http://schemas.openxmlformats.org/officeDocument/2006/relationships/printerSettings" Target="../printerSettings/printerSettings208.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11.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5" Type="http://schemas.openxmlformats.org/officeDocument/2006/relationships/drawing" Target="../drawings/drawing51.xml"/><Relationship Id="rId4" Type="http://schemas.openxmlformats.org/officeDocument/2006/relationships/printerSettings" Target="../printerSettings/printerSettings212.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15.bin"/><Relationship Id="rId7" Type="http://schemas.openxmlformats.org/officeDocument/2006/relationships/comments" Target="../comments24.xml"/><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6" Type="http://schemas.openxmlformats.org/officeDocument/2006/relationships/vmlDrawing" Target="../drawings/vmlDrawing38.vml"/><Relationship Id="rId5" Type="http://schemas.openxmlformats.org/officeDocument/2006/relationships/drawing" Target="../drawings/drawing52.xml"/><Relationship Id="rId4" Type="http://schemas.openxmlformats.org/officeDocument/2006/relationships/printerSettings" Target="../printerSettings/printerSettings216.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19.bin"/><Relationship Id="rId7" Type="http://schemas.openxmlformats.org/officeDocument/2006/relationships/comments" Target="../comments25.xml"/><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vmlDrawing" Target="../drawings/vmlDrawing39.vml"/><Relationship Id="rId5" Type="http://schemas.openxmlformats.org/officeDocument/2006/relationships/drawing" Target="../drawings/drawing53.xml"/><Relationship Id="rId4" Type="http://schemas.openxmlformats.org/officeDocument/2006/relationships/printerSettings" Target="../printerSettings/printerSettings220.bin"/></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printerSettings" Target="../printerSettings/printerSettings223.bin"/><Relationship Id="rId7" Type="http://schemas.openxmlformats.org/officeDocument/2006/relationships/ctrlProp" Target="../ctrlProps/ctrlProp54.xml"/><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6" Type="http://schemas.openxmlformats.org/officeDocument/2006/relationships/vmlDrawing" Target="../drawings/vmlDrawing40.vml"/><Relationship Id="rId5" Type="http://schemas.openxmlformats.org/officeDocument/2006/relationships/drawing" Target="../drawings/drawing54.xml"/><Relationship Id="rId4" Type="http://schemas.openxmlformats.org/officeDocument/2006/relationships/printerSettings" Target="../printerSettings/printerSettings224.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27.bin"/><Relationship Id="rId7" Type="http://schemas.openxmlformats.org/officeDocument/2006/relationships/comments" Target="../comments26.xml"/><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vmlDrawing" Target="../drawings/vmlDrawing41.vml"/><Relationship Id="rId5" Type="http://schemas.openxmlformats.org/officeDocument/2006/relationships/drawing" Target="../drawings/drawing55.xml"/><Relationship Id="rId4" Type="http://schemas.openxmlformats.org/officeDocument/2006/relationships/printerSettings" Target="../printerSettings/printerSettings228.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26" Type="http://schemas.openxmlformats.org/officeDocument/2006/relationships/ctrlProp" Target="../ctrlProps/ctrlProp20.xml"/><Relationship Id="rId3" Type="http://schemas.openxmlformats.org/officeDocument/2006/relationships/printerSettings" Target="../printerSettings/printerSettings23.bin"/><Relationship Id="rId21" Type="http://schemas.openxmlformats.org/officeDocument/2006/relationships/ctrlProp" Target="../ctrlProps/ctrlProp15.xm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5" Type="http://schemas.openxmlformats.org/officeDocument/2006/relationships/ctrlProp" Target="../ctrlProps/ctrlProp19.xml"/><Relationship Id="rId2" Type="http://schemas.openxmlformats.org/officeDocument/2006/relationships/printerSettings" Target="../printerSettings/printerSettings22.bin"/><Relationship Id="rId16" Type="http://schemas.openxmlformats.org/officeDocument/2006/relationships/ctrlProp" Target="../ctrlProps/ctrlProp10.xml"/><Relationship Id="rId20" Type="http://schemas.openxmlformats.org/officeDocument/2006/relationships/ctrlProp" Target="../ctrlProps/ctrlProp14.xml"/><Relationship Id="rId29" Type="http://schemas.openxmlformats.org/officeDocument/2006/relationships/ctrlProp" Target="../ctrlProps/ctrlProp23.xml"/><Relationship Id="rId1" Type="http://schemas.openxmlformats.org/officeDocument/2006/relationships/printerSettings" Target="../printerSettings/printerSettings21.bin"/><Relationship Id="rId6" Type="http://schemas.openxmlformats.org/officeDocument/2006/relationships/vmlDrawing" Target="../drawings/vmlDrawing5.vml"/><Relationship Id="rId11" Type="http://schemas.openxmlformats.org/officeDocument/2006/relationships/ctrlProp" Target="../ctrlProps/ctrlProp5.xml"/><Relationship Id="rId24" Type="http://schemas.openxmlformats.org/officeDocument/2006/relationships/ctrlProp" Target="../ctrlProps/ctrlProp18.xml"/><Relationship Id="rId5" Type="http://schemas.openxmlformats.org/officeDocument/2006/relationships/drawing" Target="../drawings/drawing2.xml"/><Relationship Id="rId15" Type="http://schemas.openxmlformats.org/officeDocument/2006/relationships/ctrlProp" Target="../ctrlProps/ctrlProp9.xml"/><Relationship Id="rId23" Type="http://schemas.openxmlformats.org/officeDocument/2006/relationships/ctrlProp" Target="../ctrlProps/ctrlProp17.xml"/><Relationship Id="rId28" Type="http://schemas.openxmlformats.org/officeDocument/2006/relationships/ctrlProp" Target="../ctrlProps/ctrlProp22.xml"/><Relationship Id="rId10" Type="http://schemas.openxmlformats.org/officeDocument/2006/relationships/ctrlProp" Target="../ctrlProps/ctrlProp4.xml"/><Relationship Id="rId19" Type="http://schemas.openxmlformats.org/officeDocument/2006/relationships/ctrlProp" Target="../ctrlProps/ctrlProp13.xml"/><Relationship Id="rId31" Type="http://schemas.openxmlformats.org/officeDocument/2006/relationships/ctrlProp" Target="../ctrlProps/ctrlProp25.xml"/><Relationship Id="rId4" Type="http://schemas.openxmlformats.org/officeDocument/2006/relationships/printerSettings" Target="../printerSettings/printerSettings24.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trlProp" Target="../ctrlProps/ctrlProp16.xml"/><Relationship Id="rId27" Type="http://schemas.openxmlformats.org/officeDocument/2006/relationships/ctrlProp" Target="../ctrlProps/ctrlProp21.xml"/><Relationship Id="rId30" Type="http://schemas.openxmlformats.org/officeDocument/2006/relationships/ctrlProp" Target="../ctrlProps/ctrlProp24.x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31.bin"/><Relationship Id="rId7" Type="http://schemas.openxmlformats.org/officeDocument/2006/relationships/comments" Target="../comments27.xml"/><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 Id="rId6" Type="http://schemas.openxmlformats.org/officeDocument/2006/relationships/vmlDrawing" Target="../drawings/vmlDrawing42.vml"/><Relationship Id="rId5" Type="http://schemas.openxmlformats.org/officeDocument/2006/relationships/drawing" Target="../drawings/drawing56.xml"/><Relationship Id="rId4" Type="http://schemas.openxmlformats.org/officeDocument/2006/relationships/printerSettings" Target="../printerSettings/printerSettings232.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235.bin"/><Relationship Id="rId7" Type="http://schemas.openxmlformats.org/officeDocument/2006/relationships/comments" Target="../comments28.xml"/><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6" Type="http://schemas.openxmlformats.org/officeDocument/2006/relationships/vmlDrawing" Target="../drawings/vmlDrawing43.vml"/><Relationship Id="rId5" Type="http://schemas.openxmlformats.org/officeDocument/2006/relationships/drawing" Target="../drawings/drawing57.xml"/><Relationship Id="rId4" Type="http://schemas.openxmlformats.org/officeDocument/2006/relationships/printerSettings" Target="../printerSettings/printerSettings236.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239.bin"/><Relationship Id="rId7" Type="http://schemas.openxmlformats.org/officeDocument/2006/relationships/comments" Target="../comments29.xml"/><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6" Type="http://schemas.openxmlformats.org/officeDocument/2006/relationships/vmlDrawing" Target="../drawings/vmlDrawing44.vml"/><Relationship Id="rId5" Type="http://schemas.openxmlformats.org/officeDocument/2006/relationships/drawing" Target="../drawings/drawing58.xml"/><Relationship Id="rId4" Type="http://schemas.openxmlformats.org/officeDocument/2006/relationships/printerSettings" Target="../printerSettings/printerSettings240.bin"/></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57.xml"/><Relationship Id="rId3" Type="http://schemas.openxmlformats.org/officeDocument/2006/relationships/printerSettings" Target="../printerSettings/printerSettings243.bin"/><Relationship Id="rId7" Type="http://schemas.openxmlformats.org/officeDocument/2006/relationships/ctrlProp" Target="../ctrlProps/ctrlProp56.xml"/><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vmlDrawing" Target="../drawings/vmlDrawing45.vml"/><Relationship Id="rId5" Type="http://schemas.openxmlformats.org/officeDocument/2006/relationships/drawing" Target="../drawings/drawing59.xml"/><Relationship Id="rId4" Type="http://schemas.openxmlformats.org/officeDocument/2006/relationships/printerSettings" Target="../printerSettings/printerSettings244.bin"/></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59.xml"/><Relationship Id="rId3" Type="http://schemas.openxmlformats.org/officeDocument/2006/relationships/printerSettings" Target="../printerSettings/printerSettings247.bin"/><Relationship Id="rId7" Type="http://schemas.openxmlformats.org/officeDocument/2006/relationships/ctrlProp" Target="../ctrlProps/ctrlProp58.xml"/><Relationship Id="rId2" Type="http://schemas.openxmlformats.org/officeDocument/2006/relationships/printerSettings" Target="../printerSettings/printerSettings246.bin"/><Relationship Id="rId1" Type="http://schemas.openxmlformats.org/officeDocument/2006/relationships/printerSettings" Target="../printerSettings/printerSettings245.bin"/><Relationship Id="rId6" Type="http://schemas.openxmlformats.org/officeDocument/2006/relationships/vmlDrawing" Target="../drawings/vmlDrawing46.vml"/><Relationship Id="rId5" Type="http://schemas.openxmlformats.org/officeDocument/2006/relationships/drawing" Target="../drawings/drawing60.xml"/><Relationship Id="rId4" Type="http://schemas.openxmlformats.org/officeDocument/2006/relationships/printerSettings" Target="../printerSettings/printerSettings248.bin"/></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61.xml"/><Relationship Id="rId3" Type="http://schemas.openxmlformats.org/officeDocument/2006/relationships/printerSettings" Target="../printerSettings/printerSettings251.bin"/><Relationship Id="rId7" Type="http://schemas.openxmlformats.org/officeDocument/2006/relationships/ctrlProp" Target="../ctrlProps/ctrlProp60.xml"/><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vmlDrawing" Target="../drawings/vmlDrawing47.vml"/><Relationship Id="rId5" Type="http://schemas.openxmlformats.org/officeDocument/2006/relationships/drawing" Target="../drawings/drawing61.xml"/><Relationship Id="rId4" Type="http://schemas.openxmlformats.org/officeDocument/2006/relationships/printerSettings" Target="../printerSettings/printerSettings252.bin"/></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63.xml"/><Relationship Id="rId3" Type="http://schemas.openxmlformats.org/officeDocument/2006/relationships/printerSettings" Target="../printerSettings/printerSettings255.bin"/><Relationship Id="rId7" Type="http://schemas.openxmlformats.org/officeDocument/2006/relationships/ctrlProp" Target="../ctrlProps/ctrlProp62.xml"/><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6" Type="http://schemas.openxmlformats.org/officeDocument/2006/relationships/vmlDrawing" Target="../drawings/vmlDrawing48.vml"/><Relationship Id="rId5" Type="http://schemas.openxmlformats.org/officeDocument/2006/relationships/drawing" Target="../drawings/drawing62.xml"/><Relationship Id="rId4" Type="http://schemas.openxmlformats.org/officeDocument/2006/relationships/printerSettings" Target="../printerSettings/printerSettings256.bin"/></Relationships>
</file>

<file path=xl/worksheets/_rels/sheet67.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printerSettings" Target="../printerSettings/printerSettings259.bin"/><Relationship Id="rId7" Type="http://schemas.openxmlformats.org/officeDocument/2006/relationships/ctrlProp" Target="../ctrlProps/ctrlProp64.xml"/><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6" Type="http://schemas.openxmlformats.org/officeDocument/2006/relationships/vmlDrawing" Target="../drawings/vmlDrawing49.vml"/><Relationship Id="rId5" Type="http://schemas.openxmlformats.org/officeDocument/2006/relationships/drawing" Target="../drawings/drawing63.xml"/><Relationship Id="rId4" Type="http://schemas.openxmlformats.org/officeDocument/2006/relationships/printerSettings" Target="../printerSettings/printerSettings260.bin"/></Relationships>
</file>

<file path=xl/worksheets/_rels/sheet68.xml.rels><?xml version="1.0" encoding="UTF-8" standalone="yes"?>
<Relationships xmlns="http://schemas.openxmlformats.org/package/2006/relationships"><Relationship Id="rId8" Type="http://schemas.openxmlformats.org/officeDocument/2006/relationships/ctrlProp" Target="../ctrlProps/ctrlProp67.xml"/><Relationship Id="rId3" Type="http://schemas.openxmlformats.org/officeDocument/2006/relationships/printerSettings" Target="../printerSettings/printerSettings263.bin"/><Relationship Id="rId7" Type="http://schemas.openxmlformats.org/officeDocument/2006/relationships/ctrlProp" Target="../ctrlProps/ctrlProp66.xml"/><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vmlDrawing" Target="../drawings/vmlDrawing50.vml"/><Relationship Id="rId5" Type="http://schemas.openxmlformats.org/officeDocument/2006/relationships/drawing" Target="../drawings/drawing64.xml"/><Relationship Id="rId4" Type="http://schemas.openxmlformats.org/officeDocument/2006/relationships/printerSettings" Target="../printerSettings/printerSettings264.bin"/></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69.xml"/><Relationship Id="rId3" Type="http://schemas.openxmlformats.org/officeDocument/2006/relationships/printerSettings" Target="../printerSettings/printerSettings267.bin"/><Relationship Id="rId7" Type="http://schemas.openxmlformats.org/officeDocument/2006/relationships/ctrlProp" Target="../ctrlProps/ctrlProp68.xml"/><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6" Type="http://schemas.openxmlformats.org/officeDocument/2006/relationships/vmlDrawing" Target="../drawings/vmlDrawing51.vml"/><Relationship Id="rId5" Type="http://schemas.openxmlformats.org/officeDocument/2006/relationships/drawing" Target="../drawings/drawing65.xml"/><Relationship Id="rId4" Type="http://schemas.openxmlformats.org/officeDocument/2006/relationships/printerSettings" Target="../printerSettings/printerSettings268.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71.bin"/><Relationship Id="rId2" Type="http://schemas.openxmlformats.org/officeDocument/2006/relationships/printerSettings" Target="../printerSettings/printerSettings270.bin"/><Relationship Id="rId1" Type="http://schemas.openxmlformats.org/officeDocument/2006/relationships/printerSettings" Target="../printerSettings/printerSettings269.bin"/><Relationship Id="rId5" Type="http://schemas.openxmlformats.org/officeDocument/2006/relationships/drawing" Target="../drawings/drawing66.xml"/><Relationship Id="rId4" Type="http://schemas.openxmlformats.org/officeDocument/2006/relationships/printerSettings" Target="../printerSettings/printerSettings272.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5" Type="http://schemas.openxmlformats.org/officeDocument/2006/relationships/drawing" Target="../drawings/drawing67.xml"/><Relationship Id="rId4" Type="http://schemas.openxmlformats.org/officeDocument/2006/relationships/printerSettings" Target="../printerSettings/printerSettings276.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79.bin"/><Relationship Id="rId7" Type="http://schemas.openxmlformats.org/officeDocument/2006/relationships/comments" Target="../comments3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vmlDrawing" Target="../drawings/vmlDrawing52.vml"/><Relationship Id="rId5" Type="http://schemas.openxmlformats.org/officeDocument/2006/relationships/drawing" Target="../drawings/drawing68.xml"/><Relationship Id="rId4" Type="http://schemas.openxmlformats.org/officeDocument/2006/relationships/printerSettings" Target="../printerSettings/printerSettings280.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83.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5" Type="http://schemas.openxmlformats.org/officeDocument/2006/relationships/drawing" Target="../drawings/drawing69.xml"/><Relationship Id="rId4" Type="http://schemas.openxmlformats.org/officeDocument/2006/relationships/printerSettings" Target="../printerSettings/printerSettings284.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87.bin"/><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 Id="rId5" Type="http://schemas.openxmlformats.org/officeDocument/2006/relationships/drawing" Target="../drawings/drawing70.xml"/><Relationship Id="rId4" Type="http://schemas.openxmlformats.org/officeDocument/2006/relationships/printerSettings" Target="../printerSettings/printerSettings288.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91.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5" Type="http://schemas.openxmlformats.org/officeDocument/2006/relationships/drawing" Target="../drawings/drawing71.xml"/><Relationship Id="rId4" Type="http://schemas.openxmlformats.org/officeDocument/2006/relationships/printerSettings" Target="../printerSettings/printerSettings292.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295.bin"/><Relationship Id="rId2" Type="http://schemas.openxmlformats.org/officeDocument/2006/relationships/printerSettings" Target="../printerSettings/printerSettings294.bin"/><Relationship Id="rId1" Type="http://schemas.openxmlformats.org/officeDocument/2006/relationships/printerSettings" Target="../printerSettings/printerSettings293.bin"/><Relationship Id="rId5" Type="http://schemas.openxmlformats.org/officeDocument/2006/relationships/drawing" Target="../drawings/drawing72.xml"/><Relationship Id="rId4" Type="http://schemas.openxmlformats.org/officeDocument/2006/relationships/printerSettings" Target="../printerSettings/printerSettings296.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299.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5" Type="http://schemas.openxmlformats.org/officeDocument/2006/relationships/drawing" Target="../drawings/drawing73.xml"/><Relationship Id="rId4" Type="http://schemas.openxmlformats.org/officeDocument/2006/relationships/printerSettings" Target="../printerSettings/printerSettings300.bin"/></Relationships>
</file>

<file path=xl/worksheets/_rels/sheet78.xml.rels><?xml version="1.0" encoding="UTF-8" standalone="yes"?>
<Relationships xmlns="http://schemas.openxmlformats.org/package/2006/relationships"><Relationship Id="rId8" Type="http://schemas.openxmlformats.org/officeDocument/2006/relationships/ctrlProp" Target="../ctrlProps/ctrlProp71.xml"/><Relationship Id="rId3" Type="http://schemas.openxmlformats.org/officeDocument/2006/relationships/printerSettings" Target="../printerSettings/printerSettings303.bin"/><Relationship Id="rId7" Type="http://schemas.openxmlformats.org/officeDocument/2006/relationships/ctrlProp" Target="../ctrlProps/ctrlProp70.xml"/><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6" Type="http://schemas.openxmlformats.org/officeDocument/2006/relationships/vmlDrawing" Target="../drawings/vmlDrawing53.vml"/><Relationship Id="rId5" Type="http://schemas.openxmlformats.org/officeDocument/2006/relationships/drawing" Target="../drawings/drawing74.xml"/><Relationship Id="rId4" Type="http://schemas.openxmlformats.org/officeDocument/2006/relationships/printerSettings" Target="../printerSettings/printerSettings304.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307.bin"/><Relationship Id="rId2" Type="http://schemas.openxmlformats.org/officeDocument/2006/relationships/printerSettings" Target="../printerSettings/printerSettings306.bin"/><Relationship Id="rId1" Type="http://schemas.openxmlformats.org/officeDocument/2006/relationships/printerSettings" Target="../printerSettings/printerSettings305.bin"/><Relationship Id="rId5" Type="http://schemas.openxmlformats.org/officeDocument/2006/relationships/drawing" Target="../drawings/drawing75.xml"/><Relationship Id="rId4" Type="http://schemas.openxmlformats.org/officeDocument/2006/relationships/printerSettings" Target="../printerSettings/printerSettings308.bin"/></Relationships>
</file>

<file path=xl/worksheets/_rels/sheet80.xml.rels><?xml version="1.0" encoding="UTF-8" standalone="yes"?>
<Relationships xmlns="http://schemas.openxmlformats.org/package/2006/relationships"><Relationship Id="rId8" Type="http://schemas.openxmlformats.org/officeDocument/2006/relationships/ctrlProp" Target="../ctrlProps/ctrlProp73.xml"/><Relationship Id="rId3" Type="http://schemas.openxmlformats.org/officeDocument/2006/relationships/printerSettings" Target="../printerSettings/printerSettings311.bin"/><Relationship Id="rId7" Type="http://schemas.openxmlformats.org/officeDocument/2006/relationships/ctrlProp" Target="../ctrlProps/ctrlProp72.xml"/><Relationship Id="rId2" Type="http://schemas.openxmlformats.org/officeDocument/2006/relationships/printerSettings" Target="../printerSettings/printerSettings310.bin"/><Relationship Id="rId1" Type="http://schemas.openxmlformats.org/officeDocument/2006/relationships/printerSettings" Target="../printerSettings/printerSettings309.bin"/><Relationship Id="rId6" Type="http://schemas.openxmlformats.org/officeDocument/2006/relationships/vmlDrawing" Target="../drawings/vmlDrawing54.vml"/><Relationship Id="rId5" Type="http://schemas.openxmlformats.org/officeDocument/2006/relationships/drawing" Target="../drawings/drawing77.xml"/><Relationship Id="rId4" Type="http://schemas.openxmlformats.org/officeDocument/2006/relationships/printerSettings" Target="../printerSettings/printerSettings312.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315.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5" Type="http://schemas.openxmlformats.org/officeDocument/2006/relationships/drawing" Target="../drawings/drawing78.xml"/><Relationship Id="rId4" Type="http://schemas.openxmlformats.org/officeDocument/2006/relationships/printerSettings" Target="../printerSettings/printerSettings316.bin"/></Relationships>
</file>

<file path=xl/worksheets/_rels/sheet82.xml.rels><?xml version="1.0" encoding="UTF-8" standalone="yes"?>
<Relationships xmlns="http://schemas.openxmlformats.org/package/2006/relationships"><Relationship Id="rId13" Type="http://schemas.openxmlformats.org/officeDocument/2006/relationships/ctrlProp" Target="../ctrlProps/ctrlProp80.xml"/><Relationship Id="rId18" Type="http://schemas.openxmlformats.org/officeDocument/2006/relationships/ctrlProp" Target="../ctrlProps/ctrlProp85.xml"/><Relationship Id="rId26" Type="http://schemas.openxmlformats.org/officeDocument/2006/relationships/ctrlProp" Target="../ctrlProps/ctrlProp93.xml"/><Relationship Id="rId3" Type="http://schemas.openxmlformats.org/officeDocument/2006/relationships/printerSettings" Target="../printerSettings/printerSettings319.bin"/><Relationship Id="rId21" Type="http://schemas.openxmlformats.org/officeDocument/2006/relationships/ctrlProp" Target="../ctrlProps/ctrlProp88.xml"/><Relationship Id="rId34" Type="http://schemas.openxmlformats.org/officeDocument/2006/relationships/comments" Target="../comments31.xml"/><Relationship Id="rId7" Type="http://schemas.openxmlformats.org/officeDocument/2006/relationships/ctrlProp" Target="../ctrlProps/ctrlProp74.xml"/><Relationship Id="rId12" Type="http://schemas.openxmlformats.org/officeDocument/2006/relationships/ctrlProp" Target="../ctrlProps/ctrlProp79.xml"/><Relationship Id="rId17" Type="http://schemas.openxmlformats.org/officeDocument/2006/relationships/ctrlProp" Target="../ctrlProps/ctrlProp84.xml"/><Relationship Id="rId25" Type="http://schemas.openxmlformats.org/officeDocument/2006/relationships/ctrlProp" Target="../ctrlProps/ctrlProp92.xml"/><Relationship Id="rId33" Type="http://schemas.openxmlformats.org/officeDocument/2006/relationships/ctrlProp" Target="../ctrlProps/ctrlProp100.xml"/><Relationship Id="rId2" Type="http://schemas.openxmlformats.org/officeDocument/2006/relationships/printerSettings" Target="../printerSettings/printerSettings318.bin"/><Relationship Id="rId16" Type="http://schemas.openxmlformats.org/officeDocument/2006/relationships/ctrlProp" Target="../ctrlProps/ctrlProp83.xml"/><Relationship Id="rId20" Type="http://schemas.openxmlformats.org/officeDocument/2006/relationships/ctrlProp" Target="../ctrlProps/ctrlProp87.xml"/><Relationship Id="rId29" Type="http://schemas.openxmlformats.org/officeDocument/2006/relationships/ctrlProp" Target="../ctrlProps/ctrlProp96.xml"/><Relationship Id="rId1" Type="http://schemas.openxmlformats.org/officeDocument/2006/relationships/printerSettings" Target="../printerSettings/printerSettings317.bin"/><Relationship Id="rId6" Type="http://schemas.openxmlformats.org/officeDocument/2006/relationships/vmlDrawing" Target="../drawings/vmlDrawing55.vml"/><Relationship Id="rId11" Type="http://schemas.openxmlformats.org/officeDocument/2006/relationships/ctrlProp" Target="../ctrlProps/ctrlProp78.xml"/><Relationship Id="rId24" Type="http://schemas.openxmlformats.org/officeDocument/2006/relationships/ctrlProp" Target="../ctrlProps/ctrlProp91.xml"/><Relationship Id="rId32" Type="http://schemas.openxmlformats.org/officeDocument/2006/relationships/ctrlProp" Target="../ctrlProps/ctrlProp99.xml"/><Relationship Id="rId5" Type="http://schemas.openxmlformats.org/officeDocument/2006/relationships/drawing" Target="../drawings/drawing79.xml"/><Relationship Id="rId15" Type="http://schemas.openxmlformats.org/officeDocument/2006/relationships/ctrlProp" Target="../ctrlProps/ctrlProp82.xml"/><Relationship Id="rId23" Type="http://schemas.openxmlformats.org/officeDocument/2006/relationships/ctrlProp" Target="../ctrlProps/ctrlProp90.xml"/><Relationship Id="rId28" Type="http://schemas.openxmlformats.org/officeDocument/2006/relationships/ctrlProp" Target="../ctrlProps/ctrlProp95.xml"/><Relationship Id="rId10" Type="http://schemas.openxmlformats.org/officeDocument/2006/relationships/ctrlProp" Target="../ctrlProps/ctrlProp77.xml"/><Relationship Id="rId19" Type="http://schemas.openxmlformats.org/officeDocument/2006/relationships/ctrlProp" Target="../ctrlProps/ctrlProp86.xml"/><Relationship Id="rId31" Type="http://schemas.openxmlformats.org/officeDocument/2006/relationships/ctrlProp" Target="../ctrlProps/ctrlProp98.xml"/><Relationship Id="rId4" Type="http://schemas.openxmlformats.org/officeDocument/2006/relationships/printerSettings" Target="../printerSettings/printerSettings320.bin"/><Relationship Id="rId9" Type="http://schemas.openxmlformats.org/officeDocument/2006/relationships/ctrlProp" Target="../ctrlProps/ctrlProp76.xml"/><Relationship Id="rId14" Type="http://schemas.openxmlformats.org/officeDocument/2006/relationships/ctrlProp" Target="../ctrlProps/ctrlProp81.xml"/><Relationship Id="rId22" Type="http://schemas.openxmlformats.org/officeDocument/2006/relationships/ctrlProp" Target="../ctrlProps/ctrlProp89.xml"/><Relationship Id="rId27" Type="http://schemas.openxmlformats.org/officeDocument/2006/relationships/ctrlProp" Target="../ctrlProps/ctrlProp94.xml"/><Relationship Id="rId30" Type="http://schemas.openxmlformats.org/officeDocument/2006/relationships/ctrlProp" Target="../ctrlProps/ctrlProp97.xml"/><Relationship Id="rId8" Type="http://schemas.openxmlformats.org/officeDocument/2006/relationships/ctrlProp" Target="../ctrlProps/ctrlProp75.xm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5" Type="http://schemas.openxmlformats.org/officeDocument/2006/relationships/drawing" Target="../drawings/drawing80.xml"/><Relationship Id="rId4" Type="http://schemas.openxmlformats.org/officeDocument/2006/relationships/printerSettings" Target="../printerSettings/printerSettings324.bin"/></Relationships>
</file>

<file path=xl/worksheets/_rels/sheet84.xml.rels><?xml version="1.0" encoding="UTF-8" standalone="yes"?>
<Relationships xmlns="http://schemas.openxmlformats.org/package/2006/relationships"><Relationship Id="rId8" Type="http://schemas.openxmlformats.org/officeDocument/2006/relationships/ctrlProp" Target="../ctrlProps/ctrlProp102.xml"/><Relationship Id="rId13" Type="http://schemas.openxmlformats.org/officeDocument/2006/relationships/ctrlProp" Target="../ctrlProps/ctrlProp107.xml"/><Relationship Id="rId18" Type="http://schemas.openxmlformats.org/officeDocument/2006/relationships/ctrlProp" Target="../ctrlProps/ctrlProp112.xml"/><Relationship Id="rId3" Type="http://schemas.openxmlformats.org/officeDocument/2006/relationships/printerSettings" Target="../printerSettings/printerSettings327.bin"/><Relationship Id="rId21" Type="http://schemas.openxmlformats.org/officeDocument/2006/relationships/ctrlProp" Target="../ctrlProps/ctrlProp115.xml"/><Relationship Id="rId7" Type="http://schemas.openxmlformats.org/officeDocument/2006/relationships/ctrlProp" Target="../ctrlProps/ctrlProp101.xml"/><Relationship Id="rId12" Type="http://schemas.openxmlformats.org/officeDocument/2006/relationships/ctrlProp" Target="../ctrlProps/ctrlProp106.xml"/><Relationship Id="rId17" Type="http://schemas.openxmlformats.org/officeDocument/2006/relationships/ctrlProp" Target="../ctrlProps/ctrlProp111.xml"/><Relationship Id="rId2" Type="http://schemas.openxmlformats.org/officeDocument/2006/relationships/printerSettings" Target="../printerSettings/printerSettings326.bin"/><Relationship Id="rId16" Type="http://schemas.openxmlformats.org/officeDocument/2006/relationships/ctrlProp" Target="../ctrlProps/ctrlProp110.xml"/><Relationship Id="rId20" Type="http://schemas.openxmlformats.org/officeDocument/2006/relationships/ctrlProp" Target="../ctrlProps/ctrlProp114.xml"/><Relationship Id="rId1" Type="http://schemas.openxmlformats.org/officeDocument/2006/relationships/printerSettings" Target="../printerSettings/printerSettings325.bin"/><Relationship Id="rId6" Type="http://schemas.openxmlformats.org/officeDocument/2006/relationships/vmlDrawing" Target="../drawings/vmlDrawing56.vml"/><Relationship Id="rId11" Type="http://schemas.openxmlformats.org/officeDocument/2006/relationships/ctrlProp" Target="../ctrlProps/ctrlProp105.xml"/><Relationship Id="rId5" Type="http://schemas.openxmlformats.org/officeDocument/2006/relationships/drawing" Target="../drawings/drawing81.xml"/><Relationship Id="rId15" Type="http://schemas.openxmlformats.org/officeDocument/2006/relationships/ctrlProp" Target="../ctrlProps/ctrlProp109.xml"/><Relationship Id="rId23" Type="http://schemas.openxmlformats.org/officeDocument/2006/relationships/comments" Target="../comments32.xml"/><Relationship Id="rId10" Type="http://schemas.openxmlformats.org/officeDocument/2006/relationships/ctrlProp" Target="../ctrlProps/ctrlProp104.xml"/><Relationship Id="rId19" Type="http://schemas.openxmlformats.org/officeDocument/2006/relationships/ctrlProp" Target="../ctrlProps/ctrlProp113.xml"/><Relationship Id="rId4" Type="http://schemas.openxmlformats.org/officeDocument/2006/relationships/printerSettings" Target="../printerSettings/printerSettings328.bin"/><Relationship Id="rId9" Type="http://schemas.openxmlformats.org/officeDocument/2006/relationships/ctrlProp" Target="../ctrlProps/ctrlProp103.xml"/><Relationship Id="rId14" Type="http://schemas.openxmlformats.org/officeDocument/2006/relationships/ctrlProp" Target="../ctrlProps/ctrlProp108.xml"/><Relationship Id="rId22" Type="http://schemas.openxmlformats.org/officeDocument/2006/relationships/ctrlProp" Target="../ctrlProps/ctrlProp116.xml"/></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118.xml"/><Relationship Id="rId13" Type="http://schemas.openxmlformats.org/officeDocument/2006/relationships/ctrlProp" Target="../ctrlProps/ctrlProp123.xml"/><Relationship Id="rId18" Type="http://schemas.openxmlformats.org/officeDocument/2006/relationships/ctrlProp" Target="../ctrlProps/ctrlProp128.xml"/><Relationship Id="rId3" Type="http://schemas.openxmlformats.org/officeDocument/2006/relationships/printerSettings" Target="../printerSettings/printerSettings331.bin"/><Relationship Id="rId21" Type="http://schemas.openxmlformats.org/officeDocument/2006/relationships/ctrlProp" Target="../ctrlProps/ctrlProp131.xml"/><Relationship Id="rId7" Type="http://schemas.openxmlformats.org/officeDocument/2006/relationships/ctrlProp" Target="../ctrlProps/ctrlProp117.xml"/><Relationship Id="rId12" Type="http://schemas.openxmlformats.org/officeDocument/2006/relationships/ctrlProp" Target="../ctrlProps/ctrlProp122.xml"/><Relationship Id="rId17" Type="http://schemas.openxmlformats.org/officeDocument/2006/relationships/ctrlProp" Target="../ctrlProps/ctrlProp127.xml"/><Relationship Id="rId2" Type="http://schemas.openxmlformats.org/officeDocument/2006/relationships/printerSettings" Target="../printerSettings/printerSettings330.bin"/><Relationship Id="rId16" Type="http://schemas.openxmlformats.org/officeDocument/2006/relationships/ctrlProp" Target="../ctrlProps/ctrlProp126.xml"/><Relationship Id="rId20" Type="http://schemas.openxmlformats.org/officeDocument/2006/relationships/ctrlProp" Target="../ctrlProps/ctrlProp130.xml"/><Relationship Id="rId1" Type="http://schemas.openxmlformats.org/officeDocument/2006/relationships/printerSettings" Target="../printerSettings/printerSettings329.bin"/><Relationship Id="rId6" Type="http://schemas.openxmlformats.org/officeDocument/2006/relationships/vmlDrawing" Target="../drawings/vmlDrawing57.vml"/><Relationship Id="rId11" Type="http://schemas.openxmlformats.org/officeDocument/2006/relationships/ctrlProp" Target="../ctrlProps/ctrlProp121.xml"/><Relationship Id="rId5" Type="http://schemas.openxmlformats.org/officeDocument/2006/relationships/drawing" Target="../drawings/drawing82.xml"/><Relationship Id="rId15" Type="http://schemas.openxmlformats.org/officeDocument/2006/relationships/ctrlProp" Target="../ctrlProps/ctrlProp125.xml"/><Relationship Id="rId23" Type="http://schemas.openxmlformats.org/officeDocument/2006/relationships/comments" Target="../comments33.xml"/><Relationship Id="rId10" Type="http://schemas.openxmlformats.org/officeDocument/2006/relationships/ctrlProp" Target="../ctrlProps/ctrlProp120.xml"/><Relationship Id="rId19" Type="http://schemas.openxmlformats.org/officeDocument/2006/relationships/ctrlProp" Target="../ctrlProps/ctrlProp129.xml"/><Relationship Id="rId4" Type="http://schemas.openxmlformats.org/officeDocument/2006/relationships/printerSettings" Target="../printerSettings/printerSettings332.bin"/><Relationship Id="rId9" Type="http://schemas.openxmlformats.org/officeDocument/2006/relationships/ctrlProp" Target="../ctrlProps/ctrlProp119.xml"/><Relationship Id="rId14" Type="http://schemas.openxmlformats.org/officeDocument/2006/relationships/ctrlProp" Target="../ctrlProps/ctrlProp124.xml"/><Relationship Id="rId22" Type="http://schemas.openxmlformats.org/officeDocument/2006/relationships/ctrlProp" Target="../ctrlProps/ctrlProp132.xml"/></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134.xml"/><Relationship Id="rId13" Type="http://schemas.openxmlformats.org/officeDocument/2006/relationships/ctrlProp" Target="../ctrlProps/ctrlProp139.xml"/><Relationship Id="rId18" Type="http://schemas.openxmlformats.org/officeDocument/2006/relationships/ctrlProp" Target="../ctrlProps/ctrlProp144.xml"/><Relationship Id="rId3" Type="http://schemas.openxmlformats.org/officeDocument/2006/relationships/printerSettings" Target="../printerSettings/printerSettings335.bin"/><Relationship Id="rId21" Type="http://schemas.openxmlformats.org/officeDocument/2006/relationships/ctrlProp" Target="../ctrlProps/ctrlProp147.xml"/><Relationship Id="rId7" Type="http://schemas.openxmlformats.org/officeDocument/2006/relationships/ctrlProp" Target="../ctrlProps/ctrlProp133.xml"/><Relationship Id="rId12" Type="http://schemas.openxmlformats.org/officeDocument/2006/relationships/ctrlProp" Target="../ctrlProps/ctrlProp138.xml"/><Relationship Id="rId17" Type="http://schemas.openxmlformats.org/officeDocument/2006/relationships/ctrlProp" Target="../ctrlProps/ctrlProp143.xml"/><Relationship Id="rId2" Type="http://schemas.openxmlformats.org/officeDocument/2006/relationships/printerSettings" Target="../printerSettings/printerSettings334.bin"/><Relationship Id="rId16" Type="http://schemas.openxmlformats.org/officeDocument/2006/relationships/ctrlProp" Target="../ctrlProps/ctrlProp142.xml"/><Relationship Id="rId20" Type="http://schemas.openxmlformats.org/officeDocument/2006/relationships/ctrlProp" Target="../ctrlProps/ctrlProp146.xml"/><Relationship Id="rId1" Type="http://schemas.openxmlformats.org/officeDocument/2006/relationships/printerSettings" Target="../printerSettings/printerSettings333.bin"/><Relationship Id="rId6" Type="http://schemas.openxmlformats.org/officeDocument/2006/relationships/vmlDrawing" Target="../drawings/vmlDrawing58.vml"/><Relationship Id="rId11" Type="http://schemas.openxmlformats.org/officeDocument/2006/relationships/ctrlProp" Target="../ctrlProps/ctrlProp137.xml"/><Relationship Id="rId5" Type="http://schemas.openxmlformats.org/officeDocument/2006/relationships/drawing" Target="../drawings/drawing83.xml"/><Relationship Id="rId15" Type="http://schemas.openxmlformats.org/officeDocument/2006/relationships/ctrlProp" Target="../ctrlProps/ctrlProp141.xml"/><Relationship Id="rId23" Type="http://schemas.openxmlformats.org/officeDocument/2006/relationships/comments" Target="../comments34.xml"/><Relationship Id="rId10" Type="http://schemas.openxmlformats.org/officeDocument/2006/relationships/ctrlProp" Target="../ctrlProps/ctrlProp136.xml"/><Relationship Id="rId19" Type="http://schemas.openxmlformats.org/officeDocument/2006/relationships/ctrlProp" Target="../ctrlProps/ctrlProp145.xml"/><Relationship Id="rId4" Type="http://schemas.openxmlformats.org/officeDocument/2006/relationships/printerSettings" Target="../printerSettings/printerSettings336.bin"/><Relationship Id="rId9" Type="http://schemas.openxmlformats.org/officeDocument/2006/relationships/ctrlProp" Target="../ctrlProps/ctrlProp135.xml"/><Relationship Id="rId14" Type="http://schemas.openxmlformats.org/officeDocument/2006/relationships/ctrlProp" Target="../ctrlProps/ctrlProp140.xml"/><Relationship Id="rId22" Type="http://schemas.openxmlformats.org/officeDocument/2006/relationships/ctrlProp" Target="../ctrlProps/ctrlProp148.xml"/></Relationships>
</file>

<file path=xl/worksheets/_rels/sheet87.xml.rels><?xml version="1.0" encoding="UTF-8" standalone="yes"?>
<Relationships xmlns="http://schemas.openxmlformats.org/package/2006/relationships"><Relationship Id="rId8" Type="http://schemas.openxmlformats.org/officeDocument/2006/relationships/ctrlProp" Target="../ctrlProps/ctrlProp150.xml"/><Relationship Id="rId13" Type="http://schemas.openxmlformats.org/officeDocument/2006/relationships/ctrlProp" Target="../ctrlProps/ctrlProp155.xml"/><Relationship Id="rId18" Type="http://schemas.openxmlformats.org/officeDocument/2006/relationships/ctrlProp" Target="../ctrlProps/ctrlProp160.xml"/><Relationship Id="rId3" Type="http://schemas.openxmlformats.org/officeDocument/2006/relationships/printerSettings" Target="../printerSettings/printerSettings339.bin"/><Relationship Id="rId21" Type="http://schemas.openxmlformats.org/officeDocument/2006/relationships/ctrlProp" Target="../ctrlProps/ctrlProp163.xml"/><Relationship Id="rId7" Type="http://schemas.openxmlformats.org/officeDocument/2006/relationships/ctrlProp" Target="../ctrlProps/ctrlProp149.xml"/><Relationship Id="rId12" Type="http://schemas.openxmlformats.org/officeDocument/2006/relationships/ctrlProp" Target="../ctrlProps/ctrlProp154.xml"/><Relationship Id="rId17" Type="http://schemas.openxmlformats.org/officeDocument/2006/relationships/ctrlProp" Target="../ctrlProps/ctrlProp159.xml"/><Relationship Id="rId2" Type="http://schemas.openxmlformats.org/officeDocument/2006/relationships/printerSettings" Target="../printerSettings/printerSettings338.bin"/><Relationship Id="rId16" Type="http://schemas.openxmlformats.org/officeDocument/2006/relationships/ctrlProp" Target="../ctrlProps/ctrlProp158.xml"/><Relationship Id="rId20" Type="http://schemas.openxmlformats.org/officeDocument/2006/relationships/ctrlProp" Target="../ctrlProps/ctrlProp162.xml"/><Relationship Id="rId1" Type="http://schemas.openxmlformats.org/officeDocument/2006/relationships/printerSettings" Target="../printerSettings/printerSettings337.bin"/><Relationship Id="rId6" Type="http://schemas.openxmlformats.org/officeDocument/2006/relationships/vmlDrawing" Target="../drawings/vmlDrawing59.vml"/><Relationship Id="rId11" Type="http://schemas.openxmlformats.org/officeDocument/2006/relationships/ctrlProp" Target="../ctrlProps/ctrlProp153.xml"/><Relationship Id="rId5" Type="http://schemas.openxmlformats.org/officeDocument/2006/relationships/drawing" Target="../drawings/drawing84.xml"/><Relationship Id="rId15" Type="http://schemas.openxmlformats.org/officeDocument/2006/relationships/ctrlProp" Target="../ctrlProps/ctrlProp157.xml"/><Relationship Id="rId23" Type="http://schemas.openxmlformats.org/officeDocument/2006/relationships/comments" Target="../comments35.xml"/><Relationship Id="rId10" Type="http://schemas.openxmlformats.org/officeDocument/2006/relationships/ctrlProp" Target="../ctrlProps/ctrlProp152.xml"/><Relationship Id="rId19" Type="http://schemas.openxmlformats.org/officeDocument/2006/relationships/ctrlProp" Target="../ctrlProps/ctrlProp161.xml"/><Relationship Id="rId4" Type="http://schemas.openxmlformats.org/officeDocument/2006/relationships/printerSettings" Target="../printerSettings/printerSettings340.bin"/><Relationship Id="rId9" Type="http://schemas.openxmlformats.org/officeDocument/2006/relationships/ctrlProp" Target="../ctrlProps/ctrlProp151.xml"/><Relationship Id="rId14" Type="http://schemas.openxmlformats.org/officeDocument/2006/relationships/ctrlProp" Target="../ctrlProps/ctrlProp156.xml"/><Relationship Id="rId22" Type="http://schemas.openxmlformats.org/officeDocument/2006/relationships/ctrlProp" Target="../ctrlProps/ctrlProp164.xml"/></Relationships>
</file>

<file path=xl/worksheets/_rels/sheet88.xml.rels><?xml version="1.0" encoding="UTF-8" standalone="yes"?>
<Relationships xmlns="http://schemas.openxmlformats.org/package/2006/relationships"><Relationship Id="rId8" Type="http://schemas.openxmlformats.org/officeDocument/2006/relationships/ctrlProp" Target="../ctrlProps/ctrlProp166.xml"/><Relationship Id="rId13" Type="http://schemas.openxmlformats.org/officeDocument/2006/relationships/ctrlProp" Target="../ctrlProps/ctrlProp171.xml"/><Relationship Id="rId18" Type="http://schemas.openxmlformats.org/officeDocument/2006/relationships/ctrlProp" Target="../ctrlProps/ctrlProp176.xml"/><Relationship Id="rId3" Type="http://schemas.openxmlformats.org/officeDocument/2006/relationships/printerSettings" Target="../printerSettings/printerSettings343.bin"/><Relationship Id="rId21" Type="http://schemas.openxmlformats.org/officeDocument/2006/relationships/ctrlProp" Target="../ctrlProps/ctrlProp179.xml"/><Relationship Id="rId7" Type="http://schemas.openxmlformats.org/officeDocument/2006/relationships/ctrlProp" Target="../ctrlProps/ctrlProp165.xml"/><Relationship Id="rId12" Type="http://schemas.openxmlformats.org/officeDocument/2006/relationships/ctrlProp" Target="../ctrlProps/ctrlProp170.xml"/><Relationship Id="rId17" Type="http://schemas.openxmlformats.org/officeDocument/2006/relationships/ctrlProp" Target="../ctrlProps/ctrlProp175.xml"/><Relationship Id="rId2" Type="http://schemas.openxmlformats.org/officeDocument/2006/relationships/printerSettings" Target="../printerSettings/printerSettings342.bin"/><Relationship Id="rId16" Type="http://schemas.openxmlformats.org/officeDocument/2006/relationships/ctrlProp" Target="../ctrlProps/ctrlProp174.xml"/><Relationship Id="rId20" Type="http://schemas.openxmlformats.org/officeDocument/2006/relationships/ctrlProp" Target="../ctrlProps/ctrlProp178.xml"/><Relationship Id="rId1" Type="http://schemas.openxmlformats.org/officeDocument/2006/relationships/printerSettings" Target="../printerSettings/printerSettings341.bin"/><Relationship Id="rId6" Type="http://schemas.openxmlformats.org/officeDocument/2006/relationships/vmlDrawing" Target="../drawings/vmlDrawing60.vml"/><Relationship Id="rId11" Type="http://schemas.openxmlformats.org/officeDocument/2006/relationships/ctrlProp" Target="../ctrlProps/ctrlProp169.xml"/><Relationship Id="rId5" Type="http://schemas.openxmlformats.org/officeDocument/2006/relationships/drawing" Target="../drawings/drawing85.xml"/><Relationship Id="rId15" Type="http://schemas.openxmlformats.org/officeDocument/2006/relationships/ctrlProp" Target="../ctrlProps/ctrlProp173.xml"/><Relationship Id="rId23" Type="http://schemas.openxmlformats.org/officeDocument/2006/relationships/comments" Target="../comments36.xml"/><Relationship Id="rId10" Type="http://schemas.openxmlformats.org/officeDocument/2006/relationships/ctrlProp" Target="../ctrlProps/ctrlProp168.xml"/><Relationship Id="rId19" Type="http://schemas.openxmlformats.org/officeDocument/2006/relationships/ctrlProp" Target="../ctrlProps/ctrlProp177.xml"/><Relationship Id="rId4" Type="http://schemas.openxmlformats.org/officeDocument/2006/relationships/printerSettings" Target="../printerSettings/printerSettings344.bin"/><Relationship Id="rId9" Type="http://schemas.openxmlformats.org/officeDocument/2006/relationships/ctrlProp" Target="../ctrlProps/ctrlProp167.xml"/><Relationship Id="rId14" Type="http://schemas.openxmlformats.org/officeDocument/2006/relationships/ctrlProp" Target="../ctrlProps/ctrlProp172.xml"/><Relationship Id="rId22" Type="http://schemas.openxmlformats.org/officeDocument/2006/relationships/ctrlProp" Target="../ctrlProps/ctrlProp180.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B1:I305"/>
  <sheetViews>
    <sheetView tabSelected="1" workbookViewId="0">
      <selection activeCell="B46" sqref="B46"/>
    </sheetView>
  </sheetViews>
  <sheetFormatPr baseColWidth="10" defaultColWidth="10.5" defaultRowHeight="13.2"/>
  <cols>
    <col min="1" max="1" width="2.3984375" style="1" customWidth="1"/>
    <col min="2" max="2" width="24" style="1" customWidth="1"/>
    <col min="3" max="3" width="53.09765625" style="1" customWidth="1"/>
    <col min="4" max="4" width="13.3984375" style="3" customWidth="1"/>
    <col min="5" max="5" width="2.3984375" style="1" customWidth="1"/>
    <col min="6" max="6" width="6" style="1" customWidth="1"/>
    <col min="7" max="7" width="10.5" style="1" customWidth="1"/>
    <col min="8" max="8" width="10.5" style="2" hidden="1" customWidth="1"/>
    <col min="9" max="9" width="0" style="1" hidden="1" customWidth="1"/>
    <col min="10" max="16384" width="10.5" style="1"/>
  </cols>
  <sheetData>
    <row r="1" spans="2:9" ht="13.8" thickBot="1">
      <c r="D1" s="1"/>
    </row>
    <row r="2" spans="2:9" ht="28.2" customHeight="1">
      <c r="B2" s="2259"/>
      <c r="C2" s="2267"/>
      <c r="D2" s="2268"/>
    </row>
    <row r="3" spans="2:9" ht="24.6" customHeight="1">
      <c r="B3" s="3761" t="s">
        <v>949</v>
      </c>
      <c r="C3" s="3762"/>
      <c r="D3" s="3763"/>
    </row>
    <row r="4" spans="2:9" ht="23.4" customHeight="1">
      <c r="B4" s="3758" t="s">
        <v>176</v>
      </c>
      <c r="C4" s="3759"/>
      <c r="D4" s="3760"/>
      <c r="H4" s="1"/>
      <c r="I4" s="2"/>
    </row>
    <row r="5" spans="2:9" ht="23.4" customHeight="1">
      <c r="B5" s="3755" t="s">
        <v>1402</v>
      </c>
      <c r="C5" s="3756"/>
      <c r="D5" s="3757"/>
      <c r="H5" s="1"/>
      <c r="I5" s="2"/>
    </row>
    <row r="6" spans="2:9" ht="22.95" customHeight="1">
      <c r="B6" s="3752">
        <f>SDÖ1!O3</f>
        <v>2024</v>
      </c>
      <c r="C6" s="3753"/>
      <c r="D6" s="3754"/>
      <c r="H6" s="1"/>
    </row>
    <row r="7" spans="2:9">
      <c r="B7" s="2260"/>
      <c r="C7" s="2261"/>
      <c r="D7" s="2266"/>
      <c r="H7" s="24" t="s">
        <v>113</v>
      </c>
      <c r="I7" s="24" t="s">
        <v>112</v>
      </c>
    </row>
    <row r="8" spans="2:9">
      <c r="B8" s="2260" t="s">
        <v>948</v>
      </c>
      <c r="C8" s="2261"/>
      <c r="D8" s="2262"/>
    </row>
    <row r="9" spans="2:9">
      <c r="B9" s="2263" t="s">
        <v>947</v>
      </c>
      <c r="C9" s="2264"/>
      <c r="D9" s="2262"/>
    </row>
    <row r="10" spans="2:9" ht="13.8" thickBot="1">
      <c r="B10" s="3750" t="s">
        <v>1736</v>
      </c>
      <c r="C10" s="3751"/>
      <c r="D10" s="2265" t="s">
        <v>1756</v>
      </c>
    </row>
    <row r="11" spans="2:9" ht="16.2" thickBot="1">
      <c r="B11" s="3334" t="s">
        <v>114</v>
      </c>
      <c r="C11" s="671"/>
      <c r="D11" s="3335"/>
      <c r="E11" s="5"/>
      <c r="F11" s="9"/>
    </row>
    <row r="12" spans="2:9" ht="7.95" customHeight="1">
      <c r="B12" s="3336"/>
      <c r="C12" s="2467"/>
      <c r="D12" s="3337"/>
      <c r="E12" s="5"/>
      <c r="F12" s="9"/>
    </row>
    <row r="13" spans="2:9" ht="16.2" customHeight="1">
      <c r="B13" s="3338" t="s">
        <v>111</v>
      </c>
      <c r="C13" s="2402"/>
      <c r="D13" s="3339"/>
      <c r="E13" s="10"/>
      <c r="F13" s="9"/>
    </row>
    <row r="14" spans="2:9" ht="14.25" customHeight="1">
      <c r="B14" s="3340" t="s">
        <v>946</v>
      </c>
      <c r="C14" s="2412"/>
      <c r="D14" s="3341" t="s">
        <v>159</v>
      </c>
      <c r="E14" s="5"/>
      <c r="F14" s="9"/>
    </row>
    <row r="15" spans="2:9" ht="14.25" customHeight="1">
      <c r="B15" s="3342"/>
      <c r="C15" s="4"/>
      <c r="D15" s="3343"/>
      <c r="E15" s="5"/>
      <c r="F15" s="9"/>
    </row>
    <row r="16" spans="2:9" ht="14.25" customHeight="1">
      <c r="B16" s="3344" t="s">
        <v>110</v>
      </c>
      <c r="C16" s="4"/>
      <c r="D16" s="3345"/>
      <c r="E16" s="5"/>
      <c r="F16" s="9"/>
    </row>
    <row r="17" spans="2:8" ht="14.25" customHeight="1">
      <c r="B17" s="3346"/>
      <c r="C17" s="2463" t="s">
        <v>1444</v>
      </c>
      <c r="D17" s="3341" t="s">
        <v>109</v>
      </c>
      <c r="E17" s="5"/>
      <c r="F17" s="9"/>
    </row>
    <row r="18" spans="2:8" ht="14.25" customHeight="1">
      <c r="B18" s="3347"/>
      <c r="C18" s="21" t="s">
        <v>108</v>
      </c>
      <c r="D18" s="3341" t="s">
        <v>107</v>
      </c>
      <c r="E18" s="5"/>
      <c r="F18" s="9"/>
    </row>
    <row r="19" spans="2:8" ht="14.25" customHeight="1">
      <c r="B19" s="3347"/>
      <c r="C19" s="21" t="s">
        <v>1568</v>
      </c>
      <c r="D19" s="3341" t="s">
        <v>1445</v>
      </c>
      <c r="E19" s="5"/>
      <c r="F19" s="9"/>
    </row>
    <row r="20" spans="2:8" ht="13.8">
      <c r="B20" s="3347"/>
      <c r="C20" s="21" t="s">
        <v>1569</v>
      </c>
      <c r="D20" s="3341" t="s">
        <v>1446</v>
      </c>
      <c r="E20" s="5"/>
      <c r="F20" s="9"/>
    </row>
    <row r="21" spans="2:8" ht="14.25" customHeight="1">
      <c r="B21" s="3347"/>
      <c r="C21" s="14"/>
      <c r="D21" s="3348"/>
      <c r="E21" s="5"/>
      <c r="F21" s="9"/>
    </row>
    <row r="22" spans="2:8" ht="14.25" customHeight="1">
      <c r="B22" s="3349" t="s">
        <v>1434</v>
      </c>
      <c r="C22" s="4"/>
      <c r="D22" s="3341" t="s">
        <v>1461</v>
      </c>
      <c r="E22" s="5"/>
      <c r="F22" s="9"/>
      <c r="H22" s="1"/>
    </row>
    <row r="23" spans="2:8" ht="14.25" customHeight="1">
      <c r="B23" s="3349" t="s">
        <v>1435</v>
      </c>
      <c r="C23" s="4"/>
      <c r="D23" s="3341" t="s">
        <v>1431</v>
      </c>
      <c r="E23" s="5"/>
      <c r="F23" s="9"/>
      <c r="H23" s="1"/>
    </row>
    <row r="24" spans="2:8" ht="14.25" customHeight="1">
      <c r="B24" s="3349" t="s">
        <v>106</v>
      </c>
      <c r="C24" s="4"/>
      <c r="D24" s="3341" t="s">
        <v>105</v>
      </c>
      <c r="E24" s="5"/>
      <c r="F24" s="9"/>
      <c r="H24" s="1"/>
    </row>
    <row r="25" spans="2:8" ht="14.25" customHeight="1">
      <c r="B25" s="3349" t="s">
        <v>1699</v>
      </c>
      <c r="C25" s="4"/>
      <c r="D25" s="3341" t="s">
        <v>1690</v>
      </c>
      <c r="E25" s="5"/>
      <c r="F25" s="9"/>
      <c r="H25" s="1"/>
    </row>
    <row r="26" spans="2:8" ht="13.2" customHeight="1">
      <c r="B26" s="3350" t="s">
        <v>1436</v>
      </c>
      <c r="C26" s="4"/>
      <c r="D26" s="3341" t="s">
        <v>1462</v>
      </c>
      <c r="E26" s="5"/>
      <c r="F26" s="9"/>
    </row>
    <row r="27" spans="2:8" ht="13.2" customHeight="1">
      <c r="B27" s="3350" t="s">
        <v>1437</v>
      </c>
      <c r="C27" s="4"/>
      <c r="D27" s="3341" t="s">
        <v>1432</v>
      </c>
      <c r="E27" s="5"/>
      <c r="F27" s="9"/>
    </row>
    <row r="28" spans="2:8" ht="13.95" customHeight="1">
      <c r="B28" s="3349" t="s">
        <v>1438</v>
      </c>
      <c r="C28" s="4"/>
      <c r="D28" s="3341" t="s">
        <v>1463</v>
      </c>
      <c r="E28" s="5"/>
      <c r="F28" s="9"/>
    </row>
    <row r="29" spans="2:8" ht="14.4" customHeight="1">
      <c r="B29" s="3349" t="s">
        <v>1711</v>
      </c>
      <c r="C29" s="4"/>
      <c r="D29" s="3341" t="s">
        <v>1433</v>
      </c>
      <c r="E29" s="5"/>
      <c r="F29" s="9"/>
    </row>
    <row r="30" spans="2:8" ht="14.4" customHeight="1">
      <c r="B30" s="3349" t="s">
        <v>104</v>
      </c>
      <c r="C30" s="4"/>
      <c r="D30" s="3341" t="s">
        <v>103</v>
      </c>
      <c r="E30" s="5"/>
      <c r="F30" s="9"/>
    </row>
    <row r="31" spans="2:8" ht="14.4" customHeight="1">
      <c r="B31" s="3350" t="s">
        <v>1439</v>
      </c>
      <c r="C31" s="4"/>
      <c r="D31" s="3341" t="s">
        <v>1464</v>
      </c>
      <c r="E31" s="5"/>
      <c r="F31" s="9"/>
    </row>
    <row r="32" spans="2:8" ht="14.4" customHeight="1">
      <c r="B32" s="3350" t="s">
        <v>1440</v>
      </c>
      <c r="C32" s="4"/>
      <c r="D32" s="3341" t="s">
        <v>1441</v>
      </c>
      <c r="E32" s="5"/>
      <c r="F32" s="9"/>
    </row>
    <row r="33" spans="2:9" ht="16.2" customHeight="1">
      <c r="B33" s="3346" t="s">
        <v>102</v>
      </c>
      <c r="C33" s="4"/>
      <c r="D33" s="3341" t="s">
        <v>101</v>
      </c>
      <c r="E33" s="15"/>
      <c r="F33" s="19"/>
      <c r="H33" s="1"/>
    </row>
    <row r="34" spans="2:9" ht="14.25" customHeight="1">
      <c r="B34" s="3347"/>
      <c r="C34" s="4"/>
      <c r="D34" s="3345"/>
      <c r="E34" s="5"/>
      <c r="F34" s="9"/>
      <c r="I34" s="11"/>
    </row>
    <row r="35" spans="2:9" ht="14.25" customHeight="1">
      <c r="B35" s="3344" t="s">
        <v>100</v>
      </c>
      <c r="C35" s="4"/>
      <c r="D35" s="3341" t="s">
        <v>99</v>
      </c>
      <c r="E35" s="5"/>
      <c r="F35" s="9"/>
      <c r="I35" s="11"/>
    </row>
    <row r="36" spans="2:9" ht="14.25" customHeight="1">
      <c r="B36" s="3342"/>
      <c r="C36" s="10"/>
      <c r="D36" s="3348"/>
      <c r="E36" s="5"/>
      <c r="F36" s="9"/>
      <c r="I36" s="11"/>
    </row>
    <row r="37" spans="2:9" ht="14.25" customHeight="1">
      <c r="B37" s="3344" t="s">
        <v>1442</v>
      </c>
      <c r="C37" s="4"/>
      <c r="D37" s="3345"/>
      <c r="E37" s="5"/>
      <c r="F37" s="9"/>
      <c r="I37" s="11"/>
    </row>
    <row r="38" spans="2:9" ht="14.25" customHeight="1">
      <c r="B38" s="3347" t="s">
        <v>98</v>
      </c>
      <c r="C38" s="4" t="s">
        <v>97</v>
      </c>
      <c r="D38" s="3341" t="s">
        <v>96</v>
      </c>
      <c r="E38" s="5"/>
      <c r="F38" s="9"/>
      <c r="I38" s="11"/>
    </row>
    <row r="39" spans="2:9" ht="14.25" customHeight="1">
      <c r="B39" s="3342"/>
      <c r="C39" s="4" t="s">
        <v>95</v>
      </c>
      <c r="D39" s="3341" t="s">
        <v>94</v>
      </c>
      <c r="E39" s="5"/>
      <c r="F39" s="9"/>
      <c r="I39" s="11"/>
    </row>
    <row r="40" spans="2:9" ht="14.25" customHeight="1">
      <c r="B40" s="3342"/>
      <c r="C40" s="4" t="s">
        <v>93</v>
      </c>
      <c r="D40" s="3341" t="s">
        <v>1703</v>
      </c>
      <c r="E40" s="5"/>
      <c r="F40" s="9"/>
      <c r="I40" s="11"/>
    </row>
    <row r="41" spans="2:9" ht="14.25" customHeight="1">
      <c r="B41" s="3342"/>
      <c r="C41" s="4" t="s">
        <v>91</v>
      </c>
      <c r="D41" s="3341" t="s">
        <v>1704</v>
      </c>
      <c r="E41" s="5"/>
      <c r="F41" s="9"/>
      <c r="I41" s="11"/>
    </row>
    <row r="42" spans="2:9" ht="14.25" customHeight="1">
      <c r="B42" s="3342"/>
      <c r="C42" s="4" t="s">
        <v>89</v>
      </c>
      <c r="D42" s="3341" t="s">
        <v>88</v>
      </c>
      <c r="E42" s="5"/>
      <c r="F42" s="9"/>
      <c r="I42" s="11"/>
    </row>
    <row r="43" spans="2:9" ht="14.25" customHeight="1">
      <c r="B43" s="3342"/>
      <c r="C43" s="4" t="s">
        <v>87</v>
      </c>
      <c r="D43" s="3341" t="s">
        <v>86</v>
      </c>
      <c r="E43" s="5"/>
      <c r="F43" s="9"/>
      <c r="I43" s="11"/>
    </row>
    <row r="44" spans="2:9" ht="14.25" customHeight="1">
      <c r="B44" s="3342"/>
      <c r="C44" s="4" t="s">
        <v>85</v>
      </c>
      <c r="D44" s="3341" t="s">
        <v>84</v>
      </c>
      <c r="E44" s="5"/>
      <c r="F44" s="9"/>
      <c r="I44" s="11"/>
    </row>
    <row r="45" spans="2:9" ht="14.25" customHeight="1">
      <c r="B45" s="3342"/>
      <c r="C45" s="4" t="s">
        <v>83</v>
      </c>
      <c r="D45" s="3341" t="s">
        <v>82</v>
      </c>
      <c r="E45" s="5"/>
      <c r="F45" s="9"/>
      <c r="I45" s="11"/>
    </row>
    <row r="46" spans="2:9" ht="9.6" customHeight="1">
      <c r="B46" s="3342"/>
      <c r="C46" s="4"/>
      <c r="D46" s="3351"/>
      <c r="E46" s="5"/>
      <c r="F46" s="9"/>
      <c r="I46" s="11"/>
    </row>
    <row r="47" spans="2:9" ht="14.25" customHeight="1">
      <c r="B47" s="3347" t="s">
        <v>81</v>
      </c>
      <c r="C47" s="4" t="s">
        <v>80</v>
      </c>
      <c r="D47" s="3341" t="s">
        <v>79</v>
      </c>
      <c r="E47" s="5"/>
      <c r="F47" s="9"/>
      <c r="I47" s="11"/>
    </row>
    <row r="48" spans="2:9" ht="14.25" customHeight="1">
      <c r="B48" s="3342"/>
      <c r="C48" s="4" t="s">
        <v>78</v>
      </c>
      <c r="D48" s="3341" t="s">
        <v>77</v>
      </c>
      <c r="E48" s="5"/>
      <c r="F48" s="9"/>
      <c r="I48" s="11"/>
    </row>
    <row r="49" spans="2:9" ht="14.25" customHeight="1">
      <c r="B49" s="3342"/>
      <c r="C49" s="4" t="s">
        <v>76</v>
      </c>
      <c r="D49" s="3341" t="s">
        <v>75</v>
      </c>
      <c r="E49" s="5"/>
      <c r="F49" s="9"/>
      <c r="I49" s="11"/>
    </row>
    <row r="50" spans="2:9" ht="14.25" customHeight="1">
      <c r="B50" s="3342"/>
      <c r="C50" s="4" t="s">
        <v>74</v>
      </c>
      <c r="D50" s="3341" t="s">
        <v>73</v>
      </c>
      <c r="E50" s="5"/>
      <c r="F50" s="9"/>
      <c r="I50" s="11"/>
    </row>
    <row r="51" spans="2:9" ht="14.25" customHeight="1">
      <c r="B51" s="3347"/>
      <c r="C51" s="4" t="s">
        <v>72</v>
      </c>
      <c r="D51" s="3341" t="s">
        <v>71</v>
      </c>
      <c r="E51" s="5"/>
      <c r="F51" s="9"/>
      <c r="I51" s="11"/>
    </row>
    <row r="52" spans="2:9" ht="9.6" customHeight="1">
      <c r="B52" s="3347"/>
      <c r="C52" s="4"/>
      <c r="D52" s="3351"/>
      <c r="E52" s="5"/>
      <c r="F52" s="9"/>
      <c r="I52" s="11"/>
    </row>
    <row r="53" spans="2:9" ht="14.25" customHeight="1">
      <c r="B53" s="3347" t="s">
        <v>70</v>
      </c>
      <c r="C53" s="4" t="s">
        <v>69</v>
      </c>
      <c r="D53" s="3341" t="s">
        <v>68</v>
      </c>
      <c r="E53" s="5"/>
      <c r="F53" s="9"/>
      <c r="I53" s="11"/>
    </row>
    <row r="54" spans="2:9" ht="9.6" customHeight="1">
      <c r="B54" s="3347"/>
      <c r="C54" s="4"/>
      <c r="D54" s="3351"/>
      <c r="E54" s="5"/>
      <c r="F54" s="9"/>
      <c r="I54" s="11"/>
    </row>
    <row r="55" spans="2:9" ht="14.25" customHeight="1">
      <c r="B55" s="3347" t="s">
        <v>67</v>
      </c>
      <c r="C55" s="4" t="s">
        <v>66</v>
      </c>
      <c r="D55" s="3341" t="s">
        <v>65</v>
      </c>
      <c r="E55" s="5"/>
      <c r="F55" s="9"/>
      <c r="I55" s="11"/>
    </row>
    <row r="56" spans="2:9" ht="9.6" customHeight="1">
      <c r="B56" s="3347"/>
      <c r="C56" s="4"/>
      <c r="D56" s="3351"/>
      <c r="E56" s="5"/>
      <c r="F56" s="9"/>
      <c r="I56" s="11"/>
    </row>
    <row r="57" spans="2:9" ht="14.25" customHeight="1">
      <c r="B57" s="3347" t="s">
        <v>64</v>
      </c>
      <c r="C57" s="4" t="s">
        <v>63</v>
      </c>
      <c r="D57" s="3341" t="s">
        <v>62</v>
      </c>
      <c r="E57" s="5"/>
      <c r="F57" s="9"/>
      <c r="I57" s="11"/>
    </row>
    <row r="58" spans="2:9" ht="14.25" customHeight="1">
      <c r="B58" s="3346"/>
      <c r="C58" s="4" t="s">
        <v>61</v>
      </c>
      <c r="D58" s="3341" t="s">
        <v>60</v>
      </c>
      <c r="E58" s="5"/>
      <c r="F58" s="9"/>
      <c r="I58" s="11"/>
    </row>
    <row r="59" spans="2:9" ht="14.25" customHeight="1">
      <c r="B59" s="3346"/>
      <c r="C59" s="4" t="s">
        <v>59</v>
      </c>
      <c r="D59" s="3341" t="s">
        <v>58</v>
      </c>
      <c r="E59" s="5"/>
      <c r="F59" s="9"/>
      <c r="I59" s="11"/>
    </row>
    <row r="60" spans="2:9" ht="14.25" hidden="1" customHeight="1">
      <c r="B60" s="3346"/>
      <c r="C60" s="4" t="s">
        <v>57</v>
      </c>
      <c r="D60" s="3341" t="s">
        <v>57</v>
      </c>
      <c r="E60" s="5"/>
      <c r="F60" s="17"/>
      <c r="G60" s="17"/>
      <c r="I60" s="11"/>
    </row>
    <row r="61" spans="2:9" ht="14.25" customHeight="1">
      <c r="B61" s="3346"/>
      <c r="C61" s="4" t="s">
        <v>56</v>
      </c>
      <c r="D61" s="3341" t="s">
        <v>55</v>
      </c>
      <c r="E61" s="5"/>
      <c r="F61" s="9"/>
      <c r="I61" s="11"/>
    </row>
    <row r="62" spans="2:9" ht="9.6" customHeight="1">
      <c r="B62" s="3346"/>
      <c r="C62" s="4"/>
      <c r="D62" s="3351"/>
      <c r="E62" s="5"/>
      <c r="F62" s="9"/>
      <c r="I62" s="11"/>
    </row>
    <row r="63" spans="2:9" ht="14.25" customHeight="1">
      <c r="B63" s="3347" t="s">
        <v>54</v>
      </c>
      <c r="C63" s="4" t="s">
        <v>53</v>
      </c>
      <c r="D63" s="3341" t="s">
        <v>52</v>
      </c>
      <c r="E63" s="5"/>
      <c r="F63" s="9"/>
      <c r="I63" s="11"/>
    </row>
    <row r="64" spans="2:9" ht="14.25" customHeight="1">
      <c r="B64" s="3346"/>
      <c r="C64" s="4" t="s">
        <v>51</v>
      </c>
      <c r="D64" s="3341" t="s">
        <v>50</v>
      </c>
      <c r="E64" s="5"/>
      <c r="F64" s="9"/>
      <c r="I64" s="11"/>
    </row>
    <row r="65" spans="2:9" ht="14.25" customHeight="1">
      <c r="B65" s="3346"/>
      <c r="C65" s="4" t="s">
        <v>49</v>
      </c>
      <c r="D65" s="3341" t="s">
        <v>48</v>
      </c>
      <c r="E65" s="5"/>
      <c r="F65" s="9"/>
      <c r="I65" s="11"/>
    </row>
    <row r="66" spans="2:9" ht="14.25" hidden="1" customHeight="1">
      <c r="B66" s="3346"/>
      <c r="C66" s="18" t="s">
        <v>47</v>
      </c>
      <c r="D66" s="3341" t="s">
        <v>46</v>
      </c>
      <c r="E66" s="5"/>
      <c r="F66" s="9"/>
      <c r="I66" s="11"/>
    </row>
    <row r="67" spans="2:9" ht="14.25" hidden="1" customHeight="1">
      <c r="B67" s="3347" t="s">
        <v>45</v>
      </c>
      <c r="C67" s="4" t="s">
        <v>44</v>
      </c>
      <c r="D67" s="3341" t="s">
        <v>43</v>
      </c>
      <c r="E67" s="5"/>
      <c r="F67" s="9"/>
      <c r="I67" s="11"/>
    </row>
    <row r="68" spans="2:9" ht="14.25" hidden="1" customHeight="1">
      <c r="B68" s="3346"/>
      <c r="C68" s="4" t="s">
        <v>42</v>
      </c>
      <c r="D68" s="3341" t="s">
        <v>41</v>
      </c>
      <c r="E68" s="5"/>
      <c r="F68" s="9"/>
      <c r="I68" s="11"/>
    </row>
    <row r="69" spans="2:9" ht="9.6" customHeight="1">
      <c r="B69" s="3346"/>
      <c r="C69" s="4"/>
      <c r="D69" s="3351"/>
      <c r="E69" s="5"/>
      <c r="F69" s="9"/>
      <c r="I69" s="11"/>
    </row>
    <row r="70" spans="2:9" ht="14.25" customHeight="1">
      <c r="B70" s="3347" t="s">
        <v>45</v>
      </c>
      <c r="C70" s="4" t="s">
        <v>44</v>
      </c>
      <c r="D70" s="3341" t="s">
        <v>43</v>
      </c>
      <c r="E70" s="5"/>
      <c r="F70" s="9"/>
      <c r="I70" s="11"/>
    </row>
    <row r="71" spans="2:9" ht="14.25" customHeight="1">
      <c r="B71" s="3346"/>
      <c r="C71" s="4" t="s">
        <v>40</v>
      </c>
      <c r="D71" s="3341" t="s">
        <v>39</v>
      </c>
      <c r="E71" s="5"/>
      <c r="F71" s="9"/>
      <c r="I71" s="11"/>
    </row>
    <row r="72" spans="2:9" ht="14.25" customHeight="1">
      <c r="B72" s="3346"/>
      <c r="C72" s="4" t="s">
        <v>38</v>
      </c>
      <c r="D72" s="3341" t="s">
        <v>37</v>
      </c>
      <c r="E72" s="5"/>
      <c r="F72" s="9"/>
      <c r="I72" s="11"/>
    </row>
    <row r="73" spans="2:9" ht="14.25" customHeight="1">
      <c r="B73" s="3342"/>
      <c r="C73" s="4" t="s">
        <v>36</v>
      </c>
      <c r="D73" s="3341" t="s">
        <v>35</v>
      </c>
      <c r="E73" s="5"/>
      <c r="F73" s="9"/>
      <c r="I73" s="11"/>
    </row>
    <row r="74" spans="2:9" ht="14.25" hidden="1" customHeight="1">
      <c r="B74" s="3347" t="s">
        <v>34</v>
      </c>
      <c r="C74" s="4" t="s">
        <v>33</v>
      </c>
      <c r="D74" s="3352" t="s">
        <v>32</v>
      </c>
      <c r="E74" s="5"/>
      <c r="F74" s="9"/>
      <c r="I74" s="11"/>
    </row>
    <row r="75" spans="2:9" ht="14.25" hidden="1" customHeight="1">
      <c r="B75" s="3347"/>
      <c r="C75" s="4" t="s">
        <v>31</v>
      </c>
      <c r="D75" s="3352" t="s">
        <v>30</v>
      </c>
      <c r="E75" s="5"/>
      <c r="F75" s="9">
        <f t="shared" ref="F75:F85" si="0">F74+2</f>
        <v>2</v>
      </c>
      <c r="I75" s="11"/>
    </row>
    <row r="76" spans="2:9" ht="9.6" customHeight="1">
      <c r="B76" s="3347"/>
      <c r="C76" s="4"/>
      <c r="D76" s="3351"/>
      <c r="E76" s="5"/>
      <c r="F76" s="9"/>
      <c r="I76" s="11"/>
    </row>
    <row r="77" spans="2:9" ht="14.25" customHeight="1">
      <c r="B77" s="3347" t="s">
        <v>29</v>
      </c>
      <c r="C77" s="14" t="s">
        <v>28</v>
      </c>
      <c r="D77" s="3341" t="s">
        <v>27</v>
      </c>
      <c r="E77" s="5"/>
      <c r="F77" s="9"/>
      <c r="I77" s="11"/>
    </row>
    <row r="78" spans="2:9" ht="14.25" customHeight="1">
      <c r="B78" s="3353" t="s">
        <v>26</v>
      </c>
      <c r="C78" s="14"/>
      <c r="D78" s="3341" t="s">
        <v>25</v>
      </c>
      <c r="E78" s="5"/>
      <c r="F78" s="9"/>
      <c r="I78" s="11"/>
    </row>
    <row r="79" spans="2:9" ht="9.6" customHeight="1">
      <c r="B79" s="3353"/>
      <c r="C79" s="14"/>
      <c r="D79" s="3351"/>
      <c r="E79" s="5"/>
      <c r="F79" s="9"/>
      <c r="I79" s="11"/>
    </row>
    <row r="80" spans="2:9" ht="14.25" customHeight="1">
      <c r="B80" s="3354" t="s">
        <v>1701</v>
      </c>
      <c r="C80" s="4" t="s">
        <v>24</v>
      </c>
      <c r="D80" s="3341" t="s">
        <v>1701</v>
      </c>
      <c r="E80" s="5"/>
      <c r="F80" s="9"/>
      <c r="I80" s="11"/>
    </row>
    <row r="81" spans="2:9" ht="14.25" customHeight="1">
      <c r="B81" s="3342"/>
      <c r="C81" s="4"/>
      <c r="D81" s="3343"/>
      <c r="E81" s="5"/>
      <c r="F81" s="9"/>
      <c r="I81" s="11"/>
    </row>
    <row r="82" spans="2:9" ht="14.25" hidden="1" customHeight="1">
      <c r="B82" s="3347" t="s">
        <v>22</v>
      </c>
      <c r="C82" s="4" t="s">
        <v>21</v>
      </c>
      <c r="D82" s="3352" t="s">
        <v>20</v>
      </c>
      <c r="E82" s="5"/>
      <c r="F82" s="9">
        <f t="shared" si="0"/>
        <v>2</v>
      </c>
      <c r="I82" s="11"/>
    </row>
    <row r="83" spans="2:9" ht="14.25" hidden="1" customHeight="1">
      <c r="B83" s="3342"/>
      <c r="C83" s="4" t="s">
        <v>19</v>
      </c>
      <c r="D83" s="3352" t="s">
        <v>18</v>
      </c>
      <c r="E83" s="5"/>
      <c r="F83" s="9">
        <f t="shared" si="0"/>
        <v>4</v>
      </c>
      <c r="I83" s="11"/>
    </row>
    <row r="84" spans="2:9" ht="14.25" hidden="1" customHeight="1">
      <c r="B84" s="3342"/>
      <c r="C84" s="4" t="s">
        <v>17</v>
      </c>
      <c r="D84" s="3352" t="s">
        <v>16</v>
      </c>
      <c r="E84" s="5"/>
      <c r="F84" s="9">
        <f t="shared" si="0"/>
        <v>6</v>
      </c>
      <c r="I84" s="11"/>
    </row>
    <row r="85" spans="2:9" ht="14.25" hidden="1" customHeight="1">
      <c r="B85" s="3342"/>
      <c r="C85" s="4" t="s">
        <v>15</v>
      </c>
      <c r="D85" s="3352" t="s">
        <v>14</v>
      </c>
      <c r="E85" s="5"/>
      <c r="F85" s="9">
        <f t="shared" si="0"/>
        <v>8</v>
      </c>
      <c r="I85" s="11"/>
    </row>
    <row r="86" spans="2:9" ht="14.25" hidden="1" customHeight="1">
      <c r="B86" s="3342"/>
      <c r="C86" s="4" t="s">
        <v>13</v>
      </c>
      <c r="D86" s="3352" t="s">
        <v>12</v>
      </c>
      <c r="E86" s="5"/>
      <c r="F86" s="9"/>
      <c r="I86" s="11"/>
    </row>
    <row r="87" spans="2:9" ht="14.4" hidden="1" customHeight="1">
      <c r="B87" s="3342"/>
      <c r="C87" s="4" t="s">
        <v>11</v>
      </c>
      <c r="D87" s="3352" t="s">
        <v>10</v>
      </c>
      <c r="E87" s="5"/>
      <c r="F87" s="9"/>
      <c r="I87" s="11"/>
    </row>
    <row r="88" spans="2:9" hidden="1">
      <c r="B88" s="3342"/>
      <c r="C88" s="4" t="s">
        <v>9</v>
      </c>
      <c r="D88" s="3352" t="s">
        <v>8</v>
      </c>
    </row>
    <row r="89" spans="2:9" hidden="1">
      <c r="B89" s="3342"/>
      <c r="C89" s="4" t="s">
        <v>7</v>
      </c>
      <c r="D89" s="3352" t="s">
        <v>6</v>
      </c>
    </row>
    <row r="90" spans="2:9" hidden="1">
      <c r="B90" s="3342"/>
      <c r="C90" s="4" t="s">
        <v>5</v>
      </c>
      <c r="D90" s="3352" t="s">
        <v>4</v>
      </c>
    </row>
    <row r="91" spans="2:9" ht="14.4" hidden="1" customHeight="1">
      <c r="B91" s="3342"/>
      <c r="C91" s="4"/>
      <c r="D91" s="3355"/>
      <c r="E91" s="5"/>
      <c r="F91" s="9" t="s">
        <v>1</v>
      </c>
    </row>
    <row r="92" spans="2:9" ht="7.95" hidden="1" customHeight="1">
      <c r="B92" s="3342"/>
      <c r="C92" s="4" t="s">
        <v>3</v>
      </c>
      <c r="D92" s="3352" t="s">
        <v>2</v>
      </c>
      <c r="E92" s="5"/>
      <c r="F92" s="9"/>
    </row>
    <row r="93" spans="2:9" ht="9" hidden="1" customHeight="1">
      <c r="B93" s="3342"/>
      <c r="C93" s="4"/>
      <c r="D93" s="3343"/>
      <c r="E93" s="7"/>
      <c r="F93" s="6"/>
    </row>
    <row r="94" spans="2:9" ht="7.2" hidden="1" customHeight="1">
      <c r="B94" s="3342"/>
      <c r="C94" s="4"/>
      <c r="D94" s="3345"/>
      <c r="E94" s="4"/>
      <c r="F94" s="4"/>
    </row>
    <row r="95" spans="2:9" ht="15" hidden="1" customHeight="1">
      <c r="B95" s="3342"/>
      <c r="C95" s="4"/>
      <c r="D95" s="3345"/>
      <c r="H95" s="2" t="s">
        <v>0</v>
      </c>
    </row>
    <row r="96" spans="2:9" ht="15" hidden="1" customHeight="1">
      <c r="B96" s="3342"/>
      <c r="C96" s="4"/>
      <c r="D96" s="3345"/>
    </row>
    <row r="97" spans="2:9" ht="15" hidden="1" customHeight="1">
      <c r="B97" s="3347"/>
      <c r="C97" s="10"/>
      <c r="D97" s="3356"/>
    </row>
    <row r="98" spans="2:9" ht="15" customHeight="1">
      <c r="B98" s="3344" t="s">
        <v>1443</v>
      </c>
      <c r="C98" s="4"/>
      <c r="D98" s="3357"/>
    </row>
    <row r="99" spans="2:9" ht="15" customHeight="1">
      <c r="B99" s="3347" t="s">
        <v>945</v>
      </c>
      <c r="C99" s="4" t="s">
        <v>944</v>
      </c>
      <c r="D99" s="3341" t="s">
        <v>943</v>
      </c>
    </row>
    <row r="100" spans="2:9" ht="15" customHeight="1">
      <c r="B100" s="3342"/>
      <c r="C100" s="4" t="s">
        <v>942</v>
      </c>
      <c r="D100" s="3341" t="s">
        <v>941</v>
      </c>
    </row>
    <row r="101" spans="2:9" ht="15" customHeight="1">
      <c r="B101" s="3342"/>
      <c r="C101" s="4" t="s">
        <v>940</v>
      </c>
      <c r="D101" s="3341" t="s">
        <v>939</v>
      </c>
    </row>
    <row r="102" spans="2:9" ht="15" customHeight="1">
      <c r="B102" s="3342"/>
      <c r="C102" s="4" t="s">
        <v>938</v>
      </c>
      <c r="D102" s="3341" t="s">
        <v>937</v>
      </c>
    </row>
    <row r="103" spans="2:9" ht="9.6" customHeight="1">
      <c r="B103" s="3353"/>
      <c r="C103" s="14"/>
      <c r="D103" s="3351"/>
      <c r="E103" s="5"/>
      <c r="F103" s="9"/>
      <c r="I103" s="11"/>
    </row>
    <row r="104" spans="2:9" ht="15" customHeight="1">
      <c r="B104" s="3347" t="s">
        <v>98</v>
      </c>
      <c r="C104" s="4" t="s">
        <v>936</v>
      </c>
      <c r="D104" s="3341" t="s">
        <v>935</v>
      </c>
    </row>
    <row r="105" spans="2:9" ht="15" customHeight="1">
      <c r="B105" s="3342"/>
      <c r="C105" s="4" t="s">
        <v>934</v>
      </c>
      <c r="D105" s="3341" t="s">
        <v>933</v>
      </c>
    </row>
    <row r="106" spans="2:9" ht="15" customHeight="1">
      <c r="B106" s="3342"/>
      <c r="C106" s="4" t="s">
        <v>83</v>
      </c>
      <c r="D106" s="3341" t="s">
        <v>83</v>
      </c>
    </row>
    <row r="107" spans="2:9" ht="15" hidden="1" customHeight="1">
      <c r="B107" s="3347"/>
      <c r="C107" s="4" t="s">
        <v>932</v>
      </c>
      <c r="D107" s="3341" t="s">
        <v>931</v>
      </c>
    </row>
    <row r="108" spans="2:9" ht="15" customHeight="1">
      <c r="B108" s="3342"/>
      <c r="C108" s="4" t="s">
        <v>89</v>
      </c>
      <c r="D108" s="3341" t="s">
        <v>930</v>
      </c>
    </row>
    <row r="109" spans="2:9" ht="15" customHeight="1">
      <c r="B109" s="3342"/>
      <c r="C109" s="4" t="s">
        <v>1726</v>
      </c>
      <c r="D109" s="3341" t="s">
        <v>84</v>
      </c>
    </row>
    <row r="110" spans="2:9" ht="9.6" customHeight="1">
      <c r="B110" s="3353"/>
      <c r="C110" s="14"/>
      <c r="D110" s="3351"/>
      <c r="E110" s="5"/>
      <c r="F110" s="9"/>
      <c r="I110" s="11"/>
    </row>
    <row r="111" spans="2:9" ht="15" customHeight="1">
      <c r="B111" s="3347" t="s">
        <v>81</v>
      </c>
      <c r="C111" s="4" t="s">
        <v>74</v>
      </c>
      <c r="D111" s="3341" t="s">
        <v>74</v>
      </c>
    </row>
    <row r="112" spans="2:9" ht="15" customHeight="1">
      <c r="B112" s="3347"/>
      <c r="C112" s="4" t="s">
        <v>76</v>
      </c>
      <c r="D112" s="3341" t="s">
        <v>76</v>
      </c>
      <c r="H112" s="1"/>
    </row>
    <row r="113" spans="2:9" ht="15" customHeight="1">
      <c r="B113" s="3347"/>
      <c r="C113" s="4" t="s">
        <v>69</v>
      </c>
      <c r="D113" s="3341" t="s">
        <v>69</v>
      </c>
      <c r="H113" s="1"/>
    </row>
    <row r="114" spans="2:9" ht="9.6" customHeight="1">
      <c r="B114" s="3353"/>
      <c r="C114" s="14"/>
      <c r="D114" s="3351"/>
      <c r="E114" s="5"/>
      <c r="F114" s="9"/>
      <c r="H114" s="1"/>
    </row>
    <row r="115" spans="2:9" ht="15" customHeight="1">
      <c r="B115" s="3347" t="s">
        <v>54</v>
      </c>
      <c r="C115" s="4" t="s">
        <v>51</v>
      </c>
      <c r="D115" s="3341" t="s">
        <v>51</v>
      </c>
      <c r="H115" s="1"/>
    </row>
    <row r="116" spans="2:9" ht="15" customHeight="1">
      <c r="B116" s="3347"/>
      <c r="C116" s="4" t="s">
        <v>1586</v>
      </c>
      <c r="D116" s="3341" t="s">
        <v>1648</v>
      </c>
      <c r="H116" s="1"/>
    </row>
    <row r="117" spans="2:9" ht="15" customHeight="1">
      <c r="B117" s="3347"/>
      <c r="C117" s="4" t="s">
        <v>53</v>
      </c>
      <c r="D117" s="3341" t="s">
        <v>672</v>
      </c>
      <c r="H117" s="1"/>
    </row>
    <row r="118" spans="2:9" ht="15" customHeight="1">
      <c r="B118" s="3346"/>
      <c r="C118" s="4" t="s">
        <v>253</v>
      </c>
      <c r="D118" s="3341" t="s">
        <v>929</v>
      </c>
      <c r="H118" s="1"/>
    </row>
    <row r="119" spans="2:9" ht="15" hidden="1" customHeight="1">
      <c r="B119" s="3346"/>
      <c r="C119" s="4" t="s">
        <v>928</v>
      </c>
      <c r="D119" s="3341"/>
      <c r="H119" s="1"/>
    </row>
    <row r="120" spans="2:9" ht="9.6" customHeight="1">
      <c r="B120" s="3353"/>
      <c r="C120" s="14"/>
      <c r="D120" s="3351"/>
      <c r="E120" s="5"/>
      <c r="F120" s="9"/>
      <c r="H120" s="1"/>
    </row>
    <row r="121" spans="2:9" ht="15" hidden="1" customHeight="1">
      <c r="B121" s="3347" t="s">
        <v>64</v>
      </c>
      <c r="C121" s="4" t="s">
        <v>63</v>
      </c>
      <c r="D121" s="3341" t="s">
        <v>255</v>
      </c>
    </row>
    <row r="122" spans="2:9" ht="15" hidden="1" customHeight="1">
      <c r="B122" s="3347"/>
      <c r="C122" s="4"/>
      <c r="D122" s="3341"/>
    </row>
    <row r="123" spans="2:9" ht="15" hidden="1" customHeight="1">
      <c r="B123" s="3346"/>
      <c r="C123" s="4"/>
      <c r="D123" s="3341"/>
    </row>
    <row r="124" spans="2:9" ht="15" customHeight="1">
      <c r="B124" s="3347" t="s">
        <v>45</v>
      </c>
      <c r="C124" s="2468" t="s">
        <v>38</v>
      </c>
      <c r="D124" s="3341" t="s">
        <v>671</v>
      </c>
    </row>
    <row r="125" spans="2:9" ht="9.6" customHeight="1">
      <c r="B125" s="3353"/>
      <c r="C125" s="14"/>
      <c r="D125" s="3449"/>
      <c r="E125" s="5"/>
      <c r="F125" s="9"/>
      <c r="I125" s="11"/>
    </row>
    <row r="126" spans="2:9" ht="15" customHeight="1">
      <c r="B126" s="3347" t="s">
        <v>927</v>
      </c>
      <c r="C126" s="14" t="s">
        <v>926</v>
      </c>
      <c r="D126" s="3341" t="s">
        <v>925</v>
      </c>
    </row>
    <row r="127" spans="2:9" ht="15" customHeight="1">
      <c r="B127" s="3353"/>
      <c r="C127" s="14" t="s">
        <v>924</v>
      </c>
      <c r="D127" s="3341" t="s">
        <v>183</v>
      </c>
    </row>
    <row r="128" spans="2:9" ht="9.6" customHeight="1">
      <c r="B128" s="3353"/>
      <c r="C128" s="14"/>
      <c r="D128" s="3351"/>
      <c r="E128" s="5"/>
      <c r="F128" s="9"/>
      <c r="I128" s="11"/>
    </row>
    <row r="129" spans="2:4" ht="15" customHeight="1" thickBot="1">
      <c r="B129" s="3358" t="s">
        <v>1700</v>
      </c>
      <c r="C129" s="643" t="s">
        <v>24</v>
      </c>
      <c r="D129" s="3359" t="s">
        <v>1701</v>
      </c>
    </row>
    <row r="130" spans="2:4" ht="15" hidden="1" customHeight="1">
      <c r="B130" s="4" t="s">
        <v>22</v>
      </c>
      <c r="C130" s="4" t="s">
        <v>21</v>
      </c>
      <c r="D130" s="13" t="s">
        <v>20</v>
      </c>
    </row>
    <row r="131" spans="2:4" ht="15" hidden="1" customHeight="1">
      <c r="B131" s="4"/>
      <c r="C131" s="4" t="s">
        <v>19</v>
      </c>
      <c r="D131" s="13" t="s">
        <v>18</v>
      </c>
    </row>
    <row r="132" spans="2:4" ht="15" hidden="1" customHeight="1">
      <c r="B132" s="4"/>
      <c r="C132" s="4" t="s">
        <v>17</v>
      </c>
      <c r="D132" s="13" t="s">
        <v>16</v>
      </c>
    </row>
    <row r="133" spans="2:4" ht="15" hidden="1" customHeight="1">
      <c r="B133" s="4"/>
      <c r="C133" s="4" t="s">
        <v>15</v>
      </c>
      <c r="D133" s="13" t="s">
        <v>14</v>
      </c>
    </row>
    <row r="134" spans="2:4" ht="15" hidden="1" customHeight="1">
      <c r="B134" s="4"/>
      <c r="C134" s="4" t="s">
        <v>13</v>
      </c>
      <c r="D134" s="13" t="s">
        <v>12</v>
      </c>
    </row>
    <row r="135" spans="2:4" ht="15" hidden="1" customHeight="1">
      <c r="B135" s="4"/>
      <c r="C135" s="4" t="s">
        <v>11</v>
      </c>
      <c r="D135" s="13" t="s">
        <v>10</v>
      </c>
    </row>
    <row r="136" spans="2:4" ht="15" hidden="1" customHeight="1">
      <c r="B136" s="4"/>
      <c r="C136" s="4" t="s">
        <v>9</v>
      </c>
      <c r="D136" s="13" t="s">
        <v>8</v>
      </c>
    </row>
    <row r="137" spans="2:4" ht="15" hidden="1" customHeight="1">
      <c r="B137" s="10"/>
      <c r="C137" s="4" t="s">
        <v>7</v>
      </c>
      <c r="D137" s="13" t="s">
        <v>6</v>
      </c>
    </row>
    <row r="138" spans="2:4" ht="15" hidden="1" customHeight="1">
      <c r="C138" s="4" t="s">
        <v>5</v>
      </c>
      <c r="D138" s="13" t="s">
        <v>4</v>
      </c>
    </row>
    <row r="139" spans="2:4" ht="15" hidden="1" customHeight="1">
      <c r="C139" s="4" t="s">
        <v>3</v>
      </c>
      <c r="D139" s="13" t="s">
        <v>2</v>
      </c>
    </row>
    <row r="140" spans="2:4" ht="15" hidden="1" customHeight="1">
      <c r="B140" s="4"/>
      <c r="C140" s="4"/>
      <c r="D140" s="13"/>
    </row>
    <row r="141" spans="2:4" ht="15" customHeight="1"/>
    <row r="142" spans="2:4" ht="15" customHeight="1"/>
    <row r="143" spans="2:4" ht="15" customHeight="1"/>
    <row r="144" spans="2: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sheetData>
  <sheetProtection sheet="1" objects="1" scenarios="1"/>
  <customSheetViews>
    <customSheetView guid="{8063F48F-80B5-4ECD-B18A-51CBF126E780}" showPageBreaks="1" fitToPage="1" printArea="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2" orientation="portrait" r:id="rId1"/>
      <headerFooter alignWithMargins="0">
        <oddFooter>&amp;L&amp;11LEL Schwäbisch Gmünd&amp;C&amp;11&amp;P&amp;R&amp;11 &amp;F</oddFooter>
      </headerFooter>
    </customSheetView>
    <customSheetView guid="{5D5C9B61-9ABD-4513-AAEB-8333A9D6196C}" fitToPage="1" hiddenRows="1" hiddenColumns="1" topLeftCell="A16">
      <selection activeCell="D35" sqref="D35"/>
      <pageMargins left="0.59055118110236227" right="0.59055118110236227" top="0.59055118110236227" bottom="0.59055118110236227" header="0.39370078740157483" footer="0.39370078740157483"/>
      <printOptions horizontalCentered="1"/>
      <pageSetup paperSize="9" scale="72" orientation="portrait" r:id="rId2"/>
      <headerFooter alignWithMargins="0">
        <oddFooter>&amp;L&amp;11LEL Schwäbisch Gmünd&amp;C&amp;11&amp;P&amp;R&amp;11 &amp;F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2" orientation="portrait" r:id="rId3"/>
      <headerFooter alignWithMargins="0">
        <oddFooter>&amp;L&amp;11LEL Schwäbisch Gmünd&amp;C&amp;11&amp;P&amp;R&amp;11 &amp;F</oddFooter>
      </headerFooter>
    </customSheetView>
  </customSheetViews>
  <mergeCells count="5">
    <mergeCell ref="B10:C10"/>
    <mergeCell ref="B6:D6"/>
    <mergeCell ref="B5:D5"/>
    <mergeCell ref="B4:D4"/>
    <mergeCell ref="B3:D3"/>
  </mergeCells>
  <hyperlinks>
    <hyperlink ref="D22" location="'SDK1'!A1" display="SDK1" xr:uid="{00000000-0004-0000-0000-000000000000}"/>
    <hyperlink ref="D24" location="SD2!A1" display=" Prämien" xr:uid="{00000000-0004-0000-0000-000001000000}"/>
    <hyperlink ref="D26" location="'SDK4'!A1" display="SDK4" xr:uid="{00000000-0004-0000-0000-000002000000}"/>
    <hyperlink ref="D28" location="'SDK5'!A1" display="SDK5" xr:uid="{00000000-0004-0000-0000-000003000000}"/>
    <hyperlink ref="D30" location="SD6!A1" display=" Trocknung" xr:uid="{00000000-0004-0000-0000-000004000000}"/>
    <hyperlink ref="D31" location="'SDK7'!A1" display="SDK7" xr:uid="{00000000-0004-0000-0000-000005000000}"/>
    <hyperlink ref="D38:D45" location="Preise!A1" display="Preise" xr:uid="{00000000-0004-0000-0000-000006000000}"/>
    <hyperlink ref="D38" location="WW1!A1" display=" WW-Futter" xr:uid="{00000000-0004-0000-0000-000007000000}"/>
    <hyperlink ref="D39" location="WW2!A1" display=" WW-Brot" xr:uid="{00000000-0004-0000-0000-000008000000}"/>
    <hyperlink ref="D40" location="'WW-A'!A1" display="WW-A" xr:uid="{00000000-0004-0000-0000-000009000000}"/>
    <hyperlink ref="D41" location="'WW-E'!A1" display="WW-E" xr:uid="{00000000-0004-0000-0000-00000A000000}"/>
    <hyperlink ref="D42" location="WRo!A1" display=" Roggen" xr:uid="{00000000-0004-0000-0000-00000B000000}"/>
    <hyperlink ref="D43" location="Tr!A1" display=" Triticale" xr:uid="{00000000-0004-0000-0000-00000C000000}"/>
    <hyperlink ref="D44" location="WG!A1" display=" W-Gerste" xr:uid="{00000000-0004-0000-0000-00000D000000}"/>
    <hyperlink ref="D45" location="Di!A1" display=" Dinkel" xr:uid="{00000000-0004-0000-0000-00000E000000}"/>
    <hyperlink ref="D47" location="SW!A1" display=" So-Weizen" xr:uid="{00000000-0004-0000-0000-00000F000000}"/>
    <hyperlink ref="D48" location="'SG-Fu'!A1" display=" So-FuGerste" xr:uid="{00000000-0004-0000-0000-000010000000}"/>
    <hyperlink ref="D49" location="BG!A1" display=" Braugerste" xr:uid="{00000000-0004-0000-0000-000011000000}"/>
    <hyperlink ref="D50" location="Ha!A1" display=" Hafer" xr:uid="{00000000-0004-0000-0000-000012000000}"/>
    <hyperlink ref="D51" location="Du!A1" display=" Durum" xr:uid="{00000000-0004-0000-0000-000013000000}"/>
    <hyperlink ref="D53" location="KöM!A1" display=" Körnermais" xr:uid="{00000000-0004-0000-0000-000014000000}"/>
    <hyperlink ref="D57:D65" location="Körnermais!A1" display="Dinkel" xr:uid="{00000000-0004-0000-0000-000015000000}"/>
    <hyperlink ref="D57" location="WR!A1" display=" W-Raps" xr:uid="{00000000-0004-0000-0000-000016000000}"/>
    <hyperlink ref="D58" location="SR!A1" display=" So-Raps" xr:uid="{00000000-0004-0000-0000-000017000000}"/>
    <hyperlink ref="D59" location="SoBl!A1" display=" Sonnenblumen" xr:uid="{00000000-0004-0000-0000-000018000000}"/>
    <hyperlink ref="D60" location="Soja!A1" display=" Sojabohne" xr:uid="{00000000-0004-0000-0000-000019000000}"/>
    <hyperlink ref="D61" location="Öl!A1" display=" Öllein" xr:uid="{00000000-0004-0000-0000-00001A000000}"/>
    <hyperlink ref="D63" location="FE!A1" display=" Erbsen" xr:uid="{00000000-0004-0000-0000-00001B000000}"/>
    <hyperlink ref="D64" location="AB!A1" display=" Ackerbohnen" xr:uid="{00000000-0004-0000-0000-00001C000000}"/>
    <hyperlink ref="D65" location="Lu!A1" display=" Lupinen" xr:uid="{00000000-0004-0000-0000-00001D000000}"/>
    <hyperlink ref="D67" location="ZR!A1" display=" Zuckerrüben" xr:uid="{00000000-0004-0000-0000-00001E000000}"/>
    <hyperlink ref="D68" location="FrühKa!A1" display=" Früh-Kartoffeln" xr:uid="{00000000-0004-0000-0000-00001F000000}"/>
    <hyperlink ref="D71" location="FrühKaFolieBer!A1" display=" Früh-Kart-FolieBer" xr:uid="{00000000-0004-0000-0000-000020000000}"/>
    <hyperlink ref="D72" location="SpKa!A1" display=" Speise-Kartoffeln" xr:uid="{00000000-0004-0000-0000-000021000000}"/>
    <hyperlink ref="D73" location="SpKaBer!A1" display=" Speise-Kart-Ber" xr:uid="{00000000-0004-0000-0000-000022000000}"/>
    <hyperlink ref="D75" location="'Hanf-komb. Nutzung'!A1:A7" display=" Hanf-komb. Nutzung" xr:uid="{00000000-0004-0000-0000-000023000000}"/>
    <hyperlink ref="D90" location="Getreide_BG_mGR!A1:A7" display="Getreide_BG_mGR" xr:uid="{00000000-0004-0000-0000-000024000000}"/>
    <hyperlink ref="D35" location="Kostenrechnung!A1:A10" display=" Kostenrechnung" xr:uid="{00000000-0004-0000-0000-000025000000}"/>
    <hyperlink ref="D74" location="'Hanf-nur Strohnutzung'!A1:A7" display=" Hanf-nur Strohnutzung" xr:uid="{00000000-0004-0000-0000-000026000000}"/>
    <hyperlink ref="D82" location="Silomais_BG_aF_oGR!A1:A7" display="Silomais_BG_aF_oGR" xr:uid="{00000000-0004-0000-0000-000027000000}"/>
    <hyperlink ref="D92" location="Leer_Biomasse!A1:A7" display="leer1" xr:uid="{00000000-0004-0000-0000-000028000000}"/>
    <hyperlink ref="D83" location="Silomais_BG_aF_mGR!A1:A7" display="Silomais_BG_aF_mGR" xr:uid="{00000000-0004-0000-0000-000029000000}"/>
    <hyperlink ref="D84" location="Silomais_BG_fS_oGR!A1:A7" display="Silomais_BG_fS_oGR" xr:uid="{00000000-0004-0000-0000-00002A000000}"/>
    <hyperlink ref="D85" location="Silomais_BG_fS_mGR!A1:A7" display="Silomais_BG_fS_mGR" xr:uid="{00000000-0004-0000-0000-00002B000000}"/>
    <hyperlink ref="D86" location="GPS_BG_fS_mGR!A1:A7" display="GPS_BG_fS_mGR" xr:uid="{00000000-0004-0000-0000-00002C000000}"/>
    <hyperlink ref="D87" location="GS_3Nu_fS_mGR!A1:A7" display="GS_3Nu_fS_mGR" xr:uid="{00000000-0004-0000-0000-00002D000000}"/>
    <hyperlink ref="D88" location="GS_5Nu_fS_mGR!A1:A7" display="GS_5Nu_fS_mGR" xr:uid="{00000000-0004-0000-0000-00002E000000}"/>
    <hyperlink ref="D55" location="KH!A1" display=" Körnerhirse" xr:uid="{00000000-0004-0000-0000-00002F000000}"/>
    <hyperlink ref="D89" location="KleeGS_2j_fS_mGR!A1:A7" display="KleeGS_2j_fS_mGR" xr:uid="{00000000-0004-0000-0000-000030000000}"/>
    <hyperlink ref="D20" location="EÖ1!A1" display="EÖ1" xr:uid="{00000000-0004-0000-0000-000031000000}"/>
    <hyperlink ref="D78" location="Begr!A1" display=" Begrünung" xr:uid="{00000000-0004-0000-0000-000032000000}"/>
    <hyperlink ref="D66" location="'Wi-triticale-Wi-erbsengemenge'!A1" display="W-itriticale-Wi-erbsengemenge" xr:uid="{00000000-0004-0000-0000-000033000000}"/>
    <hyperlink ref="D80" location="Vorlage!A1" display="Vorlage" xr:uid="{00000000-0004-0000-0000-000034000000}"/>
    <hyperlink ref="D19" location="'EK1'!A1" display="EK1" xr:uid="{00000000-0004-0000-0000-000035000000}"/>
    <hyperlink ref="D18" location="'E2'!A1" display=" Grafik DB" xr:uid="{00000000-0004-0000-0000-000036000000}"/>
    <hyperlink ref="D17" location="'E1'!A1" display=" Übersicht" xr:uid="{00000000-0004-0000-0000-000037000000}"/>
    <hyperlink ref="D14" location="Hinw!A1" display="Hinweise" xr:uid="{00000000-0004-0000-0000-000038000000}"/>
    <hyperlink ref="D23" location="SDÖ1!A1" display="SDÖ1" xr:uid="{00000000-0004-0000-0000-000039000000}"/>
    <hyperlink ref="D27" location="SDÖ4!A1" display="SDÖ4" xr:uid="{00000000-0004-0000-0000-00003A000000}"/>
    <hyperlink ref="D29" location="SDÖ5!A1" display="SDÖ5" xr:uid="{00000000-0004-0000-0000-00003B000000}"/>
    <hyperlink ref="D32" location="SDÖ7!A1" display="SDÖ7" xr:uid="{00000000-0004-0000-0000-00003C000000}"/>
    <hyperlink ref="D70" location="ZR!A1" display="ZR" xr:uid="{00000000-0004-0000-0000-00003D000000}"/>
    <hyperlink ref="D104:D106" location="Preise!A1" display="Preise" xr:uid="{00000000-0004-0000-0000-00003E000000}"/>
    <hyperlink ref="D104" location="'Öko-WW-Futter'!A1" display="Ww-Futter" xr:uid="{00000000-0004-0000-0000-00003F000000}"/>
    <hyperlink ref="D105" location="'Öko-WW-Brot'!A1" display="Ww-Brot" xr:uid="{00000000-0004-0000-0000-000040000000}"/>
    <hyperlink ref="D106" location="'Öko-Di'!A1" display="Dinkel" xr:uid="{00000000-0004-0000-0000-000041000000}"/>
    <hyperlink ref="D111" location="'Öko-Ha'!A1" display="Hafer" xr:uid="{00000000-0004-0000-0000-000042000000}"/>
    <hyperlink ref="D113" location="'Öko-KöM'!A1" display="Körnermais" xr:uid="{00000000-0004-0000-0000-000043000000}"/>
    <hyperlink ref="D117" location="'Öko-FE'!A1" display="Erbsen" xr:uid="{00000000-0004-0000-0000-000044000000}"/>
    <hyperlink ref="D115" location="'Öko-Ab'!A1" display="Ackerbohnen" xr:uid="{00000000-0004-0000-0000-000045000000}"/>
    <hyperlink ref="D124" location="'Öko-Ka'!A1" display="Kartoffeln" xr:uid="{00000000-0004-0000-0000-000046000000}"/>
    <hyperlink ref="D138" location="Getreide_BG_mGR!A1:A7" display="Getreide_BG_mGR" xr:uid="{00000000-0004-0000-0000-000047000000}"/>
    <hyperlink ref="D130" location="Silomais_BG_aF_oGR!A1:A7" display="Silomais_BG_aF_oGR" xr:uid="{00000000-0004-0000-0000-000048000000}"/>
    <hyperlink ref="D139" location="Leer_Biomasse!A1:A7" display="leer1" xr:uid="{00000000-0004-0000-0000-000049000000}"/>
    <hyperlink ref="D131" location="Silomais_BG_aF_mGR!A1:A7" display="Silomais_BG_aF_mGR" xr:uid="{00000000-0004-0000-0000-00004A000000}"/>
    <hyperlink ref="D132" location="Silomais_BG_fS_oGR!A1:A7" display="Silomais_BG_fS_oGR" xr:uid="{00000000-0004-0000-0000-00004B000000}"/>
    <hyperlink ref="D133" location="Silomais_BG_fS_mGR!A1:A7" display="Silomais_BG_fS_mGR" xr:uid="{00000000-0004-0000-0000-00004C000000}"/>
    <hyperlink ref="D134" location="GPS_BG_fS_mGR!A1:A7" display="GPS_BG_fS_mGR" xr:uid="{00000000-0004-0000-0000-00004D000000}"/>
    <hyperlink ref="D135" location="GS_3Nu_fS_mGR!A1:A7" display="GS_3Nu_fS_mGR" xr:uid="{00000000-0004-0000-0000-00004E000000}"/>
    <hyperlink ref="D136" location="GS_5Nu_fS_mGR!A1:A7" display="GS_5Nu_fS_mGR" xr:uid="{00000000-0004-0000-0000-00004F000000}"/>
    <hyperlink ref="D137" location="KleeGS_2j_fS_mGR!A1:A7" display="KleeGS_2j_fS_mGR" xr:uid="{00000000-0004-0000-0000-000050000000}"/>
    <hyperlink ref="D129" location="'Vorlage I'!A1" display="Vorlage I" xr:uid="{00000000-0004-0000-0000-000051000000}"/>
    <hyperlink ref="D112" location="'Öko-Bg'!A1" display="Braugerste" xr:uid="{00000000-0004-0000-0000-000052000000}"/>
    <hyperlink ref="D107" location="'Öko-Dinkel,gegerbt'!A1" display="Dinkel-entspelzt" xr:uid="{00000000-0004-0000-0000-000053000000}"/>
    <hyperlink ref="D99" location="'Öko-KG1'!A1" display="Kleegras1" xr:uid="{00000000-0004-0000-0000-000054000000}"/>
    <hyperlink ref="D100" location="'Öko-KG2'!A1" display="Kleegras2" xr:uid="{00000000-0004-0000-0000-000055000000}"/>
    <hyperlink ref="D101" location="'Öko-LU1'!A1" display="Luzernegras1" xr:uid="{00000000-0004-0000-0000-000056000000}"/>
    <hyperlink ref="D102" location="'Öko-LU2'!A1" display="Luzernegras2" xr:uid="{00000000-0004-0000-0000-000057000000}"/>
    <hyperlink ref="D108" location="'Öko-Ro'!A1" display="Roggen" xr:uid="{00000000-0004-0000-0000-000058000000}"/>
    <hyperlink ref="D126" location="Blühm.!A1" display="Blühmischung" xr:uid="{00000000-0004-0000-0000-000059000000}"/>
    <hyperlink ref="D127" location="Begrün.!A1" display="Begrünung" xr:uid="{00000000-0004-0000-0000-00005A000000}"/>
    <hyperlink ref="D118" location="'Öko-Soja'!A1" display="Sojabohne" xr:uid="{00000000-0004-0000-0000-00005B000000}"/>
    <hyperlink ref="D121" location="'Öko-Raps'!A1" display="Raps" xr:uid="{00000000-0004-0000-0000-00005C000000}"/>
    <hyperlink ref="D33" location="'SD8'!A1" display="SD8" xr:uid="{00000000-0004-0000-0000-00005D000000}"/>
    <hyperlink ref="D77" location="'FAKT-Brachebegrünung'!A1" display="FAKT-Brache" xr:uid="{00000000-0004-0000-0000-00005E000000}"/>
    <hyperlink ref="D116" location="'Öko-Lu'!A1" display="Lupine " xr:uid="{00000000-0004-0000-0000-00005F000000}"/>
    <hyperlink ref="D25" location="'SD3'!A1" display="SD3" xr:uid="{00000000-0004-0000-0000-000060000000}"/>
    <hyperlink ref="D109" location="'Öko-Wg'!A1" display="WG" xr:uid="{00000000-0004-0000-0000-000061000000}"/>
  </hyperlinks>
  <printOptions horizontalCentered="1"/>
  <pageMargins left="0.59055118110236227" right="0.59055118110236227" top="0.59055118110236227" bottom="0.59055118110236227" header="0.39370078740157483" footer="0.39370078740157483"/>
  <pageSetup paperSize="9" scale="72" orientation="portrait" r:id="rId4"/>
  <headerFooter alignWithMargins="0">
    <oddFooter>&amp;L&amp;11LEL Schwäbisch Gmünd&amp;C&amp;11&amp;P&amp;R&amp;11 &amp;F</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S311"/>
  <sheetViews>
    <sheetView workbookViewId="0">
      <selection activeCell="B2" sqref="A2:B2"/>
    </sheetView>
  </sheetViews>
  <sheetFormatPr baseColWidth="10" defaultColWidth="10.5" defaultRowHeight="13.2"/>
  <cols>
    <col min="1" max="1" width="0.8984375" style="27" customWidth="1"/>
    <col min="2" max="2" width="1.19921875" style="27" customWidth="1"/>
    <col min="3" max="3" width="4.19921875" style="27" customWidth="1"/>
    <col min="4" max="4" width="9.59765625" style="27" customWidth="1"/>
    <col min="5" max="5" width="4.19921875" style="27" customWidth="1"/>
    <col min="6" max="6" width="9.09765625" style="27" customWidth="1"/>
    <col min="7" max="7" width="4.19921875" style="27" customWidth="1"/>
    <col min="8" max="8" width="8.69921875" style="27" customWidth="1"/>
    <col min="9" max="9" width="4.19921875" style="27" customWidth="1"/>
    <col min="10" max="10" width="8.69921875" style="27" customWidth="1"/>
    <col min="11" max="11" width="4.19921875" style="27" customWidth="1"/>
    <col min="12" max="12" width="8.69921875" style="27" customWidth="1"/>
    <col min="13" max="13" width="4.19921875" style="27" customWidth="1"/>
    <col min="14" max="14" width="8.69921875" style="28" customWidth="1"/>
    <col min="15" max="15" width="4.19921875" style="27" customWidth="1"/>
    <col min="16" max="16" width="8.69921875" style="27" customWidth="1"/>
    <col min="17" max="17" width="4.09765625" style="27" customWidth="1"/>
    <col min="18" max="18" width="8" style="2919" customWidth="1"/>
    <col min="19" max="19" width="1.59765625" style="3008" customWidth="1"/>
    <col min="20" max="16384" width="10.5" style="27"/>
  </cols>
  <sheetData>
    <row r="1" spans="1:19" ht="6.6" customHeight="1">
      <c r="A1" s="3286"/>
      <c r="B1" s="3287"/>
      <c r="C1" s="3287"/>
      <c r="D1" s="3287"/>
      <c r="E1" s="3287"/>
      <c r="F1" s="3287"/>
      <c r="G1" s="3287"/>
      <c r="H1" s="3287"/>
      <c r="I1" s="3287"/>
      <c r="J1" s="3287"/>
      <c r="K1" s="3287"/>
      <c r="L1" s="3287"/>
      <c r="M1" s="3287"/>
      <c r="N1" s="3287"/>
      <c r="O1" s="3287"/>
      <c r="P1" s="3287"/>
      <c r="Q1" s="3287"/>
      <c r="R1" s="3287"/>
      <c r="S1" s="3290"/>
    </row>
    <row r="2" spans="1:19" ht="26.4" customHeight="1">
      <c r="A2" s="3288"/>
      <c r="B2" s="3302"/>
      <c r="C2" s="3303" t="s">
        <v>159</v>
      </c>
      <c r="D2" s="3304"/>
      <c r="E2" s="3304"/>
      <c r="F2" s="3304"/>
      <c r="G2" s="3304"/>
      <c r="H2" s="3304"/>
      <c r="I2" s="3304"/>
      <c r="J2" s="3304"/>
      <c r="K2" s="3304"/>
      <c r="L2" s="3304"/>
      <c r="M2" s="3304"/>
      <c r="N2" s="3304"/>
      <c r="O2" s="3305"/>
      <c r="P2" s="3305"/>
      <c r="Q2" s="3305"/>
      <c r="R2" s="3305"/>
      <c r="S2" s="3310"/>
    </row>
    <row r="3" spans="1:19" ht="15" customHeight="1">
      <c r="A3" s="3288"/>
      <c r="B3" s="3289"/>
      <c r="C3" s="3269"/>
      <c r="D3" s="3269"/>
      <c r="E3" s="3269"/>
      <c r="F3" s="3269"/>
      <c r="G3" s="3269"/>
      <c r="H3" s="3269"/>
      <c r="I3" s="3269"/>
      <c r="J3" s="3269"/>
      <c r="K3" s="3269"/>
      <c r="L3" s="3269"/>
      <c r="M3" s="3269"/>
      <c r="N3" s="3269"/>
      <c r="O3" s="3269"/>
      <c r="P3" s="3269"/>
      <c r="Q3" s="3269"/>
      <c r="R3" s="3269"/>
      <c r="S3" s="3290"/>
    </row>
    <row r="4" spans="1:19" ht="78" customHeight="1">
      <c r="A4" s="3288"/>
      <c r="B4" s="3269"/>
      <c r="C4" s="3860" t="s">
        <v>1737</v>
      </c>
      <c r="D4" s="3861"/>
      <c r="E4" s="3861"/>
      <c r="F4" s="3861"/>
      <c r="G4" s="3861"/>
      <c r="H4" s="3861"/>
      <c r="I4" s="3861"/>
      <c r="J4" s="3861"/>
      <c r="K4" s="3861"/>
      <c r="L4" s="3861"/>
      <c r="M4" s="3861"/>
      <c r="N4" s="3861"/>
      <c r="O4" s="3861"/>
      <c r="P4" s="3861"/>
      <c r="Q4" s="3269"/>
      <c r="R4" s="3269"/>
      <c r="S4" s="3290"/>
    </row>
    <row r="5" spans="1:19" ht="15" customHeight="1">
      <c r="A5" s="3288"/>
      <c r="B5" s="3269"/>
      <c r="C5" s="2227"/>
      <c r="D5" s="3270"/>
      <c r="E5" s="3270"/>
      <c r="F5" s="3270"/>
      <c r="G5" s="3270"/>
      <c r="H5" s="3270"/>
      <c r="I5" s="3270"/>
      <c r="J5" s="3270"/>
      <c r="K5" s="3270"/>
      <c r="L5" s="3270"/>
      <c r="M5" s="3270"/>
      <c r="N5" s="3270"/>
      <c r="O5" s="3270"/>
      <c r="P5" s="3270"/>
      <c r="Q5" s="3269"/>
      <c r="R5" s="3269"/>
      <c r="S5" s="3290"/>
    </row>
    <row r="6" spans="1:19" s="36" customFormat="1" ht="24" customHeight="1">
      <c r="A6" s="3291"/>
      <c r="B6" s="2850"/>
      <c r="C6" s="3306" t="s">
        <v>158</v>
      </c>
      <c r="D6" s="3307"/>
      <c r="E6" s="3308"/>
      <c r="F6" s="3308"/>
      <c r="G6" s="3308"/>
      <c r="H6" s="3308"/>
      <c r="I6" s="3308"/>
      <c r="J6" s="3308"/>
      <c r="K6" s="3308"/>
      <c r="L6" s="3308"/>
      <c r="M6" s="3308"/>
      <c r="N6" s="3308"/>
      <c r="O6" s="3308"/>
      <c r="P6" s="3308"/>
      <c r="Q6" s="3308"/>
      <c r="R6" s="3305"/>
      <c r="S6" s="3292"/>
    </row>
    <row r="7" spans="1:19" s="36" customFormat="1" ht="6.6" customHeight="1">
      <c r="A7" s="3291"/>
      <c r="B7" s="2850"/>
      <c r="C7" s="2850"/>
      <c r="D7" s="2850"/>
      <c r="E7" s="2850"/>
      <c r="F7" s="2850"/>
      <c r="G7" s="2850"/>
      <c r="H7" s="2850"/>
      <c r="I7" s="2850"/>
      <c r="J7" s="2850"/>
      <c r="K7" s="2850"/>
      <c r="L7" s="2850"/>
      <c r="M7" s="2850"/>
      <c r="N7" s="2850"/>
      <c r="O7" s="2850"/>
      <c r="P7" s="2850"/>
      <c r="Q7" s="2850"/>
      <c r="R7" s="2850"/>
      <c r="S7" s="3292"/>
    </row>
    <row r="8" spans="1:19" s="36" customFormat="1" ht="15" customHeight="1">
      <c r="A8" s="3291"/>
      <c r="B8" s="2850"/>
      <c r="C8" s="3272" t="s">
        <v>157</v>
      </c>
      <c r="D8" s="2850"/>
      <c r="E8" s="2850"/>
      <c r="F8" s="2850"/>
      <c r="G8" s="2850"/>
      <c r="H8" s="2850"/>
      <c r="I8" s="2850"/>
      <c r="J8" s="2850"/>
      <c r="K8" s="2850"/>
      <c r="L8" s="2850"/>
      <c r="M8" s="2850"/>
      <c r="N8" s="2850"/>
      <c r="O8" s="2850"/>
      <c r="P8" s="2850"/>
      <c r="Q8" s="2850"/>
      <c r="R8" s="2850"/>
      <c r="S8" s="3292"/>
    </row>
    <row r="9" spans="1:19" s="36" customFormat="1" ht="15" customHeight="1" thickBot="1">
      <c r="A9" s="3291"/>
      <c r="B9" s="2850"/>
      <c r="C9" s="2850"/>
      <c r="D9" s="2850"/>
      <c r="E9" s="2850"/>
      <c r="F9" s="2850"/>
      <c r="G9" s="2850"/>
      <c r="H9" s="2850"/>
      <c r="I9" s="2850"/>
      <c r="J9" s="2850"/>
      <c r="K9" s="2850"/>
      <c r="L9" s="2850"/>
      <c r="M9" s="2850"/>
      <c r="N9" s="2850"/>
      <c r="O9" s="2850"/>
      <c r="P9" s="2850"/>
      <c r="Q9" s="2850"/>
      <c r="R9" s="2850"/>
      <c r="S9" s="3292"/>
    </row>
    <row r="10" spans="1:19" s="36" customFormat="1" ht="15" customHeight="1">
      <c r="A10" s="3291"/>
      <c r="B10" s="2850"/>
      <c r="C10" s="3273"/>
      <c r="D10" s="3412" t="s">
        <v>156</v>
      </c>
      <c r="E10" s="3274"/>
      <c r="F10" s="3412" t="s">
        <v>155</v>
      </c>
      <c r="G10" s="3274"/>
      <c r="H10" s="3412" t="s">
        <v>154</v>
      </c>
      <c r="I10" s="3274"/>
      <c r="J10" s="3412" t="s">
        <v>1450</v>
      </c>
      <c r="K10" s="3274"/>
      <c r="L10" s="3412" t="s">
        <v>153</v>
      </c>
      <c r="M10" s="3274"/>
      <c r="N10" s="3412" t="s">
        <v>152</v>
      </c>
      <c r="O10" s="3274"/>
      <c r="P10" s="3412" t="s">
        <v>151</v>
      </c>
      <c r="Q10" s="3273"/>
      <c r="R10" s="3412" t="s">
        <v>1695</v>
      </c>
      <c r="S10" s="3312"/>
    </row>
    <row r="11" spans="1:19" s="36" customFormat="1" ht="15" customHeight="1">
      <c r="A11" s="3291"/>
      <c r="B11" s="2850"/>
      <c r="C11" s="3273"/>
      <c r="D11" s="3414" t="s">
        <v>1447</v>
      </c>
      <c r="E11" s="3274"/>
      <c r="F11" s="3414" t="s">
        <v>150</v>
      </c>
      <c r="G11" s="3274"/>
      <c r="H11" s="3416" t="s">
        <v>849</v>
      </c>
      <c r="I11" s="3274"/>
      <c r="J11" s="3416" t="s">
        <v>145</v>
      </c>
      <c r="K11" s="3274"/>
      <c r="L11" s="3416" t="s">
        <v>149</v>
      </c>
      <c r="M11" s="3274"/>
      <c r="N11" s="3416" t="s">
        <v>148</v>
      </c>
      <c r="O11" s="3274"/>
      <c r="P11" s="3416" t="s">
        <v>147</v>
      </c>
      <c r="Q11" s="3273"/>
      <c r="R11" s="3416" t="s">
        <v>1696</v>
      </c>
      <c r="S11" s="3312"/>
    </row>
    <row r="12" spans="1:19" s="36" customFormat="1" ht="15" customHeight="1">
      <c r="A12" s="3291"/>
      <c r="B12" s="2850"/>
      <c r="C12" s="3273"/>
      <c r="D12" s="3414" t="s">
        <v>1448</v>
      </c>
      <c r="E12" s="3274"/>
      <c r="F12" s="3414" t="s">
        <v>146</v>
      </c>
      <c r="G12" s="3274"/>
      <c r="H12" s="3413" t="s">
        <v>1680</v>
      </c>
      <c r="I12" s="3274"/>
      <c r="J12" s="3416" t="s">
        <v>143</v>
      </c>
      <c r="K12" s="3274"/>
      <c r="L12" s="3416" t="s">
        <v>144</v>
      </c>
      <c r="M12" s="3274"/>
      <c r="N12" s="3416" t="s">
        <v>143</v>
      </c>
      <c r="O12" s="3274"/>
      <c r="P12" s="3413" t="s">
        <v>1454</v>
      </c>
      <c r="Q12" s="3273"/>
      <c r="R12" s="3413" t="s">
        <v>1697</v>
      </c>
      <c r="S12" s="3313"/>
    </row>
    <row r="13" spans="1:19" s="46" customFormat="1" ht="15" customHeight="1" thickBot="1">
      <c r="A13" s="3293"/>
      <c r="B13" s="3272"/>
      <c r="C13" s="3273"/>
      <c r="D13" s="3415"/>
      <c r="E13" s="3274"/>
      <c r="F13" s="3415" t="s">
        <v>1449</v>
      </c>
      <c r="G13" s="3274"/>
      <c r="H13" s="3415"/>
      <c r="I13" s="3274"/>
      <c r="J13" s="3417" t="s">
        <v>1451</v>
      </c>
      <c r="K13" s="3274"/>
      <c r="L13" s="3417" t="s">
        <v>1452</v>
      </c>
      <c r="M13" s="3274"/>
      <c r="N13" s="3417" t="s">
        <v>1453</v>
      </c>
      <c r="O13" s="3274"/>
      <c r="P13" s="3415" t="s">
        <v>1681</v>
      </c>
      <c r="Q13" s="3273"/>
      <c r="R13" s="3415"/>
      <c r="S13" s="3313"/>
    </row>
    <row r="14" spans="1:19" s="36" customFormat="1" ht="15" customHeight="1">
      <c r="A14" s="3291"/>
      <c r="B14" s="2850"/>
      <c r="C14" s="2245"/>
      <c r="D14" s="3276"/>
      <c r="E14" s="3276"/>
      <c r="F14" s="3276"/>
      <c r="G14" s="3276"/>
      <c r="H14" s="3276"/>
      <c r="I14" s="3276"/>
      <c r="J14" s="3276"/>
      <c r="K14" s="3276"/>
      <c r="L14" s="3276"/>
      <c r="M14" s="3276"/>
      <c r="N14" s="3276"/>
      <c r="O14" s="3276"/>
      <c r="P14" s="2850"/>
      <c r="Q14" s="2850"/>
      <c r="R14" s="2850"/>
      <c r="S14" s="3292"/>
    </row>
    <row r="15" spans="1:19" s="36" customFormat="1" ht="15" customHeight="1">
      <c r="A15" s="3291"/>
      <c r="B15" s="2850"/>
      <c r="C15" s="2245"/>
      <c r="D15" s="3276"/>
      <c r="E15" s="3276"/>
      <c r="F15" s="3276"/>
      <c r="G15" s="3276"/>
      <c r="H15" s="3276"/>
      <c r="I15" s="3276"/>
      <c r="J15" s="3276"/>
      <c r="K15" s="3276"/>
      <c r="L15" s="3276"/>
      <c r="M15" s="3276"/>
      <c r="N15" s="3276"/>
      <c r="O15" s="3276"/>
      <c r="P15" s="2850"/>
      <c r="Q15" s="2850"/>
      <c r="R15" s="2850"/>
      <c r="S15" s="3292"/>
    </row>
    <row r="16" spans="1:19" s="36" customFormat="1" ht="15" customHeight="1">
      <c r="A16" s="3291"/>
      <c r="B16" s="3144"/>
      <c r="C16" s="3272" t="s">
        <v>142</v>
      </c>
      <c r="D16" s="3277"/>
      <c r="E16" s="3277"/>
      <c r="F16" s="2245"/>
      <c r="G16" s="3277"/>
      <c r="H16" s="3277"/>
      <c r="I16" s="2245"/>
      <c r="J16" s="2245"/>
      <c r="K16" s="3277"/>
      <c r="L16" s="3277"/>
      <c r="M16" s="2245"/>
      <c r="N16" s="3277"/>
      <c r="O16" s="3277"/>
      <c r="P16" s="2850"/>
      <c r="Q16" s="2850"/>
      <c r="R16" s="2850"/>
      <c r="S16" s="3292"/>
    </row>
    <row r="17" spans="1:19" s="36" customFormat="1" ht="15" customHeight="1" thickBot="1">
      <c r="A17" s="3291"/>
      <c r="B17" s="2850"/>
      <c r="C17" s="2245"/>
      <c r="D17" s="2245"/>
      <c r="E17" s="2245"/>
      <c r="F17" s="2245"/>
      <c r="G17" s="2245"/>
      <c r="H17" s="2245"/>
      <c r="I17" s="2245"/>
      <c r="J17" s="2245"/>
      <c r="K17" s="3277"/>
      <c r="L17" s="3277"/>
      <c r="M17" s="2245"/>
      <c r="N17" s="2245"/>
      <c r="O17" s="2245"/>
      <c r="P17" s="2850"/>
      <c r="Q17" s="2850"/>
      <c r="R17" s="2850"/>
      <c r="S17" s="3292"/>
    </row>
    <row r="18" spans="1:19" s="36" customFormat="1" ht="15" customHeight="1">
      <c r="A18" s="3291"/>
      <c r="B18" s="2850"/>
      <c r="C18" s="2245"/>
      <c r="D18" s="3278" t="s">
        <v>141</v>
      </c>
      <c r="E18" s="3276"/>
      <c r="F18" s="3278" t="s">
        <v>140</v>
      </c>
      <c r="G18" s="3276"/>
      <c r="H18" s="3278" t="s">
        <v>137</v>
      </c>
      <c r="I18" s="3276"/>
      <c r="J18" s="3279" t="s">
        <v>1455</v>
      </c>
      <c r="K18" s="3276"/>
      <c r="L18" s="3278" t="s">
        <v>137</v>
      </c>
      <c r="M18" s="3276"/>
      <c r="N18" s="3279" t="s">
        <v>1701</v>
      </c>
      <c r="O18" s="2245"/>
      <c r="P18" s="2850"/>
      <c r="Q18" s="2850"/>
      <c r="R18" s="2850"/>
      <c r="S18" s="3292"/>
    </row>
    <row r="19" spans="1:19" s="36" customFormat="1" ht="15" customHeight="1">
      <c r="A19" s="3291"/>
      <c r="B19" s="2850"/>
      <c r="C19" s="2245"/>
      <c r="D19" s="3280" t="s">
        <v>139</v>
      </c>
      <c r="E19" s="3276"/>
      <c r="F19" s="3280" t="s">
        <v>138</v>
      </c>
      <c r="G19" s="3276"/>
      <c r="H19" s="3280" t="s">
        <v>137</v>
      </c>
      <c r="I19" s="3276"/>
      <c r="J19" s="3281" t="s">
        <v>1456</v>
      </c>
      <c r="K19" s="3276"/>
      <c r="L19" s="3280" t="s">
        <v>137</v>
      </c>
      <c r="M19" s="3276"/>
      <c r="N19" s="3280"/>
      <c r="O19" s="2245"/>
      <c r="P19" s="2850"/>
      <c r="Q19" s="2850"/>
      <c r="R19" s="2850"/>
      <c r="S19" s="3292"/>
    </row>
    <row r="20" spans="1:19" s="36" customFormat="1" ht="15" customHeight="1">
      <c r="A20" s="3291"/>
      <c r="B20" s="2850"/>
      <c r="C20" s="2245"/>
      <c r="D20" s="3280" t="s">
        <v>136</v>
      </c>
      <c r="E20" s="3276"/>
      <c r="F20" s="3280"/>
      <c r="G20" s="3276"/>
      <c r="H20" s="3280"/>
      <c r="I20" s="3276"/>
      <c r="J20" s="3281" t="s">
        <v>139</v>
      </c>
      <c r="K20" s="3276"/>
      <c r="L20" s="3280"/>
      <c r="M20" s="3276"/>
      <c r="N20" s="3280"/>
      <c r="O20" s="2245"/>
      <c r="P20" s="2850"/>
      <c r="Q20" s="2850"/>
      <c r="R20" s="2850"/>
      <c r="S20" s="3292"/>
    </row>
    <row r="21" spans="1:19" s="36" customFormat="1" ht="15" customHeight="1" thickBot="1">
      <c r="A21" s="3291"/>
      <c r="B21" s="2850"/>
      <c r="C21" s="2245"/>
      <c r="D21" s="3275"/>
      <c r="E21" s="3276"/>
      <c r="F21" s="3275"/>
      <c r="G21" s="3276"/>
      <c r="H21" s="3275"/>
      <c r="I21" s="3276"/>
      <c r="J21" s="3282" t="s">
        <v>136</v>
      </c>
      <c r="K21" s="3276"/>
      <c r="L21" s="3275"/>
      <c r="M21" s="3276"/>
      <c r="N21" s="3275"/>
      <c r="O21" s="2245"/>
      <c r="P21" s="2850"/>
      <c r="Q21" s="2850"/>
      <c r="R21" s="2850"/>
      <c r="S21" s="3292"/>
    </row>
    <row r="22" spans="1:19" s="36" customFormat="1" ht="15" customHeight="1">
      <c r="A22" s="3291"/>
      <c r="B22" s="2850"/>
      <c r="C22" s="2245"/>
      <c r="D22" s="2245"/>
      <c r="E22" s="2245"/>
      <c r="F22" s="2245"/>
      <c r="G22" s="2245"/>
      <c r="H22" s="2245"/>
      <c r="I22" s="2245"/>
      <c r="J22" s="2245"/>
      <c r="K22" s="2245"/>
      <c r="L22" s="2245"/>
      <c r="M22" s="2245"/>
      <c r="N22" s="2245"/>
      <c r="O22" s="2245"/>
      <c r="P22" s="2850"/>
      <c r="Q22" s="2850"/>
      <c r="R22" s="2850"/>
      <c r="S22" s="3292"/>
    </row>
    <row r="23" spans="1:19" s="36" customFormat="1" ht="15" customHeight="1">
      <c r="A23" s="3291"/>
      <c r="B23" s="2850"/>
      <c r="C23" s="2245"/>
      <c r="D23" s="2245"/>
      <c r="E23" s="2245"/>
      <c r="F23" s="2245"/>
      <c r="G23" s="2245"/>
      <c r="H23" s="2245"/>
      <c r="I23" s="2245"/>
      <c r="J23" s="2245"/>
      <c r="K23" s="2245"/>
      <c r="L23" s="2245"/>
      <c r="M23" s="2245"/>
      <c r="N23" s="2245"/>
      <c r="O23" s="2245"/>
      <c r="P23" s="2850"/>
      <c r="Q23" s="2850"/>
      <c r="R23" s="2850"/>
      <c r="S23" s="3292"/>
    </row>
    <row r="24" spans="1:19" s="36" customFormat="1" ht="15" customHeight="1">
      <c r="A24" s="3291"/>
      <c r="B24" s="2850"/>
      <c r="C24" s="3272" t="s">
        <v>1458</v>
      </c>
      <c r="D24" s="3277"/>
      <c r="E24" s="3277"/>
      <c r="F24" s="2245"/>
      <c r="G24" s="3277"/>
      <c r="H24" s="3277"/>
      <c r="I24" s="2227"/>
      <c r="J24" s="2227"/>
      <c r="K24" s="3277"/>
      <c r="L24" s="3277"/>
      <c r="M24" s="2245"/>
      <c r="N24" s="3277"/>
      <c r="O24" s="3277"/>
      <c r="P24" s="2850"/>
      <c r="Q24" s="2850"/>
      <c r="R24" s="2850"/>
      <c r="S24" s="3292"/>
    </row>
    <row r="25" spans="1:19" s="36" customFormat="1" ht="15" customHeight="1" thickBot="1">
      <c r="A25" s="3291"/>
      <c r="B25" s="2850"/>
      <c r="C25" s="2245"/>
      <c r="D25" s="2245"/>
      <c r="E25" s="2245"/>
      <c r="F25" s="2245"/>
      <c r="G25" s="3277"/>
      <c r="H25" s="3277"/>
      <c r="I25" s="2227"/>
      <c r="J25" s="2245"/>
      <c r="K25" s="3277"/>
      <c r="L25" s="3277"/>
      <c r="M25" s="2245"/>
      <c r="N25" s="3277"/>
      <c r="O25" s="3277"/>
      <c r="P25" s="2850"/>
      <c r="Q25" s="2850"/>
      <c r="R25" s="2850"/>
      <c r="S25" s="3292"/>
    </row>
    <row r="26" spans="1:19" s="36" customFormat="1" ht="15" customHeight="1">
      <c r="A26" s="3291"/>
      <c r="B26" s="2850"/>
      <c r="C26" s="3273"/>
      <c r="D26" s="3418" t="s">
        <v>135</v>
      </c>
      <c r="E26" s="3274"/>
      <c r="F26" s="3418" t="s">
        <v>134</v>
      </c>
      <c r="G26" s="3274"/>
      <c r="H26" s="3418" t="s">
        <v>129</v>
      </c>
      <c r="I26" s="3276"/>
      <c r="J26" s="2245"/>
      <c r="K26" s="3277"/>
      <c r="L26" s="3277"/>
      <c r="M26" s="2245"/>
      <c r="N26" s="3277"/>
      <c r="O26" s="3277"/>
      <c r="P26" s="2850"/>
      <c r="Q26" s="2850"/>
      <c r="R26" s="2850"/>
      <c r="S26" s="3292"/>
    </row>
    <row r="27" spans="1:19" s="36" customFormat="1" ht="15" customHeight="1">
      <c r="A27" s="3291"/>
      <c r="B27" s="2850"/>
      <c r="C27" s="3273"/>
      <c r="D27" s="3419" t="s">
        <v>133</v>
      </c>
      <c r="E27" s="3274"/>
      <c r="F27" s="3419" t="s">
        <v>132</v>
      </c>
      <c r="G27" s="3274"/>
      <c r="H27" s="3419" t="s">
        <v>128</v>
      </c>
      <c r="I27" s="3276"/>
      <c r="J27" s="2245"/>
      <c r="K27" s="3277"/>
      <c r="L27" s="3277"/>
      <c r="M27" s="2245"/>
      <c r="N27" s="3277"/>
      <c r="O27" s="3277"/>
      <c r="P27" s="2850"/>
      <c r="Q27" s="2850"/>
      <c r="R27" s="2850"/>
      <c r="S27" s="3292"/>
    </row>
    <row r="28" spans="1:19" s="36" customFormat="1" ht="15" customHeight="1">
      <c r="A28" s="3291"/>
      <c r="B28" s="2850"/>
      <c r="C28" s="3273"/>
      <c r="D28" s="3419"/>
      <c r="E28" s="3274"/>
      <c r="F28" s="3419" t="s">
        <v>125</v>
      </c>
      <c r="G28" s="3274"/>
      <c r="H28" s="3419" t="s">
        <v>126</v>
      </c>
      <c r="I28" s="3276"/>
      <c r="J28" s="2245"/>
      <c r="K28" s="3277"/>
      <c r="L28" s="3277"/>
      <c r="M28" s="2245"/>
      <c r="N28" s="3277"/>
      <c r="O28" s="3277"/>
      <c r="P28" s="2850"/>
      <c r="Q28" s="2850"/>
      <c r="R28" s="2850"/>
      <c r="S28" s="3292"/>
    </row>
    <row r="29" spans="1:19" s="36" customFormat="1" ht="15" customHeight="1">
      <c r="A29" s="3291"/>
      <c r="B29" s="2850"/>
      <c r="C29" s="3273"/>
      <c r="D29" s="3419" t="s">
        <v>131</v>
      </c>
      <c r="E29" s="3274"/>
      <c r="F29" s="3421" t="s">
        <v>1457</v>
      </c>
      <c r="G29" s="3274"/>
      <c r="H29" s="3421" t="s">
        <v>124</v>
      </c>
      <c r="I29" s="3276"/>
      <c r="J29" s="2245"/>
      <c r="K29" s="3277"/>
      <c r="L29" s="3277"/>
      <c r="M29" s="2245"/>
      <c r="N29" s="3277"/>
      <c r="O29" s="3277"/>
      <c r="P29" s="2850"/>
      <c r="Q29" s="2850"/>
      <c r="R29" s="2850"/>
      <c r="S29" s="3292"/>
    </row>
    <row r="30" spans="1:19" s="36" customFormat="1" ht="15" customHeight="1" thickBot="1">
      <c r="A30" s="3291"/>
      <c r="B30" s="2850"/>
      <c r="C30" s="3273"/>
      <c r="D30" s="3420" t="s">
        <v>130</v>
      </c>
      <c r="E30" s="3274"/>
      <c r="F30" s="3420"/>
      <c r="G30" s="3274"/>
      <c r="H30" s="3420" t="s">
        <v>123</v>
      </c>
      <c r="I30" s="3276"/>
      <c r="J30" s="2245"/>
      <c r="K30" s="3277"/>
      <c r="L30" s="3277"/>
      <c r="M30" s="2245"/>
      <c r="N30" s="3277"/>
      <c r="O30" s="3277"/>
      <c r="P30" s="2850"/>
      <c r="Q30" s="2850"/>
      <c r="R30" s="2850"/>
      <c r="S30" s="3292"/>
    </row>
    <row r="31" spans="1:19" s="36" customFormat="1" ht="15" customHeight="1">
      <c r="A31" s="3291"/>
      <c r="B31" s="2850"/>
      <c r="C31" s="2245"/>
      <c r="D31" s="3276"/>
      <c r="E31" s="3276"/>
      <c r="F31" s="3276"/>
      <c r="G31" s="3276"/>
      <c r="H31" s="3276"/>
      <c r="I31" s="2227"/>
      <c r="J31" s="2227"/>
      <c r="K31" s="3277"/>
      <c r="L31" s="3277"/>
      <c r="M31" s="2245"/>
      <c r="N31" s="3277"/>
      <c r="O31" s="3277"/>
      <c r="P31" s="2850"/>
      <c r="Q31" s="2850"/>
      <c r="R31" s="2850"/>
      <c r="S31" s="3292"/>
    </row>
    <row r="32" spans="1:19" s="36" customFormat="1" ht="15" customHeight="1">
      <c r="A32" s="3291"/>
      <c r="B32" s="2850"/>
      <c r="C32" s="2245"/>
      <c r="D32" s="3276"/>
      <c r="E32" s="3276"/>
      <c r="F32" s="3276"/>
      <c r="G32" s="3276"/>
      <c r="H32" s="3276"/>
      <c r="I32" s="2227"/>
      <c r="J32" s="2227"/>
      <c r="K32" s="3277"/>
      <c r="L32" s="3277"/>
      <c r="M32" s="2245"/>
      <c r="N32" s="3277"/>
      <c r="O32" s="3277"/>
      <c r="P32" s="2850"/>
      <c r="Q32" s="2850"/>
      <c r="R32" s="2850"/>
      <c r="S32" s="3292"/>
    </row>
    <row r="33" spans="1:19" s="36" customFormat="1" ht="21" customHeight="1">
      <c r="A33" s="3291"/>
      <c r="B33" s="2850"/>
      <c r="C33" s="3306" t="s">
        <v>1691</v>
      </c>
      <c r="D33" s="3307"/>
      <c r="E33" s="3308"/>
      <c r="F33" s="3308"/>
      <c r="G33" s="3308"/>
      <c r="H33" s="3308"/>
      <c r="I33" s="3308"/>
      <c r="J33" s="3308"/>
      <c r="K33" s="3308"/>
      <c r="L33" s="3308"/>
      <c r="M33" s="3308"/>
      <c r="N33" s="3308"/>
      <c r="O33" s="3308"/>
      <c r="P33" s="3308"/>
      <c r="Q33" s="3308"/>
      <c r="R33" s="3305"/>
      <c r="S33" s="3292"/>
    </row>
    <row r="34" spans="1:19" s="36" customFormat="1" ht="263.39999999999998" customHeight="1">
      <c r="A34" s="3291"/>
      <c r="B34" s="2850"/>
      <c r="C34" s="3858" t="s">
        <v>1705</v>
      </c>
      <c r="D34" s="3858"/>
      <c r="E34" s="3858"/>
      <c r="F34" s="3858"/>
      <c r="G34" s="3858"/>
      <c r="H34" s="3858"/>
      <c r="I34" s="3858"/>
      <c r="J34" s="3858"/>
      <c r="K34" s="3858"/>
      <c r="L34" s="3858"/>
      <c r="M34" s="3858"/>
      <c r="N34" s="3858"/>
      <c r="O34" s="3858"/>
      <c r="P34" s="3858"/>
      <c r="Q34" s="2850"/>
      <c r="R34" s="2850"/>
      <c r="S34" s="3292"/>
    </row>
    <row r="35" spans="1:19" s="36" customFormat="1" ht="14.25" customHeight="1">
      <c r="A35" s="3291"/>
      <c r="B35" s="2850"/>
      <c r="C35" s="3294"/>
      <c r="D35" s="3294"/>
      <c r="E35" s="3294"/>
      <c r="F35" s="3294"/>
      <c r="G35" s="3294"/>
      <c r="H35" s="3294"/>
      <c r="I35" s="3294"/>
      <c r="J35" s="3294"/>
      <c r="K35" s="3294"/>
      <c r="L35" s="3294"/>
      <c r="M35" s="3294"/>
      <c r="N35" s="3294"/>
      <c r="O35" s="3294"/>
      <c r="P35" s="3294"/>
      <c r="Q35" s="2850"/>
      <c r="R35" s="2850"/>
      <c r="S35" s="3292"/>
    </row>
    <row r="36" spans="1:19" s="36" customFormat="1" ht="57" customHeight="1">
      <c r="A36" s="3291"/>
      <c r="B36" s="2850"/>
      <c r="C36" s="3858" t="s">
        <v>1687</v>
      </c>
      <c r="D36" s="3857"/>
      <c r="E36" s="3857"/>
      <c r="F36" s="3857"/>
      <c r="G36" s="3857"/>
      <c r="H36" s="3857"/>
      <c r="I36" s="3857"/>
      <c r="J36" s="3857"/>
      <c r="K36" s="3857"/>
      <c r="L36" s="3857"/>
      <c r="M36" s="3857"/>
      <c r="N36" s="3857"/>
      <c r="O36" s="3857"/>
      <c r="P36" s="3857"/>
      <c r="Q36" s="2850"/>
      <c r="R36" s="2850"/>
      <c r="S36" s="3292"/>
    </row>
    <row r="37" spans="1:19" s="36" customFormat="1" ht="14.25" customHeight="1">
      <c r="A37" s="3291"/>
      <c r="B37" s="2850"/>
      <c r="C37" s="3294"/>
      <c r="D37" s="3294"/>
      <c r="E37" s="3294"/>
      <c r="F37" s="3294"/>
      <c r="G37" s="3294"/>
      <c r="H37" s="3294"/>
      <c r="I37" s="3294"/>
      <c r="J37" s="3294"/>
      <c r="K37" s="3294"/>
      <c r="L37" s="3294"/>
      <c r="M37" s="3294"/>
      <c r="N37" s="3294"/>
      <c r="O37" s="3294"/>
      <c r="P37" s="3294"/>
      <c r="Q37" s="2850"/>
      <c r="R37" s="2850"/>
      <c r="S37" s="3292"/>
    </row>
    <row r="38" spans="1:19" s="36" customFormat="1" ht="106.95" customHeight="1">
      <c r="A38" s="3291"/>
      <c r="B38" s="2850"/>
      <c r="C38" s="3857" t="s">
        <v>1706</v>
      </c>
      <c r="D38" s="3857"/>
      <c r="E38" s="3857"/>
      <c r="F38" s="3857"/>
      <c r="G38" s="3857"/>
      <c r="H38" s="3857"/>
      <c r="I38" s="3857"/>
      <c r="J38" s="3857"/>
      <c r="K38" s="3857"/>
      <c r="L38" s="3857"/>
      <c r="M38" s="3857"/>
      <c r="N38" s="3857"/>
      <c r="O38" s="3857"/>
      <c r="P38" s="3857"/>
      <c r="Q38" s="2850"/>
      <c r="R38" s="2850"/>
      <c r="S38" s="3292"/>
    </row>
    <row r="39" spans="1:19" s="36" customFormat="1" ht="14.25" customHeight="1">
      <c r="A39" s="3291"/>
      <c r="B39" s="2850"/>
      <c r="C39" s="3294"/>
      <c r="D39" s="3294"/>
      <c r="E39" s="3294"/>
      <c r="F39" s="3294"/>
      <c r="G39" s="3294"/>
      <c r="H39" s="3294"/>
      <c r="I39" s="3294"/>
      <c r="J39" s="3294"/>
      <c r="K39" s="3294"/>
      <c r="L39" s="3294"/>
      <c r="M39" s="3294"/>
      <c r="N39" s="3294"/>
      <c r="O39" s="3294"/>
      <c r="P39" s="3294"/>
      <c r="Q39" s="2850"/>
      <c r="R39" s="2850"/>
      <c r="S39" s="3292"/>
    </row>
    <row r="40" spans="1:19" s="36" customFormat="1" ht="54.6" customHeight="1">
      <c r="A40" s="3291"/>
      <c r="B40" s="2850"/>
      <c r="C40" s="3858" t="s">
        <v>1708</v>
      </c>
      <c r="D40" s="3857"/>
      <c r="E40" s="3857"/>
      <c r="F40" s="3857"/>
      <c r="G40" s="3857"/>
      <c r="H40" s="3857"/>
      <c r="I40" s="3857"/>
      <c r="J40" s="3857"/>
      <c r="K40" s="3857"/>
      <c r="L40" s="3857"/>
      <c r="M40" s="3857"/>
      <c r="N40" s="3857"/>
      <c r="O40" s="3857"/>
      <c r="P40" s="3857"/>
      <c r="Q40" s="2850"/>
      <c r="R40" s="2850"/>
      <c r="S40" s="3292"/>
    </row>
    <row r="41" spans="1:19" s="36" customFormat="1" ht="14.25" customHeight="1">
      <c r="A41" s="3291"/>
      <c r="B41" s="2850"/>
      <c r="C41" s="3294"/>
      <c r="D41" s="3294"/>
      <c r="E41" s="3294"/>
      <c r="F41" s="3294"/>
      <c r="G41" s="3294"/>
      <c r="H41" s="3294"/>
      <c r="I41" s="3294"/>
      <c r="J41" s="3294"/>
      <c r="K41" s="3294"/>
      <c r="L41" s="3294"/>
      <c r="M41" s="3294"/>
      <c r="N41" s="3294"/>
      <c r="O41" s="3294"/>
      <c r="P41" s="3294"/>
      <c r="Q41" s="2850"/>
      <c r="R41" s="2850"/>
      <c r="S41" s="3292"/>
    </row>
    <row r="42" spans="1:19" s="36" customFormat="1" ht="65.400000000000006" customHeight="1">
      <c r="A42" s="3291"/>
      <c r="B42" s="2850"/>
      <c r="C42" s="3858" t="s">
        <v>1694</v>
      </c>
      <c r="D42" s="3857"/>
      <c r="E42" s="3857"/>
      <c r="F42" s="3857"/>
      <c r="G42" s="3857"/>
      <c r="H42" s="3857"/>
      <c r="I42" s="3857"/>
      <c r="J42" s="3857"/>
      <c r="K42" s="3857"/>
      <c r="L42" s="3857"/>
      <c r="M42" s="3857"/>
      <c r="N42" s="3857"/>
      <c r="O42" s="3857"/>
      <c r="P42" s="3857"/>
      <c r="Q42" s="2850"/>
      <c r="R42" s="2850"/>
      <c r="S42" s="3292"/>
    </row>
    <row r="43" spans="1:19" s="36" customFormat="1" ht="15.6" customHeight="1">
      <c r="A43" s="3291"/>
      <c r="B43" s="2850"/>
      <c r="C43" s="3314"/>
      <c r="D43" s="3315"/>
      <c r="E43" s="3315"/>
      <c r="F43" s="3315"/>
      <c r="G43" s="3315"/>
      <c r="H43" s="3315"/>
      <c r="I43" s="3315"/>
      <c r="J43" s="3315"/>
      <c r="K43" s="3315"/>
      <c r="L43" s="3315"/>
      <c r="M43" s="3315"/>
      <c r="N43" s="3315"/>
      <c r="O43" s="3315"/>
      <c r="P43" s="3315"/>
      <c r="Q43" s="2850"/>
      <c r="R43" s="2850"/>
      <c r="S43" s="3292"/>
    </row>
    <row r="44" spans="1:19" s="36" customFormat="1" ht="75.599999999999994" customHeight="1">
      <c r="A44" s="3291"/>
      <c r="B44" s="2850"/>
      <c r="C44" s="3858" t="s">
        <v>1747</v>
      </c>
      <c r="D44" s="3857"/>
      <c r="E44" s="3857"/>
      <c r="F44" s="3857"/>
      <c r="G44" s="3857"/>
      <c r="H44" s="3857"/>
      <c r="I44" s="3857"/>
      <c r="J44" s="3857"/>
      <c r="K44" s="3857"/>
      <c r="L44" s="3857"/>
      <c r="M44" s="3857"/>
      <c r="N44" s="3857"/>
      <c r="O44" s="3857"/>
      <c r="P44" s="3857"/>
      <c r="Q44" s="2850"/>
      <c r="R44" s="2850"/>
      <c r="S44" s="3292"/>
    </row>
    <row r="45" spans="1:19" s="36" customFormat="1" ht="15.6" customHeight="1">
      <c r="A45" s="3291"/>
      <c r="B45" s="2850"/>
      <c r="C45" s="3439"/>
      <c r="D45" s="3438"/>
      <c r="E45" s="3438"/>
      <c r="F45" s="3438"/>
      <c r="G45" s="3438"/>
      <c r="H45" s="3438"/>
      <c r="I45" s="3438"/>
      <c r="J45" s="3438"/>
      <c r="K45" s="3438"/>
      <c r="L45" s="3438"/>
      <c r="M45" s="3438"/>
      <c r="N45" s="3438"/>
      <c r="O45" s="3438"/>
      <c r="P45" s="3438"/>
      <c r="Q45" s="2850"/>
      <c r="R45" s="2850"/>
      <c r="S45" s="3292"/>
    </row>
    <row r="46" spans="1:19" s="36" customFormat="1" ht="25.95" customHeight="1">
      <c r="A46" s="3291"/>
      <c r="B46" s="2850"/>
      <c r="C46" s="3858" t="s">
        <v>1728</v>
      </c>
      <c r="D46" s="3857"/>
      <c r="E46" s="3857"/>
      <c r="F46" s="3857"/>
      <c r="G46" s="3857"/>
      <c r="H46" s="3857"/>
      <c r="I46" s="3857"/>
      <c r="J46" s="3857"/>
      <c r="K46" s="3857"/>
      <c r="L46" s="3857"/>
      <c r="M46" s="3857"/>
      <c r="N46" s="3857"/>
      <c r="O46" s="3857"/>
      <c r="P46" s="3857"/>
      <c r="Q46" s="2850"/>
      <c r="R46" s="2850"/>
      <c r="S46" s="3292"/>
    </row>
    <row r="47" spans="1:19" s="36" customFormat="1" ht="16.2" customHeight="1">
      <c r="A47" s="3291"/>
      <c r="B47" s="2850"/>
      <c r="C47" s="3311"/>
      <c r="D47" s="3294"/>
      <c r="E47" s="3294"/>
      <c r="F47" s="3294"/>
      <c r="G47" s="3294"/>
      <c r="H47" s="3294"/>
      <c r="I47" s="3294"/>
      <c r="J47" s="3294"/>
      <c r="K47" s="3294"/>
      <c r="L47" s="3294"/>
      <c r="M47" s="3294"/>
      <c r="N47" s="3294"/>
      <c r="O47" s="3294"/>
      <c r="P47" s="3294"/>
      <c r="Q47" s="2850"/>
      <c r="R47" s="2850"/>
      <c r="S47" s="3292"/>
    </row>
    <row r="48" spans="1:19" s="36" customFormat="1" ht="45.6" customHeight="1">
      <c r="A48" s="3291"/>
      <c r="B48" s="2850"/>
      <c r="C48" s="3858" t="s">
        <v>1702</v>
      </c>
      <c r="D48" s="3859"/>
      <c r="E48" s="3859"/>
      <c r="F48" s="3859"/>
      <c r="G48" s="3859"/>
      <c r="H48" s="3859"/>
      <c r="I48" s="3859"/>
      <c r="J48" s="3859"/>
      <c r="K48" s="3859"/>
      <c r="L48" s="3859"/>
      <c r="M48" s="3859"/>
      <c r="N48" s="3859"/>
      <c r="O48" s="3859"/>
      <c r="P48" s="3859"/>
      <c r="Q48" s="2850"/>
      <c r="R48" s="2850"/>
      <c r="S48" s="3292"/>
    </row>
    <row r="49" spans="1:19" ht="14.25" customHeight="1">
      <c r="A49" s="3288"/>
      <c r="B49" s="3289"/>
      <c r="C49" s="3271"/>
      <c r="D49" s="3283"/>
      <c r="E49" s="3283"/>
      <c r="F49" s="3283"/>
      <c r="G49" s="3283"/>
      <c r="H49" s="3283"/>
      <c r="I49" s="3283"/>
      <c r="J49" s="3283"/>
      <c r="K49" s="3283"/>
      <c r="L49" s="3283"/>
      <c r="M49" s="3283"/>
      <c r="N49" s="3283"/>
      <c r="O49" s="3269"/>
      <c r="P49" s="3269"/>
      <c r="Q49" s="3269"/>
      <c r="R49" s="3269"/>
      <c r="S49" s="3290"/>
    </row>
    <row r="50" spans="1:19" s="3008" customFormat="1" ht="24.6" customHeight="1">
      <c r="A50" s="3288"/>
      <c r="B50" s="3289"/>
      <c r="C50" s="3306" t="s">
        <v>1693</v>
      </c>
      <c r="D50" s="3309"/>
      <c r="E50" s="3309"/>
      <c r="F50" s="3309"/>
      <c r="G50" s="3309"/>
      <c r="H50" s="3309"/>
      <c r="I50" s="3309"/>
      <c r="J50" s="3309"/>
      <c r="K50" s="3309"/>
      <c r="L50" s="3309"/>
      <c r="M50" s="3309"/>
      <c r="N50" s="3309"/>
      <c r="O50" s="3302"/>
      <c r="P50" s="3302"/>
      <c r="Q50" s="3302"/>
      <c r="R50" s="3269"/>
      <c r="S50" s="3290"/>
    </row>
    <row r="51" spans="1:19" s="36" customFormat="1" ht="31.2" customHeight="1">
      <c r="A51" s="3291"/>
      <c r="B51" s="2850"/>
      <c r="C51" s="3860" t="s">
        <v>1692</v>
      </c>
      <c r="D51" s="3862"/>
      <c r="E51" s="3862"/>
      <c r="F51" s="3862"/>
      <c r="G51" s="3862"/>
      <c r="H51" s="3862"/>
      <c r="I51" s="3862"/>
      <c r="J51" s="3862"/>
      <c r="K51" s="3862"/>
      <c r="L51" s="3862"/>
      <c r="M51" s="3862"/>
      <c r="N51" s="3862"/>
      <c r="O51" s="3862"/>
      <c r="P51" s="3862"/>
      <c r="Q51" s="2850"/>
      <c r="R51" s="2850"/>
      <c r="S51" s="3292"/>
    </row>
    <row r="52" spans="1:19" s="36" customFormat="1" ht="93.75" customHeight="1">
      <c r="A52" s="3291"/>
      <c r="B52" s="2850"/>
      <c r="C52" s="3856"/>
      <c r="D52" s="3856"/>
      <c r="E52" s="3856"/>
      <c r="F52" s="3856"/>
      <c r="G52" s="3856"/>
      <c r="H52" s="3856"/>
      <c r="I52" s="3856"/>
      <c r="J52" s="3856"/>
      <c r="K52" s="3856"/>
      <c r="L52" s="3856"/>
      <c r="M52" s="3856"/>
      <c r="N52" s="3856"/>
      <c r="O52" s="3856"/>
      <c r="P52" s="3856"/>
      <c r="Q52" s="2850"/>
      <c r="R52" s="2850"/>
      <c r="S52" s="3292"/>
    </row>
    <row r="53" spans="1:19" s="36" customFormat="1" ht="14.25" customHeight="1">
      <c r="A53" s="3291"/>
      <c r="B53" s="2850"/>
      <c r="C53" s="2850"/>
      <c r="D53" s="2850"/>
      <c r="E53" s="2850"/>
      <c r="F53" s="2850"/>
      <c r="G53" s="2850"/>
      <c r="H53" s="2850"/>
      <c r="I53" s="2850"/>
      <c r="J53" s="2850"/>
      <c r="K53" s="2850"/>
      <c r="L53" s="2850"/>
      <c r="M53" s="2850"/>
      <c r="N53" s="2850"/>
      <c r="O53" s="2850"/>
      <c r="P53" s="2850"/>
      <c r="Q53" s="2850"/>
      <c r="R53" s="2850"/>
      <c r="S53" s="3292"/>
    </row>
    <row r="54" spans="1:19" s="31" customFormat="1" ht="146.4" customHeight="1">
      <c r="A54" s="3295"/>
      <c r="B54" s="2245"/>
      <c r="C54" s="3862" t="s">
        <v>122</v>
      </c>
      <c r="D54" s="3862"/>
      <c r="E54" s="3862"/>
      <c r="F54" s="3862"/>
      <c r="G54" s="3862"/>
      <c r="H54" s="3862"/>
      <c r="I54" s="3862"/>
      <c r="J54" s="3862"/>
      <c r="K54" s="3862"/>
      <c r="L54" s="3862"/>
      <c r="M54" s="3862"/>
      <c r="N54" s="3862"/>
      <c r="O54" s="3862"/>
      <c r="P54" s="3862"/>
      <c r="Q54" s="2245"/>
      <c r="R54" s="2245"/>
      <c r="S54" s="3296"/>
    </row>
    <row r="55" spans="1:19" s="31" customFormat="1" ht="14.25" customHeight="1">
      <c r="A55" s="3295"/>
      <c r="B55" s="2245"/>
      <c r="C55" s="3284"/>
      <c r="D55" s="3284"/>
      <c r="E55" s="3284"/>
      <c r="F55" s="3284"/>
      <c r="G55" s="3284"/>
      <c r="H55" s="3284"/>
      <c r="I55" s="3284"/>
      <c r="J55" s="3284"/>
      <c r="K55" s="3284"/>
      <c r="L55" s="3284"/>
      <c r="M55" s="3284"/>
      <c r="N55" s="3284"/>
      <c r="O55" s="3284"/>
      <c r="P55" s="3284"/>
      <c r="Q55" s="2245"/>
      <c r="R55" s="2245"/>
      <c r="S55" s="3296"/>
    </row>
    <row r="56" spans="1:19" s="31" customFormat="1" ht="133.19999999999999" customHeight="1">
      <c r="A56" s="3295"/>
      <c r="B56" s="2245"/>
      <c r="C56" s="3860" t="s">
        <v>1682</v>
      </c>
      <c r="D56" s="3862"/>
      <c r="E56" s="3862"/>
      <c r="F56" s="3862"/>
      <c r="G56" s="3862"/>
      <c r="H56" s="3862"/>
      <c r="I56" s="3862"/>
      <c r="J56" s="3862"/>
      <c r="K56" s="3862"/>
      <c r="L56" s="3862"/>
      <c r="M56" s="3862"/>
      <c r="N56" s="3862"/>
      <c r="O56" s="3862"/>
      <c r="P56" s="3862"/>
      <c r="Q56" s="2245"/>
      <c r="R56" s="2245"/>
      <c r="S56" s="3296"/>
    </row>
    <row r="57" spans="1:19" s="31" customFormat="1" ht="14.25" customHeight="1">
      <c r="A57" s="3295"/>
      <c r="B57" s="2245"/>
      <c r="C57" s="3862"/>
      <c r="D57" s="3862"/>
      <c r="E57" s="3862"/>
      <c r="F57" s="3862"/>
      <c r="G57" s="3862"/>
      <c r="H57" s="3862"/>
      <c r="I57" s="3862"/>
      <c r="J57" s="3862"/>
      <c r="K57" s="3862"/>
      <c r="L57" s="3862"/>
      <c r="M57" s="3862"/>
      <c r="N57" s="3862"/>
      <c r="O57" s="3862"/>
      <c r="P57" s="3862"/>
      <c r="Q57" s="2245"/>
      <c r="R57" s="2245"/>
      <c r="S57" s="3296"/>
    </row>
    <row r="58" spans="1:19" s="31" customFormat="1" ht="121.65" customHeight="1">
      <c r="A58" s="3295"/>
      <c r="B58" s="2245"/>
      <c r="C58" s="3860" t="s">
        <v>1707</v>
      </c>
      <c r="D58" s="3862"/>
      <c r="E58" s="3862"/>
      <c r="F58" s="3862"/>
      <c r="G58" s="3862"/>
      <c r="H58" s="3862"/>
      <c r="I58" s="3862"/>
      <c r="J58" s="3862"/>
      <c r="K58" s="3862"/>
      <c r="L58" s="3862"/>
      <c r="M58" s="3862"/>
      <c r="N58" s="3862"/>
      <c r="O58" s="3862"/>
      <c r="P58" s="3862"/>
      <c r="Q58" s="2245"/>
      <c r="R58" s="2245"/>
      <c r="S58" s="3296"/>
    </row>
    <row r="59" spans="1:19" s="31" customFormat="1" ht="14.25" customHeight="1">
      <c r="A59" s="3295"/>
      <c r="B59" s="2245"/>
      <c r="C59" s="3285"/>
      <c r="D59" s="3285"/>
      <c r="E59" s="3285"/>
      <c r="F59" s="3285"/>
      <c r="G59" s="3285"/>
      <c r="H59" s="3285"/>
      <c r="I59" s="3285"/>
      <c r="J59" s="3285"/>
      <c r="K59" s="3285"/>
      <c r="L59" s="3285"/>
      <c r="M59" s="3285"/>
      <c r="N59" s="3285"/>
      <c r="O59" s="3285"/>
      <c r="P59" s="3285"/>
      <c r="Q59" s="2245"/>
      <c r="R59" s="2245"/>
      <c r="S59" s="3296"/>
    </row>
    <row r="60" spans="1:19" s="31" customFormat="1" ht="168.6" customHeight="1">
      <c r="A60" s="3295"/>
      <c r="B60" s="2245"/>
      <c r="C60" s="3862" t="s">
        <v>121</v>
      </c>
      <c r="D60" s="3862"/>
      <c r="E60" s="3862"/>
      <c r="F60" s="3862"/>
      <c r="G60" s="3862"/>
      <c r="H60" s="3862"/>
      <c r="I60" s="3862"/>
      <c r="J60" s="3862"/>
      <c r="K60" s="3862"/>
      <c r="L60" s="3862"/>
      <c r="M60" s="3862"/>
      <c r="N60" s="3862"/>
      <c r="O60" s="3862"/>
      <c r="P60" s="3862"/>
      <c r="Q60" s="2245"/>
      <c r="R60" s="2245"/>
      <c r="S60" s="3296"/>
    </row>
    <row r="61" spans="1:19" s="31" customFormat="1" ht="14.25" customHeight="1">
      <c r="A61" s="3295"/>
      <c r="B61" s="2245"/>
      <c r="C61" s="3285"/>
      <c r="D61" s="3285"/>
      <c r="E61" s="3285"/>
      <c r="F61" s="3285"/>
      <c r="G61" s="3285"/>
      <c r="H61" s="3285"/>
      <c r="I61" s="3285"/>
      <c r="J61" s="3285"/>
      <c r="K61" s="3285"/>
      <c r="L61" s="3285"/>
      <c r="M61" s="3285"/>
      <c r="N61" s="3285"/>
      <c r="O61" s="3285"/>
      <c r="P61" s="3285"/>
      <c r="Q61" s="2245"/>
      <c r="R61" s="2245"/>
      <c r="S61" s="3296"/>
    </row>
    <row r="62" spans="1:19" s="31" customFormat="1" ht="71.400000000000006" customHeight="1">
      <c r="A62" s="3295"/>
      <c r="B62" s="2245"/>
      <c r="C62" s="3862" t="s">
        <v>120</v>
      </c>
      <c r="D62" s="3862"/>
      <c r="E62" s="3862"/>
      <c r="F62" s="3862"/>
      <c r="G62" s="3862"/>
      <c r="H62" s="3862"/>
      <c r="I62" s="3862"/>
      <c r="J62" s="3862"/>
      <c r="K62" s="3862"/>
      <c r="L62" s="3862"/>
      <c r="M62" s="3862"/>
      <c r="N62" s="3862"/>
      <c r="O62" s="3862"/>
      <c r="P62" s="3862"/>
      <c r="Q62" s="2245"/>
      <c r="R62" s="2245"/>
      <c r="S62" s="3296"/>
    </row>
    <row r="63" spans="1:19" s="31" customFormat="1" ht="14.25" customHeight="1">
      <c r="A63" s="3295"/>
      <c r="B63" s="2245"/>
      <c r="C63" s="3285"/>
      <c r="D63" s="3285"/>
      <c r="E63" s="3285"/>
      <c r="F63" s="3285"/>
      <c r="G63" s="3285"/>
      <c r="H63" s="3285"/>
      <c r="I63" s="3285"/>
      <c r="J63" s="3285"/>
      <c r="K63" s="3285"/>
      <c r="L63" s="3285"/>
      <c r="M63" s="3285"/>
      <c r="N63" s="3285"/>
      <c r="O63" s="3285"/>
      <c r="P63" s="3285"/>
      <c r="Q63" s="2245"/>
      <c r="R63" s="2245"/>
      <c r="S63" s="3296"/>
    </row>
    <row r="64" spans="1:19" s="31" customFormat="1" ht="82.2" customHeight="1">
      <c r="A64" s="3295"/>
      <c r="B64" s="2245"/>
      <c r="C64" s="3862" t="s">
        <v>119</v>
      </c>
      <c r="D64" s="3862"/>
      <c r="E64" s="3862"/>
      <c r="F64" s="3862"/>
      <c r="G64" s="3862"/>
      <c r="H64" s="3862"/>
      <c r="I64" s="3862"/>
      <c r="J64" s="3862"/>
      <c r="K64" s="3862"/>
      <c r="L64" s="3862"/>
      <c r="M64" s="3862"/>
      <c r="N64" s="3862"/>
      <c r="O64" s="3862"/>
      <c r="P64" s="3862"/>
      <c r="Q64" s="2245"/>
      <c r="R64" s="2245"/>
      <c r="S64" s="3296"/>
    </row>
    <row r="65" spans="1:19" s="31" customFormat="1" ht="16.350000000000001" customHeight="1">
      <c r="A65" s="3295"/>
      <c r="B65" s="2245"/>
      <c r="C65" s="3284"/>
      <c r="D65" s="3284"/>
      <c r="E65" s="3284"/>
      <c r="F65" s="3284"/>
      <c r="G65" s="3284"/>
      <c r="H65" s="3284"/>
      <c r="I65" s="3284"/>
      <c r="J65" s="3284"/>
      <c r="K65" s="3284"/>
      <c r="L65" s="3284"/>
      <c r="M65" s="3284"/>
      <c r="N65" s="3284"/>
      <c r="O65" s="3284"/>
      <c r="P65" s="3284"/>
      <c r="Q65" s="2245"/>
      <c r="R65" s="2245"/>
      <c r="S65" s="3296"/>
    </row>
    <row r="66" spans="1:19" s="31" customFormat="1" ht="131.85" customHeight="1">
      <c r="A66" s="3295"/>
      <c r="B66" s="2245"/>
      <c r="C66" s="3862" t="s">
        <v>118</v>
      </c>
      <c r="D66" s="3862"/>
      <c r="E66" s="3862"/>
      <c r="F66" s="3862"/>
      <c r="G66" s="3862"/>
      <c r="H66" s="3862"/>
      <c r="I66" s="3862"/>
      <c r="J66" s="3862"/>
      <c r="K66" s="3862"/>
      <c r="L66" s="3862"/>
      <c r="M66" s="3862"/>
      <c r="N66" s="3862"/>
      <c r="O66" s="3862"/>
      <c r="P66" s="3862"/>
      <c r="Q66" s="2245"/>
      <c r="R66" s="2245"/>
      <c r="S66" s="3296"/>
    </row>
    <row r="67" spans="1:19" s="31" customFormat="1" ht="14.25" customHeight="1">
      <c r="A67" s="3295"/>
      <c r="B67" s="2245"/>
      <c r="C67" s="3285"/>
      <c r="D67" s="3285"/>
      <c r="E67" s="3285"/>
      <c r="F67" s="3285"/>
      <c r="G67" s="3285"/>
      <c r="H67" s="3285"/>
      <c r="I67" s="3285"/>
      <c r="J67" s="3285"/>
      <c r="K67" s="3285"/>
      <c r="L67" s="3285"/>
      <c r="M67" s="3285"/>
      <c r="N67" s="3285"/>
      <c r="O67" s="3285"/>
      <c r="P67" s="3285"/>
      <c r="Q67" s="2245"/>
      <c r="R67" s="2245"/>
      <c r="S67" s="3296"/>
    </row>
    <row r="68" spans="1:19" s="31" customFormat="1" ht="92.4" customHeight="1">
      <c r="A68" s="3295"/>
      <c r="B68" s="2245"/>
      <c r="C68" s="3862" t="s">
        <v>117</v>
      </c>
      <c r="D68" s="3862"/>
      <c r="E68" s="3862"/>
      <c r="F68" s="3862"/>
      <c r="G68" s="3862"/>
      <c r="H68" s="3862"/>
      <c r="I68" s="3862"/>
      <c r="J68" s="3862"/>
      <c r="K68" s="3862"/>
      <c r="L68" s="3862"/>
      <c r="M68" s="3862"/>
      <c r="N68" s="3862"/>
      <c r="O68" s="3862"/>
      <c r="P68" s="3862"/>
      <c r="Q68" s="2245"/>
      <c r="R68" s="2245"/>
      <c r="S68" s="3296"/>
    </row>
    <row r="69" spans="1:19" s="31" customFormat="1" ht="14.25" customHeight="1">
      <c r="A69" s="3295"/>
      <c r="B69" s="2245"/>
      <c r="C69" s="3285"/>
      <c r="D69" s="3285"/>
      <c r="E69" s="3285"/>
      <c r="F69" s="3285"/>
      <c r="G69" s="3285"/>
      <c r="H69" s="3285"/>
      <c r="I69" s="3285"/>
      <c r="J69" s="3285"/>
      <c r="K69" s="3285"/>
      <c r="L69" s="3285"/>
      <c r="M69" s="3285"/>
      <c r="N69" s="3285"/>
      <c r="O69" s="3285"/>
      <c r="P69" s="3285"/>
      <c r="Q69" s="2245"/>
      <c r="R69" s="2245"/>
      <c r="S69" s="3296"/>
    </row>
    <row r="70" spans="1:19" s="31" customFormat="1" ht="159.6" customHeight="1">
      <c r="A70" s="3295"/>
      <c r="B70" s="2245"/>
      <c r="C70" s="3860" t="s">
        <v>1709</v>
      </c>
      <c r="D70" s="3862"/>
      <c r="E70" s="3862"/>
      <c r="F70" s="3862"/>
      <c r="G70" s="3862"/>
      <c r="H70" s="3862"/>
      <c r="I70" s="3862"/>
      <c r="J70" s="3862"/>
      <c r="K70" s="3862"/>
      <c r="L70" s="3862"/>
      <c r="M70" s="3862"/>
      <c r="N70" s="3862"/>
      <c r="O70" s="3862"/>
      <c r="P70" s="3862"/>
      <c r="Q70" s="2245"/>
      <c r="R70" s="2245"/>
      <c r="S70" s="3296"/>
    </row>
    <row r="71" spans="1:19" s="31" customFormat="1" ht="15" customHeight="1">
      <c r="A71" s="3295"/>
      <c r="B71" s="2245"/>
      <c r="C71" s="2245"/>
      <c r="D71" s="3273"/>
      <c r="E71" s="3273"/>
      <c r="F71" s="3273"/>
      <c r="G71" s="3273"/>
      <c r="H71" s="3273"/>
      <c r="I71" s="3273"/>
      <c r="J71" s="3273"/>
      <c r="K71" s="3273"/>
      <c r="L71" s="3273"/>
      <c r="M71" s="3273"/>
      <c r="N71" s="3273"/>
      <c r="O71" s="2245"/>
      <c r="P71" s="2245"/>
      <c r="Q71" s="2245"/>
      <c r="R71" s="2245"/>
      <c r="S71" s="3296"/>
    </row>
    <row r="72" spans="1:19" s="12" customFormat="1" ht="13.8" thickBot="1">
      <c r="A72" s="3297"/>
      <c r="B72" s="3298"/>
      <c r="C72" s="3298" t="s">
        <v>116</v>
      </c>
      <c r="D72" s="3298"/>
      <c r="E72" s="3298"/>
      <c r="F72" s="3298"/>
      <c r="G72" s="3298"/>
      <c r="H72" s="3298"/>
      <c r="I72" s="3299" t="s">
        <v>1688</v>
      </c>
      <c r="J72" s="3298"/>
      <c r="K72" s="3300"/>
      <c r="L72" s="3298"/>
      <c r="M72" s="3298"/>
      <c r="N72" s="3298"/>
      <c r="O72" s="3298"/>
      <c r="P72" s="3854" t="s">
        <v>1757</v>
      </c>
      <c r="Q72" s="3855"/>
      <c r="R72" s="3298"/>
      <c r="S72" s="3301"/>
    </row>
    <row r="73" spans="1:19" s="12" customFormat="1">
      <c r="Q73" s="30"/>
      <c r="R73" s="30"/>
    </row>
    <row r="74" spans="1:19" s="12" customFormat="1">
      <c r="R74" s="30"/>
    </row>
    <row r="75" spans="1:19" s="12" customFormat="1">
      <c r="R75" s="30"/>
    </row>
    <row r="76" spans="1:19" s="12" customFormat="1">
      <c r="R76" s="30"/>
    </row>
    <row r="77" spans="1:19" s="12" customFormat="1">
      <c r="R77" s="30"/>
    </row>
    <row r="78" spans="1:19" s="12" customFormat="1">
      <c r="R78" s="30"/>
    </row>
    <row r="79" spans="1:19" s="12" customFormat="1">
      <c r="R79" s="30"/>
    </row>
    <row r="80" spans="1:19" s="12" customFormat="1">
      <c r="R80" s="30"/>
    </row>
    <row r="81" spans="18:18" s="12" customFormat="1">
      <c r="R81" s="30"/>
    </row>
    <row r="82" spans="18:18" s="12" customFormat="1">
      <c r="R82" s="30"/>
    </row>
    <row r="83" spans="18:18" s="29" customFormat="1">
      <c r="R83" s="448"/>
    </row>
    <row r="84" spans="18:18" s="29" customFormat="1">
      <c r="R84" s="448"/>
    </row>
    <row r="85" spans="18:18" s="29" customFormat="1">
      <c r="R85" s="448"/>
    </row>
    <row r="86" spans="18:18" s="29" customFormat="1">
      <c r="R86" s="448"/>
    </row>
    <row r="87" spans="18:18" s="29" customFormat="1">
      <c r="R87" s="448"/>
    </row>
    <row r="88" spans="18:18" s="29" customFormat="1">
      <c r="R88" s="448"/>
    </row>
    <row r="89" spans="18:18" s="29" customFormat="1">
      <c r="R89" s="448"/>
    </row>
    <row r="90" spans="18:18" s="29" customFormat="1">
      <c r="R90" s="448"/>
    </row>
    <row r="91" spans="18:18" s="29" customFormat="1">
      <c r="R91" s="448"/>
    </row>
    <row r="92" spans="18:18" s="29" customFormat="1">
      <c r="R92" s="448"/>
    </row>
    <row r="93" spans="18:18" s="29" customFormat="1">
      <c r="R93" s="448"/>
    </row>
    <row r="94" spans="18:18" s="29" customFormat="1">
      <c r="R94" s="448"/>
    </row>
    <row r="95" spans="18:18" s="29" customFormat="1">
      <c r="R95" s="448"/>
    </row>
    <row r="96" spans="18:18" s="29" customFormat="1">
      <c r="R96" s="448"/>
    </row>
    <row r="97" spans="18:18" s="29" customFormat="1">
      <c r="R97" s="448"/>
    </row>
    <row r="98" spans="18:18" s="29" customFormat="1">
      <c r="R98" s="448"/>
    </row>
    <row r="99" spans="18:18" s="29" customFormat="1">
      <c r="R99" s="448"/>
    </row>
    <row r="100" spans="18:18" s="29" customFormat="1">
      <c r="R100" s="448"/>
    </row>
    <row r="101" spans="18:18" s="29" customFormat="1">
      <c r="R101" s="448"/>
    </row>
    <row r="102" spans="18:18" s="29" customFormat="1">
      <c r="R102" s="448"/>
    </row>
    <row r="103" spans="18:18" s="29" customFormat="1">
      <c r="R103" s="448"/>
    </row>
    <row r="104" spans="18:18" s="29" customFormat="1">
      <c r="R104" s="448"/>
    </row>
    <row r="105" spans="18:18" s="29" customFormat="1">
      <c r="R105" s="448"/>
    </row>
    <row r="106" spans="18:18" s="29" customFormat="1">
      <c r="R106" s="448"/>
    </row>
    <row r="107" spans="18:18" s="29" customFormat="1">
      <c r="R107" s="448"/>
    </row>
    <row r="108" spans="18:18" s="29" customFormat="1">
      <c r="R108" s="448"/>
    </row>
    <row r="109" spans="18:18" s="29" customFormat="1">
      <c r="R109" s="448"/>
    </row>
    <row r="110" spans="18:18" s="29" customFormat="1">
      <c r="R110" s="448"/>
    </row>
    <row r="111" spans="18:18" s="29" customFormat="1">
      <c r="R111" s="448"/>
    </row>
    <row r="112" spans="18:18" s="29" customFormat="1">
      <c r="R112" s="448"/>
    </row>
    <row r="113" spans="18:18" s="29" customFormat="1">
      <c r="R113" s="448"/>
    </row>
    <row r="114" spans="18:18" s="29" customFormat="1">
      <c r="R114" s="448"/>
    </row>
    <row r="115" spans="18:18" s="29" customFormat="1">
      <c r="R115" s="448"/>
    </row>
    <row r="116" spans="18:18" s="29" customFormat="1">
      <c r="R116" s="448"/>
    </row>
    <row r="117" spans="18:18" s="29" customFormat="1">
      <c r="R117" s="448"/>
    </row>
    <row r="118" spans="18:18" s="29" customFormat="1">
      <c r="R118" s="448"/>
    </row>
    <row r="119" spans="18:18" s="29" customFormat="1">
      <c r="R119" s="448"/>
    </row>
    <row r="120" spans="18:18" s="29" customFormat="1">
      <c r="R120" s="448"/>
    </row>
    <row r="121" spans="18:18" s="29" customFormat="1">
      <c r="R121" s="448"/>
    </row>
    <row r="122" spans="18:18" s="29" customFormat="1">
      <c r="R122" s="448"/>
    </row>
    <row r="123" spans="18:18" s="29" customFormat="1">
      <c r="R123" s="448"/>
    </row>
    <row r="124" spans="18:18" s="29" customFormat="1">
      <c r="R124" s="448"/>
    </row>
    <row r="125" spans="18:18" s="29" customFormat="1">
      <c r="R125" s="448"/>
    </row>
    <row r="126" spans="18:18" s="29" customFormat="1">
      <c r="R126" s="448"/>
    </row>
    <row r="127" spans="18:18" s="29" customFormat="1">
      <c r="R127" s="448"/>
    </row>
    <row r="128" spans="18:18" s="29" customFormat="1">
      <c r="R128" s="448"/>
    </row>
    <row r="129" spans="18:18" s="29" customFormat="1">
      <c r="R129" s="448"/>
    </row>
    <row r="130" spans="18:18" s="29" customFormat="1">
      <c r="R130" s="448"/>
    </row>
    <row r="131" spans="18:18" s="29" customFormat="1">
      <c r="R131" s="448"/>
    </row>
    <row r="132" spans="18:18" s="29" customFormat="1">
      <c r="R132" s="448"/>
    </row>
    <row r="133" spans="18:18" s="29" customFormat="1">
      <c r="R133" s="448"/>
    </row>
    <row r="134" spans="18:18" s="29" customFormat="1">
      <c r="R134" s="448"/>
    </row>
    <row r="135" spans="18:18" s="29" customFormat="1">
      <c r="R135" s="448"/>
    </row>
    <row r="136" spans="18:18" s="29" customFormat="1">
      <c r="R136" s="448"/>
    </row>
    <row r="137" spans="18:18" s="29" customFormat="1">
      <c r="R137" s="448"/>
    </row>
    <row r="138" spans="18:18" s="29" customFormat="1">
      <c r="R138" s="448"/>
    </row>
    <row r="139" spans="18:18" s="29" customFormat="1">
      <c r="R139" s="448"/>
    </row>
    <row r="140" spans="18:18" s="29" customFormat="1">
      <c r="R140" s="448"/>
    </row>
    <row r="141" spans="18:18" s="29" customFormat="1">
      <c r="R141" s="448"/>
    </row>
    <row r="142" spans="18:18" s="29" customFormat="1">
      <c r="R142" s="448"/>
    </row>
    <row r="143" spans="18:18" s="29" customFormat="1">
      <c r="R143" s="448"/>
    </row>
    <row r="144" spans="18:18" s="29" customFormat="1">
      <c r="R144" s="448"/>
    </row>
    <row r="145" spans="18:18" s="29" customFormat="1">
      <c r="R145" s="448"/>
    </row>
    <row r="146" spans="18:18" s="29" customFormat="1">
      <c r="R146" s="448"/>
    </row>
    <row r="147" spans="18:18" s="29" customFormat="1">
      <c r="R147" s="448"/>
    </row>
    <row r="148" spans="18:18" s="29" customFormat="1">
      <c r="R148" s="448"/>
    </row>
    <row r="149" spans="18:18" s="29" customFormat="1">
      <c r="R149" s="448"/>
    </row>
    <row r="150" spans="18:18" s="29" customFormat="1">
      <c r="R150" s="448"/>
    </row>
    <row r="151" spans="18:18" s="29" customFormat="1">
      <c r="R151" s="448"/>
    </row>
    <row r="152" spans="18:18" s="29" customFormat="1">
      <c r="R152" s="448"/>
    </row>
    <row r="153" spans="18:18" s="29" customFormat="1">
      <c r="R153" s="448"/>
    </row>
    <row r="154" spans="18:18" s="29" customFormat="1">
      <c r="R154" s="448"/>
    </row>
    <row r="155" spans="18:18" s="29" customFormat="1">
      <c r="R155" s="448"/>
    </row>
    <row r="156" spans="18:18" s="29" customFormat="1">
      <c r="R156" s="448"/>
    </row>
    <row r="157" spans="18:18" s="29" customFormat="1">
      <c r="R157" s="448"/>
    </row>
    <row r="158" spans="18:18" s="29" customFormat="1">
      <c r="R158" s="448"/>
    </row>
    <row r="159" spans="18:18" s="29" customFormat="1">
      <c r="R159" s="448"/>
    </row>
    <row r="160" spans="18:18" s="29" customFormat="1">
      <c r="R160" s="448"/>
    </row>
    <row r="161" spans="18:18" s="29" customFormat="1">
      <c r="R161" s="448"/>
    </row>
    <row r="162" spans="18:18" s="29" customFormat="1">
      <c r="R162" s="448"/>
    </row>
    <row r="163" spans="18:18" s="29" customFormat="1">
      <c r="R163" s="448"/>
    </row>
    <row r="164" spans="18:18" s="29" customFormat="1">
      <c r="R164" s="448"/>
    </row>
    <row r="165" spans="18:18" s="29" customFormat="1">
      <c r="R165" s="448"/>
    </row>
    <row r="166" spans="18:18" s="29" customFormat="1">
      <c r="R166" s="448"/>
    </row>
    <row r="167" spans="18:18" s="29" customFormat="1">
      <c r="R167" s="448"/>
    </row>
    <row r="168" spans="18:18" s="29" customFormat="1">
      <c r="R168" s="448"/>
    </row>
    <row r="169" spans="18:18" s="29" customFormat="1">
      <c r="R169" s="448"/>
    </row>
    <row r="170" spans="18:18" s="29" customFormat="1">
      <c r="R170" s="448"/>
    </row>
    <row r="171" spans="18:18" s="29" customFormat="1">
      <c r="R171" s="448"/>
    </row>
    <row r="172" spans="18:18" s="29" customFormat="1">
      <c r="R172" s="448"/>
    </row>
    <row r="173" spans="18:18" s="29" customFormat="1">
      <c r="R173" s="448"/>
    </row>
    <row r="174" spans="18:18" s="29" customFormat="1">
      <c r="R174" s="448"/>
    </row>
    <row r="175" spans="18:18" s="29" customFormat="1">
      <c r="R175" s="448"/>
    </row>
    <row r="176" spans="18:18" s="29" customFormat="1">
      <c r="R176" s="448"/>
    </row>
    <row r="177" spans="18:18" s="29" customFormat="1">
      <c r="R177" s="448"/>
    </row>
    <row r="178" spans="18:18" s="29" customFormat="1">
      <c r="R178" s="448"/>
    </row>
    <row r="179" spans="18:18" s="29" customFormat="1">
      <c r="R179" s="448"/>
    </row>
    <row r="180" spans="18:18" s="29" customFormat="1">
      <c r="R180" s="448"/>
    </row>
    <row r="181" spans="18:18" s="29" customFormat="1">
      <c r="R181" s="448"/>
    </row>
    <row r="182" spans="18:18" s="29" customFormat="1">
      <c r="R182" s="448"/>
    </row>
    <row r="183" spans="18:18" s="29" customFormat="1">
      <c r="R183" s="448"/>
    </row>
    <row r="184" spans="18:18" s="29" customFormat="1">
      <c r="R184" s="448"/>
    </row>
    <row r="185" spans="18:18" s="29" customFormat="1">
      <c r="R185" s="448"/>
    </row>
    <row r="186" spans="18:18" s="29" customFormat="1">
      <c r="R186" s="448"/>
    </row>
    <row r="187" spans="18:18" s="29" customFormat="1">
      <c r="R187" s="448"/>
    </row>
    <row r="188" spans="18:18" s="29" customFormat="1">
      <c r="R188" s="448"/>
    </row>
    <row r="189" spans="18:18" s="29" customFormat="1">
      <c r="R189" s="448"/>
    </row>
    <row r="190" spans="18:18" s="29" customFormat="1">
      <c r="R190" s="448"/>
    </row>
    <row r="191" spans="18:18" s="29" customFormat="1">
      <c r="R191" s="448"/>
    </row>
    <row r="192" spans="18:18" s="29" customFormat="1">
      <c r="R192" s="448"/>
    </row>
    <row r="193" spans="18:18" s="29" customFormat="1">
      <c r="R193" s="448"/>
    </row>
    <row r="194" spans="18:18" s="29" customFormat="1">
      <c r="R194" s="448"/>
    </row>
    <row r="195" spans="18:18" s="29" customFormat="1">
      <c r="R195" s="448"/>
    </row>
    <row r="196" spans="18:18" s="29" customFormat="1">
      <c r="R196" s="448"/>
    </row>
    <row r="197" spans="18:18" s="29" customFormat="1">
      <c r="R197" s="448"/>
    </row>
    <row r="198" spans="18:18" s="29" customFormat="1">
      <c r="R198" s="448"/>
    </row>
    <row r="199" spans="18:18" s="29" customFormat="1">
      <c r="R199" s="448"/>
    </row>
    <row r="200" spans="18:18" s="29" customFormat="1">
      <c r="R200" s="448"/>
    </row>
    <row r="201" spans="18:18" s="29" customFormat="1">
      <c r="R201" s="448"/>
    </row>
    <row r="202" spans="18:18" s="29" customFormat="1">
      <c r="R202" s="448"/>
    </row>
    <row r="203" spans="18:18" s="29" customFormat="1">
      <c r="R203" s="448"/>
    </row>
    <row r="204" spans="18:18" s="29" customFormat="1">
      <c r="R204" s="448"/>
    </row>
    <row r="205" spans="18:18" s="29" customFormat="1">
      <c r="R205" s="448"/>
    </row>
    <row r="206" spans="18:18" s="29" customFormat="1">
      <c r="R206" s="448"/>
    </row>
    <row r="207" spans="18:18" s="29" customFormat="1">
      <c r="R207" s="448"/>
    </row>
    <row r="208" spans="18:18" s="29" customFormat="1">
      <c r="R208" s="448"/>
    </row>
    <row r="209" spans="18:18" s="29" customFormat="1">
      <c r="R209" s="448"/>
    </row>
    <row r="210" spans="18:18" s="29" customFormat="1">
      <c r="R210" s="448"/>
    </row>
    <row r="211" spans="18:18" s="29" customFormat="1">
      <c r="R211" s="448"/>
    </row>
    <row r="212" spans="18:18" s="29" customFormat="1">
      <c r="R212" s="448"/>
    </row>
    <row r="213" spans="18:18" s="29" customFormat="1">
      <c r="R213" s="448"/>
    </row>
    <row r="214" spans="18:18" s="29" customFormat="1">
      <c r="R214" s="448"/>
    </row>
    <row r="215" spans="18:18" s="29" customFormat="1">
      <c r="R215" s="448"/>
    </row>
    <row r="216" spans="18:18" s="29" customFormat="1">
      <c r="R216" s="448"/>
    </row>
    <row r="217" spans="18:18" s="29" customFormat="1">
      <c r="R217" s="448"/>
    </row>
    <row r="218" spans="18:18" s="29" customFormat="1">
      <c r="R218" s="448"/>
    </row>
    <row r="219" spans="18:18" s="29" customFormat="1">
      <c r="R219" s="448"/>
    </row>
    <row r="220" spans="18:18" s="29" customFormat="1">
      <c r="R220" s="448"/>
    </row>
    <row r="221" spans="18:18" s="29" customFormat="1">
      <c r="R221" s="448"/>
    </row>
    <row r="222" spans="18:18" s="29" customFormat="1">
      <c r="R222" s="448"/>
    </row>
    <row r="223" spans="18:18" s="29" customFormat="1">
      <c r="R223" s="448"/>
    </row>
    <row r="224" spans="18:18" s="29" customFormat="1">
      <c r="R224" s="448"/>
    </row>
    <row r="225" spans="18:18" s="29" customFormat="1">
      <c r="R225" s="448"/>
    </row>
    <row r="226" spans="18:18" s="29" customFormat="1">
      <c r="R226" s="448"/>
    </row>
    <row r="227" spans="18:18" s="29" customFormat="1">
      <c r="R227" s="448"/>
    </row>
    <row r="228" spans="18:18" s="29" customFormat="1">
      <c r="R228" s="448"/>
    </row>
    <row r="229" spans="18:18" s="29" customFormat="1">
      <c r="R229" s="448"/>
    </row>
    <row r="230" spans="18:18" s="29" customFormat="1">
      <c r="R230" s="448"/>
    </row>
    <row r="231" spans="18:18" s="29" customFormat="1">
      <c r="R231" s="448"/>
    </row>
    <row r="232" spans="18:18" s="29" customFormat="1">
      <c r="R232" s="448"/>
    </row>
    <row r="233" spans="18:18" s="29" customFormat="1">
      <c r="R233" s="448"/>
    </row>
    <row r="234" spans="18:18" s="29" customFormat="1">
      <c r="R234" s="448"/>
    </row>
    <row r="235" spans="18:18" s="29" customFormat="1">
      <c r="R235" s="448"/>
    </row>
    <row r="236" spans="18:18" s="29" customFormat="1">
      <c r="R236" s="448"/>
    </row>
    <row r="237" spans="18:18" s="29" customFormat="1">
      <c r="R237" s="448"/>
    </row>
    <row r="238" spans="18:18" s="29" customFormat="1">
      <c r="R238" s="448"/>
    </row>
    <row r="239" spans="18:18" s="29" customFormat="1">
      <c r="R239" s="448"/>
    </row>
    <row r="240" spans="18:18" s="29" customFormat="1">
      <c r="R240" s="448"/>
    </row>
    <row r="241" spans="18:18" s="29" customFormat="1">
      <c r="R241" s="448"/>
    </row>
    <row r="242" spans="18:18" s="29" customFormat="1">
      <c r="R242" s="448"/>
    </row>
    <row r="243" spans="18:18" s="29" customFormat="1">
      <c r="R243" s="448"/>
    </row>
    <row r="244" spans="18:18" s="29" customFormat="1">
      <c r="R244" s="448"/>
    </row>
    <row r="245" spans="18:18" s="29" customFormat="1">
      <c r="R245" s="448"/>
    </row>
    <row r="246" spans="18:18" s="29" customFormat="1">
      <c r="R246" s="448"/>
    </row>
    <row r="247" spans="18:18" s="29" customFormat="1">
      <c r="R247" s="448"/>
    </row>
    <row r="248" spans="18:18" s="29" customFormat="1">
      <c r="R248" s="448"/>
    </row>
    <row r="249" spans="18:18" s="29" customFormat="1">
      <c r="R249" s="448"/>
    </row>
    <row r="250" spans="18:18" s="29" customFormat="1">
      <c r="R250" s="448"/>
    </row>
    <row r="251" spans="18:18" s="29" customFormat="1">
      <c r="R251" s="448"/>
    </row>
    <row r="252" spans="18:18" s="29" customFormat="1">
      <c r="R252" s="448"/>
    </row>
    <row r="253" spans="18:18" s="29" customFormat="1">
      <c r="R253" s="448"/>
    </row>
    <row r="254" spans="18:18" s="29" customFormat="1">
      <c r="R254" s="448"/>
    </row>
    <row r="255" spans="18:18" s="29" customFormat="1">
      <c r="R255" s="448"/>
    </row>
    <row r="256" spans="18:18" s="29" customFormat="1">
      <c r="R256" s="448"/>
    </row>
    <row r="257" spans="18:18" s="29" customFormat="1">
      <c r="R257" s="448"/>
    </row>
    <row r="258" spans="18:18" s="29" customFormat="1">
      <c r="R258" s="448"/>
    </row>
    <row r="259" spans="18:18" s="29" customFormat="1">
      <c r="R259" s="448"/>
    </row>
    <row r="260" spans="18:18" s="29" customFormat="1">
      <c r="R260" s="448"/>
    </row>
    <row r="261" spans="18:18" s="29" customFormat="1">
      <c r="R261" s="448"/>
    </row>
    <row r="262" spans="18:18" s="29" customFormat="1">
      <c r="R262" s="448"/>
    </row>
    <row r="263" spans="18:18" s="29" customFormat="1">
      <c r="R263" s="448"/>
    </row>
    <row r="264" spans="18:18" s="29" customFormat="1">
      <c r="R264" s="448"/>
    </row>
    <row r="265" spans="18:18" s="29" customFormat="1">
      <c r="R265" s="448"/>
    </row>
    <row r="266" spans="18:18" s="29" customFormat="1">
      <c r="R266" s="448"/>
    </row>
    <row r="267" spans="18:18" s="29" customFormat="1">
      <c r="R267" s="448"/>
    </row>
    <row r="268" spans="18:18" s="29" customFormat="1">
      <c r="R268" s="448"/>
    </row>
    <row r="269" spans="18:18" s="29" customFormat="1">
      <c r="R269" s="448"/>
    </row>
    <row r="270" spans="18:18" s="29" customFormat="1">
      <c r="R270" s="448"/>
    </row>
    <row r="271" spans="18:18" s="29" customFormat="1">
      <c r="R271" s="448"/>
    </row>
    <row r="272" spans="18:18" s="29" customFormat="1">
      <c r="R272" s="448"/>
    </row>
    <row r="273" spans="18:18" s="29" customFormat="1">
      <c r="R273" s="448"/>
    </row>
    <row r="274" spans="18:18" s="29" customFormat="1">
      <c r="R274" s="448"/>
    </row>
    <row r="275" spans="18:18" s="29" customFormat="1">
      <c r="R275" s="448"/>
    </row>
    <row r="276" spans="18:18" s="29" customFormat="1">
      <c r="R276" s="448"/>
    </row>
    <row r="277" spans="18:18" s="29" customFormat="1">
      <c r="R277" s="448"/>
    </row>
    <row r="278" spans="18:18" s="29" customFormat="1">
      <c r="R278" s="448"/>
    </row>
    <row r="279" spans="18:18" s="29" customFormat="1">
      <c r="R279" s="448"/>
    </row>
    <row r="280" spans="18:18" s="29" customFormat="1">
      <c r="R280" s="448"/>
    </row>
    <row r="281" spans="18:18" s="29" customFormat="1">
      <c r="R281" s="448"/>
    </row>
    <row r="282" spans="18:18" s="29" customFormat="1">
      <c r="R282" s="448"/>
    </row>
    <row r="283" spans="18:18" s="29" customFormat="1">
      <c r="R283" s="448"/>
    </row>
    <row r="284" spans="18:18" s="29" customFormat="1">
      <c r="R284" s="448"/>
    </row>
    <row r="285" spans="18:18" s="29" customFormat="1">
      <c r="R285" s="448"/>
    </row>
    <row r="286" spans="18:18" s="29" customFormat="1">
      <c r="R286" s="448"/>
    </row>
    <row r="287" spans="18:18" s="29" customFormat="1">
      <c r="R287" s="448"/>
    </row>
    <row r="288" spans="18:18" s="29" customFormat="1">
      <c r="R288" s="448"/>
    </row>
    <row r="289" spans="18:18" s="29" customFormat="1">
      <c r="R289" s="448"/>
    </row>
    <row r="290" spans="18:18" s="29" customFormat="1">
      <c r="R290" s="448"/>
    </row>
    <row r="291" spans="18:18" s="29" customFormat="1">
      <c r="R291" s="448"/>
    </row>
    <row r="292" spans="18:18" s="29" customFormat="1">
      <c r="R292" s="448"/>
    </row>
    <row r="293" spans="18:18" s="29" customFormat="1">
      <c r="R293" s="448"/>
    </row>
    <row r="294" spans="18:18" s="29" customFormat="1">
      <c r="R294" s="448"/>
    </row>
    <row r="295" spans="18:18" s="29" customFormat="1">
      <c r="R295" s="448"/>
    </row>
    <row r="296" spans="18:18" s="29" customFormat="1">
      <c r="R296" s="448"/>
    </row>
    <row r="297" spans="18:18" s="29" customFormat="1">
      <c r="R297" s="448"/>
    </row>
    <row r="298" spans="18:18" s="29" customFormat="1">
      <c r="R298" s="448"/>
    </row>
    <row r="299" spans="18:18" s="29" customFormat="1">
      <c r="R299" s="448"/>
    </row>
    <row r="300" spans="18:18" s="29" customFormat="1">
      <c r="R300" s="448"/>
    </row>
    <row r="301" spans="18:18" s="29" customFormat="1">
      <c r="R301" s="448"/>
    </row>
    <row r="302" spans="18:18" s="29" customFormat="1">
      <c r="R302" s="448"/>
    </row>
    <row r="303" spans="18:18" s="29" customFormat="1">
      <c r="R303" s="448"/>
    </row>
    <row r="304" spans="18:18" s="29" customFormat="1">
      <c r="R304" s="448"/>
    </row>
    <row r="305" spans="18:18" s="29" customFormat="1">
      <c r="R305" s="448"/>
    </row>
    <row r="306" spans="18:18" s="29" customFormat="1">
      <c r="R306" s="448"/>
    </row>
    <row r="307" spans="18:18" s="29" customFormat="1">
      <c r="R307" s="448"/>
    </row>
    <row r="308" spans="18:18" s="29" customFormat="1">
      <c r="R308" s="448"/>
    </row>
    <row r="309" spans="18:18" s="29" customFormat="1">
      <c r="R309" s="448"/>
    </row>
    <row r="310" spans="18:18" s="29" customFormat="1">
      <c r="R310" s="448"/>
    </row>
    <row r="311" spans="18:18" s="29" customFormat="1">
      <c r="R311" s="448"/>
    </row>
  </sheetData>
  <sheetProtection sheet="1" objects="1" scenarios="1"/>
  <customSheetViews>
    <customSheetView guid="{8063F48F-80B5-4ECD-B18A-51CBF126E780}" fitToPage="1">
      <selection activeCell="J30" sqref="J30"/>
      <rowBreaks count="3" manualBreakCount="3">
        <brk id="32" min="1" max="16" man="1"/>
        <brk id="46" min="1" max="16" man="1"/>
        <brk id="58" min="1" max="16" man="1"/>
      </rowBreaks>
      <pageMargins left="0.39370078740157483" right="0.39370078740157483" top="0.59055118110236227" bottom="0.59055118110236227" header="0.39370078740157483" footer="0.39370078740157483"/>
      <printOptions horizontalCentered="1"/>
      <pageSetup paperSize="9" scale="84" firstPageNumber="2" fitToHeight="0" orientation="portrait" useFirstPageNumber="1" r:id="rId1"/>
      <headerFooter alignWithMargins="0">
        <oddFooter>&amp;L&amp;11LEL Schwäbisch Gmünd&amp;C&amp;11&amp;P&amp;R&amp;11&amp;F</oddFooter>
      </headerFooter>
    </customSheetView>
    <customSheetView guid="{5D5C9B61-9ABD-4513-AAEB-8333A9D6196C}" fitToPage="1">
      <selection activeCell="J30" sqref="J30"/>
      <rowBreaks count="3" manualBreakCount="3">
        <brk id="32" min="1" max="16" man="1"/>
        <brk id="46" min="1" max="16" man="1"/>
        <brk id="58" min="1" max="16" man="1"/>
      </rowBreaks>
      <pageMargins left="0.39370078740157483" right="0.39370078740157483" top="0.59055118110236227" bottom="0.59055118110236227" header="0.39370078740157483" footer="0.39370078740157483"/>
      <printOptions horizontalCentered="1"/>
      <pageSetup paperSize="9" scale="84" firstPageNumber="2" fitToHeight="0" orientation="portrait" useFirstPageNumber="1" r:id="rId2"/>
      <headerFooter alignWithMargins="0">
        <oddFooter>&amp;L&amp;11LEL Schwäbisch Gmünd&amp;C&amp;11&amp;P&amp;R&amp;11&amp;F</oddFooter>
      </headerFooter>
    </customSheetView>
    <customSheetView guid="{22A73C4F-9004-4CEF-8499-B1F91BE1B569}" fitToPage="1">
      <selection activeCell="J30" sqref="J30"/>
      <rowBreaks count="3" manualBreakCount="3">
        <brk id="32" min="1" max="16" man="1"/>
        <brk id="46" min="1" max="16" man="1"/>
        <brk id="58" min="1" max="16" man="1"/>
      </rowBreaks>
      <pageMargins left="0.39370078740157483" right="0.39370078740157483" top="0.59055118110236227" bottom="0.59055118110236227" header="0.39370078740157483" footer="0.39370078740157483"/>
      <printOptions horizontalCentered="1"/>
      <pageSetup paperSize="9" scale="84" firstPageNumber="2" fitToHeight="0" orientation="portrait" useFirstPageNumber="1" r:id="rId3"/>
      <headerFooter alignWithMargins="0">
        <oddFooter>&amp;L&amp;11LEL Schwäbisch Gmünd&amp;C&amp;11&amp;P&amp;R&amp;11&amp;F</oddFooter>
      </headerFooter>
    </customSheetView>
  </customSheetViews>
  <mergeCells count="22">
    <mergeCell ref="C4:P4"/>
    <mergeCell ref="C70:P70"/>
    <mergeCell ref="C68:P68"/>
    <mergeCell ref="C51:P51"/>
    <mergeCell ref="C66:P66"/>
    <mergeCell ref="C64:P64"/>
    <mergeCell ref="C34:P34"/>
    <mergeCell ref="C54:P54"/>
    <mergeCell ref="C56:P56"/>
    <mergeCell ref="C57:P57"/>
    <mergeCell ref="C62:P62"/>
    <mergeCell ref="C60:P60"/>
    <mergeCell ref="C58:P58"/>
    <mergeCell ref="C36:P36"/>
    <mergeCell ref="C40:P40"/>
    <mergeCell ref="C44:P44"/>
    <mergeCell ref="P72:Q72"/>
    <mergeCell ref="C52:P52"/>
    <mergeCell ref="C38:P38"/>
    <mergeCell ref="C48:P48"/>
    <mergeCell ref="C42:P42"/>
    <mergeCell ref="C46:P46"/>
  </mergeCells>
  <printOptions horizontalCentered="1"/>
  <pageMargins left="0.39370078740157483" right="0.39370078740157483" top="0.59055118110236227" bottom="0.59055118110236227" header="0.39370078740157483" footer="0.39370078740157483"/>
  <pageSetup paperSize="9" scale="84" firstPageNumber="2" fitToHeight="0" orientation="portrait" useFirstPageNumber="1" r:id="rId4"/>
  <headerFooter alignWithMargins="0">
    <oddFooter>&amp;L&amp;11LEL Schwäbisch Gmünd&amp;C&amp;11&amp;P&amp;R&amp;11&amp;F</oddFooter>
  </headerFooter>
  <rowBreaks count="3" manualBreakCount="3">
    <brk id="33" min="1" max="16" man="1"/>
    <brk id="54" min="1" max="16" man="1"/>
    <brk id="66" min="1" max="16" man="1"/>
  </rowBreaks>
  <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filterMode="1">
    <tabColor rgb="FFFF0000"/>
    <pageSetUpPr fitToPage="1"/>
  </sheetPr>
  <dimension ref="A1:W130"/>
  <sheetViews>
    <sheetView workbookViewId="0">
      <selection activeCell="M5" sqref="M5:M24"/>
    </sheetView>
  </sheetViews>
  <sheetFormatPr baseColWidth="10" defaultColWidth="10.5" defaultRowHeight="13.2"/>
  <cols>
    <col min="1" max="1" width="1.5" style="53" customWidth="1"/>
    <col min="2" max="2" width="10.69921875" style="53" hidden="1" customWidth="1"/>
    <col min="3" max="3" width="29.59765625" style="14" customWidth="1"/>
    <col min="4" max="4" width="11.3984375" style="14" customWidth="1"/>
    <col min="5" max="5" width="9.5" style="14" customWidth="1"/>
    <col min="6" max="6" width="10.5" style="14" hidden="1" customWidth="1"/>
    <col min="7" max="8" width="10.5" style="14" customWidth="1"/>
    <col min="9" max="9" width="10.5" style="14" hidden="1" customWidth="1"/>
    <col min="10" max="11" width="10.5" style="14" customWidth="1"/>
    <col min="12" max="12" width="10.19921875" style="29" customWidth="1"/>
    <col min="13" max="13" width="10.5" style="53" customWidth="1"/>
    <col min="14" max="14" width="13.59765625" style="53" customWidth="1"/>
    <col min="15" max="16384" width="10.5" style="53"/>
  </cols>
  <sheetData>
    <row r="1" spans="1:23" ht="7.2" customHeight="1">
      <c r="A1" s="55"/>
    </row>
    <row r="2" spans="1:23" ht="30.45" customHeight="1">
      <c r="A2" s="85"/>
      <c r="C2" s="91" t="str">
        <f>"Übersicht Produktionsverfahren " &amp;'SDK1'!O8</f>
        <v>Übersicht Produktionsverfahren ohne MwSt.</v>
      </c>
      <c r="D2" s="1"/>
      <c r="E2" s="90"/>
      <c r="F2" s="53"/>
      <c r="H2" s="53"/>
      <c r="I2" s="53"/>
      <c r="J2" s="53"/>
      <c r="K2" s="86" t="s">
        <v>176</v>
      </c>
      <c r="M2" s="83"/>
      <c r="P2" s="82"/>
      <c r="Q2" s="82"/>
      <c r="R2" s="23"/>
      <c r="S2" s="14"/>
      <c r="T2" s="14"/>
      <c r="U2" s="81"/>
      <c r="V2" s="81"/>
      <c r="W2" s="81"/>
    </row>
    <row r="3" spans="1:23" ht="24" customHeight="1">
      <c r="A3" s="85"/>
      <c r="B3" s="82"/>
      <c r="C3" s="53"/>
      <c r="D3" s="53"/>
      <c r="E3" s="53"/>
      <c r="F3" s="53"/>
      <c r="G3" s="88"/>
      <c r="H3" s="87"/>
      <c r="I3" s="87"/>
      <c r="J3" s="53"/>
      <c r="K3" s="86">
        <f>'SDK1'!O3</f>
        <v>2024</v>
      </c>
      <c r="M3" s="83"/>
      <c r="P3" s="82"/>
      <c r="Q3" s="82"/>
      <c r="R3" s="23"/>
      <c r="S3" s="14"/>
      <c r="T3" s="14"/>
      <c r="U3" s="81"/>
      <c r="V3" s="81"/>
      <c r="W3" s="81"/>
    </row>
    <row r="4" spans="1:23" ht="24" customHeight="1" thickBot="1">
      <c r="A4" s="85"/>
      <c r="B4" s="82"/>
      <c r="C4" s="53"/>
      <c r="D4" s="89"/>
      <c r="E4" s="53"/>
      <c r="F4" s="53"/>
      <c r="G4" s="88"/>
      <c r="H4" s="87"/>
      <c r="I4" s="87"/>
      <c r="J4" s="53"/>
      <c r="K4" s="86"/>
      <c r="M4" s="83"/>
      <c r="P4" s="82"/>
      <c r="Q4" s="82"/>
      <c r="R4" s="23"/>
      <c r="S4" s="14"/>
      <c r="T4" s="14"/>
      <c r="U4" s="81"/>
      <c r="V4" s="81"/>
      <c r="W4" s="81"/>
    </row>
    <row r="5" spans="1:23" ht="24" customHeight="1">
      <c r="A5" s="85"/>
      <c r="B5" s="2475" t="s">
        <v>175</v>
      </c>
      <c r="C5" s="2476" t="s">
        <v>174</v>
      </c>
      <c r="D5" s="2493" t="s">
        <v>173</v>
      </c>
      <c r="E5" s="2477"/>
      <c r="F5" s="84"/>
      <c r="G5" s="2477"/>
      <c r="H5" s="2477"/>
      <c r="I5" s="84"/>
      <c r="J5" s="2477"/>
      <c r="K5" s="2488"/>
      <c r="M5" s="83"/>
      <c r="P5" s="82"/>
      <c r="Q5" s="82"/>
      <c r="R5" s="23"/>
      <c r="S5" s="14"/>
      <c r="T5" s="14"/>
      <c r="U5" s="81"/>
      <c r="V5" s="81"/>
      <c r="W5" s="81"/>
    </row>
    <row r="6" spans="1:23" s="58" customFormat="1" ht="22.2" customHeight="1">
      <c r="B6" s="2475" t="s">
        <v>172</v>
      </c>
      <c r="C6" s="66"/>
      <c r="D6" s="78" t="s">
        <v>171</v>
      </c>
      <c r="E6" s="80"/>
      <c r="F6" s="80"/>
      <c r="G6" s="79" t="s">
        <v>144</v>
      </c>
      <c r="H6" s="79"/>
      <c r="I6" s="79"/>
      <c r="J6" s="80" t="s">
        <v>170</v>
      </c>
      <c r="K6" s="80"/>
      <c r="M6" s="3505"/>
      <c r="O6" s="53"/>
    </row>
    <row r="7" spans="1:23" s="58" customFormat="1" ht="15" customHeight="1">
      <c r="B7" s="2475" t="s">
        <v>169</v>
      </c>
      <c r="C7" s="66"/>
      <c r="D7" s="75" t="s">
        <v>168</v>
      </c>
      <c r="E7" s="2478" t="s">
        <v>129</v>
      </c>
      <c r="F7" s="74"/>
      <c r="G7" s="76" t="s">
        <v>168</v>
      </c>
      <c r="H7" s="77" t="s">
        <v>129</v>
      </c>
      <c r="I7" s="76"/>
      <c r="J7" s="2489" t="s">
        <v>168</v>
      </c>
      <c r="K7" s="75" t="s">
        <v>129</v>
      </c>
      <c r="M7" s="3505"/>
      <c r="O7" s="53"/>
    </row>
    <row r="8" spans="1:23" s="58" customFormat="1" ht="22.95" customHeight="1">
      <c r="B8" s="2479">
        <f>COUNTIF(B13:B64,"x")</f>
        <v>11</v>
      </c>
      <c r="C8" s="66"/>
      <c r="D8" s="72" t="s">
        <v>167</v>
      </c>
      <c r="E8" s="2478" t="s">
        <v>127</v>
      </c>
      <c r="F8" s="74"/>
      <c r="G8" s="2483" t="s">
        <v>167</v>
      </c>
      <c r="H8" s="2484" t="s">
        <v>127</v>
      </c>
      <c r="I8" s="73"/>
      <c r="J8" s="2490" t="s">
        <v>167</v>
      </c>
      <c r="K8" s="2478" t="s">
        <v>127</v>
      </c>
      <c r="M8" s="3506"/>
      <c r="O8" s="53"/>
    </row>
    <row r="9" spans="1:23" s="58" customFormat="1" ht="25.2" customHeight="1">
      <c r="B9" s="2479"/>
      <c r="C9" s="66"/>
      <c r="D9" s="72"/>
      <c r="E9" s="2480" t="s">
        <v>166</v>
      </c>
      <c r="F9" s="71"/>
      <c r="G9" s="2483"/>
      <c r="H9" s="2485" t="s">
        <v>166</v>
      </c>
      <c r="I9" s="70"/>
      <c r="J9" s="2491"/>
      <c r="K9" s="2480" t="s">
        <v>166</v>
      </c>
      <c r="M9" s="3506"/>
      <c r="O9" s="53"/>
    </row>
    <row r="10" spans="1:23" s="58" customFormat="1" ht="13.65" customHeight="1" thickBot="1">
      <c r="B10" s="2481" t="s">
        <v>165</v>
      </c>
      <c r="C10" s="65"/>
      <c r="D10" s="64" t="s">
        <v>164</v>
      </c>
      <c r="E10" s="2482" t="s">
        <v>163</v>
      </c>
      <c r="F10" s="69"/>
      <c r="G10" s="2486" t="s">
        <v>164</v>
      </c>
      <c r="H10" s="2487" t="s">
        <v>163</v>
      </c>
      <c r="I10" s="68"/>
      <c r="J10" s="2492" t="s">
        <v>164</v>
      </c>
      <c r="K10" s="2482" t="s">
        <v>163</v>
      </c>
      <c r="M10" s="3507">
        <f>'E2'!O1</f>
        <v>2</v>
      </c>
      <c r="O10" s="53"/>
    </row>
    <row r="11" spans="1:23" s="58" customFormat="1" ht="0.6" customHeight="1">
      <c r="B11" s="67"/>
      <c r="C11" s="66"/>
      <c r="D11" s="2378"/>
      <c r="E11" s="2378"/>
      <c r="F11" s="2378"/>
      <c r="G11" s="2378"/>
      <c r="H11" s="2378"/>
      <c r="I11" s="2378"/>
      <c r="J11" s="2378"/>
      <c r="K11" s="2378"/>
      <c r="M11" s="3507"/>
      <c r="O11" s="53"/>
    </row>
    <row r="12" spans="1:23" s="58" customFormat="1" ht="22.2" customHeight="1">
      <c r="B12" s="2494" t="s">
        <v>162</v>
      </c>
      <c r="C12" s="66"/>
      <c r="D12" s="2473"/>
      <c r="E12" s="56"/>
      <c r="F12" s="2378"/>
      <c r="G12" s="2378"/>
      <c r="H12" s="2378"/>
      <c r="I12" s="2378"/>
      <c r="J12" s="56"/>
      <c r="K12" s="2474"/>
      <c r="M12" s="3507"/>
      <c r="O12" s="53"/>
    </row>
    <row r="13" spans="1:23" s="58" customFormat="1" ht="19.95" hidden="1" customHeight="1">
      <c r="A13" s="59"/>
      <c r="B13" s="60"/>
      <c r="C13" s="54"/>
      <c r="D13" s="2473"/>
      <c r="E13" s="56"/>
      <c r="F13" s="56"/>
      <c r="G13" s="2379"/>
      <c r="H13" s="2379"/>
      <c r="I13" s="63"/>
      <c r="J13" s="56"/>
      <c r="K13" s="2474"/>
      <c r="M13" s="2379"/>
      <c r="O13" s="53"/>
    </row>
    <row r="14" spans="1:23" s="58" customFormat="1" ht="19.95" customHeight="1">
      <c r="B14" s="62" t="s">
        <v>160</v>
      </c>
      <c r="C14" s="61" t="str">
        <f>Kostenrechnung!F234</f>
        <v>Winterweizen (Futter-)</v>
      </c>
      <c r="D14" s="2473">
        <f>Daten!D$6</f>
        <v>56.25</v>
      </c>
      <c r="E14" s="56">
        <f>IF(Daten!D$12=0,0,Daten!D$22)</f>
        <v>328.92979676750019</v>
      </c>
      <c r="F14" s="56"/>
      <c r="G14" s="63">
        <f>Daten!AJ$6</f>
        <v>75</v>
      </c>
      <c r="H14" s="63">
        <f>IF(Daten!AJ$12=0,0,Daten!AJ$22)</f>
        <v>605.43032635000009</v>
      </c>
      <c r="I14" s="63"/>
      <c r="J14" s="56">
        <f>Daten!BP$6</f>
        <v>93.75</v>
      </c>
      <c r="K14" s="2474">
        <f>IF(Daten!BP$12=0,0,Daten!BP$22)</f>
        <v>739.21282067250013</v>
      </c>
      <c r="M14" s="3508">
        <f>IF($M$10=1,E14,IF($M$10=2,H14,K14))</f>
        <v>605.43032635000009</v>
      </c>
      <c r="O14" s="53"/>
    </row>
    <row r="15" spans="1:23" s="58" customFormat="1" ht="19.95" hidden="1" customHeight="1">
      <c r="B15" s="62"/>
      <c r="C15" s="61" t="str">
        <f>Kostenrechnung!F235</f>
        <v>Winterweizen (Brot-)</v>
      </c>
      <c r="D15" s="2473">
        <f>Daten!E$6</f>
        <v>56.25</v>
      </c>
      <c r="E15" s="56">
        <f>IF(Daten!E$12=0,0,Daten!$E$22)</f>
        <v>237.80562540000005</v>
      </c>
      <c r="F15" s="57"/>
      <c r="G15" s="63">
        <f>Daten!AK$6</f>
        <v>75</v>
      </c>
      <c r="H15" s="63">
        <f>IF(Daten!AK$12=0,0,Daten!AK$22)</f>
        <v>516.94845469999996</v>
      </c>
      <c r="I15" s="56"/>
      <c r="J15" s="56">
        <f>Daten!BQ$6</f>
        <v>93.75</v>
      </c>
      <c r="K15" s="2474">
        <f>IF(Daten!BQ$12=0,0,Daten!BQ$22)</f>
        <v>809.96003400000018</v>
      </c>
      <c r="M15" s="2472">
        <f t="shared" ref="M15:M43" si="0">IF($M$10=1,E15,IF($M$10=2,H15,K15))</f>
        <v>516.94845469999996</v>
      </c>
      <c r="O15" s="53"/>
    </row>
    <row r="16" spans="1:23" s="58" customFormat="1" ht="19.95" hidden="1" customHeight="1">
      <c r="B16" s="62"/>
      <c r="C16" s="61" t="str">
        <f>Kostenrechnung!F236</f>
        <v>Winterweizen (Aufmisch-; A-Sort.)</v>
      </c>
      <c r="D16" s="2473">
        <f>Daten!F$6</f>
        <v>54</v>
      </c>
      <c r="E16" s="56">
        <f>IF(Daten!F$12=0,0,Daten!$F$22)</f>
        <v>272.93270104466683</v>
      </c>
      <c r="F16" s="57"/>
      <c r="G16" s="63">
        <f>Daten!AL$6</f>
        <v>72</v>
      </c>
      <c r="H16" s="63">
        <f>IF(Daten!AL$12=0,0,Daten!AL$22)</f>
        <v>598.40611761733317</v>
      </c>
      <c r="I16" s="56"/>
      <c r="J16" s="56">
        <f>Daten!BR$6</f>
        <v>90</v>
      </c>
      <c r="K16" s="2474">
        <f>IF(Daten!BR$12=0,0,Daten!BR$22)</f>
        <v>926.12402365333355</v>
      </c>
      <c r="M16" s="2472">
        <f t="shared" si="0"/>
        <v>598.40611761733317</v>
      </c>
      <c r="O16" s="53"/>
    </row>
    <row r="17" spans="1:15" s="58" customFormat="1" ht="19.95" hidden="1" customHeight="1">
      <c r="B17" s="62"/>
      <c r="C17" s="61" t="str">
        <f>Kostenrechnung!F237</f>
        <v>Winterweizen (Qualität-; E-Sorte)</v>
      </c>
      <c r="D17" s="2473">
        <f>Daten!G$6</f>
        <v>51</v>
      </c>
      <c r="E17" s="56">
        <f>IF(Daten!G$12=0,0,Daten!$G$22)</f>
        <v>341.05474081866669</v>
      </c>
      <c r="F17" s="56"/>
      <c r="G17" s="63">
        <f>Daten!AM$6</f>
        <v>68</v>
      </c>
      <c r="H17" s="63">
        <f>IF(Daten!AM$12=0,0,Daten!AM$22)</f>
        <v>704.86217064933339</v>
      </c>
      <c r="I17" s="63"/>
      <c r="J17" s="56">
        <f>Daten!BS$6</f>
        <v>85</v>
      </c>
      <c r="K17" s="2474">
        <f>IF(Daten!BS$12=0,0,Daten!BS$22)</f>
        <v>1066.5140899433334</v>
      </c>
      <c r="M17" s="2472">
        <f t="shared" si="0"/>
        <v>704.86217064933339</v>
      </c>
      <c r="O17" s="53"/>
    </row>
    <row r="18" spans="1:15" s="58" customFormat="1" ht="19.95" customHeight="1">
      <c r="B18" s="62" t="s">
        <v>160</v>
      </c>
      <c r="C18" s="61" t="str">
        <f>Kostenrechnung!F238</f>
        <v>Winterroggen</v>
      </c>
      <c r="D18" s="2473">
        <f>Daten!H$6</f>
        <v>37.5</v>
      </c>
      <c r="E18" s="56">
        <f>IF(Daten!H$12=0,0,Daten!$H$22)</f>
        <v>-36.263482637500033</v>
      </c>
      <c r="F18" s="56"/>
      <c r="G18" s="63">
        <f>Daten!AN$6</f>
        <v>50</v>
      </c>
      <c r="H18" s="63">
        <f>IF(Daten!AN$12=0,0,Daten!AN$22)</f>
        <v>140.94068817666675</v>
      </c>
      <c r="I18" s="63"/>
      <c r="J18" s="56">
        <f>Daten!BT$6</f>
        <v>62.5</v>
      </c>
      <c r="K18" s="2474">
        <f>IF(Daten!BT$12=0,0,Daten!BT$22)</f>
        <v>297.08143445083329</v>
      </c>
      <c r="M18" s="3508">
        <f t="shared" si="0"/>
        <v>140.94068817666675</v>
      </c>
      <c r="O18" s="53"/>
    </row>
    <row r="19" spans="1:15" s="58" customFormat="1" ht="19.95" hidden="1" customHeight="1">
      <c r="B19" s="62"/>
      <c r="C19" s="61" t="str">
        <f>Kostenrechnung!F239</f>
        <v>Triticale</v>
      </c>
      <c r="D19" s="2473">
        <f>Daten!I$6</f>
        <v>50.25</v>
      </c>
      <c r="E19" s="56">
        <f>IF(Daten!I$12=0,0,Daten!$I$22)</f>
        <v>138.78691409294993</v>
      </c>
      <c r="F19" s="56"/>
      <c r="G19" s="63">
        <f>Daten!AO$6</f>
        <v>67</v>
      </c>
      <c r="H19" s="63">
        <f>IF(Daten!AO$12=0,0,Daten!AO$22)</f>
        <v>387.87455048393326</v>
      </c>
      <c r="I19" s="63"/>
      <c r="J19" s="56">
        <f>Daten!BU$6</f>
        <v>83.75</v>
      </c>
      <c r="K19" s="2474">
        <f>IF(Daten!BU$12=0,0,Daten!BU$22)</f>
        <v>633.22179759491655</v>
      </c>
      <c r="M19" s="2472">
        <f t="shared" si="0"/>
        <v>387.87455048393326</v>
      </c>
      <c r="O19" s="53"/>
    </row>
    <row r="20" spans="1:15" s="58" customFormat="1" ht="19.95" hidden="1" customHeight="1">
      <c r="B20" s="62"/>
      <c r="C20" s="61" t="str">
        <f>Kostenrechnung!F240</f>
        <v>Wintergerste</v>
      </c>
      <c r="D20" s="2473">
        <f>Daten!J$6</f>
        <v>52.5</v>
      </c>
      <c r="E20" s="56">
        <f>IF(Daten!J$12=0,0,Daten!$J$22)</f>
        <v>94.521251288500025</v>
      </c>
      <c r="F20" s="57"/>
      <c r="G20" s="63">
        <f>Daten!AP$6</f>
        <v>70</v>
      </c>
      <c r="H20" s="63">
        <f>IF(Daten!AP$12=0,0,Daten!AP$22)</f>
        <v>342.60801183133344</v>
      </c>
      <c r="I20" s="56"/>
      <c r="J20" s="56">
        <f>Daten!BV$6</f>
        <v>87.5</v>
      </c>
      <c r="K20" s="2474">
        <f>IF(Daten!BV$12=0,0,Daten!BV$22)</f>
        <v>529.29438309416673</v>
      </c>
      <c r="M20" s="2472">
        <f t="shared" si="0"/>
        <v>342.60801183133344</v>
      </c>
      <c r="O20" s="53"/>
    </row>
    <row r="21" spans="1:15" s="58" customFormat="1" ht="19.95" customHeight="1">
      <c r="B21" s="62" t="s">
        <v>160</v>
      </c>
      <c r="C21" s="61" t="str">
        <f>Kostenrechnung!F241</f>
        <v>Dinkel</v>
      </c>
      <c r="D21" s="2473">
        <f>Daten!K$6</f>
        <v>42</v>
      </c>
      <c r="E21" s="56">
        <f>IF(Daten!K$12=0,0,Daten!$K$22)</f>
        <v>300.63628359560016</v>
      </c>
      <c r="F21" s="57"/>
      <c r="G21" s="63">
        <f>Daten!AQ$6</f>
        <v>56</v>
      </c>
      <c r="H21" s="63">
        <f>IF(Daten!AQ$12=0,0,Daten!AQ$22)</f>
        <v>613.73766562746709</v>
      </c>
      <c r="I21" s="56"/>
      <c r="J21" s="56">
        <f>Daten!BW$6</f>
        <v>70</v>
      </c>
      <c r="K21" s="2474">
        <f>IF(Daten!BW$12=0,0,Daten!BW$22)</f>
        <v>951.24943693933324</v>
      </c>
      <c r="M21" s="3508">
        <f t="shared" si="0"/>
        <v>613.73766562746709</v>
      </c>
      <c r="O21" s="53"/>
    </row>
    <row r="22" spans="1:15" s="58" customFormat="1" ht="19.95" hidden="1" customHeight="1">
      <c r="B22" s="62"/>
      <c r="C22" s="61" t="str">
        <f>Kostenrechnung!F242</f>
        <v xml:space="preserve">Sommerweizen </v>
      </c>
      <c r="D22" s="2473">
        <f>Daten!L$6</f>
        <v>42</v>
      </c>
      <c r="E22" s="56">
        <f>IF(Daten!L$12=0,0,Daten!$L$22)</f>
        <v>147.84641453920005</v>
      </c>
      <c r="F22" s="56"/>
      <c r="G22" s="63">
        <f>Daten!AR$6</f>
        <v>56</v>
      </c>
      <c r="H22" s="63">
        <f>IF(Daten!AR$12=0,0,Daten!AR$22)</f>
        <v>342.17888441226683</v>
      </c>
      <c r="I22" s="63"/>
      <c r="J22" s="56">
        <f>Daten!BX$6</f>
        <v>70</v>
      </c>
      <c r="K22" s="2474">
        <f>IF(Daten!BX$12=0,0,Daten!BX$22)</f>
        <v>647.69135428533332</v>
      </c>
      <c r="M22" s="2472">
        <f t="shared" si="0"/>
        <v>342.17888441226683</v>
      </c>
      <c r="O22" s="53"/>
    </row>
    <row r="23" spans="1:15" s="58" customFormat="1" ht="19.95" hidden="1" customHeight="1">
      <c r="B23" s="62"/>
      <c r="C23" s="61" t="str">
        <f>Kostenrechnung!F243</f>
        <v xml:space="preserve">Sommerfuttergerste </v>
      </c>
      <c r="D23" s="2473">
        <f>Daten!M$6</f>
        <v>41.25</v>
      </c>
      <c r="E23" s="56">
        <f>IF(Daten!M$12=0,0,Daten!$M$22)</f>
        <v>-23.114464204000114</v>
      </c>
      <c r="F23" s="56"/>
      <c r="G23" s="63">
        <f>Daten!AS$6</f>
        <v>55</v>
      </c>
      <c r="H23" s="63">
        <f>IF(Daten!AS$12=0,0,Daten!AS$22)</f>
        <v>175.59537942133306</v>
      </c>
      <c r="I23" s="63"/>
      <c r="J23" s="56">
        <f>Daten!BY$6</f>
        <v>68.75</v>
      </c>
      <c r="K23" s="2474">
        <f>IF(Daten!BY$12=0,0,Daten!BY$22)</f>
        <v>374.3052230466667</v>
      </c>
      <c r="M23" s="2472">
        <f t="shared" si="0"/>
        <v>175.59537942133306</v>
      </c>
      <c r="O23" s="53"/>
    </row>
    <row r="24" spans="1:15" s="58" customFormat="1" ht="19.95" customHeight="1">
      <c r="A24" s="59"/>
      <c r="B24" s="62" t="s">
        <v>160</v>
      </c>
      <c r="C24" s="61" t="str">
        <f>Kostenrechnung!F244</f>
        <v>Braugerste</v>
      </c>
      <c r="D24" s="2473">
        <f>Daten!N$6</f>
        <v>40</v>
      </c>
      <c r="E24" s="56">
        <f>IF(Daten!N$12=0,0,Daten!$N$22)</f>
        <v>379.59488917299996</v>
      </c>
      <c r="F24" s="56"/>
      <c r="G24" s="63">
        <f>Daten!AT$6</f>
        <v>49</v>
      </c>
      <c r="H24" s="63">
        <f>IF(Daten!AT$12=0,0,Daten!AT$22)</f>
        <v>608.5985523403333</v>
      </c>
      <c r="I24" s="63"/>
      <c r="J24" s="56">
        <f>Daten!BZ$6</f>
        <v>58</v>
      </c>
      <c r="K24" s="2474">
        <f>IF(Daten!BZ$12=0,0,Daten!BZ$22)</f>
        <v>837.60221550766664</v>
      </c>
      <c r="M24" s="3508">
        <f t="shared" si="0"/>
        <v>608.5985523403333</v>
      </c>
      <c r="O24" s="53"/>
    </row>
    <row r="25" spans="1:15" s="58" customFormat="1" ht="19.95" hidden="1" customHeight="1">
      <c r="B25" s="62"/>
      <c r="C25" s="61" t="str">
        <f>Kostenrechnung!F245</f>
        <v xml:space="preserve">Hafer </v>
      </c>
      <c r="D25" s="2473">
        <f>Daten!O$6</f>
        <v>37.5</v>
      </c>
      <c r="E25" s="56">
        <f>IF(Daten!O$12=0,0,Daten!$O$22)</f>
        <v>206.9936822075</v>
      </c>
      <c r="F25" s="57"/>
      <c r="G25" s="63">
        <f>Daten!AU$6</f>
        <v>50</v>
      </c>
      <c r="H25" s="63">
        <f>IF(Daten!AU$12=0,0,Daten!AU$22)</f>
        <v>419.38805559666662</v>
      </c>
      <c r="I25" s="56"/>
      <c r="J25" s="56">
        <f>Daten!CA$6</f>
        <v>62.5</v>
      </c>
      <c r="K25" s="2474">
        <f>IF(Daten!CA$12=0,0,Daten!CA$22)</f>
        <v>643.77281826583339</v>
      </c>
      <c r="M25" s="2472">
        <f t="shared" si="0"/>
        <v>419.38805559666662</v>
      </c>
      <c r="O25" s="53"/>
    </row>
    <row r="26" spans="1:15" s="58" customFormat="1" ht="19.95" hidden="1" customHeight="1">
      <c r="B26" s="62"/>
      <c r="C26" s="61" t="str">
        <f>Kostenrechnung!F246</f>
        <v>Durum</v>
      </c>
      <c r="D26" s="2473">
        <f>Daten!P$6</f>
        <v>39.75</v>
      </c>
      <c r="E26" s="56">
        <f>IF(Daten!P$12=0,0,Daten!$P$22)</f>
        <v>332.87927422960001</v>
      </c>
      <c r="F26" s="57"/>
      <c r="G26" s="63">
        <f>Daten!AV$6</f>
        <v>53</v>
      </c>
      <c r="H26" s="63">
        <f>IF(Daten!AV$12=0,0,Daten!AV$22)</f>
        <v>677.31998035946663</v>
      </c>
      <c r="I26" s="56"/>
      <c r="J26" s="56">
        <f>Daten!CB$6</f>
        <v>66.25</v>
      </c>
      <c r="K26" s="2474">
        <f>IF(Daten!CB$12=0,0,Daten!CB$22)</f>
        <v>1021.760686489333</v>
      </c>
      <c r="M26" s="2472">
        <f t="shared" si="0"/>
        <v>677.31998035946663</v>
      </c>
      <c r="O26" s="53"/>
    </row>
    <row r="27" spans="1:15" s="58" customFormat="1" ht="19.95" customHeight="1">
      <c r="B27" s="62" t="s">
        <v>160</v>
      </c>
      <c r="C27" s="61" t="str">
        <f>Kostenrechnung!F247</f>
        <v xml:space="preserve">Körnermais </v>
      </c>
      <c r="D27" s="2473">
        <f>Daten!Q$6</f>
        <v>73.5</v>
      </c>
      <c r="E27" s="56">
        <f>IF(Daten!Q$12=0,0,Daten!$Q$22)</f>
        <v>185.31088504400009</v>
      </c>
      <c r="F27" s="56"/>
      <c r="G27" s="63">
        <f>Daten!AW$6</f>
        <v>98</v>
      </c>
      <c r="H27" s="63">
        <f>IF(Daten!AW$12=0,0,Daten!AW$22)</f>
        <v>477.09205717866666</v>
      </c>
      <c r="I27" s="63"/>
      <c r="J27" s="56">
        <f>Daten!CC$6</f>
        <v>122.5</v>
      </c>
      <c r="K27" s="2474">
        <f>IF(Daten!CC$12=0,0,Daten!CC$22)</f>
        <v>768.87322931333347</v>
      </c>
      <c r="M27" s="3508">
        <f t="shared" si="0"/>
        <v>477.09205717866666</v>
      </c>
      <c r="O27" s="53"/>
    </row>
    <row r="28" spans="1:15" s="58" customFormat="1" ht="19.649999999999999" hidden="1" customHeight="1">
      <c r="B28" s="62"/>
      <c r="C28" s="61" t="str">
        <f>Kostenrechnung!F248</f>
        <v>Körnerhirse (Lebens-/Futtermittel)</v>
      </c>
      <c r="D28" s="2473">
        <f>Daten!R$6</f>
        <v>80</v>
      </c>
      <c r="E28" s="56" t="e">
        <f>IF(Daten!R$12=0,0,Daten!$R$22)</f>
        <v>#VALUE!</v>
      </c>
      <c r="F28" s="56"/>
      <c r="G28" s="63">
        <f>Daten!AX$6</f>
        <v>90</v>
      </c>
      <c r="H28" s="63" t="e">
        <f>IF(Daten!AX$12=0,0,Daten!AX$22)</f>
        <v>#VALUE!</v>
      </c>
      <c r="I28" s="63"/>
      <c r="J28" s="56">
        <f>Daten!CE$6</f>
        <v>50</v>
      </c>
      <c r="K28" s="2474">
        <f>IF(Daten!CE$12=0,0,Daten!CE$22)</f>
        <v>797.16932498666665</v>
      </c>
      <c r="M28" s="2472" t="e">
        <f t="shared" si="0"/>
        <v>#VALUE!</v>
      </c>
      <c r="O28" s="53"/>
    </row>
    <row r="29" spans="1:15" s="58" customFormat="1" ht="18.45" hidden="1" customHeight="1">
      <c r="B29" s="62"/>
      <c r="C29" s="61" t="str">
        <f>Kostenrechnung!F249</f>
        <v>Winterraps</v>
      </c>
      <c r="D29" s="2473">
        <f>Daten!S$6</f>
        <v>30</v>
      </c>
      <c r="E29" s="56">
        <f>IF(Daten!S$12=0,0,Daten!$S$22)</f>
        <v>215.98764830000005</v>
      </c>
      <c r="F29" s="57"/>
      <c r="G29" s="63">
        <f>Daten!AY$6</f>
        <v>40</v>
      </c>
      <c r="H29" s="63">
        <f>IF(Daten!AY$12=0,0,Daten!AY$22)</f>
        <v>492.58696901333315</v>
      </c>
      <c r="I29" s="56"/>
      <c r="J29" s="56">
        <f>Daten!CD$6</f>
        <v>100</v>
      </c>
      <c r="K29" s="2474" t="e">
        <f>IF(Daten!CD$12=0,0,Daten!CD$22)</f>
        <v>#VALUE!</v>
      </c>
      <c r="M29" s="2472">
        <f t="shared" si="0"/>
        <v>492.58696901333315</v>
      </c>
      <c r="O29" s="53"/>
    </row>
    <row r="30" spans="1:15" s="58" customFormat="1" ht="19.95" customHeight="1">
      <c r="B30" s="62" t="s">
        <v>160</v>
      </c>
      <c r="C30" s="61" t="str">
        <f>Kostenrechnung!F250</f>
        <v xml:space="preserve">Sommerraps </v>
      </c>
      <c r="D30" s="2473">
        <f>Daten!T$6</f>
        <v>16.5</v>
      </c>
      <c r="E30" s="56">
        <f>IF(Daten!T$12=0,0,Daten!$T$22)</f>
        <v>-164.42664298400007</v>
      </c>
      <c r="F30" s="56"/>
      <c r="G30" s="63">
        <f>Daten!AZ$6</f>
        <v>22</v>
      </c>
      <c r="H30" s="63">
        <f>IF(Daten!AZ$12=0,0,Daten!AZ$22)</f>
        <v>-30.218882458666826</v>
      </c>
      <c r="I30" s="63"/>
      <c r="J30" s="56">
        <f>Daten!CF$6</f>
        <v>27.5</v>
      </c>
      <c r="K30" s="2474">
        <f>IF(Daten!CF$12=0,0,Daten!CF$22)</f>
        <v>131.97191332666648</v>
      </c>
      <c r="M30" s="3508">
        <f t="shared" si="0"/>
        <v>-30.218882458666826</v>
      </c>
      <c r="O30" s="53"/>
    </row>
    <row r="31" spans="1:15" s="58" customFormat="1" ht="19.95" customHeight="1">
      <c r="B31" s="62" t="s">
        <v>160</v>
      </c>
      <c r="C31" s="61" t="str">
        <f>Kostenrechnung!F251</f>
        <v xml:space="preserve">Sonnenblumen </v>
      </c>
      <c r="D31" s="2473">
        <f>Daten!U$6</f>
        <v>18.75</v>
      </c>
      <c r="E31" s="56">
        <f>IF(Daten!U$12=0,0,Daten!$U$22)</f>
        <v>-152.78571163000015</v>
      </c>
      <c r="F31" s="57"/>
      <c r="G31" s="63">
        <f>Daten!BA$6</f>
        <v>25</v>
      </c>
      <c r="H31" s="63">
        <f>IF(Daten!BA$12=0,0,Daten!BA$22)</f>
        <v>-13.821114146666787</v>
      </c>
      <c r="I31" s="56"/>
      <c r="J31" s="56">
        <f>Daten!CG$6</f>
        <v>31.25</v>
      </c>
      <c r="K31" s="2474">
        <f>IF(Daten!CG$12=0,0,Daten!CG$22)</f>
        <v>125.14348333666658</v>
      </c>
      <c r="M31" s="3508">
        <f t="shared" si="0"/>
        <v>-13.821114146666787</v>
      </c>
      <c r="O31" s="53"/>
    </row>
    <row r="32" spans="1:15" s="58" customFormat="1" ht="19.95" hidden="1" customHeight="1">
      <c r="B32" s="62"/>
      <c r="C32" s="61" t="str">
        <f>Kostenrechnung!F252</f>
        <v xml:space="preserve">Sojabohne </v>
      </c>
      <c r="D32" s="2473">
        <f>Daten!V$6</f>
        <v>20</v>
      </c>
      <c r="E32" s="56">
        <f>IF(Daten!V$12=0,0,Daten!$V$22)</f>
        <v>-92.578658593333444</v>
      </c>
      <c r="F32" s="57"/>
      <c r="G32" s="63">
        <f>Daten!BB$6</f>
        <v>27</v>
      </c>
      <c r="H32" s="63">
        <f>IF(Daten!BB$12=0,0,Daten!BB$22)</f>
        <v>148.681210588</v>
      </c>
      <c r="I32" s="56"/>
      <c r="J32" s="56">
        <f>Daten!CH$6</f>
        <v>34</v>
      </c>
      <c r="K32" s="2474">
        <f>IF(Daten!CH$12=0,0,Daten!CH$22)</f>
        <v>389.94107976933333</v>
      </c>
      <c r="M32" s="2472">
        <f t="shared" si="0"/>
        <v>148.681210588</v>
      </c>
      <c r="O32" s="53"/>
    </row>
    <row r="33" spans="1:21" s="58" customFormat="1" ht="19.5" hidden="1" customHeight="1">
      <c r="B33" s="62"/>
      <c r="C33" s="61" t="str">
        <f>Kostenrechnung!F253</f>
        <v xml:space="preserve">Öllein (Industrie) </v>
      </c>
      <c r="D33" s="2473">
        <f>Daten!W$6</f>
        <v>15</v>
      </c>
      <c r="E33" s="56" t="e">
        <f>IF(Daten!W$12=0,0,Daten!$W$22)</f>
        <v>#VALUE!</v>
      </c>
      <c r="F33" s="56"/>
      <c r="G33" s="63">
        <f>Daten!BC$6</f>
        <v>20</v>
      </c>
      <c r="H33" s="63" t="e">
        <f>IF(Daten!BC$12=0,0,Daten!BC$22)</f>
        <v>#VALUE!</v>
      </c>
      <c r="I33" s="63"/>
      <c r="J33" s="56">
        <f>Daten!CI$6</f>
        <v>25</v>
      </c>
      <c r="K33" s="2474" t="e">
        <f>IF(Daten!CI$12=0,0,Daten!CI$22)</f>
        <v>#VALUE!</v>
      </c>
      <c r="M33" s="2472" t="e">
        <f t="shared" si="0"/>
        <v>#VALUE!</v>
      </c>
      <c r="O33" s="53"/>
    </row>
    <row r="34" spans="1:21" s="58" customFormat="1" ht="19.95" hidden="1" customHeight="1">
      <c r="B34" s="62"/>
      <c r="C34" s="61" t="str">
        <f>Kostenrechnung!F254</f>
        <v xml:space="preserve">Futtererbsen </v>
      </c>
      <c r="D34" s="2473">
        <f>Daten!X$6</f>
        <v>20</v>
      </c>
      <c r="E34" s="56">
        <f>IF(Daten!X$12=0,0,Daten!$X$22)</f>
        <v>-183.18785859333332</v>
      </c>
      <c r="F34" s="56"/>
      <c r="G34" s="63">
        <f>Daten!BD$6</f>
        <v>35</v>
      </c>
      <c r="H34" s="63">
        <f>IF(Daten!BD$12=0,0,Daten!BD$22)</f>
        <v>126.5756753666667</v>
      </c>
      <c r="I34" s="63"/>
      <c r="J34" s="56">
        <f>Daten!CJ$6</f>
        <v>50</v>
      </c>
      <c r="K34" s="2474">
        <f>IF(Daten!CJ$12=0,0,Daten!CJ$22)</f>
        <v>408.33920932666661</v>
      </c>
      <c r="M34" s="2472">
        <f t="shared" si="0"/>
        <v>126.5756753666667</v>
      </c>
      <c r="O34" s="53"/>
    </row>
    <row r="35" spans="1:21" s="58" customFormat="1" ht="19.5" hidden="1" customHeight="1">
      <c r="B35" s="62"/>
      <c r="C35" s="61" t="str">
        <f>Kostenrechnung!F255</f>
        <v xml:space="preserve">Ackerbohnen </v>
      </c>
      <c r="D35" s="2473">
        <f>Daten!Y$6</f>
        <v>20</v>
      </c>
      <c r="E35" s="56">
        <f>IF(Daten!Y$12=0,0,Daten!$Y$22)</f>
        <v>-195.20785859333341</v>
      </c>
      <c r="F35" s="57"/>
      <c r="G35" s="63">
        <f>Daten!BE$6</f>
        <v>35</v>
      </c>
      <c r="H35" s="63">
        <f>IF(Daten!BE$12=0,0,Daten!BE$22)</f>
        <v>104.31567536666682</v>
      </c>
      <c r="I35" s="56"/>
      <c r="J35" s="56">
        <f>Daten!CK$6</f>
        <v>50</v>
      </c>
      <c r="K35" s="2474">
        <f>IF(Daten!CK$12=0,0,Daten!CK$22)</f>
        <v>380.7392093266667</v>
      </c>
      <c r="M35" s="2472">
        <f t="shared" si="0"/>
        <v>104.31567536666682</v>
      </c>
      <c r="O35" s="53"/>
    </row>
    <row r="36" spans="1:21" s="58" customFormat="1" ht="19.95" hidden="1" customHeight="1">
      <c r="A36" s="59"/>
      <c r="B36" s="62"/>
      <c r="C36" s="61" t="str">
        <f>Kostenrechnung!F256</f>
        <v xml:space="preserve">Blaue Lupine </v>
      </c>
      <c r="D36" s="2473">
        <f>Daten!Z$6</f>
        <v>10</v>
      </c>
      <c r="E36" s="56" t="e">
        <f>IF(Daten!Z$12=0,0,Daten!$Z$22)</f>
        <v>#VALUE!</v>
      </c>
      <c r="F36" s="56"/>
      <c r="G36" s="63">
        <f>Daten!BF$6</f>
        <v>25</v>
      </c>
      <c r="H36" s="63" t="e">
        <f>IF(Daten!BF$12=0,0,Daten!BF$22)</f>
        <v>#VALUE!</v>
      </c>
      <c r="I36" s="63"/>
      <c r="J36" s="56">
        <f>Daten!CL$6</f>
        <v>40</v>
      </c>
      <c r="K36" s="2474" t="e">
        <f>IF(Daten!CL$12=0,0,Daten!CL$22)</f>
        <v>#VALUE!</v>
      </c>
      <c r="M36" s="2472" t="e">
        <f t="shared" si="0"/>
        <v>#VALUE!</v>
      </c>
      <c r="O36" s="53"/>
    </row>
    <row r="37" spans="1:21" s="58" customFormat="1" ht="19.95" hidden="1" customHeight="1">
      <c r="B37" s="62"/>
      <c r="C37" s="61" t="str">
        <f>Kostenrechnung!F257</f>
        <v xml:space="preserve">Zuckerrüben </v>
      </c>
      <c r="D37" s="2473">
        <f>Daten!AA$6</f>
        <v>220.5</v>
      </c>
      <c r="E37" s="56">
        <f>IF(Daten!AA$12=0,0,Daten!$AA$22)</f>
        <v>1324.7045659799996</v>
      </c>
      <c r="F37" s="57"/>
      <c r="G37" s="63">
        <f>Daten!BG$6</f>
        <v>674</v>
      </c>
      <c r="H37" s="63">
        <f>IF(Daten!BG$12=0,0,Daten!BG$22)</f>
        <v>2645.8583059800003</v>
      </c>
      <c r="I37" s="56"/>
      <c r="J37" s="56">
        <f>Daten!CM$6</f>
        <v>867.5</v>
      </c>
      <c r="K37" s="2474">
        <f>IF(Daten!CM$12=0,0,Daten!CM$22)</f>
        <v>3582.2583707199997</v>
      </c>
      <c r="M37" s="2472">
        <f t="shared" si="0"/>
        <v>2645.8583059800003</v>
      </c>
      <c r="O37" s="53"/>
      <c r="U37" s="58" t="s">
        <v>161</v>
      </c>
    </row>
    <row r="38" spans="1:21" s="58" customFormat="1" ht="19.95" hidden="1" customHeight="1">
      <c r="B38" s="62"/>
      <c r="C38" s="61" t="str">
        <f>Kostenrechnung!F258</f>
        <v>Frühkartoffeln</v>
      </c>
      <c r="D38" s="2473">
        <f>Daten!AB$6</f>
        <v>201</v>
      </c>
      <c r="E38" s="56">
        <f>IF(Daten!AB$12=0,0,Daten!$AB$22)</f>
        <v>3229.5348739685724</v>
      </c>
      <c r="F38" s="57"/>
      <c r="G38" s="63">
        <f>Daten!BH$6</f>
        <v>268</v>
      </c>
      <c r="H38" s="63">
        <f>IF(Daten!BH$12=0,0,Daten!BH$22)</f>
        <v>7321.661641991428</v>
      </c>
      <c r="I38" s="56"/>
      <c r="J38" s="56">
        <f>Daten!CN$6</f>
        <v>335</v>
      </c>
      <c r="K38" s="2474">
        <f>IF(Daten!CN$12=0,0,Daten!CN$22)</f>
        <v>11413.788410014286</v>
      </c>
      <c r="M38" s="2472">
        <f t="shared" si="0"/>
        <v>7321.661641991428</v>
      </c>
      <c r="O38" s="53"/>
    </row>
    <row r="39" spans="1:21" s="58" customFormat="1" ht="19.95" hidden="1" customHeight="1">
      <c r="B39" s="62"/>
      <c r="C39" s="61" t="str">
        <f>Kostenrechnung!F259</f>
        <v>Frühkartoffeln, Folie, beregnet</v>
      </c>
      <c r="D39" s="2473">
        <f>Daten!AC$6</f>
        <v>300</v>
      </c>
      <c r="E39" s="56" t="e">
        <f>IF(Daten!AC$12=0,0,Daten!$AC$22)</f>
        <v>#VALUE!</v>
      </c>
      <c r="F39" s="56"/>
      <c r="G39" s="63">
        <f>Daten!BI$6</f>
        <v>350</v>
      </c>
      <c r="H39" s="63" t="e">
        <f>IF(Daten!BI$12=0,0,Daten!BI$22)</f>
        <v>#VALUE!</v>
      </c>
      <c r="I39" s="63"/>
      <c r="J39" s="56">
        <f>Daten!CO$6</f>
        <v>400</v>
      </c>
      <c r="K39" s="2474" t="e">
        <f>IF(Daten!CO$12=0,0,Daten!CO$22)</f>
        <v>#VALUE!</v>
      </c>
      <c r="M39" s="2472" t="e">
        <f t="shared" si="0"/>
        <v>#VALUE!</v>
      </c>
      <c r="O39" s="53"/>
    </row>
    <row r="40" spans="1:21" s="58" customFormat="1" ht="19.95" hidden="1" customHeight="1">
      <c r="B40" s="62"/>
      <c r="C40" s="61" t="str">
        <f>Kostenrechnung!F260</f>
        <v>Speisekartoffeln spät</v>
      </c>
      <c r="D40" s="2473">
        <f>Daten!AD$6</f>
        <v>199</v>
      </c>
      <c r="E40" s="56">
        <f>IF(Daten!AD$12=0,0,Daten!$AD$22)</f>
        <v>653.4068927371427</v>
      </c>
      <c r="F40" s="57"/>
      <c r="G40" s="63">
        <f>Daten!BJ$6</f>
        <v>228</v>
      </c>
      <c r="H40" s="63">
        <f>IF(Daten!BJ$12=0,0,Daten!BJ$22)</f>
        <v>1588.5573689428575</v>
      </c>
      <c r="I40" s="56"/>
      <c r="J40" s="56">
        <f>Daten!CP$6</f>
        <v>290</v>
      </c>
      <c r="K40" s="2474">
        <f>IF(Daten!CP$12=0,0,Daten!CP$22)</f>
        <v>3657.9178451485714</v>
      </c>
      <c r="M40" s="2472">
        <f t="shared" si="0"/>
        <v>1588.5573689428575</v>
      </c>
      <c r="O40" s="53"/>
    </row>
    <row r="41" spans="1:21" s="58" customFormat="1" ht="19.95" hidden="1" customHeight="1">
      <c r="B41" s="62"/>
      <c r="C41" s="61" t="str">
        <f>Kostenrechnung!F261</f>
        <v>Speisekartoffeln spät, beregnet</v>
      </c>
      <c r="D41" s="2473">
        <f>Daten!AE$6</f>
        <v>383</v>
      </c>
      <c r="E41" s="56">
        <f>IF(Daten!AE$12=0,0,Daten!$AE$22)</f>
        <v>6325.6508615685716</v>
      </c>
      <c r="F41" s="57"/>
      <c r="G41" s="63">
        <f>Daten!BK$6</f>
        <v>425</v>
      </c>
      <c r="H41" s="63">
        <f>IF(Daten!BK$12=0,0,Daten!BK$22)</f>
        <v>7748.9606564485712</v>
      </c>
      <c r="I41" s="56"/>
      <c r="J41" s="56">
        <f>Daten!CQ$6</f>
        <v>466</v>
      </c>
      <c r="K41" s="2474">
        <f>IF(Daten!CQ$12=0,0,Daten!CQ$22)</f>
        <v>9123.9934324028582</v>
      </c>
      <c r="L41" s="53"/>
      <c r="M41" s="2472">
        <f t="shared" si="0"/>
        <v>7748.9606564485712</v>
      </c>
      <c r="O41" s="53"/>
    </row>
    <row r="42" spans="1:21" ht="19.95" hidden="1" customHeight="1">
      <c r="B42" s="62"/>
      <c r="C42" s="61" t="str">
        <f>Kostenrechnung!F262</f>
        <v>Kultur A</v>
      </c>
      <c r="D42" s="2473">
        <f>Daten!AF$6</f>
        <v>0</v>
      </c>
      <c r="E42" s="56">
        <f>IF(Daten!AF$12=0,0,Daten!$AF$22)</f>
        <v>0</v>
      </c>
      <c r="F42" s="57"/>
      <c r="G42" s="63">
        <f>Daten!BL$6</f>
        <v>0</v>
      </c>
      <c r="H42" s="63">
        <f>IF(Daten!BL$12=0,0,Daten!BL$22)</f>
        <v>0</v>
      </c>
      <c r="I42" s="56"/>
      <c r="J42" s="56">
        <f>Daten!CR$6</f>
        <v>0</v>
      </c>
      <c r="K42" s="2474">
        <f>IF(Daten!CR$12=0,0,Daten!CR$22)</f>
        <v>0</v>
      </c>
      <c r="L42" s="53"/>
      <c r="M42" s="2472">
        <f t="shared" si="0"/>
        <v>0</v>
      </c>
    </row>
    <row r="43" spans="1:21" ht="19.95" hidden="1" customHeight="1">
      <c r="A43" s="55"/>
      <c r="B43" s="62"/>
      <c r="C43" s="61" t="str">
        <f>Kostenrechnung!F263</f>
        <v>FAKT - Brachebegrünung</v>
      </c>
      <c r="D43" s="2473">
        <f>Daten!AH$6</f>
        <v>1</v>
      </c>
      <c r="E43" s="56">
        <f>IF(Daten!AH$12=0,0,Daten!$AH$22)</f>
        <v>-164.78959179</v>
      </c>
      <c r="F43" s="57"/>
      <c r="G43" s="63">
        <f>Daten!BN$6</f>
        <v>1</v>
      </c>
      <c r="H43" s="63">
        <f>IF(Daten!BN$12=0,0,Daten!BN$22)</f>
        <v>-164.78959179</v>
      </c>
      <c r="I43" s="56"/>
      <c r="J43" s="56">
        <f>Daten!CT$6</f>
        <v>1</v>
      </c>
      <c r="K43" s="2474">
        <f>IF(Daten!CT$12=0,0,Daten!CT$22)</f>
        <v>-164.78959179</v>
      </c>
      <c r="L43" s="53"/>
      <c r="M43" s="2472">
        <f t="shared" si="0"/>
        <v>-164.78959179</v>
      </c>
    </row>
    <row r="44" spans="1:21" ht="9" hidden="1" customHeight="1">
      <c r="A44" s="55"/>
      <c r="B44" s="14"/>
      <c r="L44" s="14"/>
      <c r="M44" s="14"/>
    </row>
    <row r="45" spans="1:21" ht="21.45" hidden="1" customHeight="1">
      <c r="B45" s="62"/>
      <c r="C45" s="54" t="str">
        <f>Kostenrechnung!F266</f>
        <v xml:space="preserve">Öko-Kleegras einjährig (70:30) </v>
      </c>
      <c r="D45" s="2473">
        <f ca="1">HLOOKUP(C45,Daten!$CX$4:$DS$5,2)</f>
        <v>300</v>
      </c>
      <c r="E45" s="56">
        <f ca="1">IF(Daten!CX12=0,0,HLOOKUP(C45,Daten!$CX$4:$DS$22,19))</f>
        <v>116.41510991000001</v>
      </c>
      <c r="F45" s="56"/>
      <c r="G45" s="63">
        <f ca="1">HLOOKUP(C45,Daten!$DU$4:$EP$5,2)</f>
        <v>420</v>
      </c>
      <c r="H45" s="63">
        <f ca="1">IF(Daten!DU$12=0,0,HLOOKUP(C45,Daten!$DU$4:$EP$22,19))</f>
        <v>365.05510991</v>
      </c>
      <c r="I45" s="63"/>
      <c r="J45" s="56">
        <f ca="1">HLOOKUP(C45,Daten!$ER$4:$FM$5,2)</f>
        <v>500</v>
      </c>
      <c r="K45" s="2474">
        <f ca="1">IF(Daten!ER$12=0,0,HLOOKUP(C45,Daten!$ER$4:$FL$22,19))</f>
        <v>530.81510991000005</v>
      </c>
      <c r="L45" s="53"/>
      <c r="M45" s="2472">
        <f ca="1">IF($M$10=1,E45,IF($M$10=2,H45,K45))</f>
        <v>365.05510991</v>
      </c>
    </row>
    <row r="46" spans="1:21" ht="21.45" hidden="1" customHeight="1">
      <c r="B46" s="62"/>
      <c r="C46" s="54" t="str">
        <f>Kostenrechnung!F267</f>
        <v>Öko-Kleegras zweijährig (50:50)</v>
      </c>
      <c r="D46" s="2473">
        <f ca="1">HLOOKUP(C46,Daten!$CX$4:$DS$5,2,FALSE)</f>
        <v>400</v>
      </c>
      <c r="E46" s="56">
        <f ca="1">IF(Daten!CY12=0,0,HLOOKUP(C46,Daten!$CX$4:$DS$22,19,FALSE))</f>
        <v>116.58968290999996</v>
      </c>
      <c r="F46" s="57"/>
      <c r="G46" s="63">
        <f ca="1">HLOOKUP(C46,Daten!$DU$4:$EP$5,2,FALSE)</f>
        <v>500</v>
      </c>
      <c r="H46" s="63">
        <f ca="1">IF(Daten!DV$12=0,0,HLOOKUP(C46,Daten!$DU$4:$EP$22,19,FALSE))</f>
        <v>266.80968290999999</v>
      </c>
      <c r="I46" s="56"/>
      <c r="J46" s="56">
        <f ca="1">HLOOKUP(C46,Daten!$ER$4:$FM$5,2,FALSE)</f>
        <v>600</v>
      </c>
      <c r="K46" s="2474">
        <f ca="1">IF(Daten!ES$12=0,0,HLOOKUP(C46,Daten!$ER$4:$FL$22,19,FALSE))</f>
        <v>417.02968290999991</v>
      </c>
      <c r="L46" s="53"/>
      <c r="M46" s="2472">
        <f t="shared" ref="M46:M64" ca="1" si="1">IF($M$10=1,E46,IF($M$10=2,H46,K46))</f>
        <v>266.80968290999999</v>
      </c>
    </row>
    <row r="47" spans="1:21" ht="21.45" hidden="1" customHeight="1">
      <c r="B47" s="62"/>
      <c r="C47" s="54" t="str">
        <f>Kostenrechnung!F268</f>
        <v>Öko-Luzernegras einjährig (70:30)</v>
      </c>
      <c r="D47" s="2473">
        <f ca="1">HLOOKUP(C47,Daten!$CX$4:$DS$5,2,FALSE)</f>
        <v>300</v>
      </c>
      <c r="E47" s="56">
        <f ca="1">IF(Daten!CZ$12=0,0,HLOOKUP(C47,Daten!$CX$4:$DS$22,19,FALSE))</f>
        <v>117.96510990999997</v>
      </c>
      <c r="F47" s="57"/>
      <c r="G47" s="63">
        <f ca="1">HLOOKUP(C47,Daten!$DU$4:$EP$5,2,FALSE)</f>
        <v>400</v>
      </c>
      <c r="H47" s="63">
        <f ca="1">IF(Daten!DW$12=0,0,HLOOKUP(C47,Daten!$DU$4:$EP$22,19,FALSE))</f>
        <v>325.1651099099999</v>
      </c>
      <c r="I47" s="56"/>
      <c r="J47" s="56">
        <f ca="1">HLOOKUP(C47,Daten!$ER$4:$FM$5,2,FALSE)</f>
        <v>500</v>
      </c>
      <c r="K47" s="2474">
        <f ca="1">IF(Daten!ET13=0,0,HLOOKUP(C47,Daten!$ER$4:$FL$22,19,FALSE))</f>
        <v>532.36510991</v>
      </c>
      <c r="L47" s="53"/>
      <c r="M47" s="2472">
        <f t="shared" ca="1" si="1"/>
        <v>325.1651099099999</v>
      </c>
    </row>
    <row r="48" spans="1:21" ht="21.45" hidden="1" customHeight="1">
      <c r="B48" s="62"/>
      <c r="C48" s="54" t="str">
        <f>Kostenrechnung!F269</f>
        <v>Öko-Luzernegras zweijährig (50:50)</v>
      </c>
      <c r="D48" s="2473">
        <f ca="1">HLOOKUP(C48,Daten!$CX$4:$DS$5,2,FALSE)</f>
        <v>450</v>
      </c>
      <c r="E48" s="56">
        <f ca="1">IF(Daten!DA$12=0,0,HLOOKUP(C48,Daten!$CX$4:$DS$22,19,FALSE))</f>
        <v>233.99968290999993</v>
      </c>
      <c r="F48" s="56"/>
      <c r="G48" s="63">
        <f ca="1">HLOOKUP(C48,Daten!$DU$4:$EP$5,2,FALSE)</f>
        <v>550</v>
      </c>
      <c r="H48" s="63">
        <f ca="1">IF(Daten!DX$12=0,0,HLOOKUP(C48,Daten!$DU$4:$EP$22,19,FALSE))</f>
        <v>384.21968290999996</v>
      </c>
      <c r="I48" s="63"/>
      <c r="J48" s="56">
        <f ca="1">HLOOKUP(C48,Daten!$ER$4:$FM$5,2,FALSE)</f>
        <v>600</v>
      </c>
      <c r="K48" s="2474">
        <f ca="1">IF(Daten!EU$12=0,0,HLOOKUP(C48,Daten!$ER$4:$FL$22,19,FALSE))</f>
        <v>459.32968290999986</v>
      </c>
      <c r="L48" s="53"/>
      <c r="M48" s="2472">
        <f t="shared" ca="1" si="1"/>
        <v>384.21968290999996</v>
      </c>
    </row>
    <row r="49" spans="2:13" ht="21.45" customHeight="1">
      <c r="B49" s="62" t="s">
        <v>160</v>
      </c>
      <c r="C49" s="61" t="str">
        <f>Kostenrechnung!F270</f>
        <v>Öko-Winterweizen (Futter)</v>
      </c>
      <c r="D49" s="2473">
        <f ca="1">HLOOKUP(C49,Daten!$CX$4:$DS$5,2,FALSE)</f>
        <v>30</v>
      </c>
      <c r="E49" s="56">
        <f ca="1">IF(Daten!DB$12=0,0,HLOOKUP(C49,Daten!$CX$4:$DS$22,19,FALSE))</f>
        <v>-11.98414645999992</v>
      </c>
      <c r="F49" s="56"/>
      <c r="G49" s="63">
        <f ca="1">HLOOKUP(C49,Daten!$DU$4:$EP$5,2,FALSE)</f>
        <v>40</v>
      </c>
      <c r="H49" s="63">
        <f ca="1">IF(Daten!DY$12=0,0,HLOOKUP(C49,Daten!$DU$4:$EP$22,19,FALSE))</f>
        <v>196.78766633333339</v>
      </c>
      <c r="I49" s="63"/>
      <c r="J49" s="56">
        <f ca="1">HLOOKUP(C49,Daten!$ER$4:$FM$5,2,FALSE)</f>
        <v>69</v>
      </c>
      <c r="K49" s="2474">
        <f ca="1">IF(Daten!EV$12=0,0,HLOOKUP(C49,Daten!$ER$4:$FL$22,19,FALSE))</f>
        <v>795.77035865600033</v>
      </c>
      <c r="L49" s="53"/>
      <c r="M49" s="3508">
        <f t="shared" ca="1" si="1"/>
        <v>196.78766633333339</v>
      </c>
    </row>
    <row r="50" spans="2:13" ht="21.45" hidden="1" customHeight="1">
      <c r="B50" s="62"/>
      <c r="C50" s="54" t="str">
        <f>Kostenrechnung!F271</f>
        <v>Öko-Winterweizen (Brot)</v>
      </c>
      <c r="D50" s="2473">
        <f ca="1">HLOOKUP(C50,Daten!$CX$4:$DS$5,2,FALSE)</f>
        <v>30</v>
      </c>
      <c r="E50" s="56">
        <f ca="1">IF(Daten!DC$12=0,0,HLOOKUP(C50,Daten!$CX$4:$DS$22,19,FALSE))</f>
        <v>335.44110810000006</v>
      </c>
      <c r="F50" s="56"/>
      <c r="G50" s="63">
        <f ca="1">HLOOKUP(C50,Daten!$DU$4:$EP$5,2,FALSE)</f>
        <v>40</v>
      </c>
      <c r="H50" s="63">
        <f ca="1">IF(Daten!DZ$12=0,0,HLOOKUP(C50,Daten!$DU$4:$EP$22,19,FALSE))</f>
        <v>653.19246407333344</v>
      </c>
      <c r="I50" s="63"/>
      <c r="J50" s="56">
        <f ca="1">HLOOKUP(C50,Daten!$ER$4:$FM$5,2,FALSE)</f>
        <v>60</v>
      </c>
      <c r="K50" s="2474">
        <f ca="1">IF(Daten!EW$12=0,0,HLOOKUP(C50,Daten!$ER$4:$FL$22,19,FALSE))</f>
        <v>1288.6951760200004</v>
      </c>
      <c r="L50" s="53"/>
      <c r="M50" s="2472">
        <f t="shared" ca="1" si="1"/>
        <v>653.19246407333344</v>
      </c>
    </row>
    <row r="51" spans="2:13" ht="21.45" customHeight="1">
      <c r="B51" s="62" t="s">
        <v>160</v>
      </c>
      <c r="C51" s="61" t="str">
        <f>Kostenrechnung!F272</f>
        <v>Öko-Dinkel</v>
      </c>
      <c r="D51" s="2473">
        <f ca="1">HLOOKUP(C51,Daten!$CX$4:$DS$5,2,FALSE)</f>
        <v>30</v>
      </c>
      <c r="E51" s="56">
        <f ca="1">IF(Daten!DD$12=0,0,HLOOKUP(C51,Daten!$CX$4:$DS$22,19,FALSE))</f>
        <v>419.63190809999969</v>
      </c>
      <c r="F51" s="57"/>
      <c r="G51" s="63">
        <f ca="1">HLOOKUP(C51,Daten!$DU$4:$EP$5,2,FALSE)</f>
        <v>40</v>
      </c>
      <c r="H51" s="63">
        <f ca="1">IF(Daten!EA$12=0,0,HLOOKUP(C51,Daten!$DU$4:$EP$22,19,FALSE))</f>
        <v>773.44686407333324</v>
      </c>
      <c r="I51" s="56"/>
      <c r="J51" s="56">
        <f ca="1">HLOOKUP(C51,Daten!$ER$4:$FM$5,2,FALSE)</f>
        <v>45</v>
      </c>
      <c r="K51" s="2474">
        <f ca="1">IF(Daten!EX$12=0,0,HLOOKUP(C51,Daten!$ER$4:$FL$22,19,FALSE))</f>
        <v>950.35434206000036</v>
      </c>
      <c r="L51" s="53"/>
      <c r="M51" s="3508">
        <f t="shared" ca="1" si="1"/>
        <v>773.44686407333324</v>
      </c>
    </row>
    <row r="52" spans="2:13" ht="21.45" hidden="1" customHeight="1">
      <c r="B52" s="62"/>
      <c r="C52" s="54">
        <f>Kostenrechnung!F273</f>
        <v>0</v>
      </c>
      <c r="D52" s="2473" t="e">
        <f ca="1">HLOOKUP(C52,Daten!$CX$4:$DS$5,2,FALSE)</f>
        <v>#N/A</v>
      </c>
      <c r="E52" s="56" t="e">
        <f ca="1">IF(Daten!DE$12=0,0,HLOOKUP(C52,Daten!$CX$4:$DS$22,19,FALSE))</f>
        <v>#N/A</v>
      </c>
      <c r="F52" s="57"/>
      <c r="G52" s="63" t="e">
        <f ca="1">HLOOKUP(C52,Daten!$DU$4:$EP$5,2,FALSE)</f>
        <v>#N/A</v>
      </c>
      <c r="H52" s="63" t="e">
        <f ca="1">IF(Daten!EB$12=0,0,HLOOKUP(C52,Daten!$DU$4:$EP$22,19,FALSE))</f>
        <v>#N/A</v>
      </c>
      <c r="I52" s="56"/>
      <c r="J52" s="56" t="e">
        <f ca="1">HLOOKUP(C52,Daten!$ER$4:$FM$5,2,FALSE)</f>
        <v>#N/A</v>
      </c>
      <c r="K52" s="2474" t="e">
        <f ca="1">IF(Daten!EY$12=0,0,HLOOKUP(C52,Daten!$ER$4:$FL$22,19,FALSE))</f>
        <v>#N/A</v>
      </c>
      <c r="L52" s="53"/>
      <c r="M52" s="2472" t="e">
        <f t="shared" ca="1" si="1"/>
        <v>#N/A</v>
      </c>
    </row>
    <row r="53" spans="2:13" ht="21.45" hidden="1" customHeight="1">
      <c r="B53" s="62"/>
      <c r="C53" s="54" t="str">
        <f>Kostenrechnung!F274</f>
        <v>Öko-Winterroggen (Brot)</v>
      </c>
      <c r="D53" s="2473">
        <f ca="1">HLOOKUP(C53,Daten!$CX$4:$DS$5,2,FALSE)</f>
        <v>30</v>
      </c>
      <c r="E53" s="56">
        <f ca="1">IF(Daten!DF$12=0,0,HLOOKUP(C53,Daten!$CX$4:$DS$22,19,FALSE))</f>
        <v>58.163396720000264</v>
      </c>
      <c r="F53" s="56"/>
      <c r="G53" s="63">
        <f ca="1">HLOOKUP(C53,Daten!$DU$4:$EP$5,2,FALSE)</f>
        <v>40</v>
      </c>
      <c r="H53" s="63">
        <f ca="1">IF(Daten!EC$12=0,0,HLOOKUP(C53,Daten!$DU$4:$EP$22,19,FALSE))</f>
        <v>256.00466661583346</v>
      </c>
      <c r="I53" s="63"/>
      <c r="J53" s="56">
        <f ca="1">HLOOKUP(C53,Daten!$ER$4:$FM$5,2,FALSE)</f>
        <v>50</v>
      </c>
      <c r="K53" s="2474">
        <f ca="1">IF(Daten!EZ$12=0,0,HLOOKUP(C53,Daten!$ER$4:$FL$22,19,FALSE))</f>
        <v>451.34162258916695</v>
      </c>
      <c r="L53" s="53"/>
      <c r="M53" s="2472">
        <f t="shared" ca="1" si="1"/>
        <v>256.00466661583346</v>
      </c>
    </row>
    <row r="54" spans="2:13" ht="21.45" customHeight="1">
      <c r="B54" s="62" t="s">
        <v>160</v>
      </c>
      <c r="C54" s="61" t="str">
        <f>Kostenrechnung!F275</f>
        <v>Öko-Hafer</v>
      </c>
      <c r="D54" s="2473">
        <f ca="1">HLOOKUP(C54,Daten!$CX$4:$DS$5,2,FALSE)</f>
        <v>30</v>
      </c>
      <c r="E54" s="56">
        <f ca="1">IF(Daten!DG$12=0,0,HLOOKUP(C54,Daten!$CX$4:$DS$22,19,FALSE))</f>
        <v>319.00079671999993</v>
      </c>
      <c r="F54" s="56"/>
      <c r="G54" s="63">
        <f ca="1">HLOOKUP(C54,Daten!$DU$4:$EP$5,2,FALSE)</f>
        <v>40</v>
      </c>
      <c r="H54" s="63">
        <f ca="1">IF(Daten!ED$12=0,0,HLOOKUP(C54,Daten!$DU$4:$EP$22,19,FALSE))</f>
        <v>627.38786661583345</v>
      </c>
      <c r="I54" s="63"/>
      <c r="J54" s="56">
        <f ca="1">HLOOKUP(C54,Daten!$ER$4:$FM$5,2,FALSE)</f>
        <v>50</v>
      </c>
      <c r="K54" s="2474">
        <f ca="1">IF(Daten!FA$12=0,0,HLOOKUP(C54,Daten!$ER$4:$FL$22,19,FALSE))</f>
        <v>933.27062258916681</v>
      </c>
      <c r="L54" s="53"/>
      <c r="M54" s="3508">
        <f t="shared" ca="1" si="1"/>
        <v>627.38786661583345</v>
      </c>
    </row>
    <row r="55" spans="2:13" ht="21.45" hidden="1" customHeight="1">
      <c r="B55" s="62"/>
      <c r="C55" s="54" t="str">
        <f>Kostenrechnung!F277</f>
        <v>Öko-Braugerste</v>
      </c>
      <c r="D55" s="2473">
        <f ca="1">HLOOKUP(C55,Daten!$CX$4:$DS$5,2,FALSE)</f>
        <v>20</v>
      </c>
      <c r="E55" s="56">
        <f ca="1">IF(Daten!DI$12=0,0,HLOOKUP(C55,Daten!$CX$4:$DS$22,19,FALSE))</f>
        <v>102.51525120666668</v>
      </c>
      <c r="F55" s="56"/>
      <c r="G55" s="63">
        <f ca="1">HLOOKUP(C55,Daten!$DU$4:$EP$5,2,FALSE)</f>
        <v>40</v>
      </c>
      <c r="H55" s="63">
        <f ca="1">IF(Daten!EF$12=0,0,HLOOKUP(C55,Daten!$DU$4:$EP$22,19,FALSE))</f>
        <v>804.36934576833323</v>
      </c>
      <c r="I55" s="63"/>
      <c r="J55" s="56">
        <f ca="1">HLOOKUP(C55,Daten!$ER$4:$FM$5,2,FALSE)</f>
        <v>40</v>
      </c>
      <c r="K55" s="2474">
        <f ca="1">IF(Daten!FC$12=0,0,HLOOKUP(C55,Daten!$ER$4:$FL$22,19,FALSE))</f>
        <v>776.36934576833301</v>
      </c>
      <c r="L55" s="53"/>
      <c r="M55" s="2472">
        <f t="shared" ca="1" si="1"/>
        <v>804.36934576833323</v>
      </c>
    </row>
    <row r="56" spans="2:13" ht="21.45" customHeight="1">
      <c r="B56" s="62" t="s">
        <v>160</v>
      </c>
      <c r="C56" s="61" t="str">
        <f>Kostenrechnung!F278</f>
        <v xml:space="preserve">Öko-Körnermais </v>
      </c>
      <c r="D56" s="2473">
        <f ca="1">HLOOKUP(C56,Daten!$CX$4:$DS$5,2,FALSE)</f>
        <v>52.5</v>
      </c>
      <c r="E56" s="56">
        <f ca="1">IF(Daten!DJ$12=0,0,HLOOKUP(C56,Daten!$CX$4:$DS$22,19,FALSE))</f>
        <v>297.29632982000021</v>
      </c>
      <c r="F56" s="57"/>
      <c r="G56" s="63">
        <f ca="1">HLOOKUP(C56,Daten!$DU$4:$EP$5,2,FALSE)</f>
        <v>70</v>
      </c>
      <c r="H56" s="63">
        <f ca="1">IF(Daten!EG$12=0,0,HLOOKUP(C56,Daten!$DU$4:$EP$22,19,FALSE))</f>
        <v>654.72955277333381</v>
      </c>
      <c r="I56" s="56"/>
      <c r="J56" s="56">
        <f ca="1">HLOOKUP(C56,Daten!$ER$4:$FM$5,2,FALSE)</f>
        <v>87.5</v>
      </c>
      <c r="K56" s="2474">
        <f ca="1">IF(Daten!FD$12=0,0,HLOOKUP(C56,Daten!$ER$4:$FL$22,19,FALSE))</f>
        <v>994.66277572666695</v>
      </c>
      <c r="L56" s="53"/>
      <c r="M56" s="3508">
        <f t="shared" ca="1" si="1"/>
        <v>654.72955277333381</v>
      </c>
    </row>
    <row r="57" spans="2:13" ht="21.45" hidden="1" customHeight="1">
      <c r="B57" s="62"/>
      <c r="C57" s="54" t="str">
        <f>Kostenrechnung!F279</f>
        <v xml:space="preserve">Öko-Ackerbohnen </v>
      </c>
      <c r="D57" s="2473">
        <f ca="1">HLOOKUP(C57,Daten!$CX$4:$DS$5,2,FALSE)</f>
        <v>18.75</v>
      </c>
      <c r="E57" s="56">
        <f ca="1">IF(Daten!DK$12=0,0,HLOOKUP(C57,Daten!$CX$4:$DS$22,19,FALSE))</f>
        <v>270.28977123999994</v>
      </c>
      <c r="F57" s="57"/>
      <c r="G57" s="63">
        <f ca="1">HLOOKUP(C57,Daten!$DU$4:$EP$5,2,FALSE)</f>
        <v>25</v>
      </c>
      <c r="H57" s="63">
        <f ca="1">IF(Daten!EH$12=0,0,HLOOKUP(C57,Daten!$DU$4:$EP$22,19,FALSE))</f>
        <v>578.33374372333344</v>
      </c>
      <c r="I57" s="56"/>
      <c r="J57" s="56">
        <f ca="1">HLOOKUP(C57,Daten!$ER$4:$FM$5,2,FALSE)</f>
        <v>31.25</v>
      </c>
      <c r="K57" s="2474">
        <f ca="1">IF(Daten!FE$12=0,0,HLOOKUP(C57,Daten!$ER$4:$FL$22,19,FALSE))</f>
        <v>886.37771620666672</v>
      </c>
      <c r="L57" s="53"/>
      <c r="M57" s="2472">
        <f t="shared" ca="1" si="1"/>
        <v>578.33374372333344</v>
      </c>
    </row>
    <row r="58" spans="2:13" ht="21.45" hidden="1" customHeight="1">
      <c r="B58" s="62"/>
      <c r="C58" s="54" t="str">
        <f>Kostenrechnung!F280</f>
        <v>Öko-Futtererbsen</v>
      </c>
      <c r="D58" s="2473">
        <f ca="1">HLOOKUP(C58,Daten!$CX$4:$DS$5,2,FALSE)</f>
        <v>18.75</v>
      </c>
      <c r="E58" s="56">
        <f ca="1">IF(Daten!DL$12=0,0,HLOOKUP(C58,Daten!$CX$4:$DS$22,19,FALSE))</f>
        <v>229.90559563000011</v>
      </c>
      <c r="F58" s="56"/>
      <c r="G58" s="63">
        <f ca="1">HLOOKUP(C58,Daten!$DU$4:$EP$5,2,FALSE)</f>
        <v>25</v>
      </c>
      <c r="H58" s="63">
        <f ca="1">IF(Daten!EI$12=0,0,HLOOKUP(C58,Daten!$DU$4:$EP$22,19,FALSE))</f>
        <v>524.22456811333348</v>
      </c>
      <c r="I58" s="63"/>
      <c r="J58" s="56">
        <f ca="1">HLOOKUP(C58,Daten!$ER$4:$FM$5,2,FALSE)</f>
        <v>31.25</v>
      </c>
      <c r="K58" s="2474">
        <f ca="1">IF(Daten!FF$12=0,0,HLOOKUP(C58,Daten!$ER$4:$FL$22,19,FALSE))</f>
        <v>848.69080929666677</v>
      </c>
      <c r="L58" s="53"/>
      <c r="M58" s="2472">
        <f t="shared" ca="1" si="1"/>
        <v>524.22456811333348</v>
      </c>
    </row>
    <row r="59" spans="2:13" ht="21.45" hidden="1" customHeight="1">
      <c r="B59" s="62"/>
      <c r="C59" s="54" t="str">
        <f>Kostenrechnung!F281</f>
        <v>Öko-Sojabohnen</v>
      </c>
      <c r="D59" s="2473">
        <f ca="1">HLOOKUP(C59,Daten!$CX$4:$DS$5,2,FALSE)</f>
        <v>20</v>
      </c>
      <c r="E59" s="56">
        <f ca="1">IF(Daten!DM$12=0,0,HLOOKUP(C59,Daten!$CX$4:$DS$22,19,FALSE))</f>
        <v>586.63299494666649</v>
      </c>
      <c r="F59" s="56"/>
      <c r="G59" s="63">
        <f ca="1">HLOOKUP(C59,Daten!$DU$4:$EP$5,2,FALSE)</f>
        <v>25</v>
      </c>
      <c r="H59" s="63">
        <f ca="1">IF(Daten!EJ$12=0,0,HLOOKUP(C59,Daten!$DU$4:$EP$22,19,FALSE))</f>
        <v>939.53997293333305</v>
      </c>
      <c r="I59" s="63"/>
      <c r="J59" s="56">
        <f ca="1">HLOOKUP(C59,Daten!$ER$4:$FM$5,2,FALSE)</f>
        <v>30</v>
      </c>
      <c r="K59" s="2474">
        <f ca="1">IF(Daten!FG$12=0,0,HLOOKUP(C59,Daten!$ER$4:$FL$22,19,FALSE))</f>
        <v>1258.4850440099997</v>
      </c>
      <c r="L59" s="53"/>
      <c r="M59" s="2472">
        <f t="shared" ca="1" si="1"/>
        <v>939.53997293333305</v>
      </c>
    </row>
    <row r="60" spans="2:13" ht="21.45" hidden="1" customHeight="1">
      <c r="B60" s="62"/>
      <c r="C60" s="54">
        <f>Kostenrechnung!F282</f>
        <v>0</v>
      </c>
      <c r="D60" s="2473" t="e">
        <f ca="1">HLOOKUP(C60,Daten!$CX$4:$DS$5,2,FALSE)</f>
        <v>#N/A</v>
      </c>
      <c r="E60" s="56" t="e">
        <f ca="1">IF(Daten!DN$12=0,0,HLOOKUP(C60,Daten!$CX$4:$DS$22,19,FALSE))</f>
        <v>#N/A</v>
      </c>
      <c r="F60" s="57"/>
      <c r="G60" s="63" t="e">
        <f ca="1">HLOOKUP(C60,Daten!$DU$4:$EP$5,2,FALSE)</f>
        <v>#N/A</v>
      </c>
      <c r="H60" s="63" t="e">
        <f ca="1">IF(Daten!EK$12=0,0,HLOOKUP(C60,Daten!$DU$4:$EP$22,19,FALSE))</f>
        <v>#N/A</v>
      </c>
      <c r="I60" s="56"/>
      <c r="J60" s="56" t="e">
        <f ca="1">HLOOKUP(C60,Daten!$ER$4:$FM$5,2,FALSE)</f>
        <v>#N/A</v>
      </c>
      <c r="K60" s="2474" t="e">
        <f ca="1">IF(Daten!FH$12=0,0,HLOOKUP(C60,Daten!$ER$4:$FL$22,19,FALSE))</f>
        <v>#N/A</v>
      </c>
      <c r="L60" s="53"/>
      <c r="M60" s="2472" t="e">
        <f t="shared" ca="1" si="1"/>
        <v>#N/A</v>
      </c>
    </row>
    <row r="61" spans="2:13" ht="21.45" hidden="1" customHeight="1">
      <c r="B61" s="62"/>
      <c r="C61" s="54">
        <f>Kostenrechnung!F283</f>
        <v>0</v>
      </c>
      <c r="D61" s="2473" t="e">
        <f ca="1">HLOOKUP(C61,Daten!$CX$4:$DS$5,2,FALSE)</f>
        <v>#N/A</v>
      </c>
      <c r="E61" s="56" t="e">
        <f ca="1">IF(Daten!DO$12=0,0,HLOOKUP(C61,Daten!$CX$4:$DS$22,19,FALSE))</f>
        <v>#N/A</v>
      </c>
      <c r="F61" s="56"/>
      <c r="G61" s="63" t="e">
        <f ca="1">HLOOKUP(C61,Daten!$DU$4:$EP$5,2,FALSE)</f>
        <v>#N/A</v>
      </c>
      <c r="H61" s="63" t="e">
        <f ca="1">IF(Daten!EL$12=0,0,HLOOKUP(C61,Daten!$DU$4:$EP$22,19,FALSE))</f>
        <v>#N/A</v>
      </c>
      <c r="I61" s="63"/>
      <c r="J61" s="56" t="e">
        <f ca="1">HLOOKUP(C61,Daten!$ER$4:$FM$5,2,FALSE)</f>
        <v>#N/A</v>
      </c>
      <c r="K61" s="2474" t="e">
        <f ca="1">IF(Daten!FI$12=0,0,HLOOKUP(C61,Daten!$ER$4:$FL$22,19,FALSE))</f>
        <v>#N/A</v>
      </c>
      <c r="L61" s="53"/>
      <c r="M61" s="2472" t="e">
        <f t="shared" ca="1" si="1"/>
        <v>#N/A</v>
      </c>
    </row>
    <row r="62" spans="2:13" ht="21.45" hidden="1" customHeight="1">
      <c r="B62" s="62"/>
      <c r="C62" s="54">
        <f>Kostenrechnung!F284</f>
        <v>0</v>
      </c>
      <c r="D62" s="2473" t="e">
        <f ca="1">HLOOKUP(C62,Daten!$CX$4:$DS$5,2,FALSE)</f>
        <v>#N/A</v>
      </c>
      <c r="E62" s="56" t="e">
        <f ca="1">IF(Daten!DP$12=0,0,HLOOKUP(C62,Daten!$CX$4:$DS$22,19,FALSE))</f>
        <v>#N/A</v>
      </c>
      <c r="F62" s="57"/>
      <c r="G62" s="63" t="e">
        <f ca="1">HLOOKUP(C62,Daten!$DU$4:$EP$5,2,FALSE)</f>
        <v>#N/A</v>
      </c>
      <c r="H62" s="63" t="e">
        <f ca="1">IF(Daten!EM$12=0,0,HLOOKUP(C62,Daten!$DU$4:$EP$22,19,FALSE))</f>
        <v>#N/A</v>
      </c>
      <c r="I62" s="56"/>
      <c r="J62" s="56" t="e">
        <f ca="1">HLOOKUP(C62,Daten!$ER$4:$FM$5,2,FALSE)</f>
        <v>#N/A</v>
      </c>
      <c r="K62" s="2474" t="e">
        <f ca="1">IF(Daten!FJ$12=0,0,HLOOKUP(C62,Daten!$ER$4:$FL$22,19,FALSE))</f>
        <v>#N/A</v>
      </c>
      <c r="L62" s="53"/>
      <c r="M62" s="2472" t="e">
        <f t="shared" ca="1" si="1"/>
        <v>#N/A</v>
      </c>
    </row>
    <row r="63" spans="2:13" ht="21.45" hidden="1" customHeight="1">
      <c r="B63" s="62"/>
      <c r="C63" s="54" t="str">
        <f>Kostenrechnung!F286</f>
        <v>FAKT-Begrünung</v>
      </c>
      <c r="D63" s="2473">
        <f ca="1">HLOOKUP(C63,Daten!$CX$4:$DS$5,2,FALSE)</f>
        <v>1</v>
      </c>
      <c r="E63" s="56">
        <f ca="1">IF(Daten!DR$12=0,0,HLOOKUP(C63,Daten!$CX$4:$DS$22,19,FALSE))</f>
        <v>-337.15924999999999</v>
      </c>
      <c r="F63" s="56"/>
      <c r="G63" s="63">
        <f ca="1">HLOOKUP(C63,Daten!$DU$4:$EP$5,2,FALSE)</f>
        <v>1</v>
      </c>
      <c r="H63" s="63">
        <f ca="1">IF(Daten!EO$12=0,0,HLOOKUP(C63,Daten!$DU$4:$EP$22,19,FALSE))</f>
        <v>-337.15924999999999</v>
      </c>
      <c r="I63" s="63"/>
      <c r="J63" s="56">
        <f ca="1">HLOOKUP(C63,Daten!$ER$4:$FM$5,2,FALSE)</f>
        <v>1</v>
      </c>
      <c r="K63" s="2474">
        <f ca="1">IF(Daten!FL$12=0,0,HLOOKUP(C63,Daten!$ER$4:$FL$22,19,FALSE))</f>
        <v>-337.15924999999999</v>
      </c>
      <c r="L63" s="53"/>
      <c r="M63" s="2472">
        <f t="shared" ca="1" si="1"/>
        <v>-337.15924999999999</v>
      </c>
    </row>
    <row r="64" spans="2:13" ht="21.45" hidden="1" customHeight="1">
      <c r="B64" s="62"/>
      <c r="C64" s="54" t="str">
        <f>Kostenrechnung!F287</f>
        <v xml:space="preserve">FAKT-Blühmischung </v>
      </c>
      <c r="D64" s="2473">
        <f ca="1">HLOOKUP(C64,Daten!$CX$4:$DS$5,2,FALSE)</f>
        <v>1</v>
      </c>
      <c r="E64" s="56">
        <f ca="1">IF(Daten!DS$12=0,0,HLOOKUP(C64,Daten!$CX$4:$DS$22,19,FALSE))</f>
        <v>-475.30214178999995</v>
      </c>
      <c r="F64" s="56"/>
      <c r="G64" s="63">
        <f ca="1">HLOOKUP(C64,Daten!$DU$4:$EP$5,2,FALSE)</f>
        <v>1</v>
      </c>
      <c r="H64" s="63">
        <f ca="1">IF(Daten!EP$12=0,0,HLOOKUP(C64,Daten!$DU$4:$EP$22,19,FALSE))</f>
        <v>-475.30214178999995</v>
      </c>
      <c r="I64" s="63"/>
      <c r="J64" s="56">
        <f ca="1">HLOOKUP(C64,Daten!$ER$4:$FM$5,2,FALSE)</f>
        <v>1</v>
      </c>
      <c r="K64" s="2474">
        <f ca="1">IF(Daten!FM$12=0,0,HLOOKUP(C64,Daten!$ER$4:$FM$22,19,FALSE))</f>
        <v>-475.30214178999995</v>
      </c>
      <c r="L64" s="53"/>
      <c r="M64" s="2472">
        <f t="shared" ca="1" si="1"/>
        <v>-475.30214178999995</v>
      </c>
    </row>
    <row r="65" spans="3:13" ht="13.8">
      <c r="C65" s="54"/>
      <c r="L65" s="53"/>
      <c r="M65" s="3509"/>
    </row>
    <row r="66" spans="3:13" ht="13.8">
      <c r="C66" s="54"/>
      <c r="L66" s="53"/>
      <c r="M66" s="3509"/>
    </row>
    <row r="67" spans="3:13" ht="13.8">
      <c r="C67" s="2900"/>
      <c r="L67" s="53"/>
      <c r="M67" s="3509"/>
    </row>
    <row r="68" spans="3:13" ht="13.8">
      <c r="C68" s="54"/>
      <c r="L68" s="53"/>
      <c r="M68" s="3510"/>
    </row>
    <row r="69" spans="3:13" ht="13.8">
      <c r="C69" s="54"/>
      <c r="L69" s="53"/>
      <c r="M69" s="3510"/>
    </row>
    <row r="70" spans="3:13" ht="13.8">
      <c r="C70" s="54"/>
      <c r="L70" s="53"/>
      <c r="M70" s="3511"/>
    </row>
    <row r="71" spans="3:13" ht="13.8">
      <c r="C71" s="54"/>
      <c r="L71" s="53"/>
      <c r="M71" s="3511"/>
    </row>
    <row r="72" spans="3:13" ht="13.8">
      <c r="C72" s="54"/>
      <c r="L72" s="53"/>
      <c r="M72" s="3511"/>
    </row>
    <row r="73" spans="3:13" ht="13.8">
      <c r="C73" s="54"/>
      <c r="L73" s="53"/>
    </row>
    <row r="74" spans="3:13" ht="13.8">
      <c r="C74" s="54"/>
      <c r="L74" s="53"/>
    </row>
    <row r="75" spans="3:13" ht="13.8">
      <c r="C75" s="54"/>
      <c r="L75" s="53"/>
    </row>
    <row r="76" spans="3:13" ht="13.8">
      <c r="C76" s="54"/>
      <c r="L76" s="53"/>
    </row>
    <row r="77" spans="3:13" ht="13.8">
      <c r="C77" s="54"/>
      <c r="L77" s="53"/>
    </row>
    <row r="78" spans="3:13" ht="13.8">
      <c r="C78" s="54"/>
      <c r="L78" s="53"/>
    </row>
    <row r="79" spans="3:13" ht="13.8">
      <c r="C79" s="54"/>
      <c r="L79" s="53"/>
    </row>
    <row r="80" spans="3:13" ht="13.8">
      <c r="C80" s="54"/>
      <c r="L80" s="53"/>
    </row>
    <row r="81" spans="3:12" ht="13.8">
      <c r="C81" s="54"/>
      <c r="L81" s="53"/>
    </row>
    <row r="82" spans="3:12" ht="13.8">
      <c r="C82" s="54"/>
      <c r="L82" s="53"/>
    </row>
    <row r="83" spans="3:12" ht="13.8">
      <c r="C83" s="54"/>
      <c r="L83" s="53"/>
    </row>
    <row r="84" spans="3:12" ht="13.8">
      <c r="C84" s="54"/>
      <c r="L84" s="53"/>
    </row>
    <row r="85" spans="3:12" ht="13.8">
      <c r="C85" s="54"/>
      <c r="L85" s="53"/>
    </row>
    <row r="86" spans="3:12" ht="13.8">
      <c r="C86" s="54"/>
      <c r="L86" s="53"/>
    </row>
    <row r="87" spans="3:12" ht="13.8">
      <c r="C87" s="54"/>
      <c r="L87" s="53"/>
    </row>
    <row r="88" spans="3:12" ht="13.8">
      <c r="C88" s="54"/>
      <c r="L88" s="53"/>
    </row>
    <row r="89" spans="3:12" ht="13.8">
      <c r="C89" s="54"/>
      <c r="L89" s="53"/>
    </row>
    <row r="90" spans="3:12" ht="13.8">
      <c r="C90" s="54"/>
      <c r="L90" s="53"/>
    </row>
    <row r="91" spans="3:12" ht="13.8">
      <c r="C91" s="54"/>
      <c r="L91" s="53"/>
    </row>
    <row r="92" spans="3:12" ht="13.8">
      <c r="C92" s="54"/>
      <c r="L92" s="53"/>
    </row>
    <row r="93" spans="3:12" ht="13.8">
      <c r="C93" s="54"/>
      <c r="L93" s="53"/>
    </row>
    <row r="94" spans="3:12" ht="13.8">
      <c r="C94" s="54"/>
      <c r="L94" s="53"/>
    </row>
    <row r="95" spans="3:12" ht="13.8">
      <c r="C95" s="54"/>
      <c r="L95" s="53"/>
    </row>
    <row r="96" spans="3:12" ht="13.8">
      <c r="C96" s="54"/>
      <c r="L96" s="53"/>
    </row>
    <row r="97" spans="3:12" ht="13.8">
      <c r="C97" s="54"/>
      <c r="L97" s="53"/>
    </row>
    <row r="98" spans="3:12" ht="13.8">
      <c r="C98" s="54"/>
      <c r="L98" s="53"/>
    </row>
    <row r="99" spans="3:12" ht="13.8">
      <c r="C99" s="54"/>
      <c r="L99" s="53"/>
    </row>
    <row r="100" spans="3:12" ht="13.8">
      <c r="C100" s="54"/>
      <c r="L100" s="53"/>
    </row>
    <row r="101" spans="3:12" ht="13.8">
      <c r="C101" s="54"/>
      <c r="L101" s="53"/>
    </row>
    <row r="102" spans="3:12" ht="13.8">
      <c r="C102" s="54"/>
      <c r="L102" s="53"/>
    </row>
    <row r="103" spans="3:12" ht="13.8">
      <c r="C103" s="54"/>
      <c r="L103" s="53"/>
    </row>
    <row r="104" spans="3:12" ht="13.8">
      <c r="C104" s="54"/>
      <c r="L104" s="53"/>
    </row>
    <row r="105" spans="3:12" ht="13.8">
      <c r="C105" s="54"/>
      <c r="L105" s="53"/>
    </row>
    <row r="106" spans="3:12" ht="13.8">
      <c r="C106" s="54"/>
      <c r="L106" s="53"/>
    </row>
    <row r="107" spans="3:12" ht="13.8">
      <c r="C107" s="54"/>
      <c r="L107" s="53"/>
    </row>
    <row r="108" spans="3:12" ht="13.8">
      <c r="C108" s="54"/>
      <c r="L108" s="53"/>
    </row>
    <row r="109" spans="3:12" ht="13.8">
      <c r="C109" s="54"/>
      <c r="L109" s="53"/>
    </row>
    <row r="110" spans="3:12" ht="13.8">
      <c r="C110" s="54"/>
      <c r="L110" s="53"/>
    </row>
    <row r="111" spans="3:12" ht="13.8">
      <c r="C111" s="54"/>
      <c r="L111" s="53"/>
    </row>
    <row r="112" spans="3:12" ht="13.8">
      <c r="C112" s="54"/>
      <c r="L112" s="53"/>
    </row>
    <row r="113" spans="3:12" ht="13.8">
      <c r="C113" s="54"/>
      <c r="L113" s="53"/>
    </row>
    <row r="114" spans="3:12" ht="13.8">
      <c r="C114" s="54"/>
      <c r="L114" s="53"/>
    </row>
    <row r="115" spans="3:12" ht="13.8">
      <c r="C115" s="54"/>
      <c r="L115" s="53"/>
    </row>
    <row r="116" spans="3:12" ht="13.8">
      <c r="C116" s="54"/>
      <c r="L116" s="53"/>
    </row>
    <row r="117" spans="3:12" ht="13.8">
      <c r="C117" s="54"/>
      <c r="L117" s="53"/>
    </row>
    <row r="118" spans="3:12" ht="13.8">
      <c r="C118" s="54"/>
      <c r="L118" s="53"/>
    </row>
    <row r="119" spans="3:12" ht="13.8">
      <c r="C119" s="54"/>
      <c r="L119" s="53"/>
    </row>
    <row r="120" spans="3:12" ht="13.8">
      <c r="C120" s="54"/>
      <c r="L120" s="53"/>
    </row>
    <row r="121" spans="3:12" ht="13.8">
      <c r="C121" s="54"/>
      <c r="L121" s="53"/>
    </row>
    <row r="122" spans="3:12" ht="13.8">
      <c r="C122" s="54"/>
      <c r="L122" s="53"/>
    </row>
    <row r="123" spans="3:12" ht="13.8">
      <c r="C123" s="54"/>
      <c r="L123" s="53"/>
    </row>
    <row r="124" spans="3:12" ht="13.8">
      <c r="C124" s="54"/>
      <c r="L124" s="53"/>
    </row>
    <row r="125" spans="3:12" ht="13.8">
      <c r="C125" s="54"/>
      <c r="L125" s="53"/>
    </row>
    <row r="126" spans="3:12" ht="13.8">
      <c r="C126" s="54"/>
      <c r="L126" s="53"/>
    </row>
    <row r="127" spans="3:12" ht="13.8">
      <c r="C127" s="54"/>
      <c r="L127" s="53"/>
    </row>
    <row r="128" spans="3:12" ht="13.8">
      <c r="C128" s="54"/>
      <c r="L128" s="53"/>
    </row>
    <row r="129" spans="3:12" ht="13.8">
      <c r="C129" s="54"/>
      <c r="L129" s="53"/>
    </row>
    <row r="130" spans="3:12" ht="13.8">
      <c r="C130" s="54"/>
      <c r="L130" s="53"/>
    </row>
  </sheetData>
  <sheetProtection sheet="1" objects="1" scenarios="1"/>
  <autoFilter ref="B12:B64" xr:uid="{00000000-0009-0000-0000-000002000000}">
    <filterColumn colId="0">
      <customFilters>
        <customFilter operator="notEqual" val=" "/>
      </customFilters>
    </filterColumn>
  </autoFilter>
  <customSheetViews>
    <customSheetView guid="{8063F48F-80B5-4ECD-B18A-51CBF126E780}" fitToPage="1" filter="1" showAutoFilter="1" hiddenColumns="1">
      <selection activeCell="AL26" sqref="AL26"/>
      <pageMargins left="0.59055118110236227" right="0.59055118110236227" top="0.59055118110236227" bottom="0.59055118110236227" header="0.39370078740157483" footer="0.39370078740157483"/>
      <printOptions horizontalCentered="1"/>
      <pageSetup paperSize="9" scale="89" firstPageNumber="84" fitToHeight="0" orientation="portrait" r:id="rId1"/>
      <headerFooter alignWithMargins="0">
        <oddFooter>&amp;L&amp;11LEL Schwäbisch Gmünd&amp;C&amp;P&amp;R&amp;11&amp;F</oddFooter>
      </headerFooter>
      <autoFilter ref="B12:B64" xr:uid="{C5029276-E6AE-4C43-82D4-852F55828AA6}">
        <filterColumn colId="0">
          <customFilters>
            <customFilter operator="notEqual" val=" "/>
          </customFilters>
        </filterColumn>
      </autoFilter>
    </customSheetView>
    <customSheetView guid="{5D5C9B61-9ABD-4513-AAEB-8333A9D6196C}" fitToPage="1" filter="1" showAutoFilter="1" hiddenColumns="1">
      <selection activeCell="AL26" sqref="AL26"/>
      <pageMargins left="0.59055118110236227" right="0.59055118110236227" top="0.59055118110236227" bottom="0.59055118110236227" header="0.39370078740157483" footer="0.39370078740157483"/>
      <printOptions horizontalCentered="1"/>
      <pageSetup paperSize="9" scale="89" firstPageNumber="84" fitToHeight="0" orientation="portrait" r:id="rId2"/>
      <headerFooter alignWithMargins="0">
        <oddFooter>&amp;L&amp;11LEL Schwäbisch Gmünd&amp;C&amp;P&amp;R&amp;11&amp;F</oddFooter>
      </headerFooter>
      <autoFilter ref="B12:B64" xr:uid="{B994BC1B-3B91-420D-8AFD-60257A1DB17E}">
        <filterColumn colId="0">
          <customFilters>
            <customFilter operator="notEqual" val=" "/>
          </customFilters>
        </filterColumn>
      </autoFilter>
    </customSheetView>
    <customSheetView guid="{22A73C4F-9004-4CEF-8499-B1F91BE1B569}" fitToPage="1" filter="1" showAutoFilter="1" hiddenColumns="1">
      <selection activeCell="AL26" sqref="AL26"/>
      <pageMargins left="0.59055118110236227" right="0.59055118110236227" top="0.59055118110236227" bottom="0.59055118110236227" header="0.39370078740157483" footer="0.39370078740157483"/>
      <printOptions horizontalCentered="1"/>
      <pageSetup paperSize="9" scale="89" firstPageNumber="84" fitToHeight="0" orientation="portrait" r:id="rId3"/>
      <headerFooter alignWithMargins="0">
        <oddFooter>&amp;L&amp;11LEL Schwäbisch Gmünd&amp;C&amp;P&amp;R&amp;11&amp;F</oddFooter>
      </headerFooter>
      <autoFilter ref="B12:B64" xr:uid="{75AEAE3E-FA0A-4875-95AA-E125E12C013A}">
        <filterColumn colId="0">
          <customFilters>
            <customFilter operator="notEqual" val=" "/>
          </customFilters>
        </filterColumn>
      </autoFilter>
    </customSheetView>
  </customSheetViews>
  <printOptions horizontalCentered="1"/>
  <pageMargins left="0.59055118110236227" right="0.59055118110236227" top="0.59055118110236227" bottom="0.59055118110236227" header="0.39370078740157483" footer="0.39370078740157483"/>
  <pageSetup paperSize="9" scale="89" firstPageNumber="84" fitToHeight="0" orientation="portrait" r:id="rId4"/>
  <headerFooter alignWithMargins="0">
    <oddFooter>&amp;L&amp;11LEL Schwäbisch Gmünd&amp;C&amp;P&amp;R&amp;11&amp;F</oddFooter>
  </headerFooter>
  <ignoredErrors>
    <ignoredError sqref="E28 H28 M28 K29 E33 H33 K33 M33 E36 H36 K36 M36 E39 H39 K39 M39 D52:E52 G52:H52 J52:K52 M52 D60:E60 G60:H60 J60:K60 M60:M62 D61:E61 G61:H61 J61:K61 D62:E62 G62:H62 J62:K62" evalError="1"/>
    <ignoredError sqref="M1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rgb="FFFF0000"/>
    <pageSetUpPr fitToPage="1"/>
  </sheetPr>
  <dimension ref="B1:R8"/>
  <sheetViews>
    <sheetView workbookViewId="0">
      <selection activeCell="E5" sqref="E5:H5"/>
    </sheetView>
  </sheetViews>
  <sheetFormatPr baseColWidth="10" defaultColWidth="11.19921875" defaultRowHeight="13.2"/>
  <cols>
    <col min="1" max="1" width="3.59765625" style="29" customWidth="1"/>
    <col min="2" max="10" width="11.19921875" style="29"/>
    <col min="11" max="11" width="10.5" style="29" customWidth="1"/>
    <col min="12" max="12" width="9.8984375" style="29" customWidth="1"/>
    <col min="13" max="14" width="11.19921875" style="29"/>
    <col min="15" max="15" width="15.8984375" style="29" customWidth="1"/>
    <col min="16" max="16" width="10.19921875" style="29" customWidth="1"/>
    <col min="17" max="17" width="1.5" style="29" customWidth="1"/>
    <col min="18" max="21" width="10.19921875" style="29" customWidth="1"/>
    <col min="22" max="16384" width="11.19921875" style="29"/>
  </cols>
  <sheetData>
    <row r="1" spans="2:18">
      <c r="O1" s="3624">
        <f>VLOOKUP(E5,O2:Q5,3,FALSE)</f>
        <v>2</v>
      </c>
      <c r="P1" s="3442"/>
      <c r="Q1" s="3442"/>
      <c r="R1" s="3442"/>
    </row>
    <row r="2" spans="2:18" ht="27" customHeight="1">
      <c r="B2" s="99" t="s">
        <v>182</v>
      </c>
      <c r="I2" s="99" t="str">
        <f>'SDK1'!O8</f>
        <v>ohne MwSt.</v>
      </c>
      <c r="L2" s="98" t="s">
        <v>176</v>
      </c>
      <c r="M2" s="96"/>
      <c r="O2" s="3441" t="s">
        <v>181</v>
      </c>
      <c r="P2" s="3441"/>
      <c r="Q2" s="3441">
        <v>1</v>
      </c>
      <c r="R2" s="3442"/>
    </row>
    <row r="3" spans="2:18" ht="19.5" customHeight="1">
      <c r="C3" s="3864" t="s">
        <v>180</v>
      </c>
      <c r="D3" s="3864"/>
      <c r="E3" s="3864"/>
      <c r="F3" s="3864"/>
      <c r="G3" s="3864"/>
      <c r="H3" s="3864"/>
      <c r="I3" s="3864"/>
      <c r="J3" s="3864"/>
      <c r="K3" s="3864"/>
      <c r="L3" s="97">
        <f>'SDK1'!O3</f>
        <v>2024</v>
      </c>
      <c r="M3" s="96"/>
      <c r="O3" s="3441" t="s">
        <v>177</v>
      </c>
      <c r="P3" s="3441"/>
      <c r="Q3" s="3441">
        <v>2</v>
      </c>
      <c r="R3" s="3442"/>
    </row>
    <row r="4" spans="2:18" ht="8.1" customHeight="1">
      <c r="M4" s="96"/>
      <c r="O4" s="3441" t="s">
        <v>179</v>
      </c>
      <c r="P4" s="3441"/>
      <c r="Q4" s="3441">
        <v>3</v>
      </c>
      <c r="R4" s="3442"/>
    </row>
    <row r="5" spans="2:18" ht="34.5" customHeight="1">
      <c r="B5" s="3865" t="s">
        <v>178</v>
      </c>
      <c r="C5" s="3865"/>
      <c r="D5" s="3865"/>
      <c r="E5" s="3863" t="s">
        <v>177</v>
      </c>
      <c r="F5" s="3863"/>
      <c r="G5" s="3863"/>
      <c r="H5" s="3863"/>
      <c r="I5" s="94"/>
      <c r="J5" s="93"/>
      <c r="K5" s="92"/>
      <c r="O5" s="3441"/>
      <c r="P5" s="3441"/>
      <c r="Q5" s="3441">
        <v>4</v>
      </c>
      <c r="R5" s="3442"/>
    </row>
    <row r="6" spans="2:18" ht="13.2" customHeight="1">
      <c r="O6" s="3442"/>
      <c r="P6" s="3442"/>
      <c r="Q6" s="3442"/>
      <c r="R6" s="3442"/>
    </row>
    <row r="7" spans="2:18">
      <c r="O7" s="3442"/>
      <c r="P7" s="3442"/>
      <c r="Q7" s="3442"/>
      <c r="R7" s="3442"/>
    </row>
    <row r="8" spans="2:18">
      <c r="O8" s="3442"/>
      <c r="P8" s="3442"/>
      <c r="Q8" s="3442"/>
      <c r="R8" s="3442"/>
    </row>
  </sheetData>
  <sheetProtection sheet="1" objects="1" scenarios="1"/>
  <customSheetViews>
    <customSheetView guid="{8063F48F-80B5-4ECD-B18A-51CBF126E780}" fitToPage="1" hiddenColumns="1">
      <selection activeCell="AL26" sqref="AL26"/>
      <pageMargins left="0.59055118110236227" right="0.59055118110236227" top="0.59055118110236227" bottom="0.59055118110236227" header="0.39370078740157483" footer="0.39370078740157483"/>
      <printOptions horizontalCentered="1"/>
      <pageSetup paperSize="9" scale="95" firstPageNumber="86" orientation="landscape" r:id="rId1"/>
      <headerFooter alignWithMargins="0">
        <oddFooter>&amp;L&amp;11LEL Schwäbisch Gmünd&amp;C&amp;P&amp;R&amp;11&amp;F</oddFooter>
      </headerFooter>
    </customSheetView>
    <customSheetView guid="{5D5C9B61-9ABD-4513-AAEB-8333A9D6196C}" fitToPage="1" hiddenColumns="1">
      <selection activeCell="AL26" sqref="AL26"/>
      <pageMargins left="0.59055118110236227" right="0.59055118110236227" top="0.59055118110236227" bottom="0.59055118110236227" header="0.39370078740157483" footer="0.39370078740157483"/>
      <printOptions horizontalCentered="1"/>
      <pageSetup paperSize="9" scale="95" firstPageNumber="86" orientation="landscape" r:id="rId2"/>
      <headerFooter alignWithMargins="0">
        <oddFooter>&amp;L&amp;11LEL Schwäbisch Gmünd&amp;C&amp;P&amp;R&amp;11&amp;F</oddFooter>
      </headerFooter>
    </customSheetView>
    <customSheetView guid="{22A73C4F-9004-4CEF-8499-B1F91BE1B569}" fitToPage="1" hiddenColumns="1">
      <selection activeCell="AL26" sqref="AL26"/>
      <pageMargins left="0.59055118110236227" right="0.59055118110236227" top="0.59055118110236227" bottom="0.59055118110236227" header="0.39370078740157483" footer="0.39370078740157483"/>
      <printOptions horizontalCentered="1"/>
      <pageSetup paperSize="9" scale="95" firstPageNumber="86" orientation="landscape" r:id="rId3"/>
      <headerFooter alignWithMargins="0">
        <oddFooter>&amp;L&amp;11LEL Schwäbisch Gmünd&amp;C&amp;P&amp;R&amp;11&amp;F</oddFooter>
      </headerFooter>
    </customSheetView>
  </customSheetViews>
  <mergeCells count="3">
    <mergeCell ref="E5:H5"/>
    <mergeCell ref="C3:K3"/>
    <mergeCell ref="B5:D5"/>
  </mergeCells>
  <dataValidations count="1">
    <dataValidation type="list" allowBlank="1" showInputMessage="1" showErrorMessage="1" errorTitle="Leistungsniveau" error="Bitte Leistungsniveau aus Dropdownliste auswählen." sqref="E5:H5" xr:uid="{00000000-0002-0000-0300-000000000000}">
      <formula1>$O$2:$O$5</formula1>
    </dataValidation>
  </dataValidations>
  <printOptions horizontalCentered="1"/>
  <pageMargins left="0.59055118110236227" right="0.59055118110236227" top="0.59055118110236227" bottom="0.59055118110236227" header="0.39370078740157483" footer="0.39370078740157483"/>
  <pageSetup paperSize="9" scale="95" firstPageNumber="86" orientation="landscape" r:id="rId4"/>
  <headerFooter alignWithMargins="0">
    <oddFooter>&amp;L&amp;11LEL Schwäbisch Gmünd&amp;C&amp;P&amp;R&amp;11&amp;F</oddFooter>
  </headerFooter>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FF0000"/>
    <pageSetUpPr fitToPage="1"/>
  </sheetPr>
  <dimension ref="A1:L58"/>
  <sheetViews>
    <sheetView topLeftCell="A2" workbookViewId="0">
      <selection activeCell="I25" sqref="I25"/>
    </sheetView>
  </sheetViews>
  <sheetFormatPr baseColWidth="10" defaultColWidth="10.5" defaultRowHeight="13.2"/>
  <cols>
    <col min="1" max="1" width="1" style="100" customWidth="1"/>
    <col min="2" max="2" width="21.8984375" style="100" customWidth="1"/>
    <col min="3" max="3" width="4.19921875" style="101" customWidth="1"/>
    <col min="4" max="4" width="11.59765625" style="100" customWidth="1"/>
    <col min="5" max="5" width="10.59765625" style="100" customWidth="1"/>
    <col min="6" max="6" width="11.3984375" style="100" customWidth="1"/>
    <col min="7" max="7" width="13" style="100" customWidth="1"/>
    <col min="8" max="9" width="10.8984375" style="100" customWidth="1"/>
    <col min="10" max="10" width="10.69921875" style="100" customWidth="1"/>
    <col min="11" max="11" width="7.69921875" style="100" customWidth="1"/>
    <col min="12" max="12" width="0" style="100" hidden="1" customWidth="1"/>
    <col min="13" max="16384" width="10.5" style="100"/>
  </cols>
  <sheetData>
    <row r="1" spans="1:12" hidden="1">
      <c r="A1" s="3867">
        <f>IF(J7=100,0,   "Flächenanteile ergeben nicht 100% !")</f>
        <v>0</v>
      </c>
      <c r="B1" s="3867"/>
      <c r="D1" s="104">
        <f t="shared" ref="D1:I1" si="0">VLOOKUP(D6,$D$27:$F$58,3,FALSE)</f>
        <v>17</v>
      </c>
      <c r="E1" s="104">
        <f t="shared" si="0"/>
        <v>3</v>
      </c>
      <c r="F1" s="104">
        <f t="shared" si="0"/>
        <v>12</v>
      </c>
      <c r="G1" s="104">
        <f t="shared" si="0"/>
        <v>2</v>
      </c>
      <c r="H1" s="104">
        <f t="shared" si="0"/>
        <v>15</v>
      </c>
      <c r="I1" s="104">
        <f t="shared" si="0"/>
        <v>32</v>
      </c>
      <c r="J1" s="104"/>
      <c r="K1" s="104"/>
    </row>
    <row r="2" spans="1:12" ht="21.45" customHeight="1">
      <c r="B2" s="166" t="str">
        <f>"Deckungsbeitrag je ha Ackerfläche " &amp; 'SDK1'!O8</f>
        <v>Deckungsbeitrag je ha Ackerfläche ohne MwSt.</v>
      </c>
      <c r="D2" s="163"/>
      <c r="E2" s="163"/>
      <c r="F2" s="165"/>
      <c r="G2" s="163"/>
      <c r="H2" s="104" t="str">
        <f>'SDK1'!O8</f>
        <v>ohne MwSt.</v>
      </c>
      <c r="I2" s="104"/>
      <c r="J2" s="162" t="s">
        <v>176</v>
      </c>
      <c r="K2" s="162"/>
    </row>
    <row r="3" spans="1:12" ht="15.75" customHeight="1">
      <c r="B3" s="164"/>
      <c r="D3" s="104"/>
      <c r="E3" s="104"/>
      <c r="F3" s="104"/>
      <c r="G3" s="104"/>
      <c r="H3" s="104"/>
      <c r="I3" s="104"/>
    </row>
    <row r="4" spans="1:12" ht="21.45" customHeight="1">
      <c r="B4" s="3866" t="s">
        <v>204</v>
      </c>
      <c r="C4" s="3866"/>
      <c r="D4" s="163">
        <f>VLOOKUP(B4,G27:J30,4,FALSE)</f>
        <v>3</v>
      </c>
      <c r="E4" s="163"/>
      <c r="F4" s="163"/>
      <c r="G4" s="163"/>
      <c r="H4" s="104"/>
      <c r="I4" s="104"/>
      <c r="J4" s="162">
        <f>'SDK1'!O3</f>
        <v>2024</v>
      </c>
      <c r="K4" s="162"/>
    </row>
    <row r="5" spans="1:12" ht="30" customHeight="1">
      <c r="B5" s="29"/>
      <c r="C5" s="29"/>
      <c r="D5" s="161">
        <f t="shared" ref="D5:I5" si="1">$D$4*100+D1</f>
        <v>317</v>
      </c>
      <c r="E5" s="161">
        <f t="shared" si="1"/>
        <v>303</v>
      </c>
      <c r="F5" s="161">
        <f t="shared" si="1"/>
        <v>312</v>
      </c>
      <c r="G5" s="161">
        <f t="shared" si="1"/>
        <v>302</v>
      </c>
      <c r="H5" s="161">
        <f t="shared" si="1"/>
        <v>315</v>
      </c>
      <c r="I5" s="161">
        <f t="shared" si="1"/>
        <v>332</v>
      </c>
      <c r="J5" s="29"/>
    </row>
    <row r="6" spans="1:12" ht="48.45" customHeight="1">
      <c r="B6" s="160"/>
      <c r="C6" s="159" t="s">
        <v>224</v>
      </c>
      <c r="D6" s="2495" t="s">
        <v>63</v>
      </c>
      <c r="E6" s="2495" t="s">
        <v>95</v>
      </c>
      <c r="F6" s="2495" t="s">
        <v>76</v>
      </c>
      <c r="G6" s="2495" t="s">
        <v>97</v>
      </c>
      <c r="H6" s="2496" t="s">
        <v>197</v>
      </c>
      <c r="I6" s="158" t="s">
        <v>183</v>
      </c>
      <c r="J6" s="157" t="s">
        <v>223</v>
      </c>
      <c r="K6" s="156"/>
      <c r="L6" s="2384" t="str">
        <f>J6</f>
        <v xml:space="preserve">Ø DB je ha AF </v>
      </c>
    </row>
    <row r="7" spans="1:12" ht="18.75" customHeight="1">
      <c r="B7" s="155" t="s">
        <v>222</v>
      </c>
      <c r="C7" s="154" t="s">
        <v>112</v>
      </c>
      <c r="D7" s="153">
        <v>10</v>
      </c>
      <c r="E7" s="153">
        <v>40</v>
      </c>
      <c r="F7" s="153">
        <v>10</v>
      </c>
      <c r="G7" s="153">
        <v>10</v>
      </c>
      <c r="H7" s="152">
        <v>30</v>
      </c>
      <c r="I7" s="151">
        <v>20</v>
      </c>
      <c r="J7" s="150">
        <f>SUM($D$7:$H$7)</f>
        <v>100</v>
      </c>
      <c r="L7" s="2389">
        <v>100</v>
      </c>
    </row>
    <row r="8" spans="1:12" ht="21.6" customHeight="1">
      <c r="B8" s="140" t="s">
        <v>221</v>
      </c>
      <c r="C8" s="126" t="s">
        <v>164</v>
      </c>
      <c r="D8" s="125">
        <f>IF(ISERROR(IF(D5&lt;200,0,HLOOKUP(D5,Daten!$D$1:$CT$6,6,FALSE))),"",IF(D5&lt;200,0,HLOOKUP(D5,Daten!$D$1:$CT$6,6,FALSE)))</f>
        <v>40</v>
      </c>
      <c r="E8" s="125">
        <f>IF(ISERROR(IF(E5&lt;200,0,HLOOKUP(E5,Daten!$D$1:$CT$6,6,FALSE))),"",IF(E5&lt;200,0,HLOOKUP(E5,Daten!$D$1:$CT$6,6,FALSE)))</f>
        <v>75</v>
      </c>
      <c r="F8" s="125">
        <f>IF(ISERROR(IF(F5&lt;200,0,HLOOKUP(F5,Daten!$D$1:$CT$6,6,FALSE))),"",IF(F5&lt;200,0,HLOOKUP(F5,Daten!$D$1:$CT$6,6,FALSE)))</f>
        <v>49</v>
      </c>
      <c r="G8" s="125">
        <f>IF(ISERROR(IF(G5&lt;200,0,HLOOKUP(G5,Daten!$D$1:$CT$6,6,FALSE))),"",IF(G5&lt;200,0,HLOOKUP(G5,Daten!$D$1:$CT$6,6,FALSE)))</f>
        <v>75</v>
      </c>
      <c r="H8" s="123">
        <f>IF(ISERROR(IF(H5&lt;200,0,HLOOKUP(H5,Daten!$D$1:$CT$6,6,FALSE))),"",IF(H5&lt;200,0,HLOOKUP(H5,Daten!$D$1:$CT$6,6,FALSE)))</f>
        <v>98</v>
      </c>
      <c r="I8" s="139"/>
      <c r="J8" s="138"/>
      <c r="K8" s="137"/>
      <c r="L8" s="2387"/>
    </row>
    <row r="9" spans="1:12" ht="19.95" customHeight="1">
      <c r="B9" s="140" t="str">
        <f>IF('SDK1'!O9&gt;0," Preis (inkl. MwSt.)","Preis (ohne. MwSt.)")</f>
        <v>Preis (ohne. MwSt.)</v>
      </c>
      <c r="C9" s="126" t="s">
        <v>220</v>
      </c>
      <c r="D9" s="149">
        <f>IF(ISERROR(IF(D5&lt;200,0,HLOOKUP(D5,Daten!$D$1:$CT$7,7,FALSE))),"",IF(D5&lt;200,0,HLOOKUP(D5,Daten!$D$1:$CT$7,7,FALSE)))</f>
        <v>41.5</v>
      </c>
      <c r="E9" s="149">
        <f>IF(ISERROR(IF(E5&lt;200,0,HLOOKUP(E5,Daten!$D$1:$CT$7,7,FALSE))),"",IF(E5&lt;200,0,HLOOKUP(E5,Daten!$D$1:$CT$7,7,FALSE)))</f>
        <v>18</v>
      </c>
      <c r="F9" s="149">
        <f>IF(ISERROR(IF(F5&lt;200,0,HLOOKUP(F5,Daten!$D$1:$CT$7,7,FALSE))),"",IF(F5&lt;200,0,HLOOKUP(F5,Daten!$D$1:$CT$7,7,FALSE)))</f>
        <v>25.5</v>
      </c>
      <c r="G9" s="149">
        <f>IF(ISERROR(IF(G5&lt;200,0,HLOOKUP(G5,Daten!$D$1:$CT$7,7,FALSE))),"",IF(G5&lt;200,0,HLOOKUP(G5,Daten!$D$1:$CT$7,7,FALSE)))</f>
        <v>16.5</v>
      </c>
      <c r="H9" s="148">
        <f>IF(ISERROR(IF(H5&lt;200,0,HLOOKUP(H5,Daten!$D$1:$CT$7,7,FALSE))),"",IF(H5&lt;200,0,HLOOKUP(H5,Daten!$D$1:$CT$7,7,FALSE)))</f>
        <v>18.7</v>
      </c>
      <c r="I9" s="147">
        <f>IF(I7=0,0,IF(ISERROR(IF(I5&lt;200,0,HLOOKUP(I5,Daten!$D$1:$CT$7,7,FALSE))),"",IF(I5&lt;200,0,HLOOKUP(I5,Daten!$D$1:$CT$7,7,FALSE))))</f>
        <v>0</v>
      </c>
      <c r="J9" s="146"/>
      <c r="K9" s="145"/>
      <c r="L9" s="2387"/>
    </row>
    <row r="10" spans="1:12" ht="19.95" customHeight="1">
      <c r="B10" s="140" t="s">
        <v>219</v>
      </c>
      <c r="C10" s="126" t="s">
        <v>163</v>
      </c>
      <c r="D10" s="125">
        <f>IF(ISERROR(IF(D$5&lt;200,0,HLOOKUP(D$5,Daten!$D$1:$CT$11,8,FALSE))),"",IF(D$5&lt;200,0,HLOOKUP(D$5,Daten!$D$1:$CT$11,8,FALSE)))</f>
        <v>1660</v>
      </c>
      <c r="E10" s="125">
        <f>IF(ISERROR(IF(E$5&lt;200,0,HLOOKUP(E$5,Daten!$D$1:$CT$11,8,FALSE))),"",IF(E$5&lt;200,0,HLOOKUP(E$5,Daten!$D$1:$CT$11,8,FALSE)))</f>
        <v>1350</v>
      </c>
      <c r="F10" s="125">
        <f>IF(ISERROR(IF(F$5&lt;200,0,HLOOKUP(F$5,Daten!$D$1:$CT$11,8,FALSE))),"",IF(F$5&lt;200,0,HLOOKUP(F$5,Daten!$D$1:$CT$11,8,FALSE)))</f>
        <v>1249.5</v>
      </c>
      <c r="G10" s="125">
        <f>IF(ISERROR(IF(G$5&lt;200,0,HLOOKUP(G$5,Daten!$D$1:$CT$11,8,FALSE))),"",IF(G$5&lt;200,0,HLOOKUP(G$5,Daten!$D$1:$CT$11,8,FALSE)))</f>
        <v>1237.5</v>
      </c>
      <c r="H10" s="123">
        <f>IF(ISERROR(IF(H$5&lt;200,0,HLOOKUP(H$5,Daten!$D$1:$CT$11,8,FALSE))),"",IF(H$5&lt;200,0,HLOOKUP(H$5,Daten!$D$1:$CT$11,8,FALSE)))</f>
        <v>1832.6</v>
      </c>
      <c r="I10" s="139">
        <f>IF(I7=0,0,IF(ISERROR(IF(I$5&lt;200,0,HLOOKUP(I$5,Daten!$D$1:$CT$11,8,FALSE))),"",IF(I$5&lt;200,0,HLOOKUP(I$5,Daten!$D$1:$CT$11,8,FALSE))))</f>
        <v>0</v>
      </c>
      <c r="J10" s="146"/>
      <c r="K10" s="145"/>
      <c r="L10" s="2387"/>
    </row>
    <row r="11" spans="1:12" ht="19.95" customHeight="1">
      <c r="B11" s="140" t="s">
        <v>218</v>
      </c>
      <c r="C11" s="126" t="s">
        <v>163</v>
      </c>
      <c r="D11" s="125">
        <f>IF(ISERROR(IF(D$5&lt;200,0,HLOOKUP(D$5,Daten!$D$1:$CT$11,9,FALSE))),"",IF(D$5&lt;200,0,HLOOKUP(D$5,Daten!$D$1:$CT$11,9,FALSE)))</f>
        <v>0</v>
      </c>
      <c r="E11" s="125">
        <f>IF(ISERROR(IF(E$5&lt;200,0,HLOOKUP(E$5,Daten!$D$1:$CT$11,9,FALSE))),"",IF(E$5&lt;200,0,HLOOKUP(E$5,Daten!$D$1:$CT$11,9,FALSE)))</f>
        <v>642</v>
      </c>
      <c r="F11" s="125">
        <f>IF(ISERROR(IF(F$5&lt;200,0,HLOOKUP(F$5,Daten!$D$1:$CT$11,9,FALSE))),"",IF(F$5&lt;200,0,HLOOKUP(F$5,Daten!$D$1:$CT$11,9,FALSE)))</f>
        <v>509.15</v>
      </c>
      <c r="G11" s="125">
        <f>IF(ISERROR(IF(G$5&lt;200,0,HLOOKUP(G$5,Daten!$D$1:$CT$11,9,FALSE))),"",IF(G$5&lt;200,0,HLOOKUP(G$5,Daten!$D$1:$CT$11,9,FALSE)))</f>
        <v>642</v>
      </c>
      <c r="H11" s="123">
        <f>IF(ISERROR(IF(H$5&lt;200,0,HLOOKUP(H$5,Daten!$D$1:$CT$11,9,FALSE))),"",IF(H$5&lt;200,0,HLOOKUP(H$5,Daten!$D$1:$CT$11,9,FALSE)))</f>
        <v>0</v>
      </c>
      <c r="I11" s="139">
        <f>IF(I7=0,0,IF(ISERROR(IF(I$5&lt;200,0,HLOOKUP(I$5,Daten!$D$1:$CT$11,9,FALSE))),"",IF(I$5&lt;200,0,HLOOKUP(I$5,Daten!$D$1:$CT$11,9,FALSE))))</f>
        <v>0</v>
      </c>
      <c r="J11" s="146"/>
      <c r="K11" s="145"/>
      <c r="L11" s="2387"/>
    </row>
    <row r="12" spans="1:12" ht="19.95" customHeight="1">
      <c r="B12" s="140" t="s">
        <v>217</v>
      </c>
      <c r="C12" s="126" t="s">
        <v>163</v>
      </c>
      <c r="D12" s="125">
        <f>IF(ISERROR(IF(D$5&lt;200,0,HLOOKUP(D$5,Daten!$D$1:$CT$11,10,FALSE))),"",IF(D$5&lt;200,0,HLOOKUP(D$5,Daten!$D$1:$CT$11,10,FALSE)))</f>
        <v>0</v>
      </c>
      <c r="E12" s="125">
        <f>IF(ISERROR(IF(E$5&lt;200,0,HLOOKUP(E$5,Daten!$D$1:$CT$11,10,FALSE))),"",IF(E$5&lt;200,0,HLOOKUP(E$5,Daten!$D$1:$CT$11,10,FALSE)))</f>
        <v>0</v>
      </c>
      <c r="F12" s="125">
        <f>IF(ISERROR(IF(F$5&lt;200,0,HLOOKUP(F$5,Daten!$D$1:$CT$11,10,FALSE))),"",IF(F$5&lt;200,0,HLOOKUP(F$5,Daten!$D$1:$CT$11,10,FALSE)))</f>
        <v>0</v>
      </c>
      <c r="G12" s="125">
        <f>IF(ISERROR(IF(G$5&lt;200,0,HLOOKUP(G$5,Daten!$D$1:$CT$11,10,FALSE))),"",IF(G$5&lt;200,0,HLOOKUP(G$5,Daten!$D$1:$CT$11,10,FALSE)))</f>
        <v>0</v>
      </c>
      <c r="H12" s="123">
        <f>IF(ISERROR(IF(H$5&lt;200,0,HLOOKUP(H$5,Daten!$D$1:$CT$11,10,FALSE))),"",IF(H$5&lt;200,0,HLOOKUP(H$5,Daten!$D$1:$CT$11,10,FALSE)))</f>
        <v>0</v>
      </c>
      <c r="I12" s="139">
        <f>IF(I7=0,0,IF(ISERROR(IF(I$5&lt;200,0,HLOOKUP(I$5,Daten!$D$1:$CT$11,10,FALSE))),"",IF(I$5&lt;200,0,HLOOKUP(I$5,Daten!$D$1:$CT$11,10,FALSE))))</f>
        <v>0</v>
      </c>
      <c r="J12" s="146"/>
      <c r="K12" s="145"/>
      <c r="L12" s="2388"/>
    </row>
    <row r="13" spans="1:12" ht="19.95" customHeight="1">
      <c r="B13" s="140" t="s">
        <v>216</v>
      </c>
      <c r="C13" s="126" t="s">
        <v>163</v>
      </c>
      <c r="D13" s="125">
        <f>IF(ISERROR(IF(D$5&lt;200,0,HLOOKUP(D$5,Daten!$D$1:$CT$23,23,FALSE))),"",IF(D$5&lt;200,0,HLOOKUP(D$5,Daten!$D$1:$CT$23,23,FALSE)))</f>
        <v>177</v>
      </c>
      <c r="E13" s="125">
        <f>IF(ISERROR(IF(E$5&lt;200,0,HLOOKUP(E$5,Daten!$D$1:$CT$23,23,FALSE))),"",IF(E$5&lt;200,0,HLOOKUP(E$5,Daten!$D$1:$CT$23,23,FALSE)))</f>
        <v>177</v>
      </c>
      <c r="F13" s="125">
        <f>IF(ISERROR(IF(F$5&lt;200,0,HLOOKUP(F$5,Daten!$D$1:$CT$23,23,FALSE))),"",IF(F$5&lt;200,0,HLOOKUP(F$5,Daten!$D$1:$CT$23,23,FALSE)))</f>
        <v>177</v>
      </c>
      <c r="G13" s="125">
        <f>IF(ISERROR(IF(G$5&lt;200,0,HLOOKUP(G$5,Daten!$D$1:$CT$23,23,FALSE))),"",IF(G$5&lt;200,0,HLOOKUP(G$5,Daten!$D$1:$CT$23,23,FALSE)))</f>
        <v>0</v>
      </c>
      <c r="H13" s="123">
        <f>IF(ISERROR(IF(H$5&lt;200,0,HLOOKUP(H$5,Daten!$D$1:$CT$23,23,FALSE))),"",IF(H$5&lt;200,0,HLOOKUP(H$5,Daten!$D$1:$CT$23,23,FALSE)))</f>
        <v>177</v>
      </c>
      <c r="I13" s="139">
        <f>IF(I7=0,0,IF(ISERROR(IF(I$5&lt;200,0,HLOOKUP(I$5,Daten!$D$1:$CT$23,23,FALSE))),"",IF(I$5&lt;200,0,HLOOKUP(I$5,Daten!$D$1:$CT$23,23,FALSE))))</f>
        <v>277</v>
      </c>
      <c r="J13" s="146"/>
      <c r="K13" s="145"/>
      <c r="L13" s="2385">
        <f t="shared" ref="L13:L22" si="2">IF(ISERROR((D13*$D$7+E13*$E$7+F13*$F$7+G13*$G$7+H13*$H$7+I13*$I$7)/$J$7),"",(D13*$D$7+E13*$E$7+F13*$F$7+G13*$G$7+H13*$H$7+I13*$I$7)/$J$7)</f>
        <v>214.7</v>
      </c>
    </row>
    <row r="14" spans="1:12" ht="19.95" customHeight="1">
      <c r="B14" s="136" t="s">
        <v>215</v>
      </c>
      <c r="C14" s="144" t="s">
        <v>163</v>
      </c>
      <c r="D14" s="131">
        <f>IF(ISERROR(IF(D5&lt;200,0,(HLOOKUP(D5,Daten!$D$1:$CT$63,11,FALSE))+(HLOOKUP(D5,Daten!$D$1:$CT$63,23,FALSE)))),"",IF(D5&lt;200,0,(HLOOKUP(D5,Daten!$D$1:$CT$63,11,FALSE))+(HLOOKUP(D5,Daten!$D$1:$CT$63,23,FALSE))))</f>
        <v>1837</v>
      </c>
      <c r="E14" s="131">
        <f>IF(ISERROR(IF(E5&lt;200,0,(HLOOKUP(E5,Daten!$D$1:$CT$63,11,FALSE))+(HLOOKUP(E5,Daten!$D$1:$CT$63,23,FALSE)))),"",IF(E5&lt;200,0,(HLOOKUP(E5,Daten!$D$1:$CT$63,11,FALSE))+(HLOOKUP(E5,Daten!$D$1:$CT$63,23,FALSE))))</f>
        <v>2169</v>
      </c>
      <c r="F14" s="131">
        <f>IF(ISERROR(IF(F5&lt;200,0,(HLOOKUP(F5,Daten!$D$1:$CT$63,11,FALSE))+(HLOOKUP(F5,Daten!$D$1:$CT$63,23,FALSE)))),"",IF(F5&lt;200,0,(HLOOKUP(F5,Daten!$D$1:$CT$63,11,FALSE))+(HLOOKUP(F5,Daten!$D$1:$CT$63,23,FALSE))))</f>
        <v>1935.65</v>
      </c>
      <c r="G14" s="131">
        <f>IF(ISERROR(IF(G5&lt;200,0,(HLOOKUP(G5,Daten!$D$1:$CT$63,11,FALSE))+(HLOOKUP(G5,Daten!$D$1:$CT$63,23,FALSE)))),"",IF(G5&lt;200,0,(HLOOKUP(G5,Daten!$D$1:$CT$63,11,FALSE))+(HLOOKUP(G5,Daten!$D$1:$CT$63,23,FALSE))))</f>
        <v>1879.5</v>
      </c>
      <c r="H14" s="130">
        <f>IF(ISERROR(IF(H5&lt;200,0,(HLOOKUP(H5,Daten!$D$1:$CT$63,11,FALSE))+(HLOOKUP(H5,Daten!$D$1:$CT$63,23,FALSE)))),"",IF(H5&lt;200,0,(HLOOKUP(H5,Daten!$D$1:$CT$63,11,FALSE))+(HLOOKUP(H5,Daten!$D$1:$CT$63,23,FALSE))))</f>
        <v>2009.6</v>
      </c>
      <c r="I14" s="129">
        <f>IF(I7=0,0,IF(ISERROR(IF(I5&lt;200,0,(HLOOKUP(I5,Daten!$D$1:$CT$63,11,FALSE))+(HLOOKUP(I5,Daten!$D$1:$CT$63,23,FALSE)))),"",IF(I5&lt;200,0,(HLOOKUP(I5,Daten!$D$1:$CT$63,11,FALSE))+(HLOOKUP(I5,Daten!$D$1:$CT$63,23,FALSE)))))</f>
        <v>277</v>
      </c>
      <c r="J14" s="143"/>
      <c r="K14" s="142"/>
      <c r="L14" s="2391">
        <f t="shared" si="2"/>
        <v>2091.0949999999998</v>
      </c>
    </row>
    <row r="15" spans="1:12" ht="19.95" customHeight="1">
      <c r="B15" s="140" t="s">
        <v>214</v>
      </c>
      <c r="C15" s="126" t="s">
        <v>163</v>
      </c>
      <c r="D15" s="125">
        <f>IF(ISERROR(IF(D5&lt;200,0,HLOOKUP(D5,Daten!$D$1:$CT$12,12,FALSE))),"",IF(D5&lt;200,0,HLOOKUP(D5,Daten!$D$1:$CT$12,12,FALSE)))</f>
        <v>105</v>
      </c>
      <c r="E15" s="125">
        <f>IF(ISERROR(IF(E5&lt;200,0,HLOOKUP(E5,Daten!$D$1:$CT$12,12,FALSE))),"",IF(E5&lt;200,0,HLOOKUP(E5,Daten!$D$1:$CT$12,12,FALSE)))</f>
        <v>128</v>
      </c>
      <c r="F15" s="125">
        <f>IF(ISERROR(IF(F5&lt;200,0,HLOOKUP(F5,Daten!$D$1:$CT$12,12,FALSE))),"",IF(F5&lt;200,0,HLOOKUP(F5,Daten!$D$1:$CT$12,12,FALSE)))</f>
        <v>139.19999999999999</v>
      </c>
      <c r="G15" s="125">
        <f>IF(ISERROR(IF(G5&lt;200,0,HLOOKUP(G5,Daten!$D$1:$CT$12,12,FALSE))),"",IF(G5&lt;200,0,HLOOKUP(G5,Daten!$D$1:$CT$12,12,FALSE)))</f>
        <v>120</v>
      </c>
      <c r="H15" s="123">
        <f>IF(ISERROR(IF(H5&lt;200,0,HLOOKUP(H5,Daten!$D$1:$CT$12,12,FALSE))),"",IF(H5&lt;200,0,HLOOKUP(H5,Daten!$D$1:$CT$12,12,FALSE)))</f>
        <v>243</v>
      </c>
      <c r="I15" s="139">
        <f>IF(I7=0,0,IF(ISERROR(IF(I5&lt;200,0,HLOOKUP(I5,Daten!$D$1:$CT$12,12,FALSE))),"",IF(I5&lt;200,0,HLOOKUP(I5,Daten!$D$1:$CT$12,12,FALSE))))</f>
        <v>62.5</v>
      </c>
      <c r="J15" s="141"/>
      <c r="K15" s="137"/>
      <c r="L15" s="2385">
        <f t="shared" si="2"/>
        <v>173.02</v>
      </c>
    </row>
    <row r="16" spans="1:12" ht="19.95" customHeight="1">
      <c r="B16" s="140" t="s">
        <v>957</v>
      </c>
      <c r="C16" s="126" t="s">
        <v>163</v>
      </c>
      <c r="D16" s="125">
        <f>IF(ISERROR(IF(D5&lt;200,0,HLOOKUP(D5,Daten!$D$1:$CT$13,13,FALSE))),"",IF(D5&lt;200,0,HLOOKUP(D5,Daten!$D$1:$CT$13,13,FALSE)))</f>
        <v>344.96</v>
      </c>
      <c r="E16" s="125">
        <f>IF(ISERROR(IF(E5&lt;200,0,HLOOKUP(E5,Daten!$D$1:$CT$13,13,FALSE))),"",IF(E5&lt;200,0,HLOOKUP(E5,Daten!$D$1:$CT$13,13,FALSE)))</f>
        <v>441.03549999999996</v>
      </c>
      <c r="F16" s="125">
        <f>IF(ISERROR(IF(F5&lt;200,0,HLOOKUP(F5,Daten!$D$1:$CT$13,13,FALSE))),"",IF(F5&lt;200,0,HLOOKUP(F5,Daten!$D$1:$CT$13,13,FALSE)))</f>
        <v>270.68510000000003</v>
      </c>
      <c r="G16" s="125">
        <f>IF(ISERROR(IF(G5&lt;200,0,HLOOKUP(G5,Daten!$D$1:$CT$13,13,FALSE))),"",IF(G5&lt;200,0,HLOOKUP(G5,Daten!$D$1:$CT$13,13,FALSE)))</f>
        <v>414.26049999999998</v>
      </c>
      <c r="H16" s="123">
        <f>IF(ISERROR(IF(H5&lt;200,0,HLOOKUP(H5,Daten!$D$1:$CT$13,13,FALSE))),"",IF(H5&lt;200,0,HLOOKUP(H5,Daten!$D$1:$CT$13,13,FALSE)))</f>
        <v>327.32559999999995</v>
      </c>
      <c r="I16" s="139">
        <f>IF(I7=0,0,IF(ISERROR(IF(I5&lt;200,0,HLOOKUP(I5,Daten!$D$1:$CT$13,13,FALSE))),"",IF(I5&lt;200,0,HLOOKUP(I5,Daten!$D$1:$CT$13,13,FALSE))))</f>
        <v>0</v>
      </c>
      <c r="J16" s="138"/>
      <c r="K16" s="137"/>
      <c r="L16" s="2385">
        <f t="shared" si="2"/>
        <v>377.60244</v>
      </c>
    </row>
    <row r="17" spans="2:12" ht="19.95" customHeight="1">
      <c r="B17" s="140" t="s">
        <v>212</v>
      </c>
      <c r="C17" s="126" t="s">
        <v>163</v>
      </c>
      <c r="D17" s="125">
        <f>IF(ISERROR(IF(D5&lt;200,0,HLOOKUP(D5,Daten!$D$1:$CT$14,14,FALSE))),"",IF(D5&lt;200,0,HLOOKUP(D5,Daten!$D$1:$CT$14,14,FALSE)))</f>
        <v>206.56</v>
      </c>
      <c r="E17" s="125">
        <f>IF(ISERROR(IF(E5&lt;200,0,HLOOKUP(E5,Daten!$D$1:$CT$14,14,FALSE))),"",IF(E5&lt;200,0,HLOOKUP(E5,Daten!$D$1:$CT$14,14,FALSE)))</f>
        <v>203.72000000000003</v>
      </c>
      <c r="F17" s="125">
        <f>IF(ISERROR(IF(F5&lt;200,0,HLOOKUP(F5,Daten!$D$1:$CT$14,14,FALSE))),"",IF(F5&lt;200,0,HLOOKUP(F5,Daten!$D$1:$CT$14,14,FALSE)))</f>
        <v>163.79000000000002</v>
      </c>
      <c r="G17" s="125">
        <f>IF(ISERROR(IF(G5&lt;200,0,HLOOKUP(G5,Daten!$D$1:$CT$14,14,FALSE))),"",IF(G5&lt;200,0,HLOOKUP(G5,Daten!$D$1:$CT$14,14,FALSE)))</f>
        <v>55.08</v>
      </c>
      <c r="H17" s="123">
        <f>IF(ISERROR(IF(H5&lt;200,0,HLOOKUP(H5,Daten!$D$1:$CT$14,14,FALSE))),"",IF(H5&lt;200,0,HLOOKUP(H5,Daten!$D$1:$CT$14,14,FALSE)))</f>
        <v>83.550000000000011</v>
      </c>
      <c r="I17" s="139">
        <f>IF(I7=0,0,IF(ISERROR(IF(I5&lt;200,0,HLOOKUP(I5,Daten!$D$1:$CT$14,14,FALSE))),"",IF(I5&lt;200,0,HLOOKUP(I5,Daten!$D$1:$CT$14,14,FALSE))))</f>
        <v>0</v>
      </c>
      <c r="J17" s="138"/>
      <c r="K17" s="137"/>
      <c r="L17" s="2385">
        <f t="shared" si="2"/>
        <v>149.096</v>
      </c>
    </row>
    <row r="18" spans="2:12" ht="19.95" customHeight="1">
      <c r="B18" s="140" t="s">
        <v>211</v>
      </c>
      <c r="C18" s="126" t="s">
        <v>163</v>
      </c>
      <c r="D18" s="125">
        <f>IF(ISERROR(IF(D5&lt;200,0,HLOOKUP(D5,Daten!$D$1:$CT$60,60,FALSE))),"",IF(D5&lt;200,0,HLOOKUP(D5,Daten!$D$1:$CT$60,60,FALSE)))</f>
        <v>360.95303098666659</v>
      </c>
      <c r="E18" s="125">
        <f>IF(ISERROR(IF(E5&lt;200,0,HLOOKUP(E5,Daten!$D$1:$CT$60,60,FALSE))),"",IF(E5&lt;200,0,HLOOKUP(E5,Daten!$D$1:$CT$60,60,FALSE)))</f>
        <v>570.86154529999999</v>
      </c>
      <c r="F18" s="125">
        <f>IF(ISERROR(IF(F5&lt;200,0,HLOOKUP(F5,Daten!$D$1:$CT$60,60,FALSE))),"",IF(F5&lt;200,0,HLOOKUP(F5,Daten!$D$1:$CT$60,60,FALSE)))</f>
        <v>475.22544765966666</v>
      </c>
      <c r="G18" s="125">
        <f>IF(ISERROR(IF(G5&lt;200,0,HLOOKUP(G5,Daten!$D$1:$CT$60,60,FALSE))),"",IF(G5&lt;200,0,HLOOKUP(G5,Daten!$D$1:$CT$60,60,FALSE)))</f>
        <v>565.36667364999994</v>
      </c>
      <c r="H18" s="123">
        <f>IF(ISERROR(IF(H5&lt;200,0,HLOOKUP(H5,Daten!$D$1:$CT$60,60,FALSE))),"",IF(H5&lt;200,0,HLOOKUP(H5,Daten!$D$1:$CT$60,60,FALSE)))</f>
        <v>355.04554282133336</v>
      </c>
      <c r="I18" s="139">
        <f>IF(I7=0,0,IF(ISERROR(IF(I5&lt;200,0,HLOOKUP(I5,Daten!$D$1:$CT$60,60,FALSE))),"",IF(I5&lt;200,0,HLOOKUP(I5,Daten!$D$1:$CT$60,60,FALSE))))</f>
        <v>102.28959179</v>
      </c>
      <c r="J18" s="138"/>
      <c r="K18" s="137"/>
      <c r="L18" s="2385">
        <f t="shared" si="2"/>
        <v>495.47071455403335</v>
      </c>
    </row>
    <row r="19" spans="2:12" ht="19.95" customHeight="1">
      <c r="B19" s="140" t="s">
        <v>210</v>
      </c>
      <c r="C19" s="126" t="s">
        <v>163</v>
      </c>
      <c r="D19" s="125">
        <f>IF(ISERROR(IF(D5&lt;200,0,HLOOKUP(D5,Daten!$D$1:$CT$59,59,FALSE))),"",IF(D5&lt;200,0,HLOOKUP(D5,Daten!$D$1:$CT$59,59,FALSE)))</f>
        <v>163.55981869484452</v>
      </c>
      <c r="E19" s="125">
        <f>IF(ISERROR(IF(E5&lt;200,0,HLOOKUP(E5,Daten!$D$1:$CT$59,59,FALSE))),"",IF(E5&lt;200,0,HLOOKUP(E5,Daten!$D$1:$CT$59,59,FALSE)))</f>
        <v>148.64343469516663</v>
      </c>
      <c r="F19" s="125">
        <f>IF(ISERROR(IF(F5&lt;200,0,HLOOKUP(F5,Daten!$D$1:$CT$59,59,FALSE))),"",IF(F5&lt;200,0,HLOOKUP(F5,Daten!$D$1:$CT$59,59,FALSE)))</f>
        <v>110.73466206383056</v>
      </c>
      <c r="G19" s="125">
        <f>IF(ISERROR(IF(G5&lt;200,0,HLOOKUP(G5,Daten!$D$1:$CT$59,59,FALSE))),"",IF(G5&lt;200,0,HLOOKUP(G5,Daten!$D$1:$CT$59,59,FALSE)))</f>
        <v>134.2266461925833</v>
      </c>
      <c r="H19" s="123">
        <f>IF(ISERROR(IF(H5&lt;200,0,HLOOKUP(H5,Daten!$D$1:$CT$59,59,FALSE))),"",IF(H5&lt;200,0,HLOOKUP(H5,Daten!$D$1:$CT$59,59,FALSE)))</f>
        <v>357.88269952351118</v>
      </c>
      <c r="I19" s="139">
        <f>IF(I7=0,0,IF(ISERROR(IF(I5&lt;200,0,HLOOKUP(I5,Daten!$D$1:$CT$59,59,FALSE))),"",IF(I5&lt;200,0,HLOOKUP(I5,Daten!$D$1:$CT$59,59,FALSE))))</f>
        <v>1.37324659825</v>
      </c>
      <c r="J19" s="138"/>
      <c r="K19" s="137"/>
      <c r="L19" s="2385">
        <f t="shared" si="2"/>
        <v>207.94894574989584</v>
      </c>
    </row>
    <row r="20" spans="2:12" ht="19.95" customHeight="1">
      <c r="B20" s="136" t="s">
        <v>209</v>
      </c>
      <c r="C20" s="132" t="s">
        <v>163</v>
      </c>
      <c r="D20" s="131">
        <f>IF(ISERROR(IF(D5&lt;200,0,(HLOOKUP(D5,Daten!$D$1:$CT$63,21,FALSE))+(HLOOKUP(D5,Daten!$D$1:$CT$63,24,FALSE)))),"",IF(D5&lt;200,0,(HLOOKUP(D5,Daten!$D$1:$CT$63,21,FALSE))+(HLOOKUP(D5,Daten!$D$1:$CT$63,24,FALSE))))</f>
        <v>1181.0328496815114</v>
      </c>
      <c r="E20" s="131">
        <f>IF(ISERROR(IF(E5&lt;200,0,(HLOOKUP(E5,Daten!$D$1:$CT$63,21,FALSE))+(HLOOKUP(E5,Daten!$D$1:$CT$63,24,FALSE)))),"",IF(E5&lt;200,0,(HLOOKUP(E5,Daten!$D$1:$CT$63,21,FALSE))+(HLOOKUP(E5,Daten!$D$1:$CT$63,24,FALSE))))</f>
        <v>1492.2604799951666</v>
      </c>
      <c r="F20" s="131">
        <f>IF(ISERROR(IF(F5&lt;200,0,(HLOOKUP(F5,Daten!$D$1:$CT$63,21,FALSE))+(HLOOKUP(F5,Daten!$D$1:$CT$63,24,FALSE)))),"",IF(F5&lt;200,0,(HLOOKUP(F5,Daten!$D$1:$CT$63,21,FALSE))+(HLOOKUP(F5,Daten!$D$1:$CT$63,24,FALSE))))</f>
        <v>1159.6352097234974</v>
      </c>
      <c r="G20" s="131">
        <f>IF(ISERROR(IF(G5&lt;200,0,(HLOOKUP(G5,Daten!$D$1:$CT$63,21,FALSE))+(HLOOKUP(G5,Daten!$D$1:$CT$63,24,FALSE)))),"",IF(G5&lt;200,0,(HLOOKUP(G5,Daten!$D$1:$CT$63,21,FALSE))+(HLOOKUP(G5,Daten!$D$1:$CT$63,24,FALSE))))</f>
        <v>1288.9338198425833</v>
      </c>
      <c r="H20" s="130">
        <f>IF(ISERROR(IF(H5&lt;200,0,(HLOOKUP(H5,Daten!$D$1:$CT$63,21,FALSE))+(HLOOKUP(H5,Daten!$D$1:$CT$63,24,FALSE)))),"",IF(H5&lt;200,0,(HLOOKUP(H5,Daten!$D$1:$CT$63,21,FALSE))+(HLOOKUP(H5,Daten!$D$1:$CT$63,24,FALSE))))</f>
        <v>1366.8038423448443</v>
      </c>
      <c r="I20" s="129">
        <f>IF(I7=0,0,IF(ISERROR(IF(I5&lt;200,0,(HLOOKUP(I5,Daten!$D$1:$CT$63,21,FALSE))+(HLOOKUP(I5,Daten!$D$1:$CT$63,24,FALSE)))),"",IF(I5&lt;200,0,(HLOOKUP(I5,Daten!$D$1:$CT$63,21,FALSE))+(HLOOKUP(I5,Daten!$D$1:$CT$63,24,FALSE)))))</f>
        <v>166.16283838825001</v>
      </c>
      <c r="J20" s="135"/>
      <c r="K20" s="123"/>
      <c r="L20" s="2385">
        <f t="shared" si="2"/>
        <v>1403.1381003039291</v>
      </c>
    </row>
    <row r="21" spans="2:12" ht="33" customHeight="1">
      <c r="B21" s="2392" t="s">
        <v>208</v>
      </c>
      <c r="C21" s="132" t="s">
        <v>163</v>
      </c>
      <c r="D21" s="131">
        <f>IF(ISERROR(IF(D5&lt;200,0,HLOOKUP(D5,Daten!$D$1:$CT$25,22,FALSE))),"",IF(D5&lt;200,0,HLOOKUP(D5,Daten!$D$1:$CT$25,22,FALSE)))</f>
        <v>492.58696901333315</v>
      </c>
      <c r="E21" s="131">
        <f>IF(ISERROR(IF(E5&lt;200,0,HLOOKUP(E5,Daten!$D$1:$CT$25,22,FALSE))),"",IF(E5&lt;200,0,HLOOKUP(E5,Daten!$D$1:$CT$25,22,FALSE)))</f>
        <v>516.94845469999996</v>
      </c>
      <c r="F21" s="131">
        <f>IF(ISERROR(IF(F5&lt;200,0,HLOOKUP(F5,Daten!$D$1:$CT$25,22,FALSE))),"",IF(F5&lt;200,0,HLOOKUP(F5,Daten!$D$1:$CT$25,22,FALSE)))</f>
        <v>608.5985523403333</v>
      </c>
      <c r="G21" s="131">
        <f>IF(ISERROR(IF(G5&lt;200,0,HLOOKUP(G5,Daten!$D$1:$CT$25,22,FALSE))),"",IF(G5&lt;200,0,HLOOKUP(G5,Daten!$D$1:$CT$25,22,FALSE)))</f>
        <v>605.43032635000009</v>
      </c>
      <c r="H21" s="130">
        <f>IF(ISERROR(IF(H5&lt;200,0,HLOOKUP(H5,Daten!$D$1:$CT$25,22,FALSE))),"",IF(H5&lt;200,0,HLOOKUP(H5,Daten!$D$1:$CT$25,22,FALSE)))</f>
        <v>477.09205717866666</v>
      </c>
      <c r="I21" s="129">
        <f>IF(I7=0,0,IF(ISERROR(IF(I5&lt;200,0,HLOOKUP(I5,Daten!$D$1:$CT$25,22,FALSE))),"",IF(I5&lt;200,0,HLOOKUP(I5,Daten!$D$1:$CT$25,22,FALSE))))</f>
        <v>-164.78959179</v>
      </c>
      <c r="J21" s="128">
        <f>SUMPRODUCT(D7:H7,D21:H21)%+(I7*I21)%</f>
        <v>487.61066544596656</v>
      </c>
      <c r="K21" s="123"/>
      <c r="L21" s="2390">
        <f t="shared" si="2"/>
        <v>487.61066544596656</v>
      </c>
    </row>
    <row r="22" spans="2:12" ht="46.5" customHeight="1">
      <c r="B22" s="2393" t="s">
        <v>207</v>
      </c>
      <c r="C22" s="132" t="s">
        <v>163</v>
      </c>
      <c r="D22" s="131">
        <f>IF(ISERROR(IF(D5&lt;200,0,HLOOKUP(D5,Daten!$D$1:$CT$25,25,FALSE))),"",IF(D5&lt;200,0,HLOOKUP(D5,Daten!$D$1:$CT$25,25,FALSE)))</f>
        <v>655.96715031848873</v>
      </c>
      <c r="E22" s="131">
        <f>IF(ISERROR(IF(E5&lt;200,0,HLOOKUP(E5,Daten!$D$1:$CT$25,25,FALSE))),"",IF(E5&lt;200,0,HLOOKUP(E5,Daten!$D$1:$CT$25,25,FALSE)))</f>
        <v>676.73952000483325</v>
      </c>
      <c r="F22" s="131">
        <f>IF(ISERROR(IF(F5&lt;200,0,HLOOKUP(F5,Daten!$D$1:$CT$25,25,FALSE))),"",IF(F5&lt;200,0,HLOOKUP(F5,Daten!$D$1:$CT$25,25,FALSE)))</f>
        <v>776.01479027650271</v>
      </c>
      <c r="G22" s="131">
        <f>IF(ISERROR(IF(G5&lt;200,0,HLOOKUP(G5,Daten!$D$1:$CT$25,25,FALSE))),"",IF(G5&lt;200,0,HLOOKUP(G5,Daten!$D$1:$CT$25,25,FALSE)))</f>
        <v>590.56618015741674</v>
      </c>
      <c r="H22" s="130">
        <f>IF(ISERROR(IF(H5&lt;200,0,HLOOKUP(H5,Daten!$D$1:$CT$25,25,FALSE))),"",IF(H5&lt;200,0,HLOOKUP(H5,Daten!$D$1:$CT$25,25,FALSE)))</f>
        <v>642.79615765515553</v>
      </c>
      <c r="I22" s="129">
        <f>IF(I7=0,0,IF(ISERROR(IF(I5&lt;200,0,HLOOKUP(I5,Daten!$D$1:$CT$25,25,FALSE))),"",IF(I5&lt;200,0,HLOOKUP(I5,Daten!$D$1:$CT$25,25,FALSE))))</f>
        <v>110.83716161174999</v>
      </c>
      <c r="J22" s="128">
        <f>SUMPRODUCT(D7:H7,D22:H22)%+(I7*I22)%</f>
        <v>687.95689969607088</v>
      </c>
      <c r="K22" s="114"/>
      <c r="L22" s="2386">
        <f t="shared" si="2"/>
        <v>687.95689969607076</v>
      </c>
    </row>
    <row r="23" spans="2:12" ht="19.95" hidden="1" customHeight="1">
      <c r="B23" s="127"/>
      <c r="C23" s="126"/>
      <c r="D23" s="125"/>
      <c r="E23" s="125"/>
      <c r="F23" s="125"/>
      <c r="G23" s="125"/>
      <c r="H23" s="125"/>
      <c r="I23" s="123"/>
      <c r="J23" s="124"/>
      <c r="K23" s="123"/>
    </row>
    <row r="24" spans="2:12" ht="25.2" hidden="1" customHeight="1" thickBot="1">
      <c r="B24" s="122"/>
      <c r="C24" s="121"/>
      <c r="D24" s="119"/>
      <c r="E24" s="120"/>
      <c r="F24" s="119"/>
      <c r="G24" s="119"/>
      <c r="H24" s="118"/>
      <c r="I24" s="117"/>
      <c r="J24" s="116"/>
      <c r="K24" s="115"/>
    </row>
    <row r="25" spans="2:12" ht="23.1" customHeight="1">
      <c r="B25" s="3620" t="s">
        <v>206</v>
      </c>
      <c r="C25" s="3621"/>
      <c r="D25" s="3622"/>
      <c r="E25" s="3622"/>
      <c r="F25" s="3622"/>
      <c r="G25" s="3622"/>
      <c r="H25" s="3622"/>
      <c r="I25" s="3622"/>
      <c r="J25" s="3622"/>
    </row>
    <row r="26" spans="2:12">
      <c r="B26" s="2396" t="s">
        <v>1427</v>
      </c>
      <c r="D26" s="114"/>
    </row>
    <row r="27" spans="2:12" hidden="1">
      <c r="C27" s="111">
        <v>1</v>
      </c>
      <c r="D27" s="113"/>
      <c r="E27" s="111"/>
      <c r="F27" s="111">
        <v>1</v>
      </c>
      <c r="G27" s="112"/>
      <c r="H27" s="105"/>
      <c r="I27" s="105"/>
      <c r="J27" s="111">
        <v>1</v>
      </c>
    </row>
    <row r="28" spans="2:12" hidden="1">
      <c r="C28" s="102">
        <v>2</v>
      </c>
      <c r="D28" s="103" t="s">
        <v>97</v>
      </c>
      <c r="E28" s="102"/>
      <c r="F28" s="102">
        <v>2</v>
      </c>
      <c r="G28" s="110" t="s">
        <v>205</v>
      </c>
      <c r="H28" s="109"/>
      <c r="I28" s="109"/>
      <c r="J28" s="102">
        <v>2</v>
      </c>
    </row>
    <row r="29" spans="2:12" hidden="1">
      <c r="C29" s="102">
        <v>3</v>
      </c>
      <c r="D29" s="103" t="s">
        <v>95</v>
      </c>
      <c r="E29" s="102"/>
      <c r="F29" s="102">
        <v>3</v>
      </c>
      <c r="G29" s="110" t="s">
        <v>204</v>
      </c>
      <c r="H29" s="109"/>
      <c r="I29" s="109"/>
      <c r="J29" s="102">
        <v>3</v>
      </c>
    </row>
    <row r="30" spans="2:12" hidden="1">
      <c r="C30" s="102">
        <v>4</v>
      </c>
      <c r="D30" s="103" t="s">
        <v>203</v>
      </c>
      <c r="E30" s="102"/>
      <c r="F30" s="102">
        <v>4</v>
      </c>
      <c r="G30" s="108" t="s">
        <v>202</v>
      </c>
      <c r="H30" s="107"/>
      <c r="I30" s="107"/>
      <c r="J30" s="106">
        <v>4</v>
      </c>
    </row>
    <row r="31" spans="2:12" hidden="1">
      <c r="C31" s="102">
        <v>5</v>
      </c>
      <c r="D31" s="103" t="s">
        <v>201</v>
      </c>
      <c r="E31" s="102"/>
      <c r="F31" s="102">
        <v>5</v>
      </c>
      <c r="G31" s="105"/>
      <c r="H31" s="105"/>
      <c r="I31" s="105"/>
      <c r="J31" s="105"/>
    </row>
    <row r="32" spans="2:12" hidden="1">
      <c r="C32" s="102">
        <v>6</v>
      </c>
      <c r="D32" s="103" t="s">
        <v>89</v>
      </c>
      <c r="E32" s="102"/>
      <c r="F32" s="102">
        <v>6</v>
      </c>
      <c r="H32" s="104" t="str">
        <f>'SDK1'!O8</f>
        <v>ohne MwSt.</v>
      </c>
    </row>
    <row r="33" spans="3:6" hidden="1">
      <c r="C33" s="102">
        <v>7</v>
      </c>
      <c r="D33" s="103" t="s">
        <v>87</v>
      </c>
      <c r="E33" s="102"/>
      <c r="F33" s="102">
        <v>7</v>
      </c>
    </row>
    <row r="34" spans="3:6" hidden="1">
      <c r="C34" s="102">
        <v>8</v>
      </c>
      <c r="D34" s="103" t="s">
        <v>85</v>
      </c>
      <c r="E34" s="102"/>
      <c r="F34" s="102">
        <v>8</v>
      </c>
    </row>
    <row r="35" spans="3:6" hidden="1">
      <c r="C35" s="102">
        <v>9</v>
      </c>
      <c r="D35" s="103" t="s">
        <v>83</v>
      </c>
      <c r="E35" s="102"/>
      <c r="F35" s="102">
        <v>9</v>
      </c>
    </row>
    <row r="36" spans="3:6" hidden="1">
      <c r="C36" s="102">
        <v>10</v>
      </c>
      <c r="D36" s="103" t="s">
        <v>200</v>
      </c>
      <c r="E36" s="102"/>
      <c r="F36" s="102">
        <v>10</v>
      </c>
    </row>
    <row r="37" spans="3:6" hidden="1">
      <c r="C37" s="102">
        <v>11</v>
      </c>
      <c r="D37" s="103" t="s">
        <v>199</v>
      </c>
      <c r="E37" s="102"/>
      <c r="F37" s="102">
        <v>11</v>
      </c>
    </row>
    <row r="38" spans="3:6" hidden="1">
      <c r="C38" s="102">
        <v>12</v>
      </c>
      <c r="D38" s="103" t="s">
        <v>76</v>
      </c>
      <c r="E38" s="102"/>
      <c r="F38" s="102">
        <v>12</v>
      </c>
    </row>
    <row r="39" spans="3:6" hidden="1">
      <c r="C39" s="102">
        <v>13</v>
      </c>
      <c r="D39" s="103" t="s">
        <v>198</v>
      </c>
      <c r="E39" s="102"/>
      <c r="F39" s="102">
        <v>13</v>
      </c>
    </row>
    <row r="40" spans="3:6" hidden="1">
      <c r="C40" s="102">
        <v>14</v>
      </c>
      <c r="D40" s="103" t="s">
        <v>72</v>
      </c>
      <c r="E40" s="102"/>
      <c r="F40" s="102">
        <v>14</v>
      </c>
    </row>
    <row r="41" spans="3:6" hidden="1">
      <c r="C41" s="102">
        <v>15</v>
      </c>
      <c r="D41" s="103" t="s">
        <v>197</v>
      </c>
      <c r="E41" s="102"/>
      <c r="F41" s="102">
        <v>15</v>
      </c>
    </row>
    <row r="42" spans="3:6" hidden="1">
      <c r="C42" s="102">
        <v>16</v>
      </c>
      <c r="D42" s="103" t="s">
        <v>196</v>
      </c>
      <c r="E42" s="102"/>
      <c r="F42" s="102">
        <v>16</v>
      </c>
    </row>
    <row r="43" spans="3:6" hidden="1">
      <c r="C43" s="102">
        <v>17</v>
      </c>
      <c r="D43" s="103" t="s">
        <v>63</v>
      </c>
      <c r="E43" s="102"/>
      <c r="F43" s="102">
        <v>17</v>
      </c>
    </row>
    <row r="44" spans="3:6" hidden="1">
      <c r="C44" s="102">
        <v>18</v>
      </c>
      <c r="D44" s="103" t="s">
        <v>195</v>
      </c>
      <c r="E44" s="102"/>
      <c r="F44" s="102">
        <v>18</v>
      </c>
    </row>
    <row r="45" spans="3:6" hidden="1">
      <c r="C45" s="102">
        <v>19</v>
      </c>
      <c r="D45" s="103" t="s">
        <v>194</v>
      </c>
      <c r="E45" s="102"/>
      <c r="F45" s="102">
        <v>19</v>
      </c>
    </row>
    <row r="46" spans="3:6" hidden="1">
      <c r="C46" s="102">
        <v>20</v>
      </c>
      <c r="D46" s="103" t="s">
        <v>193</v>
      </c>
      <c r="E46" s="102"/>
      <c r="F46" s="102">
        <v>20</v>
      </c>
    </row>
    <row r="47" spans="3:6" hidden="1">
      <c r="C47" s="102">
        <v>21</v>
      </c>
      <c r="D47" s="103" t="s">
        <v>192</v>
      </c>
      <c r="E47" s="102"/>
      <c r="F47" s="102">
        <v>21</v>
      </c>
    </row>
    <row r="48" spans="3:6" hidden="1">
      <c r="C48" s="102">
        <v>22</v>
      </c>
      <c r="D48" s="103" t="s">
        <v>191</v>
      </c>
      <c r="E48" s="102"/>
      <c r="F48" s="102">
        <v>22</v>
      </c>
    </row>
    <row r="49" spans="3:6" hidden="1">
      <c r="C49" s="102">
        <v>23</v>
      </c>
      <c r="D49" s="103" t="s">
        <v>190</v>
      </c>
      <c r="E49" s="102"/>
      <c r="F49" s="102">
        <v>23</v>
      </c>
    </row>
    <row r="50" spans="3:6" hidden="1">
      <c r="C50" s="102">
        <v>24</v>
      </c>
      <c r="D50" s="103" t="s">
        <v>189</v>
      </c>
      <c r="E50" s="102"/>
      <c r="F50" s="102">
        <v>24</v>
      </c>
    </row>
    <row r="51" spans="3:6" hidden="1">
      <c r="C51" s="102">
        <v>25</v>
      </c>
      <c r="D51" s="103" t="s">
        <v>188</v>
      </c>
      <c r="E51" s="102"/>
      <c r="F51" s="102">
        <v>25</v>
      </c>
    </row>
    <row r="52" spans="3:6" hidden="1">
      <c r="C52" s="102">
        <v>26</v>
      </c>
      <c r="D52" s="103" t="s">
        <v>187</v>
      </c>
      <c r="E52" s="102"/>
      <c r="F52" s="102">
        <v>26</v>
      </c>
    </row>
    <row r="53" spans="3:6" hidden="1">
      <c r="C53" s="102">
        <v>27</v>
      </c>
      <c r="D53" s="103" t="s">
        <v>186</v>
      </c>
      <c r="E53" s="102"/>
      <c r="F53" s="102">
        <v>27</v>
      </c>
    </row>
    <row r="54" spans="3:6" hidden="1">
      <c r="C54" s="102">
        <v>28</v>
      </c>
      <c r="D54" s="103" t="s">
        <v>185</v>
      </c>
      <c r="E54" s="102"/>
      <c r="F54" s="102">
        <v>28</v>
      </c>
    </row>
    <row r="55" spans="3:6" hidden="1">
      <c r="C55" s="102">
        <v>29</v>
      </c>
      <c r="D55" s="103" t="s">
        <v>36</v>
      </c>
      <c r="E55" s="102"/>
      <c r="F55" s="102">
        <v>29</v>
      </c>
    </row>
    <row r="56" spans="3:6" hidden="1">
      <c r="C56" s="102">
        <v>30</v>
      </c>
      <c r="D56" s="103" t="s">
        <v>23</v>
      </c>
      <c r="E56" s="102"/>
      <c r="F56" s="102">
        <v>30</v>
      </c>
    </row>
    <row r="57" spans="3:6" hidden="1">
      <c r="C57" s="102">
        <v>31</v>
      </c>
      <c r="D57" s="103" t="s">
        <v>184</v>
      </c>
      <c r="E57" s="102"/>
      <c r="F57" s="102">
        <v>31</v>
      </c>
    </row>
    <row r="58" spans="3:6" hidden="1">
      <c r="C58" s="102">
        <v>32</v>
      </c>
      <c r="D58" s="103" t="s">
        <v>183</v>
      </c>
      <c r="E58" s="102"/>
      <c r="F58" s="102">
        <v>32</v>
      </c>
    </row>
  </sheetData>
  <sheetProtection sheet="1" objects="1" scenarios="1"/>
  <customSheetViews>
    <customSheetView guid="{8063F48F-80B5-4ECD-B18A-51CBF126E780}" fitToPage="1" hiddenRows="1" hiddenColumns="1" topLeftCell="A2">
      <selection activeCell="AL26" sqref="AL26"/>
      <pageMargins left="0.59055118110236227" right="0.59055118110236227" top="0.59055118110236227" bottom="0.59055118110236227" header="0.39370078740157483" footer="0.39370078740157483"/>
      <printOptions horizontalCentered="1"/>
      <pageSetup paperSize="9" scale="83" firstPageNumber="87" fitToHeight="0" orientation="portrait" r:id="rId1"/>
      <headerFooter alignWithMargins="0">
        <oddFooter>&amp;L&amp;11LEL Schwäbisch Gmünd&amp;C&amp;P&amp;R&amp;11&amp;F</oddFooter>
      </headerFooter>
    </customSheetView>
    <customSheetView guid="{5D5C9B61-9ABD-4513-AAEB-8333A9D6196C}" fitToPage="1" hiddenRows="1" hiddenColumns="1" topLeftCell="A2">
      <selection activeCell="AL26" sqref="AL26"/>
      <pageMargins left="0.59055118110236227" right="0.59055118110236227" top="0.59055118110236227" bottom="0.59055118110236227" header="0.39370078740157483" footer="0.39370078740157483"/>
      <printOptions horizontalCentered="1"/>
      <pageSetup paperSize="9" scale="83" firstPageNumber="87" fitToHeight="0" orientation="portrait" r:id="rId2"/>
      <headerFooter alignWithMargins="0">
        <oddFooter>&amp;L&amp;11LEL Schwäbisch Gmünd&amp;C&amp;P&amp;R&amp;11&amp;F</oddFooter>
      </headerFooter>
    </customSheetView>
    <customSheetView guid="{22A73C4F-9004-4CEF-8499-B1F91BE1B569}" fitToPage="1" hiddenRows="1" hiddenColumns="1" topLeftCell="A2">
      <selection activeCell="AL26" sqref="AL26"/>
      <pageMargins left="0.59055118110236227" right="0.59055118110236227" top="0.59055118110236227" bottom="0.59055118110236227" header="0.39370078740157483" footer="0.39370078740157483"/>
      <printOptions horizontalCentered="1"/>
      <pageSetup paperSize="9" scale="83" firstPageNumber="87" fitToHeight="0" orientation="portrait" r:id="rId3"/>
      <headerFooter alignWithMargins="0">
        <oddFooter>&amp;L&amp;11LEL Schwäbisch Gmünd&amp;C&amp;P&amp;R&amp;11&amp;F</oddFooter>
      </headerFooter>
    </customSheetView>
  </customSheetViews>
  <mergeCells count="2">
    <mergeCell ref="B4:C4"/>
    <mergeCell ref="A1:B1"/>
  </mergeCells>
  <conditionalFormatting sqref="J7">
    <cfRule type="expression" dxfId="8" priority="2" stopIfTrue="1">
      <formula>$J$7&lt;&gt;100</formula>
    </cfRule>
  </conditionalFormatting>
  <conditionalFormatting sqref="L7">
    <cfRule type="expression" dxfId="7" priority="1" stopIfTrue="1">
      <formula>$J$7&lt;&gt;100</formula>
    </cfRule>
  </conditionalFormatting>
  <dataValidations count="3">
    <dataValidation type="list" allowBlank="1" showInputMessage="1" showErrorMessage="1" errorTitle="Produktionsverfahren" error="Bitte Produktionsverfahren aus Dropdownliste auswählen." sqref="D6:H6" xr:uid="{00000000-0002-0000-0400-000000000000}">
      <formula1>$D$27:$D$58</formula1>
    </dataValidation>
    <dataValidation allowBlank="1" showInputMessage="1" showErrorMessage="1" errorTitle="Produktionsverfahren" error="Bitte Produktionsverfahren aus Dropdownliste auswählen." sqref="I6" xr:uid="{00000000-0002-0000-0400-000001000000}"/>
    <dataValidation type="list" allowBlank="1" showInputMessage="1" showErrorMessage="1" errorTitle="Leistungsniveau" error="Bitte Leistungsniveau aus Dropdownliste auswählen." sqref="B4:C4" xr:uid="{00000000-0002-0000-0400-000002000000}">
      <formula1>$G$27:$G$30</formula1>
    </dataValidation>
  </dataValidations>
  <printOptions horizontalCentered="1"/>
  <pageMargins left="0.59055118110236227" right="0.59055118110236227" top="0.59055118110236227" bottom="0.59055118110236227" header="0.39370078740157483" footer="0.39370078740157483"/>
  <pageSetup paperSize="9" scale="83" firstPageNumber="87" fitToHeight="0" orientation="portrait" r:id="rId4"/>
  <headerFooter alignWithMargins="0">
    <oddFooter>&amp;L&amp;11LEL Schwäbisch Gmünd&amp;C&amp;P&amp;R&amp;11&amp;F</odd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2">
    <tabColor rgb="FFFF0000"/>
    <pageSetUpPr fitToPage="1"/>
  </sheetPr>
  <dimension ref="A1:U103"/>
  <sheetViews>
    <sheetView topLeftCell="A3" zoomScaleNormal="100" workbookViewId="0">
      <selection activeCell="E7" sqref="E7"/>
    </sheetView>
  </sheetViews>
  <sheetFormatPr baseColWidth="10" defaultColWidth="10.5" defaultRowHeight="13.2"/>
  <cols>
    <col min="1" max="1" width="1" style="100" customWidth="1"/>
    <col min="2" max="2" width="21.8984375" style="100" customWidth="1"/>
    <col min="3" max="3" width="5.3984375" style="101" customWidth="1"/>
    <col min="4" max="4" width="11.59765625" style="100" customWidth="1"/>
    <col min="5" max="5" width="11.3984375" style="100" customWidth="1"/>
    <col min="6" max="6" width="10.69921875" style="100" customWidth="1"/>
    <col min="7" max="8" width="11.09765625" style="100" customWidth="1"/>
    <col min="9" max="9" width="12.09765625" style="100" customWidth="1"/>
    <col min="10" max="10" width="9.3984375" style="100" customWidth="1"/>
    <col min="11" max="18" width="9.59765625" style="100" customWidth="1"/>
    <col min="19" max="19" width="10.69921875" style="100" customWidth="1"/>
    <col min="20" max="20" width="21.69921875" style="100" customWidth="1"/>
    <col min="21" max="21" width="0" style="100" hidden="1" customWidth="1"/>
    <col min="22" max="16384" width="10.5" style="100"/>
  </cols>
  <sheetData>
    <row r="1" spans="1:21" ht="15" hidden="1" customHeight="1">
      <c r="D1" s="1426"/>
      <c r="E1" s="1426"/>
      <c r="F1" s="1426"/>
      <c r="G1" s="3625">
        <f>COLUMNS($G$1:G1)</f>
        <v>1</v>
      </c>
      <c r="H1" s="1424"/>
      <c r="I1" s="3625">
        <f>COLUMNS($G$1:I1)</f>
        <v>3</v>
      </c>
      <c r="J1" s="3625">
        <f>COLUMNS($G$1:J1)</f>
        <v>4</v>
      </c>
      <c r="K1" s="3625">
        <f>COLUMNS($G$1:K1)</f>
        <v>5</v>
      </c>
      <c r="L1" s="1424"/>
      <c r="M1" s="1424"/>
      <c r="N1" s="1424"/>
      <c r="O1" s="1424"/>
      <c r="P1" s="1424"/>
      <c r="Q1" s="3625">
        <f>COLUMNS($G$1:Q1)</f>
        <v>11</v>
      </c>
      <c r="R1" s="3625">
        <f>COLUMNS($G$1:R1)</f>
        <v>12</v>
      </c>
      <c r="S1" s="3625">
        <f>COLUMNS($G$1:S1)</f>
        <v>13</v>
      </c>
      <c r="T1" s="1403">
        <f>COLUMNS($G$1:T1)</f>
        <v>14</v>
      </c>
      <c r="U1" s="1403">
        <f>COLUMNS($G$1:U1)</f>
        <v>15</v>
      </c>
    </row>
    <row r="2" spans="1:21" s="1403" customFormat="1" ht="9" hidden="1" customHeight="1">
      <c r="A2" s="3868">
        <f>IF(S8=100,0,   "Flächenanteile ergeben nicht 100% !")</f>
        <v>0</v>
      </c>
      <c r="B2" s="3868"/>
      <c r="C2" s="1425"/>
      <c r="D2" s="3625">
        <f t="shared" ref="D2:R2" si="0">VLOOKUP(D7,$D$52:$F$73,3,FALSE)</f>
        <v>33</v>
      </c>
      <c r="E2" s="3625">
        <f t="shared" si="0"/>
        <v>36</v>
      </c>
      <c r="F2" s="3625">
        <f t="shared" si="0"/>
        <v>41</v>
      </c>
      <c r="G2" s="3625">
        <f t="shared" si="0"/>
        <v>38</v>
      </c>
      <c r="H2" s="3625">
        <f t="shared" si="0"/>
        <v>43</v>
      </c>
      <c r="I2" s="3625">
        <f t="shared" si="0"/>
        <v>44</v>
      </c>
      <c r="J2" s="3625">
        <f t="shared" si="0"/>
        <v>42</v>
      </c>
      <c r="K2" s="3625">
        <f t="shared" si="0"/>
        <v>46</v>
      </c>
      <c r="L2" s="3625">
        <f t="shared" si="0"/>
        <v>37</v>
      </c>
      <c r="M2" s="3625">
        <f t="shared" si="0"/>
        <v>46</v>
      </c>
      <c r="N2" s="3625">
        <f t="shared" si="0"/>
        <v>47</v>
      </c>
      <c r="O2" s="3625">
        <f t="shared" si="0"/>
        <v>48</v>
      </c>
      <c r="P2" s="3625">
        <f t="shared" si="0"/>
        <v>45</v>
      </c>
      <c r="Q2" s="3625">
        <f t="shared" si="0"/>
        <v>53</v>
      </c>
      <c r="R2" s="3625" t="e">
        <f t="shared" si="0"/>
        <v>#N/A</v>
      </c>
      <c r="S2" s="1423"/>
    </row>
    <row r="3" spans="1:21" ht="21.15" customHeight="1">
      <c r="B3" s="166" t="str">
        <f>"Deckungsbeitrag je ha Ackerfläche " &amp; 'SDK1'!O8</f>
        <v>Deckungsbeitrag je ha Ackerfläche ohne MwSt.</v>
      </c>
      <c r="D3" s="163"/>
      <c r="F3" s="1422"/>
      <c r="G3" s="163"/>
      <c r="H3" s="104"/>
      <c r="I3" s="104"/>
      <c r="J3" s="104"/>
      <c r="K3" s="104"/>
      <c r="L3" s="104"/>
      <c r="M3" s="104"/>
      <c r="N3" s="104"/>
      <c r="O3" s="104"/>
      <c r="P3" s="104"/>
      <c r="Q3" s="104"/>
      <c r="R3" s="104"/>
      <c r="S3" s="162" t="s">
        <v>950</v>
      </c>
      <c r="T3" s="162"/>
    </row>
    <row r="4" spans="1:21" ht="17.399999999999999">
      <c r="B4" s="1395"/>
      <c r="D4" s="104"/>
      <c r="E4" s="104"/>
      <c r="F4" s="104"/>
      <c r="G4" s="104"/>
      <c r="H4" s="104"/>
      <c r="I4" s="104"/>
      <c r="J4" s="104"/>
      <c r="K4" s="104"/>
      <c r="L4" s="104"/>
      <c r="M4" s="104"/>
      <c r="N4" s="104"/>
      <c r="O4" s="104"/>
      <c r="P4" s="104"/>
      <c r="Q4" s="104"/>
      <c r="R4" s="104"/>
      <c r="S4" s="162">
        <f>SDÖ1!O3</f>
        <v>2024</v>
      </c>
    </row>
    <row r="5" spans="1:21" ht="55.2" customHeight="1">
      <c r="B5" s="3866" t="s">
        <v>204</v>
      </c>
      <c r="C5" s="3866"/>
      <c r="D5" s="3626">
        <f>VLOOKUP(B5,G52:S55,S1,FALSE)</f>
        <v>3</v>
      </c>
      <c r="E5" s="46"/>
      <c r="F5" s="1421"/>
      <c r="G5" s="1421"/>
      <c r="H5" s="1420"/>
      <c r="I5" s="1420"/>
      <c r="J5" s="1420"/>
      <c r="K5" s="1420"/>
      <c r="L5" s="1420"/>
      <c r="M5" s="1420"/>
      <c r="N5" s="1420"/>
      <c r="O5" s="1420"/>
      <c r="P5" s="1420"/>
      <c r="Q5" s="1420"/>
      <c r="R5" s="1420"/>
      <c r="S5" s="172"/>
      <c r="T5" s="162"/>
    </row>
    <row r="6" spans="1:21" ht="2.25" customHeight="1" thickBot="1">
      <c r="D6" s="1419">
        <f t="shared" ref="D6:R6" si="1">$D$5*100+D2</f>
        <v>333</v>
      </c>
      <c r="E6" s="1419">
        <f t="shared" si="1"/>
        <v>336</v>
      </c>
      <c r="F6" s="1419">
        <f t="shared" si="1"/>
        <v>341</v>
      </c>
      <c r="G6" s="1419">
        <f t="shared" si="1"/>
        <v>338</v>
      </c>
      <c r="H6" s="1419">
        <f>$D$5*100+H2</f>
        <v>343</v>
      </c>
      <c r="I6" s="1419">
        <f t="shared" si="1"/>
        <v>344</v>
      </c>
      <c r="J6" s="1419">
        <f t="shared" si="1"/>
        <v>342</v>
      </c>
      <c r="K6" s="1419">
        <f t="shared" ref="K6:P6" si="2">$D$5*100+K2</f>
        <v>346</v>
      </c>
      <c r="L6" s="1419">
        <f t="shared" si="2"/>
        <v>337</v>
      </c>
      <c r="M6" s="1419">
        <f t="shared" si="2"/>
        <v>346</v>
      </c>
      <c r="N6" s="1419">
        <f t="shared" si="2"/>
        <v>347</v>
      </c>
      <c r="O6" s="1419">
        <f t="shared" si="2"/>
        <v>348</v>
      </c>
      <c r="P6" s="1419">
        <f t="shared" si="2"/>
        <v>345</v>
      </c>
      <c r="Q6" s="1419">
        <f t="shared" si="1"/>
        <v>353</v>
      </c>
      <c r="R6" s="1419" t="e">
        <f t="shared" si="1"/>
        <v>#N/A</v>
      </c>
    </row>
    <row r="7" spans="1:21" ht="39.6" customHeight="1">
      <c r="B7" s="1418"/>
      <c r="C7" s="1417" t="s">
        <v>224</v>
      </c>
      <c r="D7" s="2498" t="s">
        <v>1751</v>
      </c>
      <c r="E7" s="2498" t="s">
        <v>1754</v>
      </c>
      <c r="F7" s="2498" t="s">
        <v>1390</v>
      </c>
      <c r="G7" s="2498" t="s">
        <v>1387</v>
      </c>
      <c r="H7" s="2498" t="s">
        <v>1465</v>
      </c>
      <c r="I7" s="2498" t="s">
        <v>1392</v>
      </c>
      <c r="J7" s="2498" t="s">
        <v>1391</v>
      </c>
      <c r="K7" s="2498" t="s">
        <v>1394</v>
      </c>
      <c r="L7" s="2498" t="s">
        <v>1386</v>
      </c>
      <c r="M7" s="2498" t="s">
        <v>1394</v>
      </c>
      <c r="N7" s="2498" t="s">
        <v>1395</v>
      </c>
      <c r="O7" s="2498" t="s">
        <v>1396</v>
      </c>
      <c r="P7" s="2498" t="s">
        <v>1393</v>
      </c>
      <c r="Q7" s="2498" t="s">
        <v>1155</v>
      </c>
      <c r="R7" s="2498" t="s">
        <v>1399</v>
      </c>
      <c r="S7" s="157" t="s">
        <v>223</v>
      </c>
      <c r="T7" s="156"/>
      <c r="U7" s="1402" t="s">
        <v>951</v>
      </c>
    </row>
    <row r="8" spans="1:21" ht="18.75" customHeight="1">
      <c r="B8" s="1416" t="s">
        <v>222</v>
      </c>
      <c r="C8" s="154" t="s">
        <v>112</v>
      </c>
      <c r="D8" s="2497">
        <v>20</v>
      </c>
      <c r="E8" s="2497"/>
      <c r="F8" s="2497"/>
      <c r="G8" s="2497">
        <v>20</v>
      </c>
      <c r="H8" s="2497"/>
      <c r="I8" s="2497"/>
      <c r="J8" s="2497">
        <v>20</v>
      </c>
      <c r="K8" s="2497"/>
      <c r="L8" s="2497"/>
      <c r="M8" s="2497">
        <v>20</v>
      </c>
      <c r="N8" s="2497"/>
      <c r="O8" s="2497"/>
      <c r="P8" s="2497">
        <v>20</v>
      </c>
      <c r="Q8" s="2497"/>
      <c r="R8" s="2497"/>
      <c r="S8" s="1415">
        <f>SUM(D8:R8)</f>
        <v>100</v>
      </c>
      <c r="T8" s="3318"/>
      <c r="U8" s="1401">
        <v>100</v>
      </c>
    </row>
    <row r="9" spans="1:21" ht="16.95" customHeight="1">
      <c r="B9" s="1410" t="s">
        <v>221</v>
      </c>
      <c r="C9" s="126" t="s">
        <v>164</v>
      </c>
      <c r="D9" s="125">
        <f>IFERROR(IF(D$6&lt;200,0,HLOOKUP(D$6,Daten!$CX$1:$FM$6,6,FALSE)),"")</f>
        <v>420</v>
      </c>
      <c r="E9" s="125">
        <f>IFERROR(IF(E$6&lt;200,0,HLOOKUP(E$6,Daten!$CX$1:$FM$6,6,FALSE)),"")</f>
        <v>550</v>
      </c>
      <c r="F9" s="125">
        <f>IFERROR(IF(F$6&lt;200,0,HLOOKUP(F$6,Daten!$CX$1:$FM$6,6,FALSE)),"")</f>
        <v>40</v>
      </c>
      <c r="G9" s="125">
        <f>IFERROR(IF(G$6&lt;200,0,HLOOKUP(G$6,Daten!$CX$1:$FM$6,6,FALSE)),"")</f>
        <v>40</v>
      </c>
      <c r="H9" s="125">
        <f>IFERROR(IF(H$6&lt;200,0,HLOOKUP(H$6,Daten!$CX$1:$FM$6,6,FALSE)),"")</f>
        <v>40</v>
      </c>
      <c r="I9" s="125">
        <f>IFERROR(IF(I$6&lt;200,0,HLOOKUP(I$6,Daten!$CX$1:$FM$6,6,FALSE)),"")</f>
        <v>36</v>
      </c>
      <c r="J9" s="125">
        <f>IFERROR(IF(J$6&lt;200,0,HLOOKUP(J$6,Daten!$CX$1:$FM$6,6,FALSE)),"")</f>
        <v>40</v>
      </c>
      <c r="K9" s="125">
        <f>IFERROR(IF(K$6&lt;200,0,HLOOKUP(K$6,Daten!$CX$1:$FM$6,6,FALSE)),"")</f>
        <v>25</v>
      </c>
      <c r="L9" s="125">
        <f>IFERROR(IF(L$6&lt;200,0,HLOOKUP(L$6,Daten!$CX$1:$FM$6,6,FALSE)),"")</f>
        <v>40</v>
      </c>
      <c r="M9" s="125">
        <f>IFERROR(IF(M$6&lt;200,0,HLOOKUP(M$6,Daten!$CX$1:$FM$6,6,FALSE)),"")</f>
        <v>25</v>
      </c>
      <c r="N9" s="125">
        <f>IFERROR(IF(N$6&lt;200,0,HLOOKUP(N$6,Daten!$CX$1:$FM$6,6,FALSE)),"")</f>
        <v>25</v>
      </c>
      <c r="O9" s="125">
        <f>IFERROR(IF(O$6&lt;200,0,HLOOKUP(O$6,Daten!$CX$1:$FM$6,6,FALSE)),"")</f>
        <v>25</v>
      </c>
      <c r="P9" s="125">
        <f>IFERROR(IF(P$6&lt;200,0,HLOOKUP(P$6,Daten!$CX$1:$FM$6,6,FALSE)),"")</f>
        <v>70</v>
      </c>
      <c r="Q9" s="125">
        <f>IFERROR(IF(Q$6&lt;200,0,HLOOKUP(Q$6,Daten!$CX$1:$FM$6,6,FALSE)),"")</f>
        <v>1</v>
      </c>
      <c r="R9" s="125" t="str">
        <f>IFERROR(IF(R$6&lt;200,0,HLOOKUP(R$6,Daten!$CX$1:$FM$6,6,FALSE)),"")</f>
        <v/>
      </c>
      <c r="S9" s="1409"/>
      <c r="T9" s="137"/>
    </row>
    <row r="10" spans="1:21" ht="17.399999999999999" customHeight="1">
      <c r="B10" s="1410" t="str">
        <f>"Preis "&amp;SDÖ1!O8</f>
        <v>Preis ohne MwSt.</v>
      </c>
      <c r="C10" s="126" t="s">
        <v>220</v>
      </c>
      <c r="D10" s="125">
        <f>IFERROR(IF(D$6&lt;200,0,HLOOKUP(D$6,Daten!$CX$1:$FM$7,7,FALSE)),"")</f>
        <v>0</v>
      </c>
      <c r="E10" s="125">
        <f>IFERROR(IF(E$6&lt;200,0,HLOOKUP(E$6,Daten!$CX$1:$FM$7,7,FALSE)),"")</f>
        <v>0</v>
      </c>
      <c r="F10" s="125">
        <f>IFERROR(IF(F$6&lt;200,0,HLOOKUP(F$6,Daten!$CX$1:$FM$7,7,FALSE)),"")</f>
        <v>29.18</v>
      </c>
      <c r="G10" s="125">
        <f>IFERROR(IF(G$6&lt;200,0,HLOOKUP(G$6,Daten!$CX$1:$FM$7,7,FALSE)),"")</f>
        <v>41.13</v>
      </c>
      <c r="H10" s="125">
        <f>IFERROR(IF(H$6&lt;200,0,HLOOKUP(H$6,Daten!$CX$1:$FM$7,7,FALSE)),"")</f>
        <v>28.86</v>
      </c>
      <c r="I10" s="125">
        <f>IFERROR(IF(I$6&lt;200,0,HLOOKUP(I$6,Daten!$CX$1:$FM$7,7,FALSE)),"")</f>
        <v>47.42</v>
      </c>
      <c r="J10" s="125">
        <f>IFERROR(IF(J$6&lt;200,0,HLOOKUP(J$6,Daten!$CX$1:$FM$7,7,FALSE)),"")</f>
        <v>41.08</v>
      </c>
      <c r="K10" s="125">
        <f>IFERROR(IF(K$6&lt;200,0,HLOOKUP(K$6,Daten!$CX$1:$FM$7,7,FALSE)),"")</f>
        <v>53.74</v>
      </c>
      <c r="L10" s="125">
        <f>IFERROR(IF(L$6&lt;200,0,HLOOKUP(L$6,Daten!$CX$1:$FM$7,7,FALSE)),"")</f>
        <v>30.09</v>
      </c>
      <c r="M10" s="125">
        <f>IFERROR(IF(M$6&lt;200,0,HLOOKUP(M$6,Daten!$CX$1:$FM$7,7,FALSE)),"")</f>
        <v>53.74</v>
      </c>
      <c r="N10" s="125">
        <f>IFERROR(IF(N$6&lt;200,0,HLOOKUP(N$6,Daten!$CX$1:$FM$7,7,FALSE)),"")</f>
        <v>50.24</v>
      </c>
      <c r="O10" s="125">
        <f>IFERROR(IF(O$6&lt;200,0,HLOOKUP(O$6,Daten!$CX$1:$FM$7,7,FALSE)),"")</f>
        <v>78.67</v>
      </c>
      <c r="P10" s="125">
        <f>IFERROR(IF(P$6&lt;200,0,HLOOKUP(P$6,Daten!$CX$1:$FM$7,7,FALSE)),"")</f>
        <v>33.56</v>
      </c>
      <c r="Q10" s="125">
        <f>IFERROR(IF(Q$6&lt;200,0,HLOOKUP(Q$6,Daten!$CX$1:$FM$7,7,FALSE)),"")</f>
        <v>0</v>
      </c>
      <c r="R10" s="125" t="str">
        <f>IFERROR(IF(R$6&lt;200,0,HLOOKUP(R$6,Daten!$CX$1:$FM$7,7,FALSE)),"")</f>
        <v/>
      </c>
      <c r="S10" s="1412"/>
      <c r="T10" s="145"/>
      <c r="U10" s="1414" t="e">
        <f>1+SDÖ1!#REF!/100</f>
        <v>#REF!</v>
      </c>
    </row>
    <row r="11" spans="1:21" ht="17.399999999999999" customHeight="1">
      <c r="B11" s="1410" t="s">
        <v>960</v>
      </c>
      <c r="C11" s="126" t="s">
        <v>163</v>
      </c>
      <c r="D11" s="125">
        <f>IFERROR(IF(D$6&lt;200,0,HLOOKUP(D$6,Daten!$CX$1:$FM$8,8,FALSE)),"")</f>
        <v>0</v>
      </c>
      <c r="E11" s="125">
        <f>IFERROR(IF(E$6&lt;200,0,HLOOKUP(E$6,Daten!$CX$1:$FM$8,8,FALSE)),"")</f>
        <v>0</v>
      </c>
      <c r="F11" s="125">
        <f>IFERROR(IF(F$6&lt;200,0,HLOOKUP(F$6,Daten!$CX$1:$FM$8,8,FALSE)),"")</f>
        <v>1167.2</v>
      </c>
      <c r="G11" s="125">
        <f>IFERROR(IF(G$6&lt;200,0,HLOOKUP(G$6,Daten!$CX$1:$FM$8,8,FALSE)),"")</f>
        <v>1645.2</v>
      </c>
      <c r="H11" s="125">
        <f>IFERROR(IF(H$6&lt;200,0,HLOOKUP(H$6,Daten!$CX$1:$FM$8,8,FALSE)),"")</f>
        <v>1154.4000000000001</v>
      </c>
      <c r="I11" s="125">
        <f>IFERROR(IF(I$6&lt;200,0,HLOOKUP(I$6,Daten!$CX$1:$FM$8,8,FALSE)),"")</f>
        <v>1707.1200000000001</v>
      </c>
      <c r="J11" s="125">
        <f>IFERROR(IF(J$6&lt;200,0,HLOOKUP(J$6,Daten!$CX$1:$FM$8,8,FALSE)),"")</f>
        <v>1643.1999999999998</v>
      </c>
      <c r="K11" s="125">
        <f>IFERROR(IF(K$6&lt;200,0,HLOOKUP(K$6,Daten!$CX$1:$FM$8,8,FALSE)),"")</f>
        <v>1343.5</v>
      </c>
      <c r="L11" s="125">
        <f>IFERROR(IF(L$6&lt;200,0,HLOOKUP(L$6,Daten!$CX$1:$FM$8,8,FALSE)),"")</f>
        <v>1203.5999999999999</v>
      </c>
      <c r="M11" s="125">
        <f>IFERROR(IF(M$6&lt;200,0,HLOOKUP(M$6,Daten!$CX$1:$FM$8,8,FALSE)),"")</f>
        <v>1343.5</v>
      </c>
      <c r="N11" s="125">
        <f>IFERROR(IF(N$6&lt;200,0,HLOOKUP(N$6,Daten!$CX$1:$FM$8,8,FALSE)),"")</f>
        <v>1256</v>
      </c>
      <c r="O11" s="125">
        <f>IFERROR(IF(O$6&lt;200,0,HLOOKUP(O$6,Daten!$CX$1:$FM$8,8,FALSE)),"")</f>
        <v>1966.75</v>
      </c>
      <c r="P11" s="125">
        <f>IFERROR(IF(P$6&lt;200,0,HLOOKUP(P$6,Daten!$CX$1:$FM$8,8,FALSE)),"")</f>
        <v>2349.2000000000003</v>
      </c>
      <c r="Q11" s="125">
        <f>IFERROR(IF(Q$6&lt;200,0,HLOOKUP(Q$6,Daten!$CX$1:$FM$8,8,FALSE)),"")</f>
        <v>0</v>
      </c>
      <c r="R11" s="125" t="str">
        <f>IFERROR(IF(R$6&lt;200,0,HLOOKUP(R$6,Daten!$CX$1:$FM$8,8,FALSE)),"")</f>
        <v/>
      </c>
      <c r="S11" s="1412"/>
      <c r="T11" s="1413"/>
    </row>
    <row r="12" spans="1:21" ht="17.399999999999999" customHeight="1">
      <c r="B12" s="1410" t="s">
        <v>959</v>
      </c>
      <c r="C12" s="126" t="s">
        <v>163</v>
      </c>
      <c r="D12" s="125">
        <f>IFERROR(IF(D$6&lt;200,0,HLOOKUP(D$6,Daten!$CX$1:$FM$9,9,FALSE)),"")</f>
        <v>0</v>
      </c>
      <c r="E12" s="125">
        <f>IFERROR(IF(E$6&lt;200,0,HLOOKUP(E$6,Daten!$CX$1:$FM$9,9,FALSE)),"")</f>
        <v>0</v>
      </c>
      <c r="F12" s="125">
        <f>IFERROR(IF(F$6&lt;200,0,HLOOKUP(F$6,Daten!$CX$1:$FM$9,9,FALSE)),"")</f>
        <v>432</v>
      </c>
      <c r="G12" s="125">
        <f>IFERROR(IF(G$6&lt;200,0,HLOOKUP(G$6,Daten!$CX$1:$FM$9,9,FALSE)),"")</f>
        <v>384</v>
      </c>
      <c r="H12" s="125">
        <f>IFERROR(IF(H$6&lt;200,0,HLOOKUP(H$6,Daten!$CX$1:$FM$9,9,FALSE)),"")</f>
        <v>432</v>
      </c>
      <c r="I12" s="125">
        <f>IFERROR(IF(I$6&lt;200,0,HLOOKUP(I$6,Daten!$CX$1:$FM$9,9,FALSE)),"")</f>
        <v>432</v>
      </c>
      <c r="J12" s="125">
        <f>IFERROR(IF(J$6&lt;200,0,HLOOKUP(J$6,Daten!$CX$1:$FM$9,9,FALSE)),"")</f>
        <v>432</v>
      </c>
      <c r="K12" s="125">
        <f>IFERROR(IF(K$6&lt;200,0,HLOOKUP(K$6,Daten!$CX$1:$FM$9,9,FALSE)),"")</f>
        <v>0</v>
      </c>
      <c r="L12" s="125">
        <f>IFERROR(IF(L$6&lt;200,0,HLOOKUP(L$6,Daten!$CX$1:$FM$9,9,FALSE)),"")</f>
        <v>384</v>
      </c>
      <c r="M12" s="125">
        <f>IFERROR(IF(M$6&lt;200,0,HLOOKUP(M$6,Daten!$CX$1:$FM$9,9,FALSE)),"")</f>
        <v>0</v>
      </c>
      <c r="N12" s="125">
        <f>IFERROR(IF(N$6&lt;200,0,HLOOKUP(N$6,Daten!$CX$1:$FM$9,9,FALSE)),"")</f>
        <v>0</v>
      </c>
      <c r="O12" s="125">
        <f>IFERROR(IF(O$6&lt;200,0,HLOOKUP(O$6,Daten!$CX$1:$FM$9,9,FALSE)),"")</f>
        <v>0</v>
      </c>
      <c r="P12" s="125">
        <f>IFERROR(IF(P$6&lt;200,0,HLOOKUP(P$6,Daten!$CX$1:$FM$9,9,FALSE)),"")</f>
        <v>0</v>
      </c>
      <c r="Q12" s="125">
        <f>IFERROR(IF(Q$6&lt;200,0,HLOOKUP(Q$6,Daten!$CX$1:$FM$9,9,FALSE)),"")</f>
        <v>0</v>
      </c>
      <c r="R12" s="125" t="str">
        <f>IFERROR(IF(R$6&lt;200,0,HLOOKUP(R$6,Daten!$CX$1:$FM$9,9,FALSE)),"")</f>
        <v/>
      </c>
      <c r="S12" s="1412"/>
      <c r="T12" s="29"/>
    </row>
    <row r="13" spans="1:21" ht="17.399999999999999" customHeight="1">
      <c r="B13" s="1410" t="s">
        <v>610</v>
      </c>
      <c r="C13" s="126" t="s">
        <v>163</v>
      </c>
      <c r="D13" s="125">
        <f>IFERROR(IF(D$6&lt;200,0,HLOOKUP(D$6,Daten!$CX$1:$FM$10,10,FALSE)),"")</f>
        <v>0</v>
      </c>
      <c r="E13" s="125">
        <f>IFERROR(IF(E$6&lt;200,0,HLOOKUP(E$6,Daten!$CX$1:$FM$10,10,FALSE)),"")</f>
        <v>0</v>
      </c>
      <c r="F13" s="125">
        <f>IFERROR(IF(F$6&lt;200,0,HLOOKUP(F$6,Daten!$CX$1:$FM$10,10,FALSE)),"")</f>
        <v>0</v>
      </c>
      <c r="G13" s="125">
        <f>IFERROR(IF(G$6&lt;200,0,HLOOKUP(G$6,Daten!$CX$1:$FM$10,10,FALSE)),"")</f>
        <v>0</v>
      </c>
      <c r="H13" s="125">
        <f>IFERROR(IF(H$6&lt;200,0,HLOOKUP(H$6,Daten!$CX$1:$FM$10,10,FALSE)),"")</f>
        <v>0</v>
      </c>
      <c r="I13" s="125">
        <f>IFERROR(IF(I$6&lt;200,0,HLOOKUP(I$6,Daten!$CX$1:$FM$10,10,FALSE)),"")</f>
        <v>0</v>
      </c>
      <c r="J13" s="125">
        <f>IFERROR(IF(J$6&lt;200,0,HLOOKUP(J$6,Daten!$CX$1:$FM$10,10,FALSE)),"")</f>
        <v>0</v>
      </c>
      <c r="K13" s="125">
        <f>IFERROR(IF(K$6&lt;200,0,HLOOKUP(K$6,Daten!$CX$1:$FM$10,10,FALSE)),"")</f>
        <v>0</v>
      </c>
      <c r="L13" s="125">
        <f>IFERROR(IF(L$6&lt;200,0,HLOOKUP(L$6,Daten!$CX$1:$FM$10,10,FALSE)),"")</f>
        <v>0</v>
      </c>
      <c r="M13" s="125">
        <f>IFERROR(IF(M$6&lt;200,0,HLOOKUP(M$6,Daten!$CX$1:$FM$10,10,FALSE)),"")</f>
        <v>0</v>
      </c>
      <c r="N13" s="125">
        <f>IFERROR(IF(N$6&lt;200,0,HLOOKUP(N$6,Daten!$CX$1:$FM$10,10,FALSE)),"")</f>
        <v>0</v>
      </c>
      <c r="O13" s="125">
        <f>IFERROR(IF(O$6&lt;200,0,HLOOKUP(O$6,Daten!$CX$1:$FM$10,10,FALSE)),"")</f>
        <v>0</v>
      </c>
      <c r="P13" s="125">
        <f>IFERROR(IF(P$6&lt;200,0,HLOOKUP(P$6,Daten!$CX$1:$FM$10,10,FALSE)),"")</f>
        <v>0</v>
      </c>
      <c r="Q13" s="125">
        <f>IFERROR(IF(Q$6&lt;200,0,HLOOKUP(Q$6,Daten!$CX$1:$FM$10,10,FALSE)),"")</f>
        <v>0</v>
      </c>
      <c r="R13" s="125" t="str">
        <f>IFERROR(IF(R$6&lt;200,0,HLOOKUP(R$6,Daten!$CX$1:$FM$10,10,FALSE)),"")</f>
        <v/>
      </c>
      <c r="S13" s="1412"/>
      <c r="T13" s="145"/>
      <c r="U13" s="29"/>
    </row>
    <row r="14" spans="1:21" ht="17.399999999999999" customHeight="1">
      <c r="B14" s="1410" t="s">
        <v>958</v>
      </c>
      <c r="C14" s="126" t="s">
        <v>163</v>
      </c>
      <c r="D14" s="125">
        <f>IFERROR(IF(D$6&lt;200,0,HLOOKUP(D$6,Daten!$CX$1:$FM$23,23,FALSE)),"")</f>
        <v>417</v>
      </c>
      <c r="E14" s="125">
        <f>IFERROR(IF(E$6&lt;200,0,HLOOKUP(E$6,Daten!$CX$1:$FM$23,23,FALSE)),"")</f>
        <v>417</v>
      </c>
      <c r="F14" s="125">
        <f>IFERROR(IF(F$6&lt;200,0,HLOOKUP(F$6,Daten!$CX$1:$FM$23,23,FALSE)),"")</f>
        <v>417</v>
      </c>
      <c r="G14" s="125">
        <f>IFERROR(IF(G$6&lt;200,0,HLOOKUP(G$6,Daten!$CX$1:$FM$23,23,FALSE)),"")</f>
        <v>417</v>
      </c>
      <c r="H14" s="125">
        <f>IFERROR(IF(H$6&lt;200,0,HLOOKUP(H$6,Daten!$CX$1:$FM$23,23,FALSE)),"")</f>
        <v>417</v>
      </c>
      <c r="I14" s="125">
        <f>IFERROR(IF(I$6&lt;200,0,HLOOKUP(I$6,Daten!$CX$1:$FM$23,23,FALSE)),"")</f>
        <v>417</v>
      </c>
      <c r="J14" s="125">
        <f>IFERROR(IF(J$6&lt;200,0,HLOOKUP(J$6,Daten!$CX$1:$FM$23,23,FALSE)),"")</f>
        <v>417</v>
      </c>
      <c r="K14" s="125">
        <f>IFERROR(IF(K$6&lt;200,0,HLOOKUP(K$6,Daten!$CX$1:$FM$23,23,FALSE)),"")</f>
        <v>417</v>
      </c>
      <c r="L14" s="125">
        <f>IFERROR(IF(L$6&lt;200,0,HLOOKUP(L$6,Daten!$CX$1:$FM$23,23,FALSE)),"")</f>
        <v>417</v>
      </c>
      <c r="M14" s="125">
        <f>IFERROR(IF(M$6&lt;200,0,HLOOKUP(M$6,Daten!$CX$1:$FM$23,23,FALSE)),"")</f>
        <v>417</v>
      </c>
      <c r="N14" s="125">
        <f>IFERROR(IF(N$6&lt;200,0,HLOOKUP(N$6,Daten!$CX$1:$FM$23,23,FALSE)),"")</f>
        <v>417</v>
      </c>
      <c r="O14" s="125">
        <f>IFERROR(IF(O$6&lt;200,0,HLOOKUP(O$6,Daten!$CX$1:$FM$23,23,FALSE)),"")</f>
        <v>417</v>
      </c>
      <c r="P14" s="125">
        <f>IFERROR(IF(P$6&lt;200,0,HLOOKUP(P$6,Daten!$CX$1:$FM$23,23,FALSE)),"")</f>
        <v>417</v>
      </c>
      <c r="Q14" s="125">
        <f>IFERROR(IF(Q$6&lt;200,0,HLOOKUP(Q$6,Daten!$CX$1:$FM$23,23,FALSE)),"")</f>
        <v>177</v>
      </c>
      <c r="R14" s="125" t="str">
        <f>IFERROR(IF(R$6&lt;200,0,HLOOKUP(R$6,Daten!$CX$1:$FM$23,23,FALSE)),"")</f>
        <v/>
      </c>
      <c r="S14" s="1412"/>
      <c r="T14" s="145"/>
      <c r="U14" s="133">
        <f t="shared" ref="U14:U23" si="3">IF(ISERROR((D14*$D$8+E14*$E$8+F14*$F$8+G14*$G$8+I14*$I$8+J14*$J$8)/$S$8),"",(D14*$D$8+E14*$E$8+F14*$F$8+G14*$G$8+I14*$I$8+J14*$J$8)/$S$8)</f>
        <v>250.2</v>
      </c>
    </row>
    <row r="15" spans="1:21" ht="19.95" customHeight="1">
      <c r="B15" s="1408" t="s">
        <v>215</v>
      </c>
      <c r="C15" s="144" t="s">
        <v>163</v>
      </c>
      <c r="D15" s="131">
        <f>IF(ISERROR(IF(D6&lt;200,0,(HLOOKUP(D6,Daten!$CX$1:$FM$63,11,FALSE))+(HLOOKUP(D6,Daten!$CX$1:$FM$63,23,FALSE)))),"",IF(D6&lt;200,0,(HLOOKUP(D6,Daten!$CX$1:$FM$63,11,FALSE))+(HLOOKUP(D6,Daten!$CX$1:$FM$63,23,FALSE))))</f>
        <v>417</v>
      </c>
      <c r="E15" s="131">
        <f>IF(ISERROR(IF(E6&lt;200,0,(HLOOKUP(E6,Daten!$CX$1:$FM$63,11,FALSE))+(HLOOKUP(E6,Daten!$CX$1:$FM$63,23,FALSE)))),"",IF(E6&lt;200,0,(HLOOKUP(E6,Daten!$CX$1:$FM$63,11,FALSE))+(HLOOKUP(E6,Daten!$CX$1:$FM$63,23,FALSE))))</f>
        <v>417</v>
      </c>
      <c r="F15" s="131">
        <f>IF(ISERROR(IF(F6&lt;200,0,(HLOOKUP(F6,Daten!$CX$1:$FM$63,11,FALSE))+(HLOOKUP(F6,Daten!$CX$1:$FM$63,23,FALSE)))),"",IF(F6&lt;200,0,(HLOOKUP(F6,Daten!$CX$1:$FM$63,11,FALSE))+(HLOOKUP(F6,Daten!$CX$1:$FM$63,23,FALSE))))</f>
        <v>2016.2</v>
      </c>
      <c r="G15" s="131">
        <f>IF(ISERROR(IF(G6&lt;200,0,(HLOOKUP(G6,Daten!$CX$1:$FM$63,11,FALSE))+(HLOOKUP(G6,Daten!$CX$1:$FM$63,23,FALSE)))),"",IF(G6&lt;200,0,(HLOOKUP(G6,Daten!$CX$1:$FM$63,11,FALSE))+(HLOOKUP(G6,Daten!$CX$1:$FM$63,23,FALSE))))</f>
        <v>2446.1999999999998</v>
      </c>
      <c r="H15" s="131">
        <f>IF(ISERROR(IF(H6&lt;200,0,(HLOOKUP(H6,Daten!$CX$1:$FM$63,11,FALSE))+(HLOOKUP(H6,Daten!$CX$1:$FM$63,23,FALSE)))),"",IF(H6&lt;200,0,(HLOOKUP(H6,Daten!$CX$1:$FM$63,11,FALSE))+(HLOOKUP(H6,Daten!$CX$1:$FM$63,23,FALSE))))</f>
        <v>2003.4</v>
      </c>
      <c r="I15" s="131">
        <f>IF(ISERROR(IF(I6&lt;200,0,(HLOOKUP(I6,Daten!$CX$1:$FM$63,11,FALSE))+(HLOOKUP(I6,Daten!$CX$1:$FM$63,23,FALSE)))),"",IF(I6&lt;200,0,(HLOOKUP(I6,Daten!$CX$1:$FM$63,11,FALSE))+(HLOOKUP(I6,Daten!$CX$1:$FM$63,23,FALSE))))</f>
        <v>2556.12</v>
      </c>
      <c r="J15" s="131">
        <f>IF(ISERROR(IF(J6&lt;200,0,(HLOOKUP(J6,Daten!$CX$1:$FM$63,11,FALSE))+(HLOOKUP(J6,Daten!$CX$1:$FM$63,23,FALSE)))),"",IF(J6&lt;200,0,(HLOOKUP(J6,Daten!$CX$1:$FM$63,11,FALSE))+(HLOOKUP(J6,Daten!$CX$1:$FM$63,23,FALSE))))</f>
        <v>2492.1999999999998</v>
      </c>
      <c r="K15" s="131">
        <f>IF(ISERROR(IF(K6&lt;200,0,(HLOOKUP(K6,Daten!$CX$1:$FM$63,11,FALSE))+(HLOOKUP(K6,Daten!$CX$1:$FM$63,23,FALSE)))),"",IF(K6&lt;200,0,(HLOOKUP(K6,Daten!$CX$1:$FM$63,11,FALSE))+(HLOOKUP(K6,Daten!$CX$1:$FM$63,23,FALSE))))</f>
        <v>1760.5</v>
      </c>
      <c r="L15" s="131">
        <f>IF(ISERROR(IF(L6&lt;200,0,(HLOOKUP(L6,Daten!$CX$1:$FM$63,11,FALSE))+(HLOOKUP(L6,Daten!$CX$1:$FM$63,23,FALSE)))),"",IF(L6&lt;200,0,(HLOOKUP(L6,Daten!$CX$1:$FM$63,11,FALSE))+(HLOOKUP(L6,Daten!$CX$1:$FM$63,23,FALSE))))</f>
        <v>2004.6</v>
      </c>
      <c r="M15" s="131">
        <f>IF(ISERROR(IF(M6&lt;200,0,(HLOOKUP(M6,Daten!$CX$1:$FM$63,11,FALSE))+(HLOOKUP(M6,Daten!$CX$1:$FM$63,23,FALSE)))),"",IF(M6&lt;200,0,(HLOOKUP(M6,Daten!$CX$1:$FM$63,11,FALSE))+(HLOOKUP(M6,Daten!$CX$1:$FM$63,23,FALSE))))</f>
        <v>1760.5</v>
      </c>
      <c r="N15" s="131">
        <f>IF(ISERROR(IF(N6&lt;200,0,(HLOOKUP(N6,Daten!$CX$1:$FM$63,11,FALSE))+(HLOOKUP(N6,Daten!$CX$1:$FM$63,23,FALSE)))),"",IF(N6&lt;200,0,(HLOOKUP(N6,Daten!$CX$1:$FM$63,11,FALSE))+(HLOOKUP(N6,Daten!$CX$1:$FM$63,23,FALSE))))</f>
        <v>1673</v>
      </c>
      <c r="O15" s="131">
        <f>IF(ISERROR(IF(O6&lt;200,0,(HLOOKUP(O6,Daten!$CX$1:$FM$63,11,FALSE))+(HLOOKUP(O6,Daten!$CX$1:$FM$63,23,FALSE)))),"",IF(O6&lt;200,0,(HLOOKUP(O6,Daten!$CX$1:$FM$63,11,FALSE))+(HLOOKUP(O6,Daten!$CX$1:$FM$63,23,FALSE))))</f>
        <v>2383.75</v>
      </c>
      <c r="P15" s="131">
        <f>IF(ISERROR(IF(P6&lt;200,0,(HLOOKUP(P6,Daten!$CX$1:$FM$63,11,FALSE))+(HLOOKUP(P6,Daten!$CX$1:$FM$63,23,FALSE)))),"",IF(P6&lt;200,0,(HLOOKUP(P6,Daten!$CX$1:$FM$63,11,FALSE))+(HLOOKUP(P6,Daten!$CX$1:$FM$63,23,FALSE))))</f>
        <v>2766.2000000000003</v>
      </c>
      <c r="Q15" s="131">
        <f>IF(ISERROR(IF(Q6&lt;200,0,(HLOOKUP(Q6,Daten!$CX$1:$FM$63,11,FALSE))+(HLOOKUP(Q6,Daten!$CX$1:$FM$63,23,FALSE)))),"",IF(Q6&lt;200,0,(HLOOKUP(Q6,Daten!$CX$1:$FM$63,11,FALSE))+(HLOOKUP(Q6,Daten!$CX$1:$FM$63,23,FALSE))))</f>
        <v>177</v>
      </c>
      <c r="R15" s="131" t="str">
        <f>IF(ISERROR(IF(R6&lt;200,0,(HLOOKUP(R6,Daten!$CX$1:$FM$63,11,FALSE))+(HLOOKUP(R6,Daten!$CX$1:$FM$63,23,FALSE)))),"",IF(R6&lt;200,0,(HLOOKUP(R6,Daten!$CX$1:$FM$63,11,FALSE))+(HLOOKUP(R6,Daten!$CX$1:$FM$63,23,FALSE))))</f>
        <v/>
      </c>
      <c r="S15" s="1411"/>
      <c r="T15" s="142"/>
      <c r="U15" s="133">
        <f t="shared" si="3"/>
        <v>1071.08</v>
      </c>
    </row>
    <row r="16" spans="1:21" ht="15" customHeight="1">
      <c r="B16" s="1410" t="s">
        <v>214</v>
      </c>
      <c r="C16" s="126" t="s">
        <v>163</v>
      </c>
      <c r="D16" s="125">
        <f>IFERROR(IF(D$6&lt;200,0,HLOOKUP(D$6,Daten!$CX$1:$FM$12,12,FALSE)),"")</f>
        <v>203.75</v>
      </c>
      <c r="E16" s="125">
        <f>IFERROR(IF(E$6&lt;200,0,HLOOKUP(E$6,Daten!$CX$1:$FM$12,12,FALSE)),"")</f>
        <v>202.20000000000002</v>
      </c>
      <c r="F16" s="125">
        <f>IFERROR(IF(F$6&lt;200,0,HLOOKUP(F$6,Daten!$CX$1:$FM$12,12,FALSE)),"")</f>
        <v>110</v>
      </c>
      <c r="G16" s="125">
        <f>IFERROR(IF(G$6&lt;200,0,HLOOKUP(G$6,Daten!$CX$1:$FM$12,12,FALSE)),"")</f>
        <v>220.00000000000003</v>
      </c>
      <c r="H16" s="125">
        <f>IFERROR(IF(H$6&lt;200,0,HLOOKUP(H$6,Daten!$CX$1:$FM$12,12,FALSE)),"")</f>
        <v>166.6</v>
      </c>
      <c r="I16" s="125">
        <f>IFERROR(IF(I$6&lt;200,0,HLOOKUP(I$6,Daten!$CX$1:$FM$12,12,FALSE)),"")</f>
        <v>168.00000000000003</v>
      </c>
      <c r="J16" s="125">
        <f>IFERROR(IF(J$6&lt;200,0,HLOOKUP(J$6,Daten!$CX$1:$FM$12,12,FALSE)),"")</f>
        <v>180.79999999999998</v>
      </c>
      <c r="K16" s="125">
        <f>IFERROR(IF(K$6&lt;200,0,HLOOKUP(K$6,Daten!$CX$1:$FM$12,12,FALSE)),"")</f>
        <v>284</v>
      </c>
      <c r="L16" s="125">
        <f>IFERROR(IF(L$6&lt;200,0,HLOOKUP(L$6,Daten!$CX$1:$FM$12,12,FALSE)),"")</f>
        <v>216</v>
      </c>
      <c r="M16" s="125">
        <f>IFERROR(IF(M$6&lt;200,0,HLOOKUP(M$6,Daten!$CX$1:$FM$12,12,FALSE)),"")</f>
        <v>284</v>
      </c>
      <c r="N16" s="125">
        <f>IFERROR(IF(N$6&lt;200,0,HLOOKUP(N$6,Daten!$CX$1:$FM$12,12,FALSE)),"")</f>
        <v>296.09999999999997</v>
      </c>
      <c r="O16" s="125">
        <f>IFERROR(IF(O$6&lt;200,0,HLOOKUP(O$6,Daten!$CX$1:$FM$12,12,FALSE)),"")</f>
        <v>422.56</v>
      </c>
      <c r="P16" s="125">
        <f>IFERROR(IF(P$6&lt;200,0,HLOOKUP(P$6,Daten!$CX$1:$FM$12,12,FALSE)),"")</f>
        <v>292</v>
      </c>
      <c r="Q16" s="125">
        <f>IFERROR(IF(Q$6&lt;200,0,HLOOKUP(Q$6,Daten!$CX$1:$FM$12,12,FALSE)),"")</f>
        <v>183</v>
      </c>
      <c r="R16" s="125" t="str">
        <f>IFERROR(IF(R$6&lt;200,0,HLOOKUP(R$6,Daten!$CX$1:$FM$12,12,FALSE)),"")</f>
        <v/>
      </c>
      <c r="S16" s="1409"/>
      <c r="T16" s="137"/>
      <c r="U16" s="133">
        <f t="shared" si="3"/>
        <v>120.91</v>
      </c>
    </row>
    <row r="17" spans="2:21" ht="15" customHeight="1">
      <c r="B17" s="1410" t="s">
        <v>957</v>
      </c>
      <c r="C17" s="126" t="s">
        <v>163</v>
      </c>
      <c r="D17" s="125">
        <f>IFERROR(IF(D$6&lt;200,0,HLOOKUP(D$6,Daten!$CX$1:$FM$13,13,FALSE)),"")</f>
        <v>-766.64</v>
      </c>
      <c r="E17" s="125">
        <f>IFERROR(IF(E$6&lt;200,0,HLOOKUP(E$6,Daten!$CX$1:$FM$13,13,FALSE)),"")</f>
        <v>-722.61</v>
      </c>
      <c r="F17" s="125">
        <f>IFERROR(IF(F$6&lt;200,0,HLOOKUP(F$6,Daten!$CX$1:$FM$13,13,FALSE)),"")</f>
        <v>717.69439999999997</v>
      </c>
      <c r="G17" s="125">
        <f>IFERROR(IF(G$6&lt;200,0,HLOOKUP(G$6,Daten!$CX$1:$FM$13,13,FALSE)),"")</f>
        <v>769.95679999999993</v>
      </c>
      <c r="H17" s="125">
        <f>IFERROR(IF(H$6&lt;200,0,HLOOKUP(H$6,Daten!$CX$1:$FM$13,13,FALSE)),"")</f>
        <v>714.90639999999996</v>
      </c>
      <c r="I17" s="125">
        <f>IFERROR(IF(I$6&lt;200,0,HLOOKUP(I$6,Daten!$CX$1:$FM$13,13,FALSE)),"")</f>
        <v>629.95439999999996</v>
      </c>
      <c r="J17" s="125">
        <f>IFERROR(IF(J$6&lt;200,0,HLOOKUP(J$6,Daten!$CX$1:$FM$13,13,FALSE)),"")</f>
        <v>743.89519999999993</v>
      </c>
      <c r="K17" s="125">
        <f>IFERROR(IF(K$6&lt;200,0,HLOOKUP(K$6,Daten!$CX$1:$FM$13,13,FALSE)),"")</f>
        <v>-11.650000000000027</v>
      </c>
      <c r="L17" s="125">
        <f>IFERROR(IF(L$6&lt;200,0,HLOOKUP(L$6,Daten!$CX$1:$FM$13,13,FALSE)),"")</f>
        <v>674.64480000000003</v>
      </c>
      <c r="M17" s="125">
        <f>IFERROR(IF(M$6&lt;200,0,HLOOKUP(M$6,Daten!$CX$1:$FM$13,13,FALSE)),"")</f>
        <v>-11.650000000000027</v>
      </c>
      <c r="N17" s="125">
        <f>IFERROR(IF(N$6&lt;200,0,HLOOKUP(N$6,Daten!$CX$1:$FM$13,13,FALSE)),"")</f>
        <v>-2.2500000000000355</v>
      </c>
      <c r="O17" s="125">
        <f>IFERROR(IF(O$6&lt;200,0,HLOOKUP(O$6,Daten!$CX$1:$FM$13,13,FALSE)),"")</f>
        <v>22.852000000000075</v>
      </c>
      <c r="P17" s="125">
        <f>IFERROR(IF(P$6&lt;200,0,HLOOKUP(P$6,Daten!$CX$1:$FM$13,13,FALSE)),"")</f>
        <v>745.80799999999988</v>
      </c>
      <c r="Q17" s="125">
        <f>IFERROR(IF(Q$6&lt;200,0,HLOOKUP(Q$6,Daten!$CX$1:$FM$13,13,FALSE)),"")</f>
        <v>101.78699999999999</v>
      </c>
      <c r="R17" s="125" t="str">
        <f>IFERROR(IF(R$6&lt;200,0,HLOOKUP(R$6,Daten!$CX$1:$FM$13,13,FALSE)),"")</f>
        <v/>
      </c>
      <c r="S17" s="1409"/>
      <c r="T17" s="137"/>
      <c r="U17" s="134">
        <f t="shared" si="3"/>
        <v>149.44239999999999</v>
      </c>
    </row>
    <row r="18" spans="2:21" ht="15" customHeight="1">
      <c r="B18" s="1410" t="s">
        <v>212</v>
      </c>
      <c r="C18" s="126" t="s">
        <v>163</v>
      </c>
      <c r="D18" s="125">
        <f>IFERROR(IF(D$6&lt;200,0,HLOOKUP(D$6,Daten!$CX$1:$FM$14,14,FALSE)),"")</f>
        <v>0</v>
      </c>
      <c r="E18" s="125">
        <f>IFERROR(IF(E$6&lt;200,0,HLOOKUP(E$6,Daten!$CX$1:$FM$14,14,FALSE)),"")</f>
        <v>0</v>
      </c>
      <c r="F18" s="125">
        <f>IFERROR(IF(F$6&lt;200,0,HLOOKUP(F$6,Daten!$CX$1:$FM$14,14,FALSE)),"")</f>
        <v>0</v>
      </c>
      <c r="G18" s="125">
        <f>IFERROR(IF(G$6&lt;200,0,HLOOKUP(G$6,Daten!$CX$1:$FM$14,14,FALSE)),"")</f>
        <v>0</v>
      </c>
      <c r="H18" s="125">
        <f>IFERROR(IF(H$6&lt;200,0,HLOOKUP(H$6,Daten!$CX$1:$FM$14,14,FALSE)),"")</f>
        <v>0</v>
      </c>
      <c r="I18" s="125">
        <f>IFERROR(IF(I$6&lt;200,0,HLOOKUP(I$6,Daten!$CX$1:$FM$14,14,FALSE)),"")</f>
        <v>0</v>
      </c>
      <c r="J18" s="125">
        <f>IFERROR(IF(J$6&lt;200,0,HLOOKUP(J$6,Daten!$CX$1:$FM$14,14,FALSE)),"")</f>
        <v>0</v>
      </c>
      <c r="K18" s="125">
        <f>IFERROR(IF(K$6&lt;200,0,HLOOKUP(K$6,Daten!$CX$1:$FM$14,14,FALSE)),"")</f>
        <v>0</v>
      </c>
      <c r="L18" s="125">
        <f>IFERROR(IF(L$6&lt;200,0,HLOOKUP(L$6,Daten!$CX$1:$FM$14,14,FALSE)),"")</f>
        <v>0</v>
      </c>
      <c r="M18" s="125">
        <f>IFERROR(IF(M$6&lt;200,0,HLOOKUP(M$6,Daten!$CX$1:$FM$14,14,FALSE)),"")</f>
        <v>0</v>
      </c>
      <c r="N18" s="125">
        <f>IFERROR(IF(N$6&lt;200,0,HLOOKUP(N$6,Daten!$CX$1:$FM$14,14,FALSE)),"")</f>
        <v>0</v>
      </c>
      <c r="O18" s="125">
        <f>IFERROR(IF(O$6&lt;200,0,HLOOKUP(O$6,Daten!$CX$1:$FM$14,14,FALSE)),"")</f>
        <v>0</v>
      </c>
      <c r="P18" s="125">
        <f>IFERROR(IF(P$6&lt;200,0,HLOOKUP(P$6,Daten!$CX$1:$FM$14,14,FALSE)),"")</f>
        <v>0</v>
      </c>
      <c r="Q18" s="125">
        <f>IFERROR(IF(Q$6&lt;200,0,HLOOKUP(Q$6,Daten!$CX$1:$FM$14,14,FALSE)),"")</f>
        <v>0</v>
      </c>
      <c r="R18" s="125" t="str">
        <f>IFERROR(IF(R$6&lt;200,0,HLOOKUP(R$6,Daten!$CX$1:$FM$14,14,FALSE)),"")</f>
        <v/>
      </c>
      <c r="S18" s="1409"/>
      <c r="T18" s="137"/>
      <c r="U18" s="134">
        <f t="shared" si="3"/>
        <v>0</v>
      </c>
    </row>
    <row r="19" spans="2:21" ht="15" customHeight="1">
      <c r="B19" s="1410" t="s">
        <v>211</v>
      </c>
      <c r="C19" s="126" t="s">
        <v>163</v>
      </c>
      <c r="D19" s="125">
        <f>IFERROR(IF(D$6&lt;200,0,HLOOKUP(D$6,Daten!$CX$1:$FM$60,60,FALSE)),"")</f>
        <v>197.83489008999999</v>
      </c>
      <c r="E19" s="125">
        <f>IFERROR(IF(E$6&lt;200,0,HLOOKUP(E$6,Daten!$CX$1:$FM$60,60,FALSE)),"")</f>
        <v>136.19031709000001</v>
      </c>
      <c r="F19" s="125">
        <f>IFERROR(IF(F$6&lt;200,0,HLOOKUP(F$6,Daten!$CX$1:$FM$60,60,FALSE)),"")</f>
        <v>436.81373338416665</v>
      </c>
      <c r="G19" s="125">
        <f>IFERROR(IF(G$6&lt;200,0,HLOOKUP(G$6,Daten!$CX$1:$FM$60,60,FALSE)),"")</f>
        <v>300.48353592666666</v>
      </c>
      <c r="H19" s="125">
        <f>IFERROR(IF(H$6&lt;200,0,HLOOKUP(H$6,Daten!$CX$1:$FM$60,60,FALSE)),"")</f>
        <v>436.81373338416665</v>
      </c>
      <c r="I19" s="125">
        <f>IFERROR(IF(I$6&lt;200,0,HLOOKUP(I$6,Daten!$CX$1:$FM$60,60,FALSE)),"")</f>
        <v>449.4703342316667</v>
      </c>
      <c r="J19" s="125">
        <f>IFERROR(IF(J$6&lt;200,0,HLOOKUP(J$6,Daten!$CX$1:$FM$60,60,FALSE)),"")</f>
        <v>436.81373338416665</v>
      </c>
      <c r="K19" s="125">
        <f>IFERROR(IF(K$6&lt;200,0,HLOOKUP(K$6,Daten!$CX$1:$FM$60,60,FALSE)),"")</f>
        <v>373.76125627666664</v>
      </c>
      <c r="L19" s="125">
        <f>IFERROR(IF(L$6&lt;200,0,HLOOKUP(L$6,Daten!$CX$1:$FM$60,60,FALSE)),"")</f>
        <v>421.66593366666666</v>
      </c>
      <c r="M19" s="125">
        <f>IFERROR(IF(M$6&lt;200,0,HLOOKUP(M$6,Daten!$CX$1:$FM$60,60,FALSE)),"")</f>
        <v>373.76125627666664</v>
      </c>
      <c r="N19" s="125">
        <f>IFERROR(IF(N$6&lt;200,0,HLOOKUP(N$6,Daten!$CX$1:$FM$60,60,FALSE)),"")</f>
        <v>360.87043188666667</v>
      </c>
      <c r="O19" s="125">
        <f>IFERROR(IF(O$6&lt;200,0,HLOOKUP(O$6,Daten!$CX$1:$FM$60,60,FALSE)),"")</f>
        <v>406.35402706666662</v>
      </c>
      <c r="P19" s="125">
        <f>IFERROR(IF(P$6&lt;200,0,HLOOKUP(P$6,Daten!$CX$1:$FM$60,60,FALSE)),"")</f>
        <v>390.37684722666665</v>
      </c>
      <c r="Q19" s="125">
        <f>IFERROR(IF(Q$6&lt;200,0,HLOOKUP(Q$6,Daten!$CX$1:$FM$60,60,FALSE)),"")</f>
        <v>52.372249999999994</v>
      </c>
      <c r="R19" s="125" t="str">
        <f>IFERROR(IF(R$6&lt;200,0,HLOOKUP(R$6,Daten!$CX$1:$FM$60,60,FALSE)),"")</f>
        <v/>
      </c>
      <c r="S19" s="1409"/>
      <c r="T19" s="137"/>
      <c r="U19" s="134">
        <f t="shared" si="3"/>
        <v>187.02643188016668</v>
      </c>
    </row>
    <row r="20" spans="2:21" ht="15" customHeight="1">
      <c r="B20" s="1410" t="s">
        <v>956</v>
      </c>
      <c r="C20" s="126" t="s">
        <v>163</v>
      </c>
      <c r="D20" s="125">
        <f>IFERROR(IF(D$6&lt;200,0,HLOOKUP(D$6,Daten!$CX$1:$FM$59,59,FALSE)),"")</f>
        <v>-4.2589762822833332</v>
      </c>
      <c r="E20" s="125">
        <f>IFERROR(IF(E$6&lt;200,0,HLOOKUP(E$6,Daten!$CX$1:$FM$59,59,FALSE)),"")</f>
        <v>-4.4825629672833331</v>
      </c>
      <c r="F20" s="125">
        <f>IFERROR(IF(F$6&lt;200,0,HLOOKUP(F$6,Daten!$CX$1:$FM$59,59,FALSE)),"")</f>
        <v>94.357812222815269</v>
      </c>
      <c r="G20" s="125">
        <f>IFERROR(IF(G$6&lt;200,0,HLOOKUP(G$6,Daten!$CX$1:$FM$59,59,FALSE)),"")</f>
        <v>101.62062125247776</v>
      </c>
      <c r="H20" s="125">
        <f>IFERROR(IF(H$6&lt;200,0,HLOOKUP(H$6,Daten!$CX$1:$FM$59,59,FALSE)),"")</f>
        <v>151.43176288948212</v>
      </c>
      <c r="I20" s="125">
        <f>IFERROR(IF(I$6&lt;200,0,HLOOKUP(I$6,Daten!$CX$1:$FM$59,59,FALSE)),"")</f>
        <v>98.448842118597213</v>
      </c>
      <c r="J20" s="125">
        <f>IFERROR(IF(J$6&lt;200,0,HLOOKUP(J$6,Daten!$CX$1:$FM$59,59,FALSE)),"")</f>
        <v>98.368301111534691</v>
      </c>
      <c r="K20" s="125">
        <f>IFERROR(IF(K$6&lt;200,0,HLOOKUP(K$6,Daten!$CX$1:$FM$59,59,FALSE)),"")</f>
        <v>125.43138546897225</v>
      </c>
      <c r="L20" s="125">
        <f>IFERROR(IF(L$6&lt;200,0,HLOOKUP(L$6,Daten!$CX$1:$FM$59,59,FALSE)),"")</f>
        <v>94.727743892777767</v>
      </c>
      <c r="M20" s="125">
        <f>IFERROR(IF(M$6&lt;200,0,HLOOKUP(M$6,Daten!$CX$1:$FM$59,59,FALSE)),"")</f>
        <v>125.43138546897225</v>
      </c>
      <c r="N20" s="125">
        <f>IFERROR(IF(N$6&lt;200,0,HLOOKUP(N$6,Daten!$CX$1:$FM$59,59,FALSE)),"")</f>
        <v>83.153128599055563</v>
      </c>
      <c r="O20" s="125">
        <f>IFERROR(IF(O$6&lt;200,0,HLOOKUP(O$6,Daten!$CX$1:$FM$59,59,FALSE)),"")</f>
        <v>184.00408355888908</v>
      </c>
      <c r="P20" s="125">
        <f>IFERROR(IF(P$6&lt;200,0,HLOOKUP(P$6,Daten!$CX$1:$FM$59,59,FALSE)),"")</f>
        <v>280.40618706022224</v>
      </c>
      <c r="Q20" s="125">
        <f>IFERROR(IF(Q$6&lt;200,0,HLOOKUP(Q$6,Daten!$CX$1:$FM$59,59,FALSE)),"")</f>
        <v>2.8096604166666665</v>
      </c>
      <c r="R20" s="125" t="str">
        <f>IFERROR(IF(R$6&lt;200,0,HLOOKUP(R$6,Daten!$CX$1:$FM$59,59,FALSE)),"")</f>
        <v/>
      </c>
      <c r="S20" s="1409"/>
      <c r="T20" s="137"/>
      <c r="U20" s="134">
        <f t="shared" si="3"/>
        <v>39.145989216345825</v>
      </c>
    </row>
    <row r="21" spans="2:21" ht="15" customHeight="1">
      <c r="B21" s="1408" t="s">
        <v>955</v>
      </c>
      <c r="C21" s="132" t="s">
        <v>163</v>
      </c>
      <c r="D21" s="131">
        <f>IF(ISERROR(IF(D6&lt;200,0,HLOOKUP(D6,Daten!$CX$1:$FM$63,21,FALSE))),"",IF(D6&lt;200,0,HLOOKUP(D6,Daten!$CX$1:$FM$63,21,FALSE)))</f>
        <v>-365.05510991</v>
      </c>
      <c r="E21" s="131">
        <f>IF(ISERROR(IF(E6&lt;200,0,HLOOKUP(E6,Daten!$CX$1:$FM$63,21,FALSE))),"",IF(E6&lt;200,0,HLOOKUP(E6,Daten!$CX$1:$FM$63,21,FALSE)))</f>
        <v>-384.21968290999996</v>
      </c>
      <c r="F21" s="131">
        <f>IF(ISERROR(IF(F6&lt;200,0,HLOOKUP(F6,Daten!$CX$1:$FM$63,21,FALSE))),"",IF(F6&lt;200,0,HLOOKUP(F6,Daten!$CX$1:$FM$63,21,FALSE)))</f>
        <v>1343.1953333841666</v>
      </c>
      <c r="G21" s="131">
        <f>IF(ISERROR(IF(G6&lt;200,0,HLOOKUP(G6,Daten!$CX$1:$FM$63,21,FALSE))),"",IF(G6&lt;200,0,HLOOKUP(G6,Daten!$CX$1:$FM$63,21,FALSE)))</f>
        <v>1376.0075359266666</v>
      </c>
      <c r="H21" s="131">
        <f>IF(ISERROR(IF(H6&lt;200,0,HLOOKUP(H6,Daten!$CX$1:$FM$63,21,FALSE))),"",IF(H6&lt;200,0,HLOOKUP(H6,Daten!$CX$1:$FM$63,21,FALSE)))</f>
        <v>1452.8025333841667</v>
      </c>
      <c r="I21" s="131">
        <f>IF(ISERROR(IF(I6&lt;200,0,HLOOKUP(I6,Daten!$CX$1:$FM$63,21,FALSE))),"",IF(I6&lt;200,0,HLOOKUP(I6,Daten!$CX$1:$FM$63,21,FALSE)))</f>
        <v>1334.7506542316667</v>
      </c>
      <c r="J21" s="131">
        <f>IF(ISERROR(IF(J6&lt;200,0,HLOOKUP(J6,Daten!$CX$1:$FM$63,21,FALSE))),"",IF(J6&lt;200,0,HLOOKUP(J6,Daten!$CX$1:$FM$63,21,FALSE)))</f>
        <v>1447.8121333841664</v>
      </c>
      <c r="K21" s="131">
        <f>IF(ISERROR(IF(K6&lt;200,0,HLOOKUP(K6,Daten!$CX$1:$FM$63,21,FALSE))),"",IF(K6&lt;200,0,HLOOKUP(K6,Daten!$CX$1:$FM$63,21,FALSE)))</f>
        <v>765.16625627666656</v>
      </c>
      <c r="L21" s="131">
        <f>IF(ISERROR(IF(L6&lt;200,0,HLOOKUP(L6,Daten!$CX$1:$FM$63,21,FALSE))),"",IF(L6&lt;200,0,HLOOKUP(L6,Daten!$CX$1:$FM$63,21,FALSE)))</f>
        <v>1390.8123336666665</v>
      </c>
      <c r="M21" s="131">
        <f>IF(ISERROR(IF(M6&lt;200,0,HLOOKUP(M6,Daten!$CX$1:$FM$63,21,FALSE))),"",IF(M6&lt;200,0,HLOOKUP(M6,Daten!$CX$1:$FM$63,21,FALSE)))</f>
        <v>765.16625627666656</v>
      </c>
      <c r="N21" s="131">
        <f>IF(ISERROR(IF(N6&lt;200,0,HLOOKUP(N6,Daten!$CX$1:$FM$63,21,FALSE))),"",IF(N6&lt;200,0,HLOOKUP(N6,Daten!$CX$1:$FM$63,21,FALSE)))</f>
        <v>731.77543188666652</v>
      </c>
      <c r="O21" s="131">
        <f>IF(ISERROR(IF(O6&lt;200,0,HLOOKUP(O6,Daten!$CX$1:$FM$63,21,FALSE))),"",IF(O6&lt;200,0,HLOOKUP(O6,Daten!$CX$1:$FM$63,21,FALSE)))</f>
        <v>1027.210027066667</v>
      </c>
      <c r="P21" s="131">
        <f>IF(ISERROR(IF(P6&lt;200,0,HLOOKUP(P6,Daten!$CX$1:$FM$63,21,FALSE))),"",IF(P6&lt;200,0,HLOOKUP(P6,Daten!$CX$1:$FM$63,21,FALSE)))</f>
        <v>1694.4704472266665</v>
      </c>
      <c r="Q21" s="131">
        <f>IF(ISERROR(IF(Q6&lt;200,0,HLOOKUP(Q6,Daten!$CX$1:$FM$63,21,FALSE))),"",IF(Q6&lt;200,0,HLOOKUP(Q6,Daten!$CX$1:$FM$63,21,FALSE)))</f>
        <v>337.15924999999999</v>
      </c>
      <c r="R21" s="131" t="str">
        <f>IF(ISERROR(IF(R6&lt;200,0,HLOOKUP(R6,Daten!$CX$1:$FM$63,21,FALSE))),"",IF(R6&lt;200,0,HLOOKUP(R6,Daten!$CX$1:$FM$63,21,FALSE)))</f>
        <v/>
      </c>
      <c r="S21" s="1407"/>
      <c r="T21" s="123"/>
      <c r="U21" s="134">
        <f t="shared" si="3"/>
        <v>491.75291188016655</v>
      </c>
    </row>
    <row r="22" spans="2:21" ht="33" customHeight="1" thickBot="1">
      <c r="B22" s="2394" t="s">
        <v>954</v>
      </c>
      <c r="C22" s="132" t="s">
        <v>163</v>
      </c>
      <c r="D22" s="131">
        <f>IFERROR(IF(D$6&lt;200,0,HLOOKUP(D$6,Daten!$CX$1:$FM$22,22,FALSE)),"")</f>
        <v>365.05510991</v>
      </c>
      <c r="E22" s="131">
        <f>IFERROR(IF(E$6&lt;200,0,HLOOKUP(E$6,Daten!$CX$1:$FM$22,22,FALSE)),"")</f>
        <v>384.21968290999996</v>
      </c>
      <c r="F22" s="131">
        <f>IFERROR(IF(F$6&lt;200,0,HLOOKUP(F$6,Daten!$CX$1:$FM$22,22,FALSE)),"")</f>
        <v>256.00466661583346</v>
      </c>
      <c r="G22" s="131">
        <f>IFERROR(IF(G$6&lt;200,0,HLOOKUP(G$6,Daten!$CX$1:$FM$22,22,FALSE)),"")</f>
        <v>653.19246407333344</v>
      </c>
      <c r="H22" s="131">
        <f>IFERROR(IF(H$6&lt;200,0,HLOOKUP(H$6,Daten!$CX$1:$FM$22,22,FALSE)),"")</f>
        <v>133.59746661583335</v>
      </c>
      <c r="I22" s="131">
        <f>IFERROR(IF(I$6&lt;200,0,HLOOKUP(I$6,Daten!$CX$1:$FM$22,22,FALSE)),"")</f>
        <v>804.36934576833323</v>
      </c>
      <c r="J22" s="131">
        <f>IFERROR(IF(J$6&lt;200,0,HLOOKUP(J$6,Daten!$CX$1:$FM$22,22,FALSE)),"")</f>
        <v>627.38786661583345</v>
      </c>
      <c r="K22" s="131">
        <f>IFERROR(IF(K$6&lt;200,0,HLOOKUP(K$6,Daten!$CX$1:$FM$22,22,FALSE)),"")</f>
        <v>578.33374372333344</v>
      </c>
      <c r="L22" s="131">
        <f>IFERROR(IF(L$6&lt;200,0,HLOOKUP(L$6,Daten!$CX$1:$FM$22,22,FALSE)),"")</f>
        <v>196.78766633333339</v>
      </c>
      <c r="M22" s="131">
        <f>IFERROR(IF(M$6&lt;200,0,HLOOKUP(M$6,Daten!$CX$1:$FM$22,22,FALSE)),"")</f>
        <v>578.33374372333344</v>
      </c>
      <c r="N22" s="131">
        <f>IFERROR(IF(N$6&lt;200,0,HLOOKUP(N$6,Daten!$CX$1:$FM$22,22,FALSE)),"")</f>
        <v>524.22456811333348</v>
      </c>
      <c r="O22" s="131">
        <f>IFERROR(IF(O$6&lt;200,0,HLOOKUP(O$6,Daten!$CX$1:$FM$22,22,FALSE)),"")</f>
        <v>939.53997293333305</v>
      </c>
      <c r="P22" s="131">
        <f>IFERROR(IF(P$6&lt;200,0,HLOOKUP(P$6,Daten!$CX$1:$FM$22,22,FALSE)),"")</f>
        <v>654.72955277333381</v>
      </c>
      <c r="Q22" s="131">
        <f>IFERROR(IF(Q$6&lt;200,0,HLOOKUP(Q$6,Daten!$CX$1:$FM$22,22,FALSE)),"")</f>
        <v>-337.15924999999999</v>
      </c>
      <c r="R22" s="131" t="str">
        <f>IFERROR(IF(R$6&lt;200,0,HLOOKUP(R$6,Daten!$CX$1:$FM$22,22,FALSE)),"")</f>
        <v/>
      </c>
      <c r="S22" s="1407">
        <f>SUMPRODUCT(D8:R8,D22:R22)%</f>
        <v>575.73974741916686</v>
      </c>
      <c r="T22" s="123"/>
      <c r="U22" s="133">
        <f t="shared" si="3"/>
        <v>329.12708811983333</v>
      </c>
    </row>
    <row r="23" spans="2:21" ht="46.5" customHeight="1" thickBot="1">
      <c r="B23" s="2395" t="s">
        <v>953</v>
      </c>
      <c r="C23" s="1406" t="s">
        <v>163</v>
      </c>
      <c r="D23" s="131">
        <f>IFERROR(IF(D$6&lt;200,0,HLOOKUP(D$6,Daten!$CX$1:$FM$25,25,FALSE)),"")</f>
        <v>786.31408619228341</v>
      </c>
      <c r="E23" s="131">
        <f>IFERROR(IF(E$6&lt;200,0,HLOOKUP(E$6,Daten!$CX$1:$FM$25,25,FALSE)),"")</f>
        <v>805.7022458772833</v>
      </c>
      <c r="F23" s="131">
        <f>IFERROR(IF(F$6&lt;200,0,HLOOKUP(F$6,Daten!$CX$1:$FM$25,25,FALSE)),"")</f>
        <v>657.33405439301816</v>
      </c>
      <c r="G23" s="3317">
        <f>IFERROR(IF(G$6&lt;200,0,HLOOKUP(G$6,Daten!$CX$1:$FM$25,25,FALSE)),"")</f>
        <v>1054.1390428208556</v>
      </c>
      <c r="H23" s="2613">
        <f>IFERROR(IF(H$6&lt;200,0,HLOOKUP(H$6,Daten!$CX$1:$FM$25,25,FALSE)),"")</f>
        <v>533.64810372635145</v>
      </c>
      <c r="I23" s="2613">
        <f>IFERROR(IF(I$6&lt;200,0,HLOOKUP(I$6,Daten!$CX$1:$FM$25,25,FALSE)),"")</f>
        <v>1210.246423649736</v>
      </c>
      <c r="J23" s="2613">
        <f>IFERROR(IF(J$6&lt;200,0,HLOOKUP(J$6,Daten!$CX$1:$FM$25,25,FALSE)),"")</f>
        <v>1032.3227655042988</v>
      </c>
      <c r="K23" s="2613">
        <f>IFERROR(IF(K$6&lt;200,0,HLOOKUP(K$6,Daten!$CX$1:$FM$25,25,FALSE)),"")</f>
        <v>988.95735825436122</v>
      </c>
      <c r="L23" s="2613">
        <f>IFERROR(IF(L$6&lt;200,0,HLOOKUP(L$6,Daten!$CX$1:$FM$25,25,FALSE)),"")</f>
        <v>597.56152244055556</v>
      </c>
      <c r="M23" s="2613">
        <f>IFERROR(IF(M$6&lt;200,0,HLOOKUP(M$6,Daten!$CX$1:$FM$25,25,FALSE)),"")</f>
        <v>988.95735825436122</v>
      </c>
      <c r="N23" s="2613">
        <f>IFERROR(IF(N$6&lt;200,0,HLOOKUP(N$6,Daten!$CX$1:$FM$25,25,FALSE)),"")</f>
        <v>935.12643951427788</v>
      </c>
      <c r="O23" s="2613">
        <f>IFERROR(IF(O$6&lt;200,0,HLOOKUP(O$6,Daten!$CX$1:$FM$25,25,FALSE)),"")</f>
        <v>1347.9798893744442</v>
      </c>
      <c r="P23" s="2613">
        <f>IFERROR(IF(P$6&lt;200,0,HLOOKUP(P$6,Daten!$CX$1:$FM$25,25,FALSE)),"")</f>
        <v>1057.6089657131115</v>
      </c>
      <c r="Q23" s="2613">
        <f>IFERROR(IF(Q$6&lt;200,0,HLOOKUP(Q$6,Daten!$CX$1:$FM$25,25,FALSE)),"")</f>
        <v>-162.96891041666666</v>
      </c>
      <c r="R23" s="2613" t="str">
        <f>IFERROR(IF(R$6&lt;200,0,HLOOKUP(R$6,Daten!$CX$1:$FM$25,25,FALSE)),"")</f>
        <v/>
      </c>
      <c r="S23" s="2614">
        <f>SUMPRODUCT(D8:R8,D23:R23)%</f>
        <v>983.86844369698224</v>
      </c>
      <c r="T23" s="114"/>
      <c r="U23" s="1400">
        <f t="shared" si="3"/>
        <v>574.55517890348756</v>
      </c>
    </row>
    <row r="24" spans="2:21" ht="36.75" customHeight="1">
      <c r="B24" s="3869" t="s">
        <v>952</v>
      </c>
      <c r="C24" s="3869"/>
      <c r="D24" s="3869"/>
      <c r="E24" s="3869"/>
      <c r="F24" s="3869"/>
      <c r="G24" s="3870"/>
      <c r="H24" s="167"/>
      <c r="I24" s="167"/>
      <c r="J24" s="167"/>
      <c r="K24" s="167"/>
      <c r="L24" s="167"/>
      <c r="M24" s="167"/>
      <c r="N24" s="167"/>
      <c r="O24" s="167"/>
      <c r="P24" s="167"/>
      <c r="Q24" s="167"/>
      <c r="R24" s="123"/>
      <c r="S24" s="1405"/>
      <c r="T24" s="115"/>
    </row>
    <row r="25" spans="2:21" s="29" customFormat="1" ht="40.950000000000003" customHeight="1"/>
    <row r="26" spans="2:21" s="29" customFormat="1" ht="28.5" customHeight="1">
      <c r="T26" s="1404"/>
      <c r="U26" s="1404">
        <f>COLUMNS($G$26:U26)</f>
        <v>15</v>
      </c>
    </row>
    <row r="27" spans="2:21" s="29" customFormat="1" ht="19.2" customHeight="1">
      <c r="T27" s="1403"/>
      <c r="U27" s="1403"/>
    </row>
    <row r="28" spans="2:21" s="29" customFormat="1" ht="28.5" customHeight="1">
      <c r="T28" s="162"/>
      <c r="U28" s="100"/>
    </row>
    <row r="29" spans="2:21" s="29" customFormat="1" ht="28.5" customHeight="1">
      <c r="T29" s="100"/>
      <c r="U29" s="100"/>
    </row>
    <row r="30" spans="2:21" s="29" customFormat="1" ht="28.5" customHeight="1">
      <c r="T30" s="162"/>
      <c r="U30" s="100"/>
    </row>
    <row r="31" spans="2:21" s="29" customFormat="1" ht="23.85" customHeight="1" thickBot="1">
      <c r="T31" s="100"/>
      <c r="U31" s="100"/>
    </row>
    <row r="32" spans="2:21" s="29" customFormat="1" ht="28.5" customHeight="1">
      <c r="T32" s="156"/>
      <c r="U32" s="1402" t="s">
        <v>951</v>
      </c>
    </row>
    <row r="33" spans="20:21" s="29" customFormat="1" ht="28.5" customHeight="1">
      <c r="T33" s="100"/>
      <c r="U33" s="1401">
        <v>100</v>
      </c>
    </row>
    <row r="34" spans="20:21" s="29" customFormat="1" ht="28.5" customHeight="1">
      <c r="T34" s="137"/>
      <c r="U34" s="100"/>
    </row>
    <row r="35" spans="20:21" s="29" customFormat="1" ht="28.5" customHeight="1">
      <c r="T35" s="145"/>
      <c r="U35" s="100"/>
    </row>
    <row r="36" spans="20:21" s="29" customFormat="1" ht="28.5" customHeight="1">
      <c r="T36" s="145"/>
      <c r="U36" s="100"/>
    </row>
    <row r="37" spans="20:21" s="29" customFormat="1" ht="57.15" customHeight="1">
      <c r="T37" s="145"/>
      <c r="U37" s="100"/>
    </row>
    <row r="38" spans="20:21" s="29" customFormat="1" ht="57.75" customHeight="1">
      <c r="T38" s="145"/>
    </row>
    <row r="39" spans="20:21" s="29" customFormat="1" ht="57.75" customHeight="1">
      <c r="T39" s="145"/>
      <c r="U39" s="133"/>
    </row>
    <row r="40" spans="20:21" s="29" customFormat="1" ht="28.5" customHeight="1">
      <c r="T40" s="142"/>
      <c r="U40" s="133"/>
    </row>
    <row r="41" spans="20:21" s="29" customFormat="1" ht="28.5" customHeight="1">
      <c r="T41" s="137"/>
      <c r="U41" s="133"/>
    </row>
    <row r="42" spans="20:21" s="29" customFormat="1" ht="28.5" customHeight="1">
      <c r="T42" s="137"/>
      <c r="U42" s="134"/>
    </row>
    <row r="43" spans="20:21" s="29" customFormat="1" ht="28.5" customHeight="1">
      <c r="T43" s="137"/>
      <c r="U43" s="134"/>
    </row>
    <row r="44" spans="20:21" s="29" customFormat="1" ht="105.45" customHeight="1">
      <c r="U44" s="134" t="str">
        <f>IF(ISERROR((D44*$D$33+E44*$E$33+F44*$F$33+G44*$G$33+I44*$I$33+J44*$J$33)/$S$33),"",(D44*$D$33+E44*$E$33+F44*$F$33+G44*$G$33+I44*$I$33+J44*$J$33)/$S$33)</f>
        <v/>
      </c>
    </row>
    <row r="45" spans="20:21" s="29" customFormat="1" ht="25.2" customHeight="1">
      <c r="U45" s="134" t="str">
        <f>IF(ISERROR((#REF!*$D$33+#REF!*$E$33+#REF!*$F$33+#REF!*$G$33+#REF!*$I$33+#REF!*$J$33)/$S$33),"",(#REF!*$D$33+#REF!*$E$33+#REF!*$F$33+#REF!*$G$33+#REF!*$I$33+#REF!*$J$33)/$S$33)</f>
        <v/>
      </c>
    </row>
    <row r="46" spans="20:21" s="29" customFormat="1" ht="25.2" customHeight="1">
      <c r="U46" s="134" t="str">
        <f>IF(ISERROR((#REF!*$D$33+#REF!*$E$33+#REF!*$F$33+#REF!*$G$33+#REF!*$I$33+#REF!*$J$33)/$S$33),"",(#REF!*$D$33+#REF!*$E$33+#REF!*$F$33+#REF!*$G$33+#REF!*$I$33+#REF!*$J$33)/$S$33)</f>
        <v/>
      </c>
    </row>
    <row r="47" spans="20:21" s="29" customFormat="1" ht="19.649999999999999" customHeight="1">
      <c r="U47" s="133" t="str">
        <f>IF(ISERROR((#REF!*$D$33+#REF!*$E$33+#REF!*$F$33+#REF!*$G$33+#REF!*$I$33+#REF!*$J$33)/$S$33),"",(#REF!*$D$33+#REF!*$E$33+#REF!*$F$33+#REF!*$G$33+#REF!*$I$33+#REF!*$J$33)/$S$33)</f>
        <v/>
      </c>
    </row>
    <row r="48" spans="20:21" s="29" customFormat="1" ht="18.45" customHeight="1" thickBot="1">
      <c r="U48" s="1400" t="str">
        <f>IF(ISERROR((D48*$D$33+E48*$E$33+F48*$F$33+G48*$G$33+I48*$I$33+J48*$J$33)/$S$33),"",(D48*$D$33+E48*$E$33+F48*$F$33+G48*$G$33+I48*$I$33+J48*$J$33)/$S$33)</f>
        <v/>
      </c>
    </row>
    <row r="49" spans="2:21" s="29" customFormat="1" ht="15" customHeight="1">
      <c r="T49" s="123"/>
      <c r="U49" s="100"/>
    </row>
    <row r="50" spans="2:21" s="29" customFormat="1" ht="16.95" customHeight="1">
      <c r="T50" s="115"/>
      <c r="U50" s="100"/>
    </row>
    <row r="51" spans="2:21" s="29" customFormat="1" ht="31.2" hidden="1" customHeight="1">
      <c r="B51" s="2369"/>
      <c r="C51" s="2369"/>
      <c r="D51" s="2369"/>
      <c r="E51" s="2369"/>
      <c r="F51" s="2369"/>
      <c r="G51" s="2369"/>
      <c r="H51" s="2369"/>
      <c r="I51" s="2369"/>
      <c r="J51" s="2369"/>
      <c r="K51" s="2369"/>
      <c r="L51" s="2369"/>
      <c r="M51" s="2369"/>
      <c r="N51" s="2369"/>
    </row>
    <row r="52" spans="2:21" hidden="1">
      <c r="B52" s="2270"/>
      <c r="C52" s="3324">
        <v>33</v>
      </c>
      <c r="D52" s="2369" t="str">
        <f>Kostenrechnung!F266</f>
        <v xml:space="preserve">Öko-Kleegras einjährig (70:30) </v>
      </c>
      <c r="E52" s="3325"/>
      <c r="F52" s="3324">
        <v>33</v>
      </c>
      <c r="G52" s="3326"/>
      <c r="H52" s="3327"/>
      <c r="I52" s="3328"/>
      <c r="J52" s="3328"/>
      <c r="K52" s="3327"/>
      <c r="L52" s="3327"/>
      <c r="M52" s="3327"/>
      <c r="N52" s="3327"/>
      <c r="O52" s="2550"/>
      <c r="P52" s="2550"/>
      <c r="Q52" s="105"/>
      <c r="R52" s="105"/>
      <c r="S52" s="1399">
        <v>1</v>
      </c>
    </row>
    <row r="53" spans="2:21" hidden="1">
      <c r="B53" s="2270"/>
      <c r="C53" s="3324">
        <f>C52+1</f>
        <v>34</v>
      </c>
      <c r="D53" s="2369" t="str">
        <f>Kostenrechnung!F267</f>
        <v>Öko-Kleegras zweijährig (50:50)</v>
      </c>
      <c r="E53" s="3329"/>
      <c r="F53" s="3324">
        <f>F52+1</f>
        <v>34</v>
      </c>
      <c r="G53" s="3330" t="s">
        <v>205</v>
      </c>
      <c r="H53" s="3331"/>
      <c r="I53" s="3331"/>
      <c r="J53" s="3331"/>
      <c r="K53" s="3331"/>
      <c r="L53" s="3331"/>
      <c r="M53" s="3331"/>
      <c r="N53" s="3331"/>
      <c r="O53" s="109"/>
      <c r="P53" s="109"/>
      <c r="Q53" s="109"/>
      <c r="R53" s="109"/>
      <c r="S53" s="1398">
        <v>2</v>
      </c>
    </row>
    <row r="54" spans="2:21" hidden="1">
      <c r="B54" s="2270"/>
      <c r="C54" s="3324">
        <f>C53+1</f>
        <v>35</v>
      </c>
      <c r="D54" s="2369" t="str">
        <f>Kostenrechnung!F268</f>
        <v>Öko-Luzernegras einjährig (70:30)</v>
      </c>
      <c r="E54" s="3329"/>
      <c r="F54" s="3324">
        <f>F53+1</f>
        <v>35</v>
      </c>
      <c r="G54" s="3330" t="s">
        <v>204</v>
      </c>
      <c r="H54" s="3331"/>
      <c r="I54" s="3331"/>
      <c r="J54" s="3331"/>
      <c r="K54" s="3331"/>
      <c r="L54" s="3331"/>
      <c r="M54" s="3331"/>
      <c r="N54" s="3331"/>
      <c r="O54" s="109"/>
      <c r="P54" s="109"/>
      <c r="Q54" s="109"/>
      <c r="R54" s="109"/>
      <c r="S54" s="1398">
        <v>3</v>
      </c>
    </row>
    <row r="55" spans="2:21" hidden="1">
      <c r="B55" s="2270"/>
      <c r="C55" s="3324">
        <f>C54+1</f>
        <v>36</v>
      </c>
      <c r="D55" s="2369" t="str">
        <f>Kostenrechnung!F269</f>
        <v>Öko-Luzernegras zweijährig (50:50)</v>
      </c>
      <c r="E55" s="3329"/>
      <c r="F55" s="3324">
        <f>F54+1</f>
        <v>36</v>
      </c>
      <c r="G55" s="2357" t="s">
        <v>202</v>
      </c>
      <c r="H55" s="3332"/>
      <c r="I55" s="3332"/>
      <c r="J55" s="3332"/>
      <c r="K55" s="3332"/>
      <c r="L55" s="3332"/>
      <c r="M55" s="3332"/>
      <c r="N55" s="3332"/>
      <c r="O55" s="107"/>
      <c r="P55" s="107"/>
      <c r="Q55" s="107"/>
      <c r="R55" s="107"/>
      <c r="S55" s="1397">
        <v>4</v>
      </c>
    </row>
    <row r="56" spans="2:21" hidden="1">
      <c r="B56" s="2270"/>
      <c r="C56" s="3324">
        <f>C55+1</f>
        <v>37</v>
      </c>
      <c r="D56" s="2369" t="str">
        <f>Kostenrechnung!F270</f>
        <v>Öko-Winterweizen (Futter)</v>
      </c>
      <c r="E56" s="3329"/>
      <c r="F56" s="3324">
        <f>F55+1</f>
        <v>37</v>
      </c>
      <c r="G56" s="3328"/>
      <c r="H56" s="3327"/>
      <c r="I56" s="3328"/>
      <c r="J56" s="3328"/>
      <c r="K56" s="3327"/>
      <c r="L56" s="3327"/>
      <c r="M56" s="3327"/>
      <c r="N56" s="3327"/>
      <c r="O56" s="2550"/>
      <c r="P56" s="2550"/>
      <c r="Q56" s="105"/>
      <c r="R56" s="105"/>
      <c r="S56" s="105"/>
    </row>
    <row r="57" spans="2:21" hidden="1">
      <c r="B57" s="2270"/>
      <c r="C57" s="3324">
        <f>C56+1</f>
        <v>38</v>
      </c>
      <c r="D57" s="2369" t="str">
        <f>Kostenrechnung!F271</f>
        <v>Öko-Winterweizen (Brot)</v>
      </c>
      <c r="E57" s="3329"/>
      <c r="F57" s="3324">
        <f>F56+1</f>
        <v>38</v>
      </c>
      <c r="G57" s="2270"/>
      <c r="H57" s="2270"/>
      <c r="I57" s="2270"/>
      <c r="J57" s="2270"/>
      <c r="K57" s="2270"/>
      <c r="L57" s="2270"/>
      <c r="M57" s="2270"/>
      <c r="N57" s="2270"/>
    </row>
    <row r="58" spans="2:21" hidden="1">
      <c r="B58" s="2270"/>
      <c r="C58" s="3324">
        <f t="shared" ref="C58:C73" si="4">C57+1</f>
        <v>39</v>
      </c>
      <c r="D58" s="2369" t="str">
        <f>Kostenrechnung!F272</f>
        <v>Öko-Dinkel</v>
      </c>
      <c r="E58" s="3329"/>
      <c r="F58" s="3324">
        <f t="shared" ref="F58:F73" si="5">F57+1</f>
        <v>39</v>
      </c>
      <c r="G58" s="2270"/>
      <c r="H58" s="2270"/>
      <c r="I58" s="2270"/>
      <c r="J58" s="2270"/>
      <c r="K58" s="2270"/>
      <c r="L58" s="2270"/>
      <c r="M58" s="2270"/>
      <c r="N58" s="2270"/>
    </row>
    <row r="59" spans="2:21" hidden="1">
      <c r="B59" s="2270"/>
      <c r="C59" s="3324">
        <f t="shared" si="4"/>
        <v>40</v>
      </c>
      <c r="D59" s="2369"/>
      <c r="E59" s="3329"/>
      <c r="F59" s="3324">
        <f t="shared" si="5"/>
        <v>40</v>
      </c>
      <c r="G59" s="2270"/>
      <c r="H59" s="2270"/>
      <c r="I59" s="2270"/>
      <c r="J59" s="2270"/>
      <c r="K59" s="2270"/>
      <c r="L59" s="2270"/>
      <c r="M59" s="2270"/>
      <c r="N59" s="2270"/>
    </row>
    <row r="60" spans="2:21" hidden="1">
      <c r="B60" s="2270"/>
      <c r="C60" s="3324">
        <f t="shared" si="4"/>
        <v>41</v>
      </c>
      <c r="D60" s="2369" t="str">
        <f>Kostenrechnung!F274</f>
        <v>Öko-Winterroggen (Brot)</v>
      </c>
      <c r="E60" s="3329"/>
      <c r="F60" s="3324">
        <f t="shared" si="5"/>
        <v>41</v>
      </c>
      <c r="G60" s="2270"/>
      <c r="H60" s="2270"/>
      <c r="I60" s="2270"/>
      <c r="J60" s="2270"/>
      <c r="K60" s="2270"/>
      <c r="L60" s="2270"/>
      <c r="M60" s="2270"/>
      <c r="N60" s="2270"/>
    </row>
    <row r="61" spans="2:21" hidden="1">
      <c r="B61" s="2270"/>
      <c r="C61" s="3324">
        <f t="shared" si="4"/>
        <v>42</v>
      </c>
      <c r="D61" s="2369" t="str">
        <f>Kostenrechnung!F275</f>
        <v>Öko-Hafer</v>
      </c>
      <c r="E61" s="3329"/>
      <c r="F61" s="3324">
        <f t="shared" si="5"/>
        <v>42</v>
      </c>
      <c r="G61" s="2270"/>
      <c r="H61" s="2270"/>
      <c r="I61" s="2270"/>
      <c r="J61" s="2270"/>
      <c r="K61" s="2270"/>
      <c r="L61" s="2270"/>
      <c r="M61" s="2270"/>
      <c r="N61" s="2270"/>
    </row>
    <row r="62" spans="2:21" hidden="1">
      <c r="B62" s="2270"/>
      <c r="C62" s="3324">
        <f t="shared" si="4"/>
        <v>43</v>
      </c>
      <c r="D62" s="2369" t="s">
        <v>1465</v>
      </c>
      <c r="E62" s="3329"/>
      <c r="F62" s="3324">
        <f t="shared" si="5"/>
        <v>43</v>
      </c>
      <c r="G62" s="2270"/>
      <c r="H62" s="2270"/>
      <c r="I62" s="2270"/>
      <c r="J62" s="2270"/>
      <c r="K62" s="2270"/>
      <c r="L62" s="2270"/>
      <c r="M62" s="2270"/>
      <c r="N62" s="2270"/>
    </row>
    <row r="63" spans="2:21" hidden="1">
      <c r="B63" s="2270"/>
      <c r="C63" s="3324">
        <f t="shared" si="4"/>
        <v>44</v>
      </c>
      <c r="D63" s="2369" t="str">
        <f>Kostenrechnung!F277</f>
        <v>Öko-Braugerste</v>
      </c>
      <c r="E63" s="3329"/>
      <c r="F63" s="3324">
        <f t="shared" si="5"/>
        <v>44</v>
      </c>
      <c r="G63" s="2270"/>
      <c r="H63" s="2270"/>
      <c r="I63" s="2270"/>
      <c r="J63" s="2270"/>
      <c r="K63" s="2270"/>
      <c r="L63" s="2270"/>
      <c r="M63" s="2270"/>
      <c r="N63" s="2270"/>
    </row>
    <row r="64" spans="2:21" hidden="1">
      <c r="B64" s="2270"/>
      <c r="C64" s="3324">
        <f t="shared" si="4"/>
        <v>45</v>
      </c>
      <c r="D64" s="2369" t="str">
        <f>Kostenrechnung!F278</f>
        <v xml:space="preserve">Öko-Körnermais </v>
      </c>
      <c r="E64" s="3329"/>
      <c r="F64" s="3324">
        <f t="shared" si="5"/>
        <v>45</v>
      </c>
      <c r="G64" s="2270"/>
      <c r="H64" s="2270"/>
      <c r="I64" s="2270"/>
      <c r="J64" s="2270"/>
      <c r="K64" s="2270"/>
      <c r="L64" s="2270"/>
      <c r="M64" s="2270"/>
      <c r="N64" s="2270"/>
    </row>
    <row r="65" spans="2:14" hidden="1">
      <c r="B65" s="2270"/>
      <c r="C65" s="3324">
        <f t="shared" si="4"/>
        <v>46</v>
      </c>
      <c r="D65" s="2369" t="str">
        <f>Kostenrechnung!F279</f>
        <v xml:space="preserve">Öko-Ackerbohnen </v>
      </c>
      <c r="E65" s="3329"/>
      <c r="F65" s="3324">
        <f t="shared" si="5"/>
        <v>46</v>
      </c>
      <c r="G65" s="2270"/>
      <c r="H65" s="2270"/>
      <c r="I65" s="2270"/>
      <c r="J65" s="2270"/>
      <c r="K65" s="2270"/>
      <c r="L65" s="2270"/>
      <c r="M65" s="2270"/>
      <c r="N65" s="2270"/>
    </row>
    <row r="66" spans="2:14" hidden="1">
      <c r="B66" s="2270"/>
      <c r="C66" s="3324">
        <f t="shared" si="4"/>
        <v>47</v>
      </c>
      <c r="D66" s="2369" t="str">
        <f>Kostenrechnung!F280</f>
        <v>Öko-Futtererbsen</v>
      </c>
      <c r="E66" s="3329"/>
      <c r="F66" s="3324">
        <f t="shared" si="5"/>
        <v>47</v>
      </c>
      <c r="G66" s="2270"/>
      <c r="H66" s="2270"/>
      <c r="I66" s="2270"/>
      <c r="J66" s="2270"/>
      <c r="K66" s="2270"/>
      <c r="L66" s="2270"/>
      <c r="M66" s="2270"/>
      <c r="N66" s="2270"/>
    </row>
    <row r="67" spans="2:14" hidden="1">
      <c r="B67" s="2270"/>
      <c r="C67" s="3324">
        <f t="shared" si="4"/>
        <v>48</v>
      </c>
      <c r="D67" s="2369" t="str">
        <f>Kostenrechnung!F281</f>
        <v>Öko-Sojabohnen</v>
      </c>
      <c r="E67" s="3329"/>
      <c r="F67" s="3324">
        <f t="shared" si="5"/>
        <v>48</v>
      </c>
      <c r="G67" s="2270"/>
      <c r="H67" s="2270"/>
      <c r="I67" s="2270"/>
      <c r="J67" s="2270"/>
      <c r="K67" s="2270"/>
      <c r="L67" s="2270"/>
      <c r="M67" s="2270"/>
      <c r="N67" s="2270"/>
    </row>
    <row r="68" spans="2:14" hidden="1">
      <c r="B68" s="2270"/>
      <c r="C68" s="3324">
        <f t="shared" si="4"/>
        <v>49</v>
      </c>
      <c r="D68" s="2369"/>
      <c r="E68" s="3329"/>
      <c r="F68" s="3324">
        <f t="shared" si="5"/>
        <v>49</v>
      </c>
      <c r="G68" s="2270"/>
      <c r="H68" s="2270"/>
      <c r="I68" s="2270"/>
      <c r="J68" s="2270"/>
      <c r="K68" s="2270"/>
      <c r="L68" s="2270"/>
      <c r="M68" s="2270"/>
      <c r="N68" s="2270"/>
    </row>
    <row r="69" spans="2:14" hidden="1">
      <c r="B69" s="2270"/>
      <c r="C69" s="3324">
        <f t="shared" si="4"/>
        <v>50</v>
      </c>
      <c r="D69" s="2369"/>
      <c r="E69" s="3329"/>
      <c r="F69" s="3324">
        <f t="shared" si="5"/>
        <v>50</v>
      </c>
      <c r="G69" s="2270"/>
      <c r="H69" s="2270"/>
      <c r="I69" s="2270"/>
      <c r="J69" s="2270"/>
      <c r="K69" s="2270"/>
      <c r="L69" s="2270"/>
      <c r="M69" s="2270"/>
      <c r="N69" s="2270"/>
    </row>
    <row r="70" spans="2:14" hidden="1">
      <c r="B70" s="2270"/>
      <c r="C70" s="3324">
        <f t="shared" si="4"/>
        <v>51</v>
      </c>
      <c r="D70" s="2369">
        <f>Kostenrechnung!F284</f>
        <v>0</v>
      </c>
      <c r="E70" s="3329"/>
      <c r="F70" s="3324">
        <f t="shared" si="5"/>
        <v>51</v>
      </c>
      <c r="G70" s="2270"/>
      <c r="H70" s="2270"/>
      <c r="I70" s="2270"/>
      <c r="J70" s="2270"/>
      <c r="K70" s="2270"/>
      <c r="L70" s="2270"/>
      <c r="M70" s="2270"/>
      <c r="N70" s="2270"/>
    </row>
    <row r="71" spans="2:14" hidden="1">
      <c r="B71" s="2270"/>
      <c r="C71" s="3324">
        <f t="shared" si="4"/>
        <v>52</v>
      </c>
      <c r="D71" s="2369" t="s">
        <v>1735</v>
      </c>
      <c r="E71" s="3329"/>
      <c r="F71" s="3324">
        <f t="shared" si="5"/>
        <v>52</v>
      </c>
      <c r="G71" s="2270"/>
      <c r="H71" s="2270"/>
      <c r="I71" s="2270"/>
      <c r="J71" s="2270"/>
      <c r="K71" s="2270"/>
      <c r="L71" s="2270"/>
      <c r="M71" s="2270"/>
      <c r="N71" s="2270"/>
    </row>
    <row r="72" spans="2:14" hidden="1">
      <c r="B72" s="2270"/>
      <c r="C72" s="3324">
        <f t="shared" si="4"/>
        <v>53</v>
      </c>
      <c r="D72" s="2369" t="str">
        <f>Kostenrechnung!F286</f>
        <v>FAKT-Begrünung</v>
      </c>
      <c r="E72" s="3329"/>
      <c r="F72" s="3324">
        <f t="shared" si="5"/>
        <v>53</v>
      </c>
      <c r="G72" s="2270"/>
      <c r="H72" s="2270"/>
      <c r="I72" s="2270"/>
      <c r="J72" s="2270"/>
      <c r="K72" s="2270"/>
      <c r="L72" s="2270"/>
      <c r="M72" s="2270"/>
      <c r="N72" s="2270"/>
    </row>
    <row r="73" spans="2:14" hidden="1">
      <c r="B73" s="2270"/>
      <c r="C73" s="3324">
        <f t="shared" si="4"/>
        <v>54</v>
      </c>
      <c r="D73" s="2369" t="str">
        <f>Kostenrechnung!F287</f>
        <v xml:space="preserve">FAKT-Blühmischung </v>
      </c>
      <c r="E73" s="3329"/>
      <c r="F73" s="3324">
        <f t="shared" si="5"/>
        <v>54</v>
      </c>
      <c r="G73" s="2270"/>
      <c r="H73" s="2270"/>
      <c r="I73" s="2270"/>
      <c r="J73" s="2270"/>
      <c r="K73" s="2270"/>
      <c r="L73" s="2270"/>
      <c r="M73" s="2270"/>
      <c r="N73" s="2270"/>
    </row>
    <row r="74" spans="2:14" hidden="1">
      <c r="B74" s="2270"/>
      <c r="C74" s="103"/>
      <c r="D74" s="2369"/>
      <c r="E74" s="3331"/>
      <c r="F74" s="2380"/>
      <c r="G74" s="2270"/>
      <c r="H74" s="2270"/>
      <c r="I74" s="2270"/>
      <c r="J74" s="2270"/>
      <c r="K74" s="2270"/>
      <c r="L74" s="2270"/>
      <c r="M74" s="2270"/>
      <c r="N74" s="2270"/>
    </row>
    <row r="75" spans="2:14">
      <c r="B75" s="2270"/>
      <c r="C75" s="103"/>
      <c r="D75" s="2369"/>
      <c r="E75" s="3331"/>
      <c r="F75" s="2380"/>
      <c r="G75" s="2270"/>
      <c r="H75" s="2270"/>
      <c r="I75" s="2270"/>
      <c r="J75" s="2270"/>
      <c r="K75" s="2270"/>
      <c r="L75" s="2270"/>
      <c r="M75" s="2270"/>
      <c r="N75" s="2270"/>
    </row>
    <row r="76" spans="2:14">
      <c r="B76" s="2270"/>
      <c r="C76" s="103"/>
      <c r="D76" s="2369"/>
      <c r="E76" s="3331"/>
      <c r="F76" s="2380"/>
      <c r="G76" s="2270"/>
      <c r="H76" s="2270"/>
      <c r="I76" s="2270"/>
      <c r="J76" s="2270"/>
      <c r="K76" s="2270"/>
      <c r="L76" s="2270"/>
      <c r="M76" s="2270"/>
      <c r="N76" s="2270"/>
    </row>
    <row r="77" spans="2:14">
      <c r="B77" s="2270"/>
      <c r="C77" s="103"/>
      <c r="D77" s="2369"/>
      <c r="E77" s="3331"/>
      <c r="F77" s="2380"/>
      <c r="G77" s="2270"/>
      <c r="H77" s="2270"/>
      <c r="I77" s="2270"/>
      <c r="J77" s="2270"/>
      <c r="K77" s="2270"/>
      <c r="L77" s="2270"/>
      <c r="M77" s="2270"/>
      <c r="N77" s="2270"/>
    </row>
    <row r="78" spans="2:14">
      <c r="B78" s="2270"/>
      <c r="C78" s="103"/>
      <c r="D78" s="2369"/>
      <c r="E78" s="3331"/>
      <c r="F78" s="2380"/>
      <c r="G78" s="2270"/>
      <c r="H78" s="2270"/>
      <c r="I78" s="2270"/>
      <c r="J78" s="2270"/>
      <c r="K78" s="2270"/>
      <c r="L78" s="2270"/>
      <c r="M78" s="2270"/>
      <c r="N78" s="2270"/>
    </row>
    <row r="79" spans="2:14">
      <c r="B79" s="2270"/>
      <c r="C79" s="103"/>
      <c r="D79" s="2369"/>
      <c r="E79" s="3331"/>
      <c r="F79" s="2380"/>
      <c r="G79" s="2270"/>
      <c r="H79" s="2270"/>
      <c r="I79" s="2270"/>
      <c r="J79" s="2270"/>
      <c r="K79" s="2270"/>
      <c r="L79" s="2270"/>
      <c r="M79" s="2270"/>
      <c r="N79" s="2270"/>
    </row>
    <row r="80" spans="2:14">
      <c r="B80" s="2270"/>
      <c r="C80" s="103"/>
      <c r="D80" s="2369"/>
      <c r="E80" s="3331"/>
      <c r="F80" s="2380"/>
      <c r="G80" s="2270"/>
      <c r="H80" s="2270"/>
      <c r="I80" s="2270"/>
      <c r="J80" s="2270"/>
      <c r="K80" s="2270"/>
      <c r="L80" s="2270"/>
      <c r="M80" s="2270"/>
      <c r="N80" s="2270"/>
    </row>
    <row r="81" spans="2:14">
      <c r="B81" s="2270"/>
      <c r="C81" s="103"/>
      <c r="D81" s="2369"/>
      <c r="E81" s="3331"/>
      <c r="F81" s="2380"/>
      <c r="G81" s="2270"/>
      <c r="H81" s="2270"/>
      <c r="I81" s="2270"/>
      <c r="J81" s="2270"/>
      <c r="K81" s="2270"/>
      <c r="L81" s="2270"/>
      <c r="M81" s="2270"/>
      <c r="N81" s="2270"/>
    </row>
    <row r="82" spans="2:14">
      <c r="B82" s="2270"/>
      <c r="C82" s="103"/>
      <c r="D82" s="2369"/>
      <c r="E82" s="3331"/>
      <c r="F82" s="2380"/>
      <c r="G82" s="2270"/>
      <c r="H82" s="2270"/>
      <c r="I82" s="2270"/>
      <c r="J82" s="2270"/>
      <c r="K82" s="2270"/>
      <c r="L82" s="2270"/>
      <c r="M82" s="2270"/>
      <c r="N82" s="2270"/>
    </row>
    <row r="83" spans="2:14">
      <c r="B83" s="2270"/>
      <c r="C83" s="103"/>
      <c r="D83" s="2369"/>
      <c r="E83" s="3331"/>
      <c r="F83" s="2380"/>
      <c r="G83" s="2270"/>
      <c r="H83" s="2270"/>
      <c r="I83" s="2270"/>
      <c r="J83" s="2270"/>
      <c r="K83" s="2270"/>
      <c r="L83" s="2270"/>
      <c r="M83" s="2270"/>
      <c r="N83" s="2270"/>
    </row>
    <row r="84" spans="2:14">
      <c r="B84" s="2270"/>
      <c r="C84" s="103"/>
      <c r="D84" s="2369"/>
      <c r="E84" s="3331"/>
      <c r="F84" s="2380"/>
      <c r="G84" s="2270"/>
      <c r="H84" s="2270"/>
      <c r="I84" s="2270"/>
      <c r="J84" s="2270"/>
      <c r="K84" s="2270"/>
      <c r="L84" s="2270"/>
      <c r="M84" s="2270"/>
      <c r="N84" s="2270"/>
    </row>
    <row r="85" spans="2:14">
      <c r="B85" s="2270"/>
      <c r="C85" s="103"/>
      <c r="D85" s="2369"/>
      <c r="E85" s="3331"/>
      <c r="F85" s="2380"/>
      <c r="G85" s="2270"/>
      <c r="H85" s="2270"/>
      <c r="I85" s="2270"/>
      <c r="J85" s="2270"/>
      <c r="K85" s="2270"/>
      <c r="L85" s="2270"/>
      <c r="M85" s="2270"/>
      <c r="N85" s="2270"/>
    </row>
    <row r="86" spans="2:14">
      <c r="B86" s="2270"/>
      <c r="C86" s="103"/>
      <c r="D86" s="103"/>
      <c r="E86" s="3331"/>
      <c r="F86" s="2380"/>
      <c r="G86" s="2270"/>
      <c r="H86" s="2270"/>
      <c r="I86" s="2270"/>
      <c r="J86" s="2270"/>
      <c r="K86" s="2270"/>
      <c r="L86" s="2270"/>
      <c r="M86" s="2270"/>
      <c r="N86" s="2270"/>
    </row>
    <row r="87" spans="2:14">
      <c r="B87" s="2270"/>
      <c r="D87" s="2270"/>
      <c r="E87" s="2270"/>
      <c r="F87" s="2270"/>
      <c r="G87" s="2270"/>
      <c r="H87" s="2270"/>
      <c r="I87" s="2270"/>
      <c r="J87" s="2270"/>
      <c r="K87" s="2270"/>
      <c r="L87" s="2270"/>
      <c r="M87" s="2270"/>
      <c r="N87" s="2270"/>
    </row>
    <row r="88" spans="2:14">
      <c r="B88" s="2270"/>
      <c r="D88" s="2270"/>
      <c r="E88" s="2270"/>
      <c r="F88" s="2270"/>
      <c r="G88" s="2270"/>
      <c r="H88" s="2270"/>
      <c r="I88" s="2270"/>
      <c r="J88" s="2270"/>
      <c r="K88" s="2270"/>
      <c r="L88" s="2270"/>
      <c r="M88" s="2270"/>
      <c r="N88" s="2270"/>
    </row>
    <row r="89" spans="2:14">
      <c r="B89" s="2270"/>
      <c r="D89" s="2270"/>
      <c r="E89" s="2270"/>
      <c r="F89" s="2270"/>
      <c r="G89" s="2270"/>
      <c r="H89" s="2270"/>
      <c r="I89" s="2270"/>
      <c r="J89" s="2270"/>
      <c r="K89" s="2270"/>
      <c r="L89" s="2270"/>
      <c r="M89" s="2270"/>
      <c r="N89" s="2270"/>
    </row>
    <row r="90" spans="2:14">
      <c r="B90" s="2270"/>
      <c r="D90" s="2270"/>
      <c r="E90" s="2270"/>
      <c r="F90" s="2270"/>
      <c r="G90" s="2270"/>
      <c r="H90" s="2270"/>
      <c r="I90" s="2270"/>
      <c r="J90" s="2270"/>
      <c r="K90" s="2270"/>
      <c r="L90" s="2270"/>
      <c r="M90" s="2270"/>
      <c r="N90" s="2270"/>
    </row>
    <row r="91" spans="2:14">
      <c r="B91" s="2270"/>
      <c r="D91" s="2270"/>
      <c r="E91" s="2270"/>
      <c r="F91" s="2270"/>
      <c r="G91" s="2270"/>
      <c r="H91" s="2270"/>
      <c r="I91" s="2270"/>
      <c r="J91" s="2270"/>
      <c r="K91" s="2270"/>
      <c r="L91" s="2270"/>
      <c r="M91" s="2270"/>
      <c r="N91" s="2270"/>
    </row>
    <row r="92" spans="2:14">
      <c r="B92" s="2270"/>
      <c r="D92" s="2270"/>
      <c r="E92" s="2270"/>
      <c r="F92" s="2270"/>
      <c r="G92" s="2270"/>
      <c r="H92" s="2270"/>
      <c r="I92" s="2270"/>
      <c r="J92" s="2270"/>
      <c r="K92" s="2270"/>
      <c r="L92" s="2270"/>
      <c r="M92" s="2270"/>
      <c r="N92" s="2270"/>
    </row>
    <row r="93" spans="2:14">
      <c r="B93" s="2270"/>
      <c r="D93" s="2270"/>
      <c r="E93" s="2270"/>
      <c r="F93" s="2270"/>
      <c r="G93" s="2270"/>
      <c r="H93" s="2270"/>
      <c r="I93" s="2270"/>
      <c r="J93" s="2270"/>
      <c r="K93" s="2270"/>
      <c r="L93" s="2270"/>
      <c r="M93" s="2270"/>
      <c r="N93" s="2270"/>
    </row>
    <row r="94" spans="2:14">
      <c r="B94" s="2270"/>
      <c r="D94" s="2270"/>
      <c r="E94" s="2270"/>
      <c r="F94" s="2270"/>
      <c r="G94" s="2270"/>
      <c r="H94" s="2270"/>
      <c r="I94" s="2270"/>
      <c r="J94" s="2270"/>
      <c r="K94" s="2270"/>
      <c r="L94" s="2270"/>
      <c r="M94" s="2270"/>
      <c r="N94" s="2270"/>
    </row>
    <row r="95" spans="2:14">
      <c r="B95" s="2270"/>
      <c r="D95" s="2270"/>
      <c r="E95" s="2270"/>
      <c r="F95" s="2270"/>
      <c r="G95" s="2270"/>
      <c r="H95" s="2270"/>
      <c r="I95" s="2270"/>
      <c r="J95" s="2270"/>
      <c r="K95" s="2270"/>
      <c r="L95" s="2270"/>
      <c r="M95" s="2270"/>
      <c r="N95" s="2270"/>
    </row>
    <row r="96" spans="2:14">
      <c r="B96" s="2270"/>
      <c r="D96" s="2270"/>
      <c r="E96" s="2270"/>
      <c r="F96" s="2270"/>
      <c r="G96" s="2270"/>
      <c r="H96" s="2270"/>
      <c r="I96" s="2270"/>
      <c r="J96" s="2270"/>
      <c r="K96" s="2270"/>
      <c r="L96" s="2270"/>
      <c r="M96" s="2270"/>
      <c r="N96" s="2270"/>
    </row>
    <row r="97" spans="2:14">
      <c r="B97" s="2270"/>
      <c r="D97" s="2270"/>
      <c r="E97" s="2270"/>
      <c r="F97" s="2270"/>
      <c r="G97" s="2270"/>
      <c r="H97" s="2270"/>
      <c r="I97" s="2270"/>
      <c r="J97" s="2270"/>
      <c r="K97" s="2270"/>
      <c r="L97" s="2270"/>
      <c r="M97" s="2270"/>
      <c r="N97" s="2270"/>
    </row>
    <row r="98" spans="2:14">
      <c r="B98" s="2270"/>
      <c r="D98" s="2270"/>
      <c r="E98" s="2270"/>
      <c r="F98" s="2270"/>
      <c r="G98" s="2270"/>
      <c r="H98" s="2270"/>
      <c r="I98" s="2270"/>
      <c r="J98" s="2270"/>
      <c r="K98" s="2270"/>
      <c r="L98" s="2270"/>
      <c r="M98" s="2270"/>
      <c r="N98" s="2270"/>
    </row>
    <row r="99" spans="2:14">
      <c r="B99" s="2270"/>
      <c r="D99" s="2270"/>
      <c r="E99" s="2270"/>
      <c r="F99" s="2270"/>
      <c r="G99" s="2270"/>
      <c r="H99" s="2270"/>
      <c r="I99" s="2270"/>
      <c r="J99" s="2270"/>
      <c r="K99" s="2270"/>
      <c r="L99" s="2270"/>
      <c r="M99" s="2270"/>
      <c r="N99" s="2270"/>
    </row>
    <row r="100" spans="2:14">
      <c r="B100" s="2270"/>
      <c r="D100" s="2270"/>
      <c r="E100" s="2270"/>
      <c r="F100" s="2270"/>
      <c r="G100" s="2270"/>
      <c r="H100" s="2270"/>
      <c r="I100" s="2270"/>
      <c r="J100" s="2270"/>
      <c r="K100" s="2270"/>
      <c r="L100" s="2270"/>
      <c r="M100" s="2270"/>
      <c r="N100" s="2270"/>
    </row>
    <row r="101" spans="2:14">
      <c r="B101" s="2270"/>
      <c r="D101" s="2270"/>
      <c r="E101" s="2270"/>
      <c r="F101" s="2270"/>
      <c r="G101" s="2270"/>
      <c r="H101" s="2270"/>
      <c r="I101" s="2270"/>
      <c r="J101" s="2270"/>
      <c r="K101" s="2270"/>
      <c r="L101" s="2270"/>
      <c r="M101" s="2270"/>
      <c r="N101" s="2270"/>
    </row>
    <row r="102" spans="2:14">
      <c r="B102" s="2270"/>
      <c r="D102" s="2270"/>
      <c r="E102" s="2270"/>
      <c r="F102" s="2270"/>
      <c r="G102" s="2270"/>
      <c r="H102" s="2270"/>
      <c r="I102" s="2270"/>
      <c r="J102" s="2270"/>
      <c r="K102" s="2270"/>
      <c r="L102" s="2270"/>
      <c r="M102" s="2270"/>
      <c r="N102" s="2270"/>
    </row>
    <row r="103" spans="2:14">
      <c r="B103" s="2270"/>
      <c r="D103" s="2270"/>
      <c r="E103" s="2270"/>
      <c r="F103" s="2270"/>
      <c r="G103" s="2270"/>
      <c r="H103" s="2270"/>
      <c r="I103" s="2270"/>
      <c r="J103" s="2270"/>
      <c r="K103" s="2270"/>
      <c r="L103" s="2270"/>
      <c r="M103" s="2270"/>
      <c r="N103" s="2270"/>
    </row>
  </sheetData>
  <sheetProtection sheet="1" selectLockedCells="1"/>
  <customSheetViews>
    <customSheetView guid="{8063F48F-80B5-4ECD-B18A-51CBF126E780}" fitToPage="1" hiddenRows="1" hiddenColumns="1" topLeftCell="A3">
      <selection activeCell="H25" sqref="H25"/>
      <pageMargins left="0.59055118110236227" right="0.59055118110236227" top="0.59055118110236227" bottom="0.59055118110236227" header="0.39370078740157483" footer="0.39370078740157483"/>
      <printOptions horizontalCentered="1"/>
      <pageSetup paperSize="9" scale="57" firstPageNumber="87" fitToHeight="0" orientation="landscape" r:id="rId1"/>
      <headerFooter alignWithMargins="0">
        <oddFooter>&amp;L&amp;11LEL Schwäbisch Gmünd&amp;R&amp;11&amp;F</oddFooter>
      </headerFooter>
    </customSheetView>
    <customSheetView guid="{5D5C9B61-9ABD-4513-AAEB-8333A9D6196C}" fitToPage="1" hiddenRows="1" hiddenColumns="1" topLeftCell="A3">
      <selection activeCell="O7" sqref="O7:O22"/>
      <pageMargins left="0.59055118110236227" right="0.59055118110236227" top="0.59055118110236227" bottom="0.59055118110236227" header="0.39370078740157483" footer="0.39370078740157483"/>
      <printOptions horizontalCentered="1"/>
      <pageSetup paperSize="9" scale="57" firstPageNumber="87" fitToHeight="0" orientation="landscape" r:id="rId2"/>
      <headerFooter alignWithMargins="0">
        <oddFooter>&amp;L&amp;11LEL Schwäbisch Gmünd&amp;R&amp;11&amp;F</oddFooter>
      </headerFooter>
    </customSheetView>
    <customSheetView guid="{22A73C4F-9004-4CEF-8499-B1F91BE1B569}" fitToPage="1" hiddenRows="1" hiddenColumns="1" topLeftCell="A3">
      <selection activeCell="H25" sqref="H25"/>
      <pageMargins left="0.59055118110236227" right="0.59055118110236227" top="0.59055118110236227" bottom="0.59055118110236227" header="0.39370078740157483" footer="0.39370078740157483"/>
      <printOptions horizontalCentered="1"/>
      <pageSetup paperSize="9" scale="57" firstPageNumber="87" fitToHeight="0" orientation="landscape" r:id="rId3"/>
      <headerFooter alignWithMargins="0">
        <oddFooter>&amp;L&amp;11LEL Schwäbisch Gmünd&amp;R&amp;11&amp;F</oddFooter>
      </headerFooter>
    </customSheetView>
  </customSheetViews>
  <mergeCells count="3">
    <mergeCell ref="B5:C5"/>
    <mergeCell ref="A2:B2"/>
    <mergeCell ref="B24:G24"/>
  </mergeCells>
  <conditionalFormatting sqref="S8 U8">
    <cfRule type="expression" dxfId="6" priority="2" stopIfTrue="1">
      <formula>$S$8&lt;&gt;100</formula>
    </cfRule>
  </conditionalFormatting>
  <conditionalFormatting sqref="U33">
    <cfRule type="expression" dxfId="5" priority="1" stopIfTrue="1">
      <formula>$S$8&lt;&gt;100</formula>
    </cfRule>
  </conditionalFormatting>
  <dataValidations count="3">
    <dataValidation type="list" allowBlank="1" showInputMessage="1" showErrorMessage="1" errorTitle="Produktionsverfahren" error="Bitte Produktionsverfahren aus Dropdownliste auswählen." sqref="D7:E7 G7:R7" xr:uid="{00000000-0002-0000-0500-000000000000}">
      <formula1>$D$52:$D$86</formula1>
    </dataValidation>
    <dataValidation type="list" allowBlank="1" showInputMessage="1" showErrorMessage="1" errorTitle="Leistungsniveau" error="Bitte Leistungsniveau aus Dropdownliste auswählen." sqref="B5:C5" xr:uid="{00000000-0002-0000-0500-000001000000}">
      <formula1>$G$52:$G$55</formula1>
    </dataValidation>
    <dataValidation type="list" allowBlank="1" showInputMessage="1" showErrorMessage="1" errorTitle="Produktionsverfahren" error="Bitte Produktionsverfahren aus Dropdownliste auswählen." sqref="F7" xr:uid="{00000000-0002-0000-0500-000002000000}">
      <formula1>$D$52:$D$73</formula1>
    </dataValidation>
  </dataValidations>
  <printOptions horizontalCentered="1"/>
  <pageMargins left="0.59055118110236227" right="0.59055118110236227" top="0.59055118110236227" bottom="0.59055118110236227" header="0.39370078740157483" footer="0.39370078740157483"/>
  <pageSetup paperSize="9" scale="57" firstPageNumber="87" fitToHeight="0" orientation="landscape" r:id="rId4"/>
  <headerFooter alignWithMargins="0">
    <oddFooter>&amp;L&amp;11LEL Schwäbisch Gmünd&amp;R&amp;11&amp;F</oddFooter>
  </headerFooter>
  <ignoredErrors>
    <ignoredError sqref="R2 R6 U10" evalError="1"/>
    <ignoredError sqref="U26" unlockedFormula="1"/>
  </ignoredErrors>
  <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5">
    <tabColor rgb="FF00B0F0"/>
    <pageSetUpPr fitToPage="1"/>
  </sheetPr>
  <dimension ref="A1:AQ121"/>
  <sheetViews>
    <sheetView workbookViewId="0">
      <selection activeCell="R21" sqref="R21"/>
    </sheetView>
  </sheetViews>
  <sheetFormatPr baseColWidth="10" defaultColWidth="10.19921875" defaultRowHeight="13.2"/>
  <cols>
    <col min="1" max="1" width="3.3984375" style="27" customWidth="1"/>
    <col min="2" max="2" width="3.3984375" style="28" customWidth="1"/>
    <col min="3" max="3" width="5.59765625" style="28" customWidth="1"/>
    <col min="4" max="4" width="11.69921875" style="28" customWidth="1"/>
    <col min="5" max="5" width="8.69921875" style="28" customWidth="1"/>
    <col min="6" max="6" width="8.69921875" style="170" customWidth="1"/>
    <col min="7" max="7" width="9.59765625" style="28" customWidth="1"/>
    <col min="8" max="10" width="9.59765625" style="35" customWidth="1"/>
    <col min="11" max="13" width="9.59765625" style="169" customWidth="1"/>
    <col min="14" max="14" width="11.5" style="169" customWidth="1"/>
    <col min="15" max="15" width="10.8984375" style="169" customWidth="1"/>
    <col min="16" max="17" width="9.59765625" style="28" customWidth="1"/>
    <col min="18" max="18" width="24.59765625" style="168" customWidth="1"/>
    <col min="19" max="19" width="26.59765625" style="100" hidden="1" customWidth="1"/>
    <col min="20" max="20" width="3.59765625" style="100" hidden="1" customWidth="1"/>
    <col min="21" max="21" width="30.09765625" style="100" hidden="1" customWidth="1"/>
    <col min="22" max="22" width="12.09765625" style="100" hidden="1" customWidth="1"/>
    <col min="23" max="23" width="19.59765625" style="100" hidden="1" customWidth="1"/>
    <col min="24" max="24" width="4.3984375" style="100" hidden="1" customWidth="1"/>
    <col min="25" max="25" width="25.3984375" style="100" hidden="1" customWidth="1"/>
    <col min="26" max="26" width="24.8984375" style="100" hidden="1" customWidth="1"/>
    <col min="27" max="27" width="10.69921875" style="100" hidden="1" customWidth="1"/>
    <col min="28" max="33" width="10.19921875" style="100" hidden="1" customWidth="1"/>
    <col min="34" max="42" width="10.19921875" style="100" customWidth="1"/>
    <col min="43" max="16384" width="10.19921875" style="100"/>
  </cols>
  <sheetData>
    <row r="1" spans="1:43" s="27" customFormat="1" ht="14.1" customHeight="1">
      <c r="B1" s="28"/>
      <c r="C1" s="28"/>
      <c r="D1" s="28"/>
      <c r="E1" s="28"/>
      <c r="F1" s="170"/>
      <c r="G1" s="28"/>
      <c r="H1" s="35"/>
      <c r="I1" s="35"/>
      <c r="J1" s="35"/>
      <c r="K1" s="169"/>
      <c r="L1" s="169"/>
      <c r="M1" s="169"/>
      <c r="N1" s="169"/>
      <c r="O1" s="169"/>
      <c r="P1" s="28"/>
      <c r="Q1" s="242"/>
      <c r="R1" s="50"/>
      <c r="S1" s="100"/>
      <c r="T1" s="100"/>
      <c r="U1" s="100"/>
    </row>
    <row r="2" spans="1:43" s="27" customFormat="1" ht="21.9" customHeight="1">
      <c r="A2" s="252"/>
      <c r="B2" s="260" t="s">
        <v>275</v>
      </c>
      <c r="C2" s="219"/>
      <c r="D2" s="219"/>
      <c r="E2" s="219"/>
      <c r="F2" s="221"/>
      <c r="G2" s="219"/>
      <c r="H2" s="254"/>
      <c r="I2" s="100"/>
      <c r="J2" s="100"/>
      <c r="K2" s="220"/>
      <c r="L2" s="220"/>
      <c r="M2" s="220"/>
      <c r="N2" s="220"/>
      <c r="O2" s="220"/>
      <c r="P2" s="259" t="s">
        <v>1460</v>
      </c>
      <c r="Q2" s="242"/>
      <c r="R2" s="50"/>
    </row>
    <row r="3" spans="1:43" s="27" customFormat="1" ht="16.95" customHeight="1">
      <c r="A3" s="252"/>
      <c r="B3" s="258"/>
      <c r="C3" s="219"/>
      <c r="D3" s="257"/>
      <c r="E3" s="255"/>
      <c r="F3" s="256"/>
      <c r="G3" s="254"/>
      <c r="H3" s="100"/>
      <c r="I3" s="100"/>
      <c r="J3" s="253"/>
      <c r="K3" s="253"/>
      <c r="L3" s="253"/>
      <c r="M3" s="253"/>
      <c r="O3" s="2522">
        <v>2024</v>
      </c>
      <c r="Q3" s="242"/>
      <c r="R3" s="50"/>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row>
    <row r="4" spans="1:43" s="27" customFormat="1" ht="9" customHeight="1">
      <c r="A4" s="252"/>
      <c r="C4" s="219"/>
      <c r="D4" s="219"/>
      <c r="E4" s="219"/>
      <c r="F4" s="221"/>
      <c r="G4" s="219"/>
      <c r="H4" s="219"/>
      <c r="I4" s="219"/>
      <c r="J4" s="220"/>
      <c r="K4" s="220"/>
      <c r="L4" s="220"/>
      <c r="M4" s="220"/>
      <c r="N4" s="3482"/>
      <c r="O4" s="219"/>
      <c r="Q4" s="242"/>
      <c r="R4" s="50"/>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row>
    <row r="5" spans="1:43" s="27" customFormat="1" ht="39" customHeight="1">
      <c r="A5" s="252"/>
      <c r="B5" s="41"/>
      <c r="C5" s="2377" t="s">
        <v>115</v>
      </c>
      <c r="D5" s="3656">
        <v>45901</v>
      </c>
      <c r="E5" s="2377"/>
      <c r="F5" s="170"/>
      <c r="G5" s="3483"/>
      <c r="H5" s="3483"/>
      <c r="I5" s="3483"/>
      <c r="J5" s="2145"/>
      <c r="K5" s="2145"/>
      <c r="L5" s="2145"/>
      <c r="M5" s="2145"/>
      <c r="N5" s="3482" t="s">
        <v>1739</v>
      </c>
      <c r="O5" s="2423" t="s">
        <v>273</v>
      </c>
      <c r="Q5" s="242"/>
      <c r="R5" s="50"/>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row>
    <row r="6" spans="1:43" s="27" customFormat="1" ht="15.6" customHeight="1">
      <c r="A6" s="186">
        <f>ROWS($A$6:A6)</f>
        <v>1</v>
      </c>
      <c r="B6" s="41"/>
      <c r="C6" s="2377"/>
      <c r="D6" s="2377"/>
      <c r="E6" s="2377"/>
      <c r="F6" s="170"/>
      <c r="G6" s="3616">
        <v>2018</v>
      </c>
      <c r="H6" s="3616">
        <v>2019</v>
      </c>
      <c r="I6" s="3616">
        <v>2020</v>
      </c>
      <c r="J6" s="3617">
        <v>2021</v>
      </c>
      <c r="K6" s="211">
        <v>2022</v>
      </c>
      <c r="L6" s="3617">
        <v>2023</v>
      </c>
      <c r="M6" s="3617">
        <v>2024</v>
      </c>
      <c r="N6" s="3618" t="s">
        <v>1749</v>
      </c>
      <c r="O6" s="3333">
        <v>2024</v>
      </c>
      <c r="Q6" s="242"/>
      <c r="R6" s="50"/>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row>
    <row r="7" spans="1:43" s="27" customFormat="1" ht="31.2" customHeight="1">
      <c r="A7" s="186">
        <f>ROWS($A$6:A7)</f>
        <v>2</v>
      </c>
      <c r="B7" s="41"/>
      <c r="C7" s="28"/>
      <c r="D7" s="28"/>
      <c r="E7" s="28"/>
      <c r="F7" s="170"/>
      <c r="G7" s="250"/>
      <c r="H7" s="250"/>
      <c r="I7" s="249"/>
      <c r="J7" s="2462"/>
      <c r="K7" s="2462"/>
      <c r="L7" s="2462"/>
      <c r="M7" s="2145"/>
      <c r="N7" s="2145"/>
      <c r="O7" s="2145"/>
      <c r="P7" s="2145"/>
      <c r="Q7" s="242"/>
      <c r="R7" s="50"/>
      <c r="S7" s="201"/>
      <c r="T7" s="201"/>
      <c r="U7" s="246" t="s">
        <v>272</v>
      </c>
      <c r="W7" s="31" t="s">
        <v>271</v>
      </c>
      <c r="X7" s="2499">
        <v>2</v>
      </c>
      <c r="Y7" s="248" t="str">
        <f>VLOOKUP(X7,U8:V9,2,FALSE)</f>
        <v>ohne Mehrwertsteuer (Option)</v>
      </c>
      <c r="Z7" s="248"/>
      <c r="AA7" s="248"/>
      <c r="AB7" s="248"/>
      <c r="AC7" s="201"/>
      <c r="AD7" s="201"/>
      <c r="AE7" s="201"/>
      <c r="AF7" s="201"/>
      <c r="AG7" s="201"/>
      <c r="AH7" s="201"/>
      <c r="AI7" s="201"/>
      <c r="AJ7" s="201"/>
      <c r="AK7" s="201"/>
      <c r="AL7" s="201"/>
      <c r="AM7" s="201"/>
      <c r="AN7" s="201"/>
      <c r="AO7" s="201"/>
      <c r="AP7" s="201"/>
      <c r="AQ7" s="201"/>
    </row>
    <row r="8" spans="1:43" s="27" customFormat="1" ht="39" customHeight="1">
      <c r="A8" s="186">
        <f>ROWS($A$6:A8)</f>
        <v>3</v>
      </c>
      <c r="B8" s="2424" t="s">
        <v>270</v>
      </c>
      <c r="C8" s="251"/>
      <c r="D8" s="251"/>
      <c r="E8" s="251"/>
      <c r="F8" s="213"/>
      <c r="G8" s="212"/>
      <c r="H8" s="212"/>
      <c r="I8" s="212"/>
      <c r="J8" s="212"/>
      <c r="K8" s="211"/>
      <c r="L8" s="211"/>
      <c r="M8" s="211"/>
      <c r="N8" s="3482" t="s">
        <v>1739</v>
      </c>
      <c r="O8" s="2413" t="str">
        <f>IF(X7=2,"ohne MwSt.","mit MwSt.")</f>
        <v>ohne MwSt.</v>
      </c>
      <c r="Q8" s="242"/>
      <c r="R8" s="50"/>
      <c r="S8" s="201"/>
      <c r="T8" s="201"/>
      <c r="U8" s="247">
        <v>1</v>
      </c>
      <c r="V8" s="246" t="s">
        <v>269</v>
      </c>
      <c r="W8" s="201"/>
      <c r="X8" s="201"/>
      <c r="Y8" s="201"/>
      <c r="Z8" s="201"/>
      <c r="AA8" s="201"/>
      <c r="AB8" s="201"/>
      <c r="AC8" s="201"/>
      <c r="AD8" s="201"/>
      <c r="AE8" s="201"/>
      <c r="AF8" s="201"/>
      <c r="AG8" s="201"/>
      <c r="AH8" s="201"/>
      <c r="AI8" s="201"/>
      <c r="AJ8" s="201"/>
      <c r="AK8" s="201"/>
      <c r="AL8" s="201"/>
      <c r="AM8" s="201"/>
      <c r="AN8" s="201"/>
      <c r="AO8" s="201"/>
      <c r="AP8" s="201"/>
      <c r="AQ8" s="201"/>
    </row>
    <row r="9" spans="1:43" s="196" customFormat="1" ht="15.6" customHeight="1">
      <c r="A9" s="186">
        <f>ROWS($A$6:A9)</f>
        <v>4</v>
      </c>
      <c r="B9" s="40"/>
      <c r="C9" s="39" t="s">
        <v>268</v>
      </c>
      <c r="D9" s="39"/>
      <c r="E9" s="39"/>
      <c r="F9" s="244"/>
      <c r="G9" s="243">
        <v>10.7</v>
      </c>
      <c r="H9" s="243">
        <v>10.7</v>
      </c>
      <c r="I9" s="243">
        <v>10.7</v>
      </c>
      <c r="J9" s="243">
        <v>10.7</v>
      </c>
      <c r="K9" s="243">
        <v>9.5</v>
      </c>
      <c r="L9" s="243">
        <v>9</v>
      </c>
      <c r="M9" s="243">
        <v>8.4</v>
      </c>
      <c r="N9" s="3662">
        <v>7.8</v>
      </c>
      <c r="O9" s="2425">
        <f>IF($X$7=2,0,HLOOKUP($O$6,$H$6:$N$12,A9))</f>
        <v>0</v>
      </c>
      <c r="Q9" s="338" t="s">
        <v>1755</v>
      </c>
      <c r="U9" s="247">
        <v>2</v>
      </c>
      <c r="V9" s="246" t="s">
        <v>267</v>
      </c>
      <c r="W9" s="201"/>
      <c r="X9" s="201"/>
      <c r="Y9" s="201"/>
      <c r="Z9" s="201"/>
      <c r="AA9" s="201"/>
      <c r="AB9" s="201"/>
    </row>
    <row r="10" spans="1:43" s="196" customFormat="1" ht="15.6" customHeight="1">
      <c r="A10" s="186">
        <f>ROWS($A$6:A10)</f>
        <v>5</v>
      </c>
      <c r="B10" s="40"/>
      <c r="C10" s="39" t="s">
        <v>266</v>
      </c>
      <c r="D10" s="39"/>
      <c r="E10" s="39"/>
      <c r="F10" s="244"/>
      <c r="G10" s="243">
        <v>7</v>
      </c>
      <c r="H10" s="243">
        <v>7</v>
      </c>
      <c r="I10" s="243">
        <v>7</v>
      </c>
      <c r="J10" s="243">
        <v>7</v>
      </c>
      <c r="K10" s="243">
        <v>7</v>
      </c>
      <c r="L10" s="243">
        <v>7</v>
      </c>
      <c r="M10" s="243">
        <v>7</v>
      </c>
      <c r="N10" s="3662">
        <v>7</v>
      </c>
      <c r="O10" s="2426">
        <f>IF($X$7=2,0,HLOOKUP($O$6,$H$6:$N$12,A10))</f>
        <v>0</v>
      </c>
      <c r="Q10" s="242"/>
    </row>
    <row r="11" spans="1:43" s="196" customFormat="1" ht="15.6" customHeight="1">
      <c r="A11" s="186">
        <f>ROWS($A$6:A11)</f>
        <v>6</v>
      </c>
      <c r="B11" s="40"/>
      <c r="C11" s="39" t="s">
        <v>265</v>
      </c>
      <c r="D11" s="39"/>
      <c r="E11" s="39"/>
      <c r="F11" s="244"/>
      <c r="G11" s="243">
        <v>19</v>
      </c>
      <c r="H11" s="243">
        <v>19</v>
      </c>
      <c r="I11" s="243">
        <v>19</v>
      </c>
      <c r="J11" s="243">
        <v>19</v>
      </c>
      <c r="K11" s="243">
        <v>19</v>
      </c>
      <c r="L11" s="243">
        <v>19</v>
      </c>
      <c r="M11" s="243">
        <v>19</v>
      </c>
      <c r="N11" s="3662">
        <v>19</v>
      </c>
      <c r="O11" s="2426">
        <f t="shared" ref="O11:O12" si="0">IF($X$7=2,0,HLOOKUP($O$6,$H$6:$N$12,A11))</f>
        <v>0</v>
      </c>
      <c r="Q11" s="242"/>
    </row>
    <row r="12" spans="1:43" s="196" customFormat="1" ht="15.6" customHeight="1">
      <c r="A12" s="186">
        <f>ROWS($A$6:A12)</f>
        <v>7</v>
      </c>
      <c r="B12" s="40"/>
      <c r="C12" s="39" t="s">
        <v>264</v>
      </c>
      <c r="D12" s="39"/>
      <c r="E12" s="39"/>
      <c r="F12" s="244"/>
      <c r="G12" s="243">
        <v>12</v>
      </c>
      <c r="H12" s="243">
        <v>12</v>
      </c>
      <c r="I12" s="243">
        <v>12</v>
      </c>
      <c r="J12" s="243">
        <v>12</v>
      </c>
      <c r="K12" s="243">
        <v>12</v>
      </c>
      <c r="L12" s="243">
        <v>12</v>
      </c>
      <c r="M12" s="243">
        <v>12</v>
      </c>
      <c r="N12" s="3662">
        <v>12</v>
      </c>
      <c r="O12" s="2426">
        <f t="shared" si="0"/>
        <v>0</v>
      </c>
      <c r="Q12" s="242"/>
    </row>
    <row r="13" spans="1:43" s="27" customFormat="1" ht="15.6" customHeight="1">
      <c r="A13" s="186">
        <f>ROWS($A$6:A13)</f>
        <v>8</v>
      </c>
      <c r="C13" s="219"/>
      <c r="D13" s="219"/>
      <c r="E13" s="219"/>
      <c r="F13" s="3478"/>
      <c r="G13" s="220"/>
      <c r="H13" s="220"/>
      <c r="I13" s="219"/>
      <c r="J13" s="219"/>
      <c r="K13" s="219"/>
      <c r="L13" s="219"/>
      <c r="M13" s="219"/>
      <c r="N13" s="219"/>
      <c r="O13" s="219"/>
      <c r="Q13" s="242"/>
      <c r="R13" s="50"/>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row>
    <row r="14" spans="1:43" s="27" customFormat="1" ht="37.950000000000003" customHeight="1" thickBot="1">
      <c r="A14" s="186">
        <f>ROWS($A$6:A14)</f>
        <v>9</v>
      </c>
      <c r="B14" s="2427" t="s">
        <v>263</v>
      </c>
      <c r="C14" s="2377"/>
      <c r="D14" s="39"/>
      <c r="E14" s="39"/>
      <c r="F14" s="3479"/>
      <c r="G14" s="3480" t="s">
        <v>239</v>
      </c>
      <c r="H14" s="387"/>
      <c r="I14" s="2428"/>
      <c r="J14" s="2428"/>
      <c r="K14" s="2429"/>
      <c r="L14" s="2429"/>
      <c r="M14" s="2429"/>
      <c r="N14" s="3482" t="s">
        <v>1739</v>
      </c>
      <c r="O14" s="2435" t="str">
        <f>O8</f>
        <v>ohne MwSt.</v>
      </c>
      <c r="Q14" s="242"/>
      <c r="R14" s="50"/>
      <c r="X14" s="201"/>
      <c r="Y14" s="201"/>
      <c r="Z14" s="201"/>
      <c r="AA14" s="201"/>
      <c r="AB14" s="201"/>
      <c r="AC14" s="201"/>
      <c r="AD14" s="201"/>
      <c r="AE14" s="201"/>
      <c r="AF14" s="201"/>
      <c r="AG14" s="201"/>
      <c r="AH14" s="201"/>
      <c r="AI14" s="201"/>
      <c r="AJ14" s="201"/>
      <c r="AK14" s="201"/>
      <c r="AL14" s="201"/>
      <c r="AM14" s="201"/>
      <c r="AN14" s="201"/>
      <c r="AO14" s="201"/>
      <c r="AP14" s="201"/>
      <c r="AQ14" s="201"/>
    </row>
    <row r="15" spans="1:43" s="27" customFormat="1" ht="15.6" customHeight="1" thickBot="1">
      <c r="A15" s="186">
        <f>ROWS($A$6:A15)</f>
        <v>10</v>
      </c>
      <c r="B15" s="41"/>
      <c r="C15" s="241" t="s">
        <v>262</v>
      </c>
      <c r="D15" s="39"/>
      <c r="E15" s="39"/>
      <c r="F15" s="175"/>
      <c r="G15" s="3616">
        <v>2018</v>
      </c>
      <c r="H15" s="3616">
        <v>2019</v>
      </c>
      <c r="I15" s="3616">
        <v>2020</v>
      </c>
      <c r="J15" s="3617">
        <v>2021</v>
      </c>
      <c r="K15" s="211">
        <v>2022</v>
      </c>
      <c r="L15" s="3617">
        <v>2023</v>
      </c>
      <c r="M15" s="3617">
        <v>2024</v>
      </c>
      <c r="N15" s="3618" t="s">
        <v>1749</v>
      </c>
      <c r="O15" s="3550">
        <f>O9/100</f>
        <v>0</v>
      </c>
      <c r="Q15" s="242"/>
      <c r="R15" s="50"/>
      <c r="S15" s="240" t="s">
        <v>1505</v>
      </c>
      <c r="T15" s="239"/>
      <c r="U15" s="239" t="s">
        <v>1506</v>
      </c>
      <c r="V15" s="239"/>
      <c r="W15" s="238" t="s">
        <v>1426</v>
      </c>
      <c r="X15" s="237"/>
      <c r="Y15" s="2870" t="s">
        <v>1504</v>
      </c>
      <c r="Z15" s="239" t="s">
        <v>1486</v>
      </c>
      <c r="AA15" s="201"/>
      <c r="AB15" s="201"/>
      <c r="AC15" s="201"/>
      <c r="AD15" s="201"/>
      <c r="AE15" s="201"/>
      <c r="AF15" s="201"/>
      <c r="AG15" s="201"/>
      <c r="AH15" s="201"/>
      <c r="AI15" s="201"/>
      <c r="AJ15" s="201"/>
      <c r="AK15" s="201"/>
      <c r="AL15" s="201"/>
      <c r="AM15" s="201"/>
      <c r="AN15" s="201"/>
      <c r="AO15" s="201"/>
      <c r="AP15" s="201"/>
      <c r="AQ15" s="201"/>
    </row>
    <row r="16" spans="1:43" s="196" customFormat="1" ht="15.6" customHeight="1">
      <c r="A16" s="186">
        <f>ROWS($A$6:A16)</f>
        <v>11</v>
      </c>
      <c r="B16" s="2430"/>
      <c r="C16" s="2431" t="s">
        <v>259</v>
      </c>
      <c r="D16" s="2431"/>
      <c r="E16" s="2431" t="s">
        <v>256</v>
      </c>
      <c r="F16" s="2432"/>
      <c r="G16" s="229">
        <v>15.3</v>
      </c>
      <c r="H16" s="229">
        <v>14.7</v>
      </c>
      <c r="I16" s="229">
        <v>14.5</v>
      </c>
      <c r="J16" s="3612">
        <v>20.7</v>
      </c>
      <c r="K16" s="3613">
        <f>(28+28.5+28+28+28.5)/5</f>
        <v>28.2</v>
      </c>
      <c r="L16" s="3614">
        <v>17.8</v>
      </c>
      <c r="M16" s="3615">
        <v>16.5</v>
      </c>
      <c r="N16" s="2862">
        <f>TRIMMEAN(I16:M16,0.4)</f>
        <v>18.333333333333332</v>
      </c>
      <c r="O16" s="2433">
        <f>HLOOKUP($O$6,$G$6:$N$48,A16)*(100+$O$9)/100</f>
        <v>16.5</v>
      </c>
      <c r="Q16" s="2987"/>
      <c r="R16" s="50"/>
      <c r="S16" s="227" t="s">
        <v>245</v>
      </c>
      <c r="T16" s="236"/>
      <c r="U16" s="199" t="s">
        <v>1487</v>
      </c>
      <c r="V16" s="199"/>
      <c r="W16" s="235" t="s">
        <v>1495</v>
      </c>
      <c r="X16" s="197"/>
      <c r="Y16" s="227" t="s">
        <v>245</v>
      </c>
    </row>
    <row r="17" spans="1:26" s="177" customFormat="1" ht="15.6" customHeight="1">
      <c r="A17" s="186">
        <f>ROWS($A$6:A17)</f>
        <v>12</v>
      </c>
      <c r="B17" s="48"/>
      <c r="C17" s="39" t="s">
        <v>259</v>
      </c>
      <c r="D17" s="39"/>
      <c r="E17" s="39" t="s">
        <v>261</v>
      </c>
      <c r="F17" s="2777"/>
      <c r="G17" s="229">
        <v>17.600000000000001</v>
      </c>
      <c r="H17" s="229">
        <v>15.1</v>
      </c>
      <c r="I17" s="229">
        <v>15</v>
      </c>
      <c r="J17" s="2860">
        <v>20.2</v>
      </c>
      <c r="K17" s="2990">
        <v>29.9</v>
      </c>
      <c r="L17" s="2991">
        <v>20.5</v>
      </c>
      <c r="M17" s="2997">
        <v>18</v>
      </c>
      <c r="N17" s="2862">
        <f t="shared" ref="N17:N48" si="1">TRIMMEAN(I17:M17,0.4)</f>
        <v>19.566666666666666</v>
      </c>
      <c r="O17" s="2434">
        <f t="shared" ref="O17:O48" si="2">HLOOKUP($O$6,$G$6:$N$48,A17)*(100+$O$9)/100</f>
        <v>18</v>
      </c>
      <c r="Q17" s="2987"/>
      <c r="S17" s="227" t="s">
        <v>245</v>
      </c>
      <c r="T17" s="236"/>
      <c r="U17" s="189" t="s">
        <v>1488</v>
      </c>
      <c r="V17" s="189"/>
      <c r="W17" s="235" t="s">
        <v>1495</v>
      </c>
      <c r="X17" s="187"/>
      <c r="Y17" s="227" t="s">
        <v>245</v>
      </c>
    </row>
    <row r="18" spans="1:26" s="177" customFormat="1" ht="15.6" customHeight="1">
      <c r="A18" s="186">
        <f>ROWS($A$6:A18)</f>
        <v>13</v>
      </c>
      <c r="B18" s="48"/>
      <c r="C18" s="39" t="s">
        <v>259</v>
      </c>
      <c r="D18" s="39"/>
      <c r="E18" s="39" t="s">
        <v>260</v>
      </c>
      <c r="F18" s="2376"/>
      <c r="G18" s="229">
        <v>15</v>
      </c>
      <c r="H18" s="229">
        <v>15.4</v>
      </c>
      <c r="I18" s="229">
        <v>15.5</v>
      </c>
      <c r="J18" s="2860">
        <v>21.1</v>
      </c>
      <c r="K18" s="2990">
        <f>(31+32+31.5+31.5+32)/5</f>
        <v>31.6</v>
      </c>
      <c r="L18" s="2991">
        <v>21.7</v>
      </c>
      <c r="M18" s="2997">
        <v>20.5</v>
      </c>
      <c r="N18" s="2862">
        <f t="shared" si="1"/>
        <v>21.099999999999998</v>
      </c>
      <c r="O18" s="2434">
        <f t="shared" si="2"/>
        <v>20.5</v>
      </c>
      <c r="Q18" s="2987"/>
      <c r="S18" s="227" t="s">
        <v>245</v>
      </c>
      <c r="T18" s="236"/>
      <c r="U18" s="189" t="s">
        <v>1489</v>
      </c>
      <c r="V18" s="189"/>
      <c r="W18" s="235" t="s">
        <v>1495</v>
      </c>
      <c r="X18" s="187"/>
      <c r="Y18" s="227" t="s">
        <v>245</v>
      </c>
      <c r="Z18" s="196"/>
    </row>
    <row r="19" spans="1:26" s="177" customFormat="1" ht="15.6" customHeight="1">
      <c r="A19" s="186">
        <f>ROWS($A$6:A19)</f>
        <v>14</v>
      </c>
      <c r="B19" s="48"/>
      <c r="C19" s="39" t="s">
        <v>259</v>
      </c>
      <c r="D19" s="39"/>
      <c r="E19" s="39" t="s">
        <v>258</v>
      </c>
      <c r="F19" s="2777"/>
      <c r="G19" s="229">
        <v>16.600000000000001</v>
      </c>
      <c r="H19" s="229">
        <v>16</v>
      </c>
      <c r="I19" s="229">
        <v>17</v>
      </c>
      <c r="J19" s="2860">
        <v>20.9</v>
      </c>
      <c r="K19" s="2990">
        <f>(34.98+35.03+35.06+34.8+34.65)/5</f>
        <v>34.904000000000003</v>
      </c>
      <c r="L19" s="2991">
        <v>25</v>
      </c>
      <c r="M19" s="2997">
        <v>24</v>
      </c>
      <c r="N19" s="2862">
        <f t="shared" si="1"/>
        <v>23.3</v>
      </c>
      <c r="O19" s="2434">
        <f t="shared" si="2"/>
        <v>24</v>
      </c>
      <c r="Q19" s="2987"/>
      <c r="S19" s="227" t="s">
        <v>245</v>
      </c>
      <c r="T19" s="236"/>
      <c r="U19" s="189" t="s">
        <v>1490</v>
      </c>
      <c r="V19" s="189"/>
      <c r="W19" s="235" t="s">
        <v>1495</v>
      </c>
      <c r="X19" s="187"/>
      <c r="Y19" s="227" t="s">
        <v>245</v>
      </c>
      <c r="Z19" s="196"/>
    </row>
    <row r="20" spans="1:26" s="177" customFormat="1" ht="15.6" customHeight="1">
      <c r="A20" s="186">
        <f>ROWS($A$6:A20)</f>
        <v>15</v>
      </c>
      <c r="B20" s="48"/>
      <c r="C20" s="39" t="s">
        <v>89</v>
      </c>
      <c r="D20" s="39"/>
      <c r="E20" s="39"/>
      <c r="F20" s="2777"/>
      <c r="G20" s="229">
        <v>15.75</v>
      </c>
      <c r="H20" s="229">
        <v>14</v>
      </c>
      <c r="I20" s="229">
        <v>13.5</v>
      </c>
      <c r="J20" s="2860">
        <v>16.899999999999999</v>
      </c>
      <c r="K20" s="2990">
        <f>(28+28+28+28+28)/5</f>
        <v>28</v>
      </c>
      <c r="L20" s="2991">
        <v>19.5</v>
      </c>
      <c r="M20" s="2997">
        <v>15.6</v>
      </c>
      <c r="N20" s="2862">
        <f t="shared" si="1"/>
        <v>17.333333333333332</v>
      </c>
      <c r="O20" s="2434">
        <f t="shared" si="2"/>
        <v>15.6</v>
      </c>
      <c r="Q20" s="2987"/>
      <c r="S20" s="227" t="s">
        <v>245</v>
      </c>
      <c r="T20" s="236"/>
      <c r="U20" s="189" t="s">
        <v>1491</v>
      </c>
      <c r="V20" s="189"/>
      <c r="W20" s="235" t="s">
        <v>1495</v>
      </c>
      <c r="X20" s="187"/>
      <c r="Y20" s="227" t="s">
        <v>245</v>
      </c>
    </row>
    <row r="21" spans="1:26" s="177" customFormat="1" ht="15.6" customHeight="1">
      <c r="A21" s="186">
        <f>ROWS($A$6:A21)</f>
        <v>16</v>
      </c>
      <c r="B21" s="48"/>
      <c r="C21" s="39" t="s">
        <v>87</v>
      </c>
      <c r="D21" s="39"/>
      <c r="E21" s="39"/>
      <c r="F21" s="2777"/>
      <c r="G21" s="229">
        <v>15.75</v>
      </c>
      <c r="H21" s="229">
        <v>13.5</v>
      </c>
      <c r="I21" s="229">
        <v>14.7</v>
      </c>
      <c r="J21" s="2860">
        <v>18.7</v>
      </c>
      <c r="K21" s="2990">
        <f>(24.5+24.5+25+26+26)/5</f>
        <v>25.2</v>
      </c>
      <c r="L21" s="2991">
        <v>17.7</v>
      </c>
      <c r="M21" s="2997">
        <v>16.399999999999999</v>
      </c>
      <c r="N21" s="2862">
        <f t="shared" si="1"/>
        <v>17.599999999999998</v>
      </c>
      <c r="O21" s="2434">
        <f t="shared" si="2"/>
        <v>16.399999999999999</v>
      </c>
      <c r="Q21" s="2987"/>
      <c r="S21" s="227" t="s">
        <v>245</v>
      </c>
      <c r="T21" s="236"/>
      <c r="U21" s="189"/>
      <c r="V21" s="189"/>
      <c r="W21" s="235" t="s">
        <v>1495</v>
      </c>
      <c r="X21" s="187"/>
      <c r="Y21" s="227" t="s">
        <v>245</v>
      </c>
    </row>
    <row r="22" spans="1:26" s="177" customFormat="1" ht="15.6" customHeight="1">
      <c r="A22" s="186">
        <f>ROWS($A$6:A22)</f>
        <v>17</v>
      </c>
      <c r="B22" s="48"/>
      <c r="C22" s="39" t="s">
        <v>85</v>
      </c>
      <c r="D22" s="39"/>
      <c r="E22" s="39"/>
      <c r="F22" s="2777"/>
      <c r="G22" s="229">
        <v>16.899999999999999</v>
      </c>
      <c r="H22" s="229">
        <v>14</v>
      </c>
      <c r="I22" s="229">
        <v>13.5</v>
      </c>
      <c r="J22" s="2860">
        <v>17.100000000000001</v>
      </c>
      <c r="K22" s="2990">
        <v>25.4</v>
      </c>
      <c r="L22" s="2991">
        <v>17.2</v>
      </c>
      <c r="M22" s="2997">
        <v>16.2</v>
      </c>
      <c r="N22" s="2862">
        <f t="shared" si="1"/>
        <v>16.833333333333332</v>
      </c>
      <c r="O22" s="2434">
        <f t="shared" si="2"/>
        <v>16.2</v>
      </c>
      <c r="Q22" s="2987"/>
      <c r="S22" s="227" t="s">
        <v>245</v>
      </c>
      <c r="T22" s="236"/>
      <c r="U22" s="189" t="s">
        <v>1489</v>
      </c>
      <c r="V22" s="189"/>
      <c r="W22" s="235" t="s">
        <v>1495</v>
      </c>
      <c r="X22" s="187"/>
      <c r="Y22" s="227" t="s">
        <v>245</v>
      </c>
    </row>
    <row r="23" spans="1:26" s="177" customFormat="1" ht="15.6" customHeight="1">
      <c r="A23" s="186">
        <f>ROWS($A$6:A23)</f>
        <v>18</v>
      </c>
      <c r="B23" s="48"/>
      <c r="C23" s="39" t="s">
        <v>83</v>
      </c>
      <c r="D23" s="39"/>
      <c r="E23" s="39"/>
      <c r="F23" s="2777"/>
      <c r="G23" s="229">
        <v>19</v>
      </c>
      <c r="H23" s="229">
        <v>20</v>
      </c>
      <c r="I23" s="229">
        <v>22</v>
      </c>
      <c r="J23" s="2860">
        <v>20.5</v>
      </c>
      <c r="K23" s="2990">
        <v>23</v>
      </c>
      <c r="L23" s="2990">
        <v>19.5</v>
      </c>
      <c r="M23" s="2997">
        <v>26</v>
      </c>
      <c r="N23" s="2862">
        <f t="shared" si="1"/>
        <v>21.833333333333332</v>
      </c>
      <c r="O23" s="2434">
        <f t="shared" si="2"/>
        <v>26</v>
      </c>
      <c r="Q23" s="2988"/>
      <c r="S23" s="227" t="s">
        <v>245</v>
      </c>
      <c r="T23" s="236"/>
      <c r="U23" s="189" t="s">
        <v>1489</v>
      </c>
      <c r="V23" s="189"/>
      <c r="W23" s="235" t="s">
        <v>1495</v>
      </c>
      <c r="X23" s="187"/>
      <c r="Y23" s="227" t="s">
        <v>245</v>
      </c>
    </row>
    <row r="24" spans="1:26" s="177" customFormat="1" ht="15.6" customHeight="1">
      <c r="A24" s="186">
        <f>ROWS($A$6:A24)</f>
        <v>19</v>
      </c>
      <c r="B24" s="48"/>
      <c r="C24" s="39" t="s">
        <v>80</v>
      </c>
      <c r="D24" s="39"/>
      <c r="E24" s="39"/>
      <c r="F24" s="2777"/>
      <c r="G24" s="229">
        <v>17.600000000000001</v>
      </c>
      <c r="H24" s="229">
        <v>15.1</v>
      </c>
      <c r="I24" s="229">
        <v>15</v>
      </c>
      <c r="J24" s="2860">
        <v>20.2</v>
      </c>
      <c r="K24" s="2990">
        <v>29.8</v>
      </c>
      <c r="L24" s="2991">
        <v>20.5</v>
      </c>
      <c r="M24" s="2997">
        <v>18.5</v>
      </c>
      <c r="N24" s="2862">
        <f t="shared" si="1"/>
        <v>19.733333333333334</v>
      </c>
      <c r="O24" s="2434">
        <f t="shared" si="2"/>
        <v>18.5</v>
      </c>
      <c r="Q24" s="2987"/>
      <c r="S24" s="227" t="s">
        <v>245</v>
      </c>
      <c r="T24" s="236"/>
      <c r="U24" s="189" t="s">
        <v>1489</v>
      </c>
      <c r="V24" s="189"/>
      <c r="W24" s="235" t="s">
        <v>1495</v>
      </c>
      <c r="X24" s="187"/>
      <c r="Y24" s="227" t="s">
        <v>245</v>
      </c>
    </row>
    <row r="25" spans="1:26" s="177" customFormat="1" ht="15.6" customHeight="1">
      <c r="A25" s="186">
        <f>ROWS($A$6:A25)</f>
        <v>20</v>
      </c>
      <c r="B25" s="48"/>
      <c r="C25" s="39" t="s">
        <v>257</v>
      </c>
      <c r="D25" s="39"/>
      <c r="E25" s="39" t="s">
        <v>256</v>
      </c>
      <c r="F25" s="2777"/>
      <c r="G25" s="229">
        <v>16.899999999999999</v>
      </c>
      <c r="H25" s="229">
        <v>14</v>
      </c>
      <c r="I25" s="229">
        <v>13.5</v>
      </c>
      <c r="J25" s="2860">
        <v>17.100000000000001</v>
      </c>
      <c r="K25" s="2990">
        <f>(24.5+25.5+25.5+25.5+26)/5</f>
        <v>25.4</v>
      </c>
      <c r="L25" s="2991">
        <v>17.2</v>
      </c>
      <c r="M25" s="2997">
        <v>16.2</v>
      </c>
      <c r="N25" s="2862">
        <f t="shared" si="1"/>
        <v>16.833333333333332</v>
      </c>
      <c r="O25" s="2434">
        <f t="shared" si="2"/>
        <v>16.2</v>
      </c>
      <c r="Q25" s="2987"/>
      <c r="S25" s="227" t="s">
        <v>245</v>
      </c>
      <c r="T25" s="236"/>
      <c r="U25" s="189" t="s">
        <v>1489</v>
      </c>
      <c r="V25" s="189"/>
      <c r="W25" s="235" t="s">
        <v>1495</v>
      </c>
      <c r="X25" s="187"/>
      <c r="Y25" s="227" t="s">
        <v>245</v>
      </c>
    </row>
    <row r="26" spans="1:26" s="177" customFormat="1" ht="15.6" customHeight="1">
      <c r="A26" s="186">
        <f>ROWS($A$6:A26)</f>
        <v>21</v>
      </c>
      <c r="B26" s="48"/>
      <c r="C26" s="39" t="s">
        <v>76</v>
      </c>
      <c r="D26" s="39"/>
      <c r="E26" s="39"/>
      <c r="F26" s="2777"/>
      <c r="G26" s="229">
        <v>20.399999999999999</v>
      </c>
      <c r="H26" s="229">
        <v>18.399999999999999</v>
      </c>
      <c r="I26" s="229">
        <v>16</v>
      </c>
      <c r="J26" s="2860">
        <v>22.2</v>
      </c>
      <c r="K26" s="2990">
        <v>37</v>
      </c>
      <c r="L26" s="2991">
        <v>31.4</v>
      </c>
      <c r="M26" s="2997">
        <v>25.5</v>
      </c>
      <c r="N26" s="2862">
        <f t="shared" si="1"/>
        <v>26.366666666666664</v>
      </c>
      <c r="O26" s="2434">
        <f t="shared" si="2"/>
        <v>25.5</v>
      </c>
      <c r="Q26" s="2987"/>
      <c r="S26" s="227" t="s">
        <v>245</v>
      </c>
      <c r="T26" s="236"/>
      <c r="U26" s="189" t="s">
        <v>1489</v>
      </c>
      <c r="V26" s="189"/>
      <c r="W26" s="235" t="s">
        <v>1495</v>
      </c>
      <c r="X26" s="187"/>
      <c r="Y26" s="227" t="s">
        <v>245</v>
      </c>
    </row>
    <row r="27" spans="1:26" s="177" customFormat="1" ht="15.6" customHeight="1">
      <c r="A27" s="186">
        <f>ROWS($A$6:A27)</f>
        <v>22</v>
      </c>
      <c r="B27" s="48"/>
      <c r="C27" s="39" t="s">
        <v>74</v>
      </c>
      <c r="D27" s="39"/>
      <c r="E27" s="39"/>
      <c r="F27" s="2777"/>
      <c r="G27" s="229">
        <v>15.5</v>
      </c>
      <c r="H27" s="229">
        <v>14.5</v>
      </c>
      <c r="I27" s="229">
        <v>15</v>
      </c>
      <c r="J27" s="2860">
        <v>16</v>
      </c>
      <c r="K27" s="2990">
        <v>26.5</v>
      </c>
      <c r="L27" s="2990">
        <v>21.5</v>
      </c>
      <c r="M27" s="2997">
        <v>18.899999999999999</v>
      </c>
      <c r="N27" s="2862">
        <f t="shared" si="1"/>
        <v>18.8</v>
      </c>
      <c r="O27" s="2434">
        <f t="shared" si="2"/>
        <v>18.899999999999999</v>
      </c>
      <c r="Q27" s="183"/>
      <c r="S27" s="227" t="s">
        <v>245</v>
      </c>
      <c r="T27" s="236"/>
      <c r="U27" s="189" t="s">
        <v>1489</v>
      </c>
      <c r="V27" s="189"/>
      <c r="W27" s="235" t="s">
        <v>1495</v>
      </c>
      <c r="X27" s="187"/>
      <c r="Y27" s="227" t="s">
        <v>245</v>
      </c>
    </row>
    <row r="28" spans="1:26" s="177" customFormat="1" ht="15.6" customHeight="1">
      <c r="A28" s="186">
        <f>ROWS($A$6:A28)</f>
        <v>23</v>
      </c>
      <c r="B28" s="48"/>
      <c r="C28" s="39" t="s">
        <v>72</v>
      </c>
      <c r="D28" s="39"/>
      <c r="E28" s="39"/>
      <c r="F28" s="2777"/>
      <c r="G28" s="229">
        <v>22</v>
      </c>
      <c r="H28" s="229">
        <v>22.5</v>
      </c>
      <c r="I28" s="229">
        <v>25</v>
      </c>
      <c r="J28" s="2860">
        <v>27.5</v>
      </c>
      <c r="K28" s="2990">
        <v>43</v>
      </c>
      <c r="L28" s="2990">
        <v>28.5</v>
      </c>
      <c r="M28" s="2997">
        <v>28.5</v>
      </c>
      <c r="N28" s="2862">
        <f t="shared" si="1"/>
        <v>28.166666666666668</v>
      </c>
      <c r="O28" s="2434">
        <f t="shared" si="2"/>
        <v>28.5</v>
      </c>
      <c r="Q28" s="183"/>
      <c r="S28" s="227" t="s">
        <v>245</v>
      </c>
      <c r="T28" s="236"/>
      <c r="U28" s="189" t="s">
        <v>1489</v>
      </c>
      <c r="V28" s="189"/>
      <c r="W28" s="235" t="s">
        <v>1495</v>
      </c>
      <c r="X28" s="187"/>
      <c r="Y28" s="227" t="s">
        <v>245</v>
      </c>
    </row>
    <row r="29" spans="1:26" s="177" customFormat="1" ht="15.6" customHeight="1">
      <c r="A29" s="186">
        <f>ROWS($A$6:A29)</f>
        <v>24</v>
      </c>
      <c r="B29" s="48"/>
      <c r="C29" s="39" t="s">
        <v>69</v>
      </c>
      <c r="D29" s="39"/>
      <c r="E29" s="39"/>
      <c r="F29" s="2777"/>
      <c r="G29" s="229">
        <v>16.600000000000001</v>
      </c>
      <c r="H29" s="229">
        <v>14.4</v>
      </c>
      <c r="I29" s="229">
        <v>17.350000000000001</v>
      </c>
      <c r="J29" s="2860">
        <v>22.8</v>
      </c>
      <c r="K29" s="2990">
        <v>32.200000000000003</v>
      </c>
      <c r="L29" s="2990">
        <v>18.899999999999999</v>
      </c>
      <c r="M29" s="2997">
        <v>18.7</v>
      </c>
      <c r="N29" s="2862">
        <f t="shared" si="1"/>
        <v>20.133333333333336</v>
      </c>
      <c r="O29" s="2434">
        <f t="shared" si="2"/>
        <v>18.7</v>
      </c>
      <c r="Q29" s="2929"/>
      <c r="S29" s="227" t="s">
        <v>245</v>
      </c>
      <c r="T29" s="236"/>
      <c r="U29" s="189" t="s">
        <v>1489</v>
      </c>
      <c r="V29" s="189"/>
      <c r="W29" s="235" t="s">
        <v>1495</v>
      </c>
      <c r="X29" s="187"/>
      <c r="Y29" s="227" t="s">
        <v>245</v>
      </c>
    </row>
    <row r="30" spans="1:26" s="177" customFormat="1" ht="15.6" customHeight="1">
      <c r="A30" s="186">
        <f>ROWS($A$6:A30)</f>
        <v>25</v>
      </c>
      <c r="B30" s="48"/>
      <c r="C30" s="39" t="s">
        <v>66</v>
      </c>
      <c r="D30" s="39"/>
      <c r="E30" s="39"/>
      <c r="F30" s="2777"/>
      <c r="G30" s="229">
        <f>G29-1</f>
        <v>15.600000000000001</v>
      </c>
      <c r="H30" s="229">
        <v>15.6</v>
      </c>
      <c r="I30" s="229">
        <v>15.6</v>
      </c>
      <c r="J30" s="2860">
        <v>18.5</v>
      </c>
      <c r="K30" s="2990" t="s">
        <v>1556</v>
      </c>
      <c r="L30" s="2992" t="s">
        <v>1556</v>
      </c>
      <c r="M30" s="2997" t="s">
        <v>1556</v>
      </c>
      <c r="N30" s="2862">
        <f>TRIMMEAN(I30:M30,0.4)</f>
        <v>17.05</v>
      </c>
      <c r="O30" s="2434" t="e">
        <f t="shared" si="2"/>
        <v>#VALUE!</v>
      </c>
      <c r="Q30" s="183"/>
      <c r="S30" s="227"/>
      <c r="T30" s="236"/>
      <c r="U30" s="189" t="s">
        <v>1489</v>
      </c>
      <c r="V30" s="189"/>
      <c r="W30" s="235" t="s">
        <v>1495</v>
      </c>
      <c r="X30" s="187"/>
      <c r="Y30" s="227" t="s">
        <v>245</v>
      </c>
    </row>
    <row r="31" spans="1:26" s="177" customFormat="1" ht="15.6" customHeight="1">
      <c r="A31" s="186">
        <f>ROWS($A$6:A31)</f>
        <v>26</v>
      </c>
      <c r="B31" s="48"/>
      <c r="C31" s="39" t="s">
        <v>255</v>
      </c>
      <c r="D31" s="39"/>
      <c r="E31" s="39" t="s">
        <v>254</v>
      </c>
      <c r="F31" s="2777"/>
      <c r="G31" s="229">
        <v>35.200000000000003</v>
      </c>
      <c r="H31" s="229">
        <v>35.299999999999997</v>
      </c>
      <c r="I31" s="229">
        <v>35.5</v>
      </c>
      <c r="J31" s="2860">
        <v>52.7</v>
      </c>
      <c r="K31" s="2990">
        <v>61.2</v>
      </c>
      <c r="L31" s="2991">
        <v>42.6</v>
      </c>
      <c r="M31" s="2997">
        <v>41.5</v>
      </c>
      <c r="N31" s="2862">
        <f t="shared" si="1"/>
        <v>45.6</v>
      </c>
      <c r="O31" s="2434">
        <f t="shared" si="2"/>
        <v>41.5</v>
      </c>
      <c r="Q31" s="183"/>
      <c r="S31" s="227" t="s">
        <v>245</v>
      </c>
      <c r="T31" s="236"/>
      <c r="U31" s="189" t="s">
        <v>1489</v>
      </c>
      <c r="V31" s="189"/>
      <c r="W31" s="235" t="s">
        <v>1495</v>
      </c>
      <c r="X31" s="187"/>
      <c r="Y31" s="227" t="s">
        <v>245</v>
      </c>
    </row>
    <row r="32" spans="1:26" s="177" customFormat="1" ht="15.6" customHeight="1">
      <c r="A32" s="186">
        <f>ROWS($A$6:A32)</f>
        <v>27</v>
      </c>
      <c r="B32" s="48"/>
      <c r="C32" s="39" t="s">
        <v>59</v>
      </c>
      <c r="D32" s="39"/>
      <c r="E32" s="39"/>
      <c r="F32" s="2777"/>
      <c r="G32" s="229">
        <v>31</v>
      </c>
      <c r="H32" s="229">
        <v>38</v>
      </c>
      <c r="I32" s="229">
        <v>38.5</v>
      </c>
      <c r="J32" s="2860">
        <v>44</v>
      </c>
      <c r="K32" s="2990">
        <v>57.5</v>
      </c>
      <c r="L32" s="2990">
        <v>34</v>
      </c>
      <c r="M32" s="2997">
        <v>36.5</v>
      </c>
      <c r="N32" s="2862">
        <f t="shared" si="1"/>
        <v>39.666666666666664</v>
      </c>
      <c r="O32" s="2434">
        <f t="shared" si="2"/>
        <v>36.5</v>
      </c>
      <c r="Q32" s="183"/>
      <c r="S32" s="227" t="s">
        <v>245</v>
      </c>
      <c r="T32" s="236"/>
      <c r="U32" s="189" t="s">
        <v>1489</v>
      </c>
      <c r="V32" s="189"/>
      <c r="W32" s="235" t="s">
        <v>1495</v>
      </c>
      <c r="X32" s="187"/>
      <c r="Y32" s="227" t="s">
        <v>245</v>
      </c>
    </row>
    <row r="33" spans="1:43" s="177" customFormat="1" ht="15.6" customHeight="1">
      <c r="A33" s="186">
        <f>ROWS($A$6:A33)</f>
        <v>28</v>
      </c>
      <c r="B33" s="48"/>
      <c r="C33" s="39" t="s">
        <v>253</v>
      </c>
      <c r="D33" s="39"/>
      <c r="E33" s="39"/>
      <c r="F33" s="2777"/>
      <c r="G33" s="229">
        <v>34.299999999999997</v>
      </c>
      <c r="H33" s="229">
        <v>34.299999999999997</v>
      </c>
      <c r="I33" s="229">
        <v>36.5</v>
      </c>
      <c r="J33" s="2860">
        <v>55</v>
      </c>
      <c r="K33" s="2990">
        <v>62</v>
      </c>
      <c r="L33" s="2990">
        <v>40</v>
      </c>
      <c r="M33" s="2997">
        <v>41</v>
      </c>
      <c r="N33" s="2862">
        <f t="shared" si="1"/>
        <v>45.333333333333336</v>
      </c>
      <c r="O33" s="2434">
        <f t="shared" si="2"/>
        <v>41</v>
      </c>
      <c r="Q33" s="2929"/>
      <c r="S33" s="227" t="s">
        <v>245</v>
      </c>
      <c r="T33" s="236"/>
      <c r="U33" s="189" t="s">
        <v>1489</v>
      </c>
      <c r="V33" s="189"/>
      <c r="W33" s="235" t="s">
        <v>1495</v>
      </c>
      <c r="X33" s="187"/>
      <c r="Y33" s="227" t="s">
        <v>245</v>
      </c>
    </row>
    <row r="34" spans="1:43" s="177" customFormat="1" ht="15.6" customHeight="1">
      <c r="A34" s="186">
        <f>ROWS($A$6:A34)</f>
        <v>29</v>
      </c>
      <c r="B34" s="48"/>
      <c r="C34" s="39" t="s">
        <v>252</v>
      </c>
      <c r="D34" s="39"/>
      <c r="E34" s="39"/>
      <c r="F34" s="2777"/>
      <c r="G34" s="229">
        <v>29.3</v>
      </c>
      <c r="H34" s="229">
        <v>29.3</v>
      </c>
      <c r="I34" s="229">
        <v>29.3</v>
      </c>
      <c r="J34" s="2860">
        <v>30</v>
      </c>
      <c r="K34" s="2990" t="s">
        <v>1556</v>
      </c>
      <c r="L34" s="2992" t="s">
        <v>1556</v>
      </c>
      <c r="M34" s="2997" t="s">
        <v>1556</v>
      </c>
      <c r="N34" s="2862">
        <f t="shared" si="1"/>
        <v>29.65</v>
      </c>
      <c r="O34" s="2434" t="e">
        <f t="shared" si="2"/>
        <v>#VALUE!</v>
      </c>
      <c r="Q34" s="183"/>
      <c r="S34" s="227"/>
      <c r="T34" s="236"/>
      <c r="U34" s="189"/>
      <c r="V34" s="189"/>
      <c r="W34" s="235" t="s">
        <v>1495</v>
      </c>
      <c r="X34" s="187"/>
      <c r="Y34" s="227" t="s">
        <v>245</v>
      </c>
    </row>
    <row r="35" spans="1:43" s="177" customFormat="1" ht="15.6" customHeight="1">
      <c r="A35" s="186">
        <f>ROWS($A$6:A35)</f>
        <v>30</v>
      </c>
      <c r="B35" s="48"/>
      <c r="C35" s="39" t="s">
        <v>53</v>
      </c>
      <c r="D35" s="39"/>
      <c r="E35" s="39"/>
      <c r="F35" s="2777"/>
      <c r="G35" s="229">
        <v>18.7</v>
      </c>
      <c r="H35" s="229">
        <v>19</v>
      </c>
      <c r="I35" s="229">
        <v>19.399999999999999</v>
      </c>
      <c r="J35" s="2860">
        <v>23.8</v>
      </c>
      <c r="K35" s="2990">
        <v>32</v>
      </c>
      <c r="L35" s="2990">
        <v>34.1</v>
      </c>
      <c r="M35" s="2997">
        <v>24.2</v>
      </c>
      <c r="N35" s="2862">
        <f t="shared" si="1"/>
        <v>26.666666666666668</v>
      </c>
      <c r="O35" s="2434">
        <f t="shared" si="2"/>
        <v>24.2</v>
      </c>
      <c r="Q35" s="183"/>
      <c r="S35" s="227" t="s">
        <v>245</v>
      </c>
      <c r="T35" s="236"/>
      <c r="U35" s="189" t="s">
        <v>1489</v>
      </c>
      <c r="V35" s="189"/>
      <c r="W35" s="235" t="s">
        <v>1495</v>
      </c>
      <c r="X35" s="187"/>
      <c r="Y35" s="227" t="s">
        <v>245</v>
      </c>
    </row>
    <row r="36" spans="1:43" s="177" customFormat="1" ht="15.6" customHeight="1">
      <c r="A36" s="186">
        <f>ROWS($A$6:A36)</f>
        <v>31</v>
      </c>
      <c r="B36" s="48"/>
      <c r="C36" s="39" t="s">
        <v>51</v>
      </c>
      <c r="D36" s="39"/>
      <c r="E36" s="39"/>
      <c r="F36" s="2777"/>
      <c r="G36" s="229">
        <v>17.399999999999999</v>
      </c>
      <c r="H36" s="229">
        <v>19.5</v>
      </c>
      <c r="I36" s="229">
        <v>20</v>
      </c>
      <c r="J36" s="2860">
        <v>22.6</v>
      </c>
      <c r="K36" s="2990">
        <v>34</v>
      </c>
      <c r="L36" s="2990">
        <v>34.299999999999997</v>
      </c>
      <c r="M36" s="2997">
        <v>24.7</v>
      </c>
      <c r="N36" s="2862">
        <f t="shared" si="1"/>
        <v>27.099999999999998</v>
      </c>
      <c r="O36" s="2434">
        <f t="shared" si="2"/>
        <v>24.7</v>
      </c>
      <c r="Q36" s="183"/>
      <c r="S36" s="227" t="s">
        <v>245</v>
      </c>
      <c r="T36" s="236"/>
      <c r="U36" s="189" t="s">
        <v>1489</v>
      </c>
      <c r="V36" s="189"/>
      <c r="W36" s="235" t="s">
        <v>1495</v>
      </c>
      <c r="X36" s="187"/>
      <c r="Y36" s="227" t="s">
        <v>245</v>
      </c>
    </row>
    <row r="37" spans="1:43" s="177" customFormat="1" ht="15.6" customHeight="1">
      <c r="A37" s="186">
        <f>ROWS($A$6:A37)</f>
        <v>32</v>
      </c>
      <c r="B37" s="48"/>
      <c r="C37" s="39" t="s">
        <v>49</v>
      </c>
      <c r="D37" s="39"/>
      <c r="E37" s="39"/>
      <c r="F37" s="2777"/>
      <c r="G37" s="229">
        <v>20.2</v>
      </c>
      <c r="H37" s="229">
        <v>20</v>
      </c>
      <c r="I37" s="229">
        <v>20</v>
      </c>
      <c r="J37" s="2860">
        <v>20</v>
      </c>
      <c r="K37" s="2990">
        <v>33.799999999999997</v>
      </c>
      <c r="L37" s="2991">
        <v>26.1</v>
      </c>
      <c r="M37" s="2997" t="s">
        <v>1556</v>
      </c>
      <c r="N37" s="2862">
        <f t="shared" si="1"/>
        <v>24.975000000000001</v>
      </c>
      <c r="O37" s="2434" t="e">
        <f t="shared" si="2"/>
        <v>#VALUE!</v>
      </c>
      <c r="Q37" s="183"/>
      <c r="S37" s="227"/>
      <c r="T37" s="236"/>
      <c r="U37" s="189" t="s">
        <v>1492</v>
      </c>
      <c r="V37" s="189"/>
      <c r="W37" s="235" t="s">
        <v>1495</v>
      </c>
      <c r="X37" s="187"/>
      <c r="Y37" s="227" t="s">
        <v>245</v>
      </c>
    </row>
    <row r="38" spans="1:43" s="177" customFormat="1" ht="15.6" customHeight="1">
      <c r="A38" s="186">
        <f>ROWS($A$6:A38)</f>
        <v>33</v>
      </c>
      <c r="B38" s="48"/>
      <c r="C38" s="39" t="s">
        <v>44</v>
      </c>
      <c r="D38" s="39"/>
      <c r="E38" s="39"/>
      <c r="F38" s="2777"/>
      <c r="G38" s="229">
        <v>2.8</v>
      </c>
      <c r="H38" s="229">
        <v>2.65</v>
      </c>
      <c r="I38" s="229">
        <v>2.65</v>
      </c>
      <c r="J38" s="2860">
        <v>2.75</v>
      </c>
      <c r="K38" s="2990">
        <v>3.09</v>
      </c>
      <c r="L38" s="2990">
        <v>5</v>
      </c>
      <c r="M38" s="2997">
        <v>6.38</v>
      </c>
      <c r="N38" s="2862">
        <f t="shared" si="1"/>
        <v>3.6133333333333333</v>
      </c>
      <c r="O38" s="2434">
        <f t="shared" si="2"/>
        <v>6.38</v>
      </c>
      <c r="Q38" s="183"/>
      <c r="R38" s="2779"/>
      <c r="S38" s="227" t="s">
        <v>245</v>
      </c>
      <c r="T38" s="236"/>
      <c r="U38" s="189"/>
      <c r="V38" s="189"/>
      <c r="W38" s="235" t="s">
        <v>1495</v>
      </c>
      <c r="X38" s="187"/>
      <c r="Y38" s="227" t="s">
        <v>245</v>
      </c>
    </row>
    <row r="39" spans="1:43" s="177" customFormat="1" ht="15.6" customHeight="1">
      <c r="A39" s="186">
        <f>ROWS($A$6:A39)</f>
        <v>34</v>
      </c>
      <c r="B39" s="48"/>
      <c r="C39" s="173" t="s">
        <v>44</v>
      </c>
      <c r="D39" s="39"/>
      <c r="E39" s="234" t="s">
        <v>251</v>
      </c>
      <c r="F39" s="233" t="s">
        <v>249</v>
      </c>
      <c r="G39" s="229">
        <v>1.9</v>
      </c>
      <c r="H39" s="229">
        <v>1.4</v>
      </c>
      <c r="I39" s="229">
        <v>1.4</v>
      </c>
      <c r="J39" s="2860">
        <v>1.6</v>
      </c>
      <c r="K39" s="2990">
        <v>1.96</v>
      </c>
      <c r="L39" s="2990">
        <v>2.99</v>
      </c>
      <c r="M39" s="2997">
        <f>M38*0.8</f>
        <v>5.1040000000000001</v>
      </c>
      <c r="N39" s="2862">
        <f t="shared" si="1"/>
        <v>2.1833333333333336</v>
      </c>
      <c r="O39" s="2434">
        <f t="shared" si="2"/>
        <v>5.1040000000000001</v>
      </c>
      <c r="Q39" s="2929"/>
      <c r="R39" s="2779"/>
      <c r="S39" s="227" t="s">
        <v>245</v>
      </c>
      <c r="T39" s="189"/>
      <c r="U39" s="189" t="s">
        <v>1493</v>
      </c>
      <c r="V39" s="189"/>
      <c r="W39" s="235" t="s">
        <v>1495</v>
      </c>
      <c r="X39" s="187"/>
      <c r="Y39" s="227" t="s">
        <v>245</v>
      </c>
    </row>
    <row r="40" spans="1:43" s="177" customFormat="1" ht="15.6" customHeight="1">
      <c r="A40" s="186">
        <f>ROWS($A$6:A40)</f>
        <v>35</v>
      </c>
      <c r="B40" s="48"/>
      <c r="C40" s="39" t="s">
        <v>42</v>
      </c>
      <c r="D40" s="39"/>
      <c r="E40" s="234" t="s">
        <v>250</v>
      </c>
      <c r="F40" s="233" t="s">
        <v>249</v>
      </c>
      <c r="G40" s="229">
        <v>32</v>
      </c>
      <c r="H40" s="229">
        <v>31</v>
      </c>
      <c r="I40" s="229">
        <v>29</v>
      </c>
      <c r="J40" s="2860">
        <v>54.3</v>
      </c>
      <c r="K40" s="2990">
        <v>47.5</v>
      </c>
      <c r="L40" s="2990">
        <v>69</v>
      </c>
      <c r="M40" s="2997">
        <v>64</v>
      </c>
      <c r="N40" s="2862">
        <f t="shared" si="1"/>
        <v>55.266666666666673</v>
      </c>
      <c r="O40" s="2434">
        <f t="shared" si="2"/>
        <v>64</v>
      </c>
      <c r="Q40" s="183"/>
      <c r="S40" s="227" t="s">
        <v>245</v>
      </c>
      <c r="T40" s="189"/>
      <c r="U40" s="189" t="s">
        <v>1493</v>
      </c>
      <c r="V40" s="189"/>
      <c r="W40" s="235" t="s">
        <v>1495</v>
      </c>
      <c r="X40" s="187"/>
      <c r="Y40" s="227" t="s">
        <v>245</v>
      </c>
    </row>
    <row r="41" spans="1:43" s="177" customFormat="1" ht="15.6" customHeight="1">
      <c r="A41" s="186">
        <f>ROWS($A$6:A41)</f>
        <v>36</v>
      </c>
      <c r="B41" s="48"/>
      <c r="C41" s="39" t="s">
        <v>42</v>
      </c>
      <c r="D41" s="39"/>
      <c r="E41" s="39" t="s">
        <v>248</v>
      </c>
      <c r="F41" s="2376"/>
      <c r="G41" s="229">
        <v>35</v>
      </c>
      <c r="H41" s="229">
        <v>31</v>
      </c>
      <c r="I41" s="229">
        <v>29</v>
      </c>
      <c r="J41" s="2860">
        <v>54.3</v>
      </c>
      <c r="K41" s="2990">
        <v>47.5</v>
      </c>
      <c r="L41" s="2990">
        <v>69</v>
      </c>
      <c r="M41" s="2997" t="s">
        <v>1556</v>
      </c>
      <c r="N41" s="2862">
        <f t="shared" si="1"/>
        <v>49.95</v>
      </c>
      <c r="O41" s="2434" t="e">
        <f t="shared" si="2"/>
        <v>#VALUE!</v>
      </c>
      <c r="Q41" s="183"/>
      <c r="S41" s="227" t="s">
        <v>245</v>
      </c>
      <c r="T41" s="189"/>
      <c r="U41" s="189"/>
      <c r="V41" s="189"/>
      <c r="W41" s="235" t="s">
        <v>1495</v>
      </c>
      <c r="X41" s="187"/>
      <c r="Y41" s="227" t="s">
        <v>245</v>
      </c>
    </row>
    <row r="42" spans="1:43" s="177" customFormat="1" ht="13.8">
      <c r="A42" s="186">
        <f>ROWS($A$6:A42)</f>
        <v>37</v>
      </c>
      <c r="B42" s="48"/>
      <c r="C42" s="39" t="s">
        <v>247</v>
      </c>
      <c r="D42" s="39"/>
      <c r="E42" s="39" t="s">
        <v>246</v>
      </c>
      <c r="F42" s="2376"/>
      <c r="G42" s="229">
        <v>24</v>
      </c>
      <c r="H42" s="229">
        <v>18</v>
      </c>
      <c r="I42" s="229">
        <v>10</v>
      </c>
      <c r="J42" s="2860">
        <v>16.7</v>
      </c>
      <c r="K42" s="2990">
        <v>27.4</v>
      </c>
      <c r="L42" s="2990">
        <v>40</v>
      </c>
      <c r="M42" s="2997">
        <v>36</v>
      </c>
      <c r="N42" s="2862">
        <f t="shared" si="1"/>
        <v>26.7</v>
      </c>
      <c r="O42" s="2434">
        <f t="shared" si="2"/>
        <v>36</v>
      </c>
      <c r="Q42" s="183"/>
      <c r="S42" s="227" t="s">
        <v>245</v>
      </c>
      <c r="T42" s="189"/>
      <c r="U42" s="189" t="s">
        <v>1494</v>
      </c>
      <c r="V42" s="189"/>
      <c r="W42" s="235" t="s">
        <v>1495</v>
      </c>
      <c r="X42" s="187"/>
      <c r="Y42" s="227" t="s">
        <v>245</v>
      </c>
    </row>
    <row r="43" spans="1:43" s="177" customFormat="1" ht="14.1" hidden="1" customHeight="1">
      <c r="A43" s="186">
        <f>ROWS($A$6:A43)</f>
        <v>38</v>
      </c>
      <c r="B43" s="48"/>
      <c r="C43" s="173" t="s">
        <v>244</v>
      </c>
      <c r="D43" s="39"/>
      <c r="E43" s="39"/>
      <c r="F43" s="2376"/>
      <c r="G43" s="232"/>
      <c r="H43" s="232"/>
      <c r="I43" s="232"/>
      <c r="J43" s="2861"/>
      <c r="K43" s="2990">
        <v>29</v>
      </c>
      <c r="L43" s="2990">
        <v>29</v>
      </c>
      <c r="M43" s="2998">
        <v>10.7</v>
      </c>
      <c r="N43" s="2862">
        <f t="shared" si="1"/>
        <v>22.900000000000002</v>
      </c>
      <c r="O43" s="2434">
        <f t="shared" si="2"/>
        <v>10.7</v>
      </c>
      <c r="Q43" s="183"/>
      <c r="S43" s="227" t="s">
        <v>245</v>
      </c>
      <c r="T43" s="189"/>
      <c r="U43" s="189" t="s">
        <v>1494</v>
      </c>
      <c r="V43" s="189"/>
      <c r="W43" s="188"/>
      <c r="X43" s="187"/>
      <c r="Y43" s="227" t="s">
        <v>245</v>
      </c>
    </row>
    <row r="44" spans="1:43" s="36" customFormat="1" ht="14.1" hidden="1" customHeight="1">
      <c r="A44" s="186">
        <f>ROWS($A$6:A44)</f>
        <v>39</v>
      </c>
      <c r="B44" s="48"/>
      <c r="C44" s="173" t="s">
        <v>243</v>
      </c>
      <c r="D44" s="39"/>
      <c r="E44" s="39"/>
      <c r="F44" s="2376"/>
      <c r="G44" s="232"/>
      <c r="H44" s="232"/>
      <c r="I44" s="232"/>
      <c r="J44" s="2861"/>
      <c r="K44" s="2990">
        <v>9.9</v>
      </c>
      <c r="L44" s="2990">
        <v>9.9</v>
      </c>
      <c r="N44" s="2862">
        <f t="shared" si="1"/>
        <v>9.9</v>
      </c>
      <c r="O44" s="2434">
        <f t="shared" si="2"/>
        <v>0</v>
      </c>
      <c r="Q44" s="183"/>
      <c r="S44" s="227" t="s">
        <v>245</v>
      </c>
      <c r="T44" s="39"/>
      <c r="U44" s="39" t="s">
        <v>1489</v>
      </c>
      <c r="V44" s="39"/>
      <c r="W44" s="217"/>
      <c r="X44" s="216"/>
      <c r="Y44" s="227" t="s">
        <v>245</v>
      </c>
    </row>
    <row r="45" spans="1:43" s="36" customFormat="1" ht="14.1" hidden="1" customHeight="1">
      <c r="A45" s="186">
        <f>ROWS($A$6:A45)</f>
        <v>40</v>
      </c>
      <c r="B45" s="48"/>
      <c r="C45" s="231"/>
      <c r="D45" s="231"/>
      <c r="E45" s="231"/>
      <c r="F45" s="231"/>
      <c r="G45" s="231"/>
      <c r="H45" s="231"/>
      <c r="I45" s="231"/>
      <c r="J45" s="2858"/>
      <c r="K45" s="2990"/>
      <c r="L45" s="2990"/>
      <c r="N45" s="2862" t="e">
        <f t="shared" si="1"/>
        <v>#NUM!</v>
      </c>
      <c r="O45" s="2434">
        <f t="shared" si="2"/>
        <v>0</v>
      </c>
      <c r="Q45" s="183"/>
      <c r="S45" s="227" t="s">
        <v>245</v>
      </c>
      <c r="T45" s="39"/>
      <c r="U45" s="39" t="s">
        <v>1489</v>
      </c>
      <c r="V45" s="39"/>
      <c r="W45" s="217" t="s">
        <v>242</v>
      </c>
      <c r="X45" s="216"/>
      <c r="Y45" s="227" t="s">
        <v>245</v>
      </c>
    </row>
    <row r="46" spans="1:43" s="36" customFormat="1" ht="15.6" hidden="1" customHeight="1">
      <c r="A46" s="186">
        <f>ROWS($A$6:A46)</f>
        <v>41</v>
      </c>
      <c r="B46" s="48"/>
      <c r="C46" s="231"/>
      <c r="D46" s="231"/>
      <c r="E46" s="231"/>
      <c r="F46" s="231"/>
      <c r="G46" s="231"/>
      <c r="H46" s="231"/>
      <c r="I46" s="231"/>
      <c r="J46" s="2858"/>
      <c r="K46" s="2990"/>
      <c r="L46" s="2990"/>
      <c r="N46" s="2862" t="e">
        <f t="shared" si="1"/>
        <v>#NUM!</v>
      </c>
      <c r="O46" s="2434">
        <f t="shared" si="2"/>
        <v>0</v>
      </c>
      <c r="Q46" s="183"/>
      <c r="S46" s="227" t="s">
        <v>245</v>
      </c>
      <c r="T46" s="39"/>
      <c r="U46" s="39" t="s">
        <v>1489</v>
      </c>
      <c r="V46" s="39"/>
      <c r="W46" s="217"/>
      <c r="X46" s="216"/>
      <c r="Y46" s="227" t="s">
        <v>245</v>
      </c>
    </row>
    <row r="47" spans="1:43" s="36" customFormat="1" ht="15.6" hidden="1" customHeight="1">
      <c r="A47" s="186">
        <f>ROWS($A$6:A47)</f>
        <v>42</v>
      </c>
      <c r="B47" s="48"/>
      <c r="C47" s="231"/>
      <c r="D47" s="231"/>
      <c r="E47" s="231"/>
      <c r="F47" s="231"/>
      <c r="G47" s="231"/>
      <c r="H47" s="231"/>
      <c r="I47" s="231"/>
      <c r="J47" s="2858"/>
      <c r="K47" s="2990"/>
      <c r="L47" s="2990"/>
      <c r="N47" s="2862" t="e">
        <f t="shared" si="1"/>
        <v>#NUM!</v>
      </c>
      <c r="O47" s="2434">
        <f t="shared" si="2"/>
        <v>0</v>
      </c>
      <c r="Q47" s="183"/>
      <c r="S47" s="227" t="s">
        <v>245</v>
      </c>
      <c r="T47" s="39"/>
      <c r="U47" s="39"/>
      <c r="V47" s="39"/>
      <c r="W47" s="217"/>
      <c r="X47" s="216"/>
      <c r="Y47" s="227" t="s">
        <v>245</v>
      </c>
    </row>
    <row r="48" spans="1:43" s="27" customFormat="1" ht="15.6" customHeight="1">
      <c r="A48" s="186">
        <f>ROWS($A$6:A48)</f>
        <v>43</v>
      </c>
      <c r="B48" s="251"/>
      <c r="C48" s="223" t="s">
        <v>241</v>
      </c>
      <c r="D48" s="184"/>
      <c r="E48" s="184"/>
      <c r="F48" s="2856"/>
      <c r="G48" s="2857">
        <v>7.5</v>
      </c>
      <c r="H48" s="2857">
        <v>7.5</v>
      </c>
      <c r="I48" s="2855">
        <v>7.5</v>
      </c>
      <c r="J48" s="2859">
        <v>7.5</v>
      </c>
      <c r="K48" s="3467">
        <v>9.9</v>
      </c>
      <c r="L48" s="2993">
        <v>10.1</v>
      </c>
      <c r="M48" s="2999">
        <v>10.7</v>
      </c>
      <c r="N48" s="3663">
        <f t="shared" si="1"/>
        <v>9.1666666666666661</v>
      </c>
      <c r="O48" s="2434">
        <f t="shared" si="2"/>
        <v>10.7</v>
      </c>
      <c r="Q48" s="3551"/>
      <c r="R48" s="307"/>
      <c r="S48" s="38"/>
      <c r="T48" s="204"/>
      <c r="U48" s="204"/>
      <c r="V48" s="204"/>
      <c r="W48" s="203"/>
      <c r="X48" s="202"/>
      <c r="Y48" s="227" t="s">
        <v>245</v>
      </c>
      <c r="Z48" s="201"/>
      <c r="AA48" s="201"/>
      <c r="AB48" s="201"/>
      <c r="AC48" s="201"/>
      <c r="AD48" s="201"/>
      <c r="AE48" s="201"/>
      <c r="AF48" s="201"/>
      <c r="AG48" s="201"/>
      <c r="AH48" s="201"/>
      <c r="AI48" s="201"/>
      <c r="AJ48" s="201"/>
      <c r="AK48" s="201"/>
      <c r="AL48" s="201"/>
      <c r="AM48" s="201"/>
      <c r="AN48" s="201"/>
      <c r="AO48" s="201"/>
      <c r="AP48" s="201"/>
      <c r="AQ48" s="201"/>
    </row>
    <row r="49" spans="1:43" s="27" customFormat="1" ht="19.95" customHeight="1">
      <c r="A49" s="186">
        <f>ROWS($A$6:A49)</f>
        <v>44</v>
      </c>
      <c r="J49" s="226"/>
      <c r="K49" s="193"/>
      <c r="L49" s="226"/>
      <c r="M49" s="226"/>
      <c r="N49" s="226"/>
      <c r="O49" s="226"/>
      <c r="Q49" s="226"/>
      <c r="R49" s="3552"/>
      <c r="S49" s="205"/>
      <c r="T49" s="204"/>
      <c r="U49" s="204"/>
      <c r="V49" s="204"/>
      <c r="W49" s="203"/>
      <c r="X49" s="202"/>
      <c r="Y49" s="201"/>
      <c r="Z49" s="201"/>
      <c r="AA49" s="201"/>
      <c r="AB49" s="201"/>
      <c r="AC49" s="201"/>
      <c r="AD49" s="201"/>
      <c r="AE49" s="201"/>
      <c r="AF49" s="201"/>
      <c r="AG49" s="201"/>
      <c r="AH49" s="201"/>
      <c r="AI49" s="201"/>
      <c r="AJ49" s="201"/>
      <c r="AK49" s="201"/>
      <c r="AL49" s="201"/>
      <c r="AM49" s="201"/>
      <c r="AN49" s="201"/>
      <c r="AO49" s="201"/>
      <c r="AP49" s="201"/>
      <c r="AQ49" s="201"/>
    </row>
    <row r="50" spans="1:43" s="27" customFormat="1" ht="36" customHeight="1">
      <c r="A50" s="186">
        <f>ROWS($A$6:A50)</f>
        <v>45</v>
      </c>
      <c r="B50" s="2427" t="s">
        <v>240</v>
      </c>
      <c r="C50" s="2377"/>
      <c r="D50" s="39"/>
      <c r="E50" s="39"/>
      <c r="F50" s="175"/>
      <c r="G50" s="52" t="s">
        <v>239</v>
      </c>
      <c r="H50" s="2428"/>
      <c r="I50" s="2428"/>
      <c r="J50" s="387"/>
      <c r="K50" s="193"/>
      <c r="L50" s="402"/>
      <c r="M50" s="402"/>
      <c r="N50" s="3482" t="s">
        <v>1739</v>
      </c>
      <c r="O50" s="3555" t="str">
        <f>O8</f>
        <v>ohne MwSt.</v>
      </c>
      <c r="Q50" s="385"/>
      <c r="R50" s="3552"/>
      <c r="S50" s="205"/>
      <c r="T50" s="204"/>
      <c r="U50" s="204"/>
      <c r="V50" s="204"/>
      <c r="W50" s="203"/>
      <c r="X50" s="202"/>
      <c r="Y50" s="201"/>
      <c r="Z50" s="201"/>
      <c r="AA50" s="201"/>
      <c r="AB50" s="201"/>
      <c r="AC50" s="201"/>
      <c r="AD50" s="201"/>
      <c r="AE50" s="201"/>
      <c r="AF50" s="201"/>
      <c r="AG50" s="201"/>
      <c r="AH50" s="201"/>
      <c r="AI50" s="201"/>
      <c r="AJ50" s="201"/>
      <c r="AK50" s="201"/>
      <c r="AL50" s="201"/>
      <c r="AM50" s="201"/>
      <c r="AN50" s="201"/>
      <c r="AO50" s="201"/>
      <c r="AP50" s="201"/>
      <c r="AQ50" s="201"/>
    </row>
    <row r="51" spans="1:43" s="27" customFormat="1" ht="15.6" customHeight="1">
      <c r="A51" s="186">
        <f>ROWS($A$6:A51)</f>
        <v>46</v>
      </c>
      <c r="B51" s="41"/>
      <c r="C51" s="48" t="s">
        <v>238</v>
      </c>
      <c r="D51" s="39"/>
      <c r="E51" s="39"/>
      <c r="F51" s="175"/>
      <c r="G51" s="3616">
        <v>2018</v>
      </c>
      <c r="H51" s="3616">
        <v>2019</v>
      </c>
      <c r="I51" s="3616">
        <v>2020</v>
      </c>
      <c r="J51" s="3617">
        <v>2021</v>
      </c>
      <c r="K51" s="211">
        <v>2022</v>
      </c>
      <c r="L51" s="3617">
        <v>2023</v>
      </c>
      <c r="M51" s="3617">
        <v>2024</v>
      </c>
      <c r="N51" s="3618" t="s">
        <v>1749</v>
      </c>
      <c r="O51" s="3556"/>
      <c r="Q51" s="2145"/>
      <c r="R51" s="3552"/>
      <c r="S51" s="2854"/>
      <c r="T51" s="204"/>
      <c r="U51" s="204"/>
      <c r="V51" s="204"/>
      <c r="W51" s="203"/>
      <c r="X51" s="202"/>
      <c r="Y51" s="201"/>
      <c r="Z51" s="201"/>
      <c r="AA51" s="201"/>
      <c r="AB51" s="201"/>
      <c r="AC51" s="201"/>
      <c r="AD51" s="201"/>
      <c r="AE51" s="201"/>
      <c r="AF51" s="201"/>
      <c r="AG51" s="201"/>
      <c r="AH51" s="201"/>
      <c r="AI51" s="201"/>
      <c r="AJ51" s="201"/>
      <c r="AK51" s="201"/>
      <c r="AL51" s="201"/>
      <c r="AM51" s="201"/>
      <c r="AN51" s="201"/>
      <c r="AO51" s="201"/>
      <c r="AP51" s="201"/>
      <c r="AQ51" s="201"/>
    </row>
    <row r="52" spans="1:43" s="27" customFormat="1" ht="15.6" customHeight="1">
      <c r="A52" s="186">
        <f>ROWS($A$6:A52)</f>
        <v>47</v>
      </c>
      <c r="B52" s="2430"/>
      <c r="C52" s="2431" t="s">
        <v>237</v>
      </c>
      <c r="D52" s="2431"/>
      <c r="E52" s="2431" t="s">
        <v>236</v>
      </c>
      <c r="F52" s="2436"/>
      <c r="G52" s="2437">
        <v>1</v>
      </c>
      <c r="H52" s="206">
        <v>1</v>
      </c>
      <c r="I52" s="207">
        <v>0.9</v>
      </c>
      <c r="J52" s="207">
        <v>1.1299999999999999</v>
      </c>
      <c r="K52" s="2864">
        <v>2.78</v>
      </c>
      <c r="L52" s="206">
        <v>1.35</v>
      </c>
      <c r="M52" s="2437">
        <v>1.19</v>
      </c>
      <c r="N52" s="2862">
        <f>TRIMMEAN(I52:M52,0.4)</f>
        <v>1.2233333333333334</v>
      </c>
      <c r="O52" s="2434">
        <f>HLOOKUP($O$6,$G$6:$N$54,A52)*(100+$O$11)/100</f>
        <v>1.19</v>
      </c>
      <c r="Q52" s="193"/>
      <c r="R52" s="226"/>
      <c r="S52" s="224"/>
      <c r="T52" s="2844"/>
      <c r="U52" s="2844"/>
      <c r="V52" s="2844"/>
      <c r="W52" s="2845"/>
      <c r="X52" s="202"/>
      <c r="Y52" s="201"/>
      <c r="Z52" s="201"/>
      <c r="AA52" s="201"/>
      <c r="AB52" s="201"/>
      <c r="AC52" s="201"/>
      <c r="AD52" s="201"/>
      <c r="AE52" s="201"/>
      <c r="AF52" s="201"/>
      <c r="AG52" s="201"/>
      <c r="AH52" s="201"/>
      <c r="AI52" s="201"/>
      <c r="AJ52" s="201"/>
      <c r="AK52" s="201"/>
      <c r="AL52" s="201"/>
      <c r="AM52" s="201"/>
      <c r="AN52" s="201"/>
      <c r="AO52" s="201"/>
      <c r="AP52" s="201"/>
      <c r="AQ52" s="201"/>
    </row>
    <row r="53" spans="1:43" s="196" customFormat="1" ht="15.6" customHeight="1">
      <c r="A53" s="186">
        <f>ROWS($A$6:A53)</f>
        <v>48</v>
      </c>
      <c r="B53" s="48"/>
      <c r="C53" s="39" t="s">
        <v>235</v>
      </c>
      <c r="D53" s="39"/>
      <c r="E53" s="39" t="s">
        <v>234</v>
      </c>
      <c r="F53" s="175"/>
      <c r="G53" s="193">
        <v>0.8</v>
      </c>
      <c r="H53" s="192">
        <v>0.8</v>
      </c>
      <c r="I53" s="194">
        <v>0.75</v>
      </c>
      <c r="J53" s="194">
        <v>0.9</v>
      </c>
      <c r="K53" s="2863">
        <v>1.65</v>
      </c>
      <c r="L53" s="192">
        <v>1.1499999999999999</v>
      </c>
      <c r="M53" s="193">
        <v>1.2</v>
      </c>
      <c r="N53" s="2862">
        <f>TRIMMEAN(I53:M53,0.4)</f>
        <v>1.0833333333333333</v>
      </c>
      <c r="O53" s="2434">
        <f t="shared" ref="O53:O54" si="3">HLOOKUP($O$6,$G$6:$N$54,A53)*(100+$O$11)/100</f>
        <v>1.2</v>
      </c>
      <c r="Q53" s="193"/>
      <c r="R53" s="3553"/>
      <c r="S53" s="2778"/>
      <c r="T53" s="2846"/>
      <c r="U53" s="2847"/>
      <c r="V53" s="2847"/>
      <c r="W53" s="2848"/>
      <c r="X53" s="197"/>
    </row>
    <row r="54" spans="1:43" s="177" customFormat="1" ht="15.6" customHeight="1">
      <c r="A54" s="186">
        <f>ROWS($A$6:A54)</f>
        <v>49</v>
      </c>
      <c r="B54" s="48"/>
      <c r="C54" s="39" t="s">
        <v>233</v>
      </c>
      <c r="D54" s="39"/>
      <c r="E54" s="39" t="s">
        <v>232</v>
      </c>
      <c r="F54" s="175"/>
      <c r="G54" s="193">
        <v>0.6</v>
      </c>
      <c r="H54" s="192">
        <v>0.6</v>
      </c>
      <c r="I54" s="194">
        <v>0.7</v>
      </c>
      <c r="J54" s="194">
        <v>0.75</v>
      </c>
      <c r="K54" s="2863">
        <v>1.61</v>
      </c>
      <c r="L54" s="192">
        <v>1.24</v>
      </c>
      <c r="M54" s="193">
        <v>0.99</v>
      </c>
      <c r="N54" s="2862">
        <f>TRIMMEAN(I54:M54,0.4)</f>
        <v>0.99333333333333329</v>
      </c>
      <c r="O54" s="2434">
        <f t="shared" si="3"/>
        <v>0.99</v>
      </c>
      <c r="Q54" s="193"/>
      <c r="R54" s="1267"/>
      <c r="S54" s="2778"/>
      <c r="T54" s="2846"/>
      <c r="U54" s="2847"/>
      <c r="V54" s="2849"/>
      <c r="W54" s="2848"/>
      <c r="X54" s="2843"/>
    </row>
    <row r="55" spans="1:43" s="177" customFormat="1" ht="15.6" hidden="1" customHeight="1">
      <c r="A55" s="186">
        <f>ROWS($A$6:A55)</f>
        <v>50</v>
      </c>
      <c r="B55" s="39"/>
      <c r="C55" s="3182" t="s">
        <v>231</v>
      </c>
      <c r="D55" s="3182"/>
      <c r="E55" s="3182" t="s">
        <v>230</v>
      </c>
      <c r="F55" s="3183"/>
      <c r="G55" s="3184">
        <v>0.5</v>
      </c>
      <c r="H55" s="3003">
        <v>0.5</v>
      </c>
      <c r="I55" s="3184">
        <v>0.5</v>
      </c>
      <c r="J55" s="3184">
        <v>0.5</v>
      </c>
      <c r="K55" s="3184">
        <v>0.5</v>
      </c>
      <c r="L55" s="3184">
        <v>1.06</v>
      </c>
      <c r="M55" s="3185">
        <v>0.45</v>
      </c>
      <c r="N55" s="3003">
        <v>0.4</v>
      </c>
      <c r="O55" s="3623">
        <f t="shared" ref="O55" si="4">TRIMMEAN(J55:N55,0.4)</f>
        <v>0.48333333333333334</v>
      </c>
      <c r="P55" s="3186">
        <f>HLOOKUP($O$6,$G$6:$O$55,A55)*(100+$O$11)/100</f>
        <v>0.45</v>
      </c>
      <c r="Q55" s="3551"/>
      <c r="R55" s="1267"/>
      <c r="S55" s="2778"/>
      <c r="T55" s="2846"/>
      <c r="U55" s="2847"/>
      <c r="V55" s="2849"/>
      <c r="W55" s="2848"/>
      <c r="X55" s="2843"/>
    </row>
    <row r="56" spans="1:43" s="36" customFormat="1" ht="15.6" customHeight="1">
      <c r="A56" s="186">
        <f>ROWS($A$6:A56)</f>
        <v>51</v>
      </c>
      <c r="B56" s="27"/>
      <c r="C56" s="219"/>
      <c r="D56" s="219"/>
      <c r="E56" s="219"/>
      <c r="F56" s="221"/>
      <c r="G56" s="219"/>
      <c r="H56" s="219"/>
      <c r="I56" s="219"/>
      <c r="J56" s="219"/>
      <c r="K56" s="220"/>
      <c r="L56" s="220"/>
      <c r="M56" s="220"/>
      <c r="N56" s="220"/>
      <c r="O56" s="220"/>
      <c r="P56" s="219"/>
      <c r="Q56" s="220"/>
      <c r="R56" s="1267"/>
      <c r="S56" s="2778"/>
      <c r="T56" s="2846"/>
      <c r="U56" s="2847"/>
      <c r="V56" s="2850"/>
      <c r="W56" s="2848"/>
      <c r="X56" s="2843"/>
    </row>
    <row r="57" spans="1:43" s="27" customFormat="1" ht="28.2" customHeight="1">
      <c r="A57" s="186">
        <f>ROWS($A$6:A57)</f>
        <v>52</v>
      </c>
      <c r="B57" s="2427" t="s">
        <v>229</v>
      </c>
      <c r="C57" s="2377"/>
      <c r="D57" s="2377"/>
      <c r="E57" s="2377"/>
      <c r="F57" s="170"/>
      <c r="G57" s="214"/>
      <c r="H57" s="52"/>
      <c r="I57" s="52"/>
      <c r="J57" s="52"/>
      <c r="K57" s="2438"/>
      <c r="L57" s="2438"/>
      <c r="M57" s="2438"/>
      <c r="N57" s="3482" t="s">
        <v>1739</v>
      </c>
      <c r="O57" s="2438"/>
      <c r="P57" s="214"/>
      <c r="Q57" s="3554"/>
      <c r="R57" s="3552"/>
      <c r="S57" s="1541"/>
      <c r="T57" s="2851"/>
      <c r="U57" s="2852"/>
      <c r="V57" s="2844"/>
      <c r="W57" s="2853"/>
      <c r="X57" s="2843"/>
      <c r="Y57" s="201"/>
      <c r="Z57" s="201"/>
      <c r="AA57" s="201"/>
      <c r="AB57" s="201"/>
      <c r="AC57" s="201"/>
      <c r="AD57" s="201"/>
      <c r="AE57" s="201"/>
      <c r="AF57" s="201"/>
      <c r="AG57" s="201"/>
      <c r="AH57" s="201"/>
      <c r="AI57" s="201"/>
      <c r="AJ57" s="201"/>
      <c r="AK57" s="201"/>
      <c r="AL57" s="201"/>
      <c r="AM57" s="201"/>
      <c r="AN57" s="201"/>
      <c r="AO57" s="201"/>
      <c r="AP57" s="201"/>
      <c r="AQ57" s="201"/>
    </row>
    <row r="58" spans="1:43" s="27" customFormat="1" ht="19.95" customHeight="1">
      <c r="A58" s="186">
        <f>ROWS($A$6:A58)</f>
        <v>53</v>
      </c>
      <c r="B58" s="41"/>
      <c r="C58" s="2377"/>
      <c r="D58" s="2377"/>
      <c r="E58" s="2377"/>
      <c r="F58" s="213"/>
      <c r="G58" s="3616">
        <v>2018</v>
      </c>
      <c r="H58" s="3616">
        <v>2019</v>
      </c>
      <c r="I58" s="3616">
        <v>2020</v>
      </c>
      <c r="J58" s="3617">
        <v>2021</v>
      </c>
      <c r="K58" s="211">
        <v>2022</v>
      </c>
      <c r="L58" s="3617">
        <v>2023</v>
      </c>
      <c r="M58" s="3617">
        <v>2024</v>
      </c>
      <c r="N58" s="3618" t="s">
        <v>1749</v>
      </c>
      <c r="O58" s="211"/>
      <c r="Q58" s="2145"/>
      <c r="R58" s="3552"/>
      <c r="S58" s="205"/>
      <c r="T58" s="204"/>
      <c r="U58" s="204"/>
      <c r="V58" s="204"/>
      <c r="W58" s="203"/>
      <c r="X58" s="202"/>
      <c r="Y58" s="201"/>
      <c r="Z58" s="201"/>
      <c r="AA58" s="201"/>
      <c r="AB58" s="201"/>
      <c r="AC58" s="201"/>
      <c r="AD58" s="201"/>
      <c r="AE58" s="201"/>
      <c r="AF58" s="201"/>
      <c r="AG58" s="201"/>
      <c r="AH58" s="201"/>
      <c r="AI58" s="201"/>
      <c r="AJ58" s="201"/>
      <c r="AK58" s="201"/>
      <c r="AL58" s="201"/>
      <c r="AM58" s="201"/>
      <c r="AN58" s="201"/>
      <c r="AO58" s="201"/>
      <c r="AP58" s="201"/>
      <c r="AQ58" s="201"/>
    </row>
    <row r="59" spans="1:43" s="27" customFormat="1" ht="15.6" customHeight="1">
      <c r="A59" s="186">
        <f>ROWS($A$6:A59)</f>
        <v>54</v>
      </c>
      <c r="B59" s="2430"/>
      <c r="C59" s="2431" t="s">
        <v>228</v>
      </c>
      <c r="D59" s="2431"/>
      <c r="E59" s="2431"/>
      <c r="F59" s="2436"/>
      <c r="G59" s="206">
        <v>1.5</v>
      </c>
      <c r="H59" s="206">
        <v>1.5</v>
      </c>
      <c r="I59" s="206">
        <v>1.5</v>
      </c>
      <c r="J59" s="207">
        <v>1.5</v>
      </c>
      <c r="K59" s="2864">
        <v>1.5</v>
      </c>
      <c r="L59" s="193">
        <v>2</v>
      </c>
      <c r="M59" s="193">
        <v>2</v>
      </c>
      <c r="N59" s="3664">
        <f>AVERAGE(I59:M59)</f>
        <v>1.7</v>
      </c>
      <c r="O59" s="2434">
        <f>HLOOKUP($O$6,$G$6:$N$63,A59)</f>
        <v>2</v>
      </c>
      <c r="Q59" s="193"/>
      <c r="R59" s="3552"/>
      <c r="S59" s="205"/>
      <c r="T59" s="204"/>
      <c r="U59" s="204"/>
      <c r="V59" s="204"/>
      <c r="W59" s="203"/>
      <c r="X59" s="202"/>
      <c r="Y59" s="201"/>
      <c r="Z59" s="201"/>
      <c r="AA59" s="201"/>
      <c r="AB59" s="201"/>
      <c r="AC59" s="201"/>
      <c r="AD59" s="201"/>
      <c r="AE59" s="201"/>
      <c r="AF59" s="201"/>
      <c r="AG59" s="201"/>
      <c r="AH59" s="201"/>
      <c r="AI59" s="201"/>
      <c r="AJ59" s="201"/>
      <c r="AK59" s="201"/>
      <c r="AL59" s="201"/>
      <c r="AM59" s="201"/>
      <c r="AN59" s="201"/>
      <c r="AO59" s="201"/>
      <c r="AP59" s="201"/>
      <c r="AQ59" s="201"/>
    </row>
    <row r="60" spans="1:43" s="196" customFormat="1" ht="15.6" customHeight="1">
      <c r="A60" s="186">
        <f>ROWS($A$6:A60)</f>
        <v>55</v>
      </c>
      <c r="B60" s="48"/>
      <c r="C60" s="39" t="s">
        <v>227</v>
      </c>
      <c r="D60" s="39"/>
      <c r="E60" s="39"/>
      <c r="F60" s="175"/>
      <c r="G60" s="192">
        <v>1.5</v>
      </c>
      <c r="H60" s="192">
        <v>1.5</v>
      </c>
      <c r="I60" s="192">
        <v>1.5</v>
      </c>
      <c r="J60" s="194">
        <v>1.5</v>
      </c>
      <c r="K60" s="2863">
        <v>1.5</v>
      </c>
      <c r="L60" s="193">
        <v>2</v>
      </c>
      <c r="M60" s="193">
        <v>2</v>
      </c>
      <c r="N60" s="3664">
        <f t="shared" ref="N60:N61" si="5">AVERAGE(I60:M60)</f>
        <v>1.7</v>
      </c>
      <c r="O60" s="2434">
        <f t="shared" ref="O60:O62" si="6">HLOOKUP($O$6,$G$6:$N$63,A60)</f>
        <v>2</v>
      </c>
      <c r="Q60" s="193"/>
      <c r="R60" s="3552"/>
      <c r="S60" s="200"/>
      <c r="T60" s="199"/>
      <c r="U60" s="199"/>
      <c r="V60" s="199"/>
      <c r="W60" s="198"/>
      <c r="X60" s="197"/>
    </row>
    <row r="61" spans="1:43" s="177" customFormat="1" ht="15.6" customHeight="1">
      <c r="A61" s="186">
        <f>ROWS($A$6:A61)</f>
        <v>56</v>
      </c>
      <c r="B61" s="48"/>
      <c r="C61" s="195" t="s">
        <v>226</v>
      </c>
      <c r="D61" s="39"/>
      <c r="E61" s="39"/>
      <c r="F61" s="175"/>
      <c r="G61" s="192">
        <v>2.5</v>
      </c>
      <c r="H61" s="192">
        <v>2.5</v>
      </c>
      <c r="I61" s="192">
        <v>2.5</v>
      </c>
      <c r="J61" s="194">
        <v>2.5</v>
      </c>
      <c r="K61" s="2863">
        <v>2.5</v>
      </c>
      <c r="L61" s="193">
        <v>3</v>
      </c>
      <c r="M61" s="193">
        <v>3</v>
      </c>
      <c r="N61" s="3664">
        <f t="shared" si="5"/>
        <v>2.7</v>
      </c>
      <c r="O61" s="2434">
        <f t="shared" si="6"/>
        <v>3</v>
      </c>
      <c r="Q61" s="183"/>
      <c r="R61" s="38"/>
      <c r="S61" s="190"/>
      <c r="T61" s="189"/>
      <c r="U61" s="189"/>
      <c r="V61" s="189"/>
      <c r="W61" s="188"/>
      <c r="X61" s="187"/>
    </row>
    <row r="62" spans="1:43" s="177" customFormat="1" ht="12" hidden="1" customHeight="1">
      <c r="A62" s="186">
        <f>ROWS($A$6:A62)</f>
        <v>57</v>
      </c>
      <c r="B62" s="48"/>
      <c r="C62" s="39" t="s">
        <v>225</v>
      </c>
      <c r="D62" s="39"/>
      <c r="E62" s="39"/>
      <c r="F62" s="175"/>
      <c r="G62" s="193"/>
      <c r="H62" s="192"/>
      <c r="I62" s="206"/>
      <c r="J62" s="194"/>
      <c r="K62" s="191"/>
      <c r="L62" s="2862"/>
      <c r="M62" s="2862"/>
      <c r="N62" s="2862">
        <f>M62</f>
        <v>0</v>
      </c>
      <c r="O62" s="2434">
        <f t="shared" si="6"/>
        <v>0</v>
      </c>
      <c r="Q62" s="183"/>
      <c r="R62" s="38"/>
      <c r="S62" s="190"/>
      <c r="T62" s="189"/>
      <c r="U62" s="189"/>
      <c r="V62" s="189"/>
      <c r="W62" s="188"/>
      <c r="X62" s="187"/>
    </row>
    <row r="63" spans="1:43" s="177" customFormat="1" ht="15.6" customHeight="1" thickBot="1">
      <c r="A63" s="186">
        <f>ROWS($A$6:A63)</f>
        <v>58</v>
      </c>
      <c r="B63" s="39"/>
      <c r="C63" s="178"/>
      <c r="D63" s="173"/>
      <c r="E63" s="173"/>
      <c r="F63" s="2439"/>
      <c r="G63" s="536"/>
      <c r="H63" s="2441"/>
      <c r="I63" s="192"/>
      <c r="J63" s="2440"/>
      <c r="K63" s="2440"/>
      <c r="L63" s="2440"/>
      <c r="M63" s="2440"/>
      <c r="N63" s="2440"/>
      <c r="O63" s="2434"/>
      <c r="Q63" s="183"/>
      <c r="R63" s="38"/>
      <c r="S63" s="182"/>
      <c r="T63" s="181"/>
      <c r="U63" s="181"/>
      <c r="V63" s="181"/>
      <c r="W63" s="180"/>
      <c r="X63" s="179"/>
    </row>
    <row r="64" spans="1:43" s="177" customFormat="1" ht="15.6" customHeight="1" thickBot="1">
      <c r="A64" s="186">
        <f>ROWS($A$6:A64)</f>
        <v>59</v>
      </c>
      <c r="B64" s="2865" t="s">
        <v>1585</v>
      </c>
      <c r="C64" s="2868"/>
      <c r="D64" s="2866"/>
      <c r="E64" s="2866"/>
      <c r="F64" s="2869"/>
      <c r="G64" s="3514"/>
      <c r="H64" s="3514"/>
      <c r="I64" s="3514">
        <v>1.2</v>
      </c>
      <c r="J64" s="3514">
        <v>1.4</v>
      </c>
      <c r="K64" s="3514">
        <v>1.96</v>
      </c>
      <c r="L64" s="3514">
        <v>1.74</v>
      </c>
      <c r="M64" s="3181">
        <v>1.67</v>
      </c>
      <c r="N64" s="3665">
        <f>TRIMMEAN(I64:M64,0.4)</f>
        <v>1.6033333333333333</v>
      </c>
      <c r="O64" s="2867">
        <f>HLOOKUP($O$6,$G$6:$N$64,A64)</f>
        <v>1.67</v>
      </c>
      <c r="R64" s="38"/>
    </row>
    <row r="65" spans="1:17" ht="7.2" customHeight="1">
      <c r="A65" s="36"/>
      <c r="B65" s="39"/>
      <c r="C65" s="39"/>
      <c r="D65" s="176"/>
      <c r="E65" s="174"/>
      <c r="F65" s="175"/>
      <c r="G65" s="174"/>
      <c r="H65" s="39"/>
      <c r="I65" s="39"/>
      <c r="J65" s="39"/>
      <c r="K65" s="173"/>
      <c r="L65" s="173"/>
      <c r="M65" s="2784"/>
      <c r="N65" s="2784"/>
      <c r="O65" s="173"/>
      <c r="P65" s="39"/>
      <c r="Q65" s="39"/>
    </row>
    <row r="66" spans="1:17" ht="16.2" customHeight="1">
      <c r="A66" s="100"/>
    </row>
    <row r="67" spans="1:17" ht="13.8">
      <c r="A67" s="36"/>
      <c r="B67" s="36"/>
      <c r="C67" s="36"/>
    </row>
    <row r="68" spans="1:17" ht="13.8">
      <c r="A68" s="36"/>
      <c r="B68" s="36"/>
      <c r="C68" s="36"/>
    </row>
    <row r="69" spans="1:17" ht="13.8">
      <c r="A69" s="36"/>
      <c r="B69" s="36"/>
      <c r="C69" s="36"/>
    </row>
    <row r="70" spans="1:17" ht="13.8">
      <c r="A70" s="36"/>
      <c r="B70" s="36"/>
      <c r="C70" s="36"/>
    </row>
    <row r="71" spans="1:17" ht="13.8">
      <c r="A71" s="36"/>
      <c r="B71" s="36"/>
      <c r="C71" s="36"/>
    </row>
    <row r="72" spans="1:17" ht="13.8">
      <c r="A72" s="36"/>
      <c r="B72" s="36"/>
      <c r="C72" s="36"/>
    </row>
    <row r="73" spans="1:17" ht="13.8">
      <c r="A73" s="36"/>
      <c r="B73" s="36"/>
      <c r="C73" s="36"/>
    </row>
    <row r="74" spans="1:17" ht="13.8">
      <c r="A74" s="36"/>
      <c r="B74" s="36"/>
      <c r="C74" s="36"/>
    </row>
    <row r="75" spans="1:17" ht="13.8">
      <c r="A75" s="36"/>
      <c r="B75" s="36"/>
      <c r="C75" s="36"/>
    </row>
    <row r="76" spans="1:17" ht="13.8">
      <c r="A76" s="36"/>
      <c r="B76" s="36"/>
      <c r="C76" s="36"/>
    </row>
    <row r="77" spans="1:17" ht="13.8">
      <c r="A77" s="36"/>
      <c r="B77" s="36"/>
      <c r="C77" s="36"/>
    </row>
    <row r="78" spans="1:17" ht="13.8">
      <c r="A78" s="36"/>
      <c r="B78" s="36"/>
      <c r="C78" s="36"/>
    </row>
    <row r="79" spans="1:17" ht="13.8">
      <c r="A79" s="36"/>
      <c r="B79" s="36"/>
      <c r="C79" s="36"/>
    </row>
    <row r="80" spans="1:17" ht="13.8">
      <c r="A80" s="36"/>
      <c r="B80" s="36"/>
      <c r="C80" s="36"/>
    </row>
    <row r="81" spans="1:3" ht="13.8">
      <c r="A81" s="36"/>
      <c r="B81" s="36"/>
      <c r="C81" s="36"/>
    </row>
    <row r="82" spans="1:3" ht="13.8">
      <c r="A82" s="36"/>
      <c r="B82" s="36"/>
      <c r="C82" s="36"/>
    </row>
    <row r="83" spans="1:3" ht="13.8">
      <c r="A83" s="36"/>
      <c r="B83" s="36"/>
      <c r="C83" s="36"/>
    </row>
    <row r="84" spans="1:3" ht="13.8">
      <c r="A84" s="36"/>
      <c r="B84" s="36"/>
      <c r="C84" s="36"/>
    </row>
    <row r="85" spans="1:3" ht="13.8">
      <c r="A85" s="36"/>
      <c r="B85" s="36"/>
      <c r="C85" s="36"/>
    </row>
    <row r="86" spans="1:3" ht="13.8">
      <c r="A86" s="36"/>
      <c r="B86" s="36"/>
      <c r="C86" s="36"/>
    </row>
    <row r="87" spans="1:3" ht="13.8">
      <c r="A87" s="36"/>
      <c r="B87" s="36"/>
      <c r="C87" s="36"/>
    </row>
    <row r="88" spans="1:3" ht="13.8">
      <c r="A88" s="36"/>
      <c r="B88" s="36"/>
      <c r="C88" s="36"/>
    </row>
    <row r="89" spans="1:3" ht="13.8">
      <c r="A89" s="36"/>
      <c r="B89" s="36"/>
      <c r="C89" s="36"/>
    </row>
    <row r="90" spans="1:3" ht="13.8">
      <c r="A90" s="36"/>
      <c r="B90" s="36"/>
      <c r="C90" s="36"/>
    </row>
    <row r="91" spans="1:3" ht="13.8">
      <c r="A91" s="36"/>
      <c r="B91" s="36"/>
      <c r="C91" s="36"/>
    </row>
    <row r="92" spans="1:3" ht="13.8">
      <c r="A92" s="36"/>
      <c r="B92" s="36"/>
      <c r="C92" s="36"/>
    </row>
    <row r="93" spans="1:3" ht="13.8">
      <c r="A93" s="36"/>
      <c r="B93" s="36"/>
      <c r="C93" s="36"/>
    </row>
    <row r="94" spans="1:3" ht="13.8">
      <c r="A94" s="36"/>
      <c r="B94" s="36"/>
      <c r="C94" s="36"/>
    </row>
    <row r="95" spans="1:3" ht="13.8">
      <c r="A95" s="36"/>
      <c r="B95" s="36"/>
      <c r="C95" s="36"/>
    </row>
    <row r="96" spans="1:3" ht="13.8">
      <c r="A96" s="36"/>
      <c r="B96" s="36"/>
      <c r="C96" s="36"/>
    </row>
    <row r="97" spans="1:17" ht="13.8">
      <c r="A97" s="36"/>
      <c r="B97" s="36"/>
      <c r="C97" s="36"/>
    </row>
    <row r="98" spans="1:17" ht="13.8">
      <c r="A98" s="36"/>
      <c r="B98" s="36"/>
      <c r="C98" s="36"/>
    </row>
    <row r="99" spans="1:17" ht="13.8">
      <c r="A99" s="36"/>
      <c r="B99" s="36"/>
      <c r="C99" s="36"/>
    </row>
    <row r="100" spans="1:17" ht="13.8">
      <c r="A100" s="36"/>
      <c r="B100" s="36"/>
      <c r="C100" s="36"/>
    </row>
    <row r="101" spans="1:17" ht="13.8">
      <c r="A101" s="36"/>
      <c r="B101" s="36"/>
      <c r="C101" s="36"/>
    </row>
    <row r="102" spans="1:17" ht="13.8">
      <c r="A102" s="36"/>
      <c r="B102" s="36"/>
      <c r="C102" s="36"/>
    </row>
    <row r="103" spans="1:17" ht="13.8">
      <c r="A103" s="36"/>
      <c r="B103" s="36"/>
      <c r="C103" s="36"/>
    </row>
    <row r="104" spans="1:17" ht="13.8">
      <c r="A104" s="36"/>
      <c r="B104" s="36"/>
      <c r="C104" s="36"/>
    </row>
    <row r="105" spans="1:17" ht="13.8">
      <c r="A105" s="36"/>
      <c r="B105" s="36"/>
      <c r="C105" s="36"/>
    </row>
    <row r="106" spans="1:17" ht="13.8">
      <c r="A106" s="36"/>
      <c r="B106" s="36"/>
      <c r="C106" s="36"/>
    </row>
    <row r="107" spans="1:17" ht="13.8">
      <c r="A107" s="36"/>
      <c r="B107" s="36"/>
      <c r="C107" s="36"/>
      <c r="D107" s="36"/>
      <c r="E107" s="36"/>
      <c r="F107" s="172"/>
      <c r="G107" s="36"/>
      <c r="H107" s="36"/>
      <c r="I107" s="36"/>
      <c r="J107" s="36"/>
      <c r="K107" s="171"/>
      <c r="L107" s="171"/>
      <c r="M107" s="171"/>
      <c r="N107" s="171"/>
      <c r="O107" s="171"/>
      <c r="P107" s="36"/>
      <c r="Q107" s="36"/>
    </row>
    <row r="108" spans="1:17" ht="13.8">
      <c r="A108" s="36"/>
      <c r="B108" s="36"/>
      <c r="C108" s="36"/>
      <c r="D108" s="36"/>
      <c r="E108" s="36"/>
      <c r="F108" s="172"/>
      <c r="G108" s="36"/>
      <c r="H108" s="36"/>
      <c r="I108" s="36"/>
      <c r="J108" s="36"/>
      <c r="K108" s="171"/>
      <c r="L108" s="171"/>
      <c r="M108" s="171"/>
      <c r="N108" s="171"/>
      <c r="O108" s="171"/>
      <c r="P108" s="36"/>
      <c r="Q108" s="36"/>
    </row>
    <row r="109" spans="1:17" ht="13.8">
      <c r="A109" s="36"/>
      <c r="B109" s="36"/>
      <c r="C109" s="36"/>
      <c r="D109" s="36"/>
      <c r="E109" s="36"/>
      <c r="F109" s="172"/>
      <c r="G109" s="36"/>
      <c r="H109" s="36"/>
      <c r="I109" s="36"/>
      <c r="J109" s="36"/>
      <c r="K109" s="171"/>
      <c r="L109" s="171"/>
      <c r="M109" s="171"/>
      <c r="N109" s="171"/>
      <c r="O109" s="171"/>
      <c r="P109" s="36"/>
      <c r="Q109" s="36"/>
    </row>
    <row r="110" spans="1:17" ht="13.8">
      <c r="A110" s="36"/>
      <c r="B110" s="36"/>
      <c r="C110" s="36"/>
      <c r="D110" s="36"/>
      <c r="E110" s="36"/>
      <c r="F110" s="172"/>
      <c r="G110" s="36"/>
      <c r="H110" s="36"/>
      <c r="I110" s="36"/>
      <c r="J110" s="36"/>
      <c r="K110" s="171"/>
      <c r="L110" s="171"/>
      <c r="M110" s="171"/>
      <c r="N110" s="171"/>
      <c r="O110" s="171"/>
      <c r="P110" s="36"/>
      <c r="Q110" s="36"/>
    </row>
    <row r="111" spans="1:17" ht="13.8">
      <c r="A111" s="36"/>
      <c r="B111" s="36"/>
      <c r="C111" s="36"/>
      <c r="D111" s="36"/>
      <c r="E111" s="36"/>
      <c r="F111" s="172"/>
      <c r="G111" s="36"/>
      <c r="H111" s="36"/>
      <c r="I111" s="36"/>
      <c r="J111" s="36"/>
      <c r="K111" s="171"/>
      <c r="L111" s="171"/>
      <c r="M111" s="171"/>
      <c r="N111" s="171"/>
      <c r="O111" s="171"/>
      <c r="P111" s="36"/>
      <c r="Q111" s="36"/>
    </row>
    <row r="112" spans="1:17" ht="13.8">
      <c r="A112" s="36"/>
      <c r="B112" s="36"/>
      <c r="C112" s="36"/>
      <c r="D112" s="36"/>
      <c r="E112" s="36"/>
      <c r="F112" s="172"/>
      <c r="G112" s="36"/>
      <c r="H112" s="36"/>
      <c r="I112" s="36"/>
      <c r="J112" s="36"/>
      <c r="K112" s="171"/>
      <c r="L112" s="171"/>
      <c r="M112" s="171"/>
      <c r="N112" s="171"/>
      <c r="O112" s="171"/>
      <c r="P112" s="36"/>
      <c r="Q112" s="36"/>
    </row>
    <row r="113" spans="1:17" ht="13.8">
      <c r="A113" s="36"/>
      <c r="B113" s="36"/>
      <c r="C113" s="36"/>
      <c r="D113" s="36"/>
      <c r="E113" s="36"/>
      <c r="F113" s="172"/>
      <c r="G113" s="36"/>
      <c r="H113" s="36"/>
      <c r="I113" s="36"/>
      <c r="J113" s="36"/>
      <c r="K113" s="171"/>
      <c r="L113" s="171"/>
      <c r="M113" s="171"/>
      <c r="N113" s="171"/>
      <c r="O113" s="171"/>
      <c r="P113" s="36"/>
      <c r="Q113" s="36"/>
    </row>
    <row r="114" spans="1:17" ht="13.8">
      <c r="A114" s="36"/>
      <c r="B114" s="36"/>
      <c r="C114" s="36"/>
      <c r="D114" s="36"/>
      <c r="E114" s="36"/>
      <c r="F114" s="172"/>
      <c r="G114" s="36"/>
      <c r="H114" s="36"/>
      <c r="I114" s="36"/>
      <c r="J114" s="36"/>
      <c r="K114" s="171"/>
      <c r="L114" s="171"/>
      <c r="M114" s="171"/>
      <c r="N114" s="171"/>
      <c r="O114" s="171"/>
      <c r="P114" s="36"/>
      <c r="Q114" s="36"/>
    </row>
    <row r="115" spans="1:17" ht="13.8">
      <c r="A115" s="36"/>
      <c r="B115" s="36"/>
      <c r="C115" s="36"/>
      <c r="D115" s="36"/>
      <c r="E115" s="36"/>
      <c r="F115" s="172"/>
      <c r="G115" s="36"/>
      <c r="H115" s="36"/>
      <c r="I115" s="36"/>
      <c r="J115" s="36"/>
      <c r="K115" s="171"/>
      <c r="L115" s="171"/>
      <c r="M115" s="171"/>
      <c r="N115" s="171"/>
      <c r="O115" s="171"/>
      <c r="P115" s="36"/>
      <c r="Q115" s="36"/>
    </row>
    <row r="116" spans="1:17" ht="13.8">
      <c r="A116" s="36"/>
      <c r="B116" s="36"/>
      <c r="C116" s="36"/>
      <c r="D116" s="36"/>
      <c r="E116" s="36"/>
      <c r="F116" s="172"/>
      <c r="G116" s="36"/>
      <c r="H116" s="36"/>
      <c r="I116" s="36"/>
      <c r="J116" s="36"/>
      <c r="K116" s="171"/>
      <c r="L116" s="171"/>
      <c r="M116" s="171"/>
      <c r="N116" s="171"/>
      <c r="O116" s="171"/>
      <c r="P116" s="36"/>
      <c r="Q116" s="36"/>
    </row>
    <row r="117" spans="1:17" ht="13.8">
      <c r="A117" s="36"/>
      <c r="B117" s="36"/>
      <c r="C117" s="36"/>
      <c r="D117" s="36"/>
      <c r="E117" s="36"/>
      <c r="F117" s="172"/>
      <c r="G117" s="36"/>
      <c r="H117" s="36"/>
      <c r="I117" s="36"/>
      <c r="J117" s="36"/>
      <c r="K117" s="171"/>
      <c r="L117" s="171"/>
      <c r="M117" s="171"/>
      <c r="N117" s="171"/>
      <c r="O117" s="171"/>
      <c r="P117" s="36"/>
      <c r="Q117" s="36"/>
    </row>
    <row r="118" spans="1:17" ht="13.8">
      <c r="A118" s="36"/>
      <c r="B118" s="36"/>
      <c r="C118" s="36"/>
      <c r="D118" s="36"/>
      <c r="E118" s="36"/>
      <c r="F118" s="172"/>
      <c r="G118" s="36"/>
      <c r="H118" s="36"/>
      <c r="I118" s="36"/>
      <c r="J118" s="36"/>
      <c r="K118" s="171"/>
      <c r="L118" s="171"/>
      <c r="M118" s="171"/>
      <c r="N118" s="171"/>
      <c r="O118" s="171"/>
      <c r="P118" s="36"/>
      <c r="Q118" s="36"/>
    </row>
    <row r="119" spans="1:17" ht="13.8">
      <c r="A119" s="36"/>
      <c r="B119" s="36"/>
      <c r="C119" s="36"/>
      <c r="D119" s="36"/>
      <c r="E119" s="36"/>
      <c r="F119" s="172"/>
      <c r="G119" s="36"/>
      <c r="H119" s="36"/>
      <c r="I119" s="36"/>
      <c r="J119" s="36"/>
      <c r="K119" s="171"/>
      <c r="L119" s="171"/>
      <c r="M119" s="171"/>
      <c r="N119" s="171"/>
      <c r="O119" s="171"/>
      <c r="P119" s="36"/>
      <c r="Q119" s="36"/>
    </row>
    <row r="120" spans="1:17" ht="13.8">
      <c r="A120" s="36"/>
      <c r="B120" s="36"/>
      <c r="C120" s="36"/>
      <c r="D120" s="36"/>
      <c r="E120" s="36"/>
      <c r="F120" s="172"/>
      <c r="G120" s="36"/>
      <c r="H120" s="36"/>
      <c r="I120" s="36"/>
      <c r="J120" s="36"/>
      <c r="K120" s="171"/>
      <c r="L120" s="171"/>
      <c r="M120" s="171"/>
      <c r="N120" s="171"/>
      <c r="O120" s="171"/>
      <c r="P120" s="36"/>
      <c r="Q120" s="36"/>
    </row>
    <row r="121" spans="1:17" ht="13.8">
      <c r="A121" s="36"/>
      <c r="B121" s="36"/>
      <c r="C121" s="36"/>
      <c r="D121" s="36"/>
      <c r="E121" s="36"/>
      <c r="F121" s="172"/>
      <c r="G121" s="36"/>
      <c r="H121" s="36"/>
      <c r="I121" s="36"/>
      <c r="J121" s="36"/>
      <c r="K121" s="171"/>
      <c r="L121" s="171"/>
      <c r="M121" s="171"/>
      <c r="N121" s="171"/>
      <c r="O121" s="171"/>
      <c r="P121" s="36"/>
      <c r="Q121" s="36"/>
    </row>
  </sheetData>
  <sheetProtection sheet="1" objects="1" scenarios="1"/>
  <customSheetViews>
    <customSheetView guid="{8063F48F-80B5-4ECD-B18A-51CBF126E780}" scale="70" fitToPage="1" printArea="1" hiddenRows="1" hiddenColumns="1" topLeftCell="A10">
      <selection activeCell="S1" sqref="S1:AA1048576"/>
      <pageMargins left="0.59055118110236227" right="0.59055118110236227" top="0.59055118110236227" bottom="0.59055118110236227" header="0.39370078740157483" footer="0.39370078740157483"/>
      <printOptions horizontalCentered="1"/>
      <pageSetup paperSize="9" scale="66" firstPageNumber="6" orientation="portrait" useFirstPageNumber="1" r:id="rId1"/>
      <headerFooter alignWithMargins="0">
        <oddFooter>&amp;L&amp;11LEL Schwäbisch Gmünd&amp;C&amp;11&amp;P+8&amp;R&amp;11&amp;F</oddFooter>
      </headerFooter>
    </customSheetView>
    <customSheetView guid="{5D5C9B61-9ABD-4513-AAEB-8333A9D6196C}" scale="70" fitToPage="1" hiddenRows="1" topLeftCell="A25">
      <pageMargins left="0.59055118110236227" right="0.59055118110236227" top="0.59055118110236227" bottom="0.59055118110236227" header="0.39370078740157483" footer="0.39370078740157483"/>
      <printOptions horizontalCentered="1"/>
      <pageSetup paperSize="9" scale="66" firstPageNumber="6" orientation="portrait" useFirstPageNumber="1" r:id="rId2"/>
      <headerFooter alignWithMargins="0">
        <oddFooter>&amp;L&amp;11LEL Schwäbisch Gmünd&amp;C&amp;11&amp;P+8&amp;R&amp;11&amp;F</oddFooter>
      </headerFooter>
    </customSheetView>
    <customSheetView guid="{22A73C4F-9004-4CEF-8499-B1F91BE1B569}" scale="70" fitToPage="1" hiddenRows="1" hiddenColumns="1" topLeftCell="A10">
      <selection activeCell="S1" sqref="S1:AA1048576"/>
      <pageMargins left="0.59055118110236227" right="0.59055118110236227" top="0.59055118110236227" bottom="0.59055118110236227" header="0.39370078740157483" footer="0.39370078740157483"/>
      <printOptions horizontalCentered="1"/>
      <pageSetup paperSize="9" scale="66" firstPageNumber="6" orientation="portrait" useFirstPageNumber="1" r:id="rId3"/>
      <headerFooter alignWithMargins="0">
        <oddFooter>&amp;L&amp;11LEL Schwäbisch Gmünd&amp;C&amp;11&amp;P+8&amp;R&amp;11&amp;F</oddFooter>
      </headerFooter>
    </customSheetView>
  </customSheetViews>
  <dataValidations count="1">
    <dataValidation type="list" allowBlank="1" showInputMessage="1" showErrorMessage="1" sqref="O6" xr:uid="{00000000-0002-0000-0600-000000000000}">
      <formula1>$G$6:$N$6</formula1>
    </dataValidation>
  </dataValidations>
  <printOptions horizontalCentered="1"/>
  <pageMargins left="0.59055118110236227" right="0.59055118110236227" top="0.59055118110236227" bottom="0.59055118110236227" header="0.39370078740157483" footer="0.39370078740157483"/>
  <pageSetup paperSize="9" scale="66" firstPageNumber="6" orientation="portrait" useFirstPageNumber="1" r:id="rId4"/>
  <headerFooter alignWithMargins="0">
    <oddFooter>&amp;L&amp;11LEL Schwäbisch Gmünd&amp;C&amp;11&amp;P+8&amp;R&amp;11&amp;F</oddFooter>
  </headerFooter>
  <ignoredErrors>
    <ignoredError sqref="N17 N22:N24 N26:N29 N31:N33 N35:N36 N38 N40 N42 N48 N52:N54 O55 N59:N61" formulaRange="1"/>
    <ignoredError sqref="N25 N30 N62" unlockedFormula="1"/>
    <ignoredError sqref="O30 O34 O37 O41 N45:N47" evalError="1"/>
  </ignoredErrors>
  <drawing r:id="rId5"/>
  <legacyDrawing r:id="rId6"/>
  <mc:AlternateContent xmlns:mc="http://schemas.openxmlformats.org/markup-compatibility/2006">
    <mc:Choice Requires="x14">
      <controls>
        <mc:AlternateContent xmlns:mc="http://schemas.openxmlformats.org/markup-compatibility/2006">
          <mc:Choice Requires="x14">
            <control shapeId="8193" r:id="rId7" name="Drop Down 1">
              <controlPr defaultSize="0" autoLine="0" autoPict="0">
                <anchor moveWithCells="1">
                  <from>
                    <xdr:col>9</xdr:col>
                    <xdr:colOff>182880</xdr:colOff>
                    <xdr:row>6</xdr:row>
                    <xdr:rowOff>76200</xdr:rowOff>
                  </from>
                  <to>
                    <xdr:col>12</xdr:col>
                    <xdr:colOff>22860</xdr:colOff>
                    <xdr:row>6</xdr:row>
                    <xdr:rowOff>327660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5">
    <tabColor rgb="FF00B0F0"/>
    <pageSetUpPr fitToPage="1"/>
  </sheetPr>
  <dimension ref="A1:AS172"/>
  <sheetViews>
    <sheetView workbookViewId="0"/>
  </sheetViews>
  <sheetFormatPr baseColWidth="10" defaultColWidth="11.19921875" defaultRowHeight="13.8"/>
  <cols>
    <col min="1" max="1" width="3.3984375" style="1" customWidth="1"/>
    <col min="2" max="2" width="3.3984375" style="4" customWidth="1"/>
    <col min="3" max="3" width="5.59765625" style="4" customWidth="1"/>
    <col min="4" max="4" width="11.69921875" style="4" customWidth="1"/>
    <col min="5" max="5" width="8.69921875" style="4" customWidth="1"/>
    <col min="6" max="6" width="8.69921875" style="527" customWidth="1"/>
    <col min="7" max="9" width="9.59765625" style="16" customWidth="1"/>
    <col min="10" max="10" width="9.59765625" style="1430" customWidth="1"/>
    <col min="11" max="14" width="9.59765625" style="4" customWidth="1"/>
    <col min="15" max="15" width="10.59765625" style="4" customWidth="1"/>
    <col min="16" max="16" width="13" style="4" customWidth="1"/>
    <col min="17" max="17" width="9.59765625" style="1429" customWidth="1"/>
    <col min="18" max="18" width="24.59765625" style="1428" hidden="1" customWidth="1"/>
    <col min="19" max="31" width="14.8984375" style="29" hidden="1" customWidth="1"/>
    <col min="32" max="32" width="14.8984375" style="1427" hidden="1" customWidth="1"/>
    <col min="33" max="39" width="14.8984375" style="29" hidden="1" customWidth="1"/>
    <col min="40" max="43" width="11.59765625" style="29" hidden="1" customWidth="1"/>
    <col min="44" max="44" width="9.59765625" style="29" hidden="1" customWidth="1"/>
    <col min="45" max="45" width="11.19921875" style="29" hidden="1" customWidth="1"/>
    <col min="46" max="46" width="11.19921875" style="29" customWidth="1"/>
    <col min="47" max="16384" width="11.19921875" style="29"/>
  </cols>
  <sheetData>
    <row r="1" spans="1:44" s="1" customFormat="1" ht="14.1" customHeight="1">
      <c r="A1" s="42"/>
      <c r="B1" s="4"/>
      <c r="C1" s="1396"/>
      <c r="D1" s="4"/>
      <c r="E1" s="4"/>
      <c r="F1" s="527"/>
      <c r="G1" s="16"/>
      <c r="H1" s="16"/>
      <c r="I1" s="16"/>
      <c r="J1" s="29"/>
      <c r="K1" s="29"/>
      <c r="L1" s="29"/>
      <c r="M1" s="29"/>
      <c r="N1" s="29"/>
      <c r="O1" s="4"/>
      <c r="P1" s="4"/>
      <c r="Q1" s="5"/>
      <c r="R1" s="29"/>
      <c r="S1" s="29"/>
      <c r="T1" s="29"/>
      <c r="U1" s="29"/>
      <c r="AA1" s="1485"/>
    </row>
    <row r="2" spans="1:44" s="1" customFormat="1" ht="21.9" customHeight="1">
      <c r="A2" s="1487"/>
      <c r="B2" s="91" t="s">
        <v>275</v>
      </c>
      <c r="C2" s="1486"/>
      <c r="D2" s="1459"/>
      <c r="E2" s="1459"/>
      <c r="F2" s="1461"/>
      <c r="G2" s="588"/>
      <c r="H2" s="29"/>
      <c r="I2" s="29"/>
      <c r="J2" s="29"/>
      <c r="K2" s="29"/>
      <c r="L2" s="29"/>
      <c r="M2" s="29"/>
      <c r="N2" s="29"/>
      <c r="O2" s="259" t="s">
        <v>950</v>
      </c>
      <c r="Q2" s="5"/>
      <c r="R2" s="25"/>
      <c r="AA2" s="1485"/>
    </row>
    <row r="3" spans="1:44" s="1" customFormat="1" ht="39" customHeight="1">
      <c r="A3" s="1483"/>
      <c r="B3" s="1484"/>
      <c r="C3" s="1459"/>
      <c r="D3" s="1393"/>
      <c r="E3" s="590"/>
      <c r="F3" s="591"/>
      <c r="G3" s="29"/>
      <c r="H3" s="29"/>
      <c r="I3" s="29"/>
      <c r="J3" s="29"/>
      <c r="K3" s="29"/>
      <c r="L3" s="29"/>
      <c r="M3" s="29"/>
      <c r="N3" s="3482" t="s">
        <v>1738</v>
      </c>
      <c r="O3" s="2522">
        <f>'SDK1'!O3</f>
        <v>2024</v>
      </c>
      <c r="Q3" s="5"/>
      <c r="R3" s="25"/>
      <c r="S3" s="1443"/>
      <c r="T3" s="1443"/>
      <c r="U3" s="1443"/>
      <c r="V3" s="1443"/>
      <c r="W3" s="1443"/>
      <c r="X3" s="1443"/>
      <c r="Y3" s="1443"/>
      <c r="Z3" s="1443"/>
      <c r="AA3" s="1456"/>
      <c r="AB3" s="1443"/>
      <c r="AC3" s="1443"/>
      <c r="AD3" s="1443"/>
      <c r="AE3" s="1443"/>
      <c r="AI3" s="1443"/>
      <c r="AJ3" s="1443"/>
      <c r="AK3" s="1443"/>
      <c r="AL3" s="1443"/>
      <c r="AM3" s="1443"/>
      <c r="AN3" s="1443"/>
      <c r="AO3" s="1443"/>
      <c r="AP3" s="1443"/>
      <c r="AQ3" s="1443"/>
    </row>
    <row r="4" spans="1:44" s="1" customFormat="1" ht="9" customHeight="1">
      <c r="A4" s="1483"/>
      <c r="C4" s="1459"/>
      <c r="D4" s="1459"/>
      <c r="E4" s="1459"/>
      <c r="F4" s="1461"/>
      <c r="G4" s="1459"/>
      <c r="H4" s="1459"/>
      <c r="I4" s="1460"/>
      <c r="J4" s="1459"/>
      <c r="K4" s="1459"/>
      <c r="L4" s="1459"/>
      <c r="M4" s="1459"/>
      <c r="N4" s="3482"/>
      <c r="O4" s="1459"/>
      <c r="Q4" s="5"/>
      <c r="R4" s="25"/>
      <c r="S4" s="1443"/>
      <c r="T4" s="1443"/>
      <c r="U4" s="1443"/>
      <c r="V4" s="1443"/>
      <c r="W4" s="1443"/>
      <c r="X4" s="1443"/>
      <c r="Y4" s="1443"/>
      <c r="Z4" s="1443"/>
      <c r="AA4" s="1456"/>
      <c r="AB4" s="1443"/>
      <c r="AC4" s="1443"/>
      <c r="AD4" s="1443"/>
      <c r="AE4" s="1443"/>
      <c r="AI4" s="1443"/>
      <c r="AJ4" s="1443"/>
      <c r="AK4" s="1443"/>
      <c r="AL4" s="1443"/>
      <c r="AM4" s="1443"/>
      <c r="AN4" s="1443"/>
      <c r="AO4" s="1443"/>
      <c r="AP4" s="1443"/>
      <c r="AQ4" s="1443"/>
    </row>
    <row r="5" spans="1:44" s="1" customFormat="1" ht="15.75" customHeight="1">
      <c r="A5" s="1483"/>
      <c r="B5" s="41"/>
      <c r="C5" s="2377" t="s">
        <v>115</v>
      </c>
      <c r="D5" s="2408">
        <v>45809</v>
      </c>
      <c r="E5" s="2377"/>
      <c r="F5" s="170"/>
      <c r="G5" s="3483"/>
      <c r="H5" s="3483"/>
      <c r="I5" s="3483"/>
      <c r="J5" s="2145"/>
      <c r="K5" s="2145"/>
      <c r="L5" s="2145"/>
      <c r="M5" s="2145"/>
      <c r="N5" s="3482"/>
      <c r="O5" s="2423" t="s">
        <v>273</v>
      </c>
      <c r="Q5" s="554"/>
      <c r="R5" s="5"/>
      <c r="T5" s="1443"/>
      <c r="U5" s="1443"/>
      <c r="V5" s="1443"/>
      <c r="W5" s="1443"/>
      <c r="X5" s="1443"/>
      <c r="Y5" s="1443"/>
      <c r="Z5" s="1443"/>
      <c r="AA5" s="1443"/>
      <c r="AB5" s="1456"/>
      <c r="AC5" s="1443"/>
      <c r="AD5" s="1443"/>
      <c r="AE5" s="1443"/>
      <c r="AI5" s="1443"/>
      <c r="AJ5" s="246" t="s">
        <v>272</v>
      </c>
      <c r="AK5" s="2470"/>
      <c r="AL5" s="31" t="s">
        <v>271</v>
      </c>
      <c r="AM5" s="2499">
        <v>2</v>
      </c>
      <c r="AN5" s="248" t="str">
        <f>VLOOKUP(AM5,AI6:AJ7,2,FALSE)</f>
        <v>ohne Mehrwertsteuer (Option)</v>
      </c>
      <c r="AO5" s="248"/>
      <c r="AP5" s="248"/>
      <c r="AQ5" s="248"/>
      <c r="AR5" s="1443"/>
    </row>
    <row r="6" spans="1:44" s="1" customFormat="1" ht="15.6" customHeight="1">
      <c r="A6" s="1448">
        <f>ROWS($A$6:A6)</f>
        <v>1</v>
      </c>
      <c r="B6" s="41"/>
      <c r="C6" s="2377"/>
      <c r="D6" s="2377"/>
      <c r="E6" s="2377"/>
      <c r="F6" s="170"/>
      <c r="G6" s="2409">
        <v>2018</v>
      </c>
      <c r="H6" s="2409">
        <v>2019</v>
      </c>
      <c r="I6" s="2409">
        <v>2020</v>
      </c>
      <c r="J6" s="2410">
        <v>2021</v>
      </c>
      <c r="K6" s="2145">
        <v>2022</v>
      </c>
      <c r="L6" s="2145">
        <v>2023</v>
      </c>
      <c r="M6" s="2145">
        <v>2024</v>
      </c>
      <c r="N6" s="2145" t="s">
        <v>1749</v>
      </c>
      <c r="O6" s="3333">
        <v>2024</v>
      </c>
      <c r="Q6" s="210"/>
      <c r="R6" s="5"/>
      <c r="S6" s="25"/>
      <c r="T6" s="1443"/>
      <c r="U6" s="1443"/>
      <c r="V6" s="1443"/>
      <c r="W6" s="1443"/>
      <c r="X6" s="1443"/>
      <c r="Y6" s="1443"/>
      <c r="Z6" s="1443"/>
      <c r="AA6" s="1443"/>
      <c r="AB6" s="1456"/>
      <c r="AC6" s="1443"/>
      <c r="AD6" s="1443"/>
      <c r="AE6" s="1443"/>
      <c r="AI6" s="247">
        <v>1</v>
      </c>
      <c r="AJ6" s="246" t="s">
        <v>1401</v>
      </c>
      <c r="AK6" s="246" t="s">
        <v>269</v>
      </c>
      <c r="AL6" s="201"/>
      <c r="AM6" s="201"/>
      <c r="AN6" s="201"/>
      <c r="AO6" s="201"/>
      <c r="AP6" s="201"/>
      <c r="AQ6" s="201"/>
      <c r="AR6" s="1443"/>
    </row>
    <row r="7" spans="1:44" s="1" customFormat="1" ht="31.95" customHeight="1">
      <c r="A7" s="1448">
        <f>ROWS($A$6:A7)</f>
        <v>2</v>
      </c>
      <c r="B7" s="551"/>
      <c r="C7" s="41"/>
      <c r="D7" s="2377"/>
      <c r="E7" s="2377"/>
      <c r="F7" s="2377"/>
      <c r="G7" s="250"/>
      <c r="H7" s="250"/>
      <c r="I7" s="2462"/>
      <c r="J7" s="2462"/>
      <c r="K7" s="2462"/>
      <c r="L7" s="2145"/>
      <c r="M7" s="2145"/>
      <c r="N7" s="2145"/>
      <c r="O7" s="2145"/>
      <c r="P7" s="2145"/>
      <c r="Q7" s="1443"/>
      <c r="R7" s="1443"/>
      <c r="S7" s="1443"/>
      <c r="T7" s="1443"/>
      <c r="U7" s="1443"/>
      <c r="V7" s="1443"/>
      <c r="W7" s="1443"/>
      <c r="X7" s="1443"/>
      <c r="Y7" s="1443"/>
      <c r="Z7" s="1478" t="s">
        <v>1026</v>
      </c>
      <c r="AA7" s="1477" t="s">
        <v>1025</v>
      </c>
      <c r="AB7" s="1443"/>
      <c r="AC7" s="1443"/>
      <c r="AD7" s="1443"/>
      <c r="AE7" s="1443"/>
      <c r="AI7" s="247">
        <v>2</v>
      </c>
      <c r="AJ7" s="246" t="s">
        <v>267</v>
      </c>
      <c r="AK7" s="201"/>
      <c r="AL7" s="201"/>
      <c r="AM7" s="201"/>
      <c r="AN7" s="201"/>
      <c r="AO7" s="201"/>
      <c r="AP7" s="201"/>
      <c r="AQ7" s="1443"/>
    </row>
    <row r="8" spans="1:44" s="1" customFormat="1" ht="40.200000000000003" customHeight="1">
      <c r="A8" s="1448">
        <f>ROWS($A$6:A8)</f>
        <v>3</v>
      </c>
      <c r="B8" s="2403" t="s">
        <v>270</v>
      </c>
      <c r="C8" s="2404"/>
      <c r="D8" s="2404"/>
      <c r="E8" s="2404"/>
      <c r="F8" s="2405"/>
      <c r="G8" s="2406"/>
      <c r="H8" s="2406"/>
      <c r="I8" s="211"/>
      <c r="J8" s="211"/>
      <c r="K8" s="211"/>
      <c r="L8" s="211"/>
      <c r="M8" s="211"/>
      <c r="N8" s="3482" t="s">
        <v>1738</v>
      </c>
      <c r="O8" s="2407" t="str">
        <f>IF(AM5=1,"mit MwSt.","ohne MwSt.")</f>
        <v>ohne MwSt.</v>
      </c>
      <c r="Q8" s="210"/>
      <c r="R8" s="5"/>
      <c r="S8" s="25"/>
      <c r="T8" s="1443"/>
      <c r="U8" s="1443"/>
      <c r="V8" s="1443"/>
      <c r="W8" s="1443"/>
      <c r="X8" s="1443"/>
      <c r="Y8" s="1443"/>
      <c r="Z8" s="1452"/>
      <c r="AA8" s="1451"/>
      <c r="AB8" s="1456"/>
      <c r="AC8" s="1443"/>
      <c r="AD8" s="1443"/>
      <c r="AE8" s="1443"/>
      <c r="AI8" s="1443"/>
      <c r="AJ8" s="1443"/>
      <c r="AK8" s="1443"/>
      <c r="AL8" s="1443"/>
      <c r="AM8" s="1443"/>
      <c r="AN8" s="1443"/>
      <c r="AO8" s="1443"/>
      <c r="AP8" s="1443"/>
      <c r="AQ8" s="1443"/>
      <c r="AR8" s="1443"/>
    </row>
    <row r="9" spans="1:44" s="1441" customFormat="1" ht="15.6" customHeight="1">
      <c r="A9" s="1448">
        <f>ROWS($A$6:A9)</f>
        <v>4</v>
      </c>
      <c r="B9" s="20"/>
      <c r="C9" s="54" t="s">
        <v>268</v>
      </c>
      <c r="D9" s="54"/>
      <c r="E9" s="54"/>
      <c r="F9" s="19"/>
      <c r="G9" s="243">
        <v>10.7</v>
      </c>
      <c r="H9" s="243">
        <v>10.7</v>
      </c>
      <c r="I9" s="243">
        <v>10.7</v>
      </c>
      <c r="J9" s="243">
        <v>10.7</v>
      </c>
      <c r="K9" s="2781">
        <v>9.5</v>
      </c>
      <c r="L9" s="243">
        <v>9</v>
      </c>
      <c r="M9" s="243">
        <v>8.4</v>
      </c>
      <c r="N9" s="2461">
        <v>7.8</v>
      </c>
      <c r="O9" s="2425">
        <f>IF($AM$5=2,0,HLOOKUP($O$6,$H$6:$N$12,A9))</f>
        <v>0</v>
      </c>
      <c r="Q9" s="1474" t="s">
        <v>892</v>
      </c>
      <c r="R9" s="5"/>
      <c r="S9" s="25"/>
      <c r="Z9" s="2500" t="s">
        <v>1023</v>
      </c>
      <c r="AA9" s="1451"/>
      <c r="AB9" s="1453"/>
      <c r="AJ9" s="1481">
        <f>HLOOKUP($O$6,$G$6:$K$75,4)</f>
        <v>9.5</v>
      </c>
    </row>
    <row r="10" spans="1:44" s="1441" customFormat="1" ht="15.6" customHeight="1">
      <c r="A10" s="1448">
        <f>ROWS($A$6:A10)</f>
        <v>5</v>
      </c>
      <c r="B10" s="20"/>
      <c r="C10" s="54" t="s">
        <v>266</v>
      </c>
      <c r="D10" s="54"/>
      <c r="E10" s="54"/>
      <c r="F10" s="19"/>
      <c r="G10" s="243">
        <v>7</v>
      </c>
      <c r="H10" s="243">
        <v>7</v>
      </c>
      <c r="I10" s="243">
        <v>7</v>
      </c>
      <c r="J10" s="243">
        <v>7</v>
      </c>
      <c r="K10" s="2781">
        <v>7</v>
      </c>
      <c r="L10" s="243">
        <v>7</v>
      </c>
      <c r="M10" s="243">
        <v>7</v>
      </c>
      <c r="N10" s="2461">
        <v>7</v>
      </c>
      <c r="O10" s="2426">
        <f t="shared" ref="O10:O12" si="0">IF($AM$5=2,0,HLOOKUP($O$6,$H$6:$N$12,A10))</f>
        <v>0</v>
      </c>
      <c r="Q10" s="1474"/>
      <c r="R10" s="5"/>
      <c r="S10" s="25"/>
      <c r="Z10" s="2500" t="s">
        <v>1023</v>
      </c>
      <c r="AA10" s="1451"/>
      <c r="AB10" s="1453"/>
      <c r="AJ10" s="1481">
        <f>HLOOKUP($O$6,$G$6:$K$75,5)</f>
        <v>7</v>
      </c>
    </row>
    <row r="11" spans="1:44" s="1441" customFormat="1" ht="15.6" customHeight="1">
      <c r="A11" s="1448">
        <f>ROWS($A$6:A11)</f>
        <v>6</v>
      </c>
      <c r="B11" s="20"/>
      <c r="C11" s="54" t="s">
        <v>265</v>
      </c>
      <c r="D11" s="54"/>
      <c r="E11" s="54"/>
      <c r="F11" s="19"/>
      <c r="G11" s="243">
        <v>19</v>
      </c>
      <c r="H11" s="243">
        <v>19</v>
      </c>
      <c r="I11" s="243">
        <v>19</v>
      </c>
      <c r="J11" s="243">
        <v>19</v>
      </c>
      <c r="K11" s="2781">
        <v>19</v>
      </c>
      <c r="L11" s="243">
        <v>19</v>
      </c>
      <c r="M11" s="243">
        <v>19</v>
      </c>
      <c r="N11" s="2461">
        <v>19</v>
      </c>
      <c r="O11" s="2426">
        <f t="shared" si="0"/>
        <v>0</v>
      </c>
      <c r="Q11" s="1474"/>
      <c r="R11" s="5"/>
      <c r="S11" s="25"/>
      <c r="Z11" s="2500" t="s">
        <v>1023</v>
      </c>
      <c r="AA11" s="1451"/>
      <c r="AB11" s="1453"/>
      <c r="AI11" s="1482"/>
      <c r="AJ11" s="1481">
        <f>HLOOKUP($O$6,$G$6:$K$75,6)</f>
        <v>19</v>
      </c>
    </row>
    <row r="12" spans="1:44" s="1441" customFormat="1" ht="15.6" customHeight="1">
      <c r="A12" s="1448">
        <f>ROWS($A$6:A12)</f>
        <v>7</v>
      </c>
      <c r="B12" s="20"/>
      <c r="C12" s="54" t="s">
        <v>264</v>
      </c>
      <c r="D12" s="54"/>
      <c r="E12" s="54"/>
      <c r="F12" s="19"/>
      <c r="G12" s="243">
        <v>12</v>
      </c>
      <c r="H12" s="243">
        <v>12</v>
      </c>
      <c r="I12" s="243">
        <v>12</v>
      </c>
      <c r="J12" s="243">
        <v>12</v>
      </c>
      <c r="K12" s="2781">
        <v>12</v>
      </c>
      <c r="L12" s="243">
        <v>12</v>
      </c>
      <c r="M12" s="243">
        <v>12</v>
      </c>
      <c r="N12" s="2461">
        <v>12</v>
      </c>
      <c r="O12" s="2426">
        <f t="shared" si="0"/>
        <v>0</v>
      </c>
      <c r="Q12" s="1474"/>
      <c r="R12" s="5"/>
      <c r="S12" s="25"/>
      <c r="Z12" s="2500" t="s">
        <v>1023</v>
      </c>
      <c r="AA12" s="1451"/>
      <c r="AJ12" s="1481">
        <f>HLOOKUP($O$6,$G$6:$K$75,7)</f>
        <v>12</v>
      </c>
    </row>
    <row r="13" spans="1:44" s="1441" customFormat="1" ht="20.399999999999999" customHeight="1">
      <c r="A13" s="1448">
        <f>ROWS($A$6:A13)</f>
        <v>8</v>
      </c>
      <c r="B13" s="1"/>
      <c r="C13" s="1459"/>
      <c r="D13" s="1459"/>
      <c r="E13" s="1459"/>
      <c r="F13" s="1461"/>
      <c r="G13" s="1459"/>
      <c r="H13" s="1459"/>
      <c r="I13" s="1459"/>
      <c r="J13" s="597"/>
      <c r="K13" s="1"/>
      <c r="L13" s="1"/>
      <c r="M13" s="1"/>
      <c r="N13" s="1"/>
      <c r="O13" s="1"/>
      <c r="P13" s="29"/>
      <c r="Q13" s="5"/>
      <c r="R13" s="25"/>
      <c r="Z13" s="545"/>
      <c r="AA13" s="545"/>
    </row>
    <row r="14" spans="1:44" s="1441" customFormat="1" ht="36.6" customHeight="1" thickBot="1">
      <c r="A14" s="1448">
        <f>ROWS($A$6:A14)</f>
        <v>9</v>
      </c>
      <c r="B14" s="2411" t="s">
        <v>1646</v>
      </c>
      <c r="C14" s="2412"/>
      <c r="D14" s="2398"/>
      <c r="E14" s="2398"/>
      <c r="F14" s="2419"/>
      <c r="G14" s="2398"/>
      <c r="H14" s="2398"/>
      <c r="I14" s="2398"/>
      <c r="J14" s="2398"/>
      <c r="K14" s="2398"/>
      <c r="L14" s="2398"/>
      <c r="M14" s="2398"/>
      <c r="N14" s="3482" t="s">
        <v>1738</v>
      </c>
      <c r="O14" s="2435" t="str">
        <f>IF(AM5=1,"mit MwSt.","ohne MwSt.")</f>
        <v>ohne MwSt.</v>
      </c>
      <c r="Q14" s="5"/>
      <c r="R14" s="25"/>
      <c r="V14" s="1479" t="s">
        <v>175</v>
      </c>
      <c r="W14" s="1479" t="s">
        <v>1028</v>
      </c>
      <c r="X14" s="1479"/>
      <c r="Y14" s="1479" t="s">
        <v>1027</v>
      </c>
      <c r="Z14" s="545"/>
      <c r="AA14" s="545"/>
    </row>
    <row r="15" spans="1:44" s="1441" customFormat="1" ht="15.6" customHeight="1">
      <c r="A15" s="1448">
        <f>ROWS($A$6:A15)</f>
        <v>10</v>
      </c>
      <c r="B15" s="2397"/>
      <c r="C15" s="2401" t="s">
        <v>262</v>
      </c>
      <c r="D15" s="2398"/>
      <c r="E15" s="2398"/>
      <c r="F15" s="2400"/>
      <c r="G15" s="3616">
        <v>2018</v>
      </c>
      <c r="H15" s="3616">
        <v>2019</v>
      </c>
      <c r="I15" s="3616">
        <v>2020</v>
      </c>
      <c r="J15" s="3617">
        <v>2021</v>
      </c>
      <c r="K15" s="211">
        <v>2022</v>
      </c>
      <c r="L15" s="211">
        <v>2023</v>
      </c>
      <c r="M15" s="211">
        <v>2024</v>
      </c>
      <c r="N15" s="211" t="s">
        <v>1749</v>
      </c>
      <c r="O15" s="2420">
        <f>O9/100</f>
        <v>0</v>
      </c>
      <c r="R15" s="25"/>
      <c r="V15" s="1479"/>
      <c r="W15" s="1479"/>
      <c r="X15" s="1479"/>
      <c r="Y15" s="1479"/>
      <c r="AI15" s="1"/>
      <c r="AN15" s="240" t="s">
        <v>1542</v>
      </c>
      <c r="AR15" s="239" t="s">
        <v>1544</v>
      </c>
    </row>
    <row r="16" spans="1:44" s="1441" customFormat="1" ht="15.6">
      <c r="A16" s="1448">
        <f>ROWS($A$6:A16)</f>
        <v>11</v>
      </c>
      <c r="B16" s="2415"/>
      <c r="C16" s="2416" t="s">
        <v>259</v>
      </c>
      <c r="D16" s="2416"/>
      <c r="E16" s="2416" t="s">
        <v>1022</v>
      </c>
      <c r="F16" s="2421"/>
      <c r="G16" s="229">
        <v>31.5</v>
      </c>
      <c r="H16" s="229">
        <v>26.35</v>
      </c>
      <c r="I16" s="193">
        <v>23.42</v>
      </c>
      <c r="J16" s="193">
        <v>36.1</v>
      </c>
      <c r="K16" s="193">
        <v>46.3</v>
      </c>
      <c r="L16" s="193">
        <v>30.2</v>
      </c>
      <c r="M16" s="3657">
        <v>30.09</v>
      </c>
      <c r="N16" s="2862">
        <f>TRIMMEAN(I16:M16,0.4)</f>
        <v>32.130000000000003</v>
      </c>
      <c r="O16" s="2418">
        <f>HLOOKUP($O$6,$G$6:$N$75,A16)*(100+$O$9)/100</f>
        <v>30.09</v>
      </c>
      <c r="R16" s="25">
        <v>1</v>
      </c>
      <c r="S16" s="25"/>
      <c r="T16" s="25"/>
      <c r="V16" s="1479"/>
      <c r="W16" s="1479"/>
      <c r="X16" s="1479"/>
      <c r="Y16" s="1479"/>
      <c r="Z16" s="1462" t="s">
        <v>1425</v>
      </c>
      <c r="AA16" s="1463"/>
      <c r="AC16" s="1438"/>
      <c r="AD16" s="1438"/>
      <c r="AE16" s="1438"/>
      <c r="AF16" s="1438"/>
      <c r="AG16" s="1438"/>
      <c r="AH16" s="1438"/>
      <c r="AI16" s="1"/>
      <c r="AN16" s="227" t="s">
        <v>1543</v>
      </c>
      <c r="AR16"/>
    </row>
    <row r="17" spans="1:44" s="1441" customFormat="1" ht="15" customHeight="1">
      <c r="A17" s="1448">
        <f>ROWS($A$6:A17)</f>
        <v>12</v>
      </c>
      <c r="B17" s="543"/>
      <c r="C17" s="54" t="s">
        <v>259</v>
      </c>
      <c r="D17" s="54"/>
      <c r="E17" s="54" t="s">
        <v>1021</v>
      </c>
      <c r="F17" s="595"/>
      <c r="G17" s="229">
        <v>42</v>
      </c>
      <c r="H17" s="229">
        <v>40.1</v>
      </c>
      <c r="I17" s="193">
        <v>37.21</v>
      </c>
      <c r="J17" s="193">
        <v>49.2</v>
      </c>
      <c r="K17" s="193">
        <v>52.3</v>
      </c>
      <c r="L17" s="193">
        <v>51.5</v>
      </c>
      <c r="M17" s="3657">
        <v>41.13</v>
      </c>
      <c r="N17" s="2862">
        <f t="shared" ref="N17:N52" si="1">TRIMMEAN(I17:M17,0.4)</f>
        <v>47.276666666666671</v>
      </c>
      <c r="O17" s="2418">
        <f>HLOOKUP($O$6,$G$6:$N$74,A17)*(100+$O$9)/100</f>
        <v>41.13</v>
      </c>
      <c r="R17" s="25">
        <v>2</v>
      </c>
      <c r="S17" s="25"/>
      <c r="T17" s="25"/>
      <c r="V17" s="1480"/>
      <c r="W17" s="1479"/>
      <c r="X17" s="1479"/>
      <c r="Z17" s="1462" t="s">
        <v>1425</v>
      </c>
      <c r="AA17" s="1463"/>
      <c r="AB17" s="1438"/>
      <c r="AC17" s="1438"/>
      <c r="AD17" s="1438"/>
      <c r="AE17" s="1438"/>
      <c r="AF17" s="1438"/>
      <c r="AG17" s="1438"/>
      <c r="AH17" s="1438"/>
      <c r="AI17" s="1"/>
      <c r="AJ17" s="2600"/>
      <c r="AN17" s="227" t="s">
        <v>1543</v>
      </c>
      <c r="AR17" s="2885">
        <v>44835</v>
      </c>
    </row>
    <row r="18" spans="1:44" s="1441" customFormat="1" ht="15" customHeight="1">
      <c r="A18" s="1448">
        <f>ROWS($A$6:A18)</f>
        <v>13</v>
      </c>
      <c r="B18" s="543"/>
      <c r="C18" s="54" t="s">
        <v>83</v>
      </c>
      <c r="D18" s="54"/>
      <c r="E18" s="54"/>
      <c r="F18" s="595"/>
      <c r="G18" s="229">
        <v>44</v>
      </c>
      <c r="H18" s="229">
        <v>44.3</v>
      </c>
      <c r="I18" s="193">
        <v>54.5</v>
      </c>
      <c r="J18" s="193">
        <v>52.5</v>
      </c>
      <c r="K18" s="193">
        <v>40.9</v>
      </c>
      <c r="L18" s="193">
        <v>38.6</v>
      </c>
      <c r="M18" s="3657">
        <v>43.44</v>
      </c>
      <c r="N18" s="2862">
        <f t="shared" si="1"/>
        <v>45.613333333333337</v>
      </c>
      <c r="O18" s="2841">
        <f>HLOOKUP($O$6,$G$6:$N$74,A18)*(100+$O$9)/100</f>
        <v>43.44</v>
      </c>
      <c r="R18" s="25"/>
      <c r="V18" s="1480"/>
      <c r="W18" s="1479"/>
      <c r="X18" s="1479"/>
      <c r="Z18" s="1462" t="s">
        <v>1425</v>
      </c>
      <c r="AA18" s="1463"/>
      <c r="AB18" s="1438"/>
      <c r="AC18" s="1438"/>
      <c r="AD18" s="1438"/>
      <c r="AE18" s="1438"/>
      <c r="AF18" s="1438"/>
      <c r="AG18" s="1438"/>
      <c r="AH18" s="1438"/>
      <c r="AJ18" s="2600"/>
      <c r="AN18" s="227" t="s">
        <v>1543</v>
      </c>
      <c r="AR18"/>
    </row>
    <row r="19" spans="1:44" s="1441" customFormat="1" ht="15" customHeight="1">
      <c r="A19" s="1448">
        <f>ROWS($A$6:A19)</f>
        <v>14</v>
      </c>
      <c r="B19" s="543"/>
      <c r="C19" s="54" t="s">
        <v>89</v>
      </c>
      <c r="D19" s="54"/>
      <c r="E19" s="54"/>
      <c r="F19" s="595"/>
      <c r="G19" s="229">
        <v>35</v>
      </c>
      <c r="H19" s="229">
        <v>33.5</v>
      </c>
      <c r="I19" s="193">
        <v>28.55</v>
      </c>
      <c r="J19" s="193">
        <v>33.1</v>
      </c>
      <c r="K19" s="193">
        <v>44.2</v>
      </c>
      <c r="L19" s="193">
        <v>31.6</v>
      </c>
      <c r="M19" s="3657">
        <v>29.18</v>
      </c>
      <c r="N19" s="2862">
        <f t="shared" si="1"/>
        <v>31.293333333333333</v>
      </c>
      <c r="O19" s="2418">
        <f>HLOOKUP($O$6,$G$6:$N$74,A19)*(100+$O$9)/100</f>
        <v>29.18</v>
      </c>
      <c r="R19" s="25"/>
      <c r="V19" s="1480"/>
      <c r="W19" s="1479"/>
      <c r="X19" s="1479"/>
      <c r="Z19" s="1462" t="s">
        <v>1425</v>
      </c>
      <c r="AA19" s="1463"/>
      <c r="AB19" s="1438"/>
      <c r="AC19" s="1438"/>
      <c r="AD19" s="1438"/>
      <c r="AE19" s="1438"/>
      <c r="AF19" s="1438"/>
      <c r="AG19" s="1438"/>
      <c r="AH19" s="1438"/>
      <c r="AI19" s="1438"/>
      <c r="AJ19" s="2600"/>
      <c r="AN19" s="227" t="s">
        <v>1543</v>
      </c>
      <c r="AR19"/>
    </row>
    <row r="20" spans="1:44" s="1441" customFormat="1" ht="15" customHeight="1">
      <c r="A20" s="1448">
        <f>ROWS($A$6:A20)</f>
        <v>15</v>
      </c>
      <c r="B20" s="543"/>
      <c r="C20" s="54" t="s">
        <v>74</v>
      </c>
      <c r="D20" s="54"/>
      <c r="E20" s="54"/>
      <c r="F20" s="595"/>
      <c r="G20" s="229">
        <v>34</v>
      </c>
      <c r="H20" s="229">
        <v>35.299999999999997</v>
      </c>
      <c r="I20" s="193">
        <v>36.56</v>
      </c>
      <c r="J20" s="193">
        <v>34.700000000000003</v>
      </c>
      <c r="K20" s="193">
        <v>44.5</v>
      </c>
      <c r="L20" s="193">
        <v>39.5</v>
      </c>
      <c r="M20" s="3657">
        <v>41.08</v>
      </c>
      <c r="N20" s="2862">
        <f t="shared" si="1"/>
        <v>39.046666666666667</v>
      </c>
      <c r="O20" s="2841">
        <f>HLOOKUP($O$6,$G$6:$N$74,A20)*(100+$O$9)/100</f>
        <v>41.08</v>
      </c>
      <c r="R20" s="25" t="s">
        <v>1583</v>
      </c>
      <c r="Z20" s="1462" t="s">
        <v>1425</v>
      </c>
      <c r="AA20" s="1463"/>
      <c r="AB20" s="1438"/>
      <c r="AI20" s="1438"/>
      <c r="AJ20" s="2600"/>
      <c r="AN20" s="227" t="s">
        <v>1543</v>
      </c>
      <c r="AR20"/>
    </row>
    <row r="21" spans="1:44" s="1441" customFormat="1" ht="15" customHeight="1">
      <c r="A21" s="1448">
        <f>ROWS($A$6:A21)</f>
        <v>16</v>
      </c>
      <c r="B21" s="543"/>
      <c r="C21" s="54" t="s">
        <v>85</v>
      </c>
      <c r="D21" s="54"/>
      <c r="E21" s="54"/>
      <c r="F21" s="595"/>
      <c r="G21" s="229">
        <v>32.700000000000003</v>
      </c>
      <c r="H21" s="229">
        <v>27.4</v>
      </c>
      <c r="I21" s="193">
        <v>24.32</v>
      </c>
      <c r="J21" s="193">
        <v>35.200000000000003</v>
      </c>
      <c r="K21" s="193">
        <v>43.6</v>
      </c>
      <c r="L21" s="193">
        <v>28.9</v>
      </c>
      <c r="M21" s="3657">
        <v>28.86</v>
      </c>
      <c r="N21" s="2862">
        <f t="shared" si="1"/>
        <v>30.986666666666665</v>
      </c>
      <c r="O21" s="2418">
        <f>HLOOKUP($O$6,$G$6:$N$75,A21)*(100+$O$9)/100</f>
        <v>28.86</v>
      </c>
      <c r="R21" s="25"/>
      <c r="Z21" s="1462" t="s">
        <v>1470</v>
      </c>
      <c r="AA21" s="1463"/>
      <c r="AI21" s="1438"/>
      <c r="AJ21" s="2600"/>
      <c r="AN21" s="227" t="s">
        <v>1543</v>
      </c>
      <c r="AR21"/>
    </row>
    <row r="22" spans="1:44" s="1441" customFormat="1" ht="15" customHeight="1">
      <c r="A22" s="1448">
        <f>ROWS($A$6:A22)</f>
        <v>17</v>
      </c>
      <c r="B22" s="543"/>
      <c r="C22" s="54" t="s">
        <v>76</v>
      </c>
      <c r="D22" s="54"/>
      <c r="E22" s="54"/>
      <c r="F22" s="595"/>
      <c r="G22" s="229">
        <v>43</v>
      </c>
      <c r="H22" s="229">
        <v>36.799999999999997</v>
      </c>
      <c r="I22" s="193">
        <v>43.95</v>
      </c>
      <c r="J22" s="193">
        <v>44.7</v>
      </c>
      <c r="K22" s="193">
        <v>54</v>
      </c>
      <c r="L22" s="193">
        <v>52.25</v>
      </c>
      <c r="M22" s="3657">
        <v>47.42</v>
      </c>
      <c r="N22" s="2862">
        <f t="shared" si="1"/>
        <v>48.123333333333335</v>
      </c>
      <c r="O22" s="2841">
        <f>HLOOKUP($O$6,$G$6:$N$75,A22)*(100+$O$9)/100</f>
        <v>47.42</v>
      </c>
      <c r="R22" s="25"/>
      <c r="Z22" s="1462" t="s">
        <v>1005</v>
      </c>
      <c r="AA22" s="1464"/>
      <c r="AI22" s="1438"/>
      <c r="AJ22" s="2600"/>
      <c r="AN22" s="227" t="s">
        <v>1543</v>
      </c>
      <c r="AR22"/>
    </row>
    <row r="23" spans="1:44" s="1441" customFormat="1" ht="15.6">
      <c r="A23" s="1448">
        <f>ROWS($A$6:A23)</f>
        <v>18</v>
      </c>
      <c r="B23" s="543"/>
      <c r="C23" s="54" t="s">
        <v>51</v>
      </c>
      <c r="D23" s="54"/>
      <c r="E23" s="54"/>
      <c r="F23" s="595"/>
      <c r="G23" s="229">
        <v>45</v>
      </c>
      <c r="H23" s="229">
        <v>46.9</v>
      </c>
      <c r="I23" s="193">
        <v>47.21</v>
      </c>
      <c r="J23" s="193">
        <v>47.1</v>
      </c>
      <c r="K23" s="193">
        <v>63.8</v>
      </c>
      <c r="L23" s="193">
        <v>56.3</v>
      </c>
      <c r="M23" s="3657">
        <v>53.74</v>
      </c>
      <c r="N23" s="2862">
        <f t="shared" si="1"/>
        <v>52.416666666666664</v>
      </c>
      <c r="O23" s="2841">
        <f t="shared" ref="O23:O52" si="2">HLOOKUP($O$6,$G$6:$N$75,A23)*(100+$O$9)/100</f>
        <v>53.74</v>
      </c>
      <c r="Z23" s="1462" t="s">
        <v>1425</v>
      </c>
      <c r="AA23" s="1463" t="s">
        <v>1004</v>
      </c>
      <c r="AB23" s="1438"/>
      <c r="AC23" s="1438"/>
      <c r="AD23" s="1438"/>
      <c r="AE23" s="1438"/>
      <c r="AF23" s="1438"/>
      <c r="AG23" s="1438"/>
      <c r="AH23" s="1438"/>
      <c r="AI23" s="1438"/>
      <c r="AN23" s="227" t="s">
        <v>1543</v>
      </c>
      <c r="AR23"/>
    </row>
    <row r="24" spans="1:44" s="1438" customFormat="1" ht="15.6" customHeight="1">
      <c r="A24" s="2840">
        <f>ROWS($A$6:A24)</f>
        <v>19</v>
      </c>
      <c r="B24" s="1"/>
      <c r="C24" s="54" t="s">
        <v>1586</v>
      </c>
      <c r="D24" s="54"/>
      <c r="E24" s="54"/>
      <c r="F24" s="595"/>
      <c r="G24" s="229"/>
      <c r="H24" s="229"/>
      <c r="I24" s="193"/>
      <c r="J24" s="193"/>
      <c r="K24" s="193">
        <v>68.489999999999995</v>
      </c>
      <c r="L24" s="193">
        <v>61</v>
      </c>
      <c r="M24" s="3657">
        <v>58</v>
      </c>
      <c r="N24" s="2862">
        <f t="shared" si="1"/>
        <v>62.49666666666667</v>
      </c>
      <c r="O24" s="2841">
        <f t="shared" si="2"/>
        <v>58</v>
      </c>
      <c r="Q24" s="29"/>
      <c r="R24" s="29"/>
      <c r="S24" s="29"/>
      <c r="T24" s="29"/>
      <c r="U24" s="29"/>
      <c r="V24" s="29"/>
      <c r="W24" s="1471"/>
      <c r="X24" s="53"/>
      <c r="Z24" s="1454"/>
      <c r="AA24" s="1443"/>
      <c r="AB24" s="1443"/>
      <c r="AC24" s="1443"/>
      <c r="AD24" s="1443"/>
      <c r="AE24" s="1443"/>
      <c r="AF24" s="1443"/>
      <c r="AG24" s="1443"/>
      <c r="AH24" s="1443"/>
      <c r="AI24" s="1"/>
    </row>
    <row r="25" spans="1:44" s="1441" customFormat="1" ht="15.6">
      <c r="A25" s="2840">
        <f>ROWS($A$6:A25)</f>
        <v>20</v>
      </c>
      <c r="B25" s="543"/>
      <c r="C25" s="54" t="s">
        <v>53</v>
      </c>
      <c r="D25" s="54"/>
      <c r="E25" s="54"/>
      <c r="F25" s="595"/>
      <c r="G25" s="229">
        <v>46</v>
      </c>
      <c r="H25" s="229">
        <v>45.3</v>
      </c>
      <c r="I25" s="193">
        <v>41.62</v>
      </c>
      <c r="J25" s="193">
        <v>47.1</v>
      </c>
      <c r="K25" s="193">
        <v>64.8</v>
      </c>
      <c r="L25" s="193">
        <v>51.3</v>
      </c>
      <c r="M25" s="3657">
        <v>50.24</v>
      </c>
      <c r="N25" s="2862">
        <f t="shared" si="1"/>
        <v>49.546666666666674</v>
      </c>
      <c r="O25" s="2841">
        <f t="shared" si="2"/>
        <v>50.24</v>
      </c>
      <c r="Z25" s="1462" t="s">
        <v>1425</v>
      </c>
      <c r="AA25" s="1463" t="s">
        <v>1004</v>
      </c>
      <c r="AB25" s="1438"/>
      <c r="AC25" s="1438"/>
      <c r="AD25" s="1438"/>
      <c r="AE25" s="1438"/>
      <c r="AF25" s="1438"/>
      <c r="AG25" s="1438"/>
      <c r="AH25" s="1438"/>
      <c r="AI25" s="1438"/>
      <c r="AN25" s="227" t="s">
        <v>1543</v>
      </c>
      <c r="AR25"/>
    </row>
    <row r="26" spans="1:44" s="1441" customFormat="1" ht="15.6">
      <c r="A26" s="2840">
        <f>ROWS($A$6:A26)</f>
        <v>21</v>
      </c>
      <c r="B26" s="543"/>
      <c r="C26" s="2783" t="s">
        <v>1020</v>
      </c>
      <c r="D26" s="2783"/>
      <c r="E26" s="2783"/>
      <c r="F26" s="595"/>
      <c r="G26" s="229">
        <v>46</v>
      </c>
      <c r="H26" s="229">
        <v>46</v>
      </c>
      <c r="I26" s="193">
        <v>57</v>
      </c>
      <c r="J26" s="193">
        <v>60.48</v>
      </c>
      <c r="K26" s="193">
        <v>55.05</v>
      </c>
      <c r="L26" s="193">
        <v>70.849999999999994</v>
      </c>
      <c r="M26" s="3657">
        <v>74.17</v>
      </c>
      <c r="N26" s="2862">
        <f>TRIMMEAN(I26:M26,0.4)</f>
        <v>62.776666666666664</v>
      </c>
      <c r="O26" s="2841">
        <f t="shared" si="2"/>
        <v>74.17</v>
      </c>
      <c r="Q26" s="1476"/>
      <c r="R26" s="5"/>
      <c r="Z26" s="1462" t="s">
        <v>1429</v>
      </c>
      <c r="AA26" s="1463" t="s">
        <v>1004</v>
      </c>
      <c r="AB26" s="1438"/>
      <c r="AC26" s="1438"/>
      <c r="AD26" s="1438"/>
      <c r="AE26" s="1438"/>
      <c r="AF26" s="1438"/>
      <c r="AG26" s="1438"/>
      <c r="AH26" s="1438"/>
      <c r="AI26" s="1438"/>
      <c r="AN26" s="227" t="s">
        <v>1543</v>
      </c>
      <c r="AR26"/>
    </row>
    <row r="27" spans="1:44" s="1441" customFormat="1" ht="15.6">
      <c r="A27" s="2840">
        <f>ROWS($A$6:A27)</f>
        <v>22</v>
      </c>
      <c r="B27" s="543"/>
      <c r="C27" s="2783" t="s">
        <v>69</v>
      </c>
      <c r="D27" s="2783"/>
      <c r="E27" s="189"/>
      <c r="F27" s="595"/>
      <c r="G27" s="229">
        <v>37</v>
      </c>
      <c r="H27" s="229">
        <v>46.8</v>
      </c>
      <c r="I27" s="193">
        <v>31.75</v>
      </c>
      <c r="J27" s="193">
        <v>36.6</v>
      </c>
      <c r="K27" s="193">
        <v>48.6</v>
      </c>
      <c r="L27" s="193">
        <v>32.6</v>
      </c>
      <c r="M27" s="3657">
        <v>33.56</v>
      </c>
      <c r="N27" s="2862">
        <f t="shared" si="1"/>
        <v>34.253333333333337</v>
      </c>
      <c r="O27" s="2841">
        <f t="shared" si="2"/>
        <v>33.56</v>
      </c>
      <c r="Q27" s="210"/>
      <c r="R27" s="1475"/>
      <c r="S27" s="25"/>
      <c r="Z27" s="1462" t="s">
        <v>1425</v>
      </c>
      <c r="AA27" s="1463" t="s">
        <v>1004</v>
      </c>
      <c r="AB27" s="1438"/>
      <c r="AC27" s="1438"/>
      <c r="AD27" s="1438"/>
      <c r="AE27" s="1438"/>
      <c r="AF27" s="1438"/>
      <c r="AG27" s="1438"/>
      <c r="AH27" s="1438"/>
      <c r="AI27" s="1438"/>
      <c r="AN27" s="227" t="s">
        <v>1543</v>
      </c>
      <c r="AR27" s="2885">
        <v>44866</v>
      </c>
    </row>
    <row r="28" spans="1:44" s="1441" customFormat="1" ht="15.6" hidden="1">
      <c r="A28" s="2840">
        <f>ROWS($A$6:A28)</f>
        <v>23</v>
      </c>
      <c r="B28" s="543"/>
      <c r="C28" s="3182" t="s">
        <v>932</v>
      </c>
      <c r="D28" s="3182"/>
      <c r="E28" s="3182"/>
      <c r="F28" s="3001"/>
      <c r="G28" s="3002">
        <v>74</v>
      </c>
      <c r="H28" s="3002">
        <v>74.8</v>
      </c>
      <c r="I28" s="3003">
        <v>82.3</v>
      </c>
      <c r="J28" s="3003">
        <v>86.8</v>
      </c>
      <c r="K28" s="3003">
        <v>80.400000000000006</v>
      </c>
      <c r="L28" s="3003">
        <v>72.900000000000006</v>
      </c>
      <c r="M28" s="3657"/>
      <c r="N28" s="2862">
        <f t="shared" si="1"/>
        <v>80.599999999999994</v>
      </c>
      <c r="O28" s="2841">
        <f t="shared" si="2"/>
        <v>0</v>
      </c>
      <c r="Q28" s="1447"/>
      <c r="R28" s="5"/>
      <c r="S28" s="25"/>
      <c r="Z28" s="1462" t="s">
        <v>1425</v>
      </c>
      <c r="AA28" s="1464"/>
      <c r="AB28" s="1438"/>
      <c r="AC28" s="1438"/>
      <c r="AD28" s="1438"/>
      <c r="AE28" s="1438"/>
      <c r="AF28" s="1438"/>
      <c r="AG28" s="1438"/>
      <c r="AH28" s="1438"/>
      <c r="AI28" s="1438"/>
      <c r="AN28" s="227" t="s">
        <v>1543</v>
      </c>
      <c r="AR28"/>
    </row>
    <row r="29" spans="1:44" s="1441" customFormat="1" ht="15.6">
      <c r="A29" s="2840">
        <f>ROWS($A$6:A29)</f>
        <v>24</v>
      </c>
      <c r="B29" s="543"/>
      <c r="C29" s="2783" t="s">
        <v>1019</v>
      </c>
      <c r="D29" s="2783"/>
      <c r="E29" s="2783"/>
      <c r="F29" s="595"/>
      <c r="G29" s="229">
        <v>9</v>
      </c>
      <c r="H29" s="229">
        <v>9</v>
      </c>
      <c r="I29" s="193">
        <v>9</v>
      </c>
      <c r="J29" s="193">
        <v>9</v>
      </c>
      <c r="K29" s="193">
        <v>9</v>
      </c>
      <c r="L29" s="193">
        <v>9</v>
      </c>
      <c r="M29" s="3657"/>
      <c r="N29" s="2862">
        <f t="shared" si="1"/>
        <v>9</v>
      </c>
      <c r="O29" s="2841">
        <f t="shared" si="2"/>
        <v>0</v>
      </c>
      <c r="Q29" s="1447"/>
      <c r="R29" s="5"/>
      <c r="S29" s="25"/>
      <c r="Z29" s="1462" t="s">
        <v>1018</v>
      </c>
      <c r="AA29" s="1464" t="s">
        <v>1015</v>
      </c>
      <c r="AB29" s="1438"/>
      <c r="AC29" s="1438"/>
      <c r="AD29" s="1438"/>
      <c r="AE29" s="1438"/>
      <c r="AF29" s="1438"/>
      <c r="AG29" s="1438"/>
      <c r="AH29" s="1438"/>
      <c r="AI29" s="1438"/>
      <c r="AN29" s="227" t="s">
        <v>1543</v>
      </c>
      <c r="AR29"/>
    </row>
    <row r="30" spans="1:44" s="1441" customFormat="1" ht="15.6">
      <c r="A30" s="2840">
        <f>ROWS($A$6:A30)</f>
        <v>25</v>
      </c>
      <c r="B30" s="543"/>
      <c r="C30" s="2783" t="s">
        <v>1017</v>
      </c>
      <c r="D30" s="2783"/>
      <c r="E30" s="189"/>
      <c r="F30" s="595"/>
      <c r="G30" s="229">
        <v>15</v>
      </c>
      <c r="H30" s="229">
        <v>15</v>
      </c>
      <c r="I30" s="193">
        <v>15</v>
      </c>
      <c r="J30" s="193">
        <v>15</v>
      </c>
      <c r="K30" s="193">
        <v>15</v>
      </c>
      <c r="L30" s="193">
        <v>15</v>
      </c>
      <c r="M30" s="3657"/>
      <c r="N30" s="2862">
        <f t="shared" si="1"/>
        <v>15</v>
      </c>
      <c r="O30" s="2841">
        <f t="shared" si="2"/>
        <v>0</v>
      </c>
      <c r="Q30" s="1447"/>
      <c r="R30" s="5"/>
      <c r="S30" s="25"/>
      <c r="Z30" s="1462" t="s">
        <v>1016</v>
      </c>
      <c r="AA30" s="1464" t="s">
        <v>1015</v>
      </c>
      <c r="AB30" s="1438"/>
      <c r="AC30" s="1438"/>
      <c r="AD30" s="1438"/>
      <c r="AE30" s="1438"/>
      <c r="AF30" s="1438"/>
      <c r="AG30" s="1438"/>
      <c r="AH30" s="1438"/>
      <c r="AI30" s="1438"/>
      <c r="AN30" s="227" t="s">
        <v>1543</v>
      </c>
      <c r="AR30"/>
    </row>
    <row r="31" spans="1:44" s="1441" customFormat="1" ht="13.2" customHeight="1">
      <c r="A31" s="2840">
        <f>ROWS($A$6:A31)</f>
        <v>26</v>
      </c>
      <c r="B31" s="543"/>
      <c r="C31" s="2783" t="s">
        <v>1014</v>
      </c>
      <c r="D31" s="2783"/>
      <c r="E31" s="2783"/>
      <c r="F31" s="595"/>
      <c r="G31" s="229">
        <v>76</v>
      </c>
      <c r="H31" s="229">
        <v>70</v>
      </c>
      <c r="I31" s="193">
        <v>71.7</v>
      </c>
      <c r="J31" s="193">
        <v>97.3</v>
      </c>
      <c r="K31" s="193">
        <v>100</v>
      </c>
      <c r="L31" s="193">
        <v>67</v>
      </c>
      <c r="M31" s="3657">
        <v>78.67</v>
      </c>
      <c r="N31" s="2862">
        <f t="shared" si="1"/>
        <v>82.556666666666672</v>
      </c>
      <c r="O31" s="2841">
        <f t="shared" si="2"/>
        <v>78.67</v>
      </c>
      <c r="Q31" s="1473"/>
      <c r="R31" s="5"/>
      <c r="S31" s="25"/>
      <c r="Z31" s="1462" t="s">
        <v>1459</v>
      </c>
      <c r="AA31" s="1464"/>
      <c r="AB31" s="1438"/>
      <c r="AC31" s="1438"/>
      <c r="AD31" s="1438"/>
      <c r="AE31" s="1465"/>
      <c r="AF31" s="1438"/>
      <c r="AG31" s="1438"/>
      <c r="AH31" s="1438"/>
      <c r="AI31" s="1438"/>
      <c r="AN31" s="227" t="s">
        <v>1543</v>
      </c>
      <c r="AR31" s="2885">
        <v>44835</v>
      </c>
    </row>
    <row r="32" spans="1:44" s="1441" customFormat="1" ht="24.9" hidden="1" customHeight="1">
      <c r="A32" s="2840">
        <f>ROWS($A$6:A32)</f>
        <v>27</v>
      </c>
      <c r="B32" s="543"/>
      <c r="C32" s="2783" t="s">
        <v>1013</v>
      </c>
      <c r="D32" s="2783"/>
      <c r="E32" s="2783"/>
      <c r="F32" s="595"/>
      <c r="G32" s="229">
        <v>90</v>
      </c>
      <c r="H32" s="229">
        <v>87</v>
      </c>
      <c r="I32" s="193">
        <v>89</v>
      </c>
      <c r="J32" s="193">
        <v>100</v>
      </c>
      <c r="K32" s="193">
        <v>118</v>
      </c>
      <c r="L32" s="193"/>
      <c r="M32" s="3657"/>
      <c r="N32" s="2862">
        <f t="shared" si="1"/>
        <v>102.33333333333333</v>
      </c>
      <c r="O32" s="2841">
        <f t="shared" si="2"/>
        <v>0</v>
      </c>
      <c r="Q32" s="5"/>
      <c r="R32" s="25"/>
      <c r="Z32" s="1462" t="s">
        <v>1459</v>
      </c>
      <c r="AA32" s="1464"/>
      <c r="AB32" s="1438"/>
      <c r="AC32" s="1438"/>
      <c r="AD32" s="1438"/>
      <c r="AE32" s="1438"/>
      <c r="AF32" s="1438"/>
      <c r="AG32" s="1438"/>
      <c r="AH32" s="1438"/>
      <c r="AI32" s="1438"/>
      <c r="AN32" s="227" t="s">
        <v>1543</v>
      </c>
      <c r="AR32" s="2885">
        <v>44835</v>
      </c>
    </row>
    <row r="33" spans="1:40" s="1441" customFormat="1" ht="24.9" hidden="1" customHeight="1">
      <c r="A33" s="2840">
        <f>ROWS($A$6:A33)</f>
        <v>28</v>
      </c>
      <c r="B33" s="543"/>
      <c r="C33" s="2783" t="s">
        <v>1012</v>
      </c>
      <c r="D33" s="2783"/>
      <c r="E33" s="2783"/>
      <c r="F33" s="595"/>
      <c r="G33" s="229"/>
      <c r="H33" s="229"/>
      <c r="I33" s="193">
        <v>0</v>
      </c>
      <c r="J33" s="193"/>
      <c r="K33" s="193"/>
      <c r="L33" s="193"/>
      <c r="M33" s="3657"/>
      <c r="N33" s="2862">
        <f t="shared" si="1"/>
        <v>0</v>
      </c>
      <c r="O33" s="2841">
        <f t="shared" si="2"/>
        <v>0</v>
      </c>
      <c r="Q33" s="29"/>
      <c r="R33" s="29"/>
      <c r="S33" s="29"/>
      <c r="Z33" s="1470" t="s">
        <v>1011</v>
      </c>
      <c r="AA33" s="1469">
        <v>457.10936216216214</v>
      </c>
      <c r="AB33" s="1438"/>
      <c r="AC33" s="1438"/>
      <c r="AD33" s="1438"/>
      <c r="AE33" s="1438"/>
      <c r="AF33" s="1438"/>
      <c r="AG33" s="1438"/>
      <c r="AH33" s="1438"/>
      <c r="AI33" s="1438"/>
      <c r="AN33" s="227" t="s">
        <v>1543</v>
      </c>
    </row>
    <row r="34" spans="1:40" s="1" customFormat="1" ht="24.9" hidden="1" customHeight="1">
      <c r="A34" s="2840">
        <f>ROWS($A$6:A34)</f>
        <v>29</v>
      </c>
      <c r="B34" s="543"/>
      <c r="C34" s="2783"/>
      <c r="D34" s="2783"/>
      <c r="E34" s="2783"/>
      <c r="F34" s="595"/>
      <c r="G34" s="229"/>
      <c r="H34" s="229"/>
      <c r="I34" s="193" t="e">
        <v>#N/A</v>
      </c>
      <c r="J34" s="193"/>
      <c r="K34" s="193"/>
      <c r="L34" s="193"/>
      <c r="M34" s="3657"/>
      <c r="N34" s="2862" t="e">
        <f t="shared" si="1"/>
        <v>#N/A</v>
      </c>
      <c r="O34" s="2841">
        <f t="shared" si="2"/>
        <v>0</v>
      </c>
      <c r="Q34" s="29"/>
      <c r="R34" s="29"/>
      <c r="S34" s="29"/>
      <c r="T34" s="1443"/>
      <c r="U34" s="1443"/>
      <c r="V34" s="1443"/>
      <c r="W34" s="1443"/>
      <c r="X34" s="1443"/>
      <c r="Y34" s="1443"/>
      <c r="Z34" s="1467" t="s">
        <v>1010</v>
      </c>
      <c r="AA34" s="1466" t="s">
        <v>1009</v>
      </c>
      <c r="AB34" s="1469"/>
      <c r="AC34" s="1469"/>
      <c r="AD34" s="1469"/>
      <c r="AE34" s="1469"/>
      <c r="AF34" s="1469"/>
      <c r="AG34" s="1469"/>
      <c r="AH34" s="1469"/>
      <c r="AI34" s="1468"/>
      <c r="AN34" s="227" t="s">
        <v>1543</v>
      </c>
    </row>
    <row r="35" spans="1:40" s="1" customFormat="1" ht="24.9" hidden="1" customHeight="1">
      <c r="A35" s="2840">
        <f>ROWS($A$6:A35)</f>
        <v>30</v>
      </c>
      <c r="B35" s="543"/>
      <c r="C35" s="2783"/>
      <c r="D35" s="2783"/>
      <c r="E35" s="2783"/>
      <c r="F35" s="595"/>
      <c r="G35" s="229"/>
      <c r="H35" s="229"/>
      <c r="I35" s="193"/>
      <c r="J35" s="193"/>
      <c r="K35" s="193"/>
      <c r="L35" s="193"/>
      <c r="M35" s="3657"/>
      <c r="N35" s="2862" t="e">
        <f t="shared" si="1"/>
        <v>#NUM!</v>
      </c>
      <c r="O35" s="2841">
        <f t="shared" si="2"/>
        <v>0</v>
      </c>
      <c r="Q35" s="29"/>
      <c r="R35" s="29"/>
      <c r="S35" s="29"/>
      <c r="T35" s="29"/>
      <c r="U35" s="29"/>
      <c r="V35" s="29"/>
      <c r="W35" s="53"/>
      <c r="Z35" s="1462" t="s">
        <v>1008</v>
      </c>
      <c r="AA35" s="1464"/>
      <c r="AB35" s="2606"/>
      <c r="AC35" s="2605"/>
      <c r="AD35" s="2605"/>
      <c r="AE35" s="2605"/>
      <c r="AF35" s="2605"/>
      <c r="AG35" s="2605"/>
      <c r="AH35" s="2605"/>
      <c r="AI35" s="2605"/>
      <c r="AN35" s="227"/>
    </row>
    <row r="36" spans="1:40" s="1" customFormat="1" ht="24.9" hidden="1" customHeight="1">
      <c r="A36" s="2840">
        <f>ROWS($A$6:A36)</f>
        <v>31</v>
      </c>
      <c r="B36" s="543"/>
      <c r="C36" s="2783"/>
      <c r="D36" s="2783"/>
      <c r="E36" s="2783"/>
      <c r="F36" s="595"/>
      <c r="G36" s="229"/>
      <c r="H36" s="229"/>
      <c r="I36" s="193"/>
      <c r="J36" s="193"/>
      <c r="K36" s="193"/>
      <c r="L36" s="193"/>
      <c r="M36" s="3657"/>
      <c r="N36" s="2862" t="e">
        <f t="shared" si="1"/>
        <v>#NUM!</v>
      </c>
      <c r="O36" s="2841">
        <f t="shared" si="2"/>
        <v>0</v>
      </c>
      <c r="Q36" s="29"/>
      <c r="R36" s="29"/>
      <c r="S36" s="29"/>
      <c r="T36" s="29"/>
      <c r="U36" s="29"/>
      <c r="V36" s="29"/>
      <c r="W36" s="53"/>
      <c r="Z36" s="1462" t="s">
        <v>1008</v>
      </c>
      <c r="AA36" s="1464"/>
      <c r="AB36" s="1438"/>
      <c r="AC36" s="1438"/>
      <c r="AD36" s="1438"/>
      <c r="AE36" s="1438"/>
      <c r="AF36" s="1438"/>
      <c r="AG36" s="1438"/>
      <c r="AH36" s="1438"/>
      <c r="AI36" s="1438"/>
      <c r="AN36" s="227"/>
    </row>
    <row r="37" spans="1:40" s="1441" customFormat="1" ht="24.9" hidden="1" customHeight="1">
      <c r="A37" s="2840">
        <f>ROWS($A$6:A37)</f>
        <v>32</v>
      </c>
      <c r="B37" s="543"/>
      <c r="C37" s="2783"/>
      <c r="D37" s="2783"/>
      <c r="E37" s="2783"/>
      <c r="F37" s="595"/>
      <c r="G37" s="229"/>
      <c r="H37" s="229"/>
      <c r="I37" s="193" t="e">
        <v>#N/A</v>
      </c>
      <c r="J37" s="193"/>
      <c r="K37" s="193"/>
      <c r="L37" s="193"/>
      <c r="M37" s="3657"/>
      <c r="N37" s="2862" t="e">
        <f t="shared" si="1"/>
        <v>#N/A</v>
      </c>
      <c r="O37" s="2841">
        <f t="shared" si="2"/>
        <v>0</v>
      </c>
      <c r="Q37" s="29"/>
      <c r="R37" s="29"/>
      <c r="S37" s="29"/>
      <c r="T37" s="29"/>
      <c r="U37" s="29"/>
      <c r="V37" s="29"/>
      <c r="W37" s="1472"/>
      <c r="X37" s="53"/>
      <c r="Z37" s="1462"/>
      <c r="AA37" s="1464"/>
      <c r="AB37" s="1438"/>
      <c r="AC37" s="1438"/>
      <c r="AD37" s="1438"/>
      <c r="AE37" s="1438"/>
      <c r="AF37" s="1438"/>
      <c r="AG37" s="1438"/>
      <c r="AH37" s="1438"/>
      <c r="AI37" s="1438"/>
      <c r="AN37" s="227"/>
    </row>
    <row r="38" spans="1:40" s="1438" customFormat="1" ht="24.9" hidden="1" customHeight="1">
      <c r="A38" s="2840">
        <f>ROWS($A$6:A38)</f>
        <v>33</v>
      </c>
      <c r="B38" s="543"/>
      <c r="C38" s="2783"/>
      <c r="D38" s="2783"/>
      <c r="E38" s="2783"/>
      <c r="F38" s="595"/>
      <c r="G38" s="229"/>
      <c r="H38" s="229"/>
      <c r="I38" s="193" t="e">
        <v>#N/A</v>
      </c>
      <c r="J38" s="193"/>
      <c r="K38" s="193"/>
      <c r="L38" s="193"/>
      <c r="M38" s="3657"/>
      <c r="N38" s="2862" t="e">
        <f t="shared" si="1"/>
        <v>#N/A</v>
      </c>
      <c r="O38" s="2841">
        <f t="shared" si="2"/>
        <v>0</v>
      </c>
      <c r="Q38" s="29"/>
      <c r="R38" s="29"/>
      <c r="S38" s="29"/>
      <c r="T38" s="29"/>
      <c r="U38" s="29"/>
      <c r="V38" s="29"/>
      <c r="W38" s="1472"/>
      <c r="X38" s="53"/>
      <c r="Z38" s="1462"/>
      <c r="AA38" s="1464"/>
      <c r="AN38" s="227"/>
    </row>
    <row r="39" spans="1:40" s="1438" customFormat="1" ht="24.9" hidden="1" customHeight="1">
      <c r="A39" s="2840">
        <f>ROWS($A$6:A39)</f>
        <v>34</v>
      </c>
      <c r="B39" s="543"/>
      <c r="C39" s="2783"/>
      <c r="D39" s="2783"/>
      <c r="E39" s="2783"/>
      <c r="F39" s="595"/>
      <c r="G39" s="229"/>
      <c r="H39" s="229"/>
      <c r="I39" s="193"/>
      <c r="J39" s="193"/>
      <c r="K39" s="193"/>
      <c r="L39" s="193"/>
      <c r="M39" s="3657"/>
      <c r="N39" s="2862" t="e">
        <f t="shared" si="1"/>
        <v>#NUM!</v>
      </c>
      <c r="O39" s="2841">
        <f t="shared" si="2"/>
        <v>0</v>
      </c>
      <c r="Q39" s="29"/>
      <c r="R39" s="29"/>
      <c r="S39" s="29"/>
      <c r="T39" s="29"/>
      <c r="U39" s="29"/>
      <c r="V39" s="29"/>
      <c r="W39" s="1472"/>
      <c r="X39" s="53"/>
      <c r="Z39" s="1462" t="s">
        <v>1425</v>
      </c>
      <c r="AA39" s="1463" t="s">
        <v>1007</v>
      </c>
      <c r="AN39" s="227"/>
    </row>
    <row r="40" spans="1:40" s="1438" customFormat="1" ht="24.9" hidden="1" customHeight="1">
      <c r="A40" s="2840">
        <f>ROWS($A$6:A40)</f>
        <v>35</v>
      </c>
      <c r="B40" s="543"/>
      <c r="C40" s="2783"/>
      <c r="D40" s="2783"/>
      <c r="E40" s="2783"/>
      <c r="F40" s="595"/>
      <c r="G40" s="229"/>
      <c r="H40" s="229"/>
      <c r="I40" s="193"/>
      <c r="J40" s="193"/>
      <c r="K40" s="193"/>
      <c r="L40" s="193"/>
      <c r="M40" s="3657"/>
      <c r="N40" s="2862" t="e">
        <f t="shared" si="1"/>
        <v>#NUM!</v>
      </c>
      <c r="O40" s="2841">
        <f t="shared" si="2"/>
        <v>0</v>
      </c>
      <c r="Q40" s="29"/>
      <c r="R40" s="29"/>
      <c r="S40" s="29"/>
      <c r="T40" s="29"/>
      <c r="U40" s="29"/>
      <c r="V40" s="29"/>
      <c r="W40" s="1472"/>
      <c r="X40" s="53"/>
      <c r="Z40" s="1462" t="s">
        <v>1425</v>
      </c>
      <c r="AA40" s="1463" t="s">
        <v>1004</v>
      </c>
      <c r="AN40" s="227" t="s">
        <v>1543</v>
      </c>
    </row>
    <row r="41" spans="1:40" s="1438" customFormat="1" ht="24.9" customHeight="1">
      <c r="A41" s="2840">
        <f>ROWS($A$6:A41)</f>
        <v>36</v>
      </c>
      <c r="B41" s="543"/>
      <c r="C41" s="2783" t="s">
        <v>645</v>
      </c>
      <c r="D41" s="2784"/>
      <c r="E41" s="2784"/>
      <c r="F41" s="1562"/>
      <c r="G41" s="229">
        <v>32</v>
      </c>
      <c r="H41" s="229">
        <v>30.4</v>
      </c>
      <c r="I41" s="193">
        <v>24.32</v>
      </c>
      <c r="J41" s="193">
        <v>34.799999999999997</v>
      </c>
      <c r="K41" s="193">
        <v>44.5</v>
      </c>
      <c r="L41" s="193"/>
      <c r="M41" s="3657"/>
      <c r="N41" s="2862">
        <f t="shared" si="1"/>
        <v>34.54</v>
      </c>
      <c r="O41" s="2841">
        <f t="shared" si="2"/>
        <v>0</v>
      </c>
      <c r="Q41" s="29"/>
      <c r="R41" s="29"/>
      <c r="S41" s="29"/>
      <c r="T41" s="29"/>
      <c r="U41" s="29"/>
      <c r="V41" s="29"/>
      <c r="W41" s="1472"/>
      <c r="X41" s="53"/>
      <c r="Z41" s="1462" t="s">
        <v>1425</v>
      </c>
      <c r="AA41" s="1464"/>
      <c r="AN41" s="227" t="s">
        <v>1543</v>
      </c>
    </row>
    <row r="42" spans="1:40" s="1438" customFormat="1" ht="9.6" hidden="1" customHeight="1">
      <c r="A42" s="2840">
        <f>ROWS($A$6:A42)</f>
        <v>37</v>
      </c>
      <c r="B42" s="543"/>
      <c r="C42" s="3182" t="s">
        <v>1006</v>
      </c>
      <c r="D42" s="3658"/>
      <c r="E42" s="3658"/>
      <c r="F42" s="3558"/>
      <c r="G42" s="3002">
        <v>4</v>
      </c>
      <c r="H42" s="3002">
        <v>4</v>
      </c>
      <c r="I42" s="3003">
        <v>4</v>
      </c>
      <c r="J42" s="3003">
        <v>4</v>
      </c>
      <c r="K42" s="3003">
        <v>4</v>
      </c>
      <c r="L42" s="3003">
        <v>4</v>
      </c>
      <c r="M42" s="3657"/>
      <c r="N42" s="2862">
        <f t="shared" si="1"/>
        <v>4</v>
      </c>
      <c r="O42" s="2841">
        <f t="shared" si="2"/>
        <v>0</v>
      </c>
      <c r="Q42" s="29"/>
      <c r="R42" s="29"/>
      <c r="S42" s="29"/>
      <c r="T42" s="29"/>
      <c r="U42" s="29"/>
      <c r="V42" s="29"/>
      <c r="W42" s="1472"/>
      <c r="X42" s="53"/>
      <c r="Z42" s="1462"/>
      <c r="AA42" s="1464"/>
      <c r="AN42" s="227" t="s">
        <v>1543</v>
      </c>
    </row>
    <row r="43" spans="1:40" s="1438" customFormat="1" ht="15.6" hidden="1" customHeight="1">
      <c r="A43" s="2840">
        <f>ROWS($A$6:A43)</f>
        <v>38</v>
      </c>
      <c r="B43" s="543"/>
      <c r="C43" s="2783"/>
      <c r="D43" s="2784"/>
      <c r="E43" s="2784"/>
      <c r="F43" s="1562"/>
      <c r="G43" s="229"/>
      <c r="H43" s="229"/>
      <c r="I43" s="193"/>
      <c r="J43" s="193"/>
      <c r="K43" s="193"/>
      <c r="L43" s="193"/>
      <c r="M43" s="3657"/>
      <c r="N43" s="2862" t="e">
        <f t="shared" si="1"/>
        <v>#NUM!</v>
      </c>
      <c r="O43" s="2841">
        <f t="shared" si="2"/>
        <v>0</v>
      </c>
      <c r="Q43" s="29"/>
      <c r="R43" s="29"/>
      <c r="S43" s="29"/>
      <c r="T43" s="29"/>
      <c r="U43" s="29"/>
      <c r="V43" s="29"/>
      <c r="W43" s="1472"/>
      <c r="X43" s="53"/>
      <c r="Z43" s="1462"/>
      <c r="AA43" s="1464"/>
      <c r="AN43" s="227"/>
    </row>
    <row r="44" spans="1:40" s="1438" customFormat="1">
      <c r="A44" s="2840">
        <f>ROWS($A$6:A44)</f>
        <v>39</v>
      </c>
      <c r="B44" s="543"/>
      <c r="C44" s="2783" t="s">
        <v>63</v>
      </c>
      <c r="D44" s="2784"/>
      <c r="E44" s="2784"/>
      <c r="F44" s="1562"/>
      <c r="G44" s="229">
        <v>59</v>
      </c>
      <c r="H44" s="229">
        <v>59.4</v>
      </c>
      <c r="I44" s="193">
        <v>87.26</v>
      </c>
      <c r="J44" s="193">
        <v>96</v>
      </c>
      <c r="K44" s="193">
        <v>106.3</v>
      </c>
      <c r="L44" s="193">
        <v>70.5</v>
      </c>
      <c r="M44" s="3657">
        <v>76</v>
      </c>
      <c r="N44" s="2862">
        <f t="shared" si="1"/>
        <v>86.42</v>
      </c>
      <c r="O44" s="2841">
        <f t="shared" si="2"/>
        <v>76</v>
      </c>
      <c r="Q44" s="29"/>
      <c r="R44" s="29"/>
      <c r="S44" s="29"/>
      <c r="T44" s="29"/>
      <c r="U44" s="29"/>
      <c r="V44" s="29"/>
      <c r="W44" s="1472"/>
      <c r="X44" s="53"/>
      <c r="Z44" s="3145" t="s">
        <v>1659</v>
      </c>
      <c r="AA44" s="3146" t="s">
        <v>1004</v>
      </c>
      <c r="AN44" s="227" t="s">
        <v>1543</v>
      </c>
    </row>
    <row r="45" spans="1:40" s="1438" customFormat="1" hidden="1">
      <c r="A45" s="2840">
        <f>ROWS($A$6:A45)</f>
        <v>40</v>
      </c>
      <c r="B45" s="543"/>
      <c r="C45" s="3182" t="s">
        <v>59</v>
      </c>
      <c r="D45" s="3658"/>
      <c r="E45" s="3658"/>
      <c r="F45" s="3558"/>
      <c r="G45" s="3002">
        <v>46</v>
      </c>
      <c r="H45" s="3002">
        <v>47.6</v>
      </c>
      <c r="I45" s="3003">
        <v>69.91</v>
      </c>
      <c r="J45" s="3003"/>
      <c r="K45" s="3003">
        <v>97.2</v>
      </c>
      <c r="L45" s="3003">
        <v>57.84</v>
      </c>
      <c r="M45" s="3657"/>
      <c r="N45" s="2862">
        <f t="shared" si="1"/>
        <v>74.983333333333334</v>
      </c>
      <c r="O45" s="2841">
        <f t="shared" si="2"/>
        <v>0</v>
      </c>
      <c r="Q45" s="29"/>
      <c r="R45" s="29"/>
      <c r="S45" s="29"/>
      <c r="T45" s="29"/>
      <c r="U45" s="29"/>
      <c r="V45" s="29"/>
      <c r="W45" s="1472"/>
      <c r="Z45" s="1462" t="s">
        <v>1430</v>
      </c>
      <c r="AA45" s="1463" t="s">
        <v>1004</v>
      </c>
      <c r="AN45" s="227" t="s">
        <v>1543</v>
      </c>
    </row>
    <row r="46" spans="1:40" s="1438" customFormat="1" ht="15" hidden="1" customHeight="1">
      <c r="A46" s="2840">
        <f>ROWS($A$6:A46)</f>
        <v>41</v>
      </c>
      <c r="B46" s="543"/>
      <c r="C46" s="2783"/>
      <c r="D46" s="2784"/>
      <c r="E46" s="2784"/>
      <c r="F46" s="1562"/>
      <c r="G46" s="229"/>
      <c r="H46" s="229"/>
      <c r="I46" s="193" t="e">
        <v>#N/A</v>
      </c>
      <c r="J46" s="193"/>
      <c r="K46" s="193"/>
      <c r="L46" s="193"/>
      <c r="M46" s="3657"/>
      <c r="N46" s="2862" t="e">
        <f t="shared" si="1"/>
        <v>#N/A</v>
      </c>
      <c r="O46" s="2841">
        <f t="shared" si="2"/>
        <v>0</v>
      </c>
      <c r="Q46" s="29"/>
      <c r="R46" s="29"/>
      <c r="S46" s="29"/>
      <c r="T46" s="29"/>
      <c r="U46" s="12"/>
      <c r="V46" s="29"/>
      <c r="W46" s="1472"/>
      <c r="Z46" s="1462"/>
      <c r="AA46" s="1464"/>
      <c r="AN46" s="227" t="s">
        <v>1543</v>
      </c>
    </row>
    <row r="47" spans="1:40" s="1438" customFormat="1" ht="15" hidden="1" customHeight="1">
      <c r="A47" s="2840">
        <f>ROWS($A$6:A47)</f>
        <v>42</v>
      </c>
      <c r="B47" s="543"/>
      <c r="C47" s="3659"/>
      <c r="D47" s="2784"/>
      <c r="E47" s="2784"/>
      <c r="F47" s="3469"/>
      <c r="G47" s="229"/>
      <c r="H47" s="229"/>
      <c r="I47" s="193" t="e">
        <v>#N/A</v>
      </c>
      <c r="J47" s="193"/>
      <c r="K47" s="193"/>
      <c r="L47" s="193"/>
      <c r="M47" s="3657"/>
      <c r="N47" s="2862" t="e">
        <f t="shared" si="1"/>
        <v>#N/A</v>
      </c>
      <c r="O47" s="2841">
        <f t="shared" si="2"/>
        <v>0</v>
      </c>
      <c r="Q47" s="29"/>
      <c r="R47" s="29"/>
      <c r="S47" s="29"/>
      <c r="T47" s="29"/>
      <c r="U47" s="29"/>
      <c r="V47" s="29"/>
      <c r="W47" s="1472"/>
      <c r="Z47" s="1462"/>
      <c r="AA47" s="1464"/>
      <c r="AN47" s="227" t="s">
        <v>1543</v>
      </c>
    </row>
    <row r="48" spans="1:40" s="1438" customFormat="1" ht="9.6" hidden="1" customHeight="1">
      <c r="A48" s="2840">
        <f>ROWS($A$6:A48)</f>
        <v>43</v>
      </c>
      <c r="B48" s="543"/>
      <c r="C48" s="3659"/>
      <c r="D48" s="2784"/>
      <c r="E48" s="2784"/>
      <c r="F48" s="3469"/>
      <c r="G48" s="229"/>
      <c r="H48" s="229"/>
      <c r="I48" s="193" t="e">
        <v>#N/A</v>
      </c>
      <c r="J48" s="193"/>
      <c r="K48" s="193"/>
      <c r="L48" s="193"/>
      <c r="M48" s="3657"/>
      <c r="N48" s="2862" t="e">
        <f t="shared" si="1"/>
        <v>#N/A</v>
      </c>
      <c r="O48" s="2841">
        <f t="shared" si="2"/>
        <v>0</v>
      </c>
      <c r="Q48" s="29"/>
      <c r="R48" s="29"/>
      <c r="S48" s="29"/>
      <c r="T48" s="29"/>
      <c r="U48" s="29"/>
      <c r="V48" s="29"/>
      <c r="W48" s="1472"/>
      <c r="Z48" s="61"/>
      <c r="AA48" s="1457"/>
      <c r="AN48" s="227" t="s">
        <v>1543</v>
      </c>
    </row>
    <row r="49" spans="1:40" s="1438" customFormat="1" ht="15" customHeight="1">
      <c r="A49" s="2840">
        <f>ROWS($A$6:A49)</f>
        <v>44</v>
      </c>
      <c r="B49" s="543"/>
      <c r="C49" s="2850" t="s">
        <v>1657</v>
      </c>
      <c r="D49" s="2784"/>
      <c r="E49" s="2784"/>
      <c r="F49" s="3469"/>
      <c r="G49" s="229">
        <v>15</v>
      </c>
      <c r="H49" s="229">
        <v>15</v>
      </c>
      <c r="I49" s="193">
        <v>15</v>
      </c>
      <c r="J49" s="193">
        <v>15</v>
      </c>
      <c r="K49" s="193">
        <v>15</v>
      </c>
      <c r="L49" s="193">
        <v>15</v>
      </c>
      <c r="M49" s="3657">
        <v>15</v>
      </c>
      <c r="N49" s="2862">
        <f t="shared" si="1"/>
        <v>15</v>
      </c>
      <c r="O49" s="2841">
        <f t="shared" si="2"/>
        <v>15</v>
      </c>
      <c r="Q49" s="29"/>
      <c r="R49" s="29"/>
      <c r="S49" s="29"/>
      <c r="T49" s="29"/>
      <c r="U49" s="29"/>
      <c r="V49" s="29"/>
      <c r="W49" s="1472"/>
      <c r="Z49" s="3145" t="s">
        <v>1659</v>
      </c>
      <c r="AA49" s="54"/>
      <c r="AN49" s="227" t="s">
        <v>1543</v>
      </c>
    </row>
    <row r="50" spans="1:40" s="1438" customFormat="1" hidden="1">
      <c r="A50" s="2840">
        <f>ROWS($A$6:A50)</f>
        <v>45</v>
      </c>
      <c r="B50" s="543"/>
      <c r="C50" s="3182" t="s">
        <v>891</v>
      </c>
      <c r="D50" s="3658"/>
      <c r="E50" s="3658"/>
      <c r="F50" s="3558"/>
      <c r="G50" s="3002">
        <v>31</v>
      </c>
      <c r="H50" s="3002">
        <v>31</v>
      </c>
      <c r="I50" s="3003">
        <v>24.32</v>
      </c>
      <c r="J50" s="3003">
        <v>35.200000000000003</v>
      </c>
      <c r="K50" s="3003">
        <v>43.6</v>
      </c>
      <c r="L50" s="3003">
        <v>28.9</v>
      </c>
      <c r="M50" s="3657"/>
      <c r="N50" s="2862">
        <f t="shared" si="1"/>
        <v>33.005000000000003</v>
      </c>
      <c r="O50" s="2841">
        <f t="shared" si="2"/>
        <v>0</v>
      </c>
      <c r="Q50" s="29"/>
      <c r="R50" s="29"/>
      <c r="S50" s="29"/>
      <c r="T50" s="29"/>
      <c r="U50" s="29"/>
      <c r="V50" s="29"/>
      <c r="W50" s="1472"/>
      <c r="Z50" s="1462" t="s">
        <v>1005</v>
      </c>
      <c r="AA50" s="1463" t="s">
        <v>1004</v>
      </c>
      <c r="AB50" s="1379"/>
      <c r="AC50" s="1379"/>
      <c r="AD50" s="1379"/>
      <c r="AE50" s="1379"/>
      <c r="AF50" s="1379"/>
      <c r="AG50" s="1379"/>
      <c r="AH50" s="1379"/>
      <c r="AI50" s="1379"/>
      <c r="AN50" s="227"/>
    </row>
    <row r="51" spans="1:40" s="1438" customFormat="1" ht="8.4" hidden="1" customHeight="1">
      <c r="A51" s="2840">
        <f>ROWS($A$6:A51)</f>
        <v>46</v>
      </c>
      <c r="B51" s="543"/>
      <c r="C51" s="3659"/>
      <c r="D51" s="2784"/>
      <c r="E51" s="2784"/>
      <c r="F51" s="3559"/>
      <c r="G51" s="3560"/>
      <c r="H51" s="2501"/>
      <c r="I51" s="2782" t="e">
        <v>#N/A</v>
      </c>
      <c r="J51" s="2782"/>
      <c r="K51" s="193"/>
      <c r="L51" s="193"/>
      <c r="M51" s="3657"/>
      <c r="N51" s="2862" t="e">
        <f t="shared" si="1"/>
        <v>#N/A</v>
      </c>
      <c r="O51" s="2841">
        <f t="shared" si="2"/>
        <v>0</v>
      </c>
      <c r="Q51" s="29"/>
      <c r="R51" s="29"/>
      <c r="S51" s="29"/>
      <c r="T51" s="29"/>
      <c r="U51" s="29"/>
      <c r="V51" s="29"/>
      <c r="W51" s="1472"/>
      <c r="X51" s="53"/>
      <c r="Z51" s="61"/>
      <c r="AA51" s="1457"/>
      <c r="AB51" s="1379"/>
      <c r="AC51" s="1379"/>
      <c r="AD51" s="1379"/>
      <c r="AE51" s="1379"/>
      <c r="AF51" s="1379"/>
      <c r="AG51" s="1379"/>
      <c r="AH51" s="1379"/>
      <c r="AI51" s="1379"/>
      <c r="AN51" s="227"/>
    </row>
    <row r="52" spans="1:40" s="1438" customFormat="1" ht="17.399999999999999">
      <c r="A52" s="2840">
        <f>ROWS($A$6:A52)</f>
        <v>47</v>
      </c>
      <c r="B52" s="4"/>
      <c r="C52" s="2783" t="s">
        <v>1658</v>
      </c>
      <c r="D52" s="2784"/>
      <c r="E52" s="2784"/>
      <c r="F52" s="1562"/>
      <c r="G52" s="229">
        <v>13</v>
      </c>
      <c r="H52" s="229">
        <v>13</v>
      </c>
      <c r="I52" s="193">
        <v>10</v>
      </c>
      <c r="J52" s="193">
        <v>12</v>
      </c>
      <c r="K52" s="193">
        <v>12</v>
      </c>
      <c r="L52" s="193">
        <v>12</v>
      </c>
      <c r="M52" s="3657">
        <v>12</v>
      </c>
      <c r="N52" s="2862">
        <f t="shared" si="1"/>
        <v>12</v>
      </c>
      <c r="O52" s="2841">
        <f t="shared" si="2"/>
        <v>12</v>
      </c>
      <c r="Q52" s="29"/>
      <c r="R52" s="29"/>
      <c r="S52" s="29"/>
      <c r="T52" s="29"/>
      <c r="U52" s="29"/>
      <c r="V52" s="29"/>
      <c r="W52" s="1472"/>
      <c r="X52" s="53"/>
      <c r="Z52" s="3145" t="s">
        <v>1659</v>
      </c>
      <c r="AA52" s="1454"/>
      <c r="AB52" s="1379"/>
      <c r="AC52" s="1379"/>
      <c r="AD52" s="1379"/>
      <c r="AE52" s="1379"/>
      <c r="AF52" s="1379"/>
      <c r="AG52" s="1379"/>
      <c r="AH52" s="1379"/>
      <c r="AI52" s="1379"/>
      <c r="AN52" s="227"/>
    </row>
    <row r="53" spans="1:40">
      <c r="A53" s="2840"/>
    </row>
    <row r="54" spans="1:40" s="1438" customFormat="1" ht="48">
      <c r="A54" s="2840">
        <f>ROWS($A$6:A54)</f>
        <v>49</v>
      </c>
      <c r="B54" s="2411" t="s">
        <v>1645</v>
      </c>
      <c r="C54" s="2412"/>
      <c r="D54" s="2398"/>
      <c r="E54" s="2398"/>
      <c r="F54" s="2400"/>
      <c r="G54" s="2398"/>
      <c r="H54" s="2398"/>
      <c r="I54" s="2398"/>
      <c r="J54" s="2398"/>
      <c r="K54" s="2398"/>
      <c r="L54" s="2398"/>
      <c r="M54" s="2398"/>
      <c r="N54" s="3482" t="s">
        <v>1738</v>
      </c>
      <c r="O54" s="2435" t="str">
        <f>IF(AM5=1,"mit MwSt.","ohne MwSt.")</f>
        <v>ohne MwSt.</v>
      </c>
      <c r="Q54" s="29"/>
      <c r="R54" s="29"/>
      <c r="S54" s="29"/>
      <c r="T54" s="29"/>
      <c r="U54" s="29"/>
      <c r="V54" s="29"/>
      <c r="Z54" s="61"/>
      <c r="AA54" s="1379"/>
      <c r="AB54" s="1443"/>
      <c r="AC54" s="1443"/>
      <c r="AD54" s="1443"/>
      <c r="AE54" s="1443"/>
      <c r="AF54" s="1443"/>
      <c r="AG54" s="1443"/>
      <c r="AH54" s="1"/>
      <c r="AI54" s="1"/>
    </row>
    <row r="55" spans="1:40" s="1438" customFormat="1" ht="15.6" customHeight="1">
      <c r="A55" s="2840">
        <f>ROWS($A$6:A55)</f>
        <v>50</v>
      </c>
      <c r="B55" s="2397"/>
      <c r="C55" s="2399" t="s">
        <v>238</v>
      </c>
      <c r="D55" s="2398"/>
      <c r="E55" s="2398"/>
      <c r="F55" s="2400"/>
      <c r="G55" s="3616">
        <v>2018</v>
      </c>
      <c r="H55" s="3616">
        <v>2019</v>
      </c>
      <c r="I55" s="3616">
        <v>2020</v>
      </c>
      <c r="J55" s="3617">
        <v>2021</v>
      </c>
      <c r="K55" s="211">
        <v>2022</v>
      </c>
      <c r="L55" s="211">
        <v>2023</v>
      </c>
      <c r="M55" s="211">
        <v>2024</v>
      </c>
      <c r="N55" s="3618" t="s">
        <v>1749</v>
      </c>
      <c r="O55" s="2414">
        <f>O11/100</f>
        <v>0</v>
      </c>
      <c r="Q55" s="29"/>
      <c r="R55" s="29"/>
      <c r="S55" s="29"/>
      <c r="T55" s="29"/>
      <c r="U55" s="29"/>
      <c r="V55" s="29"/>
      <c r="Z55" s="1455"/>
      <c r="AA55" s="1454"/>
      <c r="AB55" s="1379"/>
      <c r="AC55" s="1379"/>
      <c r="AD55" s="1379"/>
      <c r="AE55" s="1379"/>
      <c r="AF55" s="1379"/>
      <c r="AG55" s="1379"/>
      <c r="AH55" s="1379"/>
      <c r="AI55" s="1379"/>
    </row>
    <row r="56" spans="1:40" s="1438" customFormat="1" ht="15.6" customHeight="1">
      <c r="A56" s="2840">
        <f>ROWS($A$6:A56)</f>
        <v>51</v>
      </c>
      <c r="B56" s="2415"/>
      <c r="C56" s="2416" t="s">
        <v>237</v>
      </c>
      <c r="D56" s="2416"/>
      <c r="E56" s="2416" t="s">
        <v>236</v>
      </c>
      <c r="F56" s="2417"/>
      <c r="G56" s="193">
        <v>3.25</v>
      </c>
      <c r="H56" s="192">
        <v>3.25</v>
      </c>
      <c r="I56" s="192">
        <v>4.3</v>
      </c>
      <c r="J56" s="2863">
        <v>4.3</v>
      </c>
      <c r="K56" s="193">
        <v>5</v>
      </c>
      <c r="L56" s="193">
        <v>4.5</v>
      </c>
      <c r="M56" s="193">
        <v>5.18</v>
      </c>
      <c r="N56" s="2862">
        <f>TRIMMEAN(I56:M56,0.4)</f>
        <v>4.6000000000000005</v>
      </c>
      <c r="O56" s="2418">
        <f>HLOOKUP($O$6,$G$6:$N$58,A56)*(100+$O$11)/100</f>
        <v>5.18</v>
      </c>
      <c r="Q56" s="29"/>
      <c r="R56" s="29"/>
      <c r="S56" s="29"/>
      <c r="T56" s="29"/>
      <c r="U56" s="29"/>
      <c r="V56" s="29"/>
      <c r="Z56" s="1455"/>
      <c r="AA56" s="1454"/>
      <c r="AB56" s="1443"/>
      <c r="AC56" s="1443"/>
      <c r="AD56" s="1443"/>
      <c r="AE56" s="1443"/>
      <c r="AF56" s="1443"/>
      <c r="AG56" s="1443"/>
      <c r="AH56" s="1443"/>
      <c r="AI56" s="1"/>
    </row>
    <row r="57" spans="1:40" s="1438" customFormat="1" ht="15.6" customHeight="1">
      <c r="A57" s="2840">
        <f>ROWS($A$6:A57)</f>
        <v>52</v>
      </c>
      <c r="B57" s="543"/>
      <c r="C57" s="54" t="s">
        <v>1024</v>
      </c>
      <c r="D57" s="54"/>
      <c r="E57" s="54" t="s">
        <v>234</v>
      </c>
      <c r="F57" s="9"/>
      <c r="G57" s="193">
        <v>1.27</v>
      </c>
      <c r="H57" s="192">
        <v>1.27</v>
      </c>
      <c r="I57" s="192">
        <v>1.4</v>
      </c>
      <c r="J57" s="194">
        <v>1.4</v>
      </c>
      <c r="K57" s="193">
        <v>1.4</v>
      </c>
      <c r="L57" s="193">
        <v>1.4</v>
      </c>
      <c r="M57" s="193">
        <v>1.42</v>
      </c>
      <c r="N57" s="2862">
        <f>TRIMMEAN(I57:M57,0.4)</f>
        <v>1.3999999999999997</v>
      </c>
      <c r="O57" s="2418">
        <f>HLOOKUP($O$6,$G$6:$N$58,A57)*(100+$O$11)/100</f>
        <v>1.42</v>
      </c>
      <c r="Q57" s="29"/>
      <c r="R57" s="29"/>
      <c r="S57" s="29"/>
      <c r="T57" s="29"/>
      <c r="U57" s="29"/>
      <c r="V57" s="29"/>
      <c r="W57" s="29"/>
      <c r="X57" s="29"/>
      <c r="Y57" s="29"/>
      <c r="Z57" s="1455"/>
      <c r="AA57" s="1454"/>
      <c r="AB57" s="1443"/>
      <c r="AC57" s="1443"/>
      <c r="AD57" s="1443"/>
      <c r="AE57" s="1443"/>
      <c r="AF57" s="1443"/>
      <c r="AG57" s="1443"/>
      <c r="AH57" s="1443"/>
      <c r="AI57" s="1"/>
    </row>
    <row r="58" spans="1:40" s="1438" customFormat="1" ht="15.6" customHeight="1">
      <c r="A58" s="1448">
        <f>ROWS($A$6:A58)</f>
        <v>53</v>
      </c>
      <c r="B58" s="543"/>
      <c r="C58" s="54" t="s">
        <v>233</v>
      </c>
      <c r="D58" s="54"/>
      <c r="E58" s="54" t="s">
        <v>232</v>
      </c>
      <c r="F58" s="9"/>
      <c r="G58" s="193">
        <v>1.1499999999999999</v>
      </c>
      <c r="H58" s="192">
        <v>1.1499999999999999</v>
      </c>
      <c r="I58" s="192">
        <v>1.4</v>
      </c>
      <c r="J58" s="194">
        <v>1.4</v>
      </c>
      <c r="K58" s="193">
        <v>1.4</v>
      </c>
      <c r="L58" s="193">
        <v>1.4</v>
      </c>
      <c r="M58" s="193">
        <v>1.78</v>
      </c>
      <c r="N58" s="2862">
        <f>TRIMMEAN(I58:M58,0.4)</f>
        <v>1.3999999999999997</v>
      </c>
      <c r="O58" s="2418">
        <f>HLOOKUP($O$6,$G$6:$N$59,A58)*(100+$O$11)/100</f>
        <v>1.78</v>
      </c>
      <c r="Q58" s="29"/>
      <c r="R58" s="29"/>
      <c r="S58" s="29"/>
      <c r="T58" s="29"/>
      <c r="U58" s="29"/>
      <c r="V58" s="29"/>
      <c r="W58" s="29"/>
      <c r="X58" s="29"/>
      <c r="Y58" s="29"/>
      <c r="Z58" s="1452"/>
      <c r="AA58" s="1451"/>
      <c r="AB58" s="1443"/>
      <c r="AC58" s="1443"/>
      <c r="AD58" s="1443"/>
      <c r="AE58" s="1443"/>
      <c r="AF58" s="1443"/>
      <c r="AG58" s="1443"/>
      <c r="AH58" s="1443"/>
      <c r="AI58" s="1"/>
    </row>
    <row r="59" spans="1:40" s="1438" customFormat="1" ht="15.6" hidden="1" customHeight="1">
      <c r="A59" s="1448">
        <f>ROWS($A$6:A59)</f>
        <v>54</v>
      </c>
      <c r="B59" s="54"/>
      <c r="C59" s="3000" t="s">
        <v>231</v>
      </c>
      <c r="D59" s="3000"/>
      <c r="E59" s="3000" t="s">
        <v>230</v>
      </c>
      <c r="F59" s="3219"/>
      <c r="G59" s="3184">
        <v>0.5</v>
      </c>
      <c r="H59" s="3003">
        <v>0.5</v>
      </c>
      <c r="I59" s="3184">
        <v>0.5</v>
      </c>
      <c r="J59" s="3184">
        <v>0.5</v>
      </c>
      <c r="K59" s="3184">
        <v>0.5</v>
      </c>
      <c r="L59" s="3003">
        <v>0.5</v>
      </c>
      <c r="M59" s="3003">
        <v>0.5</v>
      </c>
      <c r="N59" s="3003">
        <v>0.5</v>
      </c>
      <c r="O59" s="3623">
        <f t="shared" ref="O59" si="3">TRIMMEAN(J59:N59,0.4)</f>
        <v>0.5</v>
      </c>
      <c r="P59" s="3220">
        <f>HLOOKUP($O$6,$G$6:$O$59,A59)*(100+$O$11)/100</f>
        <v>0.5</v>
      </c>
      <c r="Q59" s="29"/>
      <c r="R59" s="29"/>
      <c r="S59" s="29"/>
      <c r="T59" s="29"/>
      <c r="U59" s="29"/>
      <c r="V59" s="29"/>
      <c r="W59" s="29"/>
      <c r="X59" s="29"/>
      <c r="Y59" s="29"/>
      <c r="Z59" s="1450"/>
      <c r="AA59" s="1449"/>
      <c r="AB59" s="1441"/>
      <c r="AC59" s="1441"/>
      <c r="AD59" s="1441"/>
      <c r="AE59" s="1441"/>
      <c r="AF59" s="1441"/>
      <c r="AG59" s="1441"/>
      <c r="AH59" s="1441"/>
      <c r="AI59" s="1441"/>
    </row>
    <row r="60" spans="1:40" s="1438" customFormat="1" ht="15.6" customHeight="1">
      <c r="A60" s="1448">
        <f>ROWS($A$6:A60)</f>
        <v>55</v>
      </c>
      <c r="Q60" s="29"/>
      <c r="R60" s="29"/>
      <c r="S60" s="29"/>
      <c r="T60" s="29"/>
      <c r="U60" s="29"/>
      <c r="V60" s="29"/>
      <c r="W60" s="29"/>
      <c r="X60" s="29"/>
      <c r="Y60" s="29"/>
    </row>
    <row r="61" spans="1:40" s="1438" customFormat="1" ht="20.25" hidden="1" customHeight="1">
      <c r="A61" s="1448">
        <f>ROWS($A$6:A61)</f>
        <v>56</v>
      </c>
      <c r="Q61" s="29"/>
      <c r="R61" s="29"/>
      <c r="S61" s="29"/>
      <c r="T61" s="29"/>
      <c r="U61" s="29"/>
      <c r="V61" s="29"/>
      <c r="W61" s="29"/>
      <c r="X61" s="29"/>
      <c r="Y61" s="29"/>
      <c r="Z61" s="29"/>
      <c r="AA61" s="29"/>
      <c r="AB61" s="29"/>
      <c r="AC61" s="29"/>
      <c r="AG61" s="1445"/>
    </row>
    <row r="62" spans="1:40" s="1438" customFormat="1" ht="15.6" hidden="1" customHeight="1">
      <c r="A62" s="1448">
        <f>ROWS($A$6:A62)</f>
        <v>57</v>
      </c>
      <c r="Q62" s="29"/>
      <c r="R62" s="29"/>
      <c r="S62" s="29"/>
      <c r="T62" s="29"/>
      <c r="U62" s="29"/>
      <c r="V62" s="29"/>
      <c r="W62" s="29"/>
      <c r="X62" s="29"/>
      <c r="Y62" s="29"/>
      <c r="Z62" s="29"/>
      <c r="AA62" s="29"/>
      <c r="AB62" s="29"/>
      <c r="AC62" s="29"/>
      <c r="AG62" s="1445"/>
    </row>
    <row r="63" spans="1:40" s="1438" customFormat="1" ht="15.6" hidden="1" customHeight="1">
      <c r="A63" s="1448">
        <f>ROWS($A$6:A63)</f>
        <v>58</v>
      </c>
      <c r="Q63" s="29"/>
      <c r="R63" s="29"/>
      <c r="S63" s="29"/>
      <c r="T63" s="29"/>
      <c r="U63" s="29"/>
      <c r="V63" s="29"/>
      <c r="W63" s="29"/>
      <c r="X63" s="29"/>
      <c r="Y63" s="29"/>
      <c r="Z63" s="29"/>
      <c r="AA63" s="29"/>
      <c r="AB63" s="29"/>
      <c r="AC63" s="29"/>
      <c r="AG63" s="1445"/>
    </row>
    <row r="64" spans="1:40" s="1438" customFormat="1" ht="15" hidden="1" customHeight="1">
      <c r="A64" s="1448">
        <f>ROWS($A$6:A64)</f>
        <v>59</v>
      </c>
      <c r="Q64" s="29"/>
      <c r="R64" s="29"/>
      <c r="S64" s="29"/>
      <c r="T64" s="29"/>
      <c r="U64" s="29"/>
      <c r="V64" s="29"/>
      <c r="W64" s="29"/>
      <c r="X64" s="29"/>
      <c r="Y64" s="29"/>
      <c r="Z64" s="29"/>
      <c r="AA64" s="29"/>
      <c r="AB64" s="29"/>
      <c r="AC64" s="29"/>
      <c r="AG64" s="1445"/>
    </row>
    <row r="65" spans="1:34" s="1438" customFormat="1" ht="15.6" hidden="1" customHeight="1">
      <c r="A65" s="1448">
        <f>ROWS($A$6:A65)</f>
        <v>60</v>
      </c>
      <c r="Q65" s="29"/>
      <c r="R65" s="29"/>
      <c r="S65" s="29"/>
      <c r="T65" s="29"/>
      <c r="U65" s="29"/>
      <c r="V65" s="29"/>
      <c r="W65" s="29"/>
      <c r="X65" s="29"/>
      <c r="Y65" s="29"/>
      <c r="Z65" s="29"/>
      <c r="AA65" s="29"/>
      <c r="AB65" s="29"/>
      <c r="AC65" s="29"/>
      <c r="AG65" s="1445"/>
    </row>
    <row r="66" spans="1:34" s="1438" customFormat="1" ht="15.6" hidden="1" customHeight="1">
      <c r="A66" s="1448">
        <f>ROWS($A$6:A66)</f>
        <v>61</v>
      </c>
      <c r="Q66" s="29"/>
      <c r="R66" s="29"/>
      <c r="S66" s="29"/>
      <c r="T66" s="29"/>
      <c r="U66" s="29"/>
      <c r="V66" s="29"/>
      <c r="W66" s="29"/>
      <c r="X66" s="29"/>
      <c r="Y66" s="29"/>
      <c r="Z66" s="29"/>
      <c r="AA66" s="29"/>
      <c r="AB66" s="29"/>
      <c r="AC66" s="29"/>
      <c r="AG66" s="1445"/>
    </row>
    <row r="67" spans="1:34" s="1438" customFormat="1" ht="15" hidden="1" customHeight="1">
      <c r="A67" s="1448">
        <f>ROWS($A$6:A67)</f>
        <v>62</v>
      </c>
      <c r="K67" s="2469"/>
      <c r="L67" s="2780"/>
      <c r="M67" s="2995"/>
      <c r="N67" s="2989"/>
      <c r="O67" s="1441"/>
      <c r="P67" s="1441"/>
      <c r="Q67" s="29"/>
      <c r="R67" s="29"/>
      <c r="S67" s="29"/>
      <c r="T67" s="29"/>
      <c r="U67" s="29"/>
      <c r="V67" s="29"/>
      <c r="W67" s="29"/>
      <c r="X67" s="29"/>
      <c r="Y67" s="29"/>
      <c r="Z67" s="29"/>
      <c r="AA67" s="29"/>
      <c r="AB67" s="29"/>
      <c r="AC67" s="29"/>
      <c r="AG67" s="1445"/>
    </row>
    <row r="68" spans="1:34" s="1379" customFormat="1" ht="15.6" customHeight="1">
      <c r="A68" s="1448">
        <f>ROWS($A$6:A68)</f>
        <v>63</v>
      </c>
      <c r="B68" s="2469"/>
      <c r="C68" s="2469"/>
      <c r="D68" s="2469"/>
      <c r="E68" s="2469"/>
      <c r="F68" s="2469"/>
      <c r="G68" s="2469"/>
      <c r="H68" s="2469"/>
      <c r="I68" s="2469"/>
      <c r="J68" s="2469"/>
      <c r="K68" s="2469"/>
      <c r="L68" s="2780"/>
      <c r="M68" s="2995"/>
      <c r="N68" s="2989"/>
      <c r="O68" s="2457"/>
      <c r="P68" s="1441"/>
      <c r="Q68" s="29"/>
      <c r="R68" s="29"/>
      <c r="S68" s="29"/>
      <c r="T68" s="29"/>
      <c r="U68" s="29"/>
      <c r="V68" s="29"/>
      <c r="W68" s="29"/>
      <c r="X68" s="29"/>
      <c r="Y68" s="29"/>
      <c r="Z68" s="29"/>
      <c r="AA68" s="29"/>
      <c r="AB68" s="29"/>
      <c r="AC68" s="29"/>
      <c r="AG68" s="1458"/>
    </row>
    <row r="69" spans="1:34" s="1379" customFormat="1" ht="15.6" customHeight="1">
      <c r="A69" s="1448">
        <f>ROWS($A$6:A69)</f>
        <v>64</v>
      </c>
      <c r="G69" s="1431"/>
      <c r="H69" s="1431"/>
      <c r="I69" s="1431"/>
      <c r="J69" s="1431"/>
      <c r="K69" s="1431"/>
      <c r="L69" s="1431"/>
      <c r="M69" s="1431"/>
      <c r="N69" s="1431"/>
      <c r="Q69" s="29"/>
      <c r="R69" s="29"/>
      <c r="S69" s="29"/>
      <c r="T69" s="29"/>
      <c r="U69" s="29"/>
      <c r="V69" s="29"/>
      <c r="W69" s="29"/>
      <c r="X69" s="29"/>
      <c r="Y69" s="29"/>
      <c r="Z69" s="29"/>
      <c r="AA69" s="29"/>
      <c r="AB69" s="29"/>
      <c r="AC69" s="29"/>
      <c r="AG69" s="1458"/>
    </row>
    <row r="70" spans="1:34" s="1379" customFormat="1" ht="36" customHeight="1">
      <c r="A70" s="1448">
        <f>ROWS($A$6:A70)</f>
        <v>65</v>
      </c>
      <c r="B70" s="2411" t="s">
        <v>229</v>
      </c>
      <c r="C70" s="2412"/>
      <c r="D70" s="2412"/>
      <c r="E70" s="2412"/>
      <c r="F70" s="2422"/>
      <c r="G70" s="3557"/>
      <c r="H70" s="3557"/>
      <c r="I70" s="3557"/>
      <c r="J70" s="3557"/>
      <c r="K70" s="3557"/>
      <c r="L70" s="3557"/>
      <c r="M70" s="3557"/>
      <c r="N70" s="3482" t="s">
        <v>1738</v>
      </c>
      <c r="O70" s="2841"/>
      <c r="P70" s="29"/>
      <c r="Q70" s="29"/>
      <c r="R70" s="29"/>
      <c r="S70" s="29"/>
      <c r="T70" s="29"/>
      <c r="U70" s="29"/>
      <c r="V70" s="29"/>
      <c r="W70" s="29"/>
      <c r="X70" s="29"/>
      <c r="Y70" s="29"/>
      <c r="Z70" s="29"/>
      <c r="AA70" s="29"/>
      <c r="AB70" s="29"/>
      <c r="AC70" s="29"/>
      <c r="AG70" s="1458"/>
    </row>
    <row r="71" spans="1:34" s="1" customFormat="1" ht="15.6" customHeight="1">
      <c r="A71" s="1448">
        <f>ROWS($A$6:A71)</f>
        <v>66</v>
      </c>
      <c r="B71" s="2520"/>
      <c r="C71" s="2404"/>
      <c r="D71" s="2404"/>
      <c r="E71" s="2404"/>
      <c r="F71" s="2405"/>
      <c r="G71" s="3616">
        <v>2018</v>
      </c>
      <c r="H71" s="3616">
        <v>2019</v>
      </c>
      <c r="I71" s="3616">
        <v>2020</v>
      </c>
      <c r="J71" s="3617">
        <v>2021</v>
      </c>
      <c r="K71" s="211">
        <v>2022</v>
      </c>
      <c r="L71" s="211">
        <v>2023</v>
      </c>
      <c r="M71" s="211">
        <v>2024</v>
      </c>
      <c r="N71" s="211" t="s">
        <v>1749</v>
      </c>
      <c r="O71" s="2521"/>
      <c r="Q71" s="29"/>
      <c r="R71" s="29"/>
      <c r="S71" s="29"/>
      <c r="T71" s="29"/>
      <c r="U71" s="29"/>
      <c r="V71" s="29"/>
      <c r="W71" s="29"/>
      <c r="X71" s="29"/>
      <c r="Y71" s="29"/>
      <c r="Z71" s="29"/>
      <c r="AA71" s="29"/>
      <c r="AB71" s="29"/>
      <c r="AC71" s="29"/>
      <c r="AD71" s="1443"/>
      <c r="AE71" s="1443"/>
      <c r="AF71" s="1443"/>
      <c r="AG71" s="1456"/>
      <c r="AH71" s="1443"/>
    </row>
    <row r="72" spans="1:34" s="1" customFormat="1" ht="19.95" customHeight="1">
      <c r="A72" s="1448">
        <f>ROWS($A$6:A72)</f>
        <v>67</v>
      </c>
      <c r="B72" s="20"/>
      <c r="C72" s="54" t="s">
        <v>228</v>
      </c>
      <c r="D72" s="54"/>
      <c r="E72" s="54"/>
      <c r="F72" s="19"/>
      <c r="G72" s="192">
        <v>2</v>
      </c>
      <c r="H72" s="194">
        <v>1.5</v>
      </c>
      <c r="I72" s="229">
        <v>1.5</v>
      </c>
      <c r="J72" s="229">
        <v>1.5</v>
      </c>
      <c r="K72" s="229">
        <v>1.5</v>
      </c>
      <c r="L72" s="193"/>
      <c r="M72" s="193">
        <v>2</v>
      </c>
      <c r="N72" s="2862">
        <f>AVERAGE(I72:M72)</f>
        <v>1.625</v>
      </c>
      <c r="O72" s="2418">
        <f>HLOOKUP($O$6,$G$6:$N$74,A72)*(100+$O$11)/100</f>
        <v>2</v>
      </c>
      <c r="Q72" s="29"/>
      <c r="R72" s="29"/>
      <c r="S72" s="29"/>
      <c r="T72" s="29"/>
      <c r="U72" s="29"/>
      <c r="V72" s="29"/>
      <c r="W72" s="29"/>
      <c r="X72" s="29"/>
      <c r="Y72" s="29"/>
      <c r="Z72" s="29"/>
      <c r="AA72" s="29"/>
      <c r="AB72" s="29"/>
      <c r="AC72" s="1443"/>
      <c r="AD72" s="1443"/>
      <c r="AE72" s="1443"/>
      <c r="AF72" s="1456"/>
      <c r="AG72" s="1443"/>
      <c r="AH72" s="1443"/>
    </row>
    <row r="73" spans="1:34" s="1379" customFormat="1" ht="15.6" customHeight="1">
      <c r="A73" s="1448">
        <f>ROWS($A$6:A73)</f>
        <v>68</v>
      </c>
      <c r="B73" s="543"/>
      <c r="C73" s="54" t="s">
        <v>227</v>
      </c>
      <c r="D73" s="54"/>
      <c r="E73" s="54"/>
      <c r="F73" s="9"/>
      <c r="G73" s="192">
        <v>2</v>
      </c>
      <c r="H73" s="194">
        <v>1.5</v>
      </c>
      <c r="I73" s="229">
        <v>1.5</v>
      </c>
      <c r="J73" s="229">
        <v>1.5</v>
      </c>
      <c r="K73" s="229">
        <v>1.5</v>
      </c>
      <c r="L73" s="193"/>
      <c r="M73" s="193">
        <v>2</v>
      </c>
      <c r="N73" s="2862">
        <f t="shared" ref="N73:N74" si="4">AVERAGE(I73:M73)</f>
        <v>1.625</v>
      </c>
      <c r="O73" s="2841">
        <f t="shared" ref="O73:O74" si="5">HLOOKUP($O$6,$G$6:$N$74,A73)*(100+$O$11)/100</f>
        <v>2</v>
      </c>
      <c r="Q73" s="25"/>
      <c r="R73" s="29"/>
      <c r="S73" s="29"/>
      <c r="T73" s="29"/>
      <c r="U73" s="29"/>
      <c r="V73" s="29"/>
      <c r="W73" s="29"/>
      <c r="X73" s="29"/>
      <c r="Y73" s="29"/>
      <c r="Z73" s="29"/>
      <c r="AA73" s="29"/>
      <c r="AB73" s="29"/>
      <c r="AF73" s="1458"/>
    </row>
    <row r="74" spans="1:34" s="1" customFormat="1" ht="21.15" customHeight="1">
      <c r="A74" s="1448">
        <f>ROWS($A$6:A74)</f>
        <v>69</v>
      </c>
      <c r="B74" s="3360"/>
      <c r="C74" s="867" t="s">
        <v>226</v>
      </c>
      <c r="D74" s="867"/>
      <c r="E74" s="867"/>
      <c r="F74" s="655"/>
      <c r="G74" s="3362">
        <v>3</v>
      </c>
      <c r="H74" s="2855">
        <v>2.5</v>
      </c>
      <c r="I74" s="2857">
        <v>2.5</v>
      </c>
      <c r="J74" s="2857">
        <v>2.5</v>
      </c>
      <c r="K74" s="2857">
        <v>2.5</v>
      </c>
      <c r="L74" s="3361"/>
      <c r="M74" s="3361">
        <v>3</v>
      </c>
      <c r="N74" s="3663">
        <f t="shared" si="4"/>
        <v>2.625</v>
      </c>
      <c r="O74" s="3363">
        <f t="shared" si="5"/>
        <v>3</v>
      </c>
      <c r="Q74" s="549"/>
      <c r="R74" s="5"/>
      <c r="S74" s="29"/>
      <c r="T74" s="29"/>
      <c r="U74" s="29"/>
      <c r="V74" s="29"/>
      <c r="W74" s="29"/>
      <c r="X74" s="29"/>
      <c r="Y74" s="29"/>
      <c r="Z74" s="29"/>
      <c r="AA74" s="29"/>
      <c r="AB74" s="29"/>
      <c r="AC74" s="29"/>
      <c r="AD74" s="1443"/>
      <c r="AE74" s="1443"/>
      <c r="AF74" s="1443"/>
      <c r="AG74" s="1456"/>
      <c r="AH74" s="1443"/>
    </row>
    <row r="75" spans="1:34" s="1" customFormat="1" ht="11.25" customHeight="1" thickBot="1">
      <c r="A75" s="1448">
        <f>ROWS($A$6:A75)</f>
        <v>70</v>
      </c>
      <c r="B75" s="4"/>
      <c r="C75" s="4"/>
      <c r="D75" s="4"/>
      <c r="E75" s="14"/>
      <c r="F75" s="527"/>
      <c r="G75" s="1437"/>
      <c r="H75" s="1437"/>
      <c r="I75" s="1437"/>
      <c r="J75" s="1437"/>
      <c r="K75" s="1437"/>
      <c r="L75" s="1437"/>
      <c r="M75" s="1437"/>
      <c r="N75" s="1437"/>
      <c r="O75" s="1437"/>
      <c r="P75" s="1437"/>
      <c r="Q75" s="210"/>
      <c r="R75" s="5"/>
      <c r="S75" s="25"/>
      <c r="T75" s="1443"/>
      <c r="U75" s="1443"/>
      <c r="V75" s="1443"/>
      <c r="W75" s="1443"/>
      <c r="X75" s="1443"/>
      <c r="Y75" s="1443"/>
      <c r="Z75" s="1443"/>
      <c r="AA75" s="1443"/>
      <c r="AB75" s="1443"/>
      <c r="AC75" s="1443"/>
      <c r="AD75" s="1443"/>
      <c r="AE75" s="1443"/>
      <c r="AF75" s="1443"/>
      <c r="AG75" s="1456"/>
      <c r="AH75" s="1443"/>
    </row>
    <row r="76" spans="1:34" s="1" customFormat="1" ht="15.6" customHeight="1" thickBot="1">
      <c r="A76" s="1448">
        <f>ROWS($A$6:A76)</f>
        <v>71</v>
      </c>
      <c r="B76" s="2865" t="s">
        <v>1585</v>
      </c>
      <c r="C76" s="2868"/>
      <c r="D76" s="2866"/>
      <c r="E76" s="2866"/>
      <c r="F76" s="2869"/>
      <c r="G76" s="3514"/>
      <c r="H76" s="3514"/>
      <c r="I76" s="3514">
        <f>'SDK1'!I64</f>
        <v>1.2</v>
      </c>
      <c r="J76" s="3514">
        <f>'SDK1'!J64</f>
        <v>1.4</v>
      </c>
      <c r="K76" s="3514">
        <f>'SDK1'!K64</f>
        <v>1.96</v>
      </c>
      <c r="L76" s="3514">
        <f>'SDK1'!L64</f>
        <v>1.74</v>
      </c>
      <c r="M76" s="3564">
        <f>'SDK1'!M64</f>
        <v>1.67</v>
      </c>
      <c r="N76" s="3665">
        <f t="shared" ref="N76" si="6">TRIMMEAN(I76:M76,0.4)</f>
        <v>1.6033333333333333</v>
      </c>
      <c r="O76" s="2867">
        <f>HLOOKUP($O$6,$G$6:$N$76,A76)</f>
        <v>1.67</v>
      </c>
      <c r="Q76" s="1447"/>
      <c r="R76" s="5"/>
      <c r="S76" s="25"/>
      <c r="T76" s="1443"/>
      <c r="U76" s="1443"/>
      <c r="V76" s="1443"/>
      <c r="W76" s="1443"/>
      <c r="X76" s="1443"/>
      <c r="Y76" s="1443"/>
      <c r="Z76" s="1443"/>
      <c r="AA76" s="1443"/>
      <c r="AB76" s="1443"/>
      <c r="AC76" s="1443"/>
      <c r="AD76" s="1443"/>
      <c r="AE76" s="1443"/>
      <c r="AF76" s="1443"/>
      <c r="AG76" s="1456"/>
      <c r="AH76" s="1443"/>
    </row>
    <row r="77" spans="1:34" s="1441" customFormat="1" ht="15.6" customHeight="1">
      <c r="A77" s="1448">
        <f>ROWS($A$6:A77)</f>
        <v>72</v>
      </c>
      <c r="Q77" s="1447"/>
      <c r="R77" s="5"/>
      <c r="S77" s="25"/>
      <c r="AG77" s="1453"/>
    </row>
    <row r="78" spans="1:34" s="1438" customFormat="1" ht="15.6" customHeight="1">
      <c r="A78" s="1448">
        <f>ROWS($A$6:A78)</f>
        <v>73</v>
      </c>
      <c r="Q78" s="1447"/>
      <c r="R78" s="25"/>
      <c r="AG78" s="1445"/>
    </row>
    <row r="79" spans="1:34" s="1438" customFormat="1" ht="15.6" customHeight="1">
      <c r="A79" s="1448">
        <f>ROWS($A$6:A79)</f>
        <v>74</v>
      </c>
      <c r="Q79" s="25"/>
      <c r="R79" s="25"/>
      <c r="AF79" s="1445"/>
    </row>
    <row r="80" spans="1:34" s="1438" customFormat="1" ht="15.6" customHeight="1">
      <c r="A80" s="1448">
        <f>ROWS($A$6:A80)</f>
        <v>75</v>
      </c>
      <c r="Q80" s="25"/>
      <c r="R80" s="25"/>
      <c r="AF80" s="1445"/>
    </row>
    <row r="81" spans="1:32" s="1438" customFormat="1" ht="15.6" customHeight="1">
      <c r="C81" s="535"/>
      <c r="J81" s="1446"/>
      <c r="Q81" s="25"/>
      <c r="R81" s="25"/>
      <c r="T81" s="1438" t="s">
        <v>892</v>
      </c>
      <c r="AF81" s="1445"/>
    </row>
    <row r="82" spans="1:32" ht="21.6" customHeight="1">
      <c r="A82" s="1379"/>
      <c r="B82" s="2402"/>
      <c r="K82" s="1441"/>
      <c r="L82" s="1441"/>
      <c r="M82" s="1441"/>
      <c r="N82" s="1441"/>
      <c r="O82" s="1441"/>
      <c r="P82" s="1441"/>
      <c r="Q82" s="5"/>
    </row>
    <row r="83" spans="1:32" ht="16.2" customHeight="1">
      <c r="A83" s="29"/>
      <c r="B83" s="2402"/>
      <c r="K83" s="1441"/>
      <c r="L83" s="1441"/>
      <c r="M83" s="1441"/>
      <c r="N83" s="1441"/>
      <c r="O83" s="1441"/>
      <c r="P83" s="1441"/>
      <c r="Q83" s="5"/>
    </row>
    <row r="84" spans="1:32" ht="16.2" customHeight="1">
      <c r="A84" s="29"/>
      <c r="B84" s="2402"/>
      <c r="K84" s="1441"/>
      <c r="L84" s="1441"/>
      <c r="M84" s="1441"/>
      <c r="N84" s="1441"/>
      <c r="O84" s="1441"/>
      <c r="P84" s="1441"/>
      <c r="Q84" s="5"/>
    </row>
    <row r="85" spans="1:32" ht="16.2" customHeight="1">
      <c r="A85" s="29"/>
      <c r="B85" s="2402"/>
      <c r="K85" s="1441"/>
      <c r="L85" s="1441"/>
      <c r="M85" s="1441"/>
      <c r="N85" s="1441"/>
      <c r="O85" s="1441"/>
      <c r="P85" s="1441"/>
      <c r="Q85" s="5"/>
    </row>
    <row r="86" spans="1:32" ht="15.6">
      <c r="A86" s="29"/>
      <c r="B86" s="2402"/>
      <c r="K86" s="1441"/>
      <c r="L86" s="1441"/>
      <c r="M86" s="1441"/>
      <c r="N86" s="1441"/>
      <c r="O86" s="1441"/>
      <c r="P86" s="1441"/>
      <c r="Q86" s="5"/>
    </row>
    <row r="87" spans="1:32" ht="15.6">
      <c r="A87" s="29"/>
      <c r="B87" s="2402"/>
      <c r="K87" s="1441"/>
      <c r="L87" s="1441"/>
      <c r="M87" s="1441"/>
      <c r="N87" s="1441"/>
      <c r="O87" s="1441"/>
      <c r="P87" s="1441"/>
      <c r="Q87" s="5"/>
    </row>
    <row r="88" spans="1:32" ht="15.6">
      <c r="A88" s="29"/>
      <c r="B88" s="29"/>
      <c r="C88" s="29"/>
      <c r="D88" s="29"/>
      <c r="E88" s="29"/>
      <c r="F88" s="484"/>
      <c r="G88" s="1437"/>
      <c r="H88" s="1437"/>
      <c r="I88" s="1437"/>
      <c r="J88" s="1437"/>
      <c r="K88" s="1437"/>
      <c r="L88" s="1437"/>
      <c r="M88" s="1437"/>
      <c r="N88" s="1437"/>
      <c r="O88" s="1437"/>
      <c r="P88" s="1437"/>
      <c r="Q88" s="1441"/>
    </row>
    <row r="89" spans="1:32" ht="15.6">
      <c r="A89" s="29"/>
      <c r="B89" s="29"/>
      <c r="C89" s="12"/>
      <c r="D89" s="29"/>
      <c r="E89" s="29"/>
      <c r="F89" s="484"/>
      <c r="G89" s="1437"/>
      <c r="H89" s="1437"/>
      <c r="I89" s="1437"/>
      <c r="J89" s="1437"/>
      <c r="K89" s="1437"/>
      <c r="L89" s="1437"/>
      <c r="M89" s="1437"/>
      <c r="N89" s="1437"/>
      <c r="O89" s="1437"/>
      <c r="P89" s="1437"/>
      <c r="Q89" s="1441"/>
    </row>
    <row r="90" spans="1:32">
      <c r="A90" s="29"/>
      <c r="B90" s="29"/>
      <c r="C90" s="29"/>
      <c r="D90" s="29"/>
      <c r="E90" s="29"/>
      <c r="F90" s="484"/>
      <c r="G90" s="1437"/>
      <c r="H90" s="1437"/>
      <c r="I90" s="1437"/>
      <c r="J90" s="1437"/>
      <c r="K90" s="1437"/>
      <c r="L90" s="1437"/>
      <c r="M90" s="1437"/>
      <c r="N90" s="1437"/>
      <c r="O90" s="1437"/>
      <c r="P90" s="1437"/>
    </row>
    <row r="91" spans="1:32">
      <c r="A91" s="29"/>
      <c r="B91" s="29"/>
      <c r="C91" s="29"/>
      <c r="D91" s="29"/>
      <c r="E91" s="29"/>
      <c r="F91" s="484"/>
      <c r="G91" s="1437"/>
      <c r="H91" s="1437"/>
      <c r="I91" s="1437"/>
      <c r="J91" s="1437"/>
      <c r="K91" s="1437"/>
      <c r="L91" s="1437"/>
      <c r="M91" s="1437"/>
      <c r="N91" s="1437"/>
      <c r="O91" s="1437"/>
      <c r="P91" s="1437"/>
    </row>
    <row r="92" spans="1:32">
      <c r="A92" s="29"/>
      <c r="B92" s="29"/>
      <c r="C92" s="29"/>
      <c r="D92" s="29"/>
      <c r="E92" s="29"/>
      <c r="F92" s="484"/>
      <c r="G92" s="1437"/>
      <c r="H92" s="1437"/>
      <c r="I92" s="1437"/>
      <c r="J92" s="1437"/>
      <c r="K92" s="1437"/>
      <c r="L92" s="1437"/>
      <c r="M92" s="1437"/>
      <c r="N92" s="1437"/>
      <c r="O92" s="1437"/>
      <c r="P92" s="1437"/>
    </row>
    <row r="93" spans="1:32" ht="17.399999999999999">
      <c r="A93" s="29"/>
      <c r="B93" s="29"/>
      <c r="C93" s="29"/>
      <c r="D93" s="29"/>
      <c r="E93" s="29"/>
      <c r="F93" s="484"/>
      <c r="G93" s="1437"/>
      <c r="H93" s="1437"/>
      <c r="I93" s="1437"/>
      <c r="J93" s="1437"/>
      <c r="K93" s="1437"/>
      <c r="L93" s="1437"/>
      <c r="M93" s="1437"/>
      <c r="N93" s="1437"/>
      <c r="O93" s="1437"/>
      <c r="P93" s="1437"/>
      <c r="Q93" s="1444"/>
      <c r="R93" s="1444"/>
      <c r="V93" s="3"/>
      <c r="W93" s="1"/>
      <c r="X93" s="1441" t="s">
        <v>1003</v>
      </c>
      <c r="Y93" s="1"/>
      <c r="Z93" s="1"/>
      <c r="AA93" s="1"/>
      <c r="AB93" s="1443"/>
      <c r="AC93" s="1443"/>
    </row>
    <row r="94" spans="1:32" ht="17.399999999999999">
      <c r="A94" s="29"/>
      <c r="B94" s="29"/>
      <c r="C94" s="29"/>
      <c r="D94" s="29"/>
      <c r="E94" s="29"/>
      <c r="F94" s="484"/>
      <c r="G94" s="1437"/>
      <c r="H94" s="1437"/>
      <c r="I94" s="1437"/>
      <c r="J94" s="1437"/>
      <c r="K94" s="1437"/>
      <c r="L94" s="1437"/>
      <c r="M94" s="1437"/>
      <c r="N94" s="1437"/>
      <c r="O94" s="1437"/>
      <c r="P94" s="1437"/>
      <c r="V94" s="3"/>
      <c r="W94" s="1"/>
      <c r="X94" s="1"/>
      <c r="Y94" s="1"/>
      <c r="Z94" s="1"/>
      <c r="AA94" s="1"/>
      <c r="AB94" s="1443"/>
      <c r="AC94" s="1442" t="s">
        <v>1002</v>
      </c>
    </row>
    <row r="95" spans="1:32" ht="15.6">
      <c r="A95" s="29"/>
      <c r="B95" s="29"/>
      <c r="C95" s="1436"/>
      <c r="D95" s="29"/>
      <c r="E95" s="29"/>
      <c r="F95" s="484"/>
      <c r="G95" s="10"/>
      <c r="H95" s="10"/>
      <c r="I95" s="10"/>
      <c r="J95" s="10"/>
      <c r="K95" s="10"/>
      <c r="L95" s="10"/>
      <c r="M95" s="10"/>
      <c r="N95" s="10"/>
      <c r="O95" s="10"/>
      <c r="P95" s="10"/>
      <c r="Q95" s="1437"/>
      <c r="R95" s="1437"/>
      <c r="V95" s="25"/>
      <c r="W95" s="1441"/>
      <c r="X95" s="1441" t="s">
        <v>1001</v>
      </c>
      <c r="Y95" s="1441" t="s">
        <v>1000</v>
      </c>
      <c r="Z95" s="1441" t="s">
        <v>999</v>
      </c>
      <c r="AA95" s="1441" t="s">
        <v>998</v>
      </c>
      <c r="AB95" s="1441" t="s">
        <v>983</v>
      </c>
      <c r="AC95" s="1441"/>
    </row>
    <row r="96" spans="1:32" ht="15.6">
      <c r="A96" s="29"/>
      <c r="B96" s="29"/>
      <c r="C96" s="29"/>
      <c r="D96" s="29"/>
      <c r="E96" s="29"/>
      <c r="F96" s="484"/>
      <c r="G96" s="29"/>
      <c r="H96" s="29"/>
      <c r="I96" s="29"/>
      <c r="J96" s="609"/>
      <c r="K96" s="29"/>
      <c r="L96" s="29"/>
      <c r="M96" s="29"/>
      <c r="N96" s="29"/>
      <c r="O96" s="29"/>
      <c r="P96" s="29"/>
      <c r="Q96" s="1437"/>
      <c r="R96" s="1437"/>
      <c r="V96" s="25"/>
      <c r="W96" s="1438"/>
      <c r="X96" s="1439" t="s">
        <v>997</v>
      </c>
      <c r="Y96" s="1441" t="s">
        <v>996</v>
      </c>
      <c r="Z96" s="1441" t="s">
        <v>995</v>
      </c>
      <c r="AA96" s="1441" t="s">
        <v>994</v>
      </c>
      <c r="AB96" s="1441" t="s">
        <v>993</v>
      </c>
      <c r="AC96" s="1438"/>
    </row>
    <row r="97" spans="1:29">
      <c r="A97" s="29"/>
      <c r="B97" s="1379"/>
      <c r="E97" s="14"/>
      <c r="F97" s="1432"/>
      <c r="G97" s="1434"/>
      <c r="H97" s="1434"/>
      <c r="I97" s="1434"/>
      <c r="J97" s="1434"/>
      <c r="K97" s="1434"/>
      <c r="L97" s="1434"/>
      <c r="M97" s="1434"/>
      <c r="N97" s="1434"/>
      <c r="O97" s="1434"/>
      <c r="P97" s="1434"/>
      <c r="Q97" s="1437"/>
      <c r="R97" s="1437"/>
      <c r="V97" s="25"/>
      <c r="W97" s="1438"/>
      <c r="X97" s="1438" t="s">
        <v>992</v>
      </c>
      <c r="Y97" s="1438" t="s">
        <v>991</v>
      </c>
      <c r="Z97" s="1438" t="s">
        <v>990</v>
      </c>
      <c r="AA97" s="1439" t="s">
        <v>989</v>
      </c>
      <c r="AB97" s="1438" t="s">
        <v>988</v>
      </c>
      <c r="AC97" s="1438"/>
    </row>
    <row r="98" spans="1:29">
      <c r="A98" s="29"/>
      <c r="B98" s="1379"/>
      <c r="E98" s="14"/>
      <c r="F98" s="1432"/>
      <c r="G98" s="1434"/>
      <c r="H98" s="1434"/>
      <c r="I98" s="1434"/>
      <c r="J98" s="1434"/>
      <c r="K98" s="1434"/>
      <c r="L98" s="1434"/>
      <c r="M98" s="1434"/>
      <c r="N98" s="1434"/>
      <c r="O98" s="1434"/>
      <c r="P98" s="1434"/>
      <c r="Q98" s="1437"/>
      <c r="R98" s="1437"/>
      <c r="V98" s="25"/>
      <c r="W98" s="1438"/>
      <c r="X98" s="1438" t="s">
        <v>987</v>
      </c>
      <c r="Y98" s="1438" t="s">
        <v>986</v>
      </c>
      <c r="Z98" s="1438" t="s">
        <v>985</v>
      </c>
      <c r="AA98" s="1439" t="s">
        <v>984</v>
      </c>
      <c r="AB98" s="1438" t="s">
        <v>983</v>
      </c>
      <c r="AC98" s="1438"/>
    </row>
    <row r="99" spans="1:29">
      <c r="A99" s="29"/>
      <c r="B99" s="1379"/>
      <c r="C99" s="29"/>
      <c r="D99" s="29"/>
      <c r="E99" s="29"/>
      <c r="F99" s="1432"/>
      <c r="G99" s="1434"/>
      <c r="H99" s="1434"/>
      <c r="I99" s="1434"/>
      <c r="J99" s="1434"/>
      <c r="K99" s="1434"/>
      <c r="L99" s="1434"/>
      <c r="M99" s="1434"/>
      <c r="N99" s="1434"/>
      <c r="O99" s="1434"/>
      <c r="P99" s="1434"/>
      <c r="Q99" s="1437"/>
      <c r="R99" s="1437"/>
      <c r="V99" s="1439"/>
      <c r="W99" s="1438"/>
      <c r="X99" s="1438" t="s">
        <v>982</v>
      </c>
      <c r="Y99" s="1438" t="s">
        <v>981</v>
      </c>
      <c r="Z99" s="1438" t="s">
        <v>980</v>
      </c>
      <c r="AA99" s="1438" t="s">
        <v>979</v>
      </c>
      <c r="AB99" s="1438" t="s">
        <v>978</v>
      </c>
      <c r="AC99" s="1438"/>
    </row>
    <row r="100" spans="1:29">
      <c r="A100" s="29"/>
      <c r="B100" s="1379"/>
      <c r="C100" s="29"/>
      <c r="D100" s="29"/>
      <c r="E100" s="29"/>
      <c r="F100" s="1432"/>
      <c r="G100" s="1434"/>
      <c r="H100" s="1434"/>
      <c r="I100" s="1434"/>
      <c r="J100" s="1434"/>
      <c r="K100" s="1434"/>
      <c r="L100" s="1434"/>
      <c r="M100" s="1434"/>
      <c r="N100" s="1434"/>
      <c r="O100" s="1434"/>
      <c r="P100" s="1434"/>
      <c r="Q100" s="1437"/>
      <c r="R100" s="1437"/>
      <c r="V100" s="1439"/>
      <c r="W100" s="1438"/>
      <c r="X100" s="1438"/>
      <c r="Y100" s="1438"/>
      <c r="Z100" s="1438"/>
      <c r="AA100" s="1438"/>
      <c r="AB100" s="1438"/>
      <c r="AC100" s="1438"/>
    </row>
    <row r="101" spans="1:29">
      <c r="A101" s="29"/>
      <c r="B101" s="1379"/>
      <c r="C101" s="29"/>
      <c r="D101" s="29"/>
      <c r="E101" s="29"/>
      <c r="F101" s="1432"/>
      <c r="G101" s="1434"/>
      <c r="H101" s="1434"/>
      <c r="I101" s="1434"/>
      <c r="J101" s="1434"/>
      <c r="K101" s="1434"/>
      <c r="L101" s="1434"/>
      <c r="M101" s="1434"/>
      <c r="N101" s="1434"/>
      <c r="O101" s="1434"/>
      <c r="P101" s="1434"/>
      <c r="Q101" s="1437"/>
      <c r="R101" s="1437"/>
      <c r="V101" s="1439"/>
      <c r="W101" s="1438"/>
      <c r="X101" s="1438" t="s">
        <v>975</v>
      </c>
      <c r="Y101" s="1438" t="s">
        <v>974</v>
      </c>
      <c r="Z101" s="1438" t="s">
        <v>973</v>
      </c>
      <c r="AA101" s="1438" t="s">
        <v>977</v>
      </c>
      <c r="AB101" s="1438" t="s">
        <v>976</v>
      </c>
      <c r="AC101" s="1438"/>
    </row>
    <row r="102" spans="1:29">
      <c r="A102" s="29"/>
      <c r="B102" s="1379"/>
      <c r="C102" s="29"/>
      <c r="D102" s="29"/>
      <c r="E102" s="29"/>
      <c r="F102" s="1432"/>
      <c r="G102" s="1434"/>
      <c r="H102" s="1434"/>
      <c r="I102" s="1434"/>
      <c r="J102" s="1434"/>
      <c r="K102" s="1434"/>
      <c r="L102" s="1434"/>
      <c r="M102" s="1434"/>
      <c r="N102" s="1434"/>
      <c r="O102" s="1434"/>
      <c r="P102" s="1434"/>
      <c r="Q102" s="1437"/>
      <c r="R102" s="1437"/>
      <c r="V102" s="1439"/>
      <c r="W102" s="1440"/>
      <c r="X102" s="1438" t="s">
        <v>975</v>
      </c>
      <c r="Y102" s="1438" t="s">
        <v>974</v>
      </c>
      <c r="Z102" s="1438" t="s">
        <v>973</v>
      </c>
      <c r="AA102" s="1438" t="s">
        <v>972</v>
      </c>
      <c r="AB102" s="1438" t="s">
        <v>971</v>
      </c>
      <c r="AC102" s="1438"/>
    </row>
    <row r="103" spans="1:29">
      <c r="A103" s="29"/>
      <c r="B103" s="1379"/>
      <c r="C103" s="29"/>
      <c r="D103" s="29"/>
      <c r="E103" s="29"/>
      <c r="F103" s="1432"/>
      <c r="G103" s="1434"/>
      <c r="H103" s="1434"/>
      <c r="I103" s="1434"/>
      <c r="J103" s="1434"/>
      <c r="K103" s="1434"/>
      <c r="L103" s="1434"/>
      <c r="M103" s="1434"/>
      <c r="N103" s="1434"/>
      <c r="O103" s="1434"/>
      <c r="P103" s="1434"/>
      <c r="Q103" s="1437"/>
      <c r="R103" s="1437"/>
      <c r="V103" s="1439"/>
      <c r="W103" s="1438"/>
      <c r="X103" s="1438"/>
      <c r="Y103" s="1438"/>
      <c r="Z103" s="1438"/>
      <c r="AA103" s="1438"/>
      <c r="AB103" s="1438"/>
      <c r="AC103" s="1438"/>
    </row>
    <row r="104" spans="1:29">
      <c r="A104" s="29"/>
      <c r="B104" s="1379"/>
      <c r="C104" s="12"/>
      <c r="D104" s="29"/>
      <c r="E104" s="29"/>
      <c r="F104" s="1432"/>
      <c r="G104" s="1434"/>
      <c r="H104" s="1434"/>
      <c r="I104" s="1434"/>
      <c r="J104" s="1434"/>
      <c r="K104" s="1434"/>
      <c r="L104" s="1434"/>
      <c r="M104" s="1434"/>
      <c r="N104" s="1434"/>
      <c r="O104" s="1434"/>
      <c r="P104" s="1434"/>
      <c r="Q104" s="1437"/>
      <c r="R104" s="1437"/>
      <c r="V104" s="1439"/>
      <c r="W104" s="1438"/>
      <c r="X104" s="1438" t="s">
        <v>970</v>
      </c>
      <c r="Y104" s="1438" t="s">
        <v>969</v>
      </c>
      <c r="Z104" s="1438" t="s">
        <v>968</v>
      </c>
      <c r="AA104" s="1438" t="s">
        <v>967</v>
      </c>
      <c r="AB104" s="1438" t="s">
        <v>966</v>
      </c>
      <c r="AC104" s="1438"/>
    </row>
    <row r="105" spans="1:29">
      <c r="A105" s="29"/>
      <c r="B105" s="1379"/>
      <c r="C105" s="12"/>
      <c r="D105" s="29"/>
      <c r="E105" s="29"/>
      <c r="F105" s="1432"/>
      <c r="G105" s="1434"/>
      <c r="H105" s="1434"/>
      <c r="I105" s="1434"/>
      <c r="J105" s="1434"/>
      <c r="K105" s="1434"/>
      <c r="L105" s="1434"/>
      <c r="M105" s="1434"/>
      <c r="N105" s="1434"/>
      <c r="O105" s="1434"/>
      <c r="P105" s="1434"/>
      <c r="Q105" s="1437"/>
      <c r="R105" s="1437"/>
      <c r="V105" s="1438"/>
      <c r="W105" s="1438"/>
      <c r="X105" s="1438"/>
      <c r="Y105" s="1438"/>
      <c r="Z105" s="1438"/>
      <c r="AA105" s="1439"/>
      <c r="AB105" s="1438"/>
      <c r="AC105" s="1438"/>
    </row>
    <row r="106" spans="1:29">
      <c r="A106" s="29"/>
      <c r="B106" s="1379"/>
      <c r="C106" s="29"/>
      <c r="D106" s="29"/>
      <c r="E106" s="29"/>
      <c r="F106" s="1432"/>
      <c r="G106" s="1434"/>
      <c r="H106" s="1434"/>
      <c r="I106" s="1434"/>
      <c r="J106" s="1434"/>
      <c r="K106" s="1434"/>
      <c r="L106" s="1434"/>
      <c r="M106" s="1434"/>
      <c r="N106" s="1434"/>
      <c r="O106" s="1434"/>
      <c r="P106" s="1434"/>
      <c r="Q106" s="1437"/>
      <c r="R106" s="1437"/>
      <c r="V106" s="1439"/>
      <c r="W106" s="1438"/>
      <c r="X106" s="1438"/>
      <c r="Y106" s="1438"/>
      <c r="Z106" s="1438"/>
      <c r="AA106" s="1439"/>
      <c r="AB106" s="1438"/>
      <c r="AC106" s="1438"/>
    </row>
    <row r="107" spans="1:29">
      <c r="A107" s="29"/>
      <c r="B107" s="1379"/>
      <c r="C107" s="12"/>
      <c r="D107" s="29"/>
      <c r="E107" s="29"/>
      <c r="F107" s="1432"/>
      <c r="G107" s="1434"/>
      <c r="H107" s="1434"/>
      <c r="I107" s="1434"/>
      <c r="J107" s="1434"/>
      <c r="K107" s="1434"/>
      <c r="L107" s="1434"/>
      <c r="M107" s="1434"/>
      <c r="N107" s="1434"/>
      <c r="O107" s="1434"/>
      <c r="P107" s="1434"/>
      <c r="Q107" s="1437"/>
      <c r="R107" s="1437"/>
      <c r="V107" s="1439"/>
      <c r="W107" s="1438"/>
      <c r="X107" s="1438"/>
      <c r="Y107" s="1438"/>
      <c r="Z107" s="1438"/>
      <c r="AA107" s="1438"/>
      <c r="AB107" s="1438"/>
      <c r="AC107" s="1438"/>
    </row>
    <row r="108" spans="1:29">
      <c r="A108" s="29"/>
      <c r="B108" s="1379"/>
      <c r="C108" s="12"/>
      <c r="D108" s="29"/>
      <c r="E108" s="29"/>
      <c r="F108" s="1432"/>
      <c r="G108" s="1434"/>
      <c r="H108" s="1434"/>
      <c r="I108" s="1434"/>
      <c r="J108" s="1434"/>
      <c r="K108" s="1434"/>
      <c r="L108" s="1434"/>
      <c r="M108" s="1434"/>
      <c r="N108" s="1434"/>
      <c r="O108" s="1434"/>
      <c r="P108" s="1434"/>
      <c r="Q108" s="1437"/>
      <c r="R108" s="1437"/>
      <c r="V108" s="1439"/>
      <c r="W108" s="1438"/>
      <c r="X108" s="1438"/>
      <c r="Y108" s="1438"/>
      <c r="Z108" s="1438"/>
      <c r="AA108" s="1438"/>
      <c r="AB108" s="1438"/>
      <c r="AC108" s="1438"/>
    </row>
    <row r="109" spans="1:29">
      <c r="A109" s="29"/>
      <c r="B109" s="1379"/>
      <c r="C109" s="12"/>
      <c r="D109" s="29"/>
      <c r="E109" s="29"/>
      <c r="F109" s="1432"/>
      <c r="G109" s="1434"/>
      <c r="H109" s="1434"/>
      <c r="I109" s="1434"/>
      <c r="J109" s="1434"/>
      <c r="K109" s="1434"/>
      <c r="L109" s="1434"/>
      <c r="M109" s="1434"/>
      <c r="N109" s="1434"/>
      <c r="O109" s="1434"/>
      <c r="P109" s="1434"/>
      <c r="Q109" s="1437"/>
      <c r="R109" s="1437"/>
      <c r="V109" s="1439"/>
      <c r="W109" s="1438"/>
      <c r="X109" s="1438"/>
      <c r="Y109" s="1438"/>
      <c r="Z109" s="1438"/>
      <c r="AA109" s="1438"/>
      <c r="AB109" s="1438"/>
      <c r="AC109" s="1438"/>
    </row>
    <row r="110" spans="1:29">
      <c r="A110" s="29"/>
      <c r="B110" s="1379"/>
      <c r="C110" s="12"/>
      <c r="D110" s="29"/>
      <c r="E110" s="29"/>
      <c r="F110" s="1432"/>
      <c r="G110" s="1434"/>
      <c r="H110" s="1434"/>
      <c r="I110" s="1434"/>
      <c r="J110" s="1434"/>
      <c r="K110" s="1434"/>
      <c r="L110" s="1434"/>
      <c r="M110" s="1434"/>
      <c r="N110" s="1434"/>
      <c r="O110" s="1434"/>
      <c r="P110" s="1434"/>
      <c r="Q110" s="1437"/>
      <c r="R110" s="1437"/>
      <c r="V110" s="1439"/>
      <c r="W110" s="1438"/>
      <c r="X110" s="1438" t="s">
        <v>965</v>
      </c>
      <c r="Y110" s="1438" t="s">
        <v>964</v>
      </c>
      <c r="Z110" s="1438" t="s">
        <v>963</v>
      </c>
      <c r="AA110" s="25" t="s">
        <v>962</v>
      </c>
      <c r="AB110" s="1438" t="s">
        <v>961</v>
      </c>
      <c r="AC110" s="1438"/>
    </row>
    <row r="111" spans="1:29">
      <c r="A111" s="29"/>
      <c r="B111" s="1379"/>
      <c r="C111" s="29"/>
      <c r="D111" s="29"/>
      <c r="E111" s="29"/>
      <c r="F111" s="1432"/>
      <c r="G111" s="1434"/>
      <c r="H111" s="1434"/>
      <c r="I111" s="1434"/>
      <c r="J111" s="1434"/>
      <c r="K111" s="1434"/>
      <c r="L111" s="1434"/>
      <c r="M111" s="1434"/>
      <c r="N111" s="1434"/>
      <c r="O111" s="1434"/>
      <c r="P111" s="1434"/>
      <c r="Q111" s="1437"/>
      <c r="R111" s="1437"/>
    </row>
    <row r="112" spans="1:29">
      <c r="A112" s="29"/>
      <c r="B112" s="1379"/>
      <c r="C112" s="12"/>
      <c r="D112" s="29"/>
      <c r="E112" s="29"/>
      <c r="F112" s="1432"/>
      <c r="G112" s="1434"/>
      <c r="H112" s="1434"/>
      <c r="I112" s="1434"/>
      <c r="J112" s="1434"/>
      <c r="K112" s="1434"/>
      <c r="L112" s="1434"/>
      <c r="M112" s="1434"/>
      <c r="N112" s="1434"/>
      <c r="O112" s="1434"/>
      <c r="P112" s="1434"/>
      <c r="Q112" s="1437"/>
      <c r="R112" s="1437"/>
    </row>
    <row r="113" spans="1:20">
      <c r="A113" s="29"/>
      <c r="B113" s="1379"/>
      <c r="C113" s="29"/>
      <c r="D113" s="29"/>
      <c r="E113" s="29"/>
      <c r="F113" s="1432"/>
      <c r="G113" s="1434"/>
      <c r="H113" s="1434"/>
      <c r="I113" s="1434"/>
      <c r="J113" s="1434"/>
      <c r="K113" s="1434"/>
      <c r="L113" s="1434"/>
      <c r="M113" s="1434"/>
      <c r="N113" s="1434"/>
      <c r="O113" s="1434"/>
      <c r="P113" s="1434"/>
      <c r="Q113" s="1437"/>
      <c r="R113" s="1437"/>
    </row>
    <row r="114" spans="1:20">
      <c r="A114" s="29"/>
      <c r="B114" s="1379"/>
      <c r="C114" s="29"/>
      <c r="D114" s="29"/>
      <c r="E114" s="29"/>
      <c r="F114" s="1432"/>
      <c r="G114" s="1434"/>
      <c r="H114" s="1434"/>
      <c r="I114" s="1434"/>
      <c r="J114" s="1434"/>
      <c r="K114" s="1434"/>
      <c r="L114" s="1434"/>
      <c r="M114" s="1434"/>
      <c r="N114" s="1434"/>
      <c r="O114" s="1434"/>
      <c r="P114" s="1434"/>
      <c r="Q114" s="1437"/>
      <c r="R114" s="1437"/>
    </row>
    <row r="115" spans="1:20">
      <c r="A115" s="29"/>
      <c r="B115" s="1379"/>
      <c r="C115" s="1379"/>
      <c r="D115" s="1379"/>
      <c r="E115" s="1379"/>
      <c r="F115" s="1432"/>
      <c r="G115" s="1379"/>
      <c r="H115" s="1379"/>
      <c r="I115" s="1379"/>
      <c r="J115" s="1431"/>
      <c r="K115" s="1379"/>
      <c r="L115" s="1379"/>
      <c r="M115" s="1379"/>
      <c r="N115" s="1379"/>
      <c r="O115" s="1379"/>
      <c r="P115" s="1379"/>
      <c r="Q115" s="1437"/>
      <c r="R115" s="1437"/>
    </row>
    <row r="116" spans="1:20">
      <c r="A116" s="29"/>
      <c r="B116" s="1379"/>
      <c r="C116" s="1379"/>
      <c r="D116" s="1379"/>
      <c r="E116" s="1379"/>
      <c r="F116" s="1432"/>
      <c r="G116" s="1379"/>
      <c r="H116" s="1379"/>
      <c r="I116" s="1379"/>
      <c r="J116" s="1431"/>
      <c r="K116" s="1379"/>
      <c r="L116" s="1379"/>
      <c r="M116" s="1379"/>
      <c r="N116" s="1379"/>
      <c r="O116" s="1379"/>
      <c r="P116" s="1379"/>
      <c r="Q116" s="10"/>
      <c r="R116" s="10"/>
      <c r="T116" s="1436"/>
    </row>
    <row r="117" spans="1:20">
      <c r="A117" s="29"/>
      <c r="B117" s="1379"/>
      <c r="C117" s="1379"/>
      <c r="D117" s="1379"/>
      <c r="E117" s="1379"/>
      <c r="F117" s="1432"/>
      <c r="G117" s="1379"/>
      <c r="H117" s="1379"/>
      <c r="I117" s="1379"/>
      <c r="J117" s="1431"/>
      <c r="K117" s="1379"/>
      <c r="L117" s="1379"/>
      <c r="M117" s="1379"/>
      <c r="N117" s="1379"/>
      <c r="O117" s="1379"/>
      <c r="P117" s="1379"/>
      <c r="T117" s="1436"/>
    </row>
    <row r="118" spans="1:20">
      <c r="A118" s="1379"/>
      <c r="B118" s="1379"/>
      <c r="C118" s="1379"/>
      <c r="D118" s="1379"/>
      <c r="E118" s="1379"/>
      <c r="F118" s="1432"/>
      <c r="G118" s="1379"/>
      <c r="H118" s="1379"/>
      <c r="I118" s="1379"/>
      <c r="J118" s="1431"/>
      <c r="K118" s="1379"/>
      <c r="L118" s="1379"/>
      <c r="M118" s="1379"/>
      <c r="N118" s="1379"/>
      <c r="O118" s="1379"/>
      <c r="P118" s="1379"/>
      <c r="Q118" s="1434"/>
      <c r="R118" s="1434"/>
      <c r="T118" s="1433"/>
    </row>
    <row r="119" spans="1:20">
      <c r="A119" s="1379"/>
      <c r="B119" s="1379"/>
      <c r="C119" s="1379"/>
      <c r="D119" s="1379"/>
      <c r="E119" s="1379"/>
      <c r="F119" s="1432"/>
      <c r="G119" s="1379"/>
      <c r="H119" s="1379"/>
      <c r="I119" s="1379"/>
      <c r="J119" s="1431"/>
      <c r="K119" s="1379"/>
      <c r="L119" s="1379"/>
      <c r="M119" s="1379"/>
      <c r="N119" s="1379"/>
      <c r="O119" s="1379"/>
      <c r="P119" s="1379"/>
      <c r="Q119" s="1434"/>
      <c r="R119" s="1434"/>
      <c r="T119" s="1433"/>
    </row>
    <row r="120" spans="1:20">
      <c r="A120" s="1379"/>
      <c r="B120" s="1379"/>
      <c r="C120" s="1379"/>
      <c r="D120" s="1379"/>
      <c r="E120" s="1379"/>
      <c r="F120" s="1432"/>
      <c r="G120" s="1379"/>
      <c r="H120" s="1379"/>
      <c r="I120" s="1379"/>
      <c r="J120" s="1431"/>
      <c r="K120" s="1379"/>
      <c r="L120" s="1379"/>
      <c r="M120" s="1379"/>
      <c r="N120" s="1379"/>
      <c r="O120" s="1379"/>
      <c r="P120" s="1379"/>
      <c r="Q120" s="1434"/>
      <c r="R120" s="1434"/>
      <c r="T120" s="1433"/>
    </row>
    <row r="121" spans="1:20">
      <c r="A121" s="1379"/>
      <c r="B121" s="1379"/>
      <c r="C121" s="1379"/>
      <c r="D121" s="1379"/>
      <c r="E121" s="1379"/>
      <c r="F121" s="1432"/>
      <c r="G121" s="1379"/>
      <c r="H121" s="1379"/>
      <c r="I121" s="1379"/>
      <c r="J121" s="1431"/>
      <c r="K121" s="1379"/>
      <c r="L121" s="1379"/>
      <c r="M121" s="1379"/>
      <c r="N121" s="1379"/>
      <c r="O121" s="1379"/>
      <c r="P121" s="1379"/>
      <c r="Q121" s="1434"/>
      <c r="R121" s="1434"/>
      <c r="T121" s="1433"/>
    </row>
    <row r="122" spans="1:20">
      <c r="A122" s="1379"/>
      <c r="B122" s="1379"/>
      <c r="C122" s="1379"/>
      <c r="D122" s="1379"/>
      <c r="E122" s="1379"/>
      <c r="F122" s="1432"/>
      <c r="G122" s="1379"/>
      <c r="H122" s="1379"/>
      <c r="I122" s="1379"/>
      <c r="J122" s="1431"/>
      <c r="K122" s="1379"/>
      <c r="L122" s="1379"/>
      <c r="M122" s="1379"/>
      <c r="N122" s="1379"/>
      <c r="O122" s="1379"/>
      <c r="P122" s="1379"/>
      <c r="Q122" s="1434"/>
      <c r="R122" s="1434"/>
      <c r="T122" s="1433"/>
    </row>
    <row r="123" spans="1:20">
      <c r="A123" s="1379"/>
      <c r="B123" s="1379"/>
      <c r="C123" s="1379"/>
      <c r="D123" s="1379"/>
      <c r="E123" s="1379"/>
      <c r="F123" s="1432"/>
      <c r="G123" s="1379"/>
      <c r="H123" s="1379"/>
      <c r="I123" s="1379"/>
      <c r="J123" s="1431"/>
      <c r="K123" s="1379"/>
      <c r="L123" s="1379"/>
      <c r="M123" s="1379"/>
      <c r="N123" s="1379"/>
      <c r="O123" s="1379"/>
      <c r="P123" s="1379"/>
      <c r="Q123" s="1434"/>
      <c r="R123" s="1434"/>
      <c r="T123" s="1433"/>
    </row>
    <row r="124" spans="1:20">
      <c r="A124" s="1379"/>
      <c r="B124" s="1379"/>
      <c r="C124" s="1379"/>
      <c r="D124" s="1379"/>
      <c r="E124" s="1379"/>
      <c r="F124" s="1432"/>
      <c r="G124" s="1379"/>
      <c r="H124" s="1379"/>
      <c r="I124" s="1379"/>
      <c r="J124" s="1431"/>
      <c r="K124" s="1379"/>
      <c r="L124" s="1379"/>
      <c r="M124" s="1379"/>
      <c r="N124" s="1379"/>
      <c r="O124" s="1379"/>
      <c r="P124" s="1379"/>
      <c r="Q124" s="1434"/>
      <c r="R124" s="1434"/>
      <c r="T124" s="1433"/>
    </row>
    <row r="125" spans="1:20">
      <c r="A125" s="1379"/>
      <c r="B125" s="1379"/>
      <c r="C125" s="1379"/>
      <c r="D125" s="1379"/>
      <c r="E125" s="1379"/>
      <c r="F125" s="1432"/>
      <c r="G125" s="1379"/>
      <c r="H125" s="1379"/>
      <c r="I125" s="1379"/>
      <c r="J125" s="1431"/>
      <c r="K125" s="1379"/>
      <c r="L125" s="1379"/>
      <c r="M125" s="1379"/>
      <c r="N125" s="1379"/>
      <c r="O125" s="1379"/>
      <c r="P125" s="1379"/>
      <c r="Q125" s="1434"/>
      <c r="R125" s="1434"/>
      <c r="T125" s="1433"/>
    </row>
    <row r="126" spans="1:20">
      <c r="A126" s="1379"/>
      <c r="B126" s="1379"/>
      <c r="C126" s="1379"/>
      <c r="D126" s="1379"/>
      <c r="E126" s="1379"/>
      <c r="F126" s="1432"/>
      <c r="G126" s="1379"/>
      <c r="H126" s="1379"/>
      <c r="I126" s="1379"/>
      <c r="J126" s="1431"/>
      <c r="K126" s="1379"/>
      <c r="L126" s="1379"/>
      <c r="M126" s="1379"/>
      <c r="N126" s="1379"/>
      <c r="O126" s="1379"/>
      <c r="P126" s="1379"/>
      <c r="Q126" s="1434"/>
      <c r="R126" s="1434"/>
      <c r="T126" s="1433"/>
    </row>
    <row r="127" spans="1:20">
      <c r="A127" s="1379"/>
      <c r="B127" s="1379"/>
      <c r="C127" s="1379"/>
      <c r="D127" s="1379"/>
      <c r="E127" s="1379"/>
      <c r="F127" s="1432"/>
      <c r="G127" s="1379"/>
      <c r="H127" s="1379"/>
      <c r="I127" s="1379"/>
      <c r="J127" s="1431"/>
      <c r="K127" s="1379"/>
      <c r="L127" s="1379"/>
      <c r="M127" s="1379"/>
      <c r="N127" s="1379"/>
      <c r="O127" s="1379"/>
      <c r="P127" s="1379"/>
      <c r="Q127" s="1434"/>
      <c r="R127" s="1434"/>
      <c r="T127" s="1433"/>
    </row>
    <row r="128" spans="1:20">
      <c r="A128" s="1379"/>
      <c r="B128" s="1379"/>
      <c r="C128" s="1379"/>
      <c r="D128" s="1379"/>
      <c r="E128" s="1379"/>
      <c r="F128" s="1432"/>
      <c r="G128" s="1379"/>
      <c r="H128" s="1379"/>
      <c r="I128" s="1379"/>
      <c r="J128" s="1431"/>
      <c r="K128" s="1379"/>
      <c r="L128" s="1379"/>
      <c r="M128" s="1379"/>
      <c r="N128" s="1379"/>
      <c r="O128" s="1379"/>
      <c r="P128" s="1379"/>
      <c r="Q128" s="1434"/>
      <c r="R128" s="1434"/>
      <c r="T128" s="1433"/>
    </row>
    <row r="129" spans="1:20">
      <c r="A129" s="1379"/>
      <c r="B129" s="1379"/>
      <c r="C129" s="1379"/>
      <c r="D129" s="1379"/>
      <c r="E129" s="1379"/>
      <c r="F129" s="1432"/>
      <c r="G129" s="1379"/>
      <c r="H129" s="1379"/>
      <c r="I129" s="1379"/>
      <c r="J129" s="1431"/>
      <c r="K129" s="1379"/>
      <c r="L129" s="1379"/>
      <c r="M129" s="1379"/>
      <c r="N129" s="1379"/>
      <c r="O129" s="1379"/>
      <c r="P129" s="1379"/>
      <c r="Q129" s="1434"/>
      <c r="R129" s="1434"/>
      <c r="T129" s="1433"/>
    </row>
    <row r="130" spans="1:20">
      <c r="A130" s="1379"/>
      <c r="B130" s="1379"/>
      <c r="C130" s="1379"/>
      <c r="D130" s="1379"/>
      <c r="E130" s="1379"/>
      <c r="F130" s="1432"/>
      <c r="G130" s="1379"/>
      <c r="H130" s="1379"/>
      <c r="I130" s="1379"/>
      <c r="J130" s="1431"/>
      <c r="K130" s="1379"/>
      <c r="L130" s="1379"/>
      <c r="M130" s="1379"/>
      <c r="N130" s="1379"/>
      <c r="O130" s="1379"/>
      <c r="P130" s="1379"/>
      <c r="Q130" s="1434"/>
      <c r="R130" s="1434"/>
      <c r="T130" s="1433"/>
    </row>
    <row r="131" spans="1:20">
      <c r="A131" s="1379"/>
      <c r="B131" s="1379"/>
      <c r="C131" s="1379"/>
      <c r="D131" s="1379"/>
      <c r="E131" s="1379"/>
      <c r="F131" s="1432"/>
      <c r="G131" s="1379"/>
      <c r="H131" s="1379"/>
      <c r="I131" s="1379"/>
      <c r="J131" s="1431"/>
      <c r="K131" s="1379"/>
      <c r="L131" s="1379"/>
      <c r="M131" s="1379"/>
      <c r="N131" s="1379"/>
      <c r="O131" s="1379"/>
      <c r="P131" s="1379"/>
      <c r="Q131" s="1434"/>
      <c r="R131" s="1434"/>
      <c r="T131" s="1433"/>
    </row>
    <row r="132" spans="1:20">
      <c r="A132" s="1379"/>
      <c r="B132" s="1379"/>
      <c r="C132" s="1379"/>
      <c r="D132" s="1379"/>
      <c r="E132" s="1379"/>
      <c r="F132" s="1432"/>
      <c r="G132" s="1379"/>
      <c r="H132" s="1379"/>
      <c r="I132" s="1379"/>
      <c r="J132" s="1431"/>
      <c r="K132" s="1379"/>
      <c r="L132" s="1379"/>
      <c r="M132" s="1379"/>
      <c r="N132" s="1379"/>
      <c r="O132" s="1379"/>
      <c r="P132" s="1379"/>
      <c r="Q132" s="1434"/>
      <c r="R132" s="1434"/>
      <c r="T132" s="1435"/>
    </row>
    <row r="133" spans="1:20">
      <c r="A133" s="1379"/>
      <c r="B133" s="1379"/>
      <c r="C133" s="1379"/>
      <c r="D133" s="1379"/>
      <c r="E133" s="1379"/>
      <c r="F133" s="1432"/>
      <c r="G133" s="1379"/>
      <c r="H133" s="1379"/>
      <c r="I133" s="1379"/>
      <c r="J133" s="1431"/>
      <c r="K133" s="1379"/>
      <c r="L133" s="1379"/>
      <c r="M133" s="1379"/>
      <c r="N133" s="1379"/>
      <c r="O133" s="1379"/>
      <c r="P133" s="1379"/>
      <c r="Q133" s="1434"/>
      <c r="R133" s="1434"/>
      <c r="T133" s="1435"/>
    </row>
    <row r="134" spans="1:20">
      <c r="A134" s="1379"/>
      <c r="B134" s="1379"/>
      <c r="C134" s="1379"/>
      <c r="D134" s="1379"/>
      <c r="E134" s="1379"/>
      <c r="F134" s="1432"/>
      <c r="G134" s="1379"/>
      <c r="H134" s="1379"/>
      <c r="I134" s="1379"/>
      <c r="J134" s="1431"/>
      <c r="K134" s="1379"/>
      <c r="L134" s="1379"/>
      <c r="M134" s="1379"/>
      <c r="N134" s="1379"/>
      <c r="O134" s="1379"/>
      <c r="P134" s="1379"/>
      <c r="Q134" s="1434"/>
      <c r="R134" s="1434"/>
      <c r="T134" s="1435"/>
    </row>
    <row r="135" spans="1:20">
      <c r="A135" s="1379"/>
      <c r="B135" s="1379"/>
      <c r="C135" s="1379"/>
      <c r="D135" s="1379"/>
      <c r="E135" s="1379"/>
      <c r="F135" s="1432"/>
      <c r="G135" s="1379"/>
      <c r="H135" s="1379"/>
      <c r="I135" s="1379"/>
      <c r="J135" s="1431"/>
      <c r="K135" s="1379"/>
      <c r="L135" s="1379"/>
      <c r="M135" s="1379"/>
      <c r="N135" s="1379"/>
      <c r="O135" s="1379"/>
      <c r="P135" s="1379"/>
      <c r="Q135" s="1434"/>
      <c r="R135" s="1434"/>
      <c r="S135" s="1433"/>
      <c r="T135" s="1433"/>
    </row>
    <row r="136" spans="1:20">
      <c r="A136" s="1379"/>
      <c r="B136" s="1379"/>
      <c r="C136" s="1379"/>
      <c r="D136" s="1379"/>
      <c r="E136" s="1379"/>
      <c r="F136" s="1432"/>
      <c r="G136" s="1379"/>
      <c r="H136" s="1379"/>
      <c r="I136" s="1379"/>
      <c r="J136" s="1431"/>
      <c r="K136" s="1379"/>
      <c r="L136" s="1379"/>
      <c r="M136" s="1379"/>
      <c r="N136" s="1379"/>
      <c r="O136" s="1379"/>
      <c r="P136" s="1379"/>
    </row>
    <row r="137" spans="1:20">
      <c r="A137" s="1379"/>
      <c r="B137" s="1379"/>
      <c r="C137" s="1379"/>
      <c r="D137" s="1379"/>
      <c r="E137" s="1379"/>
      <c r="F137" s="1432"/>
      <c r="G137" s="1379"/>
      <c r="H137" s="1379"/>
      <c r="I137" s="1379"/>
      <c r="J137" s="1431"/>
      <c r="K137" s="1379"/>
      <c r="L137" s="1379"/>
      <c r="M137" s="1379"/>
      <c r="N137" s="1379"/>
      <c r="O137" s="1379"/>
      <c r="P137" s="1379"/>
    </row>
    <row r="138" spans="1:20">
      <c r="A138" s="1379"/>
      <c r="B138" s="1379"/>
      <c r="C138" s="1379"/>
      <c r="D138" s="1379"/>
      <c r="E138" s="1379"/>
      <c r="F138" s="1432"/>
      <c r="G138" s="1379"/>
      <c r="H138" s="1379"/>
      <c r="I138" s="1379"/>
      <c r="J138" s="1431"/>
      <c r="K138" s="1379"/>
      <c r="L138" s="1379"/>
      <c r="M138" s="1379"/>
      <c r="N138" s="1379"/>
      <c r="O138" s="1379"/>
      <c r="P138" s="1379"/>
    </row>
    <row r="139" spans="1:20">
      <c r="A139" s="1379"/>
      <c r="B139" s="1379"/>
      <c r="C139" s="1379"/>
      <c r="D139" s="1379"/>
      <c r="E139" s="1379"/>
      <c r="F139" s="1432"/>
      <c r="G139" s="1379"/>
      <c r="H139" s="1379"/>
      <c r="I139" s="1379"/>
      <c r="J139" s="1431"/>
      <c r="K139" s="1379"/>
      <c r="L139" s="1379"/>
      <c r="M139" s="1379"/>
      <c r="N139" s="1379"/>
      <c r="O139" s="1379"/>
      <c r="P139" s="1379"/>
    </row>
    <row r="140" spans="1:20">
      <c r="A140" s="1379"/>
      <c r="B140" s="1379"/>
      <c r="C140" s="1379"/>
      <c r="D140" s="1379"/>
      <c r="E140" s="1379"/>
      <c r="F140" s="1432"/>
      <c r="G140" s="1379"/>
      <c r="H140" s="1379"/>
      <c r="I140" s="1379"/>
      <c r="J140" s="1431"/>
      <c r="K140" s="1379"/>
      <c r="L140" s="1379"/>
      <c r="M140" s="1379"/>
      <c r="N140" s="1379"/>
      <c r="O140" s="1379"/>
      <c r="P140" s="1379"/>
    </row>
    <row r="141" spans="1:20">
      <c r="A141" s="1379"/>
      <c r="B141" s="1379"/>
      <c r="C141" s="1379"/>
      <c r="D141" s="1379"/>
      <c r="E141" s="1379"/>
      <c r="F141" s="1432"/>
      <c r="G141" s="1379"/>
      <c r="H141" s="1379"/>
      <c r="I141" s="1379"/>
      <c r="J141" s="1431"/>
      <c r="K141" s="1379"/>
      <c r="L141" s="1379"/>
      <c r="M141" s="1379"/>
      <c r="N141" s="1379"/>
      <c r="O141" s="1379"/>
      <c r="P141" s="1379"/>
    </row>
    <row r="142" spans="1:20">
      <c r="A142" s="1379"/>
      <c r="B142" s="1379"/>
      <c r="C142" s="1379"/>
      <c r="D142" s="1379"/>
      <c r="E142" s="1379"/>
      <c r="F142" s="1432"/>
      <c r="G142" s="1379"/>
      <c r="H142" s="1379"/>
      <c r="I142" s="1379"/>
      <c r="J142" s="1431"/>
      <c r="K142" s="1379"/>
      <c r="L142" s="1379"/>
      <c r="M142" s="1379"/>
      <c r="N142" s="1379"/>
      <c r="O142" s="1379"/>
      <c r="P142" s="1379"/>
    </row>
    <row r="143" spans="1:20">
      <c r="A143" s="1379"/>
      <c r="B143" s="1379"/>
      <c r="C143" s="1379"/>
      <c r="D143" s="1379"/>
      <c r="E143" s="1379"/>
      <c r="F143" s="1432"/>
      <c r="G143" s="1379"/>
      <c r="H143" s="1379"/>
      <c r="I143" s="1379"/>
      <c r="J143" s="1431"/>
      <c r="K143" s="1379"/>
      <c r="L143" s="1379"/>
      <c r="M143" s="1379"/>
      <c r="N143" s="1379"/>
      <c r="O143" s="1379"/>
      <c r="P143" s="1379"/>
    </row>
    <row r="144" spans="1:20">
      <c r="A144" s="1379"/>
      <c r="B144" s="1379"/>
      <c r="C144" s="1379"/>
      <c r="D144" s="1379"/>
      <c r="E144" s="1379"/>
      <c r="F144" s="1432"/>
      <c r="G144" s="1379"/>
      <c r="H144" s="1379"/>
      <c r="I144" s="1379"/>
      <c r="J144" s="1431"/>
      <c r="K144" s="1379"/>
      <c r="L144" s="1379"/>
      <c r="M144" s="1379"/>
      <c r="N144" s="1379"/>
      <c r="O144" s="1379"/>
      <c r="P144" s="1379"/>
    </row>
    <row r="145" spans="1:16">
      <c r="A145" s="1379"/>
      <c r="B145" s="1379"/>
      <c r="C145" s="1379"/>
      <c r="D145" s="1379"/>
      <c r="E145" s="1379"/>
      <c r="F145" s="1432"/>
      <c r="G145" s="1379"/>
      <c r="H145" s="1379"/>
      <c r="I145" s="1379"/>
      <c r="J145" s="1431"/>
      <c r="K145" s="1379"/>
      <c r="L145" s="1379"/>
      <c r="M145" s="1379"/>
      <c r="N145" s="1379"/>
      <c r="O145" s="1379"/>
      <c r="P145" s="1379"/>
    </row>
    <row r="146" spans="1:16">
      <c r="A146" s="1379"/>
      <c r="B146" s="1379"/>
      <c r="C146" s="1379"/>
      <c r="D146" s="1379"/>
      <c r="E146" s="1379"/>
      <c r="F146" s="1432"/>
      <c r="G146" s="1379"/>
      <c r="H146" s="1379"/>
      <c r="I146" s="1379"/>
      <c r="J146" s="1431"/>
      <c r="K146" s="1379"/>
      <c r="L146" s="1379"/>
      <c r="M146" s="1379"/>
      <c r="N146" s="1379"/>
      <c r="O146" s="1379"/>
      <c r="P146" s="1379"/>
    </row>
    <row r="147" spans="1:16">
      <c r="A147" s="1379"/>
      <c r="B147" s="1379"/>
      <c r="C147" s="1379"/>
      <c r="D147" s="1379"/>
      <c r="E147" s="1379"/>
      <c r="F147" s="1432"/>
      <c r="G147" s="1379"/>
      <c r="H147" s="1379"/>
      <c r="I147" s="1379"/>
      <c r="J147" s="1431"/>
      <c r="K147" s="1379"/>
      <c r="L147" s="1379"/>
      <c r="M147" s="1379"/>
      <c r="N147" s="1379"/>
      <c r="O147" s="1379"/>
      <c r="P147" s="1379"/>
    </row>
    <row r="148" spans="1:16">
      <c r="A148" s="1379"/>
      <c r="B148" s="1379"/>
      <c r="C148" s="1379"/>
      <c r="D148" s="1379"/>
      <c r="E148" s="1379"/>
      <c r="F148" s="1432"/>
      <c r="G148" s="1379"/>
      <c r="H148" s="1379"/>
      <c r="I148" s="1379"/>
      <c r="J148" s="1431"/>
      <c r="K148" s="1379"/>
      <c r="L148" s="1379"/>
      <c r="M148" s="1379"/>
      <c r="N148" s="1379"/>
      <c r="O148" s="1379"/>
      <c r="P148" s="1379"/>
    </row>
    <row r="149" spans="1:16">
      <c r="A149" s="1379"/>
      <c r="B149" s="1379"/>
      <c r="C149" s="1379"/>
      <c r="D149" s="1379"/>
      <c r="E149" s="1379"/>
      <c r="F149" s="1432"/>
      <c r="G149" s="1379"/>
      <c r="H149" s="1379"/>
      <c r="I149" s="1379"/>
      <c r="J149" s="1431"/>
      <c r="K149" s="1379"/>
      <c r="L149" s="1379"/>
      <c r="M149" s="1379"/>
      <c r="N149" s="1379"/>
      <c r="O149" s="1379"/>
      <c r="P149" s="1379"/>
    </row>
    <row r="150" spans="1:16">
      <c r="A150" s="1379"/>
      <c r="B150" s="1379"/>
      <c r="C150" s="1379"/>
      <c r="D150" s="1379"/>
      <c r="E150" s="1379"/>
      <c r="F150" s="1432"/>
      <c r="G150" s="1379"/>
      <c r="H150" s="1379"/>
      <c r="I150" s="1379"/>
      <c r="J150" s="1431"/>
      <c r="K150" s="1379"/>
      <c r="L150" s="1379"/>
      <c r="M150" s="1379"/>
      <c r="N150" s="1379"/>
      <c r="O150" s="1379"/>
      <c r="P150" s="1379"/>
    </row>
    <row r="151" spans="1:16">
      <c r="A151" s="1379"/>
      <c r="B151" s="1379"/>
      <c r="C151" s="1379"/>
      <c r="D151" s="1379"/>
      <c r="E151" s="1379"/>
      <c r="F151" s="1432"/>
      <c r="G151" s="1379"/>
      <c r="H151" s="1379"/>
      <c r="I151" s="1379"/>
      <c r="J151" s="1431"/>
      <c r="K151" s="1379"/>
      <c r="L151" s="1379"/>
      <c r="M151" s="1379"/>
      <c r="N151" s="1379"/>
      <c r="O151" s="1379"/>
      <c r="P151" s="1379"/>
    </row>
    <row r="152" spans="1:16">
      <c r="A152" s="1379"/>
    </row>
    <row r="153" spans="1:16">
      <c r="A153" s="1379"/>
    </row>
    <row r="154" spans="1:16">
      <c r="A154" s="1379"/>
    </row>
    <row r="155" spans="1:16">
      <c r="A155" s="1379"/>
    </row>
    <row r="156" spans="1:16">
      <c r="A156" s="1379"/>
    </row>
    <row r="157" spans="1:16">
      <c r="A157" s="1379"/>
    </row>
    <row r="158" spans="1:16">
      <c r="A158" s="1379"/>
    </row>
    <row r="159" spans="1:16">
      <c r="A159" s="1379"/>
    </row>
    <row r="160" spans="1:16">
      <c r="A160" s="1379"/>
    </row>
    <row r="161" spans="1:1">
      <c r="A161" s="1379"/>
    </row>
    <row r="162" spans="1:1">
      <c r="A162" s="1379"/>
    </row>
    <row r="163" spans="1:1">
      <c r="A163" s="1379"/>
    </row>
    <row r="164" spans="1:1">
      <c r="A164" s="1379"/>
    </row>
    <row r="165" spans="1:1">
      <c r="A165" s="1379"/>
    </row>
    <row r="166" spans="1:1">
      <c r="A166" s="1379"/>
    </row>
    <row r="167" spans="1:1">
      <c r="A167" s="1379"/>
    </row>
    <row r="168" spans="1:1">
      <c r="A168" s="1379"/>
    </row>
    <row r="169" spans="1:1">
      <c r="A169" s="1379"/>
    </row>
    <row r="170" spans="1:1">
      <c r="A170" s="1379"/>
    </row>
    <row r="171" spans="1:1">
      <c r="A171" s="1379"/>
    </row>
    <row r="172" spans="1:1">
      <c r="A172" s="1379"/>
    </row>
  </sheetData>
  <sheetProtection sheet="1" objects="1" scenarios="1"/>
  <customSheetViews>
    <customSheetView guid="{8063F48F-80B5-4ECD-B18A-51CBF126E780}" scale="80" fitToPage="1" printArea="1" hiddenRows="1" hiddenColumns="1" topLeftCell="C1">
      <selection activeCell="R1" sqref="R1:AT1048576"/>
      <pageMargins left="0.59055118110236227" right="0.59055118110236227" top="0.59055118110236227" bottom="0.59055118110236227" header="0.39370078740157483" footer="0.39370078740157483"/>
      <printOptions horizontalCentered="1"/>
      <pageSetup paperSize="9" scale="73" firstPageNumber="6" orientation="portrait" useFirstPageNumber="1" r:id="rId1"/>
      <headerFooter alignWithMargins="0">
        <oddFooter>&amp;L&amp;11LEL Schwäbisch Gmünd&amp;C&amp;11 &amp;R&amp;11&amp;F</oddFooter>
      </headerFooter>
    </customSheetView>
    <customSheetView guid="{5D5C9B61-9ABD-4513-AAEB-8333A9D6196C}" scale="80" fitToPage="1" hiddenRows="1" topLeftCell="A10">
      <selection activeCell="AL26" sqref="AL26"/>
      <pageMargins left="0.59055118110236227" right="0.59055118110236227" top="0.59055118110236227" bottom="0.59055118110236227" header="0.39370078740157483" footer="0.39370078740157483"/>
      <printOptions horizontalCentered="1"/>
      <pageSetup paperSize="9" scale="73" firstPageNumber="6" orientation="portrait" useFirstPageNumber="1" r:id="rId2"/>
      <headerFooter alignWithMargins="0">
        <oddFooter>&amp;L&amp;11LEL Schwäbisch Gmünd&amp;C&amp;11 &amp;R&amp;11&amp;F</oddFooter>
      </headerFooter>
    </customSheetView>
    <customSheetView guid="{22A73C4F-9004-4CEF-8499-B1F91BE1B569}" scale="80" fitToPage="1" hiddenRows="1" hiddenColumns="1" topLeftCell="C1">
      <selection activeCell="R1" sqref="R1:AT1048576"/>
      <pageMargins left="0.59055118110236227" right="0.59055118110236227" top="0.59055118110236227" bottom="0.59055118110236227" header="0.39370078740157483" footer="0.39370078740157483"/>
      <printOptions horizontalCentered="1"/>
      <pageSetup paperSize="9" scale="73" firstPageNumber="6" orientation="portrait" useFirstPageNumber="1" r:id="rId3"/>
      <headerFooter alignWithMargins="0">
        <oddFooter>&amp;L&amp;11LEL Schwäbisch Gmünd&amp;C&amp;11 &amp;R&amp;11&amp;F</oddFooter>
      </headerFooter>
    </customSheetView>
  </customSheetViews>
  <dataValidations count="1">
    <dataValidation type="list" allowBlank="1" showInputMessage="1" showErrorMessage="1" sqref="O6" xr:uid="{00000000-0002-0000-0D00-000000000000}">
      <formula1>$G$6:$N$6</formula1>
    </dataValidation>
  </dataValidations>
  <printOptions horizontalCentered="1"/>
  <pageMargins left="0.59055118110236227" right="0.59055118110236227" top="0.59055118110236227" bottom="0.59055118110236227" header="0.39370078740157483" footer="0.39370078740157483"/>
  <pageSetup paperSize="9" scale="73" firstPageNumber="6" orientation="portrait" useFirstPageNumber="1" r:id="rId4"/>
  <headerFooter alignWithMargins="0">
    <oddFooter>&amp;L&amp;11LEL Schwäbisch Gmünd&amp;C&amp;11 &amp;R&amp;11&amp;F</oddFooter>
  </headerFooter>
  <ignoredErrors>
    <ignoredError sqref="N16:N23 N25:N32 N41:N42 N44:N45 N49:N50 N52 N56:N58 O59 N72:N74" formulaRange="1"/>
    <ignoredError sqref="N34:N40 N43 N46:N48 N51" evalError="1"/>
  </ignoredErrors>
  <drawing r:id="rId5"/>
  <legacyDrawing r:id="rId6"/>
  <mc:AlternateContent xmlns:mc="http://schemas.openxmlformats.org/markup-compatibility/2006">
    <mc:Choice Requires="x14">
      <controls>
        <mc:AlternateContent xmlns:mc="http://schemas.openxmlformats.org/markup-compatibility/2006">
          <mc:Choice Requires="x14">
            <control shapeId="56323" r:id="rId7" name="Drop Down 3">
              <controlPr defaultSize="0" autoLine="0" autoPict="0">
                <anchor moveWithCells="1">
                  <from>
                    <xdr:col>8</xdr:col>
                    <xdr:colOff>60960</xdr:colOff>
                    <xdr:row>6</xdr:row>
                    <xdr:rowOff>60960</xdr:rowOff>
                  </from>
                  <to>
                    <xdr:col>10</xdr:col>
                    <xdr:colOff>708660</xdr:colOff>
                    <xdr:row>6</xdr:row>
                    <xdr:rowOff>350520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tabColor rgb="FF00B0F0"/>
    <pageSetUpPr fitToPage="1"/>
  </sheetPr>
  <dimension ref="A1:AQ120"/>
  <sheetViews>
    <sheetView workbookViewId="0">
      <selection activeCell="N6" sqref="N6"/>
    </sheetView>
  </sheetViews>
  <sheetFormatPr baseColWidth="10" defaultColWidth="10.5" defaultRowHeight="13.2"/>
  <cols>
    <col min="1" max="1" width="1.5" style="27" customWidth="1"/>
    <col min="2" max="2" width="4.19921875" style="28" customWidth="1"/>
    <col min="3" max="5" width="11.3984375" style="28" customWidth="1"/>
    <col min="6" max="6" width="17.09765625" style="28" customWidth="1"/>
    <col min="7" max="8" width="9.8984375" style="28" customWidth="1"/>
    <col min="9" max="14" width="9.8984375" style="35" customWidth="1"/>
    <col min="15" max="15" width="10.69921875" style="28" customWidth="1"/>
    <col min="16" max="16" width="4.5" style="28" customWidth="1"/>
    <col min="17" max="17" width="9.8984375" style="28" customWidth="1"/>
    <col min="18" max="18" width="14" style="28" customWidth="1"/>
    <col min="19" max="22" width="9.8984375" style="28" hidden="1" customWidth="1"/>
    <col min="23" max="26" width="6.59765625" style="35" hidden="1" customWidth="1"/>
    <col min="27" max="27" width="7.19921875" style="28" hidden="1" customWidth="1"/>
    <col min="28" max="34" width="10.5" style="27" hidden="1" customWidth="1"/>
    <col min="35" max="35" width="0" style="27" hidden="1" customWidth="1"/>
    <col min="36" max="16384" width="10.5" style="27"/>
  </cols>
  <sheetData>
    <row r="1" spans="1:43" ht="16.5" customHeight="1">
      <c r="O1" s="3660">
        <f>COLUMN()-3</f>
        <v>12</v>
      </c>
    </row>
    <row r="2" spans="1:43" ht="24" customHeight="1">
      <c r="A2" s="252"/>
      <c r="B2" s="314" t="s">
        <v>216</v>
      </c>
      <c r="C2" s="27"/>
      <c r="D2" s="27"/>
      <c r="E2" s="27"/>
      <c r="F2" s="27"/>
      <c r="G2" s="27"/>
      <c r="H2" s="27"/>
      <c r="I2" s="313"/>
      <c r="J2" s="27"/>
      <c r="K2" s="312"/>
      <c r="L2" s="3879" t="s">
        <v>176</v>
      </c>
      <c r="M2" s="3879"/>
      <c r="N2" s="3879"/>
      <c r="O2" s="3879"/>
      <c r="Q2" s="260"/>
      <c r="R2" s="27"/>
      <c r="T2" s="27"/>
      <c r="U2" s="27"/>
      <c r="V2" s="27"/>
      <c r="W2" s="27"/>
      <c r="X2" s="27"/>
      <c r="Y2" s="27"/>
      <c r="Z2" s="27"/>
      <c r="AA2" s="27"/>
    </row>
    <row r="3" spans="1:43" ht="18" customHeight="1">
      <c r="A3" s="252"/>
      <c r="B3" s="27"/>
      <c r="C3" s="27"/>
      <c r="D3" s="27"/>
      <c r="E3" s="27"/>
      <c r="F3" s="309"/>
      <c r="G3" s="27"/>
      <c r="H3" s="27"/>
      <c r="I3" s="28"/>
      <c r="J3" s="27"/>
      <c r="K3" s="312"/>
      <c r="L3" s="27"/>
      <c r="M3" s="2996"/>
      <c r="N3" s="27"/>
      <c r="O3" s="41">
        <f>'SDK1'!O3</f>
        <v>2024</v>
      </c>
      <c r="Q3" s="311"/>
      <c r="R3" s="27"/>
      <c r="S3" s="310"/>
      <c r="T3" s="309"/>
      <c r="U3" s="27"/>
      <c r="V3" s="27"/>
      <c r="W3" s="27"/>
      <c r="X3" s="27"/>
      <c r="Y3" s="27"/>
      <c r="Z3" s="204"/>
      <c r="AA3" s="27"/>
      <c r="AB3" s="201"/>
      <c r="AC3" s="201"/>
      <c r="AD3" s="201"/>
      <c r="AE3" s="201"/>
      <c r="AF3" s="201"/>
      <c r="AG3" s="201"/>
      <c r="AH3" s="201"/>
      <c r="AI3" s="201"/>
      <c r="AJ3" s="201"/>
      <c r="AK3" s="201"/>
      <c r="AL3" s="201"/>
      <c r="AM3" s="201"/>
      <c r="AN3" s="201"/>
      <c r="AO3" s="201"/>
      <c r="AP3" s="201"/>
    </row>
    <row r="4" spans="1:43" ht="9" customHeight="1">
      <c r="A4" s="252"/>
      <c r="C4" s="27"/>
      <c r="D4" s="27"/>
      <c r="E4" s="27"/>
      <c r="F4" s="27"/>
      <c r="G4" s="27"/>
      <c r="H4" s="27"/>
      <c r="I4" s="27"/>
      <c r="J4" s="27"/>
      <c r="K4" s="27"/>
      <c r="L4" s="27"/>
      <c r="M4" s="2996"/>
      <c r="N4" s="27"/>
      <c r="O4" s="27"/>
      <c r="Q4" s="27"/>
      <c r="R4" s="27"/>
      <c r="S4" s="27"/>
      <c r="T4" s="27"/>
      <c r="U4" s="27"/>
      <c r="V4" s="27"/>
      <c r="W4" s="27"/>
      <c r="X4" s="27"/>
      <c r="Y4" s="27"/>
      <c r="Z4" s="27"/>
      <c r="AA4" s="27"/>
      <c r="AB4" s="201"/>
      <c r="AC4" s="201"/>
      <c r="AD4" s="201"/>
      <c r="AE4" s="201"/>
      <c r="AF4" s="201"/>
      <c r="AG4" s="201"/>
      <c r="AH4" s="201"/>
      <c r="AI4" s="201"/>
      <c r="AJ4" s="201"/>
      <c r="AK4" s="201"/>
      <c r="AL4" s="201"/>
      <c r="AM4" s="201"/>
      <c r="AN4" s="201"/>
      <c r="AO4" s="201"/>
      <c r="AP4" s="201"/>
    </row>
    <row r="5" spans="1:43" ht="16.95" customHeight="1">
      <c r="A5" s="252"/>
      <c r="B5" s="2872"/>
      <c r="C5" s="2785"/>
      <c r="D5" s="2785"/>
      <c r="E5" s="2502"/>
      <c r="F5" s="2502"/>
      <c r="G5" s="2880" t="s">
        <v>274</v>
      </c>
      <c r="H5" s="305"/>
      <c r="I5" s="2871"/>
      <c r="J5" s="2871"/>
      <c r="K5" s="2871"/>
      <c r="L5" s="2871"/>
      <c r="M5" s="2994"/>
      <c r="N5" s="2880" t="s">
        <v>273</v>
      </c>
      <c r="Q5" s="27"/>
      <c r="R5" s="27"/>
      <c r="S5" s="27"/>
      <c r="T5" s="27"/>
      <c r="U5" s="27"/>
      <c r="V5" s="27"/>
      <c r="W5" s="27"/>
      <c r="X5" s="27"/>
      <c r="Y5" s="27"/>
      <c r="Z5" s="27"/>
      <c r="AA5" s="27"/>
      <c r="AB5" s="201"/>
      <c r="AC5" s="201"/>
      <c r="AD5" s="201"/>
      <c r="AE5" s="201"/>
      <c r="AF5" s="201"/>
    </row>
    <row r="6" spans="1:43" ht="16.95" customHeight="1">
      <c r="A6" s="252"/>
      <c r="B6" s="2872"/>
      <c r="C6" s="2872"/>
      <c r="D6" s="2872"/>
      <c r="E6" s="2872"/>
      <c r="F6" s="2872"/>
      <c r="G6" s="3619">
        <v>2018</v>
      </c>
      <c r="H6" s="3619">
        <v>2019</v>
      </c>
      <c r="I6" s="283">
        <v>2020</v>
      </c>
      <c r="J6" s="283">
        <v>2021</v>
      </c>
      <c r="K6" s="283">
        <v>2022</v>
      </c>
      <c r="L6" s="283">
        <v>2023</v>
      </c>
      <c r="M6" s="283">
        <v>2024</v>
      </c>
      <c r="N6" s="3661">
        <v>2024</v>
      </c>
      <c r="Q6" s="27"/>
      <c r="R6" s="27"/>
      <c r="S6" s="27"/>
      <c r="T6" s="27"/>
      <c r="U6" s="27"/>
      <c r="V6" s="27"/>
      <c r="W6" s="27"/>
      <c r="X6" s="27"/>
      <c r="Y6" s="27"/>
      <c r="Z6" s="27"/>
      <c r="AA6" s="27"/>
      <c r="AB6" s="201"/>
      <c r="AC6" s="201"/>
      <c r="AD6" s="201"/>
      <c r="AE6" s="201"/>
      <c r="AF6" s="201"/>
    </row>
    <row r="7" spans="1:43" ht="51.9" customHeight="1">
      <c r="A7" s="252"/>
      <c r="B7" s="307"/>
      <c r="C7" s="3877" t="s">
        <v>1558</v>
      </c>
      <c r="D7" s="3878"/>
      <c r="E7" s="3878"/>
      <c r="F7" s="3878"/>
      <c r="G7" s="3878"/>
      <c r="H7" s="3878"/>
      <c r="I7" s="3878"/>
      <c r="J7" s="3878"/>
      <c r="K7" s="3878"/>
      <c r="L7" s="3878"/>
      <c r="M7" s="3878"/>
      <c r="N7" s="3878"/>
      <c r="O7" s="3878"/>
      <c r="Q7" s="27"/>
      <c r="R7" s="100"/>
      <c r="S7" s="100"/>
      <c r="T7" s="100"/>
      <c r="U7" s="100"/>
      <c r="V7" s="100"/>
      <c r="W7" s="100"/>
      <c r="X7" s="100"/>
      <c r="Y7" s="100"/>
      <c r="Z7" s="100"/>
      <c r="AA7" s="100"/>
      <c r="AB7" s="100"/>
      <c r="AC7" s="201"/>
      <c r="AD7" s="201"/>
      <c r="AE7" s="201"/>
      <c r="AF7" s="201"/>
    </row>
    <row r="8" spans="1:43" ht="18" customHeight="1">
      <c r="A8" s="252"/>
      <c r="B8" s="2504" t="s">
        <v>287</v>
      </c>
      <c r="C8" s="516"/>
      <c r="D8" s="2872"/>
      <c r="E8" s="2872"/>
      <c r="F8" s="2872"/>
      <c r="G8" s="305"/>
      <c r="H8" s="305"/>
      <c r="I8" s="305"/>
      <c r="J8" s="305"/>
      <c r="K8" s="305"/>
      <c r="L8" s="305"/>
      <c r="M8" s="305"/>
      <c r="N8" s="305"/>
      <c r="O8" s="305"/>
      <c r="P8" s="305"/>
      <c r="Q8" s="27"/>
      <c r="R8" s="100"/>
      <c r="S8" s="100"/>
      <c r="T8" s="100"/>
      <c r="U8" s="100"/>
      <c r="V8" s="100"/>
      <c r="W8" s="100"/>
      <c r="X8" s="100"/>
      <c r="Y8" s="100"/>
      <c r="Z8" s="100"/>
      <c r="AA8" s="100"/>
      <c r="AB8" s="100"/>
      <c r="AC8" s="201"/>
      <c r="AD8" s="201"/>
      <c r="AE8" s="201"/>
      <c r="AF8" s="201"/>
    </row>
    <row r="9" spans="1:43" ht="16.95" customHeight="1">
      <c r="A9" s="252"/>
      <c r="B9" s="2803" t="s">
        <v>277</v>
      </c>
      <c r="C9" s="185" t="s">
        <v>286</v>
      </c>
      <c r="D9" s="223"/>
      <c r="E9" s="251"/>
      <c r="F9" s="251"/>
      <c r="G9" s="283"/>
      <c r="H9" s="283"/>
      <c r="I9" s="283"/>
      <c r="J9" s="283"/>
      <c r="K9" s="283"/>
      <c r="L9" s="283"/>
      <c r="M9" s="283"/>
      <c r="N9" s="283"/>
      <c r="O9" s="3008"/>
      <c r="Q9" s="27"/>
      <c r="R9" s="27"/>
      <c r="S9" s="27"/>
      <c r="T9" s="27"/>
      <c r="U9" s="27"/>
      <c r="V9" s="27"/>
      <c r="W9" s="27"/>
      <c r="X9" s="27"/>
      <c r="Y9" s="27"/>
      <c r="Z9" s="27"/>
      <c r="AA9" s="27"/>
      <c r="AB9" s="201"/>
      <c r="AC9" s="201"/>
      <c r="AD9" s="201"/>
      <c r="AE9" s="201"/>
      <c r="AF9" s="201"/>
    </row>
    <row r="10" spans="1:43" ht="16.95" customHeight="1">
      <c r="A10" s="252"/>
      <c r="B10" s="51"/>
      <c r="C10" s="217"/>
      <c r="D10" s="39"/>
      <c r="E10" s="2458"/>
      <c r="F10" s="2458"/>
      <c r="G10" s="305"/>
      <c r="H10" s="305"/>
      <c r="I10" s="2884"/>
      <c r="J10" s="305"/>
      <c r="K10" s="305"/>
      <c r="L10" s="304"/>
      <c r="M10" s="304"/>
      <c r="N10" s="304"/>
      <c r="O10" s="3008"/>
      <c r="Q10" s="27"/>
      <c r="R10" s="27"/>
      <c r="S10" s="27"/>
      <c r="T10" s="27"/>
      <c r="U10" s="27"/>
      <c r="V10" s="27"/>
      <c r="W10" s="27"/>
      <c r="X10" s="27"/>
      <c r="Y10" s="27"/>
      <c r="Z10" s="27"/>
      <c r="AA10" s="27"/>
      <c r="AB10" s="201"/>
      <c r="AC10" s="201"/>
      <c r="AD10" s="201"/>
      <c r="AE10" s="201"/>
      <c r="AF10" s="201"/>
    </row>
    <row r="11" spans="1:43" s="177" customFormat="1" ht="16.95" customHeight="1">
      <c r="B11" s="2505">
        <v>1</v>
      </c>
      <c r="C11" s="2879" t="s">
        <v>1507</v>
      </c>
      <c r="D11" s="2506"/>
      <c r="E11" s="2506"/>
      <c r="F11" s="515"/>
      <c r="G11" s="274"/>
      <c r="H11" s="274"/>
      <c r="I11" s="274"/>
      <c r="J11" s="274"/>
      <c r="K11" s="274"/>
      <c r="L11" s="273">
        <v>80</v>
      </c>
      <c r="M11" s="298">
        <v>80</v>
      </c>
      <c r="N11" s="3516">
        <f>HLOOKUP($N$6,$G$6:N11,ROWS($O$6:O11),FALSE)</f>
        <v>80</v>
      </c>
      <c r="O11" s="3008"/>
      <c r="P11" s="39"/>
      <c r="Q11"/>
      <c r="R11"/>
      <c r="S11"/>
      <c r="T11" s="27"/>
      <c r="U11" s="27"/>
      <c r="V11" s="27"/>
      <c r="W11" s="27"/>
      <c r="X11" s="27"/>
      <c r="Y11" s="27"/>
      <c r="Z11" s="27"/>
      <c r="AA11" s="27"/>
      <c r="AG11" s="27"/>
      <c r="AH11" s="27"/>
      <c r="AI11" s="27"/>
      <c r="AJ11" s="27"/>
      <c r="AK11" s="27"/>
      <c r="AL11" s="27"/>
      <c r="AM11" s="27"/>
      <c r="AN11" s="27"/>
      <c r="AO11" s="27"/>
      <c r="AP11" s="27"/>
      <c r="AQ11" s="27"/>
    </row>
    <row r="12" spans="1:43" s="177" customFormat="1" ht="16.95" customHeight="1">
      <c r="B12" s="2507">
        <f>B11+1</f>
        <v>2</v>
      </c>
      <c r="C12" s="2881" t="s">
        <v>1508</v>
      </c>
      <c r="D12" s="2872"/>
      <c r="E12" s="2872"/>
      <c r="F12" s="2873"/>
      <c r="G12" s="300">
        <v>350</v>
      </c>
      <c r="H12" s="300">
        <v>350</v>
      </c>
      <c r="I12" s="300">
        <v>350</v>
      </c>
      <c r="J12" s="300">
        <v>350</v>
      </c>
      <c r="K12" s="300">
        <v>350</v>
      </c>
      <c r="L12" s="273">
        <v>430</v>
      </c>
      <c r="M12" s="298">
        <v>430</v>
      </c>
      <c r="N12" s="272">
        <f>HLOOKUP($N$6,$G$6:N12,ROWS($O$6:O12),FALSE)</f>
        <v>430</v>
      </c>
      <c r="Q12" s="302"/>
      <c r="R12" s="27"/>
      <c r="S12" s="27"/>
      <c r="T12" s="27"/>
      <c r="U12" s="27"/>
      <c r="V12" s="27"/>
      <c r="W12" s="27"/>
      <c r="X12" s="27"/>
      <c r="Y12" s="27"/>
      <c r="Z12" s="27"/>
      <c r="AA12" s="27"/>
      <c r="AG12" s="27"/>
      <c r="AH12" s="27"/>
      <c r="AI12" s="27"/>
      <c r="AJ12" s="27"/>
      <c r="AK12" s="27"/>
      <c r="AL12" s="27"/>
      <c r="AM12" s="27"/>
      <c r="AN12" s="27"/>
      <c r="AO12" s="27"/>
      <c r="AP12" s="27"/>
      <c r="AQ12" s="27"/>
    </row>
    <row r="13" spans="1:43" s="177" customFormat="1" ht="16.95" customHeight="1">
      <c r="B13" s="2507">
        <f>B12+1</f>
        <v>3</v>
      </c>
      <c r="C13" s="2881" t="s">
        <v>1509</v>
      </c>
      <c r="D13" s="2458"/>
      <c r="E13" s="2458"/>
      <c r="F13" s="2459"/>
      <c r="G13" s="2188">
        <v>935</v>
      </c>
      <c r="H13" s="300">
        <v>935</v>
      </c>
      <c r="I13" s="300">
        <v>935</v>
      </c>
      <c r="J13" s="300">
        <v>935</v>
      </c>
      <c r="K13" s="300">
        <v>935</v>
      </c>
      <c r="L13" s="273">
        <v>950</v>
      </c>
      <c r="M13" s="298">
        <v>950</v>
      </c>
      <c r="N13" s="272">
        <f>HLOOKUP($N$6,$G$6:N13,ROWS($O$6:O13),FALSE)</f>
        <v>950</v>
      </c>
      <c r="P13" s="39"/>
      <c r="Q13" s="27"/>
      <c r="R13" s="27"/>
      <c r="S13" s="27"/>
      <c r="T13" s="27"/>
      <c r="U13" s="27"/>
      <c r="V13" s="27"/>
      <c r="W13" s="27"/>
      <c r="X13" s="27"/>
      <c r="Y13" s="27"/>
      <c r="Z13" s="27"/>
      <c r="AA13" s="27"/>
      <c r="AG13" s="27"/>
      <c r="AH13" s="27"/>
      <c r="AI13" s="27"/>
      <c r="AJ13" s="27"/>
      <c r="AK13" s="27"/>
      <c r="AL13" s="27"/>
      <c r="AM13" s="27"/>
      <c r="AN13" s="27"/>
      <c r="AO13" s="27"/>
      <c r="AP13" s="27"/>
      <c r="AQ13" s="27"/>
    </row>
    <row r="14" spans="1:43" s="36" customFormat="1" ht="16.95" customHeight="1">
      <c r="B14" s="2507">
        <f t="shared" ref="B14:B50" si="0">B13+1</f>
        <v>4</v>
      </c>
      <c r="C14" s="2881" t="s">
        <v>1510</v>
      </c>
      <c r="D14" s="2458"/>
      <c r="E14" s="2458"/>
      <c r="F14" s="2459"/>
      <c r="G14" s="2188">
        <v>1275</v>
      </c>
      <c r="H14" s="300">
        <v>1275</v>
      </c>
      <c r="I14" s="300">
        <v>1275</v>
      </c>
      <c r="J14" s="300">
        <v>1275</v>
      </c>
      <c r="K14" s="300">
        <v>1275</v>
      </c>
      <c r="L14" s="273">
        <v>1450</v>
      </c>
      <c r="M14" s="298">
        <v>1450</v>
      </c>
      <c r="N14" s="272">
        <f>HLOOKUP($N$6,$G$6:N14,ROWS($O$6:O14),FALSE)</f>
        <v>1450</v>
      </c>
      <c r="P14" s="39"/>
      <c r="Q14" s="2875"/>
      <c r="R14" s="27"/>
      <c r="S14" s="27"/>
      <c r="T14" s="27"/>
      <c r="U14" s="27"/>
      <c r="V14" s="27"/>
      <c r="W14" s="27"/>
      <c r="X14" s="27"/>
      <c r="Y14" s="27"/>
      <c r="Z14" s="27"/>
      <c r="AA14" s="27"/>
      <c r="AG14" s="27"/>
      <c r="AH14" s="27"/>
      <c r="AI14" s="27"/>
      <c r="AJ14" s="27"/>
      <c r="AK14" s="27"/>
      <c r="AL14" s="27"/>
      <c r="AM14" s="27"/>
      <c r="AN14" s="27"/>
      <c r="AO14" s="27"/>
      <c r="AP14" s="27"/>
      <c r="AQ14" s="27"/>
    </row>
    <row r="15" spans="1:43" s="36" customFormat="1" ht="16.5" customHeight="1">
      <c r="B15" s="2507">
        <f t="shared" si="0"/>
        <v>5</v>
      </c>
      <c r="C15" s="2883" t="s">
        <v>1511</v>
      </c>
      <c r="D15" s="2508"/>
      <c r="E15" s="2508"/>
      <c r="F15" s="2243"/>
      <c r="G15" s="300">
        <v>230</v>
      </c>
      <c r="H15" s="300">
        <v>230</v>
      </c>
      <c r="I15" s="300">
        <v>230</v>
      </c>
      <c r="J15" s="300">
        <v>230</v>
      </c>
      <c r="K15" s="300">
        <v>230</v>
      </c>
      <c r="L15" s="273">
        <v>240</v>
      </c>
      <c r="M15" s="298">
        <v>240</v>
      </c>
      <c r="N15" s="272">
        <f>HLOOKUP($N$6,$G$6:N15,ROWS($O$6:O15),FALSE)</f>
        <v>240</v>
      </c>
      <c r="P15" s="39"/>
      <c r="Q15" s="27"/>
      <c r="R15" s="27"/>
      <c r="S15" s="27"/>
      <c r="T15" s="27"/>
      <c r="U15" s="27"/>
      <c r="V15" s="27"/>
      <c r="W15" s="27"/>
      <c r="X15" s="27"/>
      <c r="Y15" s="27"/>
      <c r="Z15" s="27"/>
      <c r="AA15" s="27"/>
      <c r="AG15" s="27"/>
      <c r="AH15" s="27"/>
      <c r="AI15" s="27"/>
      <c r="AJ15" s="27"/>
      <c r="AK15" s="27"/>
      <c r="AL15" s="27"/>
      <c r="AM15" s="27"/>
      <c r="AN15" s="27"/>
      <c r="AO15" s="27"/>
      <c r="AP15" s="27"/>
      <c r="AQ15" s="27"/>
    </row>
    <row r="16" spans="1:43" s="36" customFormat="1" ht="16.95" customHeight="1">
      <c r="B16" s="2507">
        <f t="shared" si="0"/>
        <v>6</v>
      </c>
      <c r="C16" s="2883" t="s">
        <v>1512</v>
      </c>
      <c r="D16" s="2508"/>
      <c r="E16" s="2508"/>
      <c r="F16" s="2243"/>
      <c r="G16" s="2188">
        <v>550</v>
      </c>
      <c r="H16" s="300">
        <v>550</v>
      </c>
      <c r="I16" s="300">
        <v>550</v>
      </c>
      <c r="J16" s="300">
        <v>550</v>
      </c>
      <c r="K16" s="300">
        <v>550</v>
      </c>
      <c r="L16" s="273">
        <v>680</v>
      </c>
      <c r="M16" s="298">
        <v>680</v>
      </c>
      <c r="N16" s="272">
        <f>HLOOKUP($N$6,$G$6:N16,ROWS($O$6:O16),FALSE)</f>
        <v>680</v>
      </c>
      <c r="P16" s="39"/>
      <c r="Q16" s="27"/>
      <c r="R16" s="27"/>
      <c r="S16" s="27"/>
      <c r="T16" s="27"/>
      <c r="U16" s="27"/>
      <c r="V16" s="27"/>
      <c r="W16" s="27"/>
      <c r="X16" s="27"/>
      <c r="Y16" s="27"/>
      <c r="Z16" s="27"/>
      <c r="AA16" s="27"/>
      <c r="AG16" s="27"/>
      <c r="AH16" s="27"/>
      <c r="AI16" s="27"/>
      <c r="AJ16" s="27"/>
      <c r="AK16" s="27"/>
      <c r="AL16" s="27"/>
      <c r="AM16" s="27"/>
      <c r="AN16" s="27"/>
      <c r="AO16" s="27"/>
      <c r="AP16" s="27"/>
      <c r="AQ16" s="27"/>
    </row>
    <row r="17" spans="2:43" s="36" customFormat="1" ht="16.95" customHeight="1">
      <c r="B17" s="2507">
        <f t="shared" si="0"/>
        <v>7</v>
      </c>
      <c r="C17" s="2881" t="s">
        <v>1513</v>
      </c>
      <c r="D17" s="2245"/>
      <c r="E17" s="2245"/>
      <c r="F17" s="2246"/>
      <c r="G17" s="2188">
        <v>750</v>
      </c>
      <c r="H17" s="300">
        <v>750</v>
      </c>
      <c r="I17" s="300">
        <v>750</v>
      </c>
      <c r="J17" s="300">
        <v>750</v>
      </c>
      <c r="K17" s="300">
        <v>750</v>
      </c>
      <c r="L17" s="273">
        <v>1000</v>
      </c>
      <c r="M17" s="298">
        <v>1000</v>
      </c>
      <c r="N17" s="272">
        <f>HLOOKUP($N$6,$G$6:N17,ROWS($O$6:O17),FALSE)</f>
        <v>1000</v>
      </c>
      <c r="P17" s="301"/>
      <c r="Q17" s="31"/>
      <c r="R17" s="27"/>
      <c r="S17" s="27"/>
      <c r="T17" s="27"/>
      <c r="U17" s="27"/>
      <c r="V17" s="27"/>
      <c r="W17" s="27"/>
      <c r="X17" s="27"/>
      <c r="Y17" s="27"/>
      <c r="Z17" s="27"/>
      <c r="AA17" s="27"/>
      <c r="AG17" s="27"/>
      <c r="AH17" s="27"/>
      <c r="AI17" s="27"/>
      <c r="AJ17" s="27"/>
      <c r="AK17" s="27"/>
      <c r="AL17" s="27"/>
      <c r="AM17" s="27"/>
      <c r="AN17" s="27"/>
      <c r="AO17" s="27"/>
      <c r="AP17" s="27"/>
      <c r="AQ17" s="27"/>
    </row>
    <row r="18" spans="2:43" s="36" customFormat="1" ht="15.6" customHeight="1">
      <c r="B18" s="2507"/>
      <c r="C18" s="3006" t="s">
        <v>1587</v>
      </c>
      <c r="D18" s="3004"/>
      <c r="E18" s="3005"/>
      <c r="F18" s="3005"/>
      <c r="G18" s="2188"/>
      <c r="H18" s="300"/>
      <c r="I18" s="300"/>
      <c r="J18" s="300"/>
      <c r="K18" s="300"/>
      <c r="L18" s="273"/>
      <c r="M18" s="298">
        <v>40</v>
      </c>
      <c r="N18" s="272"/>
      <c r="P18" s="301"/>
      <c r="Q18" s="31"/>
      <c r="R18" s="2996"/>
      <c r="S18" s="2996"/>
      <c r="T18" s="2996"/>
      <c r="U18" s="2996"/>
      <c r="V18" s="2996"/>
      <c r="W18" s="2996"/>
      <c r="X18" s="2996"/>
      <c r="Y18" s="2996"/>
      <c r="Z18" s="2996"/>
      <c r="AA18" s="2996"/>
      <c r="AG18" s="2996"/>
      <c r="AH18" s="2996"/>
      <c r="AI18" s="2996"/>
      <c r="AJ18" s="2996"/>
      <c r="AK18" s="2996"/>
      <c r="AL18" s="2996"/>
      <c r="AM18" s="2996"/>
      <c r="AN18" s="2996"/>
      <c r="AO18" s="2996"/>
      <c r="AP18" s="2996"/>
      <c r="AQ18" s="2996"/>
    </row>
    <row r="19" spans="2:43" s="36" customFormat="1" ht="16.5" customHeight="1">
      <c r="B19" s="2507">
        <f>B17+1</f>
        <v>8</v>
      </c>
      <c r="C19" s="2878" t="s">
        <v>1514</v>
      </c>
      <c r="D19" s="2509"/>
      <c r="E19" s="2509"/>
      <c r="F19" s="2460"/>
      <c r="G19" s="300">
        <v>90</v>
      </c>
      <c r="H19" s="300">
        <v>90</v>
      </c>
      <c r="I19" s="300">
        <v>90</v>
      </c>
      <c r="J19" s="300">
        <v>90</v>
      </c>
      <c r="K19" s="300">
        <v>90</v>
      </c>
      <c r="L19" s="273">
        <v>100</v>
      </c>
      <c r="M19" s="298">
        <v>100</v>
      </c>
      <c r="N19" s="272">
        <f>HLOOKUP($N$6,$G$6:N19,ROWS($O$6:O19),FALSE)</f>
        <v>100</v>
      </c>
      <c r="P19" s="39"/>
      <c r="Q19" s="27"/>
      <c r="R19" s="27"/>
      <c r="S19" s="27"/>
      <c r="T19" s="27"/>
      <c r="U19" s="27"/>
      <c r="V19" s="27"/>
      <c r="W19" s="27"/>
      <c r="X19" s="27"/>
      <c r="Y19" s="27"/>
      <c r="Z19" s="27"/>
      <c r="AA19" s="27"/>
      <c r="AG19" s="27"/>
      <c r="AH19" s="27"/>
      <c r="AI19" s="27"/>
      <c r="AJ19" s="27"/>
      <c r="AK19" s="27"/>
      <c r="AL19" s="27"/>
      <c r="AM19" s="27"/>
      <c r="AN19" s="27"/>
      <c r="AO19" s="27"/>
      <c r="AP19" s="27"/>
      <c r="AQ19" s="27"/>
    </row>
    <row r="20" spans="2:43" s="36" customFormat="1" ht="16.95" customHeight="1">
      <c r="B20" s="2507">
        <f t="shared" si="0"/>
        <v>9</v>
      </c>
      <c r="C20" s="2878" t="s">
        <v>1515</v>
      </c>
      <c r="D20" s="2509"/>
      <c r="E20" s="2509"/>
      <c r="F20" s="2460"/>
      <c r="G20" s="300">
        <v>80</v>
      </c>
      <c r="H20" s="300">
        <v>80</v>
      </c>
      <c r="I20" s="300">
        <v>80</v>
      </c>
      <c r="J20" s="300">
        <v>80</v>
      </c>
      <c r="K20" s="300">
        <v>80</v>
      </c>
      <c r="L20" s="273">
        <v>80</v>
      </c>
      <c r="M20" s="298">
        <v>80</v>
      </c>
      <c r="N20" s="272">
        <f>HLOOKUP($N$6,$G$6:N20,ROWS($O$6:O20),FALSE)</f>
        <v>80</v>
      </c>
      <c r="P20" s="39"/>
      <c r="Q20" s="27"/>
      <c r="R20" s="27"/>
      <c r="S20" s="27"/>
      <c r="T20" s="27"/>
      <c r="U20" s="27"/>
      <c r="V20" s="27"/>
      <c r="W20" s="27"/>
      <c r="X20" s="27"/>
      <c r="Y20" s="27"/>
      <c r="Z20" s="27"/>
      <c r="AA20" s="27"/>
      <c r="AG20" s="27"/>
      <c r="AH20" s="27"/>
      <c r="AI20" s="27"/>
      <c r="AJ20" s="27"/>
      <c r="AK20" s="27"/>
      <c r="AL20" s="27"/>
      <c r="AM20" s="27"/>
      <c r="AN20" s="27"/>
      <c r="AO20" s="27"/>
      <c r="AP20" s="27"/>
      <c r="AQ20" s="27"/>
    </row>
    <row r="21" spans="2:43" s="36" customFormat="1" ht="16.95" customHeight="1">
      <c r="B21" s="2507">
        <f t="shared" si="0"/>
        <v>10</v>
      </c>
      <c r="C21" s="2244" t="s">
        <v>1516</v>
      </c>
      <c r="D21" s="2245"/>
      <c r="E21" s="2245"/>
      <c r="F21" s="2246"/>
      <c r="G21" s="300">
        <v>60</v>
      </c>
      <c r="H21" s="300">
        <v>60</v>
      </c>
      <c r="I21" s="300">
        <v>60</v>
      </c>
      <c r="J21" s="300">
        <v>60</v>
      </c>
      <c r="K21" s="300">
        <v>60</v>
      </c>
      <c r="L21" s="273">
        <v>60</v>
      </c>
      <c r="M21" s="298">
        <v>60</v>
      </c>
      <c r="N21" s="272">
        <f>HLOOKUP($N$6,$G$6:N21,ROWS($O$6:O21),FALSE)</f>
        <v>60</v>
      </c>
      <c r="P21" s="39"/>
      <c r="Q21" s="31"/>
      <c r="R21" s="27"/>
      <c r="S21" s="27"/>
      <c r="T21" s="27"/>
      <c r="U21" s="27"/>
      <c r="V21" s="27"/>
      <c r="W21" s="27"/>
      <c r="X21" s="27"/>
      <c r="Y21" s="27"/>
      <c r="Z21" s="27"/>
      <c r="AA21" s="27"/>
      <c r="AG21" s="27"/>
      <c r="AH21" s="27"/>
      <c r="AI21" s="27"/>
      <c r="AJ21" s="27"/>
      <c r="AK21" s="27"/>
      <c r="AL21" s="27"/>
      <c r="AM21" s="27"/>
      <c r="AN21" s="27"/>
      <c r="AO21" s="27"/>
      <c r="AP21" s="27"/>
      <c r="AQ21" s="27"/>
    </row>
    <row r="22" spans="2:43" s="36" customFormat="1" ht="16.95" customHeight="1">
      <c r="B22" s="2507">
        <f t="shared" si="0"/>
        <v>11</v>
      </c>
      <c r="C22" s="2881" t="s">
        <v>1517</v>
      </c>
      <c r="D22" s="2245"/>
      <c r="E22" s="2245"/>
      <c r="F22" s="2246"/>
      <c r="G22" s="300"/>
      <c r="H22" s="300">
        <v>540</v>
      </c>
      <c r="I22" s="300">
        <v>540</v>
      </c>
      <c r="J22" s="300">
        <v>540</v>
      </c>
      <c r="K22" s="300">
        <v>540</v>
      </c>
      <c r="L22" s="273">
        <v>650</v>
      </c>
      <c r="M22" s="298">
        <v>650</v>
      </c>
      <c r="N22" s="272">
        <f>HLOOKUP($N$6,$G$6:N22,ROWS($O$6:O22),FALSE)</f>
        <v>650</v>
      </c>
      <c r="P22" s="39"/>
      <c r="Q22" s="31"/>
      <c r="R22" s="27"/>
      <c r="S22" s="27"/>
      <c r="T22" s="27"/>
      <c r="U22" s="27"/>
      <c r="V22" s="27"/>
      <c r="W22" s="27"/>
      <c r="X22" s="27"/>
      <c r="Y22" s="27"/>
      <c r="Z22" s="27"/>
      <c r="AA22" s="27"/>
      <c r="AG22" s="27"/>
      <c r="AH22" s="27"/>
      <c r="AI22" s="27"/>
      <c r="AJ22" s="27"/>
      <c r="AK22" s="27"/>
      <c r="AL22" s="27"/>
      <c r="AM22" s="27"/>
      <c r="AN22" s="27"/>
      <c r="AO22" s="27"/>
      <c r="AP22" s="27"/>
      <c r="AQ22" s="27"/>
    </row>
    <row r="23" spans="2:43" s="36" customFormat="1" ht="16.95" customHeight="1">
      <c r="B23" s="2507">
        <f t="shared" si="0"/>
        <v>12</v>
      </c>
      <c r="C23" s="2244" t="s">
        <v>1518</v>
      </c>
      <c r="D23" s="2245"/>
      <c r="E23" s="2245"/>
      <c r="F23" s="2246"/>
      <c r="G23" s="300"/>
      <c r="H23" s="300">
        <v>730</v>
      </c>
      <c r="I23" s="300">
        <v>730</v>
      </c>
      <c r="J23" s="300">
        <v>730</v>
      </c>
      <c r="K23" s="300">
        <v>730</v>
      </c>
      <c r="L23" s="273">
        <v>730</v>
      </c>
      <c r="M23" s="298">
        <v>730</v>
      </c>
      <c r="N23" s="272">
        <f>HLOOKUP($N$6,$G$6:N23,ROWS($O$6:O23),FALSE)</f>
        <v>730</v>
      </c>
      <c r="P23" s="173"/>
      <c r="Q23" s="31"/>
      <c r="R23" s="27"/>
      <c r="S23" s="27"/>
      <c r="T23" s="27"/>
      <c r="U23" s="27"/>
      <c r="V23" s="27"/>
      <c r="W23" s="27"/>
      <c r="X23" s="27"/>
      <c r="Y23" s="27"/>
      <c r="Z23" s="27"/>
      <c r="AA23" s="27"/>
      <c r="AG23" s="27"/>
      <c r="AH23" s="27"/>
      <c r="AI23" s="27"/>
      <c r="AJ23" s="27"/>
      <c r="AK23" s="27"/>
      <c r="AL23" s="27"/>
      <c r="AM23" s="27"/>
      <c r="AN23" s="27"/>
      <c r="AO23" s="27"/>
      <c r="AP23" s="27"/>
      <c r="AQ23" s="27"/>
    </row>
    <row r="24" spans="2:43" s="36" customFormat="1" ht="16.95" customHeight="1">
      <c r="B24" s="2507">
        <f t="shared" si="0"/>
        <v>13</v>
      </c>
      <c r="C24" s="2244" t="s">
        <v>1519</v>
      </c>
      <c r="D24" s="2245"/>
      <c r="E24" s="2245"/>
      <c r="F24" s="2246"/>
      <c r="G24" s="300"/>
      <c r="H24" s="300"/>
      <c r="I24" s="300"/>
      <c r="J24" s="300"/>
      <c r="K24" s="300"/>
      <c r="L24" s="273">
        <v>130</v>
      </c>
      <c r="M24" s="298">
        <v>130</v>
      </c>
      <c r="N24" s="272">
        <f>HLOOKUP($N$6,$G$6:N24,ROWS($O$6:O24),FALSE)</f>
        <v>130</v>
      </c>
      <c r="P24" s="39"/>
      <c r="Q24" s="31"/>
      <c r="R24" s="27"/>
      <c r="S24" s="27"/>
      <c r="T24" s="27"/>
      <c r="U24" s="27"/>
      <c r="V24" s="27"/>
      <c r="W24" s="27"/>
      <c r="X24" s="27"/>
      <c r="Y24" s="27"/>
      <c r="Z24" s="27"/>
      <c r="AA24" s="27"/>
      <c r="AG24" s="27"/>
      <c r="AH24" s="27"/>
      <c r="AI24" s="27"/>
      <c r="AJ24" s="27"/>
      <c r="AK24" s="27"/>
      <c r="AL24" s="27"/>
      <c r="AM24" s="27"/>
      <c r="AN24" s="27"/>
      <c r="AO24" s="27"/>
      <c r="AP24" s="27"/>
      <c r="AQ24" s="27"/>
    </row>
    <row r="25" spans="2:43" s="36" customFormat="1" ht="16.95" customHeight="1">
      <c r="B25" s="2507">
        <f t="shared" si="0"/>
        <v>14</v>
      </c>
      <c r="C25" s="2244" t="s">
        <v>1520</v>
      </c>
      <c r="D25" s="2458"/>
      <c r="E25" s="2458"/>
      <c r="F25" s="2459"/>
      <c r="G25" s="300"/>
      <c r="H25" s="300"/>
      <c r="I25" s="300"/>
      <c r="J25" s="300"/>
      <c r="K25" s="300"/>
      <c r="L25" s="273">
        <v>100</v>
      </c>
      <c r="M25" s="298">
        <v>100</v>
      </c>
      <c r="N25" s="272">
        <f>HLOOKUP($N$6,$G$6:N25,ROWS($O$6:O25),FALSE)</f>
        <v>100</v>
      </c>
      <c r="P25" s="39"/>
      <c r="Q25" s="27"/>
      <c r="R25" s="27"/>
      <c r="S25" s="27"/>
      <c r="T25" s="27"/>
      <c r="U25" s="27"/>
      <c r="V25" s="27"/>
      <c r="W25" s="27"/>
      <c r="X25" s="27"/>
      <c r="Y25" s="27"/>
      <c r="Z25" s="27"/>
      <c r="AA25" s="27"/>
      <c r="AG25" s="27"/>
      <c r="AH25" s="27"/>
      <c r="AI25" s="27"/>
      <c r="AJ25" s="27"/>
      <c r="AK25" s="27"/>
      <c r="AL25" s="27"/>
      <c r="AM25" s="27"/>
      <c r="AN25" s="27"/>
      <c r="AO25" s="27"/>
      <c r="AP25" s="27"/>
      <c r="AQ25" s="27"/>
    </row>
    <row r="26" spans="2:43" s="36" customFormat="1" ht="16.95" customHeight="1">
      <c r="B26" s="2507">
        <f t="shared" si="0"/>
        <v>15</v>
      </c>
      <c r="C26" s="2244" t="s">
        <v>1521</v>
      </c>
      <c r="D26" s="2458"/>
      <c r="E26" s="2458"/>
      <c r="F26" s="2459"/>
      <c r="G26" s="300"/>
      <c r="H26" s="300"/>
      <c r="I26" s="300"/>
      <c r="J26" s="300"/>
      <c r="K26" s="300"/>
      <c r="L26" s="273">
        <v>50</v>
      </c>
      <c r="M26" s="298">
        <v>50</v>
      </c>
      <c r="N26" s="272">
        <f>HLOOKUP($N$6,$G$6:N26,ROWS($O$6:O26),FALSE)</f>
        <v>50</v>
      </c>
      <c r="P26" s="39"/>
      <c r="Q26" s="27"/>
      <c r="R26" s="27"/>
      <c r="S26" s="27"/>
      <c r="T26" s="27"/>
      <c r="U26" s="27"/>
      <c r="V26" s="27"/>
      <c r="W26" s="27"/>
      <c r="X26" s="27"/>
      <c r="Y26" s="27"/>
      <c r="Z26" s="27"/>
      <c r="AA26" s="27"/>
      <c r="AG26" s="27"/>
      <c r="AH26" s="27"/>
      <c r="AI26" s="27"/>
      <c r="AJ26" s="27"/>
      <c r="AK26" s="27"/>
      <c r="AL26" s="27"/>
      <c r="AM26" s="27"/>
      <c r="AN26" s="27"/>
      <c r="AO26" s="27"/>
      <c r="AP26" s="27"/>
      <c r="AQ26" s="27"/>
    </row>
    <row r="27" spans="2:43" s="36" customFormat="1" ht="16.95" customHeight="1">
      <c r="B27" s="2507">
        <f t="shared" si="0"/>
        <v>16</v>
      </c>
      <c r="C27" s="2244" t="s">
        <v>1522</v>
      </c>
      <c r="D27" s="2876"/>
      <c r="E27" s="2876"/>
      <c r="F27" s="2877"/>
      <c r="G27" s="300"/>
      <c r="H27" s="300"/>
      <c r="I27" s="300"/>
      <c r="J27" s="300"/>
      <c r="K27" s="300"/>
      <c r="L27" s="273">
        <v>150</v>
      </c>
      <c r="M27" s="298">
        <v>150</v>
      </c>
      <c r="N27" s="272"/>
      <c r="P27" s="2783"/>
      <c r="Q27" s="2875"/>
      <c r="R27" s="2875"/>
      <c r="S27" s="2875"/>
      <c r="T27" s="2875"/>
      <c r="U27" s="2875"/>
      <c r="V27" s="2875"/>
      <c r="W27" s="2875"/>
      <c r="X27" s="2875"/>
      <c r="Y27" s="2875"/>
      <c r="Z27" s="2875"/>
      <c r="AA27" s="2875"/>
      <c r="AG27" s="2875"/>
      <c r="AH27" s="2875"/>
      <c r="AI27" s="2875"/>
      <c r="AJ27" s="2875"/>
      <c r="AK27" s="2875"/>
      <c r="AL27" s="2875"/>
      <c r="AM27" s="2875"/>
      <c r="AN27" s="2875"/>
      <c r="AO27" s="2875"/>
      <c r="AP27" s="2875"/>
      <c r="AQ27" s="2875"/>
    </row>
    <row r="28" spans="2:43" s="36" customFormat="1" ht="16.95" customHeight="1">
      <c r="B28" s="2507">
        <f t="shared" si="0"/>
        <v>17</v>
      </c>
      <c r="C28" s="2244" t="s">
        <v>1523</v>
      </c>
      <c r="D28" s="2876"/>
      <c r="E28" s="2876"/>
      <c r="F28" s="2877"/>
      <c r="G28" s="300"/>
      <c r="H28" s="300"/>
      <c r="I28" s="300"/>
      <c r="J28" s="300"/>
      <c r="K28" s="300"/>
      <c r="L28" s="273">
        <v>230</v>
      </c>
      <c r="M28" s="298">
        <v>230</v>
      </c>
      <c r="N28" s="272"/>
      <c r="P28" s="2783"/>
      <c r="Q28" s="2875"/>
      <c r="R28" s="2875"/>
      <c r="S28" s="2875"/>
      <c r="T28" s="2875"/>
      <c r="U28" s="2875"/>
      <c r="V28" s="2875"/>
      <c r="W28" s="2875"/>
      <c r="X28" s="2875"/>
      <c r="Y28" s="2875"/>
      <c r="Z28" s="2875"/>
      <c r="AA28" s="2875"/>
      <c r="AG28" s="2875"/>
      <c r="AH28" s="2875"/>
      <c r="AI28" s="2875"/>
      <c r="AJ28" s="2875"/>
      <c r="AK28" s="2875"/>
      <c r="AL28" s="2875"/>
      <c r="AM28" s="2875"/>
      <c r="AN28" s="2875"/>
      <c r="AO28" s="2875"/>
      <c r="AP28" s="2875"/>
      <c r="AQ28" s="2875"/>
    </row>
    <row r="29" spans="2:43" s="36" customFormat="1" ht="16.95" customHeight="1">
      <c r="B29" s="2507">
        <f t="shared" si="0"/>
        <v>18</v>
      </c>
      <c r="C29" s="2881" t="s">
        <v>1524</v>
      </c>
      <c r="D29" s="2876"/>
      <c r="E29" s="2876"/>
      <c r="F29" s="2877"/>
      <c r="G29" s="300"/>
      <c r="H29" s="300"/>
      <c r="I29" s="300"/>
      <c r="J29" s="300"/>
      <c r="K29" s="300"/>
      <c r="L29" s="273">
        <v>500</v>
      </c>
      <c r="M29" s="298">
        <v>500</v>
      </c>
      <c r="N29" s="272"/>
      <c r="P29" s="2783"/>
      <c r="Q29" s="2875"/>
      <c r="R29" s="2875"/>
      <c r="S29" s="2875"/>
      <c r="T29" s="2875"/>
      <c r="U29" s="2875"/>
      <c r="V29" s="2875"/>
      <c r="W29" s="2875"/>
      <c r="X29" s="2875"/>
      <c r="Y29" s="2875"/>
      <c r="Z29" s="2875"/>
      <c r="AA29" s="2875"/>
      <c r="AG29" s="2875"/>
      <c r="AH29" s="2875"/>
      <c r="AI29" s="2875"/>
      <c r="AJ29" s="2875"/>
      <c r="AK29" s="2875"/>
      <c r="AL29" s="2875"/>
      <c r="AM29" s="2875"/>
      <c r="AN29" s="2875"/>
      <c r="AO29" s="2875"/>
      <c r="AP29" s="2875"/>
      <c r="AQ29" s="2875"/>
    </row>
    <row r="30" spans="2:43" s="36" customFormat="1" ht="16.95" customHeight="1">
      <c r="B30" s="2507">
        <f t="shared" si="0"/>
        <v>19</v>
      </c>
      <c r="C30" s="2244" t="s">
        <v>1525</v>
      </c>
      <c r="D30" s="2458"/>
      <c r="E30" s="2458"/>
      <c r="F30" s="2459"/>
      <c r="G30" s="300"/>
      <c r="H30" s="300"/>
      <c r="I30" s="300"/>
      <c r="J30" s="300"/>
      <c r="K30" s="300"/>
      <c r="L30" s="273">
        <v>260</v>
      </c>
      <c r="M30" s="298">
        <v>260</v>
      </c>
      <c r="N30" s="272">
        <f>HLOOKUP($N$6,$G$6:N30,ROWS($O$6:O30),FALSE)</f>
        <v>260</v>
      </c>
      <c r="P30" s="39"/>
      <c r="Q30" s="27"/>
      <c r="R30" s="27"/>
      <c r="S30" s="27"/>
      <c r="T30" s="27"/>
      <c r="U30" s="27"/>
      <c r="V30" s="27"/>
      <c r="W30" s="27"/>
      <c r="X30" s="27"/>
      <c r="Y30" s="27"/>
      <c r="Z30" s="27"/>
      <c r="AA30" s="27"/>
      <c r="AG30" s="27"/>
      <c r="AH30" s="27"/>
      <c r="AI30" s="27"/>
      <c r="AJ30" s="27"/>
      <c r="AK30" s="27"/>
      <c r="AL30" s="27"/>
      <c r="AM30" s="27"/>
      <c r="AN30" s="27"/>
      <c r="AO30" s="27"/>
      <c r="AP30" s="27"/>
      <c r="AQ30" s="27"/>
    </row>
    <row r="31" spans="2:43" s="36" customFormat="1" ht="16.95" customHeight="1">
      <c r="B31" s="2507">
        <f t="shared" si="0"/>
        <v>20</v>
      </c>
      <c r="C31" s="2244" t="s">
        <v>1526</v>
      </c>
      <c r="D31" s="2458"/>
      <c r="E31" s="2458"/>
      <c r="F31" s="2459"/>
      <c r="G31" s="300">
        <v>80</v>
      </c>
      <c r="H31" s="300">
        <v>80</v>
      </c>
      <c r="I31" s="300">
        <v>80</v>
      </c>
      <c r="J31" s="300">
        <v>80</v>
      </c>
      <c r="K31" s="300">
        <v>80</v>
      </c>
      <c r="L31" s="273">
        <v>50</v>
      </c>
      <c r="M31" s="298">
        <v>50</v>
      </c>
      <c r="N31" s="272">
        <f>HLOOKUP($N$6,$G$6:N31,ROWS($O$6:O31),FALSE)</f>
        <v>50</v>
      </c>
      <c r="P31" s="39"/>
      <c r="Q31" s="27"/>
      <c r="R31" s="27"/>
      <c r="S31" s="27"/>
      <c r="T31" s="27"/>
      <c r="U31" s="27"/>
      <c r="V31" s="27"/>
      <c r="W31" s="27"/>
      <c r="X31" s="27"/>
      <c r="Y31" s="27"/>
      <c r="Z31" s="27"/>
      <c r="AA31" s="27"/>
      <c r="AG31" s="27"/>
      <c r="AH31" s="27"/>
      <c r="AI31" s="27"/>
      <c r="AJ31" s="27"/>
      <c r="AK31" s="27"/>
      <c r="AL31" s="27"/>
      <c r="AM31" s="27"/>
      <c r="AN31" s="27"/>
      <c r="AO31" s="27"/>
      <c r="AP31" s="27"/>
      <c r="AQ31" s="27"/>
    </row>
    <row r="32" spans="2:43" s="36" customFormat="1" ht="16.95" customHeight="1">
      <c r="B32" s="2507">
        <f t="shared" si="0"/>
        <v>21</v>
      </c>
      <c r="C32" s="2244" t="s">
        <v>1527</v>
      </c>
      <c r="D32" s="2458"/>
      <c r="E32" s="2458"/>
      <c r="F32" s="2459"/>
      <c r="G32" s="300">
        <v>120</v>
      </c>
      <c r="H32" s="300">
        <v>120</v>
      </c>
      <c r="I32" s="300">
        <v>120</v>
      </c>
      <c r="J32" s="300">
        <v>120</v>
      </c>
      <c r="K32" s="300">
        <v>120</v>
      </c>
      <c r="L32" s="273">
        <v>100</v>
      </c>
      <c r="M32" s="298">
        <v>100</v>
      </c>
      <c r="N32" s="272">
        <f>HLOOKUP($N$6,$G$6:N32,ROWS($O$6:O32),FALSE)</f>
        <v>100</v>
      </c>
      <c r="P32" s="39"/>
      <c r="Q32" s="27"/>
      <c r="R32" s="27"/>
      <c r="S32" s="27"/>
      <c r="T32" s="27"/>
      <c r="U32" s="27"/>
      <c r="V32" s="27"/>
      <c r="W32" s="27"/>
      <c r="X32" s="27"/>
      <c r="Y32" s="27"/>
      <c r="Z32" s="27"/>
      <c r="AA32" s="27"/>
      <c r="AG32" s="27"/>
      <c r="AH32" s="27"/>
      <c r="AI32" s="27"/>
      <c r="AJ32" s="27"/>
      <c r="AK32" s="27"/>
      <c r="AL32" s="27"/>
      <c r="AM32" s="27"/>
      <c r="AN32" s="27"/>
      <c r="AO32" s="27"/>
      <c r="AP32" s="27"/>
      <c r="AQ32" s="27"/>
    </row>
    <row r="33" spans="2:43" s="36" customFormat="1" ht="16.95" customHeight="1">
      <c r="B33" s="2507">
        <f t="shared" si="0"/>
        <v>22</v>
      </c>
      <c r="C33" s="2244"/>
      <c r="D33" s="2458"/>
      <c r="E33" s="2458"/>
      <c r="F33" s="2459"/>
      <c r="G33" s="300"/>
      <c r="H33" s="300"/>
      <c r="I33" s="300"/>
      <c r="J33" s="300"/>
      <c r="K33" s="300"/>
      <c r="L33" s="273"/>
      <c r="M33" s="298"/>
      <c r="N33" s="272">
        <f>HLOOKUP($N$6,$G$6:N33,ROWS($O$6:O33),FALSE)</f>
        <v>0</v>
      </c>
      <c r="P33" s="39"/>
      <c r="Q33" s="27"/>
      <c r="R33" s="27"/>
      <c r="S33" s="27"/>
      <c r="T33" s="27"/>
      <c r="U33" s="27"/>
      <c r="V33" s="27"/>
      <c r="W33" s="27"/>
      <c r="X33" s="27"/>
      <c r="Y33" s="27"/>
      <c r="Z33" s="27"/>
      <c r="AA33" s="27"/>
      <c r="AG33" s="27"/>
      <c r="AH33" s="27"/>
      <c r="AI33" s="27"/>
      <c r="AJ33" s="27"/>
      <c r="AK33" s="27"/>
      <c r="AL33" s="27"/>
      <c r="AM33" s="27"/>
      <c r="AN33" s="27"/>
      <c r="AO33" s="27"/>
      <c r="AP33" s="27"/>
      <c r="AQ33" s="27"/>
    </row>
    <row r="34" spans="2:43" s="36" customFormat="1" ht="16.95" customHeight="1">
      <c r="B34" s="2507">
        <f t="shared" si="0"/>
        <v>23</v>
      </c>
      <c r="C34" s="2881" t="s">
        <v>1528</v>
      </c>
      <c r="D34" s="2458"/>
      <c r="E34" s="2458"/>
      <c r="F34" s="2459"/>
      <c r="G34" s="300"/>
      <c r="H34" s="300"/>
      <c r="I34" s="300"/>
      <c r="J34" s="300"/>
      <c r="K34" s="300"/>
      <c r="L34" s="273">
        <v>1300</v>
      </c>
      <c r="M34" s="298">
        <v>1300</v>
      </c>
      <c r="N34" s="272">
        <f>HLOOKUP($N$6,$G$6:N34,ROWS($O$6:O34),FALSE)</f>
        <v>1300</v>
      </c>
      <c r="P34" s="39"/>
      <c r="Q34" s="27"/>
      <c r="R34" s="27"/>
      <c r="S34" s="27"/>
      <c r="T34" s="27"/>
      <c r="U34" s="27"/>
      <c r="V34" s="27"/>
      <c r="W34" s="27"/>
      <c r="X34" s="27"/>
      <c r="Y34" s="27"/>
      <c r="Z34" s="27"/>
      <c r="AA34" s="27"/>
      <c r="AG34" s="27"/>
      <c r="AH34" s="27"/>
      <c r="AI34" s="27"/>
      <c r="AJ34" s="27"/>
      <c r="AK34" s="27"/>
      <c r="AL34" s="27"/>
      <c r="AM34" s="27"/>
      <c r="AN34" s="27"/>
      <c r="AO34" s="27"/>
      <c r="AP34" s="27"/>
      <c r="AQ34" s="27"/>
    </row>
    <row r="35" spans="2:43" s="36" customFormat="1" ht="16.95" customHeight="1">
      <c r="B35" s="2507">
        <f t="shared" si="0"/>
        <v>24</v>
      </c>
      <c r="C35" s="2881" t="s">
        <v>1529</v>
      </c>
      <c r="D35" s="2876"/>
      <c r="E35" s="2876"/>
      <c r="F35" s="2877"/>
      <c r="G35" s="300"/>
      <c r="H35" s="300"/>
      <c r="I35" s="300"/>
      <c r="J35" s="300"/>
      <c r="K35" s="300"/>
      <c r="L35" s="273">
        <v>500</v>
      </c>
      <c r="M35" s="298">
        <v>500</v>
      </c>
      <c r="N35" s="272">
        <f>HLOOKUP($N$6,$G$6:N35,ROWS($O$6:O35),FALSE)</f>
        <v>500</v>
      </c>
      <c r="P35" s="39"/>
      <c r="Q35" s="27"/>
      <c r="R35" s="27"/>
      <c r="S35" s="27"/>
      <c r="T35" s="27"/>
      <c r="U35" s="27"/>
      <c r="V35" s="27"/>
      <c r="W35" s="27"/>
      <c r="X35" s="27"/>
      <c r="Y35" s="27"/>
      <c r="Z35" s="27"/>
      <c r="AA35" s="27"/>
      <c r="AG35" s="27"/>
      <c r="AH35" s="27"/>
      <c r="AI35" s="27"/>
      <c r="AJ35" s="27"/>
      <c r="AK35" s="27"/>
      <c r="AL35" s="27"/>
      <c r="AM35" s="27"/>
      <c r="AN35" s="27"/>
      <c r="AO35" s="27"/>
      <c r="AP35" s="27"/>
      <c r="AQ35" s="27"/>
    </row>
    <row r="36" spans="2:43" s="36" customFormat="1" ht="16.95" customHeight="1">
      <c r="B36" s="2507">
        <f t="shared" si="0"/>
        <v>25</v>
      </c>
      <c r="C36" s="2881" t="s">
        <v>1530</v>
      </c>
      <c r="D36" s="2876"/>
      <c r="E36" s="2876"/>
      <c r="F36" s="2877"/>
      <c r="G36" s="300"/>
      <c r="H36" s="300"/>
      <c r="I36" s="300"/>
      <c r="J36" s="300"/>
      <c r="K36" s="300"/>
      <c r="L36" s="273">
        <v>600</v>
      </c>
      <c r="M36" s="298">
        <v>300</v>
      </c>
      <c r="N36" s="272">
        <f>HLOOKUP($N$6,$G$6:N36,ROWS($O$6:O36),FALSE)</f>
        <v>300</v>
      </c>
      <c r="P36" s="2783"/>
      <c r="Q36" s="2875"/>
      <c r="R36" s="2875"/>
      <c r="S36" s="2875"/>
      <c r="T36" s="2875"/>
      <c r="U36" s="2875"/>
      <c r="V36" s="2875"/>
      <c r="W36" s="2875"/>
      <c r="X36" s="2875"/>
      <c r="Y36" s="2875"/>
      <c r="Z36" s="2875"/>
      <c r="AA36" s="2875"/>
      <c r="AG36" s="2875"/>
      <c r="AH36" s="2875"/>
      <c r="AI36" s="2875"/>
      <c r="AJ36" s="2875"/>
      <c r="AK36" s="2875"/>
      <c r="AL36" s="2875"/>
      <c r="AM36" s="2875"/>
      <c r="AN36" s="2875"/>
      <c r="AO36" s="2875"/>
      <c r="AP36" s="2875"/>
      <c r="AQ36" s="2875"/>
    </row>
    <row r="37" spans="2:43" s="36" customFormat="1" ht="16.95" customHeight="1">
      <c r="B37" s="2507">
        <f t="shared" si="0"/>
        <v>26</v>
      </c>
      <c r="C37" s="2881" t="s">
        <v>1531</v>
      </c>
      <c r="D37" s="2876"/>
      <c r="E37" s="2876"/>
      <c r="F37" s="2877"/>
      <c r="G37" s="300"/>
      <c r="H37" s="300"/>
      <c r="I37" s="300"/>
      <c r="J37" s="300"/>
      <c r="K37" s="300"/>
      <c r="L37" s="273">
        <v>150</v>
      </c>
      <c r="M37" s="298">
        <v>150</v>
      </c>
      <c r="N37" s="272">
        <f>HLOOKUP($N$6,$G$6:N37,ROWS($O$6:O37),FALSE)</f>
        <v>150</v>
      </c>
      <c r="P37" s="2783"/>
      <c r="Q37" s="2875"/>
      <c r="R37" s="2875"/>
      <c r="S37" s="2875"/>
      <c r="T37" s="2875"/>
      <c r="U37" s="2875"/>
      <c r="V37" s="2875"/>
      <c r="W37" s="2875"/>
      <c r="X37" s="2875"/>
      <c r="Y37" s="2875"/>
      <c r="Z37" s="2875"/>
      <c r="AA37" s="2875"/>
      <c r="AG37" s="2875"/>
      <c r="AH37" s="2875"/>
      <c r="AI37" s="2875"/>
      <c r="AJ37" s="2875"/>
      <c r="AK37" s="2875"/>
      <c r="AL37" s="2875"/>
      <c r="AM37" s="2875"/>
      <c r="AN37" s="2875"/>
      <c r="AO37" s="2875"/>
      <c r="AP37" s="2875"/>
      <c r="AQ37" s="2875"/>
    </row>
    <row r="38" spans="2:43" s="36" customFormat="1" ht="16.95" customHeight="1">
      <c r="B38" s="2507">
        <f t="shared" si="0"/>
        <v>27</v>
      </c>
      <c r="C38" s="2881" t="s">
        <v>1532</v>
      </c>
      <c r="D38" s="2876"/>
      <c r="E38" s="2876"/>
      <c r="F38" s="2877"/>
      <c r="G38" s="300"/>
      <c r="H38" s="300"/>
      <c r="I38" s="300"/>
      <c r="J38" s="300"/>
      <c r="K38" s="300"/>
      <c r="L38" s="273">
        <v>150</v>
      </c>
      <c r="M38" s="298">
        <v>150</v>
      </c>
      <c r="N38" s="272">
        <f>HLOOKUP($N$6,$G$6:N38,ROWS($O$6:O38),FALSE)</f>
        <v>150</v>
      </c>
      <c r="P38" s="2783"/>
      <c r="Q38" s="2875"/>
      <c r="R38" s="2875"/>
      <c r="S38" s="2875"/>
      <c r="T38" s="2875"/>
      <c r="U38" s="2875"/>
      <c r="V38" s="2875"/>
      <c r="W38" s="2875"/>
      <c r="X38" s="2875"/>
      <c r="Y38" s="2875"/>
      <c r="Z38" s="2875"/>
      <c r="AA38" s="2875"/>
      <c r="AG38" s="2875"/>
      <c r="AH38" s="2875"/>
      <c r="AI38" s="2875"/>
      <c r="AJ38" s="2875"/>
      <c r="AK38" s="2875"/>
      <c r="AL38" s="2875"/>
      <c r="AM38" s="2875"/>
      <c r="AN38" s="2875"/>
      <c r="AO38" s="2875"/>
      <c r="AP38" s="2875"/>
      <c r="AQ38" s="2875"/>
    </row>
    <row r="39" spans="2:43" s="36" customFormat="1" ht="16.95" customHeight="1">
      <c r="B39" s="2507">
        <f t="shared" si="0"/>
        <v>28</v>
      </c>
      <c r="C39" s="2881" t="s">
        <v>1533</v>
      </c>
      <c r="D39" s="2876"/>
      <c r="E39" s="2876"/>
      <c r="F39" s="2877"/>
      <c r="G39" s="300"/>
      <c r="H39" s="300"/>
      <c r="I39" s="300"/>
      <c r="J39" s="300"/>
      <c r="K39" s="300"/>
      <c r="L39" s="273">
        <v>900</v>
      </c>
      <c r="M39" s="298">
        <v>900</v>
      </c>
      <c r="N39" s="272">
        <f>HLOOKUP($N$6,$G$6:N39,ROWS($O$6:O39),FALSE)</f>
        <v>900</v>
      </c>
      <c r="P39" s="2783"/>
      <c r="Q39" s="2875"/>
      <c r="R39" s="2875"/>
      <c r="S39" s="2875"/>
      <c r="T39" s="2875"/>
      <c r="U39" s="2875"/>
      <c r="V39" s="2875"/>
      <c r="W39" s="2875"/>
      <c r="X39" s="2875"/>
      <c r="Y39" s="2875"/>
      <c r="Z39" s="2875"/>
      <c r="AA39" s="2875"/>
      <c r="AG39" s="2875"/>
      <c r="AH39" s="2875"/>
      <c r="AI39" s="2875"/>
      <c r="AJ39" s="2875"/>
      <c r="AK39" s="2875"/>
      <c r="AL39" s="2875"/>
      <c r="AM39" s="2875"/>
      <c r="AN39" s="2875"/>
      <c r="AO39" s="2875"/>
      <c r="AP39" s="2875"/>
      <c r="AQ39" s="2875"/>
    </row>
    <row r="40" spans="2:43" s="36" customFormat="1" ht="16.95" customHeight="1">
      <c r="B40" s="2507">
        <f t="shared" si="0"/>
        <v>29</v>
      </c>
      <c r="C40" s="2881" t="s">
        <v>1534</v>
      </c>
      <c r="D40" s="2876"/>
      <c r="E40" s="2876"/>
      <c r="F40" s="2877"/>
      <c r="G40" s="300"/>
      <c r="H40" s="300"/>
      <c r="I40" s="300"/>
      <c r="J40" s="300"/>
      <c r="K40" s="300"/>
      <c r="L40" s="273">
        <v>400</v>
      </c>
      <c r="M40" s="298">
        <v>400</v>
      </c>
      <c r="N40" s="272">
        <f>HLOOKUP($N$6,$G$6:N40,ROWS($O$6:O40),FALSE)</f>
        <v>400</v>
      </c>
      <c r="P40" s="2783"/>
      <c r="Q40" s="2875"/>
      <c r="R40" s="2875"/>
      <c r="S40" s="2875"/>
      <c r="T40" s="2875"/>
      <c r="U40" s="2875"/>
      <c r="V40" s="2875"/>
      <c r="W40" s="2875"/>
      <c r="X40" s="2875"/>
      <c r="Y40" s="2875"/>
      <c r="Z40" s="2875"/>
      <c r="AA40" s="2875"/>
      <c r="AG40" s="2875"/>
      <c r="AH40" s="2875"/>
      <c r="AI40" s="2875"/>
      <c r="AJ40" s="2875"/>
      <c r="AK40" s="2875"/>
      <c r="AL40" s="2875"/>
      <c r="AM40" s="2875"/>
      <c r="AN40" s="2875"/>
      <c r="AO40" s="2875"/>
      <c r="AP40" s="2875"/>
      <c r="AQ40" s="2875"/>
    </row>
    <row r="41" spans="2:43" s="36" customFormat="1" ht="16.95" customHeight="1">
      <c r="B41" s="2507">
        <f t="shared" si="0"/>
        <v>30</v>
      </c>
      <c r="C41" s="2881" t="s">
        <v>1535</v>
      </c>
      <c r="D41" s="2876"/>
      <c r="E41" s="2876"/>
      <c r="F41" s="2877"/>
      <c r="G41" s="300"/>
      <c r="H41" s="300"/>
      <c r="I41" s="300"/>
      <c r="J41" s="300"/>
      <c r="K41" s="300"/>
      <c r="L41" s="273">
        <v>200</v>
      </c>
      <c r="M41" s="298">
        <v>400</v>
      </c>
      <c r="N41" s="272">
        <f>HLOOKUP($N$6,$G$6:N41,ROWS($O$6:O41),FALSE)</f>
        <v>400</v>
      </c>
      <c r="P41" s="2783"/>
      <c r="Q41" s="2875"/>
      <c r="R41" s="2875"/>
      <c r="S41" s="2875"/>
      <c r="T41" s="2875"/>
      <c r="U41" s="2875"/>
      <c r="V41" s="2875"/>
      <c r="W41" s="2875"/>
      <c r="X41" s="2875"/>
      <c r="Y41" s="2875"/>
      <c r="Z41" s="2875"/>
      <c r="AA41" s="2875"/>
      <c r="AG41" s="2875"/>
      <c r="AH41" s="2875"/>
      <c r="AI41" s="2875"/>
      <c r="AJ41" s="2875"/>
      <c r="AK41" s="2875"/>
      <c r="AL41" s="2875"/>
      <c r="AM41" s="2875"/>
      <c r="AN41" s="2875"/>
      <c r="AO41" s="2875"/>
      <c r="AP41" s="2875"/>
      <c r="AQ41" s="2875"/>
    </row>
    <row r="42" spans="2:43" s="36" customFormat="1" ht="16.95" customHeight="1">
      <c r="B42" s="2507">
        <f t="shared" si="0"/>
        <v>31</v>
      </c>
      <c r="C42" s="2881" t="s">
        <v>1536</v>
      </c>
      <c r="D42" s="2876"/>
      <c r="E42" s="2876"/>
      <c r="F42" s="2877"/>
      <c r="G42" s="300"/>
      <c r="H42" s="300"/>
      <c r="I42" s="300"/>
      <c r="J42" s="300"/>
      <c r="K42" s="300"/>
      <c r="L42" s="273">
        <v>45</v>
      </c>
      <c r="M42" s="298">
        <v>60</v>
      </c>
      <c r="N42" s="272">
        <f>HLOOKUP($N$6,$G$6:N42,ROWS($O$6:O42),FALSE)</f>
        <v>60</v>
      </c>
      <c r="P42" s="2783"/>
      <c r="Q42" s="2875"/>
      <c r="R42" s="2875"/>
      <c r="S42" s="2875"/>
      <c r="T42" s="2875"/>
      <c r="U42" s="2875"/>
      <c r="V42" s="2875"/>
      <c r="W42" s="2875"/>
      <c r="X42" s="2875"/>
      <c r="Y42" s="2875"/>
      <c r="Z42" s="2875"/>
      <c r="AA42" s="2875"/>
      <c r="AG42" s="2875"/>
      <c r="AH42" s="2875"/>
      <c r="AI42" s="2875"/>
      <c r="AJ42" s="2875"/>
      <c r="AK42" s="2875"/>
      <c r="AL42" s="2875"/>
      <c r="AM42" s="2875"/>
      <c r="AN42" s="2875"/>
      <c r="AO42" s="2875"/>
      <c r="AP42" s="2875"/>
      <c r="AQ42" s="2875"/>
    </row>
    <row r="43" spans="2:43" s="36" customFormat="1" ht="16.95" customHeight="1">
      <c r="B43" s="2507">
        <f t="shared" si="0"/>
        <v>32</v>
      </c>
      <c r="C43" s="2881" t="s">
        <v>1538</v>
      </c>
      <c r="D43" s="2876"/>
      <c r="E43" s="2876"/>
      <c r="F43" s="2877"/>
      <c r="G43" s="300"/>
      <c r="H43" s="300"/>
      <c r="I43" s="300"/>
      <c r="J43" s="300"/>
      <c r="K43" s="300"/>
      <c r="L43" s="273">
        <v>60</v>
      </c>
      <c r="M43" s="298">
        <v>200</v>
      </c>
      <c r="N43" s="272">
        <f>HLOOKUP($N$6,$G$6:N43,ROWS($O$6:O43),FALSE)</f>
        <v>200</v>
      </c>
      <c r="P43" s="2783"/>
      <c r="Q43" s="2875"/>
      <c r="R43" s="2875"/>
      <c r="S43" s="2875"/>
      <c r="T43" s="2875"/>
      <c r="U43" s="2875"/>
      <c r="V43" s="2875"/>
      <c r="W43" s="2875"/>
      <c r="X43" s="2875"/>
      <c r="Y43" s="2875"/>
      <c r="Z43" s="2875"/>
      <c r="AA43" s="2875"/>
      <c r="AG43" s="2875"/>
      <c r="AH43" s="2875"/>
      <c r="AI43" s="2875"/>
      <c r="AJ43" s="2875"/>
      <c r="AK43" s="2875"/>
      <c r="AL43" s="2875"/>
      <c r="AM43" s="2875"/>
      <c r="AN43" s="2875"/>
      <c r="AO43" s="2875"/>
      <c r="AP43" s="2875"/>
      <c r="AQ43" s="2875"/>
    </row>
    <row r="44" spans="2:43" s="36" customFormat="1" ht="16.95" customHeight="1">
      <c r="B44" s="2507">
        <f t="shared" si="0"/>
        <v>33</v>
      </c>
      <c r="C44" s="2881" t="s">
        <v>1537</v>
      </c>
      <c r="D44" s="2876"/>
      <c r="E44" s="2876"/>
      <c r="F44" s="2877"/>
      <c r="G44" s="300"/>
      <c r="H44" s="300"/>
      <c r="I44" s="300"/>
      <c r="J44" s="300"/>
      <c r="K44" s="300"/>
      <c r="L44" s="273">
        <v>115</v>
      </c>
      <c r="M44" s="298">
        <v>100</v>
      </c>
      <c r="N44" s="272">
        <f>HLOOKUP($N$6,$G$6:N44,ROWS($O$6:O44),FALSE)</f>
        <v>100</v>
      </c>
      <c r="P44" s="2783"/>
      <c r="Q44" s="2875"/>
      <c r="R44" s="2875"/>
      <c r="S44" s="2875"/>
      <c r="T44" s="2875"/>
      <c r="U44" s="2875"/>
      <c r="V44" s="2875"/>
      <c r="W44" s="2875"/>
      <c r="X44" s="2875"/>
      <c r="Y44" s="2875"/>
      <c r="Z44" s="2875"/>
      <c r="AA44" s="2875"/>
      <c r="AG44" s="2875"/>
      <c r="AH44" s="2875"/>
      <c r="AI44" s="2875"/>
      <c r="AJ44" s="2875"/>
      <c r="AK44" s="2875"/>
      <c r="AL44" s="2875"/>
      <c r="AM44" s="2875"/>
      <c r="AN44" s="2875"/>
      <c r="AO44" s="2875"/>
      <c r="AP44" s="2875"/>
      <c r="AQ44" s="2875"/>
    </row>
    <row r="45" spans="2:43" s="36" customFormat="1" ht="16.95" customHeight="1">
      <c r="B45" s="2507">
        <f t="shared" si="0"/>
        <v>34</v>
      </c>
      <c r="C45" s="2881" t="s">
        <v>1541</v>
      </c>
      <c r="D45" s="2876"/>
      <c r="E45" s="2876"/>
      <c r="F45" s="2877"/>
      <c r="G45" s="300"/>
      <c r="H45" s="300"/>
      <c r="I45" s="300"/>
      <c r="J45" s="300"/>
      <c r="K45" s="300"/>
      <c r="L45" s="273">
        <v>240</v>
      </c>
      <c r="M45" s="298">
        <v>240</v>
      </c>
      <c r="N45" s="272">
        <f>HLOOKUP($N$6,$G$6:N45,ROWS($O$6:O45),FALSE)</f>
        <v>240</v>
      </c>
      <c r="P45" s="2783"/>
      <c r="Q45" s="2875"/>
      <c r="R45" s="2875"/>
      <c r="S45" s="2875"/>
      <c r="T45" s="2875"/>
      <c r="U45" s="2875"/>
      <c r="V45" s="2875"/>
      <c r="W45" s="2875"/>
      <c r="X45" s="2875"/>
      <c r="Y45" s="2875"/>
      <c r="Z45" s="2875"/>
      <c r="AA45" s="2875"/>
      <c r="AG45" s="2875"/>
      <c r="AH45" s="2875"/>
      <c r="AI45" s="2875"/>
      <c r="AJ45" s="2875"/>
      <c r="AK45" s="2875"/>
      <c r="AL45" s="2875"/>
      <c r="AM45" s="2875"/>
      <c r="AN45" s="2875"/>
      <c r="AO45" s="2875"/>
      <c r="AP45" s="2875"/>
      <c r="AQ45" s="2875"/>
    </row>
    <row r="46" spans="2:43" s="36" customFormat="1" ht="16.95" customHeight="1">
      <c r="B46" s="2507">
        <f t="shared" si="0"/>
        <v>35</v>
      </c>
      <c r="C46" s="2881" t="s">
        <v>1539</v>
      </c>
      <c r="D46" s="2876"/>
      <c r="E46" s="2876"/>
      <c r="F46" s="2877"/>
      <c r="G46" s="300"/>
      <c r="H46" s="300"/>
      <c r="I46" s="300"/>
      <c r="J46" s="300"/>
      <c r="K46" s="300"/>
      <c r="L46" s="273">
        <v>130</v>
      </c>
      <c r="M46" s="298">
        <v>150</v>
      </c>
      <c r="N46" s="272">
        <f>HLOOKUP($N$6,$G$6:N46,ROWS($O$6:O46),FALSE)</f>
        <v>150</v>
      </c>
      <c r="P46" s="2783"/>
      <c r="Q46" s="2875"/>
      <c r="R46" s="2875"/>
      <c r="S46" s="2875"/>
      <c r="T46" s="2875"/>
      <c r="U46" s="2875"/>
      <c r="V46" s="2875"/>
      <c r="W46" s="2875"/>
      <c r="X46" s="2875"/>
      <c r="Y46" s="2875"/>
      <c r="Z46" s="2875"/>
      <c r="AA46" s="2875"/>
      <c r="AG46" s="2875"/>
      <c r="AH46" s="2875"/>
      <c r="AI46" s="2875"/>
      <c r="AJ46" s="2875"/>
      <c r="AK46" s="2875"/>
      <c r="AL46" s="2875"/>
      <c r="AM46" s="2875"/>
      <c r="AN46" s="2875"/>
      <c r="AO46" s="2875"/>
      <c r="AP46" s="2875"/>
      <c r="AQ46" s="2875"/>
    </row>
    <row r="47" spans="2:43" s="36" customFormat="1" ht="16.95" customHeight="1">
      <c r="B47" s="2507">
        <f>B46+1</f>
        <v>36</v>
      </c>
      <c r="C47" s="2881" t="s">
        <v>1540</v>
      </c>
      <c r="D47" s="2876"/>
      <c r="E47" s="2876"/>
      <c r="F47" s="2877"/>
      <c r="G47" s="300"/>
      <c r="H47" s="300"/>
      <c r="I47" s="300"/>
      <c r="J47" s="300"/>
      <c r="K47" s="300"/>
      <c r="L47" s="273">
        <v>40</v>
      </c>
      <c r="M47" s="298">
        <v>40</v>
      </c>
      <c r="N47" s="272">
        <f>HLOOKUP($N$6,$G$6:N47,ROWS($O$6:O47),FALSE)</f>
        <v>40</v>
      </c>
      <c r="P47" s="39"/>
      <c r="R47" s="27"/>
      <c r="S47" s="27"/>
      <c r="T47" s="27"/>
      <c r="U47" s="27"/>
      <c r="V47" s="27"/>
      <c r="W47" s="27"/>
      <c r="X47" s="27"/>
      <c r="Y47" s="27"/>
      <c r="Z47" s="27"/>
      <c r="AA47" s="27"/>
      <c r="AG47" s="27"/>
      <c r="AH47" s="27"/>
      <c r="AI47" s="27"/>
      <c r="AJ47" s="27"/>
      <c r="AK47" s="27"/>
      <c r="AL47" s="27"/>
      <c r="AM47" s="27"/>
      <c r="AN47" s="27"/>
      <c r="AO47" s="27"/>
      <c r="AP47" s="27"/>
      <c r="AQ47" s="27"/>
    </row>
    <row r="48" spans="2:43" s="36" customFormat="1" ht="16.95" customHeight="1">
      <c r="B48" s="2507">
        <f t="shared" si="0"/>
        <v>37</v>
      </c>
      <c r="C48" s="3874"/>
      <c r="D48" s="3875"/>
      <c r="E48" s="3875"/>
      <c r="F48" s="3876"/>
      <c r="G48" s="299"/>
      <c r="H48" s="299"/>
      <c r="I48" s="299"/>
      <c r="J48" s="299"/>
      <c r="K48" s="299"/>
      <c r="L48" s="3561"/>
      <c r="M48" s="298"/>
      <c r="N48" s="272">
        <f>HLOOKUP($N$6,$G$6:N48,ROWS($O$6:O48),FALSE)</f>
        <v>0</v>
      </c>
      <c r="P48" s="39"/>
      <c r="Q48" s="27"/>
      <c r="R48" s="27"/>
      <c r="S48" s="27"/>
      <c r="T48" s="27"/>
      <c r="U48" s="27"/>
      <c r="V48" s="27"/>
      <c r="W48" s="27"/>
      <c r="X48" s="27"/>
      <c r="Y48" s="27"/>
      <c r="Z48" s="27"/>
      <c r="AA48" s="27"/>
      <c r="AG48" s="27"/>
      <c r="AH48" s="27"/>
      <c r="AI48" s="27"/>
      <c r="AJ48" s="27"/>
      <c r="AK48" s="27"/>
      <c r="AL48" s="27"/>
      <c r="AM48" s="27"/>
      <c r="AN48" s="27"/>
      <c r="AO48" s="27"/>
      <c r="AP48" s="27"/>
      <c r="AQ48" s="27"/>
    </row>
    <row r="49" spans="1:43" s="36" customFormat="1" ht="16.95" customHeight="1">
      <c r="B49" s="2507">
        <f t="shared" si="0"/>
        <v>38</v>
      </c>
      <c r="C49" s="3874"/>
      <c r="D49" s="3875"/>
      <c r="E49" s="3875"/>
      <c r="F49" s="3876"/>
      <c r="G49" s="299"/>
      <c r="H49" s="299"/>
      <c r="I49" s="299"/>
      <c r="J49" s="299"/>
      <c r="K49" s="299"/>
      <c r="L49" s="3561"/>
      <c r="M49" s="298"/>
      <c r="N49" s="272">
        <f>HLOOKUP($N$6,$G$6:N49,ROWS($O$6:O49),FALSE)</f>
        <v>0</v>
      </c>
      <c r="P49" s="39"/>
      <c r="Q49" s="27"/>
      <c r="R49" s="27"/>
      <c r="S49" s="27"/>
      <c r="T49" s="100"/>
      <c r="U49" s="100"/>
      <c r="V49" s="100"/>
      <c r="W49" s="100"/>
      <c r="X49" s="100"/>
      <c r="Y49" s="100"/>
      <c r="Z49" s="100"/>
      <c r="AA49" s="100"/>
      <c r="AB49" s="100"/>
      <c r="AC49" s="100"/>
      <c r="AD49" s="100"/>
      <c r="AG49" s="27"/>
      <c r="AH49" s="27"/>
      <c r="AI49" s="27"/>
      <c r="AJ49" s="27"/>
      <c r="AK49" s="27"/>
      <c r="AL49" s="27"/>
      <c r="AM49" s="27"/>
      <c r="AN49" s="27"/>
      <c r="AO49" s="27"/>
      <c r="AP49" s="27"/>
      <c r="AQ49" s="27"/>
    </row>
    <row r="50" spans="1:43" s="36" customFormat="1" ht="16.95" customHeight="1">
      <c r="B50" s="2507">
        <f t="shared" si="0"/>
        <v>39</v>
      </c>
      <c r="C50" s="3874"/>
      <c r="D50" s="3875"/>
      <c r="E50" s="3875"/>
      <c r="F50" s="3876"/>
      <c r="G50" s="299"/>
      <c r="H50" s="299"/>
      <c r="I50" s="299"/>
      <c r="J50" s="299"/>
      <c r="K50" s="299"/>
      <c r="L50" s="3561"/>
      <c r="M50" s="3562"/>
      <c r="N50" s="298"/>
      <c r="O50" s="3515">
        <f>HLOOKUP($N$6,$G$6:N50,ROWS($O$6:O50),FALSE)</f>
        <v>0</v>
      </c>
      <c r="P50" s="39"/>
      <c r="Q50" s="27"/>
      <c r="R50" s="27"/>
      <c r="S50" s="27"/>
      <c r="T50" s="100"/>
      <c r="U50" s="100"/>
      <c r="V50" s="100"/>
      <c r="W50" s="100"/>
      <c r="X50" s="100"/>
      <c r="Y50" s="100"/>
      <c r="Z50" s="100"/>
      <c r="AA50" s="100"/>
      <c r="AB50" s="100"/>
      <c r="AC50" s="100"/>
      <c r="AD50" s="100"/>
      <c r="AG50" s="27"/>
      <c r="AH50" s="27"/>
      <c r="AI50" s="27"/>
      <c r="AJ50" s="27"/>
      <c r="AK50" s="27"/>
      <c r="AL50" s="27"/>
      <c r="AM50" s="27"/>
      <c r="AN50" s="27"/>
      <c r="AO50" s="27"/>
      <c r="AP50" s="27"/>
      <c r="AQ50" s="27"/>
    </row>
    <row r="51" spans="1:43" s="36" customFormat="1" ht="34.200000000000003" customHeight="1">
      <c r="B51" s="109"/>
      <c r="C51" s="169"/>
      <c r="D51" s="169"/>
      <c r="E51" s="169"/>
      <c r="F51" s="169"/>
      <c r="G51" s="297"/>
      <c r="H51" s="297"/>
      <c r="I51" s="297"/>
      <c r="J51" s="297"/>
      <c r="K51" s="297"/>
      <c r="L51" s="297"/>
      <c r="M51" s="297"/>
      <c r="N51" s="297"/>
      <c r="O51" s="297"/>
      <c r="P51" s="39"/>
      <c r="Q51" s="27"/>
      <c r="R51" s="27"/>
      <c r="S51" s="27"/>
      <c r="T51" s="100"/>
      <c r="U51" s="100"/>
      <c r="V51" s="100"/>
      <c r="W51" s="100"/>
      <c r="X51" s="100"/>
      <c r="Y51" s="100"/>
      <c r="Z51" s="100"/>
      <c r="AA51" s="100"/>
      <c r="AB51" s="100"/>
      <c r="AC51" s="100"/>
      <c r="AD51" s="100"/>
      <c r="AG51" s="27"/>
      <c r="AH51" s="27"/>
      <c r="AI51" s="27"/>
      <c r="AJ51" s="27"/>
      <c r="AK51" s="27"/>
      <c r="AL51" s="27"/>
      <c r="AM51" s="27"/>
      <c r="AN51" s="27"/>
      <c r="AO51" s="27"/>
      <c r="AP51" s="27"/>
      <c r="AQ51" s="27"/>
    </row>
    <row r="52" spans="1:43" s="36" customFormat="1" ht="14.4" customHeight="1">
      <c r="B52" s="100"/>
      <c r="C52" s="100"/>
      <c r="D52" s="100"/>
      <c r="E52" s="100"/>
      <c r="F52" s="100"/>
      <c r="G52" s="100"/>
      <c r="H52" s="100"/>
      <c r="I52" s="100"/>
      <c r="J52" s="100"/>
      <c r="K52" s="100"/>
      <c r="L52" s="100"/>
      <c r="M52" s="100"/>
      <c r="N52" s="100"/>
      <c r="O52" s="100"/>
      <c r="P52" s="39"/>
      <c r="Q52" s="27"/>
      <c r="R52" s="27"/>
      <c r="S52" s="27"/>
      <c r="T52" s="100"/>
      <c r="U52" s="100"/>
      <c r="V52" s="100"/>
      <c r="W52" s="100"/>
      <c r="X52" s="100"/>
      <c r="Y52" s="100"/>
      <c r="Z52" s="100"/>
      <c r="AA52" s="100"/>
      <c r="AB52" s="100"/>
      <c r="AC52" s="100"/>
      <c r="AD52" s="100"/>
      <c r="AG52" s="27"/>
      <c r="AH52" s="27"/>
      <c r="AI52" s="27"/>
      <c r="AJ52" s="27"/>
      <c r="AK52" s="27"/>
      <c r="AL52" s="27"/>
      <c r="AM52" s="27"/>
      <c r="AN52" s="27"/>
      <c r="AO52" s="27"/>
      <c r="AP52" s="27"/>
      <c r="AQ52" s="27"/>
    </row>
    <row r="53" spans="1:43" s="36" customFormat="1" ht="2.1" customHeight="1" thickBot="1">
      <c r="B53" s="100"/>
      <c r="C53" s="100"/>
      <c r="D53" s="100"/>
      <c r="E53" s="100"/>
      <c r="F53" s="100"/>
      <c r="G53" s="100"/>
      <c r="H53" s="100"/>
      <c r="I53" s="100"/>
      <c r="J53" s="100"/>
      <c r="K53" s="100"/>
      <c r="L53" s="100"/>
      <c r="M53" s="100"/>
      <c r="N53" s="100"/>
      <c r="O53" s="100"/>
      <c r="P53" s="39"/>
      <c r="Q53" s="27"/>
      <c r="R53" s="27"/>
      <c r="S53" s="27"/>
      <c r="T53" s="100"/>
      <c r="U53" s="100"/>
      <c r="V53" s="100"/>
      <c r="W53" s="100" t="s">
        <v>161</v>
      </c>
      <c r="X53" s="100"/>
      <c r="Y53" s="100"/>
      <c r="Z53" s="100"/>
      <c r="AA53" s="100"/>
      <c r="AB53" s="100"/>
      <c r="AC53" s="100"/>
      <c r="AD53" s="100"/>
      <c r="AG53" s="27"/>
      <c r="AH53" s="27"/>
      <c r="AI53" s="27"/>
      <c r="AJ53" s="27"/>
      <c r="AK53" s="27"/>
      <c r="AL53" s="27"/>
      <c r="AM53" s="27"/>
      <c r="AN53" s="27"/>
      <c r="AO53" s="27"/>
      <c r="AP53" s="27"/>
      <c r="AQ53" s="27"/>
    </row>
    <row r="54" spans="1:43" ht="22.2" customHeight="1">
      <c r="A54" s="252"/>
      <c r="B54" s="296" t="s">
        <v>1559</v>
      </c>
      <c r="C54" s="295"/>
      <c r="D54" s="295"/>
      <c r="E54" s="295"/>
      <c r="F54" s="295"/>
      <c r="G54" s="295"/>
      <c r="H54" s="295"/>
      <c r="I54" s="295"/>
      <c r="J54" s="295"/>
      <c r="K54" s="295"/>
      <c r="L54" s="294"/>
      <c r="M54" s="293"/>
      <c r="N54" s="293"/>
      <c r="O54" s="100"/>
      <c r="Q54" s="27"/>
      <c r="R54" s="27"/>
      <c r="S54" s="27"/>
      <c r="T54" s="100"/>
      <c r="U54" s="100"/>
      <c r="V54" s="100"/>
      <c r="W54" s="100"/>
      <c r="X54" s="100"/>
      <c r="Y54" s="100"/>
      <c r="Z54" s="100"/>
      <c r="AA54" s="100"/>
      <c r="AB54" s="100"/>
      <c r="AC54" s="100"/>
      <c r="AD54" s="100"/>
      <c r="AE54" s="201"/>
      <c r="AF54" s="201"/>
      <c r="AG54" s="201"/>
      <c r="AH54" s="201"/>
      <c r="AI54" s="201"/>
      <c r="AJ54" s="201"/>
      <c r="AK54" s="201"/>
      <c r="AL54" s="201"/>
      <c r="AM54" s="201"/>
      <c r="AN54" s="201"/>
      <c r="AO54" s="201"/>
      <c r="AP54" s="201"/>
    </row>
    <row r="55" spans="1:43" ht="30" customHeight="1" thickBot="1">
      <c r="A55" s="252"/>
      <c r="B55" s="3871" t="s">
        <v>1557</v>
      </c>
      <c r="C55" s="3872"/>
      <c r="D55" s="3872"/>
      <c r="E55" s="3872"/>
      <c r="F55" s="3872"/>
      <c r="G55" s="3872"/>
      <c r="H55" s="3872"/>
      <c r="I55" s="3872"/>
      <c r="J55" s="3872"/>
      <c r="K55" s="3872"/>
      <c r="L55" s="3873"/>
      <c r="M55" s="292"/>
      <c r="N55" s="292"/>
      <c r="O55" s="100"/>
      <c r="U55" s="27">
        <v>2008</v>
      </c>
      <c r="V55" s="27">
        <v>2009</v>
      </c>
      <c r="W55" s="27">
        <v>2010</v>
      </c>
      <c r="X55" s="27">
        <v>2011</v>
      </c>
      <c r="Y55" s="27">
        <v>2012</v>
      </c>
      <c r="Z55" s="27">
        <v>2013</v>
      </c>
      <c r="AA55" s="27"/>
      <c r="AB55" s="201"/>
      <c r="AC55" s="201"/>
      <c r="AD55" s="201"/>
      <c r="AE55" s="201"/>
      <c r="AF55" s="201"/>
      <c r="AG55" s="201"/>
      <c r="AH55" s="201"/>
      <c r="AI55" s="201"/>
      <c r="AJ55" s="201"/>
      <c r="AK55" s="201"/>
      <c r="AL55" s="201"/>
      <c r="AM55" s="201"/>
      <c r="AN55" s="201"/>
      <c r="AO55" s="201"/>
      <c r="AP55" s="201"/>
    </row>
    <row r="56" spans="1:43" s="196" customFormat="1" ht="16.95" customHeight="1">
      <c r="B56" s="100"/>
      <c r="C56" s="100"/>
      <c r="D56" s="100"/>
      <c r="E56" s="100"/>
      <c r="F56" s="100"/>
      <c r="G56" s="100"/>
      <c r="H56" s="100"/>
      <c r="I56" s="100"/>
      <c r="J56" s="100"/>
      <c r="K56" s="100"/>
      <c r="L56" s="100"/>
      <c r="M56" s="100"/>
      <c r="N56" s="100"/>
      <c r="O56" s="100"/>
      <c r="P56" s="28"/>
      <c r="T56" s="27"/>
      <c r="U56" s="264"/>
      <c r="V56" s="264"/>
      <c r="W56" s="264"/>
      <c r="X56" s="264"/>
      <c r="Y56" s="264"/>
      <c r="Z56" s="264"/>
      <c r="AA56" s="27"/>
    </row>
    <row r="57" spans="1:43" s="177" customFormat="1" ht="16.95" customHeight="1">
      <c r="B57" s="100"/>
      <c r="C57" s="100"/>
      <c r="D57" s="100"/>
      <c r="E57" s="100"/>
      <c r="F57" s="100"/>
      <c r="G57" s="100"/>
      <c r="H57" s="100"/>
      <c r="I57" s="100"/>
      <c r="J57" s="100"/>
      <c r="K57" s="100"/>
      <c r="L57" s="100"/>
      <c r="M57" s="100"/>
      <c r="N57" s="100"/>
      <c r="O57" s="100"/>
      <c r="P57" s="39"/>
      <c r="T57" s="27"/>
      <c r="U57" s="264"/>
      <c r="V57" s="264"/>
      <c r="W57" s="264"/>
      <c r="X57" s="264"/>
      <c r="Y57" s="264"/>
      <c r="Z57" s="264"/>
      <c r="AA57" s="27"/>
    </row>
    <row r="58" spans="1:43" s="36" customFormat="1" ht="16.95" customHeight="1">
      <c r="B58" s="291" t="s">
        <v>1545</v>
      </c>
      <c r="C58" s="290"/>
      <c r="D58" s="215"/>
      <c r="E58" s="215"/>
      <c r="F58" s="215"/>
      <c r="G58" s="289"/>
      <c r="H58" s="289"/>
      <c r="I58" s="289"/>
      <c r="J58" s="289"/>
      <c r="K58" s="288"/>
      <c r="L58" s="288"/>
      <c r="M58" s="288"/>
      <c r="N58" s="287" t="str">
        <f>N5</f>
        <v>Aktuell</v>
      </c>
      <c r="P58" s="39"/>
      <c r="Q58" s="27"/>
      <c r="R58" s="27"/>
      <c r="S58" s="27"/>
      <c r="T58" s="27"/>
      <c r="U58" s="27"/>
      <c r="V58" s="27"/>
      <c r="W58" s="27"/>
      <c r="X58" s="31"/>
      <c r="Y58" s="263"/>
      <c r="Z58" s="27"/>
      <c r="AA58" s="31"/>
    </row>
    <row r="59" spans="1:43" s="36" customFormat="1" ht="12.75" customHeight="1">
      <c r="B59" s="286" t="s">
        <v>277</v>
      </c>
      <c r="C59" s="185"/>
      <c r="D59" s="223"/>
      <c r="E59" s="285"/>
      <c r="F59" s="284" t="s">
        <v>274</v>
      </c>
      <c r="G59" s="282">
        <f>G6</f>
        <v>2018</v>
      </c>
      <c r="H59" s="282">
        <f>H6</f>
        <v>2019</v>
      </c>
      <c r="I59" s="282">
        <f>I6</f>
        <v>2020</v>
      </c>
      <c r="J59" s="282">
        <f>J6</f>
        <v>2021</v>
      </c>
      <c r="K59" s="281">
        <f>K6</f>
        <v>2022</v>
      </c>
      <c r="L59" s="280">
        <v>2023</v>
      </c>
      <c r="M59" s="280">
        <v>2024</v>
      </c>
      <c r="N59" s="279">
        <f>N6</f>
        <v>2024</v>
      </c>
      <c r="R59" s="171"/>
    </row>
    <row r="60" spans="1:43" s="36" customFormat="1" ht="17.399999999999999">
      <c r="B60" s="278">
        <v>1</v>
      </c>
      <c r="C60" s="277" t="s">
        <v>1565</v>
      </c>
      <c r="D60" s="277"/>
      <c r="E60" s="276"/>
      <c r="F60" s="275"/>
      <c r="G60" s="274"/>
      <c r="H60" s="274"/>
      <c r="I60" s="274"/>
      <c r="J60" s="273"/>
      <c r="K60" s="273"/>
      <c r="L60" s="273">
        <v>140</v>
      </c>
      <c r="M60" s="36">
        <v>140</v>
      </c>
      <c r="N60" s="272">
        <f>HLOOKUP($N$6,$G$6:N60,ROWS($O$6:O60),FALSE)</f>
        <v>140</v>
      </c>
      <c r="P60" s="39"/>
      <c r="Q60" s="27"/>
      <c r="R60" s="27"/>
      <c r="S60" s="27"/>
      <c r="W60" s="27"/>
      <c r="X60" s="27"/>
      <c r="Y60" s="27"/>
      <c r="Z60" s="27"/>
      <c r="AA60" s="27"/>
    </row>
    <row r="61" spans="1:43" s="36" customFormat="1" ht="15">
      <c r="B61" s="278">
        <v>2</v>
      </c>
      <c r="C61" s="2886" t="s">
        <v>1546</v>
      </c>
      <c r="D61" s="2886"/>
      <c r="E61" s="2108"/>
      <c r="F61" s="2887"/>
      <c r="G61" s="300"/>
      <c r="H61" s="300"/>
      <c r="I61" s="300"/>
      <c r="J61" s="297"/>
      <c r="K61" s="273"/>
      <c r="L61" s="273">
        <v>130</v>
      </c>
      <c r="M61" s="36">
        <v>130</v>
      </c>
      <c r="N61" s="272">
        <f>HLOOKUP($N$6,$G$6:N61,ROWS($O$6:O61),FALSE)</f>
        <v>130</v>
      </c>
      <c r="P61" s="2783"/>
      <c r="Q61" s="2882"/>
      <c r="R61" s="2882"/>
      <c r="S61" s="2882"/>
      <c r="W61" s="2882"/>
      <c r="X61" s="2882"/>
      <c r="Y61" s="2882"/>
      <c r="Z61" s="2882"/>
      <c r="AA61" s="2882"/>
    </row>
    <row r="62" spans="1:43" s="36" customFormat="1" ht="15">
      <c r="B62" s="278">
        <v>3</v>
      </c>
      <c r="C62" s="2886" t="s">
        <v>1547</v>
      </c>
      <c r="D62" s="2886"/>
      <c r="E62" s="2108"/>
      <c r="F62" s="2887"/>
      <c r="G62" s="300"/>
      <c r="H62" s="300"/>
      <c r="I62" s="300"/>
      <c r="J62" s="297"/>
      <c r="K62" s="273"/>
      <c r="L62" s="273">
        <v>120</v>
      </c>
      <c r="M62" s="36">
        <v>120</v>
      </c>
      <c r="N62" s="272">
        <f>HLOOKUP($N$6,$G$6:N62,ROWS($O$6:O62),FALSE)</f>
        <v>120</v>
      </c>
      <c r="P62" s="2783"/>
      <c r="Q62" s="2882"/>
      <c r="R62" s="2882"/>
      <c r="S62" s="2882"/>
      <c r="W62" s="2882"/>
      <c r="X62" s="2882"/>
      <c r="Y62" s="2882"/>
      <c r="Z62" s="2882"/>
      <c r="AA62" s="2882"/>
    </row>
    <row r="63" spans="1:43" s="36" customFormat="1" ht="15">
      <c r="B63" s="278">
        <v>4</v>
      </c>
      <c r="C63" s="2886" t="s">
        <v>1548</v>
      </c>
      <c r="D63" s="2886"/>
      <c r="E63" s="2108"/>
      <c r="F63" s="2887"/>
      <c r="G63" s="300"/>
      <c r="H63" s="300"/>
      <c r="I63" s="300"/>
      <c r="J63" s="297"/>
      <c r="K63" s="273"/>
      <c r="L63" s="273">
        <v>110</v>
      </c>
      <c r="M63" s="36">
        <v>110</v>
      </c>
      <c r="N63" s="272">
        <f>HLOOKUP($N$6,$G$6:N63,ROWS($O$6:O63),FALSE)</f>
        <v>110</v>
      </c>
      <c r="P63" s="2783"/>
      <c r="Q63" s="2882"/>
      <c r="R63" s="2882"/>
      <c r="S63" s="2882"/>
      <c r="W63" s="2882"/>
      <c r="X63" s="2882"/>
      <c r="Y63" s="2882"/>
      <c r="Z63" s="2882"/>
      <c r="AA63" s="2882"/>
    </row>
    <row r="64" spans="1:43" s="36" customFormat="1" ht="15">
      <c r="B64" s="278">
        <v>5</v>
      </c>
      <c r="C64" s="2886" t="s">
        <v>1549</v>
      </c>
      <c r="D64" s="2886"/>
      <c r="E64" s="2108"/>
      <c r="F64" s="2887"/>
      <c r="G64" s="300"/>
      <c r="H64" s="300"/>
      <c r="I64" s="300"/>
      <c r="J64" s="297"/>
      <c r="K64" s="273"/>
      <c r="L64" s="273">
        <v>100</v>
      </c>
      <c r="M64" s="36">
        <v>100</v>
      </c>
      <c r="N64" s="272">
        <f>HLOOKUP($N$6,$G$6:N64,ROWS($O$6:O64),FALSE)</f>
        <v>100</v>
      </c>
      <c r="P64" s="2783"/>
      <c r="Q64" s="2882"/>
      <c r="R64" s="2882"/>
      <c r="S64" s="2882"/>
      <c r="W64" s="2882"/>
      <c r="X64" s="2882"/>
      <c r="Y64" s="2882"/>
      <c r="Z64" s="2882"/>
      <c r="AA64" s="2882"/>
    </row>
    <row r="65" spans="1:42" s="36" customFormat="1" ht="15">
      <c r="B65" s="278">
        <v>6</v>
      </c>
      <c r="C65" s="2886" t="s">
        <v>1550</v>
      </c>
      <c r="D65" s="2886"/>
      <c r="E65" s="2108"/>
      <c r="F65" s="2887"/>
      <c r="G65" s="300"/>
      <c r="H65" s="300"/>
      <c r="I65" s="300"/>
      <c r="J65" s="297"/>
      <c r="K65" s="273"/>
      <c r="L65" s="273">
        <v>45</v>
      </c>
      <c r="M65" s="36">
        <v>45</v>
      </c>
      <c r="N65" s="272">
        <f>HLOOKUP($N$6,$G$6:N65,ROWS($O$6:O65),FALSE)</f>
        <v>45</v>
      </c>
      <c r="P65" s="2783"/>
      <c r="Q65" s="2882"/>
      <c r="R65" s="2882"/>
      <c r="S65" s="2882"/>
      <c r="W65" s="2882"/>
      <c r="X65" s="2882"/>
      <c r="Y65" s="2882"/>
      <c r="Z65" s="2882"/>
      <c r="AA65" s="2882"/>
    </row>
    <row r="66" spans="1:42" s="36" customFormat="1" ht="15">
      <c r="B66" s="278">
        <v>7</v>
      </c>
      <c r="C66" s="2886" t="s">
        <v>1551</v>
      </c>
      <c r="D66" s="2886"/>
      <c r="E66" s="2108"/>
      <c r="F66" s="2887"/>
      <c r="G66" s="300"/>
      <c r="H66" s="300"/>
      <c r="I66" s="300"/>
      <c r="J66" s="297"/>
      <c r="K66" s="273"/>
      <c r="L66" s="273">
        <v>40</v>
      </c>
      <c r="M66" s="36">
        <v>40</v>
      </c>
      <c r="N66" s="272">
        <f>HLOOKUP($N$6,$G$6:N66,ROWS($O$6:O66),FALSE)</f>
        <v>40</v>
      </c>
      <c r="P66" s="2783"/>
      <c r="Q66" s="2882"/>
      <c r="R66" s="2882"/>
      <c r="S66" s="2882"/>
      <c r="W66" s="2882"/>
      <c r="X66" s="2882"/>
      <c r="Y66" s="2882"/>
      <c r="Z66" s="2882"/>
      <c r="AA66" s="2882"/>
    </row>
    <row r="67" spans="1:42" s="36" customFormat="1" ht="15">
      <c r="B67" s="278">
        <v>8</v>
      </c>
      <c r="C67" s="2886" t="s">
        <v>1552</v>
      </c>
      <c r="D67" s="2886"/>
      <c r="E67" s="2108"/>
      <c r="F67" s="2887"/>
      <c r="G67" s="300"/>
      <c r="H67" s="300"/>
      <c r="I67" s="300"/>
      <c r="J67" s="297"/>
      <c r="K67" s="273"/>
      <c r="L67" s="273">
        <v>35</v>
      </c>
      <c r="M67" s="36">
        <v>35</v>
      </c>
      <c r="N67" s="272">
        <f>HLOOKUP($N$6,$G$6:N67,ROWS($O$6:O67),FALSE)</f>
        <v>35</v>
      </c>
      <c r="P67" s="2783"/>
      <c r="Q67" s="2882"/>
      <c r="R67" s="2882"/>
      <c r="S67" s="2882"/>
      <c r="W67" s="2882"/>
      <c r="X67" s="2882"/>
      <c r="Y67" s="2882"/>
      <c r="Z67" s="2882"/>
      <c r="AA67" s="2882"/>
    </row>
    <row r="68" spans="1:42" s="36" customFormat="1" ht="15">
      <c r="B68" s="278">
        <v>9</v>
      </c>
      <c r="C68" s="2886" t="s">
        <v>1553</v>
      </c>
      <c r="D68" s="2886"/>
      <c r="E68" s="2108"/>
      <c r="F68" s="2887"/>
      <c r="G68" s="300"/>
      <c r="H68" s="300"/>
      <c r="I68" s="300"/>
      <c r="J68" s="297"/>
      <c r="K68" s="273"/>
      <c r="L68" s="273">
        <v>30</v>
      </c>
      <c r="M68" s="36">
        <v>30</v>
      </c>
      <c r="N68" s="272">
        <f>HLOOKUP($N$6,$G$6:N68,ROWS($O$6:O68),FALSE)</f>
        <v>30</v>
      </c>
      <c r="P68" s="2783"/>
      <c r="Q68" s="2882"/>
      <c r="R68" s="2882"/>
      <c r="S68" s="2882"/>
      <c r="W68" s="2882"/>
      <c r="X68" s="2882"/>
      <c r="Y68" s="2882"/>
      <c r="Z68" s="2882"/>
      <c r="AA68" s="2882"/>
    </row>
    <row r="69" spans="1:42" s="36" customFormat="1" ht="15">
      <c r="B69" s="278">
        <v>10</v>
      </c>
      <c r="C69" s="2886" t="s">
        <v>1554</v>
      </c>
      <c r="D69" s="2886"/>
      <c r="E69" s="2108"/>
      <c r="F69" s="2887"/>
      <c r="G69" s="300"/>
      <c r="H69" s="300"/>
      <c r="I69" s="300"/>
      <c r="J69" s="297"/>
      <c r="K69" s="273"/>
      <c r="L69" s="273">
        <v>25</v>
      </c>
      <c r="M69" s="36">
        <v>25</v>
      </c>
      <c r="N69" s="272">
        <f>HLOOKUP($N$6,$G$6:N69,ROWS($O$6:O69),FALSE)</f>
        <v>25</v>
      </c>
      <c r="P69" s="2783"/>
      <c r="Q69" s="2882"/>
      <c r="R69" s="2882"/>
      <c r="S69" s="2882"/>
      <c r="W69" s="2882"/>
      <c r="X69" s="2882"/>
      <c r="Y69" s="2882"/>
      <c r="Z69" s="2882"/>
      <c r="AA69" s="2882"/>
    </row>
    <row r="70" spans="1:42" s="36" customFormat="1" ht="15">
      <c r="B70" s="278">
        <v>11</v>
      </c>
      <c r="C70" s="2886" t="s">
        <v>1555</v>
      </c>
      <c r="D70" s="2886"/>
      <c r="E70" s="2108"/>
      <c r="F70" s="2887"/>
      <c r="G70" s="300"/>
      <c r="H70" s="300"/>
      <c r="I70" s="300"/>
      <c r="J70" s="297"/>
      <c r="K70" s="273"/>
      <c r="L70" s="273">
        <v>40</v>
      </c>
      <c r="N70" s="272">
        <f>HLOOKUP($N$6,$G$6:N70,ROWS($O$6:O70),FALSE)</f>
        <v>0</v>
      </c>
      <c r="P70" s="2783"/>
      <c r="Q70" s="2882"/>
      <c r="R70" s="2882"/>
      <c r="S70" s="2882"/>
      <c r="W70" s="2882"/>
      <c r="X70" s="2882"/>
      <c r="Y70" s="2882"/>
      <c r="Z70" s="2882"/>
      <c r="AA70" s="2882"/>
    </row>
    <row r="71" spans="1:42" s="36" customFormat="1" ht="15">
      <c r="B71" s="278">
        <v>12</v>
      </c>
      <c r="C71" s="2886"/>
      <c r="D71" s="2886"/>
      <c r="E71" s="2108"/>
      <c r="F71" s="2887"/>
      <c r="G71" s="300"/>
      <c r="H71" s="300"/>
      <c r="I71" s="300"/>
      <c r="J71" s="297"/>
      <c r="K71" s="273"/>
      <c r="L71" s="273"/>
      <c r="N71" s="272">
        <f>HLOOKUP($N$6,$G$6:N71,ROWS($O$6:O71),FALSE)</f>
        <v>0</v>
      </c>
      <c r="P71" s="2783"/>
      <c r="Q71" s="2882"/>
      <c r="R71" s="2882"/>
      <c r="S71" s="2882"/>
      <c r="W71" s="2882"/>
      <c r="X71" s="2882"/>
      <c r="Y71" s="2882"/>
      <c r="Z71" s="2882"/>
      <c r="AA71" s="2882"/>
    </row>
    <row r="72" spans="1:42" s="36" customFormat="1" ht="15">
      <c r="B72" s="278">
        <v>13</v>
      </c>
      <c r="C72" s="2886" t="s">
        <v>1560</v>
      </c>
      <c r="D72" s="2886"/>
      <c r="E72" s="2108"/>
      <c r="F72" s="2887"/>
      <c r="G72" s="300"/>
      <c r="H72" s="300"/>
      <c r="I72" s="300"/>
      <c r="J72" s="297"/>
      <c r="K72" s="273"/>
      <c r="L72" s="273">
        <v>155</v>
      </c>
      <c r="M72" s="36">
        <v>155</v>
      </c>
      <c r="N72" s="272">
        <f>HLOOKUP($N$6,$G$6:N72,ROWS($O$6:O72),FALSE)</f>
        <v>155</v>
      </c>
      <c r="P72" s="2783"/>
      <c r="Q72" s="2882"/>
      <c r="R72" s="2882"/>
      <c r="S72" s="2882"/>
      <c r="W72" s="2882"/>
      <c r="X72" s="2882"/>
      <c r="Y72" s="2882"/>
      <c r="Z72" s="2882"/>
      <c r="AA72" s="2882"/>
    </row>
    <row r="73" spans="1:42" s="36" customFormat="1" ht="17.399999999999999">
      <c r="B73" s="278">
        <v>14</v>
      </c>
      <c r="C73" s="2886" t="s">
        <v>1673</v>
      </c>
      <c r="D73" s="2886"/>
      <c r="E73" s="2108"/>
      <c r="F73" s="2887"/>
      <c r="G73" s="300"/>
      <c r="H73" s="300"/>
      <c r="I73" s="300"/>
      <c r="J73" s="297"/>
      <c r="K73" s="273"/>
      <c r="L73" s="273">
        <v>63.4</v>
      </c>
      <c r="M73" s="36">
        <v>69</v>
      </c>
      <c r="N73" s="272">
        <f>HLOOKUP($N$6,$G$6:N73,ROWS($O$6:O73),FALSE)</f>
        <v>69</v>
      </c>
      <c r="P73" s="2783"/>
      <c r="Q73" s="2889"/>
      <c r="R73" s="2889"/>
      <c r="S73" s="2889"/>
      <c r="W73" s="2889"/>
      <c r="X73" s="2889"/>
      <c r="Y73" s="2889"/>
      <c r="Z73" s="2889"/>
      <c r="AA73" s="2889"/>
    </row>
    <row r="74" spans="1:42" s="36" customFormat="1" ht="15">
      <c r="B74" s="278"/>
      <c r="C74" s="2886" t="s">
        <v>1674</v>
      </c>
      <c r="D74" s="2886"/>
      <c r="E74" s="2108"/>
      <c r="F74" s="2887"/>
      <c r="G74" s="300"/>
      <c r="H74" s="300"/>
      <c r="I74" s="300"/>
      <c r="J74" s="297"/>
      <c r="K74" s="273"/>
      <c r="L74" s="273"/>
      <c r="M74" s="36">
        <v>36</v>
      </c>
      <c r="N74" s="272">
        <v>36</v>
      </c>
      <c r="P74" s="2783"/>
      <c r="Q74" s="2882"/>
      <c r="R74" s="2882"/>
      <c r="S74" s="2882"/>
      <c r="W74" s="2882"/>
      <c r="X74" s="2882"/>
      <c r="Y74" s="2882"/>
      <c r="Z74" s="2882"/>
      <c r="AA74" s="2882"/>
    </row>
    <row r="75" spans="1:42" ht="17.399999999999999">
      <c r="A75" s="252"/>
      <c r="B75" s="278"/>
      <c r="C75" s="2886" t="s">
        <v>1675</v>
      </c>
      <c r="D75" s="2886"/>
      <c r="E75" s="2108"/>
      <c r="F75" s="2887"/>
      <c r="G75" s="300"/>
      <c r="H75" s="300"/>
      <c r="I75" s="300"/>
      <c r="J75" s="297"/>
      <c r="K75" s="273"/>
      <c r="L75" s="273"/>
      <c r="M75" s="36">
        <v>22</v>
      </c>
      <c r="N75" s="272">
        <v>22</v>
      </c>
      <c r="Q75" s="27"/>
      <c r="R75" s="27"/>
      <c r="S75" s="27"/>
      <c r="T75" s="31"/>
      <c r="U75" s="27"/>
      <c r="V75" s="261"/>
      <c r="W75" s="27"/>
      <c r="X75" s="27"/>
      <c r="Y75" s="27"/>
      <c r="Z75" s="27"/>
      <c r="AA75" s="27"/>
      <c r="AB75" s="201"/>
      <c r="AC75" s="201"/>
      <c r="AD75" s="201"/>
      <c r="AE75" s="201"/>
      <c r="AF75" s="201"/>
      <c r="AG75" s="201"/>
      <c r="AH75" s="201"/>
      <c r="AI75" s="201"/>
      <c r="AJ75" s="201"/>
      <c r="AK75" s="201"/>
      <c r="AL75" s="201"/>
      <c r="AM75" s="201"/>
      <c r="AN75" s="201"/>
      <c r="AO75" s="201"/>
      <c r="AP75" s="201"/>
    </row>
    <row r="76" spans="1:42" s="100" customFormat="1" ht="17.7" customHeight="1">
      <c r="B76" s="278">
        <v>15</v>
      </c>
      <c r="C76" s="2886" t="s">
        <v>1672</v>
      </c>
      <c r="D76" s="2886"/>
      <c r="E76" s="2108"/>
      <c r="F76" s="2887"/>
      <c r="G76" s="300"/>
      <c r="H76" s="300"/>
      <c r="I76" s="300"/>
      <c r="J76" s="297"/>
      <c r="K76" s="273"/>
      <c r="L76" s="273">
        <v>134</v>
      </c>
      <c r="M76" s="36">
        <v>134</v>
      </c>
      <c r="N76" s="272">
        <f>HLOOKUP($N$6,$G$6:N76,ROWS($O$6:O76),FALSE)</f>
        <v>134</v>
      </c>
    </row>
    <row r="77" spans="1:42" s="100" customFormat="1" ht="13.95" customHeight="1">
      <c r="B77" s="278">
        <v>16</v>
      </c>
      <c r="C77" s="271" t="s">
        <v>1564</v>
      </c>
      <c r="D77" s="271"/>
      <c r="E77" s="270"/>
      <c r="F77" s="269"/>
      <c r="G77" s="268"/>
      <c r="H77" s="268"/>
      <c r="I77" s="267"/>
      <c r="J77" s="267"/>
      <c r="K77" s="266"/>
      <c r="L77" s="266"/>
      <c r="M77" s="266"/>
      <c r="N77" s="265">
        <f>HLOOKUP($N$6,$G$6:N77,ROWS($O$6:O77),FALSE)</f>
        <v>0</v>
      </c>
    </row>
    <row r="78" spans="1:42" s="100" customFormat="1" ht="15.6">
      <c r="C78" s="100" t="s">
        <v>1561</v>
      </c>
    </row>
    <row r="79" spans="1:42" s="100" customFormat="1" ht="13.8">
      <c r="B79" s="27"/>
      <c r="C79" s="100" t="s">
        <v>1671</v>
      </c>
      <c r="D79" s="3176"/>
      <c r="E79" s="3176"/>
      <c r="F79" s="3177"/>
      <c r="G79" s="3176"/>
      <c r="H79" s="3178"/>
      <c r="I79" s="3179"/>
      <c r="J79" s="27"/>
      <c r="K79" s="27"/>
      <c r="L79" s="27"/>
      <c r="M79" s="2996"/>
      <c r="N79" s="27"/>
      <c r="O79" s="27"/>
    </row>
    <row r="80" spans="1:42" s="100" customFormat="1" ht="15.6">
      <c r="C80" s="100" t="s">
        <v>1562</v>
      </c>
    </row>
    <row r="81" spans="2:15" s="100" customFormat="1"/>
    <row r="82" spans="2:15" s="100" customFormat="1"/>
    <row r="83" spans="2:15" s="100" customFormat="1"/>
    <row r="84" spans="2:15" s="100" customFormat="1"/>
    <row r="85" spans="2:15" s="100" customFormat="1"/>
    <row r="86" spans="2:15" s="100" customFormat="1"/>
    <row r="87" spans="2:15" s="100" customFormat="1"/>
    <row r="88" spans="2:15" s="100" customFormat="1"/>
    <row r="89" spans="2:15" s="100" customFormat="1"/>
    <row r="90" spans="2:15" s="100" customFormat="1"/>
    <row r="91" spans="2:15" s="100" customFormat="1"/>
    <row r="92" spans="2:15" s="100" customFormat="1"/>
    <row r="93" spans="2:15" s="100" customFormat="1"/>
    <row r="94" spans="2:15" s="36" customFormat="1" ht="13.8">
      <c r="B94" s="100"/>
      <c r="C94" s="100"/>
      <c r="D94" s="100"/>
      <c r="E94" s="100"/>
      <c r="F94" s="100"/>
      <c r="G94" s="100"/>
      <c r="H94" s="100"/>
      <c r="I94" s="100"/>
      <c r="J94" s="100"/>
      <c r="K94" s="100"/>
      <c r="L94" s="100"/>
      <c r="M94" s="100"/>
      <c r="N94" s="100"/>
      <c r="O94" s="100"/>
    </row>
    <row r="95" spans="2:15">
      <c r="B95" s="100"/>
      <c r="C95" s="100"/>
      <c r="D95" s="100"/>
      <c r="E95" s="100"/>
      <c r="F95" s="100"/>
      <c r="G95" s="100"/>
      <c r="H95" s="100"/>
      <c r="I95" s="100"/>
      <c r="J95" s="100"/>
      <c r="K95" s="100"/>
      <c r="L95" s="100"/>
      <c r="M95" s="100"/>
      <c r="N95" s="100"/>
      <c r="O95" s="100"/>
    </row>
    <row r="96" spans="2:15" s="100" customFormat="1"/>
    <row r="97" spans="2:15" s="100" customFormat="1"/>
    <row r="98" spans="2:15" s="100" customFormat="1"/>
    <row r="99" spans="2:15" s="100" customFormat="1"/>
    <row r="100" spans="2:15" s="100" customFormat="1" ht="13.8">
      <c r="B100" s="36"/>
      <c r="C100" s="36"/>
      <c r="D100" s="36"/>
      <c r="E100" s="36"/>
      <c r="F100" s="36"/>
      <c r="G100" s="36"/>
      <c r="H100" s="36"/>
      <c r="I100" s="36"/>
      <c r="J100" s="36"/>
      <c r="K100" s="36"/>
      <c r="L100" s="36"/>
      <c r="M100" s="36"/>
      <c r="N100" s="36"/>
      <c r="O100" s="36"/>
    </row>
    <row r="101" spans="2:15" s="100" customFormat="1">
      <c r="B101" s="28"/>
      <c r="C101" s="34"/>
      <c r="D101" s="28"/>
      <c r="E101" s="28"/>
      <c r="F101" s="28"/>
      <c r="G101" s="28"/>
      <c r="H101" s="28"/>
      <c r="I101" s="35"/>
      <c r="J101" s="35"/>
      <c r="K101" s="35"/>
      <c r="L101" s="35"/>
      <c r="M101" s="35"/>
      <c r="N101" s="35"/>
      <c r="O101" s="28"/>
    </row>
    <row r="102" spans="2:15" s="100" customFormat="1"/>
    <row r="103" spans="2:15" s="100" customFormat="1"/>
    <row r="104" spans="2:15" s="100" customFormat="1"/>
    <row r="105" spans="2:15" s="100" customFormat="1"/>
    <row r="106" spans="2:15" s="100" customFormat="1"/>
    <row r="107" spans="2:15" s="100" customFormat="1"/>
    <row r="108" spans="2:15" s="100" customFormat="1"/>
    <row r="109" spans="2:15" s="100" customFormat="1"/>
    <row r="110" spans="2:15" s="100" customFormat="1"/>
    <row r="111" spans="2:15" s="100" customFormat="1"/>
    <row r="112" spans="2:15" s="100" customFormat="1"/>
    <row r="113" spans="2:15" s="100" customFormat="1"/>
    <row r="114" spans="2:15" s="100" customFormat="1"/>
    <row r="115" spans="2:15">
      <c r="B115" s="100"/>
      <c r="C115" s="100"/>
      <c r="D115" s="100"/>
      <c r="E115" s="100"/>
      <c r="F115" s="100"/>
      <c r="G115" s="100"/>
      <c r="H115" s="100"/>
      <c r="I115" s="100"/>
      <c r="J115" s="100"/>
      <c r="K115" s="100"/>
      <c r="L115" s="100"/>
      <c r="M115" s="100"/>
      <c r="N115" s="100"/>
      <c r="O115" s="100"/>
    </row>
    <row r="116" spans="2:15">
      <c r="B116" s="100"/>
      <c r="C116" s="100"/>
      <c r="D116" s="100"/>
      <c r="E116" s="100"/>
      <c r="F116" s="100"/>
      <c r="G116" s="100"/>
      <c r="H116" s="100"/>
      <c r="I116" s="100"/>
      <c r="J116" s="100"/>
      <c r="K116" s="100"/>
      <c r="L116" s="100"/>
      <c r="M116" s="100"/>
      <c r="N116" s="100"/>
      <c r="O116" s="100"/>
    </row>
    <row r="117" spans="2:15">
      <c r="B117" s="100"/>
      <c r="C117" s="100"/>
      <c r="D117" s="100"/>
      <c r="E117" s="100"/>
      <c r="F117" s="100"/>
      <c r="G117" s="100"/>
      <c r="H117" s="100"/>
      <c r="I117" s="100"/>
      <c r="J117" s="100"/>
      <c r="K117" s="100"/>
      <c r="L117" s="100"/>
      <c r="M117" s="100"/>
      <c r="N117" s="100"/>
      <c r="O117" s="100"/>
    </row>
    <row r="118" spans="2:15">
      <c r="B118" s="100"/>
      <c r="C118" s="100"/>
      <c r="D118" s="100"/>
      <c r="E118" s="100"/>
      <c r="F118" s="100"/>
      <c r="G118" s="100"/>
      <c r="H118" s="100"/>
      <c r="I118" s="100"/>
      <c r="J118" s="100"/>
      <c r="K118" s="100"/>
      <c r="L118" s="100"/>
      <c r="M118" s="100"/>
      <c r="N118" s="100"/>
      <c r="O118" s="100"/>
    </row>
    <row r="119" spans="2:15">
      <c r="B119" s="100"/>
      <c r="C119" s="100"/>
      <c r="D119" s="100"/>
      <c r="E119" s="100"/>
      <c r="F119" s="100"/>
      <c r="G119" s="100"/>
      <c r="H119" s="100"/>
      <c r="I119" s="100"/>
      <c r="J119" s="100"/>
      <c r="K119" s="100"/>
      <c r="L119" s="100"/>
      <c r="M119" s="100"/>
      <c r="N119" s="100"/>
      <c r="O119" s="100"/>
    </row>
    <row r="120" spans="2:15">
      <c r="B120" s="100"/>
      <c r="C120" s="100"/>
      <c r="D120" s="100"/>
      <c r="E120" s="100"/>
      <c r="F120" s="100"/>
      <c r="G120" s="100"/>
      <c r="H120" s="100"/>
      <c r="I120" s="100"/>
      <c r="J120" s="100"/>
      <c r="K120" s="100"/>
      <c r="L120" s="100"/>
      <c r="M120" s="100"/>
      <c r="N120" s="100"/>
      <c r="O120" s="100"/>
    </row>
  </sheetData>
  <sheetProtection sheet="1" objects="1" scenarios="1"/>
  <customSheetViews>
    <customSheetView guid="{8063F48F-80B5-4ECD-B18A-51CBF126E780}" fitToPage="1" hiddenColumns="1" topLeftCell="A64">
      <selection activeCell="AL26" sqref="AL26"/>
      <rowBreaks count="1" manualBreakCount="1">
        <brk id="80" max="12" man="1"/>
      </rowBreaks>
      <pageMargins left="0.59055118110236227" right="0.59055118110236227" top="0.59055118110236227" bottom="0.59055118110236227" header="0.39370078740157483" footer="0.39370078740157483"/>
      <printOptions horizontalCentered="1"/>
      <pageSetup paperSize="9" scale="72" firstPageNumber="7" orientation="portrait" useFirstPageNumber="1" r:id="rId1"/>
      <headerFooter alignWithMargins="0">
        <oddFooter>&amp;L&amp;11LEL Schwäbisch Gmünd&amp;C&amp;11&amp;P+8&amp;R&amp;11 &amp;F</oddFooter>
      </headerFooter>
    </customSheetView>
    <customSheetView guid="{5D5C9B61-9ABD-4513-AAEB-8333A9D6196C}" fitToPage="1" hiddenColumns="1" topLeftCell="A52">
      <selection activeCell="AL26" sqref="AL26"/>
      <rowBreaks count="1" manualBreakCount="1">
        <brk id="80" max="12" man="1"/>
      </rowBreaks>
      <pageMargins left="0.59055118110236227" right="0.59055118110236227" top="0.59055118110236227" bottom="0.59055118110236227" header="0.39370078740157483" footer="0.39370078740157483"/>
      <printOptions horizontalCentered="1"/>
      <pageSetup paperSize="9" scale="72" firstPageNumber="7" orientation="portrait" useFirstPageNumber="1" r:id="rId2"/>
      <headerFooter alignWithMargins="0">
        <oddFooter>&amp;L&amp;11LEL Schwäbisch Gmünd&amp;C&amp;11&amp;P+8&amp;R&amp;11 &amp;F</oddFooter>
      </headerFooter>
    </customSheetView>
    <customSheetView guid="{22A73C4F-9004-4CEF-8499-B1F91BE1B569}" fitToPage="1" hiddenColumns="1" topLeftCell="A64">
      <selection activeCell="AL26" sqref="AL26"/>
      <rowBreaks count="1" manualBreakCount="1">
        <brk id="80" max="12" man="1"/>
      </rowBreaks>
      <pageMargins left="0.59055118110236227" right="0.59055118110236227" top="0.59055118110236227" bottom="0.59055118110236227" header="0.39370078740157483" footer="0.39370078740157483"/>
      <printOptions horizontalCentered="1"/>
      <pageSetup paperSize="9" scale="72" firstPageNumber="7" orientation="portrait" useFirstPageNumber="1" r:id="rId3"/>
      <headerFooter alignWithMargins="0">
        <oddFooter>&amp;L&amp;11LEL Schwäbisch Gmünd&amp;C&amp;11&amp;P+8&amp;R&amp;11 &amp;F</oddFooter>
      </headerFooter>
    </customSheetView>
  </customSheetViews>
  <mergeCells count="6">
    <mergeCell ref="B55:L55"/>
    <mergeCell ref="C49:F49"/>
    <mergeCell ref="C50:F50"/>
    <mergeCell ref="C7:O7"/>
    <mergeCell ref="L2:O2"/>
    <mergeCell ref="C48:F48"/>
  </mergeCells>
  <dataValidations count="1">
    <dataValidation type="list" allowBlank="1" showInputMessage="1" showErrorMessage="1" sqref="N6" xr:uid="{00000000-0002-0000-0E00-000000000000}">
      <formula1>$G$6:$N$6</formula1>
    </dataValidation>
  </dataValidations>
  <printOptions horizontalCentered="1"/>
  <pageMargins left="0.59055118110236227" right="0.59055118110236227" top="0.59055118110236227" bottom="0.59055118110236227" header="0.39370078740157483" footer="0.39370078740157483"/>
  <pageSetup paperSize="9" scale="72" firstPageNumber="7" orientation="portrait" useFirstPageNumber="1" r:id="rId4"/>
  <headerFooter alignWithMargins="0">
    <oddFooter>&amp;L&amp;11LEL Schwäbisch Gmünd&amp;C&amp;11&amp;P+8&amp;R&amp;11 &amp;F</oddFooter>
  </headerFooter>
  <rowBreaks count="1" manualBreakCount="1">
    <brk id="79" max="12" man="1"/>
  </rowBreaks>
  <drawing r:id="rId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tabColor rgb="FF00B0F0"/>
    <pageSetUpPr fitToPage="1"/>
  </sheetPr>
  <dimension ref="A1:AP141"/>
  <sheetViews>
    <sheetView workbookViewId="0">
      <selection activeCell="J5" sqref="J5"/>
    </sheetView>
  </sheetViews>
  <sheetFormatPr baseColWidth="10" defaultColWidth="10.5" defaultRowHeight="10.199999999999999"/>
  <cols>
    <col min="1" max="1" width="2.19921875" style="303" customWidth="1"/>
    <col min="2" max="2" width="6.59765625" style="315" customWidth="1"/>
    <col min="3" max="3" width="57.19921875" style="315" customWidth="1"/>
    <col min="4" max="4" width="9.09765625" style="315" customWidth="1"/>
    <col min="5" max="5" width="7.19921875" style="315" customWidth="1"/>
    <col min="6" max="6" width="9.5" style="315" customWidth="1"/>
    <col min="7" max="7" width="6" style="315" customWidth="1"/>
    <col min="8" max="8" width="6" style="302" customWidth="1"/>
    <col min="9" max="9" width="9.19921875" style="315" customWidth="1"/>
    <col min="10" max="10" width="6" style="302" customWidth="1"/>
    <col min="11" max="11" width="7.19921875" style="302" customWidth="1"/>
    <col min="12" max="12" width="11.19921875" style="302" customWidth="1"/>
    <col min="13" max="13" width="7" style="302" customWidth="1"/>
    <col min="14" max="14" width="7.19921875" style="302" customWidth="1"/>
    <col min="15" max="15" width="9.59765625" style="302" customWidth="1"/>
    <col min="16" max="16" width="27.19921875" style="315" customWidth="1"/>
    <col min="17" max="17" width="18.8984375" style="303" hidden="1" customWidth="1"/>
    <col min="18" max="18" width="18.8984375" style="302" hidden="1" customWidth="1"/>
    <col min="19" max="20" width="18.8984375" style="303" hidden="1" customWidth="1"/>
    <col min="21" max="21" width="15.19921875" style="303" hidden="1" customWidth="1"/>
    <col min="22" max="22" width="16.8984375" style="303" customWidth="1"/>
    <col min="23" max="28" width="16.3984375" style="303" customWidth="1"/>
    <col min="29" max="16384" width="10.5" style="303"/>
  </cols>
  <sheetData>
    <row r="1" spans="1:42">
      <c r="A1" s="318"/>
      <c r="J1" s="303"/>
      <c r="M1" s="338"/>
      <c r="N1" s="338"/>
      <c r="O1" s="337"/>
      <c r="R1" s="303"/>
    </row>
    <row r="2" spans="1:42" ht="17.399999999999999">
      <c r="A2" s="2648"/>
      <c r="B2" s="41" t="s">
        <v>401</v>
      </c>
      <c r="C2" s="303"/>
      <c r="D2" s="303"/>
      <c r="E2" s="303"/>
      <c r="F2" s="303"/>
      <c r="G2" s="303"/>
      <c r="H2" s="303"/>
      <c r="I2" s="302"/>
      <c r="J2" s="303"/>
      <c r="K2" s="303"/>
      <c r="L2" s="303"/>
      <c r="M2" s="303"/>
      <c r="N2" s="303"/>
      <c r="O2" s="335" t="s">
        <v>1710</v>
      </c>
      <c r="P2" s="2587"/>
    </row>
    <row r="3" spans="1:42" ht="24" customHeight="1">
      <c r="A3" s="2648"/>
      <c r="B3" s="317"/>
      <c r="C3" s="336" t="s">
        <v>1635</v>
      </c>
      <c r="D3" s="303"/>
      <c r="I3" s="302"/>
      <c r="J3" s="303"/>
      <c r="K3" s="303"/>
      <c r="L3" s="303"/>
      <c r="M3" s="303"/>
      <c r="N3" s="303"/>
      <c r="O3" s="335">
        <f>'SDK1'!O3</f>
        <v>2024</v>
      </c>
      <c r="Q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row>
    <row r="4" spans="1:42" ht="13.65" customHeight="1">
      <c r="A4" s="2648"/>
      <c r="B4" s="330"/>
      <c r="C4" s="303"/>
      <c r="D4" s="303"/>
      <c r="K4" s="303"/>
      <c r="L4" s="303"/>
      <c r="M4" s="3201" t="s">
        <v>1676</v>
      </c>
      <c r="N4" s="303"/>
      <c r="O4" s="303"/>
      <c r="Q4" s="329"/>
      <c r="S4" s="329"/>
      <c r="T4" s="329"/>
      <c r="U4" s="329"/>
      <c r="V4" s="329"/>
      <c r="W4" s="329"/>
      <c r="X4" s="329"/>
      <c r="Y4" s="329"/>
      <c r="Z4" s="329"/>
      <c r="AA4" s="329"/>
      <c r="AB4" s="329"/>
      <c r="AC4" s="329"/>
      <c r="AD4" s="329"/>
      <c r="AE4" s="329"/>
      <c r="AF4" s="329"/>
      <c r="AG4" s="329"/>
      <c r="AH4" s="329"/>
      <c r="AI4" s="329"/>
      <c r="AJ4" s="329"/>
      <c r="AK4" s="329"/>
      <c r="AL4" s="329"/>
      <c r="AM4" s="329"/>
      <c r="AN4" s="329"/>
      <c r="AO4" s="329"/>
      <c r="AP4" s="329"/>
    </row>
    <row r="5" spans="1:42" ht="13.2" customHeight="1">
      <c r="A5" s="2648"/>
      <c r="C5" s="2785" t="s">
        <v>400</v>
      </c>
      <c r="D5" s="3627">
        <f>'SDK1'!O64</f>
        <v>1.67</v>
      </c>
      <c r="E5" s="2783" t="s">
        <v>396</v>
      </c>
      <c r="F5" s="2783" t="s">
        <v>399</v>
      </c>
      <c r="G5" s="3058">
        <f>'SDK1'!O11/100</f>
        <v>0</v>
      </c>
      <c r="H5" s="2783"/>
      <c r="I5" s="2785" t="s">
        <v>398</v>
      </c>
      <c r="J5" s="3628">
        <v>0.06</v>
      </c>
      <c r="K5" s="2783" t="s">
        <v>396</v>
      </c>
      <c r="M5" s="3201" t="s">
        <v>1677</v>
      </c>
      <c r="N5" s="3628">
        <f>S5-J5</f>
        <v>1.2927</v>
      </c>
      <c r="O5" s="2783" t="s">
        <v>396</v>
      </c>
      <c r="P5" s="2783"/>
      <c r="Q5" s="334" t="s">
        <v>397</v>
      </c>
      <c r="S5" s="1489">
        <f>D5-(D5*U5)</f>
        <v>1.3527</v>
      </c>
      <c r="T5" s="329" t="s">
        <v>396</v>
      </c>
      <c r="U5" s="329">
        <v>0.19</v>
      </c>
      <c r="V5" s="329"/>
      <c r="W5" s="329"/>
      <c r="X5" s="329"/>
      <c r="Y5" s="329"/>
      <c r="Z5" s="329"/>
      <c r="AA5" s="329"/>
      <c r="AB5" s="329"/>
      <c r="AC5" s="329"/>
      <c r="AD5" s="329"/>
      <c r="AE5" s="329"/>
      <c r="AF5" s="329"/>
      <c r="AG5" s="329"/>
      <c r="AH5" s="329"/>
      <c r="AI5" s="329"/>
      <c r="AJ5" s="329"/>
      <c r="AK5" s="329"/>
      <c r="AL5" s="329"/>
      <c r="AM5" s="329"/>
      <c r="AN5" s="329"/>
      <c r="AO5" s="329"/>
      <c r="AP5" s="329"/>
    </row>
    <row r="6" spans="1:42" ht="13.95" customHeight="1">
      <c r="A6" s="2648"/>
      <c r="B6" s="2783"/>
      <c r="C6" s="2783"/>
      <c r="D6" s="2783"/>
      <c r="E6" s="2783"/>
      <c r="F6" s="2783"/>
      <c r="G6" s="2783"/>
      <c r="H6" s="38"/>
      <c r="I6" s="2783"/>
      <c r="J6" s="38"/>
      <c r="K6" s="36"/>
      <c r="L6" s="36"/>
      <c r="M6" s="36"/>
      <c r="N6" s="36"/>
      <c r="O6" s="36"/>
      <c r="P6" s="2783"/>
      <c r="U6" s="315"/>
      <c r="W6" s="329"/>
      <c r="X6" s="329"/>
      <c r="Y6" s="329"/>
      <c r="Z6" s="329"/>
      <c r="AA6" s="329"/>
      <c r="AB6" s="329"/>
      <c r="AC6" s="329"/>
      <c r="AD6" s="329"/>
      <c r="AE6" s="329"/>
      <c r="AF6" s="329"/>
      <c r="AG6" s="329"/>
      <c r="AH6" s="329"/>
      <c r="AI6" s="329"/>
      <c r="AJ6" s="329"/>
      <c r="AK6" s="329"/>
      <c r="AL6" s="329"/>
      <c r="AM6" s="329"/>
      <c r="AN6" s="329"/>
      <c r="AO6" s="329"/>
      <c r="AP6" s="329"/>
    </row>
    <row r="7" spans="1:42" ht="13.8">
      <c r="A7" s="2648"/>
      <c r="B7" s="47" t="s">
        <v>370</v>
      </c>
      <c r="C7" s="47"/>
      <c r="D7" s="250"/>
      <c r="E7" s="2783"/>
      <c r="F7" s="2783"/>
      <c r="G7" s="51"/>
      <c r="H7" s="3912" t="s">
        <v>395</v>
      </c>
      <c r="I7" s="3923"/>
      <c r="J7" s="3923"/>
      <c r="K7" s="3923"/>
      <c r="L7" s="3923"/>
      <c r="M7" s="3923"/>
      <c r="N7" s="3923"/>
      <c r="O7" s="3923"/>
      <c r="P7" s="2783"/>
      <c r="Q7" s="315" t="s">
        <v>1644</v>
      </c>
      <c r="R7" s="317"/>
      <c r="S7" s="329"/>
      <c r="T7" s="329"/>
      <c r="U7" s="329"/>
      <c r="V7" s="329"/>
      <c r="W7" s="329"/>
      <c r="X7" s="329"/>
      <c r="Y7" s="329"/>
      <c r="Z7" s="329"/>
      <c r="AA7" s="329"/>
      <c r="AB7" s="329"/>
      <c r="AC7" s="329"/>
      <c r="AD7" s="329"/>
      <c r="AE7" s="329"/>
      <c r="AF7" s="329"/>
      <c r="AG7" s="329"/>
      <c r="AH7" s="329"/>
      <c r="AI7" s="329"/>
      <c r="AJ7" s="329"/>
      <c r="AK7" s="329"/>
    </row>
    <row r="8" spans="1:42" ht="13.2" customHeight="1">
      <c r="A8" s="2648"/>
      <c r="B8" s="51"/>
      <c r="C8" s="235"/>
      <c r="D8" s="3895" t="s">
        <v>366</v>
      </c>
      <c r="E8" s="3896"/>
      <c r="F8" s="3895" t="s">
        <v>394</v>
      </c>
      <c r="G8" s="3899"/>
      <c r="H8" s="3170" t="s">
        <v>393</v>
      </c>
      <c r="I8" s="3060"/>
      <c r="J8" s="3895" t="s">
        <v>392</v>
      </c>
      <c r="K8" s="3905"/>
      <c r="L8" s="3061"/>
      <c r="M8" s="3924" t="s">
        <v>391</v>
      </c>
      <c r="N8" s="3925"/>
      <c r="O8" s="3925"/>
      <c r="P8" s="172"/>
      <c r="Q8" s="315"/>
      <c r="R8" s="317"/>
      <c r="S8" s="329"/>
      <c r="T8" s="329"/>
      <c r="U8" s="329"/>
      <c r="V8" s="329"/>
      <c r="W8" s="329"/>
      <c r="X8" s="329"/>
      <c r="Y8" s="329"/>
      <c r="Z8" s="329"/>
      <c r="AA8" s="329"/>
      <c r="AB8" s="329"/>
      <c r="AC8" s="329"/>
      <c r="AD8" s="329"/>
      <c r="AE8" s="329"/>
      <c r="AF8" s="329"/>
      <c r="AG8" s="329"/>
      <c r="AH8" s="329"/>
      <c r="AI8" s="329"/>
      <c r="AJ8" s="329"/>
      <c r="AK8" s="329"/>
    </row>
    <row r="9" spans="1:42" ht="13.2" customHeight="1">
      <c r="A9" s="2648"/>
      <c r="B9" s="2783"/>
      <c r="C9" s="235"/>
      <c r="D9" s="3895" t="s">
        <v>364</v>
      </c>
      <c r="E9" s="3896"/>
      <c r="F9" s="3895" t="s">
        <v>390</v>
      </c>
      <c r="G9" s="3899"/>
      <c r="H9" s="3170" t="s">
        <v>389</v>
      </c>
      <c r="I9" s="3059"/>
      <c r="J9" s="3895" t="s">
        <v>388</v>
      </c>
      <c r="K9" s="3905"/>
      <c r="L9" s="3061"/>
      <c r="M9" s="3924" t="s">
        <v>387</v>
      </c>
      <c r="N9" s="3925"/>
      <c r="O9" s="3925"/>
      <c r="P9" s="172"/>
      <c r="Q9" s="317"/>
      <c r="R9" s="317"/>
      <c r="S9" s="329"/>
      <c r="T9" s="329"/>
      <c r="U9" s="329"/>
      <c r="V9" s="233"/>
      <c r="W9" s="233"/>
      <c r="X9" s="233"/>
      <c r="Y9" s="233"/>
      <c r="Z9" s="329"/>
      <c r="AA9" s="329"/>
      <c r="AB9" s="329"/>
      <c r="AC9" s="329"/>
      <c r="AD9" s="329"/>
      <c r="AE9" s="329"/>
      <c r="AF9" s="329"/>
      <c r="AG9" s="329"/>
      <c r="AH9" s="329"/>
      <c r="AI9" s="329"/>
      <c r="AJ9" s="329"/>
      <c r="AK9" s="329"/>
    </row>
    <row r="10" spans="1:42" ht="13.2" customHeight="1">
      <c r="A10" s="2648"/>
      <c r="B10" s="2783"/>
      <c r="C10" s="235"/>
      <c r="D10" s="3897"/>
      <c r="E10" s="3898"/>
      <c r="F10" s="3897"/>
      <c r="G10" s="3900"/>
      <c r="H10" s="3062">
        <f>N5</f>
        <v>1.2927</v>
      </c>
      <c r="I10" s="3063" t="s">
        <v>386</v>
      </c>
      <c r="J10" s="3895" t="s">
        <v>385</v>
      </c>
      <c r="K10" s="3905"/>
      <c r="L10" s="3061"/>
      <c r="M10" s="3924" t="s">
        <v>384</v>
      </c>
      <c r="N10" s="3925"/>
      <c r="O10" s="3925"/>
      <c r="P10" s="172"/>
      <c r="Q10" s="329"/>
      <c r="R10" s="317"/>
      <c r="S10" s="329"/>
      <c r="T10" s="329"/>
      <c r="U10" s="329"/>
      <c r="V10" s="233"/>
      <c r="W10" s="233"/>
      <c r="X10" s="233"/>
      <c r="Y10" s="233"/>
      <c r="Z10" s="233"/>
      <c r="AA10" s="233"/>
      <c r="AB10" s="329"/>
      <c r="AC10" s="329"/>
      <c r="AD10" s="329"/>
      <c r="AE10" s="329"/>
      <c r="AF10" s="329"/>
      <c r="AG10" s="329"/>
      <c r="AH10" s="329"/>
      <c r="AI10" s="329"/>
      <c r="AJ10" s="329"/>
      <c r="AK10" s="329"/>
    </row>
    <row r="11" spans="1:42" ht="13.2" customHeight="1">
      <c r="A11" s="2648"/>
      <c r="B11" s="2786" t="s">
        <v>383</v>
      </c>
      <c r="C11" s="185" t="s">
        <v>382</v>
      </c>
      <c r="D11" s="3064"/>
      <c r="E11" s="223"/>
      <c r="F11" s="3906" t="s">
        <v>381</v>
      </c>
      <c r="G11" s="3907"/>
      <c r="H11" s="3906" t="s">
        <v>380</v>
      </c>
      <c r="I11" s="3907"/>
      <c r="J11" s="3906" t="s">
        <v>380</v>
      </c>
      <c r="K11" s="3926"/>
      <c r="L11" s="2803"/>
      <c r="M11" s="3065">
        <v>0.7</v>
      </c>
      <c r="N11" s="3066">
        <v>1</v>
      </c>
      <c r="O11" s="3066">
        <v>1.5</v>
      </c>
      <c r="P11" s="172"/>
      <c r="Q11" s="172"/>
      <c r="R11" s="172"/>
      <c r="S11" s="172"/>
      <c r="T11" s="172"/>
      <c r="U11" s="172"/>
      <c r="V11" s="2930"/>
      <c r="W11" s="233"/>
      <c r="X11" s="233"/>
      <c r="Y11" s="2930"/>
      <c r="Z11" s="233"/>
      <c r="AA11" s="233"/>
      <c r="AB11" s="233"/>
      <c r="AC11" s="329"/>
      <c r="AD11" s="329"/>
      <c r="AE11" s="329"/>
      <c r="AF11" s="329"/>
      <c r="AG11" s="329"/>
      <c r="AH11" s="329"/>
      <c r="AI11" s="329"/>
      <c r="AJ11" s="329"/>
      <c r="AK11" s="329"/>
    </row>
    <row r="12" spans="1:42" ht="12.9" customHeight="1">
      <c r="A12" s="2648"/>
      <c r="B12" s="3067">
        <v>1</v>
      </c>
      <c r="C12" s="3068" t="s">
        <v>1046</v>
      </c>
      <c r="D12" s="3884">
        <v>200</v>
      </c>
      <c r="E12" s="3885"/>
      <c r="F12" s="3886">
        <v>23.3</v>
      </c>
      <c r="G12" s="3887"/>
      <c r="H12" s="3888">
        <f>F12*($H$10)+J12</f>
        <v>48.119910000000004</v>
      </c>
      <c r="I12" s="3889"/>
      <c r="J12" s="3890">
        <v>18</v>
      </c>
      <c r="K12" s="3887"/>
      <c r="L12" s="3069"/>
      <c r="M12" s="3070">
        <f t="shared" ref="M12:O17" si="0">($F12*$N$5)*M$11+$J12</f>
        <v>39.083936999999999</v>
      </c>
      <c r="N12" s="3071">
        <f t="shared" si="0"/>
        <v>48.119910000000004</v>
      </c>
      <c r="O12" s="3070">
        <f t="shared" si="0"/>
        <v>63.179864999999999</v>
      </c>
      <c r="P12" s="172"/>
      <c r="Q12" s="172"/>
      <c r="R12" s="172"/>
      <c r="S12" s="172"/>
      <c r="T12" s="172"/>
      <c r="U12" s="172"/>
      <c r="V12" s="233"/>
      <c r="W12" s="233"/>
      <c r="X12" s="233"/>
      <c r="Y12" s="233"/>
      <c r="Z12" s="233"/>
      <c r="AA12" s="233"/>
      <c r="AB12" s="329"/>
      <c r="AC12" s="329"/>
      <c r="AD12" s="329"/>
      <c r="AE12" s="329"/>
      <c r="AF12" s="329"/>
      <c r="AG12" s="329"/>
      <c r="AH12" s="329"/>
      <c r="AI12" s="329"/>
      <c r="AJ12" s="329"/>
      <c r="AK12" s="329"/>
    </row>
    <row r="13" spans="1:42" ht="13.2" customHeight="1">
      <c r="A13" s="2648"/>
      <c r="B13" s="3067">
        <v>2</v>
      </c>
      <c r="C13" s="3068" t="s">
        <v>377</v>
      </c>
      <c r="D13" s="3893">
        <v>120</v>
      </c>
      <c r="E13" s="3894"/>
      <c r="F13" s="3903">
        <v>14</v>
      </c>
      <c r="G13" s="3904"/>
      <c r="H13" s="3910">
        <f>F13*($H$10)+J13</f>
        <v>29.097799999999999</v>
      </c>
      <c r="I13" s="3911"/>
      <c r="J13" s="3901">
        <v>11</v>
      </c>
      <c r="K13" s="3902"/>
      <c r="L13" s="3069"/>
      <c r="M13" s="3070">
        <f t="shared" si="0"/>
        <v>23.66846</v>
      </c>
      <c r="N13" s="3072">
        <f t="shared" si="0"/>
        <v>29.097799999999999</v>
      </c>
      <c r="O13" s="3070">
        <f t="shared" si="0"/>
        <v>38.146699999999996</v>
      </c>
      <c r="P13" s="172"/>
      <c r="Q13" s="172"/>
      <c r="R13" s="172"/>
      <c r="S13" s="172"/>
      <c r="T13" s="172"/>
      <c r="U13" s="172"/>
      <c r="V13" s="233"/>
      <c r="W13" s="233"/>
      <c r="X13" s="233"/>
      <c r="Y13" s="233"/>
      <c r="Z13" s="233"/>
      <c r="AA13" s="233"/>
      <c r="AB13" s="329"/>
      <c r="AC13" s="329"/>
      <c r="AD13" s="329"/>
      <c r="AE13" s="329"/>
      <c r="AF13" s="329"/>
      <c r="AG13" s="329"/>
      <c r="AH13" s="329"/>
      <c r="AI13" s="329"/>
      <c r="AJ13" s="329"/>
      <c r="AK13" s="329"/>
    </row>
    <row r="14" spans="1:42" ht="13.2" customHeight="1">
      <c r="A14" s="2648"/>
      <c r="B14" s="3067">
        <v>3</v>
      </c>
      <c r="C14" s="3068" t="s">
        <v>374</v>
      </c>
      <c r="D14" s="3893">
        <v>83</v>
      </c>
      <c r="E14" s="3894"/>
      <c r="F14" s="3903">
        <v>9.6999999999999993</v>
      </c>
      <c r="G14" s="3902"/>
      <c r="H14" s="3910">
        <f>F14*($H$10)+J14</f>
        <v>22.139189999999999</v>
      </c>
      <c r="I14" s="3911"/>
      <c r="J14" s="3901">
        <v>9.6</v>
      </c>
      <c r="K14" s="3902"/>
      <c r="L14" s="3073"/>
      <c r="M14" s="3074">
        <f t="shared" si="0"/>
        <v>18.377432999999996</v>
      </c>
      <c r="N14" s="3075">
        <f t="shared" si="0"/>
        <v>22.139189999999999</v>
      </c>
      <c r="O14" s="3070">
        <f t="shared" si="0"/>
        <v>28.408784999999995</v>
      </c>
      <c r="P14" s="172"/>
      <c r="Q14" s="172"/>
      <c r="R14" s="172"/>
      <c r="S14" s="172"/>
      <c r="T14" s="172"/>
      <c r="U14" s="172"/>
      <c r="V14" s="233"/>
      <c r="W14" s="233"/>
      <c r="X14" s="233"/>
      <c r="Y14" s="233"/>
      <c r="Z14" s="233"/>
      <c r="AA14" s="233"/>
      <c r="AB14" s="329"/>
      <c r="AC14" s="329"/>
      <c r="AD14" s="329"/>
      <c r="AE14" s="329"/>
      <c r="AF14" s="329"/>
      <c r="AG14" s="329"/>
      <c r="AH14" s="329"/>
      <c r="AI14" s="329"/>
      <c r="AJ14" s="329"/>
      <c r="AK14" s="329"/>
    </row>
    <row r="15" spans="1:42" ht="13.2" customHeight="1">
      <c r="A15" s="2648"/>
      <c r="B15" s="3067">
        <v>4</v>
      </c>
      <c r="C15" s="3068" t="s">
        <v>372</v>
      </c>
      <c r="D15" s="3893">
        <v>54</v>
      </c>
      <c r="E15" s="3894"/>
      <c r="F15" s="3903">
        <v>6.3</v>
      </c>
      <c r="G15" s="3902"/>
      <c r="H15" s="3910">
        <f>F15*($H$10)+J15</f>
        <v>13.14401</v>
      </c>
      <c r="I15" s="3911"/>
      <c r="J15" s="3901">
        <v>5</v>
      </c>
      <c r="K15" s="3902"/>
      <c r="L15" s="3073"/>
      <c r="M15" s="3074">
        <f t="shared" si="0"/>
        <v>10.700806999999999</v>
      </c>
      <c r="N15" s="3075">
        <f t="shared" si="0"/>
        <v>13.14401</v>
      </c>
      <c r="O15" s="3070">
        <f t="shared" si="0"/>
        <v>17.216014999999999</v>
      </c>
      <c r="P15" s="172"/>
      <c r="Q15" s="172"/>
      <c r="R15" s="172"/>
      <c r="S15" s="172"/>
      <c r="T15" s="172"/>
      <c r="U15" s="172"/>
      <c r="V15" s="233"/>
      <c r="W15" s="233"/>
      <c r="X15" s="233"/>
      <c r="Y15" s="233"/>
      <c r="Z15" s="233"/>
      <c r="AA15" s="233"/>
      <c r="AB15" s="329"/>
      <c r="AC15" s="329"/>
      <c r="AD15" s="329"/>
      <c r="AE15" s="329"/>
      <c r="AF15" s="329"/>
      <c r="AG15" s="329"/>
      <c r="AH15" s="329"/>
      <c r="AI15" s="329"/>
      <c r="AJ15" s="329"/>
      <c r="AK15" s="329"/>
    </row>
    <row r="16" spans="1:42" ht="13.2" customHeight="1">
      <c r="A16" s="2648"/>
      <c r="B16" s="3067"/>
      <c r="C16" s="3068"/>
      <c r="D16" s="3908"/>
      <c r="E16" s="3909"/>
      <c r="F16" s="3917"/>
      <c r="G16" s="3918"/>
      <c r="H16" s="3910"/>
      <c r="I16" s="3911"/>
      <c r="J16" s="3891"/>
      <c r="K16" s="3892"/>
      <c r="L16" s="3073"/>
      <c r="M16" s="3074">
        <f t="shared" si="0"/>
        <v>0</v>
      </c>
      <c r="N16" s="3075">
        <f t="shared" si="0"/>
        <v>0</v>
      </c>
      <c r="O16" s="3070">
        <f t="shared" si="0"/>
        <v>0</v>
      </c>
      <c r="P16" s="172"/>
      <c r="Q16" s="172"/>
      <c r="R16" s="172"/>
      <c r="S16" s="172"/>
      <c r="T16" s="172"/>
      <c r="U16" s="172"/>
      <c r="V16" s="233"/>
      <c r="W16" s="233"/>
      <c r="X16" s="233"/>
      <c r="Y16" s="233"/>
      <c r="Z16" s="233"/>
      <c r="AA16" s="233"/>
      <c r="AB16" s="329"/>
      <c r="AC16" s="329"/>
      <c r="AD16" s="329"/>
      <c r="AE16" s="329"/>
      <c r="AF16" s="329"/>
      <c r="AG16" s="329"/>
      <c r="AH16" s="329"/>
      <c r="AI16" s="329"/>
      <c r="AJ16" s="329"/>
      <c r="AK16" s="329"/>
    </row>
    <row r="17" spans="1:42" ht="13.2" customHeight="1">
      <c r="A17" s="2648"/>
      <c r="B17" s="3067"/>
      <c r="C17" s="3076"/>
      <c r="D17" s="3908"/>
      <c r="E17" s="3909"/>
      <c r="F17" s="3917"/>
      <c r="G17" s="3918"/>
      <c r="H17" s="3910"/>
      <c r="I17" s="3911"/>
      <c r="J17" s="3891"/>
      <c r="K17" s="3892"/>
      <c r="L17" s="3073"/>
      <c r="M17" s="3074">
        <f>($F17*$N$5)*M$11+$J17</f>
        <v>0</v>
      </c>
      <c r="N17" s="3075">
        <f t="shared" si="0"/>
        <v>0</v>
      </c>
      <c r="O17" s="3070">
        <f t="shared" si="0"/>
        <v>0</v>
      </c>
      <c r="P17" s="172"/>
      <c r="Q17" s="172"/>
      <c r="R17" s="172"/>
      <c r="S17" s="172"/>
      <c r="T17" s="172"/>
      <c r="U17" s="172"/>
      <c r="V17" s="233"/>
      <c r="W17" s="233"/>
      <c r="X17" s="233"/>
      <c r="Y17" s="233"/>
      <c r="Z17" s="233"/>
      <c r="AA17" s="233"/>
      <c r="AB17" s="329"/>
      <c r="AC17" s="329"/>
      <c r="AD17" s="329"/>
      <c r="AE17" s="329"/>
      <c r="AF17" s="329"/>
      <c r="AG17" s="329"/>
      <c r="AH17" s="329"/>
      <c r="AI17" s="329"/>
      <c r="AJ17" s="329"/>
      <c r="AK17" s="329"/>
    </row>
    <row r="18" spans="1:42" ht="1.2" customHeight="1">
      <c r="A18" s="2648"/>
      <c r="B18" s="3077"/>
      <c r="C18" s="3068"/>
      <c r="D18" s="3908"/>
      <c r="E18" s="3909"/>
      <c r="F18" s="3917"/>
      <c r="G18" s="3918"/>
      <c r="H18" s="3910"/>
      <c r="I18" s="3911"/>
      <c r="J18" s="3915"/>
      <c r="K18" s="3916"/>
      <c r="L18" s="3073"/>
      <c r="M18" s="3074"/>
      <c r="N18" s="3075"/>
      <c r="O18" s="3070"/>
      <c r="P18" s="172"/>
      <c r="Q18" s="172"/>
      <c r="R18" s="172"/>
      <c r="S18" s="172"/>
      <c r="T18" s="172"/>
      <c r="U18" s="172"/>
      <c r="V18" s="233"/>
      <c r="W18" s="233"/>
      <c r="X18" s="233"/>
      <c r="Y18" s="233"/>
      <c r="Z18" s="233"/>
      <c r="AA18" s="233"/>
      <c r="AB18" s="329"/>
      <c r="AC18" s="329"/>
      <c r="AD18" s="329"/>
      <c r="AE18" s="329"/>
      <c r="AF18" s="329"/>
      <c r="AG18" s="329"/>
      <c r="AH18" s="329"/>
      <c r="AI18" s="329"/>
      <c r="AJ18" s="329"/>
      <c r="AK18" s="329"/>
    </row>
    <row r="19" spans="1:42" ht="19.2" customHeight="1">
      <c r="A19" s="2648"/>
      <c r="B19" s="48"/>
      <c r="C19" s="3078"/>
      <c r="D19" s="36"/>
      <c r="E19" s="2783"/>
      <c r="F19" s="2783"/>
      <c r="G19" s="2783"/>
      <c r="H19" s="38"/>
      <c r="I19" s="2783"/>
      <c r="J19" s="38"/>
      <c r="K19" s="3061"/>
      <c r="L19" s="36"/>
      <c r="M19" s="36"/>
      <c r="N19" s="3079"/>
      <c r="O19" s="3079"/>
      <c r="P19" s="2783"/>
      <c r="Q19" s="172"/>
      <c r="R19" s="172"/>
      <c r="S19" s="172"/>
      <c r="T19" s="172"/>
      <c r="U19" s="172"/>
      <c r="V19" s="233"/>
      <c r="W19" s="233"/>
      <c r="X19" s="233"/>
      <c r="Y19" s="233"/>
      <c r="Z19" s="233"/>
      <c r="AA19" s="233"/>
      <c r="AB19" s="329"/>
      <c r="AC19" s="329"/>
      <c r="AD19" s="329"/>
      <c r="AE19" s="329"/>
      <c r="AF19" s="329"/>
      <c r="AG19" s="329"/>
      <c r="AH19" s="329"/>
      <c r="AI19" s="329"/>
      <c r="AJ19" s="329"/>
      <c r="AK19" s="329"/>
      <c r="AL19" s="329"/>
      <c r="AM19" s="329"/>
      <c r="AN19" s="329"/>
      <c r="AO19" s="329"/>
      <c r="AP19" s="329"/>
    </row>
    <row r="20" spans="1:42" ht="13.2" customHeight="1">
      <c r="A20" s="2587"/>
      <c r="B20" s="3080" t="s">
        <v>371</v>
      </c>
      <c r="C20" s="2783"/>
      <c r="D20" s="3081" t="s">
        <v>304</v>
      </c>
      <c r="E20" s="3912" t="s">
        <v>370</v>
      </c>
      <c r="F20" s="3913"/>
      <c r="G20" s="3912" t="s">
        <v>369</v>
      </c>
      <c r="H20" s="3923"/>
      <c r="I20" s="3913"/>
      <c r="J20" s="3914" t="s">
        <v>368</v>
      </c>
      <c r="K20" s="3905"/>
      <c r="L20" s="51"/>
      <c r="M20" s="51"/>
      <c r="N20" s="3912" t="s">
        <v>367</v>
      </c>
      <c r="O20" s="3923"/>
      <c r="P20" s="2783"/>
      <c r="Q20" s="172"/>
      <c r="R20" s="172"/>
      <c r="S20" s="172"/>
      <c r="T20" s="172"/>
      <c r="U20" s="172"/>
      <c r="V20" s="233"/>
      <c r="W20" s="233"/>
      <c r="X20" s="233"/>
      <c r="Y20" s="233"/>
      <c r="Z20" s="233"/>
      <c r="AA20" s="233"/>
      <c r="AB20" s="329"/>
      <c r="AC20" s="329"/>
      <c r="AD20" s="329"/>
      <c r="AE20" s="329"/>
      <c r="AF20" s="329"/>
      <c r="AG20" s="329"/>
      <c r="AH20" s="329"/>
      <c r="AI20" s="329"/>
      <c r="AJ20" s="329"/>
      <c r="AK20" s="329"/>
      <c r="AL20" s="329"/>
      <c r="AM20" s="329"/>
      <c r="AN20" s="329"/>
      <c r="AO20" s="329"/>
      <c r="AP20" s="329"/>
    </row>
    <row r="21" spans="1:42" ht="13.2" customHeight="1">
      <c r="A21" s="2587"/>
      <c r="B21" s="3082"/>
      <c r="C21" s="3188"/>
      <c r="D21" s="3081" t="s">
        <v>302</v>
      </c>
      <c r="E21" s="3059" t="s">
        <v>277</v>
      </c>
      <c r="F21" s="3083" t="s">
        <v>366</v>
      </c>
      <c r="G21" s="3084"/>
      <c r="H21" s="3085"/>
      <c r="I21" s="3086"/>
      <c r="J21" s="3914" t="s">
        <v>365</v>
      </c>
      <c r="K21" s="3899"/>
      <c r="L21" s="3087"/>
      <c r="M21" s="3088"/>
      <c r="N21" s="3089"/>
      <c r="O21" s="3083" t="s">
        <v>163</v>
      </c>
      <c r="P21" s="2783"/>
      <c r="Q21" s="172"/>
      <c r="R21" s="172"/>
      <c r="S21" s="172"/>
      <c r="T21" s="172"/>
      <c r="U21" s="172"/>
      <c r="V21" s="233"/>
      <c r="W21" s="233"/>
      <c r="X21" s="233"/>
      <c r="Y21" s="233"/>
      <c r="Z21" s="233"/>
      <c r="AA21" s="233"/>
      <c r="AB21" s="329"/>
      <c r="AC21" s="329"/>
      <c r="AD21" s="329"/>
      <c r="AE21" s="329"/>
      <c r="AF21" s="329"/>
      <c r="AG21" s="329"/>
      <c r="AH21" s="329"/>
      <c r="AI21" s="329"/>
      <c r="AJ21" s="329"/>
      <c r="AK21" s="329"/>
      <c r="AL21" s="329"/>
      <c r="AM21" s="329"/>
      <c r="AN21" s="329"/>
      <c r="AO21" s="329"/>
      <c r="AP21" s="329"/>
    </row>
    <row r="22" spans="1:42" ht="13.2" customHeight="1">
      <c r="A22" s="2587"/>
      <c r="B22" s="3082" t="s">
        <v>277</v>
      </c>
      <c r="C22" s="185" t="s">
        <v>303</v>
      </c>
      <c r="D22" s="3090" t="s">
        <v>301</v>
      </c>
      <c r="E22" s="3091"/>
      <c r="F22" s="3092" t="s">
        <v>364</v>
      </c>
      <c r="G22" s="3066">
        <v>0.7</v>
      </c>
      <c r="H22" s="3066">
        <v>1</v>
      </c>
      <c r="I22" s="3093">
        <v>1.5</v>
      </c>
      <c r="J22" s="3919" t="s">
        <v>363</v>
      </c>
      <c r="K22" s="3920"/>
      <c r="L22" s="3094"/>
      <c r="M22" s="3095"/>
      <c r="N22" s="3091" t="s">
        <v>362</v>
      </c>
      <c r="O22" s="3096" t="str">
        <f>IF(G5=0,"o.MwSt.","m. MwSt.")</f>
        <v>o.MwSt.</v>
      </c>
      <c r="P22" s="2783"/>
      <c r="Q22" s="172"/>
      <c r="R22" s="172"/>
      <c r="S22" s="172"/>
      <c r="T22" s="172"/>
      <c r="U22" s="172"/>
      <c r="V22" s="315"/>
      <c r="W22" s="315"/>
      <c r="X22" s="315"/>
      <c r="Y22" s="315"/>
      <c r="Z22" s="315"/>
      <c r="AA22" s="315"/>
      <c r="AB22" s="329"/>
      <c r="AC22" s="329"/>
      <c r="AD22" s="329"/>
      <c r="AE22" s="329"/>
      <c r="AF22" s="329"/>
      <c r="AG22" s="329"/>
      <c r="AH22" s="329"/>
      <c r="AI22" s="329"/>
      <c r="AJ22" s="329"/>
      <c r="AK22" s="329"/>
      <c r="AL22" s="329"/>
      <c r="AM22" s="329"/>
      <c r="AN22" s="329"/>
      <c r="AO22" s="329"/>
      <c r="AP22" s="329"/>
    </row>
    <row r="23" spans="1:42" ht="13.2" customHeight="1">
      <c r="A23" s="2587"/>
      <c r="B23" s="3097"/>
      <c r="C23" s="3068"/>
      <c r="D23" s="3098"/>
      <c r="E23" s="3099"/>
      <c r="F23" s="3100"/>
      <c r="G23" s="3101"/>
      <c r="H23" s="3102"/>
      <c r="I23" s="3103"/>
      <c r="J23" s="3921"/>
      <c r="K23" s="3922"/>
      <c r="L23" s="3104"/>
      <c r="M23" s="3105"/>
      <c r="N23" s="3106"/>
      <c r="O23" s="3107"/>
      <c r="P23" s="2783"/>
      <c r="Q23" s="172"/>
      <c r="R23" s="172"/>
      <c r="S23" s="172"/>
      <c r="T23" s="172"/>
      <c r="U23" s="172"/>
      <c r="V23" s="233"/>
      <c r="W23" s="233"/>
      <c r="X23" s="233"/>
      <c r="Y23" s="233"/>
      <c r="Z23" s="233"/>
      <c r="AA23" s="233"/>
      <c r="AB23" s="329"/>
      <c r="AC23" s="329"/>
      <c r="AD23" s="329"/>
      <c r="AE23" s="329"/>
      <c r="AF23" s="329"/>
      <c r="AG23" s="329"/>
      <c r="AH23" s="329"/>
      <c r="AI23" s="329"/>
      <c r="AJ23" s="329"/>
      <c r="AK23" s="329"/>
      <c r="AL23" s="329"/>
      <c r="AM23" s="329"/>
      <c r="AN23" s="329"/>
      <c r="AO23" s="329"/>
      <c r="AP23" s="329"/>
    </row>
    <row r="24" spans="1:42" s="316" customFormat="1" ht="13.2" customHeight="1">
      <c r="A24" s="2649"/>
      <c r="B24" s="3097">
        <v>1</v>
      </c>
      <c r="C24" s="3068" t="s">
        <v>1589</v>
      </c>
      <c r="D24" s="3108">
        <v>12</v>
      </c>
      <c r="E24" s="3099">
        <v>2</v>
      </c>
      <c r="F24" s="3100">
        <f t="shared" ref="F24:F47" si="1">IF(E24=0,0,INDEX($D$12:$E$18,E24,1))</f>
        <v>120</v>
      </c>
      <c r="G24" s="3101"/>
      <c r="H24" s="3102"/>
      <c r="I24" s="3103" t="s">
        <v>160</v>
      </c>
      <c r="J24" s="3882">
        <f>IF(I24="x",VLOOKUP(E24,$B$12:$O$18,14,FALSE),IF(H24="x",VLOOKUP(E24,$B$12:$O$18,13,FALSE),IF(G24="x",VLOOKUP(E24,$B$12:$O$18,12,FALSE),0)))</f>
        <v>38.146699999999996</v>
      </c>
      <c r="K24" s="3883"/>
      <c r="L24" s="3104"/>
      <c r="M24" s="3105"/>
      <c r="N24" s="3109">
        <v>1.38</v>
      </c>
      <c r="O24" s="3110">
        <f>((J24*N24)+D24)*(1+$G$5)</f>
        <v>64.642445999999993</v>
      </c>
      <c r="P24" s="3111"/>
      <c r="Q24" s="172"/>
      <c r="R24" s="172"/>
      <c r="S24" s="172"/>
      <c r="T24" s="172"/>
      <c r="U24" s="172"/>
      <c r="V24" s="315"/>
      <c r="W24" s="327"/>
      <c r="X24" s="327"/>
      <c r="Y24" s="327"/>
      <c r="Z24" s="327"/>
      <c r="AA24" s="327"/>
      <c r="AB24" s="29"/>
      <c r="AC24" s="29"/>
      <c r="AD24" s="29"/>
      <c r="AE24" s="29"/>
      <c r="AF24" s="29"/>
      <c r="AG24" s="328"/>
      <c r="AH24" s="328"/>
      <c r="AI24" s="328"/>
      <c r="AJ24" s="328"/>
      <c r="AK24" s="328"/>
      <c r="AL24" s="328"/>
      <c r="AM24" s="328"/>
      <c r="AN24" s="328"/>
      <c r="AO24" s="328"/>
      <c r="AP24" s="328"/>
    </row>
    <row r="25" spans="1:42" s="325" customFormat="1" ht="13.2" customHeight="1">
      <c r="A25" s="326"/>
      <c r="B25" s="3097">
        <v>2</v>
      </c>
      <c r="C25" s="3068" t="s">
        <v>360</v>
      </c>
      <c r="D25" s="3108">
        <v>5</v>
      </c>
      <c r="E25" s="3099">
        <v>2</v>
      </c>
      <c r="F25" s="3100">
        <f t="shared" si="1"/>
        <v>120</v>
      </c>
      <c r="G25" s="3101"/>
      <c r="H25" s="3102" t="s">
        <v>160</v>
      </c>
      <c r="I25" s="3103"/>
      <c r="J25" s="3882">
        <f t="shared" ref="J25:J47" si="2">IF(I25="x",VLOOKUP(E25,$B$12:$O$18,14,FALSE),IF(H25="x",VLOOKUP(E25,$B$12:$O$18,13,FALSE),IF(G25="x",VLOOKUP(E25,$B$12:$O$18,12,FALSE),0)))</f>
        <v>29.097799999999999</v>
      </c>
      <c r="K25" s="3883"/>
      <c r="L25" s="3104"/>
      <c r="M25" s="3105"/>
      <c r="N25" s="3109">
        <v>0.79</v>
      </c>
      <c r="O25" s="3110">
        <f t="shared" ref="O25:O70" si="3">((J25*N25)+D25)*(1+$G$5)</f>
        <v>27.987262000000001</v>
      </c>
      <c r="P25" s="3111"/>
      <c r="Q25" s="172"/>
      <c r="R25" s="172"/>
      <c r="S25" s="172"/>
      <c r="T25" s="172"/>
      <c r="U25" s="172"/>
      <c r="V25" s="315"/>
      <c r="W25" s="327"/>
      <c r="X25" s="327"/>
      <c r="Y25" s="327"/>
      <c r="Z25" s="327"/>
      <c r="AA25" s="327"/>
      <c r="AB25" s="29"/>
      <c r="AC25" s="29"/>
      <c r="AD25" s="29"/>
      <c r="AE25" s="29"/>
      <c r="AF25" s="29"/>
    </row>
    <row r="26" spans="1:42" s="325" customFormat="1" ht="13.2" customHeight="1">
      <c r="B26" s="3097">
        <v>3</v>
      </c>
      <c r="C26" s="3068" t="s">
        <v>359</v>
      </c>
      <c r="D26" s="3108">
        <v>6</v>
      </c>
      <c r="E26" s="3099">
        <v>2</v>
      </c>
      <c r="F26" s="3100">
        <f t="shared" si="1"/>
        <v>120</v>
      </c>
      <c r="G26" s="3101"/>
      <c r="H26" s="3102" t="s">
        <v>160</v>
      </c>
      <c r="I26" s="3103"/>
      <c r="J26" s="3882">
        <f t="shared" si="2"/>
        <v>29.097799999999999</v>
      </c>
      <c r="K26" s="3883"/>
      <c r="L26" s="3104"/>
      <c r="M26" s="3105"/>
      <c r="N26" s="3109">
        <v>0.54</v>
      </c>
      <c r="O26" s="3110">
        <f t="shared" si="3"/>
        <v>21.712812</v>
      </c>
      <c r="P26" s="3111"/>
      <c r="Q26" s="172"/>
      <c r="R26" s="172"/>
      <c r="S26" s="172"/>
      <c r="T26" s="172"/>
      <c r="U26" s="172"/>
      <c r="V26" s="315"/>
      <c r="W26" s="327"/>
      <c r="X26" s="327"/>
      <c r="Y26" s="327"/>
      <c r="Z26" s="327"/>
      <c r="AA26" s="327"/>
    </row>
    <row r="27" spans="1:42" s="325" customFormat="1" ht="13.2" customHeight="1">
      <c r="B27" s="3097"/>
      <c r="C27" s="3112" t="s">
        <v>1588</v>
      </c>
      <c r="D27" s="3113">
        <v>4</v>
      </c>
      <c r="E27" s="3114">
        <v>3</v>
      </c>
      <c r="F27" s="3100">
        <f t="shared" si="1"/>
        <v>83</v>
      </c>
      <c r="G27" s="3101"/>
      <c r="H27" s="3102" t="s">
        <v>160</v>
      </c>
      <c r="I27" s="3103"/>
      <c r="J27" s="3882">
        <f t="shared" si="2"/>
        <v>22.139189999999999</v>
      </c>
      <c r="K27" s="3883"/>
      <c r="L27" s="3104"/>
      <c r="M27" s="3105"/>
      <c r="N27" s="3115">
        <v>0.53</v>
      </c>
      <c r="O27" s="3110">
        <f t="shared" si="3"/>
        <v>15.733770700000001</v>
      </c>
      <c r="P27" s="3111"/>
      <c r="Q27" s="172"/>
      <c r="R27" s="172"/>
      <c r="S27" s="172"/>
      <c r="T27" s="172"/>
      <c r="U27" s="172"/>
      <c r="V27" s="315"/>
      <c r="W27" s="327"/>
      <c r="X27" s="327"/>
      <c r="Y27" s="327"/>
      <c r="Z27" s="327"/>
      <c r="AA27" s="327"/>
    </row>
    <row r="28" spans="1:42" s="325" customFormat="1" ht="13.2" customHeight="1">
      <c r="B28" s="3097">
        <v>4</v>
      </c>
      <c r="C28" s="3068" t="s">
        <v>357</v>
      </c>
      <c r="D28" s="3108">
        <v>7</v>
      </c>
      <c r="E28" s="3099">
        <v>3</v>
      </c>
      <c r="F28" s="3100">
        <f t="shared" si="1"/>
        <v>83</v>
      </c>
      <c r="G28" s="3101"/>
      <c r="H28" s="3102" t="s">
        <v>160</v>
      </c>
      <c r="I28" s="3103"/>
      <c r="J28" s="3882">
        <f t="shared" si="2"/>
        <v>22.139189999999999</v>
      </c>
      <c r="K28" s="3883"/>
      <c r="L28" s="3104"/>
      <c r="M28" s="3105"/>
      <c r="N28" s="3109">
        <v>1.02</v>
      </c>
      <c r="O28" s="3110">
        <f t="shared" si="3"/>
        <v>29.5819738</v>
      </c>
      <c r="P28" s="3111"/>
      <c r="Q28" s="172"/>
      <c r="R28" s="172"/>
      <c r="S28" s="172"/>
      <c r="T28" s="172"/>
      <c r="U28" s="172"/>
      <c r="V28" s="315"/>
      <c r="W28" s="327"/>
      <c r="X28" s="327"/>
      <c r="Y28" s="327"/>
      <c r="Z28" s="327"/>
      <c r="AA28" s="327"/>
      <c r="AB28" s="2646"/>
      <c r="AC28" s="2646"/>
      <c r="AD28" s="2646"/>
    </row>
    <row r="29" spans="1:42" s="325" customFormat="1" ht="13.8">
      <c r="B29" s="3097">
        <v>5</v>
      </c>
      <c r="C29" s="3068" t="s">
        <v>356</v>
      </c>
      <c r="D29" s="3108">
        <v>3</v>
      </c>
      <c r="E29" s="3099">
        <v>3</v>
      </c>
      <c r="F29" s="3100">
        <f t="shared" si="1"/>
        <v>83</v>
      </c>
      <c r="G29" s="3101" t="s">
        <v>160</v>
      </c>
      <c r="H29" s="3102"/>
      <c r="I29" s="3103"/>
      <c r="J29" s="3882">
        <f t="shared" si="2"/>
        <v>18.377432999999996</v>
      </c>
      <c r="K29" s="3883"/>
      <c r="L29" s="3104"/>
      <c r="M29" s="3105"/>
      <c r="N29" s="3109">
        <v>0.53</v>
      </c>
      <c r="O29" s="3110">
        <f t="shared" si="3"/>
        <v>12.740039489999999</v>
      </c>
      <c r="P29" s="3111"/>
      <c r="Q29" s="172"/>
      <c r="R29" s="172"/>
      <c r="S29" s="172"/>
      <c r="T29" s="172"/>
      <c r="U29" s="172"/>
      <c r="V29" s="315"/>
      <c r="W29" s="315"/>
      <c r="X29" s="315"/>
      <c r="Y29" s="315"/>
      <c r="Z29" s="315"/>
      <c r="AA29" s="315"/>
    </row>
    <row r="30" spans="1:42" s="325" customFormat="1" ht="13.8">
      <c r="B30" s="3097"/>
      <c r="C30" s="3068" t="s">
        <v>355</v>
      </c>
      <c r="D30" s="3108">
        <v>10</v>
      </c>
      <c r="E30" s="3099">
        <v>3</v>
      </c>
      <c r="F30" s="3100">
        <f t="shared" si="1"/>
        <v>83</v>
      </c>
      <c r="G30" s="3101" t="s">
        <v>160</v>
      </c>
      <c r="H30" s="3102"/>
      <c r="I30" s="3103"/>
      <c r="J30" s="3882">
        <f t="shared" si="2"/>
        <v>18.377432999999996</v>
      </c>
      <c r="K30" s="3883"/>
      <c r="L30" s="3104"/>
      <c r="M30" s="3105"/>
      <c r="N30" s="3109">
        <v>1.06</v>
      </c>
      <c r="O30" s="3110">
        <f t="shared" si="3"/>
        <v>29.480078979999998</v>
      </c>
      <c r="P30" s="3111"/>
      <c r="Q30" s="172"/>
      <c r="R30" s="172"/>
      <c r="S30" s="172"/>
      <c r="T30" s="172"/>
      <c r="U30" s="172"/>
      <c r="V30" s="315"/>
      <c r="W30" s="315"/>
      <c r="X30" s="315"/>
      <c r="Y30" s="315"/>
      <c r="Z30" s="315"/>
      <c r="AA30" s="315"/>
    </row>
    <row r="31" spans="1:42" s="316" customFormat="1" ht="6" customHeight="1">
      <c r="A31" s="322"/>
      <c r="B31" s="3097">
        <v>6</v>
      </c>
      <c r="C31" s="3068"/>
      <c r="D31" s="3108"/>
      <c r="E31" s="3099"/>
      <c r="F31" s="3100"/>
      <c r="G31" s="3101"/>
      <c r="H31" s="3102"/>
      <c r="I31" s="3103"/>
      <c r="J31" s="3882"/>
      <c r="K31" s="3883"/>
      <c r="L31" s="3104"/>
      <c r="M31" s="3105"/>
      <c r="N31" s="3109"/>
      <c r="O31" s="3110"/>
      <c r="P31" s="3111"/>
      <c r="Q31" s="172"/>
      <c r="R31" s="172"/>
      <c r="S31" s="172"/>
      <c r="T31" s="172"/>
      <c r="U31" s="172"/>
      <c r="V31" s="315"/>
      <c r="W31" s="315"/>
      <c r="X31" s="315"/>
      <c r="Y31" s="315"/>
      <c r="Z31" s="315"/>
      <c r="AA31" s="315"/>
      <c r="AI31" s="2646"/>
      <c r="AJ31" s="2646"/>
      <c r="AK31" s="2646"/>
    </row>
    <row r="32" spans="1:42" s="316" customFormat="1" ht="13.8">
      <c r="A32" s="325"/>
      <c r="B32" s="3097">
        <v>7</v>
      </c>
      <c r="C32" s="3068" t="s">
        <v>354</v>
      </c>
      <c r="D32" s="3116">
        <f>7+3</f>
        <v>10</v>
      </c>
      <c r="E32" s="3099">
        <v>2</v>
      </c>
      <c r="F32" s="3100">
        <f t="shared" si="1"/>
        <v>120</v>
      </c>
      <c r="G32" s="3101"/>
      <c r="H32" s="3102" t="s">
        <v>160</v>
      </c>
      <c r="I32" s="3103"/>
      <c r="J32" s="3882">
        <f t="shared" si="2"/>
        <v>29.097799999999999</v>
      </c>
      <c r="K32" s="3883"/>
      <c r="L32" s="3104"/>
      <c r="M32" s="3105"/>
      <c r="N32" s="3109">
        <v>0.71</v>
      </c>
      <c r="O32" s="3110">
        <f t="shared" si="3"/>
        <v>30.659437999999998</v>
      </c>
      <c r="P32" s="3111"/>
      <c r="Q32" s="172"/>
      <c r="R32" s="172"/>
      <c r="S32" s="172"/>
      <c r="T32" s="172"/>
      <c r="U32" s="172"/>
      <c r="V32" s="315"/>
      <c r="W32" s="315"/>
      <c r="X32" s="315"/>
      <c r="Y32" s="315"/>
      <c r="Z32" s="315"/>
      <c r="AA32" s="315"/>
    </row>
    <row r="33" spans="1:37" s="316" customFormat="1" ht="13.2" customHeight="1">
      <c r="A33" s="325"/>
      <c r="B33" s="3097">
        <v>9</v>
      </c>
      <c r="C33" s="3068" t="s">
        <v>352</v>
      </c>
      <c r="D33" s="3108">
        <v>4</v>
      </c>
      <c r="E33" s="3099">
        <v>4</v>
      </c>
      <c r="F33" s="3100">
        <f t="shared" si="1"/>
        <v>54</v>
      </c>
      <c r="G33" s="3101"/>
      <c r="H33" s="3102" t="s">
        <v>160</v>
      </c>
      <c r="I33" s="3103"/>
      <c r="J33" s="3882">
        <f t="shared" si="2"/>
        <v>13.14401</v>
      </c>
      <c r="K33" s="3883"/>
      <c r="L33" s="3104"/>
      <c r="M33" s="3105"/>
      <c r="N33" s="3109">
        <v>0.59</v>
      </c>
      <c r="O33" s="3110">
        <f t="shared" si="3"/>
        <v>11.754965899999998</v>
      </c>
      <c r="P33" s="3111"/>
      <c r="Q33" s="172"/>
      <c r="R33" s="172"/>
      <c r="S33" s="172"/>
      <c r="T33" s="172"/>
      <c r="U33" s="172"/>
      <c r="V33" s="315"/>
      <c r="W33" s="315"/>
      <c r="X33" s="315"/>
      <c r="Y33" s="315"/>
      <c r="Z33" s="315"/>
      <c r="AA33" s="315"/>
      <c r="AI33" s="2646"/>
      <c r="AJ33" s="2646"/>
      <c r="AK33" s="2646"/>
    </row>
    <row r="34" spans="1:37" s="316" customFormat="1" ht="13.2" customHeight="1">
      <c r="A34" s="325"/>
      <c r="B34" s="3097">
        <v>10</v>
      </c>
      <c r="C34" s="3068" t="s">
        <v>351</v>
      </c>
      <c r="D34" s="3108">
        <v>17</v>
      </c>
      <c r="E34" s="3099">
        <v>3</v>
      </c>
      <c r="F34" s="3100">
        <f t="shared" si="1"/>
        <v>83</v>
      </c>
      <c r="G34" s="3101" t="s">
        <v>160</v>
      </c>
      <c r="H34" s="3102"/>
      <c r="I34" s="3103"/>
      <c r="J34" s="3882">
        <f t="shared" si="2"/>
        <v>18.377432999999996</v>
      </c>
      <c r="K34" s="3883"/>
      <c r="L34" s="3104"/>
      <c r="M34" s="3105"/>
      <c r="N34" s="3109">
        <v>0.78</v>
      </c>
      <c r="O34" s="3110">
        <f t="shared" si="3"/>
        <v>31.33439774</v>
      </c>
      <c r="P34" s="3111"/>
      <c r="Q34" s="172"/>
      <c r="R34" s="172"/>
      <c r="S34" s="172"/>
      <c r="T34" s="172"/>
      <c r="U34" s="172"/>
      <c r="V34" s="315"/>
      <c r="W34" s="315"/>
      <c r="X34" s="315"/>
      <c r="Y34" s="315"/>
      <c r="Z34" s="315"/>
      <c r="AA34" s="315"/>
      <c r="AI34" s="2646"/>
      <c r="AJ34" s="2646"/>
      <c r="AK34" s="2646"/>
    </row>
    <row r="35" spans="1:37" s="316" customFormat="1" ht="16.95" customHeight="1">
      <c r="A35" s="323"/>
      <c r="B35" s="3097">
        <v>13</v>
      </c>
      <c r="C35" s="3068" t="s">
        <v>348</v>
      </c>
      <c r="D35" s="3108">
        <v>15</v>
      </c>
      <c r="E35" s="3099">
        <v>3</v>
      </c>
      <c r="F35" s="3100">
        <f t="shared" si="1"/>
        <v>83</v>
      </c>
      <c r="G35" s="3101"/>
      <c r="H35" s="3102" t="s">
        <v>160</v>
      </c>
      <c r="I35" s="3103"/>
      <c r="J35" s="3882">
        <f t="shared" si="2"/>
        <v>22.139189999999999</v>
      </c>
      <c r="K35" s="3883"/>
      <c r="L35" s="3104"/>
      <c r="M35" s="3105"/>
      <c r="N35" s="3109">
        <v>0.72</v>
      </c>
      <c r="O35" s="3110">
        <f t="shared" si="3"/>
        <v>30.940216799999998</v>
      </c>
      <c r="P35" s="3111"/>
      <c r="Q35" s="172"/>
      <c r="R35" s="172"/>
      <c r="S35" s="172"/>
      <c r="T35" s="172"/>
      <c r="U35" s="172"/>
      <c r="V35" s="315"/>
      <c r="W35" s="315"/>
      <c r="X35" s="315"/>
      <c r="Y35" s="315"/>
      <c r="Z35" s="315"/>
      <c r="AA35" s="315"/>
      <c r="AI35" s="2646"/>
      <c r="AJ35" s="2646"/>
      <c r="AK35" s="2646"/>
    </row>
    <row r="36" spans="1:37" s="316" customFormat="1" ht="13.95" customHeight="1">
      <c r="A36" s="322"/>
      <c r="B36" s="3097">
        <v>14</v>
      </c>
      <c r="C36" s="3068"/>
      <c r="D36" s="3108"/>
      <c r="E36" s="3099"/>
      <c r="F36" s="3100">
        <f t="shared" si="1"/>
        <v>0</v>
      </c>
      <c r="G36" s="3101"/>
      <c r="H36" s="3102"/>
      <c r="I36" s="3103"/>
      <c r="J36" s="3882">
        <f t="shared" si="2"/>
        <v>0</v>
      </c>
      <c r="K36" s="3883"/>
      <c r="L36" s="3104"/>
      <c r="M36" s="3105"/>
      <c r="N36" s="3109"/>
      <c r="O36" s="3110">
        <f t="shared" si="3"/>
        <v>0</v>
      </c>
      <c r="P36" s="3111"/>
      <c r="Q36" s="172"/>
      <c r="R36" s="172"/>
      <c r="S36" s="172"/>
      <c r="T36" s="172"/>
      <c r="U36" s="172"/>
      <c r="V36" s="315"/>
      <c r="W36" s="315"/>
      <c r="X36" s="315"/>
      <c r="Y36" s="315"/>
      <c r="Z36" s="315"/>
      <c r="AA36" s="315"/>
      <c r="AI36" s="2646"/>
      <c r="AJ36" s="2646"/>
      <c r="AK36" s="2646"/>
    </row>
    <row r="37" spans="1:37" s="316" customFormat="1" ht="19.95" customHeight="1">
      <c r="A37" s="325"/>
      <c r="B37" s="3097"/>
      <c r="C37" s="3068" t="s">
        <v>346</v>
      </c>
      <c r="D37" s="3098">
        <v>0.8</v>
      </c>
      <c r="E37" s="3099">
        <v>3</v>
      </c>
      <c r="F37" s="3100">
        <f t="shared" si="1"/>
        <v>83</v>
      </c>
      <c r="G37" s="3101" t="s">
        <v>160</v>
      </c>
      <c r="H37" s="3102"/>
      <c r="I37" s="3103"/>
      <c r="J37" s="3882">
        <f t="shared" si="2"/>
        <v>18.377432999999996</v>
      </c>
      <c r="K37" s="3883"/>
      <c r="L37" s="3104"/>
      <c r="M37" s="3105"/>
      <c r="N37" s="3109">
        <v>0.16</v>
      </c>
      <c r="O37" s="3110">
        <f t="shared" si="3"/>
        <v>3.7403892799999996</v>
      </c>
      <c r="P37" s="3111"/>
      <c r="Q37" s="172"/>
      <c r="R37" s="172"/>
      <c r="S37" s="172"/>
      <c r="T37" s="172"/>
      <c r="U37" s="172"/>
      <c r="V37" s="315"/>
      <c r="W37" s="315"/>
      <c r="X37" s="315"/>
      <c r="Y37" s="315"/>
      <c r="Z37" s="315"/>
      <c r="AA37" s="315"/>
      <c r="AI37" s="2646"/>
      <c r="AJ37" s="2646"/>
      <c r="AK37" s="2646"/>
    </row>
    <row r="38" spans="1:37" s="316" customFormat="1" ht="13.2" customHeight="1">
      <c r="A38" s="325"/>
      <c r="B38" s="3097">
        <v>16</v>
      </c>
      <c r="C38" s="3112" t="s">
        <v>1590</v>
      </c>
      <c r="D38" s="3108">
        <v>21.6</v>
      </c>
      <c r="E38" s="3114">
        <v>2</v>
      </c>
      <c r="F38" s="3100">
        <f t="shared" si="1"/>
        <v>120</v>
      </c>
      <c r="G38" s="3117" t="s">
        <v>160</v>
      </c>
      <c r="H38" s="3118"/>
      <c r="I38" s="3119"/>
      <c r="J38" s="3882">
        <f t="shared" si="2"/>
        <v>23.66846</v>
      </c>
      <c r="K38" s="3883"/>
      <c r="L38" s="3104"/>
      <c r="M38" s="3105"/>
      <c r="N38" s="3109">
        <v>1.31</v>
      </c>
      <c r="O38" s="3110">
        <f t="shared" si="3"/>
        <v>52.605682600000002</v>
      </c>
      <c r="P38" s="3111"/>
      <c r="Q38" s="172"/>
      <c r="R38" s="172"/>
      <c r="S38" s="172"/>
      <c r="T38" s="172"/>
      <c r="U38" s="172"/>
      <c r="V38" s="315"/>
      <c r="W38" s="315"/>
      <c r="X38" s="315"/>
      <c r="Y38" s="315"/>
      <c r="Z38" s="315"/>
      <c r="AA38" s="315"/>
      <c r="AI38" s="2646"/>
      <c r="AJ38" s="2646"/>
      <c r="AK38" s="2646"/>
    </row>
    <row r="39" spans="1:37" s="316" customFormat="1" ht="13.2" customHeight="1">
      <c r="A39" s="325"/>
      <c r="B39" s="3097">
        <v>19</v>
      </c>
      <c r="C39" s="3112" t="s">
        <v>1575</v>
      </c>
      <c r="D39" s="3113">
        <v>16</v>
      </c>
      <c r="E39" s="3114">
        <v>2</v>
      </c>
      <c r="F39" s="3100">
        <f t="shared" si="1"/>
        <v>120</v>
      </c>
      <c r="G39" s="3117" t="s">
        <v>160</v>
      </c>
      <c r="H39" s="3118"/>
      <c r="I39" s="3119"/>
      <c r="J39" s="3882">
        <f t="shared" si="2"/>
        <v>23.66846</v>
      </c>
      <c r="K39" s="3883"/>
      <c r="L39" s="3104"/>
      <c r="M39" s="3105"/>
      <c r="N39" s="3115">
        <v>0.84</v>
      </c>
      <c r="O39" s="3110">
        <f t="shared" si="3"/>
        <v>35.881506399999999</v>
      </c>
      <c r="P39" s="3111"/>
      <c r="Q39" s="172"/>
      <c r="R39" s="172"/>
      <c r="S39" s="172"/>
      <c r="T39" s="172"/>
      <c r="U39" s="172"/>
      <c r="V39" s="315"/>
      <c r="W39" s="315"/>
      <c r="X39" s="315"/>
      <c r="Y39" s="315"/>
      <c r="Z39" s="315"/>
      <c r="AA39" s="315"/>
    </row>
    <row r="40" spans="1:37" s="316" customFormat="1" ht="13.2" customHeight="1">
      <c r="A40" s="325"/>
      <c r="B40" s="3097">
        <v>20</v>
      </c>
      <c r="C40" s="3364" t="s">
        <v>343</v>
      </c>
      <c r="D40" s="3629">
        <f>0.01*2+0.25*2</f>
        <v>0.52</v>
      </c>
      <c r="E40" s="3365">
        <v>4</v>
      </c>
      <c r="F40" s="3370">
        <f t="shared" si="1"/>
        <v>54</v>
      </c>
      <c r="G40" s="3366" t="s">
        <v>160</v>
      </c>
      <c r="H40" s="3367"/>
      <c r="I40" s="3368"/>
      <c r="J40" s="3882">
        <f t="shared" si="2"/>
        <v>10.700806999999999</v>
      </c>
      <c r="K40" s="3883"/>
      <c r="L40" s="3104"/>
      <c r="M40" s="3105"/>
      <c r="N40" s="3630">
        <f>0.05+0.15</f>
        <v>0.2</v>
      </c>
      <c r="O40" s="3369">
        <f t="shared" si="3"/>
        <v>2.6601613999999998</v>
      </c>
      <c r="P40" s="3111"/>
      <c r="Q40" s="172"/>
      <c r="R40" s="172"/>
      <c r="S40" s="172"/>
      <c r="T40" s="172"/>
      <c r="U40" s="172"/>
      <c r="V40" s="315"/>
      <c r="W40" s="315"/>
      <c r="X40" s="315"/>
      <c r="Y40" s="315"/>
      <c r="Z40" s="315"/>
      <c r="AA40" s="315"/>
    </row>
    <row r="41" spans="1:37" s="2524" customFormat="1" ht="6" customHeight="1">
      <c r="A41" s="325"/>
      <c r="B41" s="3120">
        <v>21</v>
      </c>
      <c r="C41" s="3121"/>
      <c r="D41" s="3122"/>
      <c r="E41" s="3123"/>
      <c r="F41" s="3124"/>
      <c r="G41" s="3125"/>
      <c r="H41" s="3126"/>
      <c r="I41" s="3127"/>
      <c r="J41" s="3880"/>
      <c r="K41" s="3881"/>
      <c r="L41" s="3128"/>
      <c r="M41" s="3129"/>
      <c r="N41" s="3130"/>
      <c r="O41" s="3110"/>
      <c r="P41" s="3131"/>
      <c r="Q41" s="172"/>
      <c r="R41" s="172"/>
      <c r="S41" s="172"/>
      <c r="T41" s="172"/>
      <c r="U41" s="172"/>
      <c r="V41" s="2523"/>
      <c r="W41" s="2523"/>
      <c r="X41" s="2523"/>
      <c r="Y41" s="2523"/>
      <c r="Z41" s="2523"/>
      <c r="AA41" s="2523"/>
      <c r="AI41" s="2525"/>
      <c r="AJ41" s="2525"/>
      <c r="AK41" s="2525"/>
    </row>
    <row r="42" spans="1:37" s="316" customFormat="1" ht="13.2" customHeight="1">
      <c r="A42" s="323"/>
      <c r="B42" s="3097"/>
      <c r="C42" s="3068" t="s">
        <v>1591</v>
      </c>
      <c r="D42" s="3108">
        <v>2.6</v>
      </c>
      <c r="E42" s="3099">
        <v>3</v>
      </c>
      <c r="F42" s="3100">
        <f t="shared" si="1"/>
        <v>83</v>
      </c>
      <c r="G42" s="3101" t="s">
        <v>160</v>
      </c>
      <c r="H42" s="3102"/>
      <c r="I42" s="3103"/>
      <c r="J42" s="3882">
        <f t="shared" si="2"/>
        <v>18.377432999999996</v>
      </c>
      <c r="K42" s="3883"/>
      <c r="L42" s="3104"/>
      <c r="M42" s="3105"/>
      <c r="N42" s="3109">
        <v>0.22</v>
      </c>
      <c r="O42" s="3110">
        <f t="shared" si="3"/>
        <v>6.6430352599999996</v>
      </c>
      <c r="P42" s="3111"/>
      <c r="Q42" s="172"/>
      <c r="R42" s="172"/>
      <c r="S42" s="172"/>
      <c r="T42" s="172"/>
      <c r="U42" s="172"/>
      <c r="V42" s="315"/>
      <c r="W42" s="315"/>
      <c r="X42" s="315"/>
      <c r="Y42" s="315"/>
      <c r="Z42" s="315"/>
      <c r="AA42" s="315"/>
      <c r="AI42" s="2646"/>
      <c r="AJ42" s="2646"/>
      <c r="AK42" s="2646"/>
    </row>
    <row r="43" spans="1:37" s="316" customFormat="1" ht="13.2" customHeight="1">
      <c r="A43" s="323"/>
      <c r="B43" s="3097">
        <v>23</v>
      </c>
      <c r="C43" s="3068" t="s">
        <v>341</v>
      </c>
      <c r="D43" s="3108">
        <v>5</v>
      </c>
      <c r="E43" s="3099">
        <v>3</v>
      </c>
      <c r="F43" s="3100">
        <f t="shared" si="1"/>
        <v>83</v>
      </c>
      <c r="G43" s="3101"/>
      <c r="H43" s="3102" t="s">
        <v>160</v>
      </c>
      <c r="I43" s="3103"/>
      <c r="J43" s="3882">
        <f t="shared" si="2"/>
        <v>22.139189999999999</v>
      </c>
      <c r="K43" s="3883"/>
      <c r="L43" s="3104"/>
      <c r="M43" s="3105"/>
      <c r="N43" s="3109">
        <v>1.17</v>
      </c>
      <c r="O43" s="3110">
        <f t="shared" si="3"/>
        <v>30.902852299999999</v>
      </c>
      <c r="P43" s="3111"/>
      <c r="Q43" s="172"/>
      <c r="R43" s="172"/>
      <c r="S43" s="172"/>
      <c r="T43" s="172"/>
      <c r="U43" s="172"/>
      <c r="V43" s="315"/>
      <c r="W43" s="315"/>
      <c r="X43" s="315"/>
      <c r="Y43" s="315"/>
      <c r="Z43" s="315"/>
      <c r="AA43" s="315"/>
      <c r="AI43" s="2646"/>
      <c r="AJ43" s="2646"/>
      <c r="AK43" s="2646"/>
    </row>
    <row r="44" spans="1:37" s="316" customFormat="1" ht="13.2" customHeight="1">
      <c r="A44" s="323"/>
      <c r="B44" s="3097">
        <v>24</v>
      </c>
      <c r="C44" s="3112" t="s">
        <v>1592</v>
      </c>
      <c r="D44" s="3113">
        <v>1.6</v>
      </c>
      <c r="E44" s="3114">
        <v>4</v>
      </c>
      <c r="F44" s="3100">
        <f t="shared" si="1"/>
        <v>54</v>
      </c>
      <c r="G44" s="3117" t="s">
        <v>160</v>
      </c>
      <c r="H44" s="3118"/>
      <c r="I44" s="3119"/>
      <c r="J44" s="3882">
        <f t="shared" si="2"/>
        <v>10.700806999999999</v>
      </c>
      <c r="K44" s="3883"/>
      <c r="L44" s="3104"/>
      <c r="M44" s="3105"/>
      <c r="N44" s="3115">
        <v>0.33</v>
      </c>
      <c r="O44" s="3110">
        <f t="shared" si="3"/>
        <v>5.13126631</v>
      </c>
      <c r="P44" s="3111"/>
      <c r="Q44" s="172"/>
      <c r="R44" s="172"/>
      <c r="S44" s="172"/>
      <c r="T44" s="172"/>
      <c r="U44" s="172"/>
      <c r="V44" s="315"/>
      <c r="W44" s="315"/>
      <c r="X44" s="315"/>
      <c r="Y44" s="315"/>
      <c r="Z44" s="315"/>
      <c r="AA44" s="315"/>
      <c r="AI44" s="2646"/>
      <c r="AJ44" s="2646"/>
      <c r="AK44" s="2646"/>
    </row>
    <row r="45" spans="1:37" s="316" customFormat="1" ht="13.2" customHeight="1">
      <c r="A45" s="323"/>
      <c r="B45" s="3097">
        <v>25</v>
      </c>
      <c r="C45" s="3068" t="s">
        <v>339</v>
      </c>
      <c r="D45" s="3108">
        <v>2</v>
      </c>
      <c r="E45" s="3099">
        <v>3</v>
      </c>
      <c r="F45" s="3100">
        <f t="shared" si="1"/>
        <v>83</v>
      </c>
      <c r="G45" s="3101" t="s">
        <v>160</v>
      </c>
      <c r="H45" s="3102"/>
      <c r="I45" s="3103"/>
      <c r="J45" s="3882">
        <f t="shared" si="2"/>
        <v>18.377432999999996</v>
      </c>
      <c r="K45" s="3883"/>
      <c r="L45" s="3104"/>
      <c r="M45" s="3105"/>
      <c r="N45" s="3109">
        <v>0.27</v>
      </c>
      <c r="O45" s="3110">
        <f t="shared" si="3"/>
        <v>6.9619069099999997</v>
      </c>
      <c r="P45" s="3111"/>
      <c r="Q45" s="172"/>
      <c r="R45" s="172"/>
      <c r="S45" s="172"/>
      <c r="T45" s="172"/>
      <c r="U45" s="172"/>
      <c r="V45" s="315"/>
      <c r="W45" s="315"/>
      <c r="X45" s="315"/>
      <c r="Y45" s="315"/>
      <c r="Z45" s="315"/>
      <c r="AA45" s="315"/>
      <c r="AI45" s="2646"/>
      <c r="AJ45" s="2646"/>
      <c r="AK45" s="2646"/>
    </row>
    <row r="46" spans="1:37" s="316" customFormat="1" ht="13.2" customHeight="1">
      <c r="A46" s="323"/>
      <c r="B46" s="3097"/>
      <c r="C46" s="3068" t="s">
        <v>1599</v>
      </c>
      <c r="D46" s="3108">
        <v>5</v>
      </c>
      <c r="E46" s="3099">
        <v>4</v>
      </c>
      <c r="F46" s="3100">
        <f t="shared" si="1"/>
        <v>54</v>
      </c>
      <c r="G46" s="3101" t="s">
        <v>160</v>
      </c>
      <c r="H46" s="3102"/>
      <c r="I46" s="3103"/>
      <c r="J46" s="3882">
        <f t="shared" ref="J46" si="4">IF(I46="x",VLOOKUP(E46,$B$12:$O$18,14,FALSE),IF(H46="x",VLOOKUP(E46,$B$12:$O$18,13,FALSE),IF(G46="x",VLOOKUP(E46,$B$12:$O$18,12,FALSE),0)))</f>
        <v>10.700806999999999</v>
      </c>
      <c r="K46" s="3883"/>
      <c r="L46" s="3104"/>
      <c r="M46" s="3105"/>
      <c r="N46" s="3109">
        <v>0.27</v>
      </c>
      <c r="O46" s="3110">
        <f t="shared" si="3"/>
        <v>7.8892178899999994</v>
      </c>
      <c r="P46" s="3111"/>
      <c r="Q46" s="172"/>
      <c r="R46" s="172"/>
      <c r="S46" s="172"/>
      <c r="T46" s="172"/>
      <c r="U46" s="172"/>
      <c r="V46" s="315"/>
      <c r="W46" s="315"/>
      <c r="X46" s="315"/>
      <c r="Y46" s="315"/>
      <c r="Z46" s="315"/>
      <c r="AA46" s="315"/>
      <c r="AI46" s="3007"/>
      <c r="AJ46" s="3007"/>
      <c r="AK46" s="3007"/>
    </row>
    <row r="47" spans="1:37" s="316" customFormat="1" ht="13.95" customHeight="1">
      <c r="A47" s="323"/>
      <c r="B47" s="3097">
        <v>26</v>
      </c>
      <c r="C47" s="3068" t="s">
        <v>338</v>
      </c>
      <c r="D47" s="3108">
        <v>5</v>
      </c>
      <c r="E47" s="3099">
        <v>4</v>
      </c>
      <c r="F47" s="3100">
        <f t="shared" si="1"/>
        <v>54</v>
      </c>
      <c r="G47" s="3101"/>
      <c r="H47" s="3102" t="s">
        <v>160</v>
      </c>
      <c r="I47" s="3103"/>
      <c r="J47" s="3882">
        <f t="shared" si="2"/>
        <v>13.14401</v>
      </c>
      <c r="K47" s="3883"/>
      <c r="L47" s="3104"/>
      <c r="M47" s="3105"/>
      <c r="N47" s="3109">
        <v>1.1299999999999999</v>
      </c>
      <c r="O47" s="3110">
        <f t="shared" si="3"/>
        <v>19.852731299999999</v>
      </c>
      <c r="P47" s="3111"/>
      <c r="Q47" s="172"/>
      <c r="R47" s="172"/>
      <c r="S47" s="172"/>
      <c r="T47" s="172"/>
      <c r="U47" s="172"/>
      <c r="V47" s="315"/>
      <c r="W47" s="315"/>
      <c r="X47" s="315"/>
      <c r="Y47" s="315"/>
      <c r="Z47" s="315"/>
      <c r="AA47" s="315"/>
      <c r="AI47" s="2646"/>
      <c r="AJ47" s="2646"/>
      <c r="AK47" s="2646"/>
    </row>
    <row r="48" spans="1:37" s="316" customFormat="1" ht="13.95" customHeight="1">
      <c r="A48" s="322"/>
      <c r="B48" s="3097">
        <v>27</v>
      </c>
      <c r="C48" s="3068"/>
      <c r="D48" s="3108"/>
      <c r="E48" s="3099"/>
      <c r="F48" s="3100"/>
      <c r="G48" s="3101"/>
      <c r="H48" s="3102"/>
      <c r="I48" s="3103"/>
      <c r="J48" s="3882"/>
      <c r="K48" s="3883"/>
      <c r="L48" s="3104"/>
      <c r="M48" s="3105"/>
      <c r="N48" s="3109"/>
      <c r="O48" s="3110"/>
      <c r="P48" s="3111"/>
      <c r="Q48" s="172"/>
      <c r="R48" s="172"/>
      <c r="S48" s="172"/>
      <c r="T48" s="172"/>
      <c r="U48" s="172"/>
      <c r="V48" s="315"/>
      <c r="W48" s="315"/>
      <c r="X48" s="315"/>
      <c r="Y48" s="315"/>
      <c r="Z48" s="315"/>
      <c r="AA48" s="315"/>
      <c r="AI48" s="2646"/>
      <c r="AJ48" s="2646"/>
      <c r="AK48" s="2646"/>
    </row>
    <row r="49" spans="1:37" s="316" customFormat="1" ht="10.95" customHeight="1">
      <c r="A49" s="323"/>
      <c r="B49" s="3097">
        <v>31</v>
      </c>
      <c r="C49" s="3068" t="s">
        <v>1748</v>
      </c>
      <c r="D49" s="3108">
        <v>3</v>
      </c>
      <c r="E49" s="3099">
        <v>2</v>
      </c>
      <c r="F49" s="3100">
        <f t="shared" ref="F49:F68" si="5">IF(E49=0,0,INDEX($D$12:$E$18,E49,1))</f>
        <v>120</v>
      </c>
      <c r="G49" s="3101" t="s">
        <v>160</v>
      </c>
      <c r="H49" s="3102"/>
      <c r="I49" s="3103"/>
      <c r="J49" s="3882">
        <f t="shared" ref="J49:J70" si="6">IF(I49="x",VLOOKUP(E49,$B$12:$O$18,14,FALSE),IF(H49="x",VLOOKUP(E49,$B$12:$O$18,13,FALSE),IF(G49="x",VLOOKUP(E49,$B$12:$O$18,12,FALSE),0)))</f>
        <v>23.66846</v>
      </c>
      <c r="K49" s="3883"/>
      <c r="L49" s="3104"/>
      <c r="M49" s="3105"/>
      <c r="N49" s="3109">
        <v>0.37</v>
      </c>
      <c r="O49" s="3110">
        <f t="shared" si="3"/>
        <v>11.7573302</v>
      </c>
      <c r="P49" s="3111"/>
      <c r="Q49" s="172"/>
      <c r="R49" s="172"/>
      <c r="S49" s="172"/>
      <c r="T49" s="172"/>
      <c r="U49" s="172"/>
      <c r="V49" s="315"/>
      <c r="W49" s="315"/>
      <c r="X49" s="315"/>
      <c r="Y49" s="315"/>
      <c r="Z49" s="315"/>
      <c r="AA49" s="315"/>
      <c r="AI49" s="2646"/>
      <c r="AJ49" s="2646"/>
      <c r="AK49" s="2646"/>
    </row>
    <row r="50" spans="1:37" s="316" customFormat="1" ht="13.2" hidden="1" customHeight="1">
      <c r="A50" s="323"/>
      <c r="B50" s="3097">
        <v>33</v>
      </c>
      <c r="C50" s="3068" t="s">
        <v>1594</v>
      </c>
      <c r="D50" s="3108">
        <v>25</v>
      </c>
      <c r="E50" s="3099">
        <v>2</v>
      </c>
      <c r="F50" s="3100">
        <f t="shared" si="5"/>
        <v>120</v>
      </c>
      <c r="G50" s="3101" t="s">
        <v>160</v>
      </c>
      <c r="H50" s="3102"/>
      <c r="I50" s="3103"/>
      <c r="J50" s="3882">
        <f t="shared" si="6"/>
        <v>23.66846</v>
      </c>
      <c r="K50" s="3883"/>
      <c r="L50" s="3104"/>
      <c r="M50" s="3105"/>
      <c r="N50" s="3109">
        <v>0.82</v>
      </c>
      <c r="O50" s="3110">
        <f t="shared" si="3"/>
        <v>44.408137199999999</v>
      </c>
      <c r="P50" s="3111"/>
      <c r="Q50" s="172"/>
      <c r="R50" s="172"/>
      <c r="S50" s="172"/>
      <c r="T50" s="172"/>
      <c r="U50" s="172"/>
      <c r="V50" s="315"/>
      <c r="W50" s="315"/>
      <c r="X50" s="315"/>
      <c r="Y50" s="315"/>
      <c r="Z50" s="315"/>
      <c r="AA50" s="315"/>
      <c r="AI50" s="2646"/>
      <c r="AJ50" s="2646"/>
      <c r="AK50" s="2646"/>
    </row>
    <row r="51" spans="1:37" s="316" customFormat="1" ht="13.2" customHeight="1">
      <c r="A51" s="323"/>
      <c r="B51" s="3097">
        <v>34</v>
      </c>
      <c r="C51" s="3068" t="s">
        <v>332</v>
      </c>
      <c r="D51" s="3108">
        <v>2.08</v>
      </c>
      <c r="E51" s="3099">
        <v>3</v>
      </c>
      <c r="F51" s="3100">
        <f t="shared" si="5"/>
        <v>83</v>
      </c>
      <c r="G51" s="3101" t="s">
        <v>160</v>
      </c>
      <c r="H51" s="3102"/>
      <c r="I51" s="3103"/>
      <c r="J51" s="3882">
        <f t="shared" si="6"/>
        <v>18.377432999999996</v>
      </c>
      <c r="K51" s="3883"/>
      <c r="L51" s="3104"/>
      <c r="M51" s="3105"/>
      <c r="N51" s="3109">
        <v>1.3</v>
      </c>
      <c r="O51" s="3110">
        <f t="shared" si="3"/>
        <v>25.970662899999994</v>
      </c>
      <c r="P51" s="3111"/>
      <c r="Q51" s="172"/>
      <c r="R51" s="172"/>
      <c r="S51" s="172"/>
      <c r="T51" s="172"/>
      <c r="U51" s="172"/>
      <c r="V51" s="315"/>
      <c r="W51" s="315"/>
      <c r="X51" s="315"/>
      <c r="Y51" s="315"/>
      <c r="Z51" s="315"/>
      <c r="AA51" s="315"/>
      <c r="AI51" s="2646"/>
      <c r="AJ51" s="2646"/>
      <c r="AK51" s="2646"/>
    </row>
    <row r="52" spans="1:37" s="316" customFormat="1" ht="6" customHeight="1">
      <c r="A52" s="322"/>
      <c r="B52" s="3097">
        <v>35</v>
      </c>
      <c r="C52" s="3068"/>
      <c r="D52" s="3108"/>
      <c r="E52" s="3099"/>
      <c r="F52" s="3100"/>
      <c r="G52" s="3101"/>
      <c r="H52" s="3102"/>
      <c r="I52" s="3103"/>
      <c r="J52" s="3882"/>
      <c r="K52" s="3883"/>
      <c r="L52" s="3104"/>
      <c r="M52" s="3105"/>
      <c r="N52" s="3109"/>
      <c r="O52" s="3110"/>
      <c r="P52" s="3111"/>
      <c r="Q52" s="172"/>
      <c r="R52" s="172"/>
      <c r="S52" s="172"/>
      <c r="T52" s="172"/>
      <c r="U52" s="172"/>
      <c r="V52" s="315"/>
      <c r="W52" s="315"/>
      <c r="X52" s="315"/>
      <c r="Y52" s="315"/>
      <c r="Z52" s="315"/>
      <c r="AA52" s="315"/>
      <c r="AI52" s="2646"/>
      <c r="AJ52" s="2646"/>
      <c r="AK52" s="2646"/>
    </row>
    <row r="53" spans="1:37" s="316" customFormat="1" ht="13.2" customHeight="1">
      <c r="A53" s="323"/>
      <c r="B53" s="3097">
        <v>36</v>
      </c>
      <c r="C53" s="3068" t="s">
        <v>331</v>
      </c>
      <c r="D53" s="3108">
        <v>0.5</v>
      </c>
      <c r="E53" s="3099">
        <v>3</v>
      </c>
      <c r="F53" s="3100">
        <f t="shared" si="5"/>
        <v>83</v>
      </c>
      <c r="G53" s="3101" t="s">
        <v>160</v>
      </c>
      <c r="H53" s="3102"/>
      <c r="I53" s="3103"/>
      <c r="J53" s="3882">
        <f t="shared" si="6"/>
        <v>18.377432999999996</v>
      </c>
      <c r="K53" s="3883"/>
      <c r="L53" s="3104"/>
      <c r="M53" s="3105"/>
      <c r="N53" s="3109">
        <v>0.86</v>
      </c>
      <c r="O53" s="3110">
        <f t="shared" si="3"/>
        <v>16.304592379999995</v>
      </c>
      <c r="P53" s="3111"/>
      <c r="Q53" s="172"/>
      <c r="R53" s="172"/>
      <c r="S53" s="172"/>
      <c r="T53" s="172"/>
      <c r="U53" s="172"/>
      <c r="V53" s="315"/>
      <c r="W53" s="315"/>
      <c r="X53" s="315"/>
      <c r="Y53" s="315"/>
      <c r="Z53" s="315"/>
      <c r="AA53" s="315"/>
      <c r="AI53" s="2646"/>
      <c r="AJ53" s="2646"/>
      <c r="AK53" s="2646"/>
    </row>
    <row r="54" spans="1:37" s="316" customFormat="1" ht="13.2" customHeight="1">
      <c r="A54" s="323"/>
      <c r="B54" s="3097">
        <v>37</v>
      </c>
      <c r="C54" s="3068" t="s">
        <v>330</v>
      </c>
      <c r="D54" s="3108">
        <v>2.2000000000000002</v>
      </c>
      <c r="E54" s="3099">
        <v>3</v>
      </c>
      <c r="F54" s="3100">
        <f t="shared" si="5"/>
        <v>83</v>
      </c>
      <c r="G54" s="3101" t="s">
        <v>160</v>
      </c>
      <c r="H54" s="3102"/>
      <c r="I54" s="3103"/>
      <c r="J54" s="3882">
        <f t="shared" si="6"/>
        <v>18.377432999999996</v>
      </c>
      <c r="K54" s="3883"/>
      <c r="L54" s="3104"/>
      <c r="M54" s="3105"/>
      <c r="N54" s="3109">
        <v>0.47</v>
      </c>
      <c r="O54" s="3110">
        <f t="shared" si="3"/>
        <v>10.837393509999998</v>
      </c>
      <c r="P54" s="3111"/>
      <c r="Q54" s="172"/>
      <c r="R54" s="172"/>
      <c r="S54" s="172"/>
      <c r="T54" s="172"/>
      <c r="U54" s="172"/>
      <c r="V54" s="315"/>
      <c r="W54" s="315"/>
      <c r="X54" s="315"/>
      <c r="Y54" s="315"/>
      <c r="Z54" s="315"/>
      <c r="AA54" s="315"/>
      <c r="AI54" s="2646"/>
      <c r="AJ54" s="2646"/>
      <c r="AK54" s="2646"/>
    </row>
    <row r="55" spans="1:37" s="316" customFormat="1" ht="13.2" customHeight="1">
      <c r="A55" s="323"/>
      <c r="B55" s="3097">
        <v>38</v>
      </c>
      <c r="C55" s="3068" t="s">
        <v>1600</v>
      </c>
      <c r="D55" s="3108">
        <v>5</v>
      </c>
      <c r="E55" s="3099">
        <v>2</v>
      </c>
      <c r="F55" s="3100">
        <f t="shared" si="5"/>
        <v>120</v>
      </c>
      <c r="G55" s="3101"/>
      <c r="H55" s="3102" t="s">
        <v>160</v>
      </c>
      <c r="I55" s="3103"/>
      <c r="J55" s="3882">
        <f t="shared" si="6"/>
        <v>29.097799999999999</v>
      </c>
      <c r="K55" s="3883"/>
      <c r="L55" s="3104"/>
      <c r="M55" s="3105"/>
      <c r="N55" s="3109">
        <v>0.34</v>
      </c>
      <c r="O55" s="3110">
        <f t="shared" si="3"/>
        <v>14.893252</v>
      </c>
      <c r="P55" s="3111"/>
      <c r="Q55" s="172"/>
      <c r="R55" s="172"/>
      <c r="S55" s="172"/>
      <c r="T55" s="172"/>
      <c r="U55" s="172"/>
      <c r="V55" s="315"/>
      <c r="W55" s="315"/>
      <c r="X55" s="315"/>
      <c r="Y55" s="315"/>
      <c r="Z55" s="315"/>
      <c r="AA55" s="315"/>
      <c r="AI55" s="2646"/>
      <c r="AJ55" s="2646"/>
      <c r="AK55" s="2646"/>
    </row>
    <row r="56" spans="1:37" s="316" customFormat="1" ht="13.2" customHeight="1">
      <c r="A56" s="323"/>
      <c r="B56" s="3097">
        <v>39</v>
      </c>
      <c r="C56" s="3068" t="s">
        <v>328</v>
      </c>
      <c r="D56" s="3108">
        <v>4</v>
      </c>
      <c r="E56" s="3099">
        <v>3</v>
      </c>
      <c r="F56" s="3100">
        <f t="shared" si="5"/>
        <v>83</v>
      </c>
      <c r="G56" s="3101"/>
      <c r="H56" s="3102" t="s">
        <v>160</v>
      </c>
      <c r="I56" s="3103"/>
      <c r="J56" s="3882">
        <f t="shared" si="6"/>
        <v>22.139189999999999</v>
      </c>
      <c r="K56" s="3883"/>
      <c r="L56" s="3104"/>
      <c r="M56" s="3105"/>
      <c r="N56" s="3109">
        <v>0.53</v>
      </c>
      <c r="O56" s="3110">
        <f t="shared" si="3"/>
        <v>15.733770700000001</v>
      </c>
      <c r="P56" s="3111"/>
      <c r="Q56" s="172"/>
      <c r="R56" s="172"/>
      <c r="S56" s="172"/>
      <c r="T56" s="172"/>
      <c r="U56" s="172"/>
      <c r="V56" s="315"/>
      <c r="W56" s="315"/>
      <c r="X56" s="315"/>
      <c r="Y56" s="315"/>
      <c r="Z56" s="315"/>
      <c r="AA56" s="315"/>
      <c r="AI56" s="2646"/>
      <c r="AJ56" s="2646"/>
      <c r="AK56" s="2646"/>
    </row>
    <row r="57" spans="1:37" s="316" customFormat="1" ht="13.2" customHeight="1">
      <c r="A57" s="323"/>
      <c r="B57" s="3097">
        <v>40</v>
      </c>
      <c r="C57" s="3068" t="s">
        <v>1595</v>
      </c>
      <c r="D57" s="3108">
        <v>1.9</v>
      </c>
      <c r="E57" s="3099">
        <v>3</v>
      </c>
      <c r="F57" s="3100">
        <f t="shared" si="5"/>
        <v>83</v>
      </c>
      <c r="G57" s="3101" t="s">
        <v>160</v>
      </c>
      <c r="H57" s="3102"/>
      <c r="I57" s="3103"/>
      <c r="J57" s="3882">
        <f t="shared" si="6"/>
        <v>18.377432999999996</v>
      </c>
      <c r="K57" s="3883"/>
      <c r="L57" s="3104"/>
      <c r="M57" s="3105"/>
      <c r="N57" s="3109">
        <v>0.25</v>
      </c>
      <c r="O57" s="3110">
        <f t="shared" si="3"/>
        <v>6.4943582499999994</v>
      </c>
      <c r="P57" s="3111"/>
      <c r="Q57" s="172"/>
      <c r="R57" s="172"/>
      <c r="S57" s="172"/>
      <c r="T57" s="172"/>
      <c r="U57" s="172"/>
      <c r="V57" s="315"/>
      <c r="W57" s="315"/>
      <c r="X57" s="315"/>
      <c r="Y57" s="315"/>
      <c r="Z57" s="315"/>
      <c r="AA57" s="315"/>
      <c r="AI57" s="2646"/>
      <c r="AJ57" s="2646"/>
      <c r="AK57" s="2646"/>
    </row>
    <row r="58" spans="1:37" s="316" customFormat="1" ht="13.95" customHeight="1">
      <c r="A58" s="323"/>
      <c r="B58" s="3097">
        <v>41</v>
      </c>
      <c r="C58" s="3068" t="s">
        <v>326</v>
      </c>
      <c r="D58" s="3108">
        <v>2.2999999999999998</v>
      </c>
      <c r="E58" s="3099">
        <v>3</v>
      </c>
      <c r="F58" s="3100">
        <f t="shared" si="5"/>
        <v>83</v>
      </c>
      <c r="G58" s="3101"/>
      <c r="H58" s="3102" t="s">
        <v>160</v>
      </c>
      <c r="I58" s="3103"/>
      <c r="J58" s="3882">
        <f t="shared" si="6"/>
        <v>22.139189999999999</v>
      </c>
      <c r="K58" s="3883"/>
      <c r="L58" s="3104"/>
      <c r="M58" s="3105"/>
      <c r="N58" s="3109">
        <v>0.28000000000000003</v>
      </c>
      <c r="O58" s="3110">
        <f t="shared" si="3"/>
        <v>8.4989732</v>
      </c>
      <c r="P58" s="3111"/>
      <c r="Q58" s="172"/>
      <c r="R58" s="172"/>
      <c r="S58" s="172"/>
      <c r="T58" s="172"/>
      <c r="U58" s="172"/>
      <c r="V58" s="315"/>
      <c r="W58" s="315"/>
      <c r="X58" s="315"/>
      <c r="Y58" s="315"/>
      <c r="Z58" s="315"/>
      <c r="AA58" s="315"/>
      <c r="AI58" s="2646"/>
      <c r="AJ58" s="2646"/>
      <c r="AK58" s="2646"/>
    </row>
    <row r="59" spans="1:37" s="316" customFormat="1" ht="10.95" customHeight="1">
      <c r="A59" s="322"/>
      <c r="B59" s="3097">
        <v>44</v>
      </c>
      <c r="C59" s="3068"/>
      <c r="D59" s="3108"/>
      <c r="E59" s="3099"/>
      <c r="F59" s="3100">
        <f t="shared" si="5"/>
        <v>0</v>
      </c>
      <c r="G59" s="3101"/>
      <c r="H59" s="3102"/>
      <c r="I59" s="3103"/>
      <c r="J59" s="3882">
        <f t="shared" si="6"/>
        <v>0</v>
      </c>
      <c r="K59" s="3883"/>
      <c r="L59" s="3104"/>
      <c r="M59" s="3105"/>
      <c r="N59" s="3109"/>
      <c r="O59" s="3110">
        <f t="shared" si="3"/>
        <v>0</v>
      </c>
      <c r="P59" s="3111"/>
      <c r="Q59" s="172"/>
      <c r="R59" s="172"/>
      <c r="S59" s="172"/>
      <c r="T59" s="172"/>
      <c r="U59" s="172"/>
      <c r="V59" s="315"/>
      <c r="W59" s="315"/>
      <c r="X59" s="315"/>
      <c r="Y59" s="315"/>
      <c r="Z59" s="315"/>
      <c r="AA59" s="315"/>
      <c r="AI59" s="2646"/>
      <c r="AJ59" s="2646"/>
      <c r="AK59" s="2646"/>
    </row>
    <row r="60" spans="1:37" s="316" customFormat="1" ht="13.2" customHeight="1">
      <c r="A60" s="323"/>
      <c r="B60" s="3097">
        <v>45</v>
      </c>
      <c r="C60" s="3371" t="s">
        <v>323</v>
      </c>
      <c r="D60" s="3372">
        <v>97.8</v>
      </c>
      <c r="E60" s="3099"/>
      <c r="F60" s="3100">
        <f t="shared" si="5"/>
        <v>0</v>
      </c>
      <c r="G60" s="3101"/>
      <c r="H60" s="3102"/>
      <c r="I60" s="3103"/>
      <c r="J60" s="3882">
        <f t="shared" si="6"/>
        <v>0</v>
      </c>
      <c r="K60" s="3883"/>
      <c r="L60" s="3104"/>
      <c r="M60" s="3105"/>
      <c r="N60" s="3109">
        <v>2.36</v>
      </c>
      <c r="O60" s="3110">
        <f t="shared" si="3"/>
        <v>97.8</v>
      </c>
      <c r="P60" s="3111"/>
      <c r="Q60" s="172"/>
      <c r="R60" s="172"/>
      <c r="S60" s="172"/>
      <c r="T60" s="172"/>
      <c r="U60" s="172"/>
      <c r="V60" s="315"/>
      <c r="W60" s="315"/>
      <c r="X60" s="315"/>
      <c r="Y60" s="315"/>
      <c r="Z60" s="315"/>
      <c r="AA60" s="315"/>
      <c r="AI60" s="2646"/>
      <c r="AJ60" s="2646"/>
      <c r="AK60" s="2646"/>
    </row>
    <row r="61" spans="1:37" s="316" customFormat="1" ht="13.2" customHeight="1">
      <c r="A61" s="323"/>
      <c r="B61" s="3097">
        <v>46</v>
      </c>
      <c r="C61" s="3068" t="s">
        <v>322</v>
      </c>
      <c r="D61" s="3108">
        <v>1.38</v>
      </c>
      <c r="E61" s="3099">
        <v>4</v>
      </c>
      <c r="F61" s="3100">
        <f t="shared" si="5"/>
        <v>54</v>
      </c>
      <c r="G61" s="3101" t="s">
        <v>160</v>
      </c>
      <c r="H61" s="3102"/>
      <c r="I61" s="3103"/>
      <c r="J61" s="3882">
        <f t="shared" si="6"/>
        <v>10.700806999999999</v>
      </c>
      <c r="K61" s="3883"/>
      <c r="L61" s="3104"/>
      <c r="M61" s="3105"/>
      <c r="N61" s="3109">
        <v>0.55000000000000004</v>
      </c>
      <c r="O61" s="3110">
        <f t="shared" si="3"/>
        <v>7.2654438499999996</v>
      </c>
      <c r="P61" s="3111"/>
      <c r="Q61" s="172"/>
      <c r="R61" s="172"/>
      <c r="S61" s="172"/>
      <c r="T61" s="172"/>
      <c r="U61" s="172"/>
      <c r="V61" s="315"/>
      <c r="W61" s="315"/>
      <c r="X61" s="315"/>
      <c r="Y61" s="315"/>
      <c r="Z61" s="315"/>
      <c r="AA61" s="315"/>
      <c r="AI61" s="2646"/>
      <c r="AJ61" s="2646"/>
      <c r="AK61" s="2646"/>
    </row>
    <row r="62" spans="1:37" s="316" customFormat="1" ht="13.2" customHeight="1">
      <c r="A62" s="323"/>
      <c r="B62" s="3097">
        <v>48</v>
      </c>
      <c r="C62" s="3068" t="s">
        <v>320</v>
      </c>
      <c r="D62" s="3108">
        <v>13</v>
      </c>
      <c r="E62" s="3099">
        <v>3</v>
      </c>
      <c r="F62" s="3100">
        <f t="shared" si="5"/>
        <v>83</v>
      </c>
      <c r="G62" s="3101" t="s">
        <v>160</v>
      </c>
      <c r="H62" s="3102"/>
      <c r="I62" s="3103"/>
      <c r="J62" s="3882">
        <f t="shared" si="6"/>
        <v>18.377432999999996</v>
      </c>
      <c r="K62" s="3883"/>
      <c r="L62" s="3104"/>
      <c r="M62" s="3105"/>
      <c r="N62" s="3109">
        <v>1.1399999999999999</v>
      </c>
      <c r="O62" s="3110">
        <f t="shared" si="3"/>
        <v>33.95027361999999</v>
      </c>
      <c r="P62" s="3111"/>
      <c r="Q62" s="172"/>
      <c r="R62" s="172"/>
      <c r="S62" s="172"/>
      <c r="T62" s="172"/>
      <c r="U62" s="172"/>
      <c r="V62" s="315"/>
      <c r="W62" s="315"/>
      <c r="X62" s="315"/>
      <c r="Y62" s="315"/>
      <c r="Z62" s="315"/>
      <c r="AA62" s="315"/>
      <c r="AI62" s="2646"/>
      <c r="AJ62" s="2646"/>
      <c r="AK62" s="2646"/>
    </row>
    <row r="63" spans="1:37" s="316" customFormat="1" ht="13.2" customHeight="1">
      <c r="A63" s="323"/>
      <c r="B63" s="3097">
        <v>49</v>
      </c>
      <c r="C63" s="3068" t="s">
        <v>319</v>
      </c>
      <c r="D63" s="3108">
        <v>5</v>
      </c>
      <c r="E63" s="3099">
        <v>4</v>
      </c>
      <c r="F63" s="3100">
        <f t="shared" si="5"/>
        <v>54</v>
      </c>
      <c r="G63" s="3101"/>
      <c r="H63" s="3102" t="s">
        <v>160</v>
      </c>
      <c r="I63" s="3103"/>
      <c r="J63" s="3882">
        <f t="shared" si="6"/>
        <v>13.14401</v>
      </c>
      <c r="K63" s="3883"/>
      <c r="L63" s="3104"/>
      <c r="M63" s="3105"/>
      <c r="N63" s="3109">
        <v>0.71</v>
      </c>
      <c r="O63" s="3110">
        <f t="shared" si="3"/>
        <v>14.3322471</v>
      </c>
      <c r="P63" s="3111"/>
      <c r="Q63" s="172"/>
      <c r="R63" s="172"/>
      <c r="S63" s="172"/>
      <c r="T63" s="172"/>
      <c r="U63" s="172"/>
      <c r="V63" s="315"/>
      <c r="W63" s="315"/>
      <c r="X63" s="315"/>
      <c r="Y63" s="315"/>
      <c r="Z63" s="315"/>
      <c r="AA63" s="315"/>
      <c r="AI63" s="2646"/>
      <c r="AJ63" s="2646"/>
      <c r="AK63" s="2646"/>
    </row>
    <row r="64" spans="1:37" s="316" customFormat="1" ht="13.2" customHeight="1">
      <c r="A64" s="323"/>
      <c r="B64" s="3097">
        <v>50</v>
      </c>
      <c r="C64" s="3112" t="s">
        <v>318</v>
      </c>
      <c r="D64" s="3113">
        <v>3</v>
      </c>
      <c r="E64" s="3114">
        <v>4</v>
      </c>
      <c r="F64" s="3100">
        <f t="shared" si="5"/>
        <v>54</v>
      </c>
      <c r="G64" s="3117" t="s">
        <v>160</v>
      </c>
      <c r="H64" s="3118"/>
      <c r="I64" s="3119"/>
      <c r="J64" s="3882">
        <f t="shared" si="6"/>
        <v>10.700806999999999</v>
      </c>
      <c r="K64" s="3883"/>
      <c r="L64" s="3104"/>
      <c r="M64" s="3105"/>
      <c r="N64" s="3115">
        <v>0.96</v>
      </c>
      <c r="O64" s="3110">
        <f t="shared" si="3"/>
        <v>13.272774719999999</v>
      </c>
      <c r="P64" s="3111"/>
      <c r="Q64" s="172"/>
      <c r="R64" s="172"/>
      <c r="S64" s="172"/>
      <c r="T64" s="172"/>
      <c r="U64" s="172"/>
      <c r="V64" s="315"/>
      <c r="W64" s="315"/>
      <c r="X64" s="315"/>
      <c r="Y64" s="315"/>
      <c r="Z64" s="315"/>
      <c r="AA64" s="315"/>
      <c r="AI64" s="2646"/>
      <c r="AJ64" s="2646"/>
      <c r="AK64" s="2646"/>
    </row>
    <row r="65" spans="1:37" s="316" customFormat="1" ht="13.2" customHeight="1">
      <c r="A65" s="323"/>
      <c r="B65" s="3097">
        <v>52</v>
      </c>
      <c r="C65" s="3068" t="s">
        <v>317</v>
      </c>
      <c r="D65" s="3108">
        <v>5</v>
      </c>
      <c r="E65" s="3099">
        <v>4</v>
      </c>
      <c r="F65" s="3100">
        <f t="shared" si="5"/>
        <v>54</v>
      </c>
      <c r="G65" s="3101"/>
      <c r="H65" s="3102" t="s">
        <v>160</v>
      </c>
      <c r="I65" s="3103"/>
      <c r="J65" s="3882">
        <f t="shared" si="6"/>
        <v>13.14401</v>
      </c>
      <c r="K65" s="3883"/>
      <c r="L65" s="3104"/>
      <c r="M65" s="3105"/>
      <c r="N65" s="3109">
        <v>1.1599999999999999</v>
      </c>
      <c r="O65" s="3110">
        <f t="shared" si="3"/>
        <v>20.247051599999999</v>
      </c>
      <c r="P65" s="3111"/>
      <c r="Q65" s="172"/>
      <c r="R65" s="172"/>
      <c r="S65" s="172"/>
      <c r="T65" s="172"/>
      <c r="U65" s="172"/>
      <c r="V65" s="315"/>
      <c r="W65" s="315"/>
      <c r="X65" s="315"/>
      <c r="Y65" s="315"/>
      <c r="Z65" s="315"/>
      <c r="AA65" s="315"/>
      <c r="AI65" s="2646"/>
      <c r="AJ65" s="2646"/>
      <c r="AK65" s="2646"/>
    </row>
    <row r="66" spans="1:37" s="316" customFormat="1" ht="13.2" customHeight="1">
      <c r="A66" s="323"/>
      <c r="B66" s="3097"/>
      <c r="C66" s="3112" t="s">
        <v>316</v>
      </c>
      <c r="D66" s="3113">
        <v>6</v>
      </c>
      <c r="E66" s="3114">
        <v>4</v>
      </c>
      <c r="F66" s="3100">
        <f t="shared" si="5"/>
        <v>54</v>
      </c>
      <c r="G66" s="3117"/>
      <c r="H66" s="3118" t="s">
        <v>160</v>
      </c>
      <c r="I66" s="3119"/>
      <c r="J66" s="3882">
        <f t="shared" si="6"/>
        <v>13.14401</v>
      </c>
      <c r="K66" s="3883"/>
      <c r="L66" s="3104"/>
      <c r="M66" s="3105"/>
      <c r="N66" s="3115">
        <v>0.95</v>
      </c>
      <c r="O66" s="3110">
        <f t="shared" si="3"/>
        <v>18.4868095</v>
      </c>
      <c r="P66" s="3111"/>
      <c r="Q66" s="172"/>
      <c r="R66" s="172"/>
      <c r="S66" s="172"/>
      <c r="T66" s="172"/>
      <c r="U66" s="172"/>
      <c r="V66" s="315"/>
      <c r="W66" s="315"/>
      <c r="X66" s="315"/>
      <c r="Y66" s="315"/>
      <c r="Z66" s="315"/>
      <c r="AA66" s="315"/>
      <c r="AI66" s="2646"/>
      <c r="AJ66" s="2646"/>
      <c r="AK66" s="2646"/>
    </row>
    <row r="67" spans="1:37" s="316" customFormat="1" ht="13.2" customHeight="1">
      <c r="A67" s="323"/>
      <c r="B67" s="3097"/>
      <c r="C67" s="3068" t="s">
        <v>313</v>
      </c>
      <c r="D67" s="3108">
        <v>50</v>
      </c>
      <c r="E67" s="3099">
        <v>2</v>
      </c>
      <c r="F67" s="3100">
        <f t="shared" si="5"/>
        <v>120</v>
      </c>
      <c r="G67" s="3101"/>
      <c r="H67" s="3102" t="s">
        <v>160</v>
      </c>
      <c r="I67" s="3103"/>
      <c r="J67" s="3882">
        <f t="shared" si="6"/>
        <v>29.097799999999999</v>
      </c>
      <c r="K67" s="3883"/>
      <c r="L67" s="3104"/>
      <c r="M67" s="3105"/>
      <c r="N67" s="3109">
        <v>13.75</v>
      </c>
      <c r="O67" s="3110">
        <f t="shared" si="3"/>
        <v>450.09474999999998</v>
      </c>
      <c r="P67" s="3111"/>
      <c r="Q67" s="172"/>
      <c r="R67" s="172"/>
      <c r="S67" s="172"/>
      <c r="T67" s="172"/>
      <c r="U67" s="172"/>
      <c r="V67" s="315"/>
      <c r="W67" s="315"/>
      <c r="X67" s="315"/>
      <c r="Y67" s="315"/>
      <c r="Z67" s="315"/>
      <c r="AA67" s="315"/>
      <c r="AI67" s="2646"/>
      <c r="AJ67" s="2646"/>
      <c r="AK67" s="2646"/>
    </row>
    <row r="68" spans="1:37" s="316" customFormat="1" ht="13.2" customHeight="1">
      <c r="A68" s="323"/>
      <c r="B68" s="3097"/>
      <c r="C68" s="3068" t="s">
        <v>310</v>
      </c>
      <c r="D68" s="3108">
        <v>22.5</v>
      </c>
      <c r="E68" s="3099">
        <v>2</v>
      </c>
      <c r="F68" s="3100">
        <f t="shared" si="5"/>
        <v>120</v>
      </c>
      <c r="G68" s="3101" t="s">
        <v>160</v>
      </c>
      <c r="H68" s="3102"/>
      <c r="I68" s="3103"/>
      <c r="J68" s="3882">
        <f t="shared" si="6"/>
        <v>23.66846</v>
      </c>
      <c r="K68" s="3883"/>
      <c r="L68" s="3104"/>
      <c r="M68" s="3105"/>
      <c r="N68" s="3109">
        <v>1.68</v>
      </c>
      <c r="O68" s="3110">
        <f t="shared" si="3"/>
        <v>62.263012799999998</v>
      </c>
      <c r="P68" s="3111"/>
      <c r="Q68" s="172"/>
      <c r="R68" s="172"/>
      <c r="S68" s="172"/>
      <c r="T68" s="172"/>
      <c r="U68" s="172"/>
      <c r="V68" s="315"/>
      <c r="W68" s="315"/>
      <c r="X68" s="315"/>
      <c r="Y68" s="315"/>
      <c r="Z68" s="315"/>
      <c r="AA68" s="315"/>
      <c r="AI68" s="2646"/>
      <c r="AJ68" s="2646"/>
      <c r="AK68" s="2646"/>
    </row>
    <row r="69" spans="1:37" s="316" customFormat="1" ht="13.2" customHeight="1">
      <c r="A69" s="323"/>
      <c r="B69" s="3097"/>
      <c r="C69" s="3068" t="s">
        <v>307</v>
      </c>
      <c r="D69" s="3108"/>
      <c r="E69" s="3099">
        <v>4</v>
      </c>
      <c r="F69" s="3132">
        <v>54</v>
      </c>
      <c r="G69" s="3101" t="s">
        <v>160</v>
      </c>
      <c r="H69" s="3102"/>
      <c r="I69" s="3103"/>
      <c r="J69" s="3882">
        <f t="shared" si="6"/>
        <v>10.700806999999999</v>
      </c>
      <c r="K69" s="3883"/>
      <c r="L69" s="3104"/>
      <c r="M69" s="3105"/>
      <c r="N69" s="3109">
        <v>17</v>
      </c>
      <c r="O69" s="3110">
        <f t="shared" si="3"/>
        <v>181.91371899999999</v>
      </c>
      <c r="P69" s="3111"/>
      <c r="Q69" s="172"/>
      <c r="R69" s="172"/>
      <c r="S69" s="172"/>
      <c r="T69" s="172"/>
      <c r="U69" s="172"/>
      <c r="V69" s="315"/>
      <c r="W69" s="315"/>
      <c r="X69" s="315"/>
      <c r="Y69" s="315"/>
      <c r="Z69" s="315"/>
      <c r="AA69" s="315"/>
      <c r="AI69" s="2646"/>
      <c r="AJ69" s="2646"/>
      <c r="AK69" s="2646"/>
    </row>
    <row r="70" spans="1:37" s="316" customFormat="1" ht="15" customHeight="1">
      <c r="A70" s="323"/>
      <c r="B70" s="3097"/>
      <c r="C70" s="3068" t="s">
        <v>306</v>
      </c>
      <c r="D70" s="3108">
        <v>1.5</v>
      </c>
      <c r="E70" s="3099">
        <v>4</v>
      </c>
      <c r="F70" s="3132">
        <v>54</v>
      </c>
      <c r="G70" s="3101"/>
      <c r="H70" s="3102" t="s">
        <v>160</v>
      </c>
      <c r="I70" s="3103"/>
      <c r="J70" s="3882">
        <f t="shared" si="6"/>
        <v>13.14401</v>
      </c>
      <c r="K70" s="3883"/>
      <c r="L70" s="3104"/>
      <c r="M70" s="3105"/>
      <c r="N70" s="3109">
        <v>1.1100000000000001</v>
      </c>
      <c r="O70" s="3110">
        <f t="shared" si="3"/>
        <v>16.089851100000001</v>
      </c>
      <c r="P70" s="3111"/>
      <c r="Q70" s="172"/>
      <c r="R70" s="172"/>
      <c r="S70" s="172"/>
      <c r="T70" s="172"/>
      <c r="U70" s="172"/>
      <c r="V70" s="315"/>
      <c r="W70" s="315"/>
      <c r="X70" s="315"/>
      <c r="Y70" s="315"/>
      <c r="Z70" s="315"/>
      <c r="AA70" s="315"/>
      <c r="AI70" s="2646"/>
      <c r="AJ70" s="2646"/>
      <c r="AK70" s="2646"/>
    </row>
    <row r="71" spans="1:37" s="316" customFormat="1" ht="12.6" customHeight="1">
      <c r="A71" s="322"/>
      <c r="B71" s="3097"/>
      <c r="C71" s="3068" t="s">
        <v>1670</v>
      </c>
      <c r="D71" s="3098"/>
      <c r="E71" s="3099"/>
      <c r="F71" s="3132"/>
      <c r="G71" s="3101"/>
      <c r="H71" s="3102"/>
      <c r="I71" s="3103"/>
      <c r="J71" s="3882"/>
      <c r="K71" s="3883"/>
      <c r="L71" s="3104"/>
      <c r="M71" s="3105"/>
      <c r="N71" s="3106">
        <v>13.75</v>
      </c>
      <c r="O71" s="3110">
        <f>N71*2*12.41</f>
        <v>341.27499999999998</v>
      </c>
      <c r="P71" s="321" t="s">
        <v>1698</v>
      </c>
      <c r="Q71" s="172"/>
      <c r="R71" s="172"/>
      <c r="S71" s="172"/>
      <c r="T71" s="172"/>
      <c r="U71" s="172"/>
      <c r="V71" s="315"/>
      <c r="W71" s="315"/>
      <c r="X71" s="315"/>
      <c r="Y71" s="315"/>
      <c r="Z71" s="315"/>
      <c r="AA71" s="315"/>
      <c r="AI71" s="2646"/>
      <c r="AJ71" s="2646"/>
      <c r="AK71" s="2646"/>
    </row>
    <row r="72" spans="1:37" s="316" customFormat="1" ht="9.6" customHeight="1">
      <c r="A72" s="323"/>
      <c r="B72" s="3097"/>
      <c r="C72" s="3068"/>
      <c r="D72" s="3098"/>
      <c r="E72" s="3099"/>
      <c r="F72" s="3132"/>
      <c r="G72" s="3101"/>
      <c r="H72" s="3102"/>
      <c r="I72" s="3103"/>
      <c r="J72" s="3882"/>
      <c r="K72" s="3883"/>
      <c r="L72" s="3104"/>
      <c r="M72" s="3105"/>
      <c r="N72" s="3106"/>
      <c r="P72" s="3111"/>
      <c r="Q72" s="172"/>
      <c r="R72" s="172"/>
      <c r="S72" s="172"/>
      <c r="T72" s="172"/>
      <c r="U72" s="172"/>
      <c r="V72" s="315"/>
      <c r="W72" s="315"/>
      <c r="X72" s="315"/>
      <c r="Y72" s="315"/>
      <c r="Z72" s="315"/>
      <c r="AA72" s="315"/>
      <c r="AI72" s="2646"/>
      <c r="AJ72" s="2646"/>
      <c r="AK72" s="2646"/>
    </row>
    <row r="73" spans="1:37" s="316" customFormat="1" ht="12.75" customHeight="1">
      <c r="A73" s="323"/>
      <c r="B73" s="3097"/>
      <c r="C73" s="3068"/>
      <c r="D73" s="3098"/>
      <c r="E73" s="3099"/>
      <c r="F73" s="3132"/>
      <c r="G73" s="3101"/>
      <c r="H73" s="3102"/>
      <c r="I73" s="3103"/>
      <c r="J73" s="3882"/>
      <c r="K73" s="3883"/>
      <c r="L73" s="3104"/>
      <c r="M73" s="3105"/>
      <c r="N73" s="3106"/>
      <c r="O73" s="3110"/>
      <c r="P73" s="3111"/>
      <c r="Q73" s="172"/>
      <c r="R73" s="172"/>
      <c r="S73" s="172"/>
      <c r="T73" s="172"/>
      <c r="U73" s="172"/>
      <c r="V73" s="315"/>
      <c r="W73" s="315"/>
      <c r="X73" s="315"/>
      <c r="Y73" s="315"/>
      <c r="Z73" s="315"/>
      <c r="AA73" s="315"/>
      <c r="AI73" s="2646"/>
      <c r="AJ73" s="2646"/>
      <c r="AK73" s="2646"/>
    </row>
    <row r="74" spans="1:37" s="316" customFormat="1" ht="12.75" customHeight="1">
      <c r="A74" s="323"/>
      <c r="B74" s="3189"/>
      <c r="C74" s="3190"/>
      <c r="D74" s="3191"/>
      <c r="E74" s="3192"/>
      <c r="F74" s="3193"/>
      <c r="G74" s="3194"/>
      <c r="H74" s="3195"/>
      <c r="I74" s="3196"/>
      <c r="J74" s="3931"/>
      <c r="K74" s="3932"/>
      <c r="L74" s="3197"/>
      <c r="M74" s="3198"/>
      <c r="N74" s="3199"/>
      <c r="O74" s="3200"/>
      <c r="P74" s="3111"/>
      <c r="Q74" s="172"/>
      <c r="R74" s="172"/>
      <c r="S74" s="172"/>
      <c r="T74" s="172"/>
      <c r="U74" s="172"/>
      <c r="V74" s="315"/>
      <c r="W74" s="315"/>
      <c r="X74" s="315"/>
      <c r="Y74" s="315"/>
      <c r="Z74" s="315"/>
      <c r="AA74" s="315"/>
      <c r="AI74" s="2646"/>
      <c r="AJ74" s="2646"/>
      <c r="AK74" s="2646"/>
    </row>
    <row r="75" spans="1:37" s="316" customFormat="1" ht="12.75" customHeight="1">
      <c r="A75" s="38"/>
      <c r="B75" s="38"/>
      <c r="C75" s="38"/>
      <c r="D75" s="38"/>
      <c r="E75" s="38"/>
      <c r="F75" s="38"/>
      <c r="G75" s="38"/>
      <c r="H75" s="38"/>
      <c r="I75" s="38"/>
      <c r="J75" s="38"/>
      <c r="K75" s="38"/>
      <c r="L75" s="38"/>
      <c r="M75" s="38"/>
      <c r="N75" s="38"/>
      <c r="O75" s="38"/>
      <c r="P75" s="3111"/>
      <c r="Q75" s="172"/>
      <c r="R75" s="172"/>
      <c r="S75" s="172"/>
      <c r="T75" s="172"/>
      <c r="U75" s="172"/>
      <c r="V75" s="315"/>
      <c r="W75" s="315"/>
      <c r="X75" s="315"/>
      <c r="Y75" s="315"/>
      <c r="Z75" s="315"/>
      <c r="AA75" s="315"/>
      <c r="AI75" s="2646"/>
      <c r="AJ75" s="2646"/>
      <c r="AK75" s="2646"/>
    </row>
    <row r="76" spans="1:37" s="316" customFormat="1" ht="12.75" customHeight="1">
      <c r="A76" s="38"/>
      <c r="B76" s="2510" t="s">
        <v>1038</v>
      </c>
      <c r="C76" s="2588"/>
      <c r="D76" s="3927" t="s">
        <v>1037</v>
      </c>
      <c r="E76" s="3929" t="s">
        <v>1036</v>
      </c>
      <c r="F76" s="38"/>
      <c r="G76" s="38"/>
      <c r="H76" s="38"/>
      <c r="I76" s="38"/>
      <c r="J76" s="38"/>
      <c r="K76" s="38"/>
      <c r="L76" s="38"/>
      <c r="M76" s="38"/>
      <c r="N76" s="38"/>
      <c r="O76" s="38"/>
      <c r="P76" s="3111"/>
      <c r="Q76" s="172"/>
      <c r="R76" s="172"/>
      <c r="S76" s="172"/>
      <c r="T76" s="172"/>
      <c r="U76" s="172"/>
      <c r="V76" s="315"/>
      <c r="W76" s="315"/>
      <c r="X76" s="315"/>
      <c r="Y76" s="315"/>
      <c r="Z76" s="315"/>
      <c r="AA76" s="315"/>
      <c r="AI76" s="3007"/>
      <c r="AJ76" s="3007"/>
      <c r="AK76" s="3007"/>
    </row>
    <row r="77" spans="1:37" s="316" customFormat="1" ht="12.75" customHeight="1">
      <c r="A77" s="38"/>
      <c r="B77" s="2511"/>
      <c r="C77" s="2583"/>
      <c r="D77" s="3927"/>
      <c r="E77" s="3929"/>
      <c r="F77" s="38"/>
      <c r="G77" s="38"/>
      <c r="H77" s="38"/>
      <c r="I77" s="38"/>
      <c r="J77" s="38"/>
      <c r="K77" s="38"/>
      <c r="L77" s="38"/>
      <c r="M77" s="38"/>
      <c r="N77" s="38"/>
      <c r="O77" s="38"/>
      <c r="P77" s="3111"/>
      <c r="Q77" s="172"/>
      <c r="R77" s="172"/>
      <c r="S77" s="172"/>
      <c r="T77" s="172"/>
      <c r="U77" s="172"/>
      <c r="V77" s="315"/>
      <c r="W77" s="315"/>
      <c r="X77" s="315"/>
      <c r="Y77" s="315"/>
      <c r="Z77" s="315"/>
      <c r="AA77" s="315"/>
      <c r="AI77" s="3007"/>
      <c r="AJ77" s="3007"/>
      <c r="AK77" s="3007"/>
    </row>
    <row r="78" spans="1:37" s="316" customFormat="1" ht="12.75" customHeight="1">
      <c r="A78" s="38"/>
      <c r="B78" s="2585"/>
      <c r="C78" s="2584" t="s">
        <v>1031</v>
      </c>
      <c r="D78" s="3928"/>
      <c r="E78" s="3930"/>
      <c r="F78" s="38"/>
      <c r="G78" s="38"/>
      <c r="H78" s="38"/>
      <c r="I78" s="38"/>
      <c r="J78" s="38"/>
      <c r="K78" s="38"/>
      <c r="L78" s="38"/>
      <c r="M78" s="38"/>
      <c r="N78" s="38"/>
      <c r="O78" s="38"/>
      <c r="P78" s="3111"/>
      <c r="Q78" s="172"/>
      <c r="R78" s="172"/>
      <c r="S78" s="172"/>
      <c r="T78" s="172"/>
      <c r="U78" s="172"/>
      <c r="V78" s="315"/>
      <c r="W78" s="315"/>
      <c r="X78" s="315"/>
      <c r="Y78" s="315"/>
      <c r="Z78" s="315"/>
      <c r="AA78" s="315"/>
      <c r="AI78" s="3007"/>
      <c r="AJ78" s="3007"/>
      <c r="AK78" s="3007"/>
    </row>
    <row r="79" spans="1:37" s="316" customFormat="1" ht="12.75" customHeight="1">
      <c r="A79" s="38"/>
      <c r="B79" s="2586"/>
      <c r="C79" s="3172" t="s">
        <v>1035</v>
      </c>
      <c r="D79" s="3173">
        <v>2.36</v>
      </c>
      <c r="E79" s="3173"/>
      <c r="F79" s="38"/>
      <c r="G79" s="38"/>
      <c r="H79" s="38"/>
      <c r="I79" s="38"/>
      <c r="J79" s="38"/>
      <c r="K79" s="38"/>
      <c r="L79" s="38"/>
      <c r="M79" s="38"/>
      <c r="N79" s="38"/>
      <c r="O79" s="38"/>
      <c r="P79" s="3111"/>
      <c r="Q79" s="172"/>
      <c r="R79" s="172"/>
      <c r="S79" s="172"/>
      <c r="T79" s="172"/>
      <c r="U79" s="172"/>
      <c r="V79" s="315"/>
      <c r="W79" s="315"/>
      <c r="X79" s="315"/>
      <c r="Y79" s="315"/>
      <c r="Z79" s="315"/>
      <c r="AA79" s="315"/>
      <c r="AI79" s="3007"/>
      <c r="AJ79" s="3007"/>
      <c r="AK79" s="3007"/>
    </row>
    <row r="80" spans="1:37" s="316" customFormat="1" ht="12.75" customHeight="1">
      <c r="A80" s="38"/>
      <c r="B80" s="1488"/>
      <c r="C80" s="3172"/>
      <c r="D80" s="3174"/>
      <c r="E80" s="3175"/>
      <c r="F80" s="38"/>
      <c r="G80" s="38"/>
      <c r="H80" s="38"/>
      <c r="I80" s="38"/>
      <c r="J80" s="38"/>
      <c r="K80" s="38"/>
      <c r="L80" s="38"/>
      <c r="M80" s="38"/>
      <c r="N80" s="38"/>
      <c r="O80" s="38"/>
      <c r="P80" s="3111"/>
      <c r="Q80" s="172"/>
      <c r="R80" s="172"/>
      <c r="S80" s="172"/>
      <c r="T80" s="172"/>
      <c r="U80" s="172"/>
      <c r="V80" s="315"/>
      <c r="W80" s="315"/>
      <c r="X80" s="315"/>
      <c r="Y80" s="315"/>
      <c r="Z80" s="315"/>
      <c r="AA80" s="315"/>
      <c r="AI80" s="3007"/>
      <c r="AJ80" s="3007"/>
      <c r="AK80" s="3007"/>
    </row>
    <row r="81" spans="1:37" s="316" customFormat="1" ht="12.75" customHeight="1">
      <c r="A81" s="38"/>
      <c r="B81" s="1488"/>
      <c r="C81" s="3172" t="s">
        <v>1601</v>
      </c>
      <c r="D81" s="3173">
        <v>30.59</v>
      </c>
      <c r="E81" s="3173"/>
      <c r="F81" s="38"/>
      <c r="G81" s="38"/>
      <c r="H81" s="38"/>
      <c r="I81" s="38"/>
      <c r="J81" s="38"/>
      <c r="K81" s="38"/>
      <c r="L81" s="38"/>
      <c r="M81" s="38"/>
      <c r="N81" s="38"/>
      <c r="O81" s="38"/>
      <c r="P81" s="3111"/>
      <c r="Q81" s="172"/>
      <c r="R81" s="172"/>
      <c r="S81" s="172"/>
      <c r="T81" s="172"/>
      <c r="U81" s="172"/>
      <c r="V81" s="315"/>
      <c r="W81" s="315"/>
      <c r="X81" s="315"/>
      <c r="Y81" s="315"/>
      <c r="Z81" s="315"/>
      <c r="AA81" s="315"/>
      <c r="AI81" s="3007"/>
      <c r="AJ81" s="3007"/>
      <c r="AK81" s="3007"/>
    </row>
    <row r="82" spans="1:37" s="316" customFormat="1" ht="12.75" customHeight="1">
      <c r="A82" s="38"/>
      <c r="B82" s="1488"/>
      <c r="C82" s="3172" t="s">
        <v>1034</v>
      </c>
      <c r="D82" s="3173">
        <v>30.43</v>
      </c>
      <c r="E82" s="3173"/>
      <c r="F82" s="38"/>
      <c r="G82" s="38"/>
      <c r="H82" s="38"/>
      <c r="I82" s="38"/>
      <c r="J82" s="38"/>
      <c r="K82" s="38"/>
      <c r="L82" s="38"/>
      <c r="M82" s="38"/>
      <c r="N82" s="38"/>
      <c r="O82" s="38"/>
      <c r="P82" s="3111"/>
      <c r="Q82" s="172"/>
      <c r="R82" s="172"/>
      <c r="S82" s="172"/>
      <c r="T82" s="172"/>
      <c r="U82" s="172"/>
      <c r="V82" s="315"/>
      <c r="W82" s="315"/>
      <c r="X82" s="315"/>
      <c r="Y82" s="315"/>
      <c r="Z82" s="315"/>
      <c r="AA82" s="315"/>
      <c r="AI82" s="3007"/>
      <c r="AJ82" s="3007"/>
      <c r="AK82" s="3007"/>
    </row>
    <row r="83" spans="1:37" s="316" customFormat="1" ht="12.75" customHeight="1">
      <c r="A83" s="38"/>
      <c r="B83" s="1488"/>
      <c r="C83" s="3172" t="s">
        <v>1033</v>
      </c>
      <c r="D83" s="3173">
        <v>3.35</v>
      </c>
      <c r="E83" s="3173"/>
      <c r="F83" s="38"/>
      <c r="G83" s="38"/>
      <c r="H83" s="38"/>
      <c r="I83" s="38"/>
      <c r="J83" s="38"/>
      <c r="K83" s="38"/>
      <c r="L83" s="38"/>
      <c r="M83" s="38"/>
      <c r="N83" s="38"/>
      <c r="O83" s="38"/>
      <c r="P83" s="3111"/>
      <c r="Q83" s="172"/>
      <c r="R83" s="172"/>
      <c r="S83" s="172"/>
      <c r="T83" s="172"/>
      <c r="U83" s="172"/>
      <c r="V83" s="315"/>
      <c r="W83" s="315"/>
      <c r="X83" s="315"/>
      <c r="Y83" s="315"/>
      <c r="Z83" s="315"/>
      <c r="AA83" s="315"/>
      <c r="AI83" s="3007"/>
      <c r="AJ83" s="3007"/>
      <c r="AK83" s="3007"/>
    </row>
    <row r="84" spans="1:37" s="316" customFormat="1" ht="12.75" customHeight="1">
      <c r="A84" s="38"/>
      <c r="B84" s="3202"/>
      <c r="C84" s="3203" t="s">
        <v>1032</v>
      </c>
      <c r="D84" s="3204">
        <v>0.54</v>
      </c>
      <c r="E84" s="3205"/>
      <c r="F84" s="38"/>
      <c r="G84" s="38"/>
      <c r="H84" s="38"/>
      <c r="I84" s="38"/>
      <c r="J84" s="38"/>
      <c r="K84" s="38"/>
      <c r="L84" s="38"/>
      <c r="M84" s="38"/>
      <c r="N84" s="38"/>
      <c r="O84" s="38"/>
      <c r="P84" s="3111"/>
      <c r="Q84" s="172"/>
      <c r="R84" s="172"/>
      <c r="S84" s="172"/>
      <c r="T84" s="172"/>
      <c r="U84" s="172"/>
      <c r="V84" s="315"/>
      <c r="W84" s="315"/>
      <c r="X84" s="315"/>
      <c r="Y84" s="315"/>
      <c r="Z84" s="315"/>
      <c r="AA84" s="315"/>
      <c r="AI84" s="3007"/>
      <c r="AJ84" s="3007"/>
      <c r="AK84" s="3007"/>
    </row>
    <row r="85" spans="1:37" s="316" customFormat="1" ht="12.75" customHeight="1">
      <c r="A85" s="38"/>
      <c r="B85" s="38"/>
      <c r="C85" s="38"/>
      <c r="D85" s="38"/>
      <c r="E85" s="38"/>
      <c r="F85" s="38"/>
      <c r="G85" s="38"/>
      <c r="H85" s="38"/>
      <c r="I85" s="38"/>
      <c r="J85" s="38"/>
      <c r="K85" s="38"/>
      <c r="L85" s="38"/>
      <c r="M85" s="38"/>
      <c r="N85" s="38"/>
      <c r="O85" s="38"/>
      <c r="P85" s="3111"/>
      <c r="Q85" s="172"/>
      <c r="R85" s="172"/>
      <c r="S85" s="172"/>
      <c r="T85" s="172"/>
      <c r="U85" s="172"/>
      <c r="V85" s="315"/>
      <c r="W85" s="315"/>
      <c r="X85" s="315"/>
      <c r="Y85" s="315"/>
      <c r="Z85" s="315"/>
      <c r="AA85" s="315"/>
      <c r="AI85" s="3007"/>
      <c r="AJ85" s="3007"/>
      <c r="AK85" s="3007"/>
    </row>
    <row r="86" spans="1:37" ht="13.2" customHeight="1">
      <c r="A86" s="38"/>
      <c r="B86" s="38"/>
      <c r="C86" s="38"/>
      <c r="D86" s="38"/>
      <c r="E86" s="38"/>
      <c r="F86" s="38"/>
      <c r="G86" s="38"/>
      <c r="H86" s="38"/>
      <c r="I86" s="38"/>
      <c r="J86" s="38"/>
      <c r="K86" s="38"/>
      <c r="L86" s="38"/>
      <c r="M86" s="38"/>
      <c r="N86" s="38"/>
      <c r="O86" s="38"/>
      <c r="P86" s="36"/>
      <c r="Q86" s="315"/>
      <c r="S86" s="315"/>
      <c r="T86" s="315"/>
      <c r="U86" s="315"/>
      <c r="V86" s="315"/>
      <c r="W86" s="315"/>
      <c r="X86" s="315"/>
      <c r="Y86" s="315"/>
      <c r="Z86" s="315"/>
      <c r="AA86" s="315"/>
      <c r="AB86" s="316"/>
    </row>
    <row r="87" spans="1:37" ht="13.95" customHeight="1">
      <c r="A87" s="318"/>
      <c r="B87" s="47" t="s">
        <v>1597</v>
      </c>
      <c r="C87" s="2783"/>
      <c r="D87" s="3083" t="s">
        <v>304</v>
      </c>
      <c r="E87" s="2783"/>
      <c r="F87" s="36"/>
      <c r="G87" s="36"/>
      <c r="H87" s="36"/>
      <c r="I87" s="36"/>
      <c r="J87" s="36"/>
      <c r="K87" s="36"/>
      <c r="L87" s="36"/>
      <c r="M87" s="36"/>
      <c r="N87" s="36"/>
      <c r="O87" s="36"/>
      <c r="P87" s="36"/>
      <c r="Q87" s="315"/>
      <c r="S87" s="315"/>
      <c r="T87" s="315"/>
      <c r="U87" s="315"/>
      <c r="V87" s="315"/>
      <c r="W87" s="315"/>
      <c r="X87" s="315"/>
      <c r="Y87" s="315"/>
      <c r="Z87" s="315"/>
      <c r="AA87" s="315"/>
      <c r="AB87" s="316"/>
    </row>
    <row r="88" spans="1:37" ht="13.2" customHeight="1">
      <c r="B88" s="51" t="s">
        <v>277</v>
      </c>
      <c r="C88" s="235" t="s">
        <v>303</v>
      </c>
      <c r="D88" s="3083" t="s">
        <v>302</v>
      </c>
      <c r="E88" s="3133"/>
      <c r="F88" s="36"/>
      <c r="G88" s="36"/>
      <c r="H88" s="36"/>
      <c r="I88" s="36"/>
      <c r="J88" s="36"/>
      <c r="K88" s="36"/>
      <c r="L88" s="36"/>
      <c r="M88" s="36"/>
      <c r="N88" s="36"/>
      <c r="O88" s="36"/>
      <c r="P88" s="36"/>
      <c r="Q88" s="315"/>
      <c r="R88" s="2932"/>
      <c r="S88" s="315"/>
      <c r="T88" s="315"/>
      <c r="U88" s="315"/>
      <c r="V88" s="315"/>
      <c r="W88" s="315"/>
      <c r="X88" s="315"/>
      <c r="Y88" s="315"/>
      <c r="Z88" s="315"/>
      <c r="AA88" s="315"/>
      <c r="AB88" s="316"/>
    </row>
    <row r="89" spans="1:37" ht="13.2" customHeight="1">
      <c r="B89" s="223"/>
      <c r="C89" s="185" t="s">
        <v>1596</v>
      </c>
      <c r="D89" s="3092" t="s">
        <v>301</v>
      </c>
      <c r="E89" s="36"/>
      <c r="F89" s="36"/>
      <c r="G89" s="36"/>
      <c r="H89" s="36"/>
      <c r="I89" s="36"/>
      <c r="J89" s="36"/>
      <c r="K89" s="36"/>
      <c r="L89" s="36"/>
      <c r="M89" s="36"/>
      <c r="N89" s="36"/>
      <c r="O89" s="36"/>
      <c r="P89" s="36"/>
      <c r="Q89" s="315"/>
      <c r="S89" s="315"/>
      <c r="T89" s="315"/>
      <c r="U89" s="315"/>
      <c r="V89" s="315"/>
      <c r="W89" s="315"/>
      <c r="X89" s="315"/>
      <c r="Y89" s="315"/>
      <c r="Z89" s="315"/>
      <c r="AA89" s="315"/>
      <c r="AB89" s="316"/>
    </row>
    <row r="90" spans="1:37" ht="13.2" customHeight="1">
      <c r="B90" s="3134">
        <v>1</v>
      </c>
      <c r="C90" s="3068" t="s">
        <v>300</v>
      </c>
      <c r="D90" s="3098">
        <v>157</v>
      </c>
      <c r="E90" s="36"/>
      <c r="F90" s="3135"/>
      <c r="G90" s="2783"/>
      <c r="H90" s="38"/>
      <c r="I90" s="2783"/>
      <c r="J90" s="38"/>
      <c r="K90" s="38"/>
      <c r="L90" s="38"/>
      <c r="M90" s="38"/>
      <c r="N90" s="38"/>
      <c r="O90" s="38"/>
      <c r="P90" s="2783"/>
      <c r="Q90" s="315"/>
      <c r="S90" s="315"/>
      <c r="T90" s="315"/>
      <c r="U90" s="315"/>
      <c r="V90" s="315"/>
      <c r="W90" s="315"/>
      <c r="X90" s="315"/>
      <c r="Y90" s="315"/>
      <c r="Z90" s="315"/>
      <c r="AA90" s="315"/>
      <c r="AB90" s="316"/>
    </row>
    <row r="91" spans="1:37" ht="13.2" customHeight="1">
      <c r="B91" s="3136">
        <f t="shared" ref="B91:B104" si="7">B90+1</f>
        <v>2</v>
      </c>
      <c r="C91" s="3068" t="s">
        <v>299</v>
      </c>
      <c r="D91" s="3098">
        <v>193.6</v>
      </c>
      <c r="E91" s="36"/>
      <c r="F91" s="3135"/>
      <c r="G91" s="2783"/>
      <c r="H91" s="38"/>
      <c r="I91" s="2783"/>
      <c r="J91" s="38"/>
      <c r="K91" s="38"/>
      <c r="L91" s="38"/>
      <c r="M91" s="38"/>
      <c r="N91" s="38"/>
      <c r="O91" s="38"/>
      <c r="P91" s="2783"/>
      <c r="Q91" s="315"/>
      <c r="S91" s="315"/>
      <c r="T91" s="315"/>
      <c r="U91" s="315"/>
      <c r="V91" s="315"/>
      <c r="W91" s="315"/>
      <c r="X91" s="315"/>
      <c r="Y91" s="315"/>
      <c r="Z91" s="315"/>
      <c r="AA91" s="315"/>
      <c r="AB91" s="316"/>
    </row>
    <row r="92" spans="1:37" ht="13.2" customHeight="1">
      <c r="B92" s="3136">
        <f t="shared" si="7"/>
        <v>3</v>
      </c>
      <c r="C92" s="3068" t="s">
        <v>298</v>
      </c>
      <c r="D92" s="3098">
        <v>204.3</v>
      </c>
      <c r="E92" s="36"/>
      <c r="F92" s="3135"/>
      <c r="G92" s="2783"/>
      <c r="H92" s="38"/>
      <c r="I92" s="2783"/>
      <c r="J92" s="38"/>
      <c r="K92" s="38"/>
      <c r="L92" s="38"/>
      <c r="M92" s="38"/>
      <c r="N92" s="38"/>
      <c r="O92" s="38"/>
      <c r="P92" s="2783"/>
      <c r="Q92" s="315"/>
      <c r="S92" s="315"/>
      <c r="T92" s="315"/>
      <c r="U92" s="315"/>
      <c r="V92" s="315"/>
      <c r="W92" s="315"/>
      <c r="X92" s="315"/>
      <c r="Y92" s="315"/>
      <c r="Z92" s="315"/>
      <c r="AA92" s="315"/>
      <c r="AB92" s="316"/>
    </row>
    <row r="93" spans="1:37" ht="13.2" customHeight="1">
      <c r="B93" s="3136">
        <f t="shared" si="7"/>
        <v>4</v>
      </c>
      <c r="C93" s="3068" t="s">
        <v>297</v>
      </c>
      <c r="D93" s="3098">
        <v>200</v>
      </c>
      <c r="E93" s="36"/>
      <c r="F93" s="3135"/>
      <c r="G93" s="2783"/>
      <c r="H93" s="38"/>
      <c r="I93" s="2783"/>
      <c r="J93" s="38"/>
      <c r="K93" s="38"/>
      <c r="L93" s="38"/>
      <c r="M93" s="38"/>
      <c r="N93" s="38"/>
      <c r="O93" s="38"/>
      <c r="P93" s="2783"/>
      <c r="Q93" s="315"/>
      <c r="S93" s="315"/>
      <c r="T93" s="315"/>
      <c r="U93" s="315"/>
      <c r="V93" s="315"/>
      <c r="W93" s="315"/>
      <c r="X93" s="315"/>
      <c r="Y93" s="315"/>
      <c r="Z93" s="315"/>
      <c r="AA93" s="315"/>
      <c r="AB93" s="316"/>
    </row>
    <row r="94" spans="1:37" ht="13.2" customHeight="1">
      <c r="B94" s="3136">
        <f t="shared" si="7"/>
        <v>5</v>
      </c>
      <c r="C94" s="3068" t="s">
        <v>296</v>
      </c>
      <c r="D94" s="3098">
        <v>175.5</v>
      </c>
      <c r="E94" s="36"/>
      <c r="F94" s="3135"/>
      <c r="G94" s="2783"/>
      <c r="H94" s="38"/>
      <c r="I94" s="2783"/>
      <c r="J94" s="38"/>
      <c r="K94" s="38"/>
      <c r="L94" s="38"/>
      <c r="M94" s="38"/>
      <c r="N94" s="38"/>
      <c r="O94" s="38"/>
      <c r="P94" s="2783"/>
      <c r="Q94" s="315"/>
      <c r="S94" s="315"/>
      <c r="T94" s="315"/>
      <c r="U94" s="315"/>
      <c r="V94" s="315"/>
      <c r="W94" s="315"/>
      <c r="X94" s="315"/>
      <c r="Y94" s="315"/>
      <c r="Z94" s="315"/>
      <c r="AA94" s="315"/>
      <c r="AB94" s="316"/>
    </row>
    <row r="95" spans="1:37" ht="13.2" customHeight="1">
      <c r="B95" s="3136">
        <f t="shared" si="7"/>
        <v>6</v>
      </c>
      <c r="C95" s="3068" t="s">
        <v>295</v>
      </c>
      <c r="D95" s="3098">
        <v>506</v>
      </c>
      <c r="E95" s="36"/>
      <c r="F95" s="3135"/>
      <c r="G95" s="2783"/>
      <c r="H95" s="38"/>
      <c r="I95" s="2783"/>
      <c r="J95" s="38"/>
      <c r="K95" s="38"/>
      <c r="L95" s="38"/>
      <c r="M95" s="38"/>
      <c r="N95" s="38"/>
      <c r="O95" s="38"/>
      <c r="P95" s="2783"/>
      <c r="Q95" s="315"/>
      <c r="S95" s="315"/>
      <c r="T95" s="315"/>
      <c r="U95" s="315"/>
      <c r="V95" s="315"/>
      <c r="W95" s="315"/>
      <c r="X95" s="315"/>
      <c r="Y95" s="315"/>
      <c r="Z95" s="315"/>
      <c r="AA95" s="315"/>
      <c r="AB95" s="316"/>
    </row>
    <row r="96" spans="1:37" ht="13.2" customHeight="1">
      <c r="B96" s="3136">
        <f t="shared" si="7"/>
        <v>7</v>
      </c>
      <c r="C96" s="3068" t="s">
        <v>1678</v>
      </c>
      <c r="D96" s="3171">
        <v>2600</v>
      </c>
      <c r="E96" s="36"/>
      <c r="F96" s="3135"/>
      <c r="G96" s="2783"/>
      <c r="H96" s="38"/>
      <c r="I96" s="2783"/>
      <c r="J96" s="38"/>
      <c r="K96" s="38"/>
      <c r="L96" s="38"/>
      <c r="M96" s="38"/>
      <c r="N96" s="38"/>
      <c r="O96" s="38"/>
      <c r="P96" s="2783"/>
      <c r="Q96" s="315"/>
      <c r="S96" s="315"/>
      <c r="T96" s="315"/>
      <c r="U96" s="315"/>
      <c r="V96" s="315"/>
      <c r="W96" s="315"/>
      <c r="X96" s="315"/>
      <c r="Y96" s="315"/>
      <c r="Z96" s="315"/>
      <c r="AA96" s="315"/>
      <c r="AB96" s="316"/>
    </row>
    <row r="97" spans="2:28" ht="13.2" customHeight="1">
      <c r="B97" s="3136">
        <f t="shared" si="7"/>
        <v>8</v>
      </c>
      <c r="C97" s="3068" t="s">
        <v>294</v>
      </c>
      <c r="D97" s="3098">
        <v>72.91</v>
      </c>
      <c r="E97" s="36"/>
      <c r="F97" s="3135"/>
      <c r="G97" s="2783"/>
      <c r="H97" s="38"/>
      <c r="I97" s="2783"/>
      <c r="J97" s="38"/>
      <c r="K97" s="38"/>
      <c r="L97" s="38"/>
      <c r="M97" s="38"/>
      <c r="N97" s="38"/>
      <c r="O97" s="38"/>
      <c r="P97" s="2783"/>
      <c r="Q97" s="315"/>
      <c r="S97" s="315"/>
      <c r="T97" s="315"/>
      <c r="U97" s="315"/>
      <c r="V97" s="315"/>
      <c r="W97" s="315"/>
      <c r="X97" s="315"/>
      <c r="Y97" s="315"/>
      <c r="Z97" s="315"/>
      <c r="AA97" s="315"/>
      <c r="AB97" s="316"/>
    </row>
    <row r="98" spans="2:28" ht="13.2" hidden="1" customHeight="1">
      <c r="B98" s="3136">
        <f t="shared" si="7"/>
        <v>9</v>
      </c>
      <c r="C98" s="3068" t="s">
        <v>293</v>
      </c>
      <c r="D98" s="3098">
        <v>150</v>
      </c>
      <c r="E98" s="36"/>
      <c r="F98" s="3135"/>
      <c r="G98" s="2783"/>
      <c r="H98" s="38"/>
      <c r="I98" s="2783"/>
      <c r="J98" s="38"/>
      <c r="K98" s="38"/>
      <c r="L98" s="38"/>
      <c r="M98" s="38"/>
      <c r="N98" s="38"/>
      <c r="O98" s="38"/>
      <c r="P98" s="2783"/>
      <c r="Q98" s="315"/>
      <c r="S98" s="315"/>
      <c r="T98" s="315"/>
      <c r="U98" s="315"/>
      <c r="V98" s="315"/>
      <c r="W98" s="315"/>
      <c r="X98" s="315"/>
      <c r="Y98" s="315"/>
      <c r="Z98" s="315"/>
      <c r="AA98" s="315"/>
      <c r="AB98" s="316"/>
    </row>
    <row r="99" spans="2:28" ht="17.399999999999999" hidden="1" customHeight="1">
      <c r="B99" s="3136">
        <f t="shared" si="7"/>
        <v>10</v>
      </c>
      <c r="C99" s="3068" t="s">
        <v>292</v>
      </c>
      <c r="D99" s="3098">
        <v>207.5</v>
      </c>
      <c r="E99" s="36"/>
      <c r="F99" s="3135"/>
      <c r="G99" s="2783"/>
      <c r="H99" s="38"/>
      <c r="I99" s="2783"/>
      <c r="J99" s="38"/>
      <c r="K99" s="38"/>
      <c r="L99" s="38"/>
      <c r="M99" s="38"/>
      <c r="N99" s="38"/>
      <c r="O99" s="38"/>
      <c r="P99" s="2783"/>
      <c r="Q99" s="315"/>
      <c r="S99" s="315"/>
      <c r="T99" s="315"/>
      <c r="U99" s="315"/>
      <c r="V99" s="315"/>
      <c r="W99" s="315"/>
      <c r="X99" s="315"/>
      <c r="Y99" s="315"/>
      <c r="Z99" s="315"/>
      <c r="AA99" s="315"/>
      <c r="AB99" s="316"/>
    </row>
    <row r="100" spans="2:28" ht="13.2" hidden="1" customHeight="1">
      <c r="B100" s="3136">
        <f t="shared" si="7"/>
        <v>11</v>
      </c>
      <c r="C100" s="3068" t="s">
        <v>291</v>
      </c>
      <c r="D100" s="3098">
        <v>267.5</v>
      </c>
      <c r="E100" s="36"/>
      <c r="F100" s="3135"/>
      <c r="G100" s="2783"/>
      <c r="H100" s="38"/>
      <c r="I100" s="2783"/>
      <c r="J100" s="38"/>
      <c r="K100" s="38"/>
      <c r="L100" s="38"/>
      <c r="M100" s="38"/>
      <c r="N100" s="38"/>
      <c r="O100" s="38"/>
      <c r="P100" s="2783"/>
      <c r="Q100" s="315"/>
      <c r="S100" s="315"/>
      <c r="T100" s="315"/>
      <c r="U100" s="315"/>
      <c r="V100" s="315"/>
      <c r="W100" s="315"/>
      <c r="X100" s="315"/>
      <c r="Y100" s="315"/>
      <c r="Z100" s="315"/>
      <c r="AA100" s="315"/>
      <c r="AB100" s="316"/>
    </row>
    <row r="101" spans="2:28" ht="13.2" customHeight="1">
      <c r="B101" s="3136">
        <f t="shared" si="7"/>
        <v>12</v>
      </c>
      <c r="C101" s="3068" t="s">
        <v>290</v>
      </c>
      <c r="D101" s="3098">
        <v>115</v>
      </c>
      <c r="E101" s="36"/>
      <c r="F101" s="3135"/>
      <c r="G101" s="2783"/>
      <c r="H101" s="38"/>
      <c r="I101" s="2783"/>
      <c r="J101" s="38"/>
      <c r="K101" s="38"/>
      <c r="L101" s="38"/>
      <c r="M101" s="38"/>
      <c r="N101" s="38"/>
      <c r="O101" s="38"/>
      <c r="P101" s="2783"/>
      <c r="Q101" s="315"/>
      <c r="S101" s="315"/>
      <c r="T101" s="315"/>
      <c r="U101" s="315"/>
      <c r="V101" s="315"/>
      <c r="W101" s="315"/>
      <c r="X101" s="315"/>
      <c r="Y101" s="315"/>
      <c r="Z101" s="315"/>
      <c r="AA101" s="315"/>
      <c r="AB101" s="316"/>
    </row>
    <row r="102" spans="2:28" ht="13.2" customHeight="1">
      <c r="B102" s="3136">
        <f t="shared" si="7"/>
        <v>13</v>
      </c>
      <c r="C102" s="3068" t="s">
        <v>452</v>
      </c>
      <c r="D102" s="3098">
        <v>76.5</v>
      </c>
      <c r="E102" s="36"/>
      <c r="F102" s="3135"/>
      <c r="G102" s="2783"/>
      <c r="H102" s="38"/>
      <c r="I102" s="2783"/>
      <c r="J102" s="38"/>
      <c r="K102" s="38"/>
      <c r="L102" s="38"/>
      <c r="M102" s="38"/>
      <c r="N102" s="38"/>
      <c r="O102" s="38"/>
      <c r="P102" s="2783"/>
      <c r="Q102" s="315"/>
      <c r="S102" s="315"/>
      <c r="T102" s="315"/>
      <c r="U102" s="315"/>
      <c r="V102" s="315"/>
      <c r="W102" s="315"/>
      <c r="X102" s="315"/>
      <c r="Y102" s="315"/>
      <c r="Z102" s="315"/>
      <c r="AA102" s="315"/>
      <c r="AB102" s="316"/>
    </row>
    <row r="103" spans="2:28" ht="13.2" customHeight="1">
      <c r="B103" s="3136">
        <f t="shared" si="7"/>
        <v>14</v>
      </c>
      <c r="C103" s="3068" t="s">
        <v>289</v>
      </c>
      <c r="D103" s="3098">
        <v>3.3</v>
      </c>
      <c r="E103" s="36"/>
      <c r="F103" s="3135"/>
      <c r="G103" s="2783"/>
      <c r="H103" s="38"/>
      <c r="I103" s="2783"/>
      <c r="J103" s="38"/>
      <c r="K103" s="38"/>
      <c r="L103" s="38"/>
      <c r="M103" s="38"/>
      <c r="N103" s="38"/>
      <c r="O103" s="38"/>
      <c r="P103" s="2783"/>
      <c r="Q103" s="2931"/>
      <c r="S103" s="315"/>
      <c r="T103" s="315"/>
      <c r="U103" s="315"/>
      <c r="V103" s="315"/>
      <c r="W103" s="315"/>
      <c r="X103" s="315"/>
      <c r="Y103" s="315"/>
      <c r="Z103" s="315"/>
      <c r="AA103" s="315"/>
      <c r="AB103" s="316"/>
    </row>
    <row r="104" spans="2:28" ht="13.2" customHeight="1">
      <c r="B104" s="3136">
        <f t="shared" si="7"/>
        <v>15</v>
      </c>
      <c r="C104" s="3068" t="s">
        <v>288</v>
      </c>
      <c r="D104" s="3098">
        <v>4.4800000000000004</v>
      </c>
      <c r="E104" s="36"/>
      <c r="F104" s="3135"/>
      <c r="G104" s="2783"/>
      <c r="H104" s="38"/>
      <c r="I104" s="2783"/>
      <c r="J104" s="38"/>
      <c r="K104" s="38"/>
      <c r="L104" s="38"/>
      <c r="M104" s="38"/>
      <c r="N104" s="38"/>
      <c r="O104" s="38"/>
      <c r="P104" s="2783"/>
      <c r="Q104" s="315"/>
      <c r="S104" s="315"/>
      <c r="T104" s="315"/>
      <c r="U104" s="315"/>
      <c r="V104" s="315"/>
      <c r="W104" s="315"/>
      <c r="X104" s="315"/>
      <c r="Y104" s="315"/>
      <c r="Z104" s="315"/>
      <c r="AA104" s="315"/>
      <c r="AB104" s="316"/>
    </row>
    <row r="105" spans="2:28" ht="13.2" customHeight="1">
      <c r="B105" s="3053" t="s">
        <v>1598</v>
      </c>
      <c r="C105" s="36"/>
      <c r="D105" s="36"/>
      <c r="E105" s="36"/>
      <c r="F105" s="36"/>
      <c r="G105" s="36"/>
      <c r="H105" s="36"/>
      <c r="I105" s="36"/>
      <c r="J105" s="36"/>
      <c r="K105" s="36"/>
      <c r="L105" s="36"/>
      <c r="M105" s="36"/>
      <c r="N105" s="36"/>
      <c r="O105" s="36"/>
      <c r="P105" s="2783"/>
      <c r="Q105" s="315"/>
      <c r="S105" s="315"/>
      <c r="T105" s="315"/>
      <c r="U105" s="315"/>
      <c r="V105" s="315"/>
      <c r="W105" s="315"/>
      <c r="X105" s="315"/>
      <c r="Y105" s="315"/>
      <c r="Z105" s="315"/>
      <c r="AA105" s="315"/>
      <c r="AB105" s="316"/>
    </row>
    <row r="106" spans="2:28" ht="13.2" customHeight="1">
      <c r="B106" s="3053"/>
      <c r="C106" s="36"/>
      <c r="D106" s="36"/>
      <c r="E106" s="36"/>
      <c r="F106" s="36"/>
      <c r="G106" s="36"/>
      <c r="H106" s="36"/>
      <c r="I106" s="36"/>
      <c r="J106" s="36"/>
      <c r="K106" s="36"/>
      <c r="L106" s="36"/>
      <c r="M106" s="36"/>
      <c r="N106" s="36"/>
      <c r="O106" s="36"/>
      <c r="P106" s="2783"/>
      <c r="Q106" s="315"/>
      <c r="S106" s="315"/>
      <c r="T106" s="315"/>
      <c r="U106" s="315"/>
      <c r="V106" s="315"/>
      <c r="W106" s="315"/>
      <c r="X106" s="315"/>
      <c r="Y106" s="315"/>
      <c r="Z106" s="315"/>
      <c r="AA106" s="315"/>
      <c r="AB106" s="316"/>
    </row>
    <row r="107" spans="2:28" ht="13.2" customHeight="1">
      <c r="B107" s="303"/>
      <c r="C107" s="36"/>
      <c r="D107" s="36"/>
      <c r="E107" s="36"/>
      <c r="F107" s="36"/>
      <c r="G107" s="36"/>
      <c r="H107" s="36"/>
      <c r="I107" s="36"/>
      <c r="J107" s="36"/>
      <c r="K107" s="36"/>
      <c r="L107" s="36"/>
      <c r="M107" s="36"/>
      <c r="N107" s="36"/>
      <c r="O107" s="36"/>
      <c r="P107" s="2783"/>
      <c r="Q107" s="315"/>
      <c r="S107" s="315"/>
      <c r="T107" s="315"/>
      <c r="U107" s="315"/>
      <c r="V107" s="315"/>
      <c r="W107" s="315"/>
      <c r="X107" s="315"/>
      <c r="Y107" s="315"/>
      <c r="Z107" s="315"/>
      <c r="AA107" s="315"/>
      <c r="AB107" s="316"/>
    </row>
    <row r="108" spans="2:28" ht="13.95" customHeight="1">
      <c r="B108" s="171"/>
      <c r="C108" s="36"/>
      <c r="D108" s="36"/>
      <c r="E108" s="36"/>
      <c r="F108" s="36"/>
      <c r="G108" s="36"/>
      <c r="H108" s="36"/>
      <c r="I108" s="36"/>
      <c r="J108" s="36"/>
      <c r="K108" s="36"/>
      <c r="L108" s="36"/>
      <c r="M108" s="36"/>
      <c r="N108" s="36"/>
      <c r="O108" s="36"/>
      <c r="P108" s="2783"/>
      <c r="Q108" s="315"/>
      <c r="S108" s="315"/>
      <c r="T108" s="315"/>
      <c r="U108" s="315"/>
      <c r="V108" s="315"/>
      <c r="W108" s="315"/>
      <c r="X108" s="315"/>
      <c r="Y108" s="315"/>
      <c r="Z108" s="315"/>
      <c r="AA108" s="315"/>
      <c r="AB108" s="316"/>
    </row>
    <row r="109" spans="2:28" ht="16.5" customHeight="1">
      <c r="B109" s="303"/>
      <c r="C109" s="303"/>
      <c r="D109" s="303"/>
      <c r="E109" s="303"/>
      <c r="F109" s="303"/>
      <c r="G109" s="303"/>
      <c r="H109" s="303"/>
      <c r="I109" s="303"/>
      <c r="J109" s="303"/>
      <c r="K109" s="303"/>
      <c r="L109" s="303"/>
      <c r="M109" s="303"/>
      <c r="N109" s="303"/>
      <c r="O109" s="303"/>
      <c r="Q109" s="315"/>
      <c r="S109" s="315"/>
      <c r="T109" s="315"/>
      <c r="U109" s="315"/>
      <c r="V109" s="315"/>
      <c r="W109" s="315"/>
      <c r="X109" s="315"/>
      <c r="Y109" s="315"/>
      <c r="Z109" s="315"/>
      <c r="AA109" s="315"/>
      <c r="AB109" s="316"/>
    </row>
    <row r="110" spans="2:28" ht="16.5" customHeight="1">
      <c r="B110" s="303"/>
      <c r="C110" s="303"/>
      <c r="D110" s="303"/>
      <c r="E110" s="303"/>
      <c r="F110" s="303"/>
      <c r="G110" s="303"/>
      <c r="H110" s="303"/>
      <c r="I110" s="303"/>
      <c r="J110" s="303"/>
      <c r="K110" s="303"/>
      <c r="L110" s="303"/>
      <c r="M110" s="303"/>
      <c r="N110" s="303"/>
      <c r="O110" s="303"/>
      <c r="Q110" s="315"/>
      <c r="S110" s="315"/>
      <c r="T110" s="315"/>
      <c r="U110" s="315"/>
      <c r="V110" s="315"/>
      <c r="W110" s="315"/>
      <c r="X110" s="315"/>
      <c r="Y110" s="315"/>
      <c r="Z110" s="315"/>
      <c r="AA110" s="315"/>
      <c r="AB110" s="316"/>
    </row>
    <row r="111" spans="2:28" ht="16.5" customHeight="1">
      <c r="B111" s="303"/>
      <c r="C111" s="303"/>
      <c r="D111" s="303"/>
      <c r="E111" s="303"/>
      <c r="F111" s="303"/>
      <c r="G111" s="303"/>
      <c r="H111" s="303"/>
      <c r="I111" s="303"/>
      <c r="J111" s="303"/>
      <c r="K111" s="303"/>
      <c r="L111" s="303"/>
      <c r="M111" s="303"/>
      <c r="N111" s="303"/>
      <c r="O111" s="303"/>
      <c r="Q111" s="315"/>
      <c r="S111" s="315"/>
      <c r="T111" s="315"/>
      <c r="U111" s="315"/>
      <c r="V111" s="315"/>
      <c r="W111" s="315"/>
      <c r="X111" s="315"/>
      <c r="Y111" s="315"/>
      <c r="Z111" s="315"/>
      <c r="AA111" s="315"/>
      <c r="AB111" s="316"/>
    </row>
    <row r="112" spans="2:28" ht="16.5" customHeight="1">
      <c r="B112" s="303"/>
      <c r="C112" s="303"/>
      <c r="D112" s="303"/>
      <c r="E112" s="303"/>
      <c r="F112" s="303"/>
      <c r="G112" s="303"/>
      <c r="H112" s="303"/>
      <c r="I112" s="303"/>
      <c r="J112" s="303"/>
      <c r="K112" s="303"/>
      <c r="L112" s="303"/>
      <c r="M112" s="303"/>
      <c r="N112" s="303"/>
      <c r="O112" s="303"/>
      <c r="Q112" s="315"/>
      <c r="S112" s="315"/>
      <c r="T112" s="315"/>
      <c r="U112" s="315"/>
      <c r="V112" s="315"/>
      <c r="W112" s="315"/>
      <c r="X112" s="315"/>
      <c r="Y112" s="315"/>
      <c r="Z112" s="315"/>
      <c r="AA112" s="315"/>
      <c r="AB112" s="316"/>
    </row>
    <row r="113" spans="2:29" ht="16.5" customHeight="1">
      <c r="B113" s="303"/>
      <c r="C113" s="303"/>
      <c r="D113" s="303"/>
      <c r="E113" s="303"/>
      <c r="F113" s="303"/>
      <c r="G113" s="303"/>
      <c r="H113" s="303"/>
      <c r="I113" s="303"/>
      <c r="J113" s="303"/>
      <c r="K113" s="303"/>
      <c r="L113" s="303"/>
      <c r="M113" s="303"/>
      <c r="N113" s="303"/>
      <c r="O113" s="303"/>
      <c r="Q113" s="315"/>
      <c r="S113" s="315"/>
      <c r="T113" s="315"/>
      <c r="U113" s="315"/>
      <c r="V113" s="315"/>
      <c r="W113" s="315"/>
      <c r="X113" s="315"/>
      <c r="Y113" s="315"/>
      <c r="Z113" s="315"/>
      <c r="AA113" s="315"/>
      <c r="AB113" s="316"/>
    </row>
    <row r="114" spans="2:29" ht="16.5" customHeight="1">
      <c r="B114" s="303"/>
      <c r="C114" s="303"/>
      <c r="D114" s="303"/>
      <c r="E114" s="303"/>
      <c r="F114" s="303"/>
      <c r="G114" s="303"/>
      <c r="H114" s="303"/>
      <c r="I114" s="303"/>
      <c r="J114" s="303"/>
      <c r="K114" s="303"/>
      <c r="L114" s="303"/>
      <c r="M114" s="303"/>
      <c r="N114" s="303"/>
      <c r="O114" s="303"/>
      <c r="Q114" s="315"/>
      <c r="S114" s="315"/>
      <c r="T114" s="315"/>
      <c r="U114" s="315"/>
      <c r="V114" s="315"/>
      <c r="W114" s="315"/>
      <c r="X114" s="315"/>
      <c r="Y114" s="315"/>
      <c r="Z114" s="315"/>
      <c r="AA114" s="315"/>
      <c r="AB114" s="316"/>
    </row>
    <row r="115" spans="2:29" s="29" customFormat="1" ht="16.5" customHeight="1">
      <c r="P115" s="448"/>
      <c r="Q115" s="315"/>
      <c r="R115" s="448"/>
      <c r="S115" s="315"/>
      <c r="T115" s="315"/>
      <c r="U115" s="315"/>
      <c r="V115" s="315"/>
      <c r="W115" s="315"/>
      <c r="X115" s="315"/>
      <c r="Y115" s="315"/>
      <c r="Z115" s="315"/>
      <c r="AA115" s="315"/>
      <c r="AB115" s="316"/>
    </row>
    <row r="116" spans="2:29" s="29" customFormat="1" ht="16.5" customHeight="1">
      <c r="P116" s="448"/>
      <c r="Q116" s="315"/>
      <c r="R116" s="448"/>
      <c r="S116" s="315"/>
      <c r="T116" s="315"/>
      <c r="U116" s="315"/>
      <c r="V116" s="315"/>
      <c r="W116" s="315"/>
      <c r="X116" s="315"/>
      <c r="Y116" s="315"/>
      <c r="Z116" s="315"/>
      <c r="AA116" s="315"/>
      <c r="AB116" s="316"/>
    </row>
    <row r="117" spans="2:29" s="29" customFormat="1" ht="16.5" customHeight="1">
      <c r="P117" s="448"/>
      <c r="Q117" s="315"/>
      <c r="R117" s="448"/>
      <c r="S117" s="315"/>
      <c r="T117" s="315"/>
      <c r="U117" s="315"/>
      <c r="V117" s="315"/>
      <c r="W117" s="315"/>
      <c r="X117" s="315"/>
      <c r="Y117" s="315"/>
      <c r="Z117" s="315"/>
      <c r="AA117" s="315"/>
      <c r="AB117" s="316"/>
    </row>
    <row r="118" spans="2:29" s="29" customFormat="1" ht="16.5" customHeight="1">
      <c r="P118" s="448"/>
      <c r="Q118" s="315"/>
      <c r="R118" s="448"/>
      <c r="S118" s="315"/>
      <c r="T118" s="315"/>
      <c r="U118" s="315"/>
      <c r="V118" s="315"/>
      <c r="W118" s="315"/>
      <c r="X118" s="315"/>
      <c r="Y118" s="315"/>
      <c r="Z118" s="315"/>
      <c r="AA118" s="315"/>
      <c r="AB118" s="316"/>
      <c r="AC118" s="448"/>
    </row>
    <row r="119" spans="2:29" s="29" customFormat="1" ht="16.5" customHeight="1">
      <c r="P119" s="448"/>
      <c r="Q119" s="315"/>
      <c r="R119" s="448"/>
      <c r="S119" s="315"/>
      <c r="T119" s="315"/>
      <c r="U119" s="315"/>
      <c r="V119" s="315"/>
      <c r="W119" s="315"/>
      <c r="X119" s="315"/>
      <c r="Y119" s="315"/>
      <c r="Z119" s="315"/>
      <c r="AA119" s="315"/>
      <c r="AB119" s="316"/>
    </row>
    <row r="120" spans="2:29" s="29" customFormat="1" ht="16.5" customHeight="1">
      <c r="P120" s="448"/>
      <c r="Q120" s="315"/>
      <c r="R120" s="448"/>
      <c r="S120" s="315"/>
      <c r="T120" s="315"/>
      <c r="U120" s="315"/>
      <c r="V120" s="315"/>
      <c r="W120" s="315"/>
      <c r="X120" s="315"/>
      <c r="Y120" s="315"/>
      <c r="Z120" s="315"/>
      <c r="AA120" s="315"/>
      <c r="AB120" s="316"/>
    </row>
    <row r="121" spans="2:29" s="29" customFormat="1" ht="16.5" customHeight="1">
      <c r="P121" s="448"/>
      <c r="Q121" s="315"/>
      <c r="R121" s="448"/>
      <c r="S121" s="315"/>
      <c r="T121" s="315"/>
      <c r="U121" s="315"/>
      <c r="V121" s="315"/>
      <c r="W121" s="315"/>
      <c r="X121" s="315"/>
      <c r="Y121" s="315"/>
      <c r="Z121" s="315"/>
      <c r="AA121" s="315"/>
      <c r="AB121" s="316"/>
    </row>
    <row r="122" spans="2:29" s="29" customFormat="1" ht="16.5" customHeight="1">
      <c r="P122" s="448"/>
      <c r="Q122" s="315"/>
      <c r="R122" s="448"/>
      <c r="S122" s="315"/>
      <c r="T122" s="315"/>
      <c r="U122" s="315"/>
      <c r="V122" s="315"/>
      <c r="W122" s="315"/>
      <c r="X122" s="315"/>
      <c r="Y122" s="315"/>
      <c r="Z122" s="315"/>
      <c r="AA122" s="315"/>
      <c r="AB122" s="316"/>
    </row>
    <row r="123" spans="2:29" s="29" customFormat="1" ht="16.5" customHeight="1">
      <c r="P123" s="448"/>
      <c r="Q123" s="315"/>
      <c r="R123" s="448"/>
      <c r="S123" s="315"/>
      <c r="T123" s="315"/>
      <c r="U123" s="315"/>
      <c r="V123" s="315"/>
      <c r="W123" s="315"/>
      <c r="X123" s="315"/>
      <c r="Y123" s="315"/>
      <c r="Z123" s="315"/>
      <c r="AA123" s="315"/>
      <c r="AB123" s="316"/>
    </row>
    <row r="124" spans="2:29" s="29" customFormat="1" ht="16.5" customHeight="1">
      <c r="P124" s="448"/>
      <c r="Q124" s="315"/>
      <c r="R124" s="448"/>
      <c r="S124" s="315"/>
      <c r="T124" s="315"/>
      <c r="U124" s="315"/>
      <c r="V124" s="315"/>
      <c r="W124" s="315"/>
      <c r="X124" s="315"/>
      <c r="Y124" s="315"/>
      <c r="Z124" s="315"/>
      <c r="AA124" s="315"/>
      <c r="AB124" s="316"/>
    </row>
    <row r="125" spans="2:29" s="29" customFormat="1" ht="16.5" customHeight="1">
      <c r="Q125" s="303"/>
      <c r="S125" s="303"/>
      <c r="T125" s="303"/>
      <c r="U125" s="303"/>
      <c r="V125" s="303"/>
      <c r="W125" s="303"/>
      <c r="X125" s="303"/>
      <c r="Y125" s="303"/>
      <c r="Z125" s="303"/>
      <c r="AA125" s="315"/>
    </row>
    <row r="126" spans="2:29" s="29" customFormat="1" ht="16.5" customHeight="1">
      <c r="Q126" s="303"/>
      <c r="S126" s="303"/>
      <c r="T126" s="303"/>
      <c r="U126" s="303"/>
      <c r="V126" s="303"/>
      <c r="W126" s="303"/>
      <c r="X126" s="303"/>
      <c r="Y126" s="303"/>
      <c r="Z126" s="303"/>
      <c r="AA126" s="315"/>
    </row>
    <row r="127" spans="2:29" s="29" customFormat="1" ht="16.5" customHeight="1">
      <c r="Q127" s="303"/>
      <c r="S127" s="303"/>
      <c r="T127" s="303"/>
      <c r="U127" s="303"/>
      <c r="V127" s="303"/>
      <c r="W127" s="303"/>
      <c r="X127" s="303"/>
      <c r="Y127" s="303"/>
      <c r="Z127" s="303"/>
      <c r="AA127" s="315"/>
    </row>
    <row r="128" spans="2:29" s="29" customFormat="1" ht="16.5" customHeight="1">
      <c r="Q128" s="303"/>
      <c r="S128" s="303"/>
      <c r="T128" s="303"/>
      <c r="U128" s="303"/>
      <c r="V128" s="303"/>
      <c r="W128" s="303"/>
      <c r="X128" s="303"/>
      <c r="Y128" s="303"/>
      <c r="Z128" s="303"/>
      <c r="AA128" s="315"/>
    </row>
    <row r="129" spans="17:27" s="29" customFormat="1" ht="16.5" customHeight="1">
      <c r="Q129" s="303"/>
      <c r="S129" s="303"/>
      <c r="T129" s="303"/>
      <c r="U129" s="303"/>
      <c r="V129" s="303"/>
      <c r="W129" s="303"/>
      <c r="X129" s="303"/>
      <c r="Y129" s="303"/>
      <c r="Z129" s="303"/>
      <c r="AA129" s="315"/>
    </row>
    <row r="130" spans="17:27" s="29" customFormat="1" ht="16.5" customHeight="1">
      <c r="Q130" s="303"/>
      <c r="S130" s="303"/>
      <c r="T130" s="303"/>
      <c r="U130" s="303"/>
      <c r="V130" s="303"/>
      <c r="W130" s="303"/>
      <c r="X130" s="303"/>
      <c r="Y130" s="303"/>
      <c r="Z130" s="303"/>
      <c r="AA130" s="315"/>
    </row>
    <row r="131" spans="17:27" s="29" customFormat="1" ht="16.5" customHeight="1">
      <c r="Q131" s="303"/>
      <c r="S131" s="303"/>
      <c r="T131" s="303"/>
      <c r="U131" s="303"/>
      <c r="V131" s="303"/>
      <c r="W131" s="303"/>
      <c r="X131" s="303"/>
      <c r="Y131" s="303"/>
      <c r="Z131" s="303"/>
      <c r="AA131" s="315"/>
    </row>
    <row r="132" spans="17:27" s="29" customFormat="1" ht="16.5" customHeight="1">
      <c r="Q132" s="303"/>
      <c r="S132" s="303"/>
      <c r="T132" s="303"/>
      <c r="U132" s="303"/>
      <c r="V132" s="303"/>
      <c r="W132" s="303"/>
      <c r="X132" s="303"/>
      <c r="Y132" s="303"/>
      <c r="Z132" s="303"/>
      <c r="AA132" s="315"/>
    </row>
    <row r="133" spans="17:27" s="29" customFormat="1" ht="16.5" customHeight="1">
      <c r="Q133" s="303"/>
      <c r="S133" s="303"/>
      <c r="T133" s="303"/>
      <c r="U133" s="303"/>
      <c r="V133" s="303"/>
      <c r="W133" s="303"/>
      <c r="X133" s="303"/>
      <c r="Y133" s="303"/>
      <c r="Z133" s="303"/>
      <c r="AA133" s="315"/>
    </row>
    <row r="134" spans="17:27" s="29" customFormat="1" ht="16.5" customHeight="1">
      <c r="Q134" s="303"/>
      <c r="S134" s="303"/>
      <c r="T134" s="303"/>
      <c r="U134" s="303"/>
      <c r="V134" s="303"/>
      <c r="W134" s="303"/>
      <c r="X134" s="303"/>
      <c r="Y134" s="303"/>
      <c r="Z134" s="303"/>
      <c r="AA134" s="315"/>
    </row>
    <row r="135" spans="17:27" s="29" customFormat="1" ht="16.5" customHeight="1">
      <c r="Q135" s="303"/>
      <c r="S135" s="303"/>
      <c r="T135" s="303"/>
      <c r="U135" s="303"/>
      <c r="V135" s="303"/>
      <c r="W135" s="303"/>
      <c r="X135" s="303"/>
      <c r="Y135" s="303"/>
      <c r="Z135" s="303"/>
      <c r="AA135" s="315"/>
    </row>
    <row r="136" spans="17:27" s="29" customFormat="1" ht="13.2">
      <c r="Q136" s="303"/>
      <c r="S136" s="303"/>
      <c r="T136" s="303"/>
      <c r="U136" s="303"/>
      <c r="V136" s="303"/>
      <c r="W136" s="303"/>
      <c r="X136" s="303"/>
      <c r="Y136" s="303"/>
      <c r="Z136" s="303"/>
      <c r="AA136" s="315"/>
    </row>
    <row r="137" spans="17:27" s="29" customFormat="1" ht="13.2">
      <c r="Q137" s="303"/>
      <c r="S137" s="303"/>
      <c r="T137" s="303"/>
      <c r="U137" s="303"/>
      <c r="V137" s="303"/>
      <c r="W137" s="303"/>
      <c r="X137" s="303"/>
      <c r="Y137" s="303"/>
      <c r="Z137" s="303"/>
      <c r="AA137" s="315"/>
    </row>
    <row r="138" spans="17:27" s="29" customFormat="1" ht="13.2">
      <c r="Q138" s="303"/>
      <c r="S138" s="303"/>
      <c r="T138" s="303"/>
      <c r="U138" s="303"/>
      <c r="V138" s="303"/>
      <c r="W138" s="303"/>
      <c r="X138" s="303"/>
      <c r="Y138" s="303"/>
      <c r="Z138" s="303"/>
      <c r="AA138" s="303"/>
    </row>
    <row r="139" spans="17:27" s="29" customFormat="1" ht="13.2">
      <c r="Q139" s="303"/>
      <c r="S139" s="303"/>
      <c r="T139" s="303"/>
      <c r="U139" s="303"/>
      <c r="V139" s="303"/>
      <c r="W139" s="303"/>
      <c r="X139" s="303"/>
      <c r="Y139" s="303"/>
      <c r="Z139" s="303"/>
      <c r="AA139" s="303"/>
    </row>
    <row r="140" spans="17:27" s="29" customFormat="1" ht="13.2">
      <c r="Q140" s="303"/>
      <c r="S140" s="303"/>
      <c r="T140" s="303"/>
      <c r="U140" s="303"/>
      <c r="V140" s="303"/>
      <c r="W140" s="303"/>
      <c r="X140" s="303"/>
      <c r="Y140" s="303"/>
      <c r="Z140" s="303"/>
      <c r="AA140" s="303"/>
    </row>
    <row r="141" spans="17:27" s="29" customFormat="1" ht="13.2">
      <c r="Q141" s="303"/>
      <c r="S141" s="303"/>
      <c r="T141" s="303"/>
      <c r="U141" s="303"/>
      <c r="V141" s="303"/>
      <c r="W141" s="303"/>
      <c r="X141" s="303"/>
      <c r="Y141" s="303"/>
      <c r="Z141" s="303"/>
      <c r="AA141" s="303"/>
    </row>
  </sheetData>
  <sheetProtection sheet="1" objects="1" scenarios="1"/>
  <customSheetViews>
    <customSheetView guid="{8063F48F-80B5-4ECD-B18A-51CBF126E780}" scale="107" fitToPage="1" hiddenRows="1" hiddenColumns="1" topLeftCell="A64">
      <selection activeCell="AL26" sqref="AL26"/>
      <pageMargins left="0.59055118110236227" right="0.59055118110236227" top="0.59055118110236227" bottom="0.59055118110236227" header="0.39370078740157483" footer="0.39370078740157483"/>
      <printOptions horizontalCentered="1"/>
      <pageSetup paperSize="8" firstPageNumber="8" orientation="portrait" useFirstPageNumber="1" r:id="rId1"/>
      <headerFooter alignWithMargins="0">
        <oddFooter>&amp;L&amp;11LEL Schwäbisch Gmünd&amp;C&amp;11&amp;P+8&amp;R&amp;11 &amp;F</oddFooter>
      </headerFooter>
    </customSheetView>
    <customSheetView guid="{5D5C9B61-9ABD-4513-AAEB-8333A9D6196C}" scale="107" fitToPage="1" hiddenRows="1" hiddenColumns="1" topLeftCell="A64">
      <selection activeCell="AL26" sqref="AL26"/>
      <pageMargins left="0.59055118110236227" right="0.59055118110236227" top="0.59055118110236227" bottom="0.59055118110236227" header="0.39370078740157483" footer="0.39370078740157483"/>
      <printOptions horizontalCentered="1"/>
      <pageSetup paperSize="8" firstPageNumber="8" orientation="portrait" useFirstPageNumber="1" r:id="rId2"/>
      <headerFooter alignWithMargins="0">
        <oddFooter>&amp;L&amp;11LEL Schwäbisch Gmünd&amp;C&amp;11&amp;P+8&amp;R&amp;11 &amp;F</oddFooter>
      </headerFooter>
    </customSheetView>
    <customSheetView guid="{22A73C4F-9004-4CEF-8499-B1F91BE1B569}" scale="107" fitToPage="1" hiddenRows="1" hiddenColumns="1" topLeftCell="A64">
      <selection activeCell="AL26" sqref="AL26"/>
      <pageMargins left="0.59055118110236227" right="0.59055118110236227" top="0.59055118110236227" bottom="0.59055118110236227" header="0.39370078740157483" footer="0.39370078740157483"/>
      <printOptions horizontalCentered="1"/>
      <pageSetup paperSize="8" firstPageNumber="8" orientation="portrait" useFirstPageNumber="1" r:id="rId3"/>
      <headerFooter alignWithMargins="0">
        <oddFooter>&amp;L&amp;11LEL Schwäbisch Gmünd&amp;C&amp;11&amp;P+8&amp;R&amp;11 &amp;F</oddFooter>
      </headerFooter>
    </customSheetView>
  </customSheetViews>
  <mergeCells count="104">
    <mergeCell ref="D76:D78"/>
    <mergeCell ref="E76:E78"/>
    <mergeCell ref="J67:K67"/>
    <mergeCell ref="J53:K53"/>
    <mergeCell ref="J52:K52"/>
    <mergeCell ref="J72:K72"/>
    <mergeCell ref="J73:K73"/>
    <mergeCell ref="J74:K74"/>
    <mergeCell ref="J68:K68"/>
    <mergeCell ref="J69:K69"/>
    <mergeCell ref="J70:K70"/>
    <mergeCell ref="J71:K71"/>
    <mergeCell ref="J29:K29"/>
    <mergeCell ref="J31:K31"/>
    <mergeCell ref="J58:K58"/>
    <mergeCell ref="J57:K57"/>
    <mergeCell ref="J56:K56"/>
    <mergeCell ref="J55:K55"/>
    <mergeCell ref="J54:K54"/>
    <mergeCell ref="J65:K65"/>
    <mergeCell ref="J66:K66"/>
    <mergeCell ref="J50:K50"/>
    <mergeCell ref="J30:K30"/>
    <mergeCell ref="J32:K32"/>
    <mergeCell ref="J48:K48"/>
    <mergeCell ref="J33:K33"/>
    <mergeCell ref="J34:K34"/>
    <mergeCell ref="J62:K62"/>
    <mergeCell ref="J63:K63"/>
    <mergeCell ref="J64:K64"/>
    <mergeCell ref="J35:K35"/>
    <mergeCell ref="J59:K59"/>
    <mergeCell ref="J60:K60"/>
    <mergeCell ref="J61:K61"/>
    <mergeCell ref="J37:K37"/>
    <mergeCell ref="J42:K42"/>
    <mergeCell ref="J28:K28"/>
    <mergeCell ref="J24:K24"/>
    <mergeCell ref="J22:K22"/>
    <mergeCell ref="J23:K23"/>
    <mergeCell ref="J25:K25"/>
    <mergeCell ref="H7:O7"/>
    <mergeCell ref="J14:K14"/>
    <mergeCell ref="M8:O8"/>
    <mergeCell ref="M9:O9"/>
    <mergeCell ref="M10:O10"/>
    <mergeCell ref="J17:K17"/>
    <mergeCell ref="J21:K21"/>
    <mergeCell ref="J15:K15"/>
    <mergeCell ref="H15:I15"/>
    <mergeCell ref="N20:O20"/>
    <mergeCell ref="J27:K27"/>
    <mergeCell ref="G20:I20"/>
    <mergeCell ref="J11:K11"/>
    <mergeCell ref="J26:K26"/>
    <mergeCell ref="J8:K8"/>
    <mergeCell ref="J9:K9"/>
    <mergeCell ref="F8:G8"/>
    <mergeCell ref="H13:I13"/>
    <mergeCell ref="F11:G11"/>
    <mergeCell ref="D17:E17"/>
    <mergeCell ref="H17:I17"/>
    <mergeCell ref="E20:F20"/>
    <mergeCell ref="H18:I18"/>
    <mergeCell ref="J20:K20"/>
    <mergeCell ref="J18:K18"/>
    <mergeCell ref="H14:I14"/>
    <mergeCell ref="H16:I16"/>
    <mergeCell ref="D16:E16"/>
    <mergeCell ref="F16:G16"/>
    <mergeCell ref="F15:G15"/>
    <mergeCell ref="D18:E18"/>
    <mergeCell ref="F18:G18"/>
    <mergeCell ref="F14:G14"/>
    <mergeCell ref="D15:E15"/>
    <mergeCell ref="F17:G17"/>
    <mergeCell ref="D12:E12"/>
    <mergeCell ref="F12:G12"/>
    <mergeCell ref="H12:I12"/>
    <mergeCell ref="J12:K12"/>
    <mergeCell ref="J16:K16"/>
    <mergeCell ref="D14:E14"/>
    <mergeCell ref="D8:E8"/>
    <mergeCell ref="D9:E9"/>
    <mergeCell ref="D10:E10"/>
    <mergeCell ref="F9:G9"/>
    <mergeCell ref="F10:G10"/>
    <mergeCell ref="J13:K13"/>
    <mergeCell ref="D13:E13"/>
    <mergeCell ref="F13:G13"/>
    <mergeCell ref="J10:K10"/>
    <mergeCell ref="H11:I11"/>
    <mergeCell ref="J41:K41"/>
    <mergeCell ref="J43:K43"/>
    <mergeCell ref="J44:K44"/>
    <mergeCell ref="J46:K46"/>
    <mergeCell ref="J45:K45"/>
    <mergeCell ref="J51:K51"/>
    <mergeCell ref="J36:K36"/>
    <mergeCell ref="J38:K38"/>
    <mergeCell ref="J39:K39"/>
    <mergeCell ref="J40:K40"/>
    <mergeCell ref="J47:K47"/>
    <mergeCell ref="J49:K49"/>
  </mergeCells>
  <printOptions horizontalCentered="1"/>
  <pageMargins left="0.59055118110236227" right="0.59055118110236227" top="0.59055118110236227" bottom="0.59055118110236227" header="0.39370078740157483" footer="0.39370078740157483"/>
  <pageSetup paperSize="8" firstPageNumber="8" orientation="portrait" useFirstPageNumber="1" r:id="rId4"/>
  <headerFooter alignWithMargins="0">
    <oddFooter>&amp;L&amp;11LEL Schwäbisch Gmünd&amp;C&amp;11&amp;P+8&amp;R&amp;11 &amp;F</oddFooter>
  </headerFooter>
  <drawing r:id="rId5"/>
  <legacyDrawing r:id="rId6"/>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tabColor rgb="FF00B0F0"/>
    <pageSetUpPr fitToPage="1"/>
  </sheetPr>
  <dimension ref="A1:AQ127"/>
  <sheetViews>
    <sheetView zoomScaleNormal="100" workbookViewId="0"/>
  </sheetViews>
  <sheetFormatPr baseColWidth="10" defaultColWidth="10.5" defaultRowHeight="13.2"/>
  <cols>
    <col min="1" max="1" width="1.69921875" style="27" customWidth="1"/>
    <col min="2" max="2" width="0.8984375" style="28" hidden="1" customWidth="1"/>
    <col min="3" max="3" width="4.3984375" style="28" customWidth="1"/>
    <col min="4" max="4" width="5.19921875" style="28" customWidth="1"/>
    <col min="5" max="5" width="12.19921875" style="28" customWidth="1"/>
    <col min="6" max="6" width="4.69921875" style="28" customWidth="1"/>
    <col min="7" max="7" width="3.19921875" style="28" customWidth="1"/>
    <col min="8" max="8" width="9.09765625" style="35" customWidth="1"/>
    <col min="9" max="10" width="10.19921875" style="35" customWidth="1"/>
    <col min="11" max="11" width="8.19921875" style="35" customWidth="1"/>
    <col min="12" max="12" width="7.5" style="35" customWidth="1"/>
    <col min="13" max="13" width="8.3984375" style="28" customWidth="1"/>
    <col min="14" max="14" width="9.19921875" style="28" customWidth="1"/>
    <col min="15" max="16" width="9.19921875" style="2919" customWidth="1"/>
    <col min="17" max="17" width="9.19921875" style="2899" customWidth="1"/>
    <col min="18" max="18" width="8.8984375" style="28" customWidth="1"/>
    <col min="19" max="19" width="10.5" style="27" customWidth="1"/>
    <col min="20" max="20" width="11.59765625" style="27" customWidth="1"/>
    <col min="21" max="28" width="11.59765625" style="27" hidden="1" customWidth="1"/>
    <col min="29" max="29" width="11.59765625" style="27" customWidth="1"/>
    <col min="30" max="39" width="10.5" style="2925"/>
    <col min="40" max="16384" width="10.5" style="27"/>
  </cols>
  <sheetData>
    <row r="1" spans="1:43" ht="13.8">
      <c r="A1" s="42"/>
      <c r="P1" s="2927"/>
      <c r="Q1" s="2927"/>
    </row>
    <row r="2" spans="1:43" ht="21.45" customHeight="1">
      <c r="A2" s="252"/>
      <c r="B2" s="437" t="s">
        <v>451</v>
      </c>
      <c r="C2" s="219"/>
      <c r="D2" s="219"/>
      <c r="E2" s="219"/>
      <c r="F2" s="219"/>
      <c r="G2" s="219"/>
      <c r="H2" s="219"/>
      <c r="I2" s="100"/>
      <c r="J2" s="433"/>
      <c r="K2" s="100"/>
      <c r="L2" s="219"/>
      <c r="M2" s="2940"/>
      <c r="N2" s="2937" t="str">
        <f>'SDK1'!P2</f>
        <v>Marktfrüchte Konventionell</v>
      </c>
      <c r="O2" s="2937"/>
      <c r="P2" s="2935"/>
      <c r="Q2" s="2927"/>
    </row>
    <row r="3" spans="1:43" ht="21.45" customHeight="1">
      <c r="A3" s="252"/>
      <c r="B3" s="436"/>
      <c r="C3" s="434" t="s">
        <v>1602</v>
      </c>
      <c r="D3" s="219"/>
      <c r="E3" s="435"/>
      <c r="G3" s="255"/>
      <c r="H3" s="430"/>
      <c r="I3" s="100"/>
      <c r="J3" s="433"/>
      <c r="K3" s="100"/>
      <c r="L3" s="429"/>
      <c r="M3" s="2941"/>
      <c r="N3" s="2938"/>
      <c r="O3" s="3476"/>
      <c r="P3" s="2936"/>
      <c r="Q3" s="2927"/>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row>
    <row r="4" spans="1:43" ht="12.45" customHeight="1">
      <c r="A4" s="252"/>
      <c r="B4" s="431"/>
      <c r="C4" s="219"/>
      <c r="D4" s="255"/>
      <c r="E4" s="255"/>
      <c r="F4" s="255"/>
      <c r="G4" s="255"/>
      <c r="H4" s="430"/>
      <c r="I4" s="254"/>
      <c r="J4" s="430"/>
      <c r="K4" s="430"/>
      <c r="L4" s="429"/>
      <c r="M4" s="27"/>
      <c r="N4" s="2939"/>
      <c r="O4" s="3590"/>
      <c r="P4" s="3591"/>
      <c r="Q4" s="3591"/>
      <c r="R4" s="307"/>
      <c r="S4" s="3592"/>
      <c r="T4" s="3592"/>
      <c r="U4" s="3592"/>
      <c r="V4" s="3592"/>
      <c r="W4" s="3592"/>
      <c r="X4" s="3592"/>
      <c r="Y4" s="3592"/>
      <c r="Z4" s="3592"/>
      <c r="AA4" s="3592"/>
      <c r="AB4" s="3592"/>
      <c r="AC4" s="3592"/>
      <c r="AD4" s="3592"/>
      <c r="AE4" s="201"/>
      <c r="AF4" s="201"/>
      <c r="AG4" s="201"/>
      <c r="AH4" s="201"/>
      <c r="AI4" s="201"/>
      <c r="AJ4" s="201"/>
      <c r="AK4" s="201"/>
      <c r="AL4" s="201"/>
      <c r="AM4" s="201"/>
      <c r="AN4" s="201"/>
      <c r="AO4" s="201"/>
      <c r="AP4" s="201"/>
      <c r="AQ4" s="201"/>
    </row>
    <row r="5" spans="1:43" ht="18" customHeight="1">
      <c r="A5" s="252"/>
      <c r="B5" s="431"/>
      <c r="C5" s="35" t="s">
        <v>450</v>
      </c>
      <c r="D5" s="34"/>
      <c r="E5" s="34"/>
      <c r="F5" s="34"/>
      <c r="G5" s="34"/>
      <c r="H5" s="427" t="s">
        <v>449</v>
      </c>
      <c r="I5" s="2528" t="s">
        <v>448</v>
      </c>
      <c r="J5" s="2503"/>
      <c r="K5" s="426" t="s">
        <v>447</v>
      </c>
      <c r="L5" s="426" t="s">
        <v>446</v>
      </c>
      <c r="M5" s="426" t="s">
        <v>147</v>
      </c>
      <c r="N5" s="2980" t="s">
        <v>445</v>
      </c>
      <c r="O5" s="3593"/>
      <c r="P5" s="3591"/>
      <c r="Q5" s="3591"/>
      <c r="R5" s="307"/>
      <c r="S5" s="3592"/>
      <c r="T5" s="3592"/>
      <c r="U5" s="3592"/>
      <c r="V5" s="3592"/>
      <c r="W5" s="3592"/>
      <c r="X5" s="3592"/>
      <c r="Y5" s="3592"/>
      <c r="Z5" s="3592"/>
      <c r="AA5" s="3592"/>
      <c r="AB5" s="3592"/>
      <c r="AC5" s="3592"/>
      <c r="AD5" s="3592"/>
      <c r="AE5" s="201"/>
      <c r="AF5" s="201"/>
      <c r="AG5" s="201"/>
      <c r="AH5" s="201"/>
      <c r="AI5" s="201"/>
      <c r="AJ5" s="201"/>
      <c r="AK5" s="201"/>
      <c r="AL5" s="201"/>
      <c r="AM5" s="201"/>
      <c r="AN5" s="201"/>
      <c r="AO5" s="201"/>
      <c r="AP5" s="201"/>
      <c r="AQ5" s="201"/>
    </row>
    <row r="6" spans="1:43" ht="18" customHeight="1">
      <c r="A6" s="252"/>
      <c r="B6" s="431"/>
      <c r="C6" s="35" t="s">
        <v>444</v>
      </c>
      <c r="D6" s="34"/>
      <c r="E6" s="34"/>
      <c r="F6" s="428">
        <f>'SDK1'!O11</f>
        <v>0</v>
      </c>
      <c r="G6" s="34" t="s">
        <v>112</v>
      </c>
      <c r="H6" s="427" t="s">
        <v>443</v>
      </c>
      <c r="I6" s="426" t="s">
        <v>239</v>
      </c>
      <c r="J6" s="426" t="str">
        <f>IF('SDK1'!O8="mit MwSt.","mit MwSt.","")</f>
        <v/>
      </c>
      <c r="K6" s="426" t="s">
        <v>143</v>
      </c>
      <c r="L6" s="426"/>
      <c r="M6" s="426"/>
      <c r="N6" s="2934"/>
      <c r="O6" s="3590"/>
      <c r="P6" s="3591"/>
      <c r="Q6" s="3591"/>
      <c r="R6" s="307"/>
      <c r="S6" s="3594"/>
      <c r="T6" s="3592"/>
      <c r="U6" s="3592"/>
      <c r="V6" s="3592"/>
      <c r="W6" s="3592"/>
      <c r="X6" s="3592"/>
      <c r="Y6" s="3592"/>
      <c r="Z6" s="3592"/>
      <c r="AA6" s="3592"/>
      <c r="AB6" s="3592"/>
      <c r="AC6" s="3592"/>
      <c r="AD6" s="3592"/>
      <c r="AE6" s="201"/>
      <c r="AF6" s="201"/>
      <c r="AG6" s="201"/>
      <c r="AH6" s="201"/>
      <c r="AI6" s="201"/>
      <c r="AJ6" s="201"/>
      <c r="AK6" s="201"/>
      <c r="AL6" s="201"/>
      <c r="AM6" s="201"/>
      <c r="AN6" s="201"/>
      <c r="AO6" s="201"/>
      <c r="AP6" s="201"/>
      <c r="AQ6" s="201"/>
    </row>
    <row r="7" spans="1:43" ht="17.399999999999999">
      <c r="A7" s="252"/>
      <c r="B7" s="2530"/>
      <c r="C7" s="425"/>
      <c r="D7" s="285"/>
      <c r="E7" s="285"/>
      <c r="F7" s="424"/>
      <c r="G7" s="285"/>
      <c r="H7" s="423" t="s">
        <v>442</v>
      </c>
      <c r="I7" s="422" t="s">
        <v>441</v>
      </c>
      <c r="J7" s="422" t="s">
        <v>441</v>
      </c>
      <c r="K7" s="422" t="s">
        <v>112</v>
      </c>
      <c r="L7" s="422" t="s">
        <v>113</v>
      </c>
      <c r="M7" s="421" t="s">
        <v>163</v>
      </c>
      <c r="N7" s="2531" t="s">
        <v>163</v>
      </c>
      <c r="O7" s="3477"/>
      <c r="P7" s="3591"/>
      <c r="Q7" s="3591"/>
      <c r="R7" s="307"/>
      <c r="S7" s="3592"/>
      <c r="T7" s="3592"/>
      <c r="U7" s="3595" t="s">
        <v>414</v>
      </c>
      <c r="V7" s="3592"/>
      <c r="W7" s="3592"/>
      <c r="X7" s="3592"/>
      <c r="Y7" s="3592"/>
      <c r="Z7" s="3592"/>
      <c r="AA7" s="3592"/>
      <c r="AB7" s="3592"/>
      <c r="AC7" s="3592"/>
      <c r="AD7" s="3592"/>
      <c r="AE7" s="201"/>
      <c r="AF7" s="201"/>
      <c r="AG7" s="201"/>
      <c r="AH7" s="201"/>
      <c r="AI7" s="201"/>
      <c r="AJ7" s="201"/>
      <c r="AK7" s="201"/>
      <c r="AL7" s="201"/>
      <c r="AM7" s="201"/>
      <c r="AN7" s="201"/>
      <c r="AO7" s="201"/>
      <c r="AP7" s="201"/>
      <c r="AQ7" s="201"/>
    </row>
    <row r="8" spans="1:43" s="196" customFormat="1" ht="18" customHeight="1">
      <c r="A8" s="420"/>
      <c r="B8" s="40"/>
      <c r="C8" s="40" t="s">
        <v>440</v>
      </c>
      <c r="D8" s="40"/>
      <c r="E8" s="40"/>
      <c r="F8" s="40"/>
      <c r="G8" s="419"/>
      <c r="H8" s="418"/>
      <c r="I8" s="393"/>
      <c r="J8" s="393"/>
      <c r="K8" s="393"/>
      <c r="L8" s="393"/>
      <c r="M8" s="199"/>
      <c r="N8" s="2532">
        <f>ROUND(SUM(M11:M18),0)</f>
        <v>352</v>
      </c>
      <c r="O8" s="3596"/>
      <c r="P8" s="3597"/>
      <c r="Q8" s="3598"/>
      <c r="R8" s="3598"/>
      <c r="S8" s="3598"/>
      <c r="T8" s="3598"/>
      <c r="U8" s="3598"/>
      <c r="V8" s="3598"/>
      <c r="W8" s="3598"/>
      <c r="X8" s="3598"/>
      <c r="Y8" s="3598"/>
      <c r="Z8" s="3598"/>
      <c r="AA8" s="3598"/>
      <c r="AB8" s="3598"/>
      <c r="AC8" s="3598"/>
      <c r="AD8" s="3598"/>
    </row>
    <row r="9" spans="1:43" s="177" customFormat="1" ht="18" customHeight="1">
      <c r="B9" s="48"/>
      <c r="C9" s="2471"/>
      <c r="D9" s="2533" t="s">
        <v>422</v>
      </c>
      <c r="E9" s="2533"/>
      <c r="F9" s="3316">
        <f>'SDK1'!O60</f>
        <v>2</v>
      </c>
      <c r="G9" s="2533" t="s">
        <v>112</v>
      </c>
      <c r="H9" s="415"/>
      <c r="I9" s="414"/>
      <c r="J9" s="414"/>
      <c r="K9" s="414"/>
      <c r="L9" s="414"/>
      <c r="M9" s="414"/>
      <c r="N9" s="2979"/>
      <c r="O9" s="3599"/>
      <c r="P9" s="3591"/>
      <c r="Q9" s="3385"/>
      <c r="R9" s="3385"/>
      <c r="S9" s="3385"/>
      <c r="T9" s="3385"/>
      <c r="U9" s="3385"/>
      <c r="V9" s="3385"/>
      <c r="W9" s="3385"/>
      <c r="X9" s="3385"/>
      <c r="Y9" s="3385"/>
      <c r="Z9" s="3385"/>
      <c r="AA9" s="3385"/>
      <c r="AB9" s="3385"/>
      <c r="AC9" s="3385"/>
      <c r="AD9" s="3385"/>
    </row>
    <row r="10" spans="1:43" s="177" customFormat="1" ht="15.6" customHeight="1">
      <c r="B10" s="384"/>
      <c r="C10" s="399"/>
      <c r="D10" s="3567" t="s">
        <v>1062</v>
      </c>
      <c r="E10" s="399"/>
      <c r="F10" s="410">
        <v>2</v>
      </c>
      <c r="G10" s="381" t="s">
        <v>112</v>
      </c>
      <c r="H10" s="409"/>
      <c r="I10" s="408"/>
      <c r="J10" s="408"/>
      <c r="K10" s="408"/>
      <c r="L10" s="408"/>
      <c r="M10" s="407"/>
      <c r="N10" s="2534"/>
      <c r="O10" s="3599"/>
      <c r="P10" s="3600" t="s">
        <v>1603</v>
      </c>
      <c r="Q10" s="3601"/>
      <c r="R10" s="3602"/>
      <c r="S10" s="3601"/>
      <c r="T10" s="2784"/>
      <c r="U10" s="3603"/>
      <c r="V10" s="3603"/>
      <c r="W10" s="3603"/>
      <c r="X10" s="3603"/>
      <c r="Y10" s="3603"/>
      <c r="Z10" s="3601"/>
      <c r="AA10" s="3601"/>
      <c r="AB10" s="3601"/>
      <c r="AC10" s="3601"/>
      <c r="AD10" s="3603"/>
    </row>
    <row r="11" spans="1:43" s="36" customFormat="1" ht="18" customHeight="1">
      <c r="B11" s="39"/>
      <c r="C11" s="375" t="s">
        <v>365</v>
      </c>
      <c r="D11" s="377"/>
      <c r="E11" s="34"/>
      <c r="F11" s="34"/>
      <c r="G11" s="34"/>
      <c r="H11" s="374">
        <v>25</v>
      </c>
      <c r="I11" s="373">
        <v>477000</v>
      </c>
      <c r="J11" s="372">
        <f>I11*((100+$F$6)/100)</f>
        <v>477000</v>
      </c>
      <c r="K11" s="371">
        <f>IF(H11=0,0,100/H11+$F$9/2+F10)</f>
        <v>7</v>
      </c>
      <c r="L11" s="370">
        <v>150</v>
      </c>
      <c r="M11" s="369">
        <f>IF(L11=0,0,J11*K11/100/L11)</f>
        <v>222.6</v>
      </c>
      <c r="N11" s="2535"/>
      <c r="O11" s="3590"/>
      <c r="P11" s="3600" t="s">
        <v>1740</v>
      </c>
      <c r="Q11" s="3604"/>
      <c r="R11" s="3604"/>
      <c r="S11" s="3604"/>
      <c r="T11" s="3604"/>
      <c r="U11" s="3604"/>
      <c r="V11" s="3604"/>
      <c r="W11" s="3604"/>
      <c r="X11" s="3604"/>
      <c r="Y11" s="3604"/>
      <c r="Z11" s="3604"/>
      <c r="AA11" s="3604"/>
      <c r="AB11" s="3604"/>
      <c r="AC11" s="3604"/>
      <c r="AD11" s="2784"/>
    </row>
    <row r="12" spans="1:43" s="36" customFormat="1" ht="18" customHeight="1">
      <c r="B12" s="39"/>
      <c r="C12" s="375" t="s">
        <v>436</v>
      </c>
      <c r="D12" s="377"/>
      <c r="E12" s="34"/>
      <c r="F12" s="34"/>
      <c r="G12" s="34"/>
      <c r="H12" s="374">
        <v>20</v>
      </c>
      <c r="I12" s="373">
        <v>126000</v>
      </c>
      <c r="J12" s="372">
        <f t="shared" ref="J12:J18" si="0">I12*((100+$F$6)/100)</f>
        <v>126000</v>
      </c>
      <c r="K12" s="371">
        <f>IF(H12=0,0,100/H12+$F$9/2)</f>
        <v>6</v>
      </c>
      <c r="L12" s="370">
        <v>150</v>
      </c>
      <c r="M12" s="369">
        <f t="shared" ref="M12:M18" si="1">IF(L12=0,0,J12*K12/100/L12)</f>
        <v>50.4</v>
      </c>
      <c r="N12" s="2535"/>
      <c r="O12" s="3590"/>
      <c r="P12" s="3600" t="s">
        <v>1746</v>
      </c>
      <c r="Q12" s="3605"/>
      <c r="R12" s="3605"/>
      <c r="S12" s="3605"/>
      <c r="T12" s="3605"/>
      <c r="U12" s="3605"/>
      <c r="V12" s="3605"/>
      <c r="W12" s="3605"/>
      <c r="X12" s="3605"/>
      <c r="Y12" s="3605"/>
      <c r="Z12" s="3605"/>
      <c r="AA12" s="3605"/>
      <c r="AB12" s="3605"/>
      <c r="AC12" s="3605"/>
      <c r="AD12" s="2784"/>
    </row>
    <row r="13" spans="1:43" s="36" customFormat="1" ht="25.95" customHeight="1">
      <c r="B13" s="39"/>
      <c r="C13" s="2928" t="s">
        <v>435</v>
      </c>
      <c r="D13" s="377"/>
      <c r="E13" s="34"/>
      <c r="F13" s="34"/>
      <c r="G13" s="34"/>
      <c r="H13" s="374">
        <v>15</v>
      </c>
      <c r="I13" s="373">
        <v>117250</v>
      </c>
      <c r="J13" s="372">
        <f t="shared" si="0"/>
        <v>117250</v>
      </c>
      <c r="K13" s="371">
        <f>IF(H13=0,0,100/H13+$F$9/2)</f>
        <v>7.666666666666667</v>
      </c>
      <c r="L13" s="370">
        <v>150</v>
      </c>
      <c r="M13" s="369">
        <f t="shared" si="1"/>
        <v>59.927777777777784</v>
      </c>
      <c r="N13" s="2535"/>
      <c r="O13" s="3590"/>
      <c r="P13" s="3600" t="s">
        <v>1745</v>
      </c>
      <c r="Q13" s="2784"/>
      <c r="R13" s="2784"/>
      <c r="S13" s="2784"/>
      <c r="T13" s="2784"/>
      <c r="U13" s="2784"/>
      <c r="V13" s="2784"/>
      <c r="W13" s="2784"/>
      <c r="X13" s="2784"/>
      <c r="Y13" s="2784"/>
      <c r="Z13" s="2784"/>
      <c r="AA13" s="2784"/>
      <c r="AB13" s="2784"/>
      <c r="AC13" s="2784"/>
      <c r="AD13" s="2784"/>
    </row>
    <row r="14" spans="1:43" s="36" customFormat="1" ht="18" customHeight="1">
      <c r="B14" s="39"/>
      <c r="C14" s="375" t="s">
        <v>433</v>
      </c>
      <c r="D14" s="377"/>
      <c r="E14" s="34"/>
      <c r="F14" s="34"/>
      <c r="G14" s="34"/>
      <c r="H14" s="374">
        <v>20</v>
      </c>
      <c r="I14" s="373">
        <v>47000</v>
      </c>
      <c r="J14" s="372">
        <f t="shared" si="0"/>
        <v>47000</v>
      </c>
      <c r="K14" s="371">
        <f>IF(H14=0,0,100/H14+$F$9/2)</f>
        <v>6</v>
      </c>
      <c r="L14" s="370">
        <v>150</v>
      </c>
      <c r="M14" s="369">
        <f t="shared" si="1"/>
        <v>18.8</v>
      </c>
      <c r="N14" s="2535"/>
      <c r="O14" s="3590"/>
      <c r="P14" s="3605" t="s">
        <v>1606</v>
      </c>
      <c r="Q14" s="3605"/>
      <c r="R14" s="3605"/>
      <c r="S14" s="3605"/>
      <c r="T14" s="3605"/>
      <c r="U14" s="3605"/>
      <c r="V14" s="3605"/>
      <c r="W14" s="3605"/>
      <c r="X14" s="3605"/>
      <c r="Y14" s="3605"/>
      <c r="Z14" s="3605"/>
      <c r="AA14" s="3605"/>
      <c r="AB14" s="3605"/>
      <c r="AC14" s="3605"/>
      <c r="AD14" s="2784"/>
    </row>
    <row r="15" spans="1:43" s="36" customFormat="1" ht="18" customHeight="1">
      <c r="B15" s="39"/>
      <c r="C15" s="375" t="s">
        <v>431</v>
      </c>
      <c r="D15" s="377"/>
      <c r="E15" s="34"/>
      <c r="F15" s="34"/>
      <c r="G15" s="34"/>
      <c r="H15" s="374">
        <v>15</v>
      </c>
      <c r="I15" s="373"/>
      <c r="J15" s="372">
        <f t="shared" si="0"/>
        <v>0</v>
      </c>
      <c r="K15" s="371">
        <f>IF(H15=0,0,100/H15+$F$9/2)</f>
        <v>7.666666666666667</v>
      </c>
      <c r="L15" s="370">
        <v>150</v>
      </c>
      <c r="M15" s="369">
        <f t="shared" si="1"/>
        <v>0</v>
      </c>
      <c r="N15" s="2535"/>
      <c r="O15" s="3590"/>
      <c r="P15" s="3590"/>
      <c r="Q15" s="3606"/>
      <c r="R15" s="2784"/>
      <c r="S15" s="171"/>
      <c r="T15" s="171"/>
      <c r="U15" s="3607" t="s">
        <v>1578</v>
      </c>
      <c r="V15" s="171"/>
      <c r="W15" s="171"/>
      <c r="X15" s="171"/>
      <c r="Y15" s="171"/>
      <c r="Z15" s="171"/>
      <c r="AA15" s="171"/>
      <c r="AB15" s="171"/>
      <c r="AC15" s="171"/>
      <c r="AD15" s="171"/>
    </row>
    <row r="16" spans="1:43" s="36" customFormat="1" ht="18" customHeight="1">
      <c r="B16" s="39"/>
      <c r="C16" s="375"/>
      <c r="D16" s="377"/>
      <c r="E16" s="34"/>
      <c r="F16" s="34"/>
      <c r="G16" s="34"/>
      <c r="H16" s="374"/>
      <c r="I16" s="373"/>
      <c r="J16" s="372">
        <f t="shared" si="0"/>
        <v>0</v>
      </c>
      <c r="K16" s="371">
        <f>IF(H16=0,0,100/H16+$F$9/2)</f>
        <v>0</v>
      </c>
      <c r="L16" s="370"/>
      <c r="M16" s="369">
        <f t="shared" si="1"/>
        <v>0</v>
      </c>
      <c r="N16" s="2535"/>
      <c r="O16" s="3590"/>
      <c r="P16" s="171"/>
      <c r="Q16" s="3606"/>
      <c r="R16" s="171"/>
      <c r="S16" s="171"/>
      <c r="T16" s="171"/>
      <c r="U16" s="171"/>
      <c r="V16" s="171"/>
      <c r="W16" s="171"/>
      <c r="X16" s="171"/>
      <c r="Y16" s="171"/>
      <c r="Z16" s="171"/>
      <c r="AA16" s="171"/>
      <c r="AB16" s="171"/>
      <c r="AC16" s="171"/>
      <c r="AD16" s="171"/>
    </row>
    <row r="17" spans="2:30" s="36" customFormat="1" ht="4.5" hidden="1" customHeight="1">
      <c r="B17" s="39"/>
      <c r="C17" s="375"/>
      <c r="D17" s="34"/>
      <c r="E17" s="34"/>
      <c r="F17" s="34"/>
      <c r="G17" s="34"/>
      <c r="H17" s="374"/>
      <c r="I17" s="373"/>
      <c r="J17" s="372">
        <f t="shared" si="0"/>
        <v>0</v>
      </c>
      <c r="K17" s="371">
        <f>IF(H17=0,0,100/H17+$F$9/2+F10)</f>
        <v>0</v>
      </c>
      <c r="L17" s="370"/>
      <c r="M17" s="369">
        <f t="shared" si="1"/>
        <v>0</v>
      </c>
      <c r="N17" s="2535"/>
      <c r="O17" s="3590"/>
      <c r="P17" s="171"/>
      <c r="Q17" s="3606"/>
      <c r="R17" s="171"/>
      <c r="S17" s="171"/>
      <c r="T17" s="171"/>
      <c r="U17" s="171"/>
      <c r="V17" s="171"/>
      <c r="W17" s="171"/>
      <c r="X17" s="171"/>
      <c r="Y17" s="171"/>
      <c r="Z17" s="171"/>
      <c r="AA17" s="171"/>
      <c r="AB17" s="171"/>
      <c r="AC17" s="171"/>
      <c r="AD17" s="171"/>
    </row>
    <row r="18" spans="2:30" s="36" customFormat="1" ht="7.5" hidden="1" customHeight="1">
      <c r="B18" s="223"/>
      <c r="C18" s="368"/>
      <c r="D18" s="285"/>
      <c r="E18" s="285"/>
      <c r="F18" s="285"/>
      <c r="G18" s="285"/>
      <c r="H18" s="367"/>
      <c r="I18" s="366"/>
      <c r="J18" s="365">
        <f t="shared" si="0"/>
        <v>0</v>
      </c>
      <c r="K18" s="364">
        <f>IF(H18=0,0,100/H18+$F$9/2+F10)</f>
        <v>0</v>
      </c>
      <c r="L18" s="363"/>
      <c r="M18" s="362">
        <f t="shared" si="1"/>
        <v>0</v>
      </c>
      <c r="N18" s="2536"/>
      <c r="O18" s="3590"/>
      <c r="P18" s="171"/>
      <c r="Q18" s="3606"/>
      <c r="R18" s="171"/>
      <c r="S18" s="171"/>
      <c r="T18" s="171"/>
      <c r="U18" s="171"/>
      <c r="V18" s="171"/>
      <c r="W18" s="171"/>
      <c r="X18" s="171"/>
      <c r="Y18" s="171"/>
      <c r="Z18" s="171"/>
      <c r="AA18" s="171"/>
      <c r="AB18" s="171"/>
      <c r="AC18" s="171"/>
      <c r="AD18" s="171"/>
    </row>
    <row r="19" spans="2:30" s="36" customFormat="1" ht="18" hidden="1" customHeight="1">
      <c r="B19" s="39"/>
      <c r="C19" s="40" t="s">
        <v>429</v>
      </c>
      <c r="D19" s="40"/>
      <c r="E19" s="40"/>
      <c r="F19" s="40"/>
      <c r="G19" s="40"/>
      <c r="H19" s="393"/>
      <c r="I19" s="109"/>
      <c r="J19" s="393"/>
      <c r="K19" s="393"/>
      <c r="L19" s="393"/>
      <c r="M19" s="392"/>
      <c r="N19" s="2532">
        <f>ROUND(SUM(M22:M25),0)</f>
        <v>588</v>
      </c>
      <c r="O19" s="3596"/>
      <c r="P19" s="171"/>
      <c r="Q19" s="3606"/>
      <c r="R19" s="171"/>
      <c r="S19" s="171"/>
      <c r="T19" s="171"/>
      <c r="U19" s="171"/>
      <c r="V19" s="171"/>
      <c r="W19" s="171"/>
      <c r="X19" s="171"/>
      <c r="Y19" s="171"/>
      <c r="Z19" s="171"/>
      <c r="AA19" s="171"/>
      <c r="AB19" s="171"/>
      <c r="AC19" s="171"/>
      <c r="AD19" s="171"/>
    </row>
    <row r="20" spans="2:30" s="36" customFormat="1" ht="18" hidden="1" customHeight="1">
      <c r="B20" s="39"/>
      <c r="C20" s="2471"/>
      <c r="D20" s="35" t="s">
        <v>422</v>
      </c>
      <c r="E20" s="34"/>
      <c r="F20" s="404">
        <f>'SDK1'!O61</f>
        <v>3</v>
      </c>
      <c r="G20" s="34" t="s">
        <v>112</v>
      </c>
      <c r="H20" s="2513"/>
      <c r="I20" s="402"/>
      <c r="J20" s="401"/>
      <c r="K20" s="344"/>
      <c r="L20" s="344"/>
      <c r="M20" s="344"/>
      <c r="N20" s="2535"/>
      <c r="O20" s="3590"/>
      <c r="P20" s="171"/>
      <c r="Q20" s="171"/>
      <c r="R20" s="171"/>
      <c r="S20" s="171"/>
      <c r="T20" s="171"/>
      <c r="U20" s="171"/>
      <c r="V20" s="171"/>
      <c r="W20" s="171"/>
      <c r="X20" s="171"/>
      <c r="Y20" s="171"/>
      <c r="Z20" s="171"/>
      <c r="AA20" s="171"/>
      <c r="AB20" s="171"/>
      <c r="AC20" s="171"/>
      <c r="AD20" s="171"/>
    </row>
    <row r="21" spans="2:30" s="36" customFormat="1" ht="18" hidden="1" customHeight="1">
      <c r="B21" s="2537"/>
      <c r="C21" s="399"/>
      <c r="D21" s="383" t="s">
        <v>421</v>
      </c>
      <c r="E21" s="381"/>
      <c r="F21" s="382">
        <v>1</v>
      </c>
      <c r="G21" s="381" t="s">
        <v>112</v>
      </c>
      <c r="H21" s="398"/>
      <c r="I21" s="397"/>
      <c r="J21" s="397"/>
      <c r="K21" s="397"/>
      <c r="L21" s="397"/>
      <c r="M21" s="396"/>
      <c r="N21" s="2535"/>
      <c r="O21" s="3590"/>
      <c r="P21" s="171"/>
      <c r="Q21" s="171"/>
      <c r="R21" s="171"/>
      <c r="S21" s="171"/>
      <c r="T21" s="171"/>
      <c r="U21" s="171"/>
      <c r="V21" s="171"/>
      <c r="W21" s="171"/>
      <c r="X21" s="171"/>
      <c r="Y21" s="171"/>
      <c r="Z21" s="171"/>
      <c r="AA21" s="171"/>
      <c r="AB21" s="171"/>
      <c r="AC21" s="171"/>
      <c r="AD21" s="171"/>
    </row>
    <row r="22" spans="2:30" s="36" customFormat="1" ht="18" hidden="1" customHeight="1">
      <c r="B22" s="39"/>
      <c r="C22" s="375" t="s">
        <v>420</v>
      </c>
      <c r="D22" s="377"/>
      <c r="E22" s="34"/>
      <c r="F22" s="34"/>
      <c r="G22" s="34"/>
      <c r="H22" s="374">
        <v>30</v>
      </c>
      <c r="I22" s="373">
        <v>57000</v>
      </c>
      <c r="J22" s="372">
        <f>I22*((100+$F$6)/100)</f>
        <v>57000</v>
      </c>
      <c r="K22" s="371">
        <f>IF(H22=0,0,100/H22+$F$20/2+$F$21)</f>
        <v>5.8333333333333339</v>
      </c>
      <c r="L22" s="370">
        <v>150</v>
      </c>
      <c r="M22" s="369">
        <f>IF(L22=0,0,J22*K22/100/L22)</f>
        <v>22.166666666666671</v>
      </c>
      <c r="N22" s="2535"/>
      <c r="O22" s="3590"/>
      <c r="P22" s="171"/>
      <c r="Q22" s="171"/>
      <c r="R22" s="171"/>
      <c r="S22" s="171"/>
      <c r="T22" s="171"/>
      <c r="U22" s="171"/>
      <c r="V22" s="171"/>
      <c r="W22" s="171"/>
      <c r="X22" s="171"/>
      <c r="Y22" s="171"/>
      <c r="Z22" s="171"/>
      <c r="AA22" s="171"/>
      <c r="AB22" s="171"/>
      <c r="AC22" s="171"/>
      <c r="AD22" s="171"/>
    </row>
    <row r="23" spans="2:30" s="36" customFormat="1" ht="18" hidden="1" customHeight="1">
      <c r="B23" s="39"/>
      <c r="C23" s="375" t="s">
        <v>428</v>
      </c>
      <c r="D23" s="34"/>
      <c r="E23" s="34"/>
      <c r="F23" s="34"/>
      <c r="G23" s="34"/>
      <c r="H23" s="374">
        <v>12</v>
      </c>
      <c r="I23" s="373">
        <v>17300</v>
      </c>
      <c r="J23" s="372">
        <f>I23*((100+$F$6)/100)</f>
        <v>17300</v>
      </c>
      <c r="K23" s="371">
        <f>IF(H23=0,0,100/H23+$F$20/2+$F$21)</f>
        <v>10.833333333333334</v>
      </c>
      <c r="L23" s="370">
        <v>10</v>
      </c>
      <c r="M23" s="369">
        <f>IF(L23=0,0,J23*K23/100/L23)</f>
        <v>187.41666666666669</v>
      </c>
      <c r="N23" s="2535"/>
      <c r="O23" s="3590"/>
      <c r="P23" s="171"/>
      <c r="Q23" s="171"/>
      <c r="R23" s="171"/>
      <c r="S23" s="171"/>
      <c r="T23" s="171"/>
      <c r="U23" s="171"/>
      <c r="V23" s="171"/>
      <c r="W23" s="171"/>
      <c r="X23" s="171"/>
      <c r="Y23" s="171"/>
      <c r="Z23" s="171"/>
      <c r="AA23" s="171"/>
      <c r="AB23" s="171"/>
      <c r="AC23" s="171"/>
      <c r="AD23" s="171"/>
    </row>
    <row r="24" spans="2:30" s="36" customFormat="1" ht="18" hidden="1" customHeight="1">
      <c r="B24" s="39"/>
      <c r="C24" s="375" t="s">
        <v>427</v>
      </c>
      <c r="D24" s="34"/>
      <c r="E24" s="34"/>
      <c r="F24" s="34"/>
      <c r="G24" s="34"/>
      <c r="H24" s="374">
        <v>20</v>
      </c>
      <c r="I24" s="373">
        <v>75630</v>
      </c>
      <c r="J24" s="372">
        <f>I24*((100+$F$6)/100)</f>
        <v>75630</v>
      </c>
      <c r="K24" s="371">
        <f>IF(H24=0,0,100/H24+$F$20/2+$F$21)</f>
        <v>7.5</v>
      </c>
      <c r="L24" s="370">
        <v>15</v>
      </c>
      <c r="M24" s="369">
        <f>IF(L24=0,0,J24*K24/100/L24)</f>
        <v>378.15</v>
      </c>
      <c r="N24" s="2535"/>
      <c r="O24" s="3590"/>
      <c r="P24" s="171"/>
      <c r="Q24" s="171"/>
      <c r="R24" s="171"/>
      <c r="S24" s="171"/>
      <c r="T24" s="171"/>
      <c r="U24" s="171"/>
      <c r="V24" s="171"/>
      <c r="W24" s="171"/>
      <c r="X24" s="171"/>
      <c r="Y24" s="171"/>
      <c r="Z24" s="171"/>
      <c r="AA24" s="171"/>
      <c r="AB24" s="171"/>
      <c r="AC24" s="171"/>
      <c r="AD24" s="171"/>
    </row>
    <row r="25" spans="2:30" s="36" customFormat="1" ht="18" hidden="1" customHeight="1">
      <c r="B25" s="223"/>
      <c r="C25" s="368"/>
      <c r="D25" s="285"/>
      <c r="E25" s="285"/>
      <c r="F25" s="285"/>
      <c r="G25" s="285"/>
      <c r="H25" s="367"/>
      <c r="I25" s="366"/>
      <c r="J25" s="365">
        <f>I25*((100+$F$6)/100)</f>
        <v>0</v>
      </c>
      <c r="K25" s="364">
        <f>IF(H25=0,0,100/H25+$F$20/2+$F$21)</f>
        <v>0</v>
      </c>
      <c r="L25" s="363"/>
      <c r="M25" s="362">
        <f>IF(L25=0,0,J25*K25/100/L25)</f>
        <v>0</v>
      </c>
      <c r="N25" s="2536"/>
      <c r="O25" s="3590"/>
      <c r="P25" s="171"/>
      <c r="Q25" s="171"/>
      <c r="R25" s="171"/>
      <c r="S25" s="171"/>
      <c r="T25" s="171"/>
      <c r="U25" s="171"/>
      <c r="V25" s="171"/>
      <c r="W25" s="171"/>
      <c r="X25" s="171"/>
      <c r="Y25" s="171"/>
      <c r="Z25" s="171"/>
      <c r="AA25" s="171"/>
      <c r="AB25" s="171"/>
      <c r="AC25" s="171"/>
      <c r="AD25" s="171"/>
    </row>
    <row r="26" spans="2:30" s="36" customFormat="1" ht="18" hidden="1" customHeight="1">
      <c r="B26" s="39"/>
      <c r="C26" s="40" t="s">
        <v>426</v>
      </c>
      <c r="D26" s="40"/>
      <c r="E26" s="40"/>
      <c r="F26" s="40"/>
      <c r="G26" s="40"/>
      <c r="H26" s="393"/>
      <c r="I26" s="109"/>
      <c r="J26" s="393"/>
      <c r="K26" s="393"/>
      <c r="L26" s="393"/>
      <c r="M26" s="392"/>
      <c r="N26" s="2532">
        <f>ROUND(SUM(M29:M32),0)</f>
        <v>144</v>
      </c>
      <c r="O26" s="3596"/>
      <c r="P26" s="171"/>
      <c r="Q26" s="171"/>
      <c r="R26" s="171"/>
      <c r="S26" s="171"/>
      <c r="T26" s="171"/>
      <c r="U26" s="171"/>
      <c r="V26" s="171"/>
      <c r="W26" s="171"/>
      <c r="X26" s="171"/>
      <c r="Y26" s="171"/>
      <c r="Z26" s="171"/>
      <c r="AA26" s="171"/>
      <c r="AB26" s="171"/>
      <c r="AC26" s="171"/>
      <c r="AD26" s="171"/>
    </row>
    <row r="27" spans="2:30" s="36" customFormat="1" ht="18" hidden="1" customHeight="1">
      <c r="B27" s="34"/>
      <c r="C27" s="2471"/>
      <c r="D27" s="35" t="s">
        <v>422</v>
      </c>
      <c r="E27" s="34"/>
      <c r="F27" s="404">
        <f>'SDK1'!O61</f>
        <v>3</v>
      </c>
      <c r="G27" s="34" t="s">
        <v>112</v>
      </c>
      <c r="H27" s="2513"/>
      <c r="I27" s="402"/>
      <c r="J27" s="401"/>
      <c r="K27" s="344"/>
      <c r="L27" s="344"/>
      <c r="M27" s="344"/>
      <c r="N27" s="2535"/>
      <c r="O27" s="3590"/>
      <c r="P27" s="171"/>
      <c r="Q27" s="171"/>
      <c r="R27" s="171"/>
      <c r="S27" s="171"/>
      <c r="T27" s="171"/>
      <c r="U27" s="171"/>
      <c r="V27" s="171"/>
      <c r="W27" s="171"/>
      <c r="X27" s="171"/>
      <c r="Y27" s="171"/>
      <c r="Z27" s="171"/>
      <c r="AA27" s="171"/>
      <c r="AB27" s="171"/>
      <c r="AC27" s="171"/>
      <c r="AD27" s="171"/>
    </row>
    <row r="28" spans="2:30" s="36" customFormat="1" ht="18" hidden="1" customHeight="1">
      <c r="B28" s="381"/>
      <c r="C28" s="399"/>
      <c r="D28" s="383" t="s">
        <v>421</v>
      </c>
      <c r="E28" s="381"/>
      <c r="F28" s="382">
        <v>1</v>
      </c>
      <c r="G28" s="381" t="s">
        <v>112</v>
      </c>
      <c r="H28" s="398"/>
      <c r="I28" s="397"/>
      <c r="J28" s="397"/>
      <c r="K28" s="397"/>
      <c r="L28" s="397"/>
      <c r="M28" s="396"/>
      <c r="N28" s="2535"/>
      <c r="O28" s="3590"/>
      <c r="P28" s="171"/>
      <c r="Q28" s="171"/>
      <c r="R28" s="171"/>
      <c r="S28" s="171"/>
      <c r="T28" s="171"/>
      <c r="U28" s="171"/>
      <c r="V28" s="171"/>
      <c r="W28" s="171"/>
      <c r="X28" s="171"/>
      <c r="Y28" s="171"/>
      <c r="Z28" s="171"/>
      <c r="AA28" s="171"/>
      <c r="AB28" s="171"/>
      <c r="AC28" s="171"/>
      <c r="AD28" s="171"/>
    </row>
    <row r="29" spans="2:30" s="36" customFormat="1" ht="18" hidden="1" customHeight="1">
      <c r="B29" s="34"/>
      <c r="C29" s="375" t="s">
        <v>420</v>
      </c>
      <c r="D29" s="377"/>
      <c r="E29" s="34"/>
      <c r="F29" s="34"/>
      <c r="G29" s="34"/>
      <c r="H29" s="374">
        <v>30</v>
      </c>
      <c r="I29" s="373">
        <v>57000</v>
      </c>
      <c r="J29" s="372">
        <f>I29*((100+$F$6)/100)</f>
        <v>57000</v>
      </c>
      <c r="K29" s="371">
        <f>IF(H29=0,0,100/H29+$F$27/2+$F$28)</f>
        <v>5.8333333333333339</v>
      </c>
      <c r="L29" s="370">
        <v>100</v>
      </c>
      <c r="M29" s="369">
        <f>IF(L29=0,0,J29*K29/100/L29)</f>
        <v>33.250000000000007</v>
      </c>
      <c r="N29" s="2535"/>
      <c r="O29" s="3590"/>
      <c r="P29" s="171"/>
      <c r="Q29" s="171"/>
      <c r="R29" s="171"/>
      <c r="S29" s="171"/>
      <c r="T29" s="171"/>
      <c r="U29" s="171"/>
      <c r="V29" s="171"/>
      <c r="W29" s="171"/>
      <c r="X29" s="171"/>
      <c r="Y29" s="171"/>
      <c r="Z29" s="171"/>
      <c r="AA29" s="171"/>
      <c r="AB29" s="171"/>
      <c r="AC29" s="171"/>
      <c r="AD29" s="171"/>
    </row>
    <row r="30" spans="2:30" s="36" customFormat="1" ht="18" hidden="1" customHeight="1">
      <c r="B30" s="34"/>
      <c r="C30" s="375" t="s">
        <v>425</v>
      </c>
      <c r="D30" s="34"/>
      <c r="E30" s="34"/>
      <c r="F30" s="34"/>
      <c r="G30" s="34"/>
      <c r="H30" s="374">
        <v>30</v>
      </c>
      <c r="I30" s="373">
        <v>9450</v>
      </c>
      <c r="J30" s="372">
        <f>I30*((100+$F$6)/100)</f>
        <v>9450</v>
      </c>
      <c r="K30" s="371">
        <f>IF(H30=0,0,100/H30+$F$27/2+$F$28)</f>
        <v>5.8333333333333339</v>
      </c>
      <c r="L30" s="370">
        <v>5</v>
      </c>
      <c r="M30" s="369">
        <f>IF(L30=0,0,J30*K30/100/L30)</f>
        <v>110.25000000000003</v>
      </c>
      <c r="N30" s="2535"/>
      <c r="O30" s="3590"/>
      <c r="P30" s="171"/>
      <c r="Q30" s="3606"/>
      <c r="R30" s="171"/>
      <c r="S30" s="171"/>
      <c r="T30" s="171"/>
      <c r="U30" s="171"/>
      <c r="V30" s="171"/>
      <c r="W30" s="171"/>
      <c r="X30" s="171"/>
      <c r="Y30" s="171"/>
      <c r="Z30" s="171"/>
      <c r="AA30" s="171"/>
      <c r="AB30" s="171"/>
      <c r="AC30" s="171"/>
      <c r="AD30" s="171"/>
    </row>
    <row r="31" spans="2:30" s="36" customFormat="1" ht="18" hidden="1" customHeight="1">
      <c r="B31" s="34"/>
      <c r="C31" s="375" t="s">
        <v>424</v>
      </c>
      <c r="D31" s="34"/>
      <c r="E31" s="34"/>
      <c r="F31" s="34"/>
      <c r="G31" s="34"/>
      <c r="H31" s="374"/>
      <c r="I31" s="373"/>
      <c r="J31" s="372">
        <f>I31*((100+$F$6)/100)</f>
        <v>0</v>
      </c>
      <c r="K31" s="371">
        <f>IF(H31=0,0,100/H31+$F$27/2+$F$28)</f>
        <v>0</v>
      </c>
      <c r="L31" s="370"/>
      <c r="M31" s="369">
        <f>IF(L31=0,0,J31*K31/100/L31)</f>
        <v>0</v>
      </c>
      <c r="N31" s="2535"/>
      <c r="O31" s="3590"/>
      <c r="P31" s="171"/>
      <c r="Q31" s="3606"/>
      <c r="R31" s="171"/>
      <c r="S31" s="171"/>
      <c r="T31" s="171"/>
      <c r="U31" s="171"/>
      <c r="V31" s="171"/>
      <c r="W31" s="171"/>
      <c r="X31" s="171"/>
      <c r="Y31" s="171"/>
      <c r="Z31" s="171"/>
      <c r="AA31" s="171"/>
      <c r="AB31" s="171"/>
      <c r="AC31" s="171"/>
      <c r="AD31" s="171"/>
    </row>
    <row r="32" spans="2:30" s="36" customFormat="1" ht="18" hidden="1" customHeight="1">
      <c r="B32" s="285"/>
      <c r="C32" s="375"/>
      <c r="D32" s="34"/>
      <c r="E32" s="34"/>
      <c r="F32" s="34"/>
      <c r="G32" s="34"/>
      <c r="H32" s="374"/>
      <c r="I32" s="373"/>
      <c r="J32" s="372">
        <f>I32*((100+$F$6)/100)</f>
        <v>0</v>
      </c>
      <c r="K32" s="371">
        <f>IF(H32=0,0,100/H32+$F$27/2+$F$28)</f>
        <v>0</v>
      </c>
      <c r="L32" s="370"/>
      <c r="M32" s="369">
        <f>IF(L32=0,0,J32*K32/100/L32)</f>
        <v>0</v>
      </c>
      <c r="N32" s="2535"/>
      <c r="O32" s="3590"/>
      <c r="P32" s="171"/>
      <c r="Q32" s="3606"/>
      <c r="R32" s="171"/>
      <c r="S32" s="171"/>
      <c r="T32" s="171"/>
      <c r="U32" s="171"/>
      <c r="V32" s="171"/>
      <c r="W32" s="171"/>
      <c r="X32" s="171"/>
      <c r="Y32" s="171"/>
      <c r="Z32" s="171"/>
      <c r="AA32" s="171"/>
      <c r="AB32" s="171"/>
      <c r="AC32" s="171"/>
      <c r="AD32" s="171"/>
    </row>
    <row r="33" spans="1:30" s="36" customFormat="1" ht="18" customHeight="1">
      <c r="B33" s="39"/>
      <c r="C33" s="2430" t="s">
        <v>423</v>
      </c>
      <c r="D33" s="2430"/>
      <c r="E33" s="2430"/>
      <c r="F33" s="2430"/>
      <c r="G33" s="2430"/>
      <c r="H33" s="394"/>
      <c r="I33" s="2550"/>
      <c r="J33" s="2547"/>
      <c r="K33" s="2547"/>
      <c r="L33" s="2547"/>
      <c r="M33" s="2551"/>
      <c r="N33" s="2549">
        <f>ROUND(SUM(M36:M38),0)</f>
        <v>31</v>
      </c>
      <c r="O33" s="3596"/>
      <c r="P33" s="3608"/>
      <c r="Q33" s="3606"/>
      <c r="R33" s="171"/>
      <c r="S33" s="171"/>
      <c r="T33" s="171"/>
      <c r="U33" s="171"/>
      <c r="V33" s="171"/>
      <c r="W33" s="171"/>
      <c r="X33" s="171"/>
      <c r="Y33" s="171"/>
      <c r="Z33" s="171"/>
      <c r="AA33" s="171"/>
      <c r="AB33" s="171"/>
      <c r="AC33" s="171"/>
      <c r="AD33" s="171"/>
    </row>
    <row r="34" spans="1:30" s="36" customFormat="1" ht="18" customHeight="1">
      <c r="B34" s="39"/>
      <c r="C34" s="48"/>
      <c r="D34" s="391" t="s">
        <v>422</v>
      </c>
      <c r="E34" s="389"/>
      <c r="F34" s="390">
        <f>'SDK1'!O61</f>
        <v>3</v>
      </c>
      <c r="G34" s="389" t="s">
        <v>112</v>
      </c>
      <c r="H34" s="388"/>
      <c r="I34" s="387"/>
      <c r="J34" s="386"/>
      <c r="K34" s="385"/>
      <c r="L34" s="385"/>
      <c r="M34" s="385"/>
      <c r="N34" s="2981"/>
      <c r="O34" s="2783"/>
      <c r="Q34" s="340"/>
    </row>
    <row r="35" spans="1:30" s="36" customFormat="1" ht="18" customHeight="1">
      <c r="B35" s="2537"/>
      <c r="C35" s="384"/>
      <c r="D35" s="383" t="s">
        <v>421</v>
      </c>
      <c r="E35" s="381"/>
      <c r="F35" s="382">
        <v>1</v>
      </c>
      <c r="G35" s="381" t="s">
        <v>112</v>
      </c>
      <c r="H35" s="380"/>
      <c r="I35" s="379"/>
      <c r="J35" s="379"/>
      <c r="K35" s="379"/>
      <c r="L35" s="379"/>
      <c r="M35" s="378"/>
      <c r="N35" s="2538"/>
      <c r="O35" s="2902"/>
      <c r="P35" s="2902"/>
      <c r="Q35" s="340"/>
      <c r="R35" s="39"/>
    </row>
    <row r="36" spans="1:30" s="36" customFormat="1" ht="18" customHeight="1">
      <c r="B36" s="39"/>
      <c r="C36" s="2978" t="s">
        <v>420</v>
      </c>
      <c r="D36" s="377"/>
      <c r="E36" s="34"/>
      <c r="F36" s="34"/>
      <c r="G36" s="34"/>
      <c r="H36" s="374">
        <v>30</v>
      </c>
      <c r="I36" s="373">
        <v>80000</v>
      </c>
      <c r="J36" s="372">
        <f>I36*((100+$F$6)/100)</f>
        <v>80000</v>
      </c>
      <c r="K36" s="371">
        <f>IF(H36=0,0,100/H36+$F$34/2+$F$35)</f>
        <v>5.8333333333333339</v>
      </c>
      <c r="L36" s="370">
        <v>150</v>
      </c>
      <c r="M36" s="369">
        <f>IF(L36=0,0,J36*K36/100/L36)</f>
        <v>31.111111111111114</v>
      </c>
      <c r="N36" s="2535"/>
      <c r="O36" s="2901"/>
      <c r="P36" s="2901"/>
      <c r="Q36" s="340"/>
      <c r="R36" s="39"/>
      <c r="U36" s="2926" t="s">
        <v>1577</v>
      </c>
    </row>
    <row r="37" spans="1:30" s="36" customFormat="1" ht="18" customHeight="1">
      <c r="B37" s="2967"/>
      <c r="C37" s="2976"/>
      <c r="D37" s="2975"/>
      <c r="E37" s="2968"/>
      <c r="F37" s="34"/>
      <c r="G37" s="2961"/>
      <c r="H37" s="2960"/>
      <c r="I37" s="373"/>
      <c r="J37" s="372"/>
      <c r="K37" s="371"/>
      <c r="L37" s="370"/>
      <c r="M37" s="2946"/>
      <c r="N37" s="2535"/>
      <c r="O37" s="2901"/>
      <c r="P37" s="2901"/>
      <c r="R37" s="39"/>
    </row>
    <row r="38" spans="1:30" s="36" customFormat="1" ht="4.2" hidden="1" customHeight="1">
      <c r="B38" s="2969"/>
      <c r="C38" s="368"/>
      <c r="D38" s="285"/>
      <c r="E38" s="2970"/>
      <c r="F38" s="285"/>
      <c r="G38" s="34"/>
      <c r="H38" s="374"/>
      <c r="I38" s="373"/>
      <c r="J38" s="372">
        <f>I38*((100+$F$6)/100)</f>
        <v>0</v>
      </c>
      <c r="K38" s="371">
        <f>IF(H38=0,0,100/H38+$F$34/2+$F$35)</f>
        <v>0</v>
      </c>
      <c r="L38" s="370"/>
      <c r="M38" s="362">
        <f>IF(L38=0,0,J38*K38/100/L38)</f>
        <v>0</v>
      </c>
      <c r="N38" s="2949"/>
      <c r="O38" s="2901"/>
      <c r="P38" s="2901"/>
      <c r="R38" s="39"/>
    </row>
    <row r="39" spans="1:30" s="36" customFormat="1" ht="13.65" customHeight="1">
      <c r="B39" s="2971"/>
      <c r="C39" s="2977" t="s">
        <v>418</v>
      </c>
      <c r="D39" s="44"/>
      <c r="E39" s="2964"/>
      <c r="F39" s="44"/>
      <c r="G39" s="2963"/>
      <c r="H39" s="2962"/>
      <c r="I39" s="2954"/>
      <c r="J39" s="2956"/>
      <c r="K39" s="2952"/>
      <c r="L39" s="2950"/>
      <c r="M39" s="358"/>
      <c r="N39" s="2947"/>
      <c r="O39" s="2783"/>
      <c r="P39" s="2783"/>
      <c r="R39" s="39"/>
    </row>
    <row r="40" spans="1:30" s="36" customFormat="1" ht="50.4" customHeight="1">
      <c r="B40" s="2972"/>
      <c r="C40" s="2973"/>
      <c r="D40" s="2966"/>
      <c r="E40" s="2974"/>
      <c r="F40" s="2963"/>
      <c r="G40" s="2959"/>
      <c r="H40" s="2958"/>
      <c r="I40" s="2957"/>
      <c r="J40" s="2956"/>
      <c r="K40" s="2952"/>
      <c r="L40" s="2950"/>
      <c r="M40" s="2942"/>
      <c r="N40" s="2947"/>
      <c r="O40" s="2943"/>
      <c r="P40" s="3482" t="s">
        <v>1738</v>
      </c>
      <c r="Q40" s="2943"/>
      <c r="R40" s="2943"/>
      <c r="S40" s="2944"/>
    </row>
    <row r="41" spans="1:30" s="36" customFormat="1" ht="19.2" customHeight="1" thickBot="1">
      <c r="A41" s="2965"/>
      <c r="B41" s="43"/>
      <c r="C41" s="40"/>
      <c r="D41" s="40"/>
      <c r="E41" s="419"/>
      <c r="F41" s="3933" t="s">
        <v>417</v>
      </c>
      <c r="G41" s="3934"/>
      <c r="H41" s="2552" t="s">
        <v>416</v>
      </c>
      <c r="I41" s="2955"/>
      <c r="J41" s="2953"/>
      <c r="K41" s="2951"/>
      <c r="L41" s="358"/>
      <c r="M41" s="2948"/>
      <c r="N41" s="2933"/>
      <c r="O41" s="2933"/>
      <c r="Q41" s="2945" t="s">
        <v>415</v>
      </c>
      <c r="U41" s="172" t="s">
        <v>414</v>
      </c>
    </row>
    <row r="42" spans="1:30" s="36" customFormat="1" ht="15.6">
      <c r="B42" s="39"/>
      <c r="C42" s="2512" t="s">
        <v>1051</v>
      </c>
      <c r="D42" s="34"/>
      <c r="E42" s="34"/>
      <c r="F42" s="3943"/>
      <c r="G42" s="3944"/>
      <c r="H42" s="2897" t="s">
        <v>413</v>
      </c>
      <c r="I42" s="3666">
        <v>2018</v>
      </c>
      <c r="J42" s="3667">
        <v>2019</v>
      </c>
      <c r="K42" s="3666">
        <v>2020</v>
      </c>
      <c r="L42" s="3667">
        <v>2021</v>
      </c>
      <c r="M42" s="3666">
        <f>2022</f>
        <v>2022</v>
      </c>
      <c r="N42" s="3667">
        <v>2023</v>
      </c>
      <c r="O42" s="3667">
        <v>2024</v>
      </c>
      <c r="P42" s="3440" t="s">
        <v>1749</v>
      </c>
      <c r="Q42" s="2553">
        <f>'SDK1'!O6</f>
        <v>2024</v>
      </c>
      <c r="S42" s="39"/>
      <c r="U42" s="356" t="s">
        <v>1581</v>
      </c>
      <c r="V42" s="355"/>
      <c r="W42" s="355"/>
      <c r="X42" s="355"/>
      <c r="Y42" s="354"/>
    </row>
    <row r="43" spans="1:30" s="36" customFormat="1" ht="16.2" thickBot="1">
      <c r="B43" s="39"/>
      <c r="C43" s="2512" t="s">
        <v>1050</v>
      </c>
      <c r="D43" s="34"/>
      <c r="E43" s="34"/>
      <c r="F43" s="395"/>
      <c r="G43" s="32"/>
      <c r="H43" s="1495" t="s">
        <v>112</v>
      </c>
      <c r="I43" s="2911"/>
      <c r="J43" s="2563"/>
      <c r="K43" s="2911"/>
      <c r="L43" s="2563"/>
      <c r="M43" s="2911"/>
      <c r="N43" s="2563"/>
      <c r="O43" s="2563"/>
      <c r="P43" s="2910"/>
      <c r="Q43" s="217"/>
      <c r="S43" s="39"/>
      <c r="U43" s="353" t="s">
        <v>1582</v>
      </c>
      <c r="V43" s="352"/>
      <c r="W43" s="352"/>
      <c r="X43" s="352"/>
      <c r="Y43" s="351"/>
    </row>
    <row r="44" spans="1:30" s="36" customFormat="1" ht="14.4" thickBot="1">
      <c r="A44" s="39"/>
      <c r="B44" s="39"/>
      <c r="C44" s="2561" t="s">
        <v>698</v>
      </c>
      <c r="D44" s="2561"/>
      <c r="E44" s="2562"/>
      <c r="F44" s="3945" t="s">
        <v>410</v>
      </c>
      <c r="G44" s="3946"/>
      <c r="H44" s="2564"/>
      <c r="I44" s="3668"/>
      <c r="J44" s="3668"/>
      <c r="K44" s="3669"/>
      <c r="L44" s="3668"/>
      <c r="M44" s="3668"/>
      <c r="N44" s="3670"/>
      <c r="O44" s="3670"/>
      <c r="P44" s="2565"/>
      <c r="Q44" s="2982"/>
      <c r="U44" s="350"/>
      <c r="V44" s="349"/>
      <c r="W44" s="349"/>
      <c r="X44" s="349"/>
      <c r="Y44" s="348"/>
    </row>
    <row r="45" spans="1:30" s="36" customFormat="1" ht="13.8">
      <c r="B45" s="39"/>
      <c r="C45" s="3939" t="s">
        <v>409</v>
      </c>
      <c r="D45" s="3940"/>
      <c r="E45" s="2567" t="s">
        <v>408</v>
      </c>
      <c r="F45" s="3947"/>
      <c r="G45" s="3948"/>
      <c r="H45" s="344"/>
      <c r="I45" s="343">
        <v>220</v>
      </c>
      <c r="J45" s="343">
        <v>250</v>
      </c>
      <c r="K45" s="343">
        <v>250</v>
      </c>
      <c r="L45" s="343">
        <v>250</v>
      </c>
      <c r="M45" s="343">
        <v>260</v>
      </c>
      <c r="N45" s="343">
        <v>260</v>
      </c>
      <c r="O45" s="343">
        <v>280</v>
      </c>
      <c r="P45" s="3676">
        <f>AVERAGE(K45:O45)</f>
        <v>260</v>
      </c>
      <c r="Q45" s="2983">
        <f>HLOOKUP($Q$42,$I$42:$P$47,4,FALSE)</f>
        <v>280</v>
      </c>
    </row>
    <row r="46" spans="1:30" s="36" customFormat="1" ht="13.8">
      <c r="B46" s="39"/>
      <c r="C46" s="3940"/>
      <c r="D46" s="3940"/>
      <c r="E46" s="2567" t="s">
        <v>407</v>
      </c>
      <c r="F46" s="3947"/>
      <c r="G46" s="3948"/>
      <c r="H46" s="344"/>
      <c r="I46" s="343">
        <v>270</v>
      </c>
      <c r="J46" s="343">
        <v>300</v>
      </c>
      <c r="K46" s="343">
        <v>300</v>
      </c>
      <c r="L46" s="343">
        <v>300</v>
      </c>
      <c r="M46" s="343">
        <v>310</v>
      </c>
      <c r="N46" s="343">
        <v>310</v>
      </c>
      <c r="O46" s="343">
        <v>320</v>
      </c>
      <c r="P46" s="3676">
        <f t="shared" ref="P46:P47" si="2">AVERAGE(K46:O46)</f>
        <v>308</v>
      </c>
      <c r="Q46" s="2554">
        <f>HLOOKUP($Q$42,$I$42:P46,5,FALSE)</f>
        <v>320</v>
      </c>
      <c r="U46" s="315"/>
    </row>
    <row r="47" spans="1:30" s="36" customFormat="1" ht="13.8">
      <c r="B47" s="39"/>
      <c r="C47" s="3940"/>
      <c r="D47" s="3940"/>
      <c r="E47" s="2568" t="s">
        <v>405</v>
      </c>
      <c r="F47" s="3949"/>
      <c r="G47" s="3950"/>
      <c r="H47" s="347"/>
      <c r="I47" s="2566">
        <v>320</v>
      </c>
      <c r="J47" s="2566">
        <v>350</v>
      </c>
      <c r="K47" s="3671">
        <v>350</v>
      </c>
      <c r="L47" s="2566">
        <v>350</v>
      </c>
      <c r="M47" s="2566">
        <v>360</v>
      </c>
      <c r="N47" s="2566">
        <v>360</v>
      </c>
      <c r="O47" s="2566">
        <v>360</v>
      </c>
      <c r="P47" s="3677">
        <f t="shared" si="2"/>
        <v>356</v>
      </c>
      <c r="Q47" s="2984">
        <f>HLOOKUP($Q$42,$I$42:P47,6,FALSE)</f>
        <v>360</v>
      </c>
      <c r="U47" s="315" t="s">
        <v>1579</v>
      </c>
    </row>
    <row r="48" spans="1:30" s="36" customFormat="1" ht="13.8">
      <c r="B48" s="39"/>
      <c r="C48" s="2375" t="s">
        <v>1668</v>
      </c>
      <c r="D48" s="2375"/>
      <c r="E48" s="2375"/>
      <c r="F48" s="3935" t="s">
        <v>163</v>
      </c>
      <c r="G48" s="3936"/>
      <c r="H48" s="3941">
        <f>'SDK1'!O12</f>
        <v>0</v>
      </c>
      <c r="I48" s="3566">
        <v>115</v>
      </c>
      <c r="J48" s="3566">
        <v>115</v>
      </c>
      <c r="K48" s="3672">
        <v>115</v>
      </c>
      <c r="L48" s="3566">
        <v>115</v>
      </c>
      <c r="M48" s="3566">
        <v>115</v>
      </c>
      <c r="N48" s="3566">
        <v>191</v>
      </c>
      <c r="O48" s="3566">
        <v>195</v>
      </c>
      <c r="P48" s="3678">
        <f>AVERAGE(K48:O48)</f>
        <v>146.19999999999999</v>
      </c>
      <c r="Q48" s="3954">
        <f>HLOOKUP($Q$42,$I$42:P48,7,FALSE)*((100+$H$48)/100)</f>
        <v>195</v>
      </c>
      <c r="U48" s="315"/>
    </row>
    <row r="49" spans="1:26" s="36" customFormat="1" ht="16.2" customHeight="1">
      <c r="B49" s="39"/>
      <c r="C49" s="333" t="str">
        <f>IF(H48&gt;0,"incl. PKW, mit MwSt.", "incl. PKW, ohne MwSt.")</f>
        <v>incl. PKW, ohne MwSt.</v>
      </c>
      <c r="D49" s="241"/>
      <c r="E49" s="241"/>
      <c r="F49" s="342"/>
      <c r="G49" s="341"/>
      <c r="H49" s="3942"/>
      <c r="I49" s="3673"/>
      <c r="J49" s="3673"/>
      <c r="K49" s="3674"/>
      <c r="L49" s="3675"/>
      <c r="M49" s="3675"/>
      <c r="N49" s="3675"/>
      <c r="O49" s="3675"/>
      <c r="P49" s="3484"/>
      <c r="Q49" s="3955"/>
      <c r="U49" s="3951" t="s">
        <v>1580</v>
      </c>
      <c r="V49" s="3951"/>
      <c r="W49" s="3951"/>
      <c r="X49" s="3951"/>
      <c r="Y49" s="3951"/>
      <c r="Z49" s="3951"/>
    </row>
    <row r="50" spans="1:26" s="36" customFormat="1" ht="13.8">
      <c r="B50" s="223"/>
      <c r="C50" s="48" t="s">
        <v>404</v>
      </c>
      <c r="D50" s="48"/>
      <c r="E50" s="48"/>
      <c r="F50" s="3952" t="s">
        <v>403</v>
      </c>
      <c r="G50" s="3953"/>
      <c r="H50" s="230"/>
      <c r="I50" s="3937">
        <v>16.5</v>
      </c>
      <c r="J50" s="3937">
        <v>16.5</v>
      </c>
      <c r="K50" s="3937">
        <v>16.5</v>
      </c>
      <c r="L50" s="3937">
        <v>16.5</v>
      </c>
      <c r="M50" s="3937">
        <v>17.5</v>
      </c>
      <c r="N50" s="3937">
        <v>20</v>
      </c>
      <c r="O50" s="3937">
        <v>20</v>
      </c>
      <c r="P50" s="3957">
        <f>AVERAGE(K50:O51)</f>
        <v>18.100000000000001</v>
      </c>
      <c r="Q50" s="3956">
        <f>HLOOKUP($Q$42,$I$42:P50,9,FALSE)</f>
        <v>20</v>
      </c>
      <c r="U50" s="3951"/>
      <c r="V50" s="3951"/>
      <c r="W50" s="3951"/>
      <c r="X50" s="3951"/>
      <c r="Y50" s="3951"/>
      <c r="Z50" s="3951"/>
    </row>
    <row r="51" spans="1:26" s="36" customFormat="1" ht="13.8">
      <c r="B51" s="39"/>
      <c r="C51" s="262" t="s">
        <v>402</v>
      </c>
      <c r="D51" s="48"/>
      <c r="E51" s="48"/>
      <c r="F51" s="346"/>
      <c r="G51" s="345"/>
      <c r="H51" s="230"/>
      <c r="I51" s="3938"/>
      <c r="J51" s="3938"/>
      <c r="K51" s="3938"/>
      <c r="L51" s="3938"/>
      <c r="M51" s="3938"/>
      <c r="N51" s="3938"/>
      <c r="O51" s="3938"/>
      <c r="P51" s="3958"/>
      <c r="Q51" s="3956"/>
      <c r="S51" s="2985"/>
      <c r="U51" s="315"/>
    </row>
    <row r="52" spans="1:26" s="36" customFormat="1" ht="13.8">
      <c r="B52" s="39"/>
      <c r="C52" s="340"/>
      <c r="D52" s="27"/>
      <c r="E52" s="27"/>
      <c r="F52" s="27"/>
      <c r="G52" s="27"/>
      <c r="H52" s="27"/>
      <c r="I52" s="27"/>
      <c r="J52" s="27"/>
      <c r="K52" s="27"/>
      <c r="L52" s="27"/>
      <c r="M52" s="27"/>
      <c r="N52" s="27"/>
      <c r="O52" s="3008"/>
      <c r="P52" s="2918"/>
      <c r="Q52" s="2898"/>
      <c r="R52" s="2986"/>
      <c r="S52" s="315"/>
    </row>
    <row r="53" spans="1:26" ht="13.65" customHeight="1">
      <c r="B53" s="27"/>
      <c r="C53" s="27"/>
      <c r="D53" s="27"/>
      <c r="E53" s="27"/>
      <c r="F53" s="27"/>
      <c r="G53" s="27"/>
      <c r="H53" s="27"/>
      <c r="I53" s="27"/>
      <c r="J53" s="27"/>
      <c r="K53" s="27"/>
      <c r="L53" s="27"/>
      <c r="M53" s="27"/>
      <c r="N53" s="27"/>
      <c r="O53" s="3008"/>
      <c r="P53" s="2918"/>
      <c r="Q53" s="2898"/>
      <c r="R53" s="27"/>
    </row>
    <row r="54" spans="1:26" ht="13.65" customHeight="1">
      <c r="A54" s="42"/>
      <c r="C54" s="36"/>
      <c r="D54" s="36"/>
      <c r="E54" s="36"/>
      <c r="F54" s="36"/>
      <c r="G54" s="36"/>
      <c r="H54" s="36"/>
      <c r="I54" s="36"/>
      <c r="J54" s="36"/>
      <c r="K54" s="36"/>
      <c r="L54" s="36"/>
      <c r="M54" s="36"/>
      <c r="N54" s="36"/>
      <c r="O54" s="36"/>
      <c r="P54" s="36"/>
      <c r="Q54" s="36"/>
      <c r="R54" s="36"/>
    </row>
    <row r="55" spans="1:26" s="36" customFormat="1" ht="19.2" customHeight="1"/>
    <row r="56" spans="1:26" s="36" customFormat="1" ht="16.95" customHeight="1"/>
    <row r="57" spans="1:26" s="36" customFormat="1" ht="16.95" customHeight="1"/>
    <row r="58" spans="1:26" s="36" customFormat="1" ht="16.95" customHeight="1"/>
    <row r="59" spans="1:26" s="36" customFormat="1" ht="16.95" customHeight="1"/>
    <row r="60" spans="1:26" s="36" customFormat="1" ht="16.95" customHeight="1"/>
    <row r="61" spans="1:26" s="36" customFormat="1" ht="16.95" customHeight="1"/>
    <row r="62" spans="1:26" s="36" customFormat="1" ht="16.95" customHeight="1"/>
    <row r="63" spans="1:26" s="36" customFormat="1" ht="16.95" customHeight="1"/>
    <row r="64" spans="1:26" s="36" customFormat="1" ht="16.2" customHeight="1"/>
    <row r="65" s="36" customFormat="1" ht="16.2" customHeight="1"/>
    <row r="66" s="36" customFormat="1" ht="16.2" customHeight="1"/>
    <row r="67" s="36" customFormat="1" ht="16.2" customHeight="1"/>
    <row r="68" s="36" customFormat="1" ht="16.2" customHeight="1"/>
    <row r="69" s="36" customFormat="1" ht="16.2" customHeight="1"/>
    <row r="70" s="36" customFormat="1" ht="16.2" customHeight="1"/>
    <row r="71" s="36" customFormat="1" ht="16.2" customHeight="1"/>
    <row r="72" s="36" customFormat="1" ht="16.2" customHeight="1"/>
    <row r="73" s="36" customFormat="1" ht="16.2" customHeight="1"/>
    <row r="74" s="36" customFormat="1" ht="16.2" customHeight="1"/>
    <row r="75" s="36" customFormat="1" ht="16.2" customHeight="1"/>
    <row r="76" s="36" customFormat="1" ht="16.2" customHeight="1"/>
    <row r="77" s="36" customFormat="1" ht="16.2" customHeight="1"/>
    <row r="78" s="36" customFormat="1" ht="16.2" customHeight="1"/>
    <row r="79" s="36" customFormat="1" ht="16.2" customHeight="1"/>
    <row r="80" s="36" customFormat="1" ht="16.2" customHeight="1"/>
    <row r="81" s="36" customFormat="1" ht="16.2" customHeight="1"/>
    <row r="82" s="36" customFormat="1" ht="16.5" customHeight="1"/>
    <row r="83" s="36" customFormat="1" ht="16.5" customHeight="1"/>
    <row r="84" s="36" customFormat="1" ht="16.5" customHeight="1"/>
    <row r="85" s="36" customFormat="1" ht="16.5" customHeight="1"/>
    <row r="86" s="36" customFormat="1" ht="16.5" customHeight="1"/>
    <row r="87" s="36" customFormat="1" ht="16.5" customHeight="1"/>
    <row r="88" s="36" customFormat="1" ht="16.5" customHeight="1"/>
    <row r="89" s="36" customFormat="1" ht="16.5" customHeight="1"/>
    <row r="90" s="36" customFormat="1" ht="16.5" customHeight="1"/>
    <row r="91" s="36" customFormat="1" ht="16.5" customHeight="1"/>
    <row r="92" s="36" customFormat="1" ht="16.5" customHeight="1"/>
    <row r="93" s="36" customFormat="1" ht="16.5" customHeight="1"/>
    <row r="94" s="36" customFormat="1" ht="16.5" customHeight="1"/>
    <row r="95" s="36" customFormat="1" ht="16.5" customHeight="1"/>
    <row r="96" s="36" customFormat="1" ht="16.5" customHeight="1"/>
    <row r="97" s="36" customFormat="1" ht="16.5" customHeight="1"/>
    <row r="98" s="36" customFormat="1" ht="16.5" customHeight="1"/>
    <row r="99" s="36" customFormat="1" ht="16.5" customHeight="1"/>
    <row r="100" s="36" customFormat="1" ht="16.5" customHeight="1"/>
    <row r="101" s="36" customFormat="1" ht="16.5" customHeight="1"/>
    <row r="102" s="36" customFormat="1" ht="16.5" customHeight="1"/>
    <row r="103" s="36" customFormat="1" ht="16.5" customHeight="1"/>
    <row r="104" s="36" customFormat="1" ht="16.5" customHeight="1"/>
    <row r="105" s="36" customFormat="1" ht="16.5" customHeight="1"/>
    <row r="106" s="36" customFormat="1" ht="16.5" customHeight="1"/>
    <row r="107" s="36" customFormat="1" ht="16.5" customHeight="1"/>
    <row r="108" s="36" customFormat="1" ht="16.5" customHeight="1"/>
    <row r="109" s="36" customFormat="1" ht="16.5" customHeight="1"/>
    <row r="110" s="36" customFormat="1" ht="16.5" customHeight="1"/>
    <row r="111" s="36" customFormat="1" ht="16.5" customHeight="1"/>
    <row r="112" s="36" customFormat="1" ht="16.5" customHeight="1"/>
    <row r="113" spans="3:18" s="36" customFormat="1" ht="16.5" customHeight="1"/>
    <row r="114" spans="3:18" s="36" customFormat="1" ht="16.5" customHeight="1"/>
    <row r="115" spans="3:18" s="36" customFormat="1" ht="16.5" customHeight="1"/>
    <row r="116" spans="3:18" s="36" customFormat="1" ht="16.5" customHeight="1"/>
    <row r="117" spans="3:18" s="36" customFormat="1" ht="16.5" customHeight="1"/>
    <row r="118" spans="3:18" s="36" customFormat="1" ht="16.5" customHeight="1"/>
    <row r="119" spans="3:18" s="36" customFormat="1" ht="16.5" customHeight="1"/>
    <row r="120" spans="3:18" s="36" customFormat="1" ht="16.5" customHeight="1"/>
    <row r="121" spans="3:18" s="36" customFormat="1" ht="16.5" customHeight="1"/>
    <row r="122" spans="3:18" s="36" customFormat="1" ht="16.5" customHeight="1"/>
    <row r="123" spans="3:18" s="36" customFormat="1" ht="16.5" customHeight="1"/>
    <row r="124" spans="3:18" s="36" customFormat="1" ht="16.5" customHeight="1"/>
    <row r="125" spans="3:18" s="36" customFormat="1" ht="16.5" customHeight="1"/>
    <row r="126" spans="3:18" s="36" customFormat="1" ht="16.5" customHeight="1"/>
    <row r="127" spans="3:18" s="36" customFormat="1" ht="16.5" customHeight="1">
      <c r="C127" s="28"/>
      <c r="D127" s="28"/>
      <c r="E127" s="28"/>
      <c r="F127" s="28"/>
      <c r="G127" s="28"/>
      <c r="H127" s="35"/>
      <c r="I127" s="35"/>
      <c r="J127" s="35"/>
      <c r="K127" s="35"/>
      <c r="L127" s="35"/>
      <c r="M127" s="28"/>
      <c r="N127" s="28"/>
      <c r="O127" s="2919"/>
      <c r="P127" s="2919"/>
      <c r="Q127" s="2899"/>
      <c r="R127" s="28"/>
    </row>
  </sheetData>
  <sheetProtection sheet="1" objects="1" scenarios="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8" scale="66" firstPageNumber="10" orientation="landscape" useFirstPageNumber="1" r:id="rId1"/>
      <headerFooter alignWithMargins="0">
        <oddFooter>&amp;L&amp;11LEL Schwäbisch Gmünd&amp;C&amp;11&amp;P+8&amp;R&amp;11&amp;F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8" scale="66" firstPageNumber="10" orientation="landscape" useFirstPageNumber="1" r:id="rId2"/>
      <headerFooter alignWithMargins="0">
        <oddFooter>&amp;L&amp;11LEL Schwäbisch Gmünd&amp;C&amp;11&amp;P+8&amp;R&amp;11&amp;F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8" scale="66" firstPageNumber="10" orientation="landscape" useFirstPageNumber="1" r:id="rId3"/>
      <headerFooter alignWithMargins="0">
        <oddFooter>&amp;L&amp;11LEL Schwäbisch Gmünd&amp;C&amp;11&amp;P+8&amp;R&amp;11&amp;F</oddFooter>
      </headerFooter>
    </customSheetView>
  </customSheetViews>
  <mergeCells count="18">
    <mergeCell ref="U49:Z50"/>
    <mergeCell ref="I50:I51"/>
    <mergeCell ref="F50:G50"/>
    <mergeCell ref="N50:N51"/>
    <mergeCell ref="M50:M51"/>
    <mergeCell ref="Q48:Q49"/>
    <mergeCell ref="L50:L51"/>
    <mergeCell ref="J50:J51"/>
    <mergeCell ref="K50:K51"/>
    <mergeCell ref="Q50:Q51"/>
    <mergeCell ref="P50:P51"/>
    <mergeCell ref="F41:G41"/>
    <mergeCell ref="F48:G48"/>
    <mergeCell ref="O50:O51"/>
    <mergeCell ref="C45:D47"/>
    <mergeCell ref="H48:H49"/>
    <mergeCell ref="F42:G42"/>
    <mergeCell ref="F44:G47"/>
  </mergeCells>
  <hyperlinks>
    <hyperlink ref="D34:G34" location="'SD1'!K64" display="Zinssatz (i):" xr:uid="{00000000-0004-0000-1000-000000000000}"/>
  </hyperlinks>
  <printOptions horizontalCentered="1"/>
  <pageMargins left="0.59055118110236227" right="0.59055118110236227" top="0.59055118110236227" bottom="0.59055118110236227" header="0.39370078740157483" footer="0.39370078740157483"/>
  <pageSetup paperSize="8" scale="66" firstPageNumber="10" orientation="landscape" useFirstPageNumber="1" r:id="rId4"/>
  <headerFooter alignWithMargins="0">
    <oddFooter>&amp;L&amp;11LEL Schwäbisch Gmünd&amp;C&amp;11&amp;P+8&amp;R&amp;11&amp;F</oddFooter>
  </headerFooter>
  <ignoredErrors>
    <ignoredError sqref="P45:P48" formulaRange="1"/>
  </ignoredErrors>
  <drawing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dimension ref="A1:T114"/>
  <sheetViews>
    <sheetView workbookViewId="0"/>
  </sheetViews>
  <sheetFormatPr baseColWidth="10" defaultColWidth="10.19921875" defaultRowHeight="11.4"/>
  <cols>
    <col min="1" max="1" width="1.19921875" style="1713" customWidth="1"/>
    <col min="2" max="2" width="38.69921875" style="1713" customWidth="1"/>
    <col min="3" max="4" width="10.19921875" style="1713"/>
    <col min="5" max="5" width="7.69921875" style="1713" customWidth="1"/>
    <col min="6" max="6" width="7.5" style="1713" bestFit="1" customWidth="1"/>
    <col min="7" max="7" width="5.69921875" style="1713" customWidth="1"/>
    <col min="8" max="8" width="6.8984375" style="1713" bestFit="1" customWidth="1"/>
    <col min="9" max="9" width="10.3984375" style="1713" bestFit="1" customWidth="1"/>
    <col min="10" max="10" width="7.5" style="1713" bestFit="1" customWidth="1"/>
    <col min="11" max="11" width="7.5" style="1713" customWidth="1"/>
    <col min="12" max="12" width="6" style="1713" bestFit="1" customWidth="1"/>
    <col min="13" max="13" width="7.69921875" style="1713" bestFit="1" customWidth="1"/>
    <col min="14" max="14" width="5.69921875" style="1713" customWidth="1"/>
    <col min="15" max="15" width="6.59765625" style="1713" customWidth="1"/>
    <col min="16" max="17" width="7.69921875" style="1713" bestFit="1" customWidth="1"/>
    <col min="18" max="18" width="5.69921875" style="1713" customWidth="1"/>
    <col min="19" max="19" width="5.69921875" style="1713" bestFit="1" customWidth="1"/>
    <col min="20" max="16384" width="10.19921875" style="1713"/>
  </cols>
  <sheetData>
    <row r="1" spans="1:20" ht="39.450000000000003" customHeight="1" thickBot="1">
      <c r="A1" s="1806"/>
      <c r="B1" s="1805" t="s">
        <v>1226</v>
      </c>
      <c r="C1" s="1803"/>
      <c r="D1" s="1804"/>
      <c r="E1" s="1803"/>
      <c r="F1" s="1801"/>
      <c r="G1" s="1802"/>
      <c r="H1" s="1801"/>
      <c r="I1" s="1801"/>
      <c r="J1" s="1801"/>
      <c r="K1" s="1801"/>
      <c r="L1" s="1801"/>
      <c r="M1" s="1801"/>
      <c r="N1" s="1801"/>
      <c r="O1" s="1801"/>
      <c r="P1" s="1801"/>
      <c r="Q1" s="1800"/>
      <c r="R1" s="1800"/>
      <c r="S1" s="1800"/>
      <c r="T1" s="1774"/>
    </row>
    <row r="2" spans="1:20" ht="13.2" thickTop="1" thickBot="1">
      <c r="A2" s="1799"/>
      <c r="B2" s="1798" t="s">
        <v>1225</v>
      </c>
      <c r="C2" s="1797"/>
      <c r="D2" s="1795" t="s">
        <v>1224</v>
      </c>
      <c r="E2" s="1795"/>
      <c r="F2" s="1793"/>
      <c r="G2" s="1796"/>
      <c r="H2" s="1795" t="s">
        <v>1223</v>
      </c>
      <c r="I2" s="1795"/>
      <c r="J2" s="1794"/>
      <c r="K2" s="1793"/>
      <c r="L2" s="1774"/>
      <c r="M2" s="1774"/>
      <c r="N2" s="1774"/>
      <c r="O2" s="1774"/>
    </row>
    <row r="3" spans="1:20" ht="13.2" thickTop="1" thickBot="1">
      <c r="A3" s="1792"/>
      <c r="B3" s="1791" t="s">
        <v>1222</v>
      </c>
      <c r="C3" s="1790"/>
      <c r="D3" s="1786">
        <v>2016</v>
      </c>
      <c r="E3" s="1789">
        <v>2017</v>
      </c>
      <c r="F3" s="1788" t="s">
        <v>1191</v>
      </c>
      <c r="G3" s="1787"/>
      <c r="H3" s="1786">
        <v>2016</v>
      </c>
      <c r="I3" s="1785">
        <v>2017</v>
      </c>
      <c r="J3" s="1784" t="s">
        <v>1191</v>
      </c>
      <c r="K3" s="1774"/>
      <c r="L3" s="1774"/>
      <c r="M3" s="1774"/>
      <c r="N3" s="1774"/>
    </row>
    <row r="4" spans="1:20" ht="13.2" thickTop="1" thickBot="1">
      <c r="A4" s="1783"/>
      <c r="B4" s="1782" t="s">
        <v>666</v>
      </c>
      <c r="C4" s="1778" t="s">
        <v>417</v>
      </c>
      <c r="D4" s="1781">
        <v>1</v>
      </c>
      <c r="E4" s="1780">
        <v>1</v>
      </c>
      <c r="F4" s="1779"/>
      <c r="G4" s="1778" t="s">
        <v>417</v>
      </c>
      <c r="H4" s="1777"/>
      <c r="I4" s="1776"/>
      <c r="J4" s="1775"/>
      <c r="K4" s="1774"/>
      <c r="L4" s="1774"/>
      <c r="M4" s="1774"/>
      <c r="N4" s="1774"/>
    </row>
    <row r="5" spans="1:20" ht="13.8" thickTop="1">
      <c r="B5" s="1742" t="s">
        <v>1221</v>
      </c>
      <c r="C5" s="1739" t="s">
        <v>220</v>
      </c>
      <c r="D5" s="1744">
        <v>25</v>
      </c>
      <c r="E5" s="1744">
        <v>23.75</v>
      </c>
      <c r="F5" s="1749">
        <f t="shared" ref="F5:F37" si="0">(D5*$D$4+E5*$E$4)/($D$4+$E$4)</f>
        <v>24.375</v>
      </c>
      <c r="G5" s="1773" t="s">
        <v>164</v>
      </c>
      <c r="H5" s="1744">
        <v>42</v>
      </c>
      <c r="I5" s="1772">
        <v>75.400000000000006</v>
      </c>
      <c r="J5" s="1741">
        <f t="shared" ref="J5:J39" si="1">(H5*$D$4+I5*$E$4)/($D$4+$E$4)</f>
        <v>58.7</v>
      </c>
    </row>
    <row r="6" spans="1:20" ht="13.2">
      <c r="B6" s="1742" t="s">
        <v>83</v>
      </c>
      <c r="C6" s="1739" t="s">
        <v>220</v>
      </c>
      <c r="D6" s="1735">
        <v>16</v>
      </c>
      <c r="E6" s="1735">
        <v>17</v>
      </c>
      <c r="F6" s="1749">
        <f t="shared" si="0"/>
        <v>16.5</v>
      </c>
      <c r="G6" s="1758" t="s">
        <v>164</v>
      </c>
      <c r="H6" s="1755">
        <v>50</v>
      </c>
      <c r="I6" s="1735">
        <v>65.5</v>
      </c>
      <c r="J6" s="1741">
        <f t="shared" si="1"/>
        <v>57.75</v>
      </c>
    </row>
    <row r="7" spans="1:20" ht="13.2">
      <c r="B7" s="1765" t="s">
        <v>259</v>
      </c>
      <c r="C7" s="1764" t="s">
        <v>220</v>
      </c>
      <c r="D7" s="1763">
        <v>13.6</v>
      </c>
      <c r="E7" s="1763">
        <v>14.4</v>
      </c>
      <c r="F7" s="1749">
        <f t="shared" si="0"/>
        <v>14</v>
      </c>
      <c r="G7" s="1771" t="s">
        <v>164</v>
      </c>
      <c r="H7" s="1770">
        <v>66.099999999999994</v>
      </c>
      <c r="I7" s="1769">
        <f>$I$97</f>
        <v>73.600000000000009</v>
      </c>
      <c r="J7" s="1741">
        <f t="shared" si="1"/>
        <v>69.849999999999994</v>
      </c>
    </row>
    <row r="8" spans="1:20" ht="13.2">
      <c r="B8" s="1742" t="s">
        <v>80</v>
      </c>
      <c r="C8" s="1739" t="s">
        <v>220</v>
      </c>
      <c r="D8" s="1735">
        <v>13.6</v>
      </c>
      <c r="E8" s="1735">
        <v>14.4</v>
      </c>
      <c r="F8" s="1749">
        <f t="shared" si="0"/>
        <v>14</v>
      </c>
      <c r="G8" s="1758" t="s">
        <v>164</v>
      </c>
      <c r="H8" s="1744">
        <v>51.5</v>
      </c>
      <c r="I8" s="1735">
        <v>65.5</v>
      </c>
      <c r="J8" s="1741">
        <f t="shared" si="1"/>
        <v>58.5</v>
      </c>
    </row>
    <row r="9" spans="1:20" ht="13.2">
      <c r="B9" s="1742" t="s">
        <v>89</v>
      </c>
      <c r="C9" s="1739" t="s">
        <v>220</v>
      </c>
      <c r="D9" s="1735">
        <v>12.3</v>
      </c>
      <c r="E9" s="1735">
        <v>13.9</v>
      </c>
      <c r="F9" s="1749">
        <f t="shared" si="0"/>
        <v>13.100000000000001</v>
      </c>
      <c r="G9" s="1758" t="s">
        <v>164</v>
      </c>
      <c r="H9" s="1735">
        <v>54.2</v>
      </c>
      <c r="I9" s="1735">
        <v>55.6</v>
      </c>
      <c r="J9" s="1741">
        <f t="shared" si="1"/>
        <v>54.900000000000006</v>
      </c>
    </row>
    <row r="10" spans="1:20" ht="13.2">
      <c r="B10" s="1742" t="s">
        <v>1220</v>
      </c>
      <c r="C10" s="1739" t="s">
        <v>220</v>
      </c>
      <c r="D10" s="1735">
        <v>12.3</v>
      </c>
      <c r="E10" s="1735">
        <v>13.9</v>
      </c>
      <c r="F10" s="1749">
        <f t="shared" si="0"/>
        <v>13.100000000000001</v>
      </c>
      <c r="G10" s="1758" t="s">
        <v>164</v>
      </c>
      <c r="H10" s="1735">
        <v>54.2</v>
      </c>
      <c r="I10" s="1735">
        <v>55.6</v>
      </c>
      <c r="J10" s="1741">
        <f t="shared" si="1"/>
        <v>54.900000000000006</v>
      </c>
    </row>
    <row r="11" spans="1:20" ht="13.2" hidden="1">
      <c r="B11" s="1742" t="s">
        <v>1219</v>
      </c>
      <c r="C11" s="1739" t="s">
        <v>220</v>
      </c>
      <c r="D11" s="1735">
        <v>11.5</v>
      </c>
      <c r="E11" s="1735"/>
      <c r="F11" s="1749">
        <f t="shared" si="0"/>
        <v>5.75</v>
      </c>
      <c r="G11" s="1758" t="s">
        <v>164</v>
      </c>
      <c r="H11" s="1735">
        <v>54.2</v>
      </c>
      <c r="I11" s="1735"/>
      <c r="J11" s="1741">
        <f t="shared" si="1"/>
        <v>27.1</v>
      </c>
    </row>
    <row r="12" spans="1:20" ht="13.2" hidden="1">
      <c r="B12" s="1742" t="s">
        <v>1218</v>
      </c>
      <c r="C12" s="1739" t="s">
        <v>220</v>
      </c>
      <c r="D12" s="1735">
        <v>11.5</v>
      </c>
      <c r="E12" s="1735"/>
      <c r="F12" s="1749">
        <f t="shared" si="0"/>
        <v>5.75</v>
      </c>
      <c r="G12" s="1758" t="s">
        <v>164</v>
      </c>
      <c r="H12" s="1735">
        <v>54.2</v>
      </c>
      <c r="I12" s="1735"/>
      <c r="J12" s="1741">
        <f t="shared" si="1"/>
        <v>27.1</v>
      </c>
    </row>
    <row r="13" spans="1:20" ht="13.2">
      <c r="B13" s="1765" t="s">
        <v>85</v>
      </c>
      <c r="C13" s="1764" t="s">
        <v>220</v>
      </c>
      <c r="D13" s="1763">
        <v>11.5</v>
      </c>
      <c r="E13" s="1763">
        <v>12.6</v>
      </c>
      <c r="F13" s="1749">
        <f t="shared" si="0"/>
        <v>12.05</v>
      </c>
      <c r="G13" s="1762" t="s">
        <v>164</v>
      </c>
      <c r="H13" s="1761">
        <v>67.400000000000006</v>
      </c>
      <c r="I13" s="1761">
        <f>$I$101</f>
        <v>73.63333333333334</v>
      </c>
      <c r="J13" s="1741">
        <f t="shared" si="1"/>
        <v>70.51666666666668</v>
      </c>
    </row>
    <row r="14" spans="1:20" ht="13.2">
      <c r="B14" s="1742" t="s">
        <v>257</v>
      </c>
      <c r="C14" s="1739" t="s">
        <v>220</v>
      </c>
      <c r="D14" s="1735">
        <v>11.5</v>
      </c>
      <c r="E14" s="1735">
        <v>12.6</v>
      </c>
      <c r="F14" s="1749">
        <f t="shared" si="0"/>
        <v>12.05</v>
      </c>
      <c r="G14" s="1758" t="s">
        <v>164</v>
      </c>
      <c r="H14" s="1768">
        <v>49.6</v>
      </c>
      <c r="I14" s="1735">
        <v>58.2</v>
      </c>
      <c r="J14" s="1741">
        <f t="shared" si="1"/>
        <v>53.900000000000006</v>
      </c>
    </row>
    <row r="15" spans="1:20" ht="13.2">
      <c r="B15" s="1742" t="s">
        <v>76</v>
      </c>
      <c r="C15" s="1739" t="s">
        <v>220</v>
      </c>
      <c r="D15" s="1735">
        <v>16.8</v>
      </c>
      <c r="E15" s="1735">
        <v>17.899999999999999</v>
      </c>
      <c r="F15" s="1749">
        <f t="shared" si="0"/>
        <v>17.350000000000001</v>
      </c>
      <c r="G15" s="1758" t="s">
        <v>164</v>
      </c>
      <c r="H15" s="1735">
        <v>50.1</v>
      </c>
      <c r="I15" s="1735">
        <v>58.2</v>
      </c>
      <c r="J15" s="1741">
        <f t="shared" si="1"/>
        <v>54.150000000000006</v>
      </c>
    </row>
    <row r="16" spans="1:20" ht="13.2">
      <c r="B16" s="1742" t="s">
        <v>1217</v>
      </c>
      <c r="C16" s="1739" t="s">
        <v>220</v>
      </c>
      <c r="D16" s="1735">
        <v>14.25</v>
      </c>
      <c r="E16" s="1735">
        <v>14</v>
      </c>
      <c r="F16" s="1749">
        <f t="shared" si="0"/>
        <v>14.125</v>
      </c>
      <c r="G16" s="1758" t="s">
        <v>164</v>
      </c>
      <c r="H16" s="1768">
        <v>45.6</v>
      </c>
      <c r="I16" s="1735">
        <v>46.1</v>
      </c>
      <c r="J16" s="1741">
        <f t="shared" si="1"/>
        <v>45.85</v>
      </c>
    </row>
    <row r="17" spans="2:10" ht="13.2">
      <c r="B17" s="1742" t="s">
        <v>1216</v>
      </c>
      <c r="C17" s="1739" t="s">
        <v>220</v>
      </c>
      <c r="D17" s="1735">
        <v>14.25</v>
      </c>
      <c r="E17" s="1735">
        <v>14</v>
      </c>
      <c r="F17" s="1749">
        <f t="shared" si="0"/>
        <v>14.125</v>
      </c>
      <c r="G17" s="1758" t="s">
        <v>164</v>
      </c>
      <c r="H17" s="1735">
        <v>44.9</v>
      </c>
      <c r="I17" s="1735">
        <v>46.1</v>
      </c>
      <c r="J17" s="1741">
        <f t="shared" si="1"/>
        <v>45.5</v>
      </c>
    </row>
    <row r="18" spans="2:10" ht="13.2" hidden="1">
      <c r="B18" s="1742" t="s">
        <v>1215</v>
      </c>
      <c r="C18" s="1739" t="s">
        <v>220</v>
      </c>
      <c r="D18" s="1735">
        <v>11.5</v>
      </c>
      <c r="E18" s="1735"/>
      <c r="F18" s="1749">
        <f t="shared" si="0"/>
        <v>5.75</v>
      </c>
      <c r="G18" s="1758" t="s">
        <v>164</v>
      </c>
      <c r="H18" s="1735">
        <v>46.3</v>
      </c>
      <c r="I18" s="1735"/>
      <c r="J18" s="1741">
        <f t="shared" si="1"/>
        <v>23.15</v>
      </c>
    </row>
    <row r="19" spans="2:10" ht="13.2" hidden="1">
      <c r="B19" s="1742" t="s">
        <v>1214</v>
      </c>
      <c r="C19" s="1739" t="s">
        <v>220</v>
      </c>
      <c r="D19" s="1735">
        <v>11.5</v>
      </c>
      <c r="E19" s="1735"/>
      <c r="F19" s="1749">
        <f t="shared" si="0"/>
        <v>5.75</v>
      </c>
      <c r="G19" s="1758" t="s">
        <v>164</v>
      </c>
      <c r="H19" s="1735">
        <v>46.3</v>
      </c>
      <c r="I19" s="1735"/>
      <c r="J19" s="1741">
        <f t="shared" si="1"/>
        <v>23.15</v>
      </c>
    </row>
    <row r="20" spans="2:10" ht="13.2">
      <c r="B20" s="1742" t="s">
        <v>1213</v>
      </c>
      <c r="C20" s="1739" t="s">
        <v>220</v>
      </c>
      <c r="D20" s="1735">
        <v>12</v>
      </c>
      <c r="E20" s="1735">
        <v>13</v>
      </c>
      <c r="F20" s="1749">
        <f t="shared" si="0"/>
        <v>12.5</v>
      </c>
      <c r="G20" s="1758" t="s">
        <v>164</v>
      </c>
      <c r="H20" s="1768">
        <v>53.1</v>
      </c>
      <c r="I20" s="1735">
        <v>67.8</v>
      </c>
      <c r="J20" s="1741">
        <f t="shared" si="1"/>
        <v>60.45</v>
      </c>
    </row>
    <row r="21" spans="2:10" ht="13.2">
      <c r="B21" s="1742" t="s">
        <v>1212</v>
      </c>
      <c r="C21" s="1739" t="s">
        <v>220</v>
      </c>
      <c r="D21" s="1735">
        <v>12</v>
      </c>
      <c r="E21" s="1735">
        <v>13</v>
      </c>
      <c r="F21" s="1749">
        <f t="shared" si="0"/>
        <v>12.5</v>
      </c>
      <c r="G21" s="1758" t="s">
        <v>164</v>
      </c>
      <c r="H21" s="1735">
        <v>58.5</v>
      </c>
      <c r="I21" s="1735">
        <v>67.8</v>
      </c>
      <c r="J21" s="1741">
        <f t="shared" si="1"/>
        <v>63.15</v>
      </c>
    </row>
    <row r="22" spans="2:10" ht="13.2">
      <c r="B22" s="1742" t="s">
        <v>1211</v>
      </c>
      <c r="C22" s="1739" t="s">
        <v>220</v>
      </c>
      <c r="D22" s="1735">
        <v>22.5</v>
      </c>
      <c r="E22" s="1735">
        <v>22.3</v>
      </c>
      <c r="F22" s="1749">
        <f t="shared" si="0"/>
        <v>22.4</v>
      </c>
      <c r="G22" s="1758" t="s">
        <v>164</v>
      </c>
      <c r="H22" s="1735">
        <v>55</v>
      </c>
      <c r="I22" s="1735">
        <v>60</v>
      </c>
      <c r="J22" s="1741">
        <f t="shared" si="1"/>
        <v>57.5</v>
      </c>
    </row>
    <row r="23" spans="2:10" ht="13.2">
      <c r="B23" s="1742" t="s">
        <v>1210</v>
      </c>
      <c r="C23" s="1739" t="s">
        <v>220</v>
      </c>
      <c r="D23" s="1735">
        <v>24.7</v>
      </c>
      <c r="E23" s="1735"/>
      <c r="F23" s="1749">
        <f t="shared" si="0"/>
        <v>12.35</v>
      </c>
      <c r="G23" s="1758" t="s">
        <v>164</v>
      </c>
      <c r="H23" s="1735">
        <v>45</v>
      </c>
      <c r="I23" s="1735"/>
      <c r="J23" s="1741">
        <f t="shared" si="1"/>
        <v>22.5</v>
      </c>
    </row>
    <row r="24" spans="2:10" ht="13.2">
      <c r="B24" s="1765" t="s">
        <v>69</v>
      </c>
      <c r="C24" s="1764" t="s">
        <v>220</v>
      </c>
      <c r="D24" s="1763">
        <v>15</v>
      </c>
      <c r="E24" s="1763">
        <v>14.2</v>
      </c>
      <c r="F24" s="1749">
        <f t="shared" si="0"/>
        <v>14.6</v>
      </c>
      <c r="G24" s="1762" t="s">
        <v>164</v>
      </c>
      <c r="H24" s="1761">
        <v>96.1</v>
      </c>
      <c r="I24" s="1767">
        <v>106.5</v>
      </c>
      <c r="J24" s="1741">
        <f t="shared" si="1"/>
        <v>101.3</v>
      </c>
    </row>
    <row r="25" spans="2:10" ht="13.2" hidden="1">
      <c r="B25" s="1742" t="s">
        <v>1209</v>
      </c>
      <c r="C25" s="1739" t="s">
        <v>220</v>
      </c>
      <c r="D25" s="1735">
        <v>13.8</v>
      </c>
      <c r="E25" s="1735"/>
      <c r="F25" s="1749">
        <f t="shared" si="0"/>
        <v>6.9</v>
      </c>
      <c r="G25" s="1758" t="s">
        <v>164</v>
      </c>
      <c r="H25" s="1735">
        <v>130</v>
      </c>
      <c r="I25" s="1735"/>
      <c r="J25" s="1741">
        <f t="shared" si="1"/>
        <v>65</v>
      </c>
    </row>
    <row r="26" spans="2:10" ht="12.6" hidden="1" customHeight="1">
      <c r="B26" s="1742" t="s">
        <v>1208</v>
      </c>
      <c r="C26" s="1739" t="s">
        <v>220</v>
      </c>
      <c r="D26" s="1735">
        <v>15</v>
      </c>
      <c r="E26" s="1735"/>
      <c r="F26" s="1749">
        <f t="shared" si="0"/>
        <v>7.5</v>
      </c>
      <c r="G26" s="1758" t="s">
        <v>164</v>
      </c>
      <c r="H26" s="1735">
        <v>58.5</v>
      </c>
      <c r="I26" s="1735"/>
      <c r="J26" s="1741">
        <f t="shared" si="1"/>
        <v>29.25</v>
      </c>
    </row>
    <row r="27" spans="2:10" ht="13.2" hidden="1">
      <c r="B27" s="1742" t="s">
        <v>1207</v>
      </c>
      <c r="C27" s="1739" t="s">
        <v>220</v>
      </c>
      <c r="D27" s="1766"/>
      <c r="E27" s="1766"/>
      <c r="F27" s="1749">
        <f t="shared" si="0"/>
        <v>0</v>
      </c>
      <c r="G27" s="1758" t="s">
        <v>1206</v>
      </c>
      <c r="H27" s="1760"/>
      <c r="I27" s="1760"/>
      <c r="J27" s="1741">
        <f t="shared" si="1"/>
        <v>0</v>
      </c>
    </row>
    <row r="28" spans="2:10" ht="13.2" hidden="1">
      <c r="B28" s="1742" t="s">
        <v>1162</v>
      </c>
      <c r="C28" s="1739" t="s">
        <v>1205</v>
      </c>
      <c r="D28" s="1735">
        <v>2.1000000000000001E-2</v>
      </c>
      <c r="E28" s="1735"/>
      <c r="F28" s="1749">
        <f t="shared" si="0"/>
        <v>1.0500000000000001E-2</v>
      </c>
      <c r="G28" s="1758" t="s">
        <v>164</v>
      </c>
      <c r="H28" s="1760">
        <v>89000</v>
      </c>
      <c r="I28" s="1760"/>
      <c r="J28" s="1741">
        <f t="shared" si="1"/>
        <v>44500</v>
      </c>
    </row>
    <row r="29" spans="2:10" ht="12.6" customHeight="1">
      <c r="B29" s="1742" t="s">
        <v>1204</v>
      </c>
      <c r="C29" s="1739" t="s">
        <v>220</v>
      </c>
      <c r="D29" s="1735">
        <v>100.86</v>
      </c>
      <c r="E29" s="1735">
        <v>93.7</v>
      </c>
      <c r="F29" s="1749">
        <f t="shared" si="0"/>
        <v>97.28</v>
      </c>
      <c r="G29" s="1758" t="s">
        <v>164</v>
      </c>
      <c r="H29" s="1735">
        <v>41</v>
      </c>
      <c r="I29" s="1735">
        <v>44.3</v>
      </c>
      <c r="J29" s="1741">
        <f t="shared" si="1"/>
        <v>42.65</v>
      </c>
    </row>
    <row r="30" spans="2:10" ht="13.2">
      <c r="B30" s="1765" t="s">
        <v>1203</v>
      </c>
      <c r="C30" s="1764" t="s">
        <v>220</v>
      </c>
      <c r="D30" s="1763">
        <v>33.700000000000003</v>
      </c>
      <c r="E30" s="1763">
        <v>34.1</v>
      </c>
      <c r="F30" s="1749">
        <f t="shared" si="0"/>
        <v>33.900000000000006</v>
      </c>
      <c r="G30" s="1762" t="s">
        <v>164</v>
      </c>
      <c r="H30" s="1761">
        <v>38.799999999999997</v>
      </c>
      <c r="I30" s="1761">
        <f>$I$109</f>
        <v>37.700000000000003</v>
      </c>
      <c r="J30" s="1741">
        <f t="shared" si="1"/>
        <v>38.25</v>
      </c>
    </row>
    <row r="31" spans="2:10" ht="13.2">
      <c r="B31" s="1742" t="s">
        <v>1202</v>
      </c>
      <c r="C31" s="1739" t="s">
        <v>220</v>
      </c>
      <c r="D31" s="1735">
        <v>33.700000000000003</v>
      </c>
      <c r="E31" s="1735">
        <v>34.1</v>
      </c>
      <c r="F31" s="1749">
        <f t="shared" si="0"/>
        <v>33.900000000000006</v>
      </c>
      <c r="G31" s="1758" t="s">
        <v>164</v>
      </c>
      <c r="H31" s="1735">
        <v>22</v>
      </c>
      <c r="I31" s="1735">
        <v>24</v>
      </c>
      <c r="J31" s="1741">
        <f t="shared" si="1"/>
        <v>23</v>
      </c>
    </row>
    <row r="32" spans="2:10" ht="13.2">
      <c r="B32" s="1742" t="s">
        <v>59</v>
      </c>
      <c r="C32" s="1739" t="s">
        <v>220</v>
      </c>
      <c r="D32" s="1735">
        <v>35.700000000000003</v>
      </c>
      <c r="E32" s="1735">
        <v>37</v>
      </c>
      <c r="F32" s="1749">
        <f t="shared" si="0"/>
        <v>36.35</v>
      </c>
      <c r="G32" s="1758" t="s">
        <v>1201</v>
      </c>
      <c r="H32" s="1760">
        <v>22</v>
      </c>
      <c r="I32" s="1759">
        <v>24</v>
      </c>
      <c r="J32" s="1741">
        <f t="shared" si="1"/>
        <v>23</v>
      </c>
    </row>
    <row r="33" spans="1:16" ht="13.2" hidden="1">
      <c r="B33" s="1742" t="s">
        <v>1200</v>
      </c>
      <c r="C33" s="1739" t="s">
        <v>1199</v>
      </c>
      <c r="D33" s="1735">
        <v>0.31</v>
      </c>
      <c r="E33" s="1735"/>
      <c r="F33" s="1749">
        <f t="shared" si="0"/>
        <v>0.155</v>
      </c>
      <c r="G33" s="1758" t="s">
        <v>164</v>
      </c>
      <c r="H33" s="1735">
        <v>7400</v>
      </c>
      <c r="I33" s="1735"/>
      <c r="J33" s="1741">
        <f t="shared" si="1"/>
        <v>3700</v>
      </c>
    </row>
    <row r="34" spans="1:16" ht="13.2">
      <c r="B34" s="1742" t="s">
        <v>187</v>
      </c>
      <c r="C34" s="1739" t="s">
        <v>220</v>
      </c>
      <c r="D34" s="1735">
        <v>42</v>
      </c>
      <c r="E34" s="1735">
        <v>31</v>
      </c>
      <c r="F34" s="1749">
        <f t="shared" si="0"/>
        <v>36.5</v>
      </c>
      <c r="G34" s="1758" t="s">
        <v>164</v>
      </c>
      <c r="H34" s="1735">
        <v>240</v>
      </c>
      <c r="I34" s="1735">
        <v>260</v>
      </c>
      <c r="J34" s="1741">
        <f t="shared" si="1"/>
        <v>250</v>
      </c>
    </row>
    <row r="35" spans="1:16" ht="13.2">
      <c r="B35" s="1742" t="s">
        <v>618</v>
      </c>
      <c r="C35" s="1739" t="s">
        <v>220</v>
      </c>
      <c r="D35" s="1755">
        <v>18</v>
      </c>
      <c r="E35" s="1755">
        <v>13.5</v>
      </c>
      <c r="F35" s="1749">
        <f t="shared" si="0"/>
        <v>15.75</v>
      </c>
      <c r="G35" s="1757" t="s">
        <v>164</v>
      </c>
      <c r="H35" s="1756">
        <v>365.6</v>
      </c>
      <c r="I35" s="1755">
        <v>480</v>
      </c>
      <c r="J35" s="1741">
        <f t="shared" si="1"/>
        <v>422.8</v>
      </c>
    </row>
    <row r="36" spans="1:16" ht="13.2">
      <c r="B36" s="1742" t="s">
        <v>1198</v>
      </c>
      <c r="C36" s="1562" t="s">
        <v>220</v>
      </c>
      <c r="D36" s="1753">
        <v>28</v>
      </c>
      <c r="E36" s="1753">
        <v>25</v>
      </c>
      <c r="F36" s="1749">
        <f t="shared" si="0"/>
        <v>26.5</v>
      </c>
      <c r="G36" s="1754" t="s">
        <v>164</v>
      </c>
      <c r="H36" s="1753">
        <v>170</v>
      </c>
      <c r="I36" s="1753">
        <v>250</v>
      </c>
      <c r="J36" s="1741">
        <f t="shared" si="1"/>
        <v>210</v>
      </c>
    </row>
    <row r="37" spans="1:16" ht="13.8" thickBot="1">
      <c r="A37" s="1752"/>
      <c r="B37" s="1751" t="s">
        <v>44</v>
      </c>
      <c r="C37" s="1750" t="s">
        <v>220</v>
      </c>
      <c r="D37" s="1746">
        <v>3.53</v>
      </c>
      <c r="E37" s="1746">
        <v>3</v>
      </c>
      <c r="F37" s="1749">
        <f t="shared" si="0"/>
        <v>3.2649999999999997</v>
      </c>
      <c r="G37" s="1748" t="s">
        <v>164</v>
      </c>
      <c r="H37" s="1747">
        <v>775.2</v>
      </c>
      <c r="I37" s="1746">
        <v>910</v>
      </c>
      <c r="J37" s="1741">
        <f t="shared" si="1"/>
        <v>842.6</v>
      </c>
    </row>
    <row r="38" spans="1:16" ht="14.4" hidden="1" thickTop="1" thickBot="1">
      <c r="B38" s="1742" t="s">
        <v>1197</v>
      </c>
      <c r="C38" s="1739" t="s">
        <v>220</v>
      </c>
      <c r="D38" s="1745"/>
      <c r="E38" s="1745"/>
      <c r="F38" s="1745"/>
      <c r="G38" s="1745"/>
      <c r="H38" s="1745"/>
      <c r="I38" s="1743" t="e">
        <f>(D38*$D$4+E38*$E$4+F38*#REF!+G38*#REF!+H38*#REF!)/($D$4+$E$4+#REF!+#REF!+#REF!)</f>
        <v>#REF!</v>
      </c>
      <c r="J38" s="1741" t="e">
        <f t="shared" si="1"/>
        <v>#REF!</v>
      </c>
      <c r="K38" s="1745"/>
      <c r="L38" s="1744"/>
      <c r="M38" s="1744"/>
      <c r="N38" s="1744"/>
      <c r="O38" s="1744"/>
      <c r="P38" s="1743" t="e">
        <f>(K38*$D$4+L38*$E$4+M38*#REF!+N38*#REF!+O38*#REF!)/($D$4+$E$4+#REF!+#REF!+#REF!)</f>
        <v>#REF!</v>
      </c>
    </row>
    <row r="39" spans="1:16" ht="14.4" hidden="1" thickTop="1" thickBot="1">
      <c r="B39" s="1742" t="s">
        <v>1196</v>
      </c>
      <c r="C39" s="1739" t="s">
        <v>220</v>
      </c>
      <c r="D39" s="1736"/>
      <c r="E39" s="1736"/>
      <c r="F39" s="1736"/>
      <c r="G39" s="1736"/>
      <c r="H39" s="1736"/>
      <c r="I39" s="1734" t="e">
        <f>(D39*$D$4+E39*$E$4+F39*#REF!+G39*#REF!+H39*#REF!)/($D$4+$E$4+#REF!+#REF!+#REF!)</f>
        <v>#REF!</v>
      </c>
      <c r="J39" s="1741" t="e">
        <f t="shared" si="1"/>
        <v>#REF!</v>
      </c>
      <c r="K39" s="1736"/>
      <c r="L39" s="1735"/>
      <c r="M39" s="1735"/>
      <c r="N39" s="1735"/>
      <c r="O39" s="1735"/>
      <c r="P39" s="1734" t="e">
        <f>(K39*$D$4+L39*$E$4+M39*#REF!+N39*#REF!+O39*#REF!)/($D$4+$E$4+#REF!+#REF!+#REF!)</f>
        <v>#REF!</v>
      </c>
    </row>
    <row r="40" spans="1:16" ht="14.4" hidden="1" thickTop="1" thickBot="1">
      <c r="B40" s="1740" t="s">
        <v>1195</v>
      </c>
      <c r="C40" s="1739" t="s">
        <v>220</v>
      </c>
      <c r="D40" s="1738"/>
      <c r="E40" s="1738"/>
      <c r="F40" s="1738"/>
      <c r="G40" s="1738"/>
      <c r="H40" s="1738"/>
      <c r="I40" s="1734"/>
      <c r="J40" s="1737"/>
      <c r="K40" s="1736"/>
      <c r="L40" s="1735"/>
      <c r="M40" s="1735"/>
      <c r="N40" s="1735"/>
      <c r="O40" s="1735"/>
      <c r="P40" s="1734"/>
    </row>
    <row r="41" spans="1:16" ht="12" thickTop="1">
      <c r="A41" s="1733"/>
      <c r="B41" s="1732"/>
    </row>
    <row r="44" spans="1:16" ht="13.2">
      <c r="B44" s="1436" t="s">
        <v>1194</v>
      </c>
    </row>
    <row r="45" spans="1:16" ht="15.6" hidden="1">
      <c r="B45" s="1731" t="s">
        <v>1193</v>
      </c>
    </row>
    <row r="46" spans="1:16" ht="13.2" hidden="1">
      <c r="B46" s="1730" t="s">
        <v>1192</v>
      </c>
      <c r="C46" s="1721"/>
      <c r="D46" s="1721"/>
      <c r="E46" s="1721"/>
      <c r="F46" s="1729">
        <v>2011</v>
      </c>
      <c r="G46" s="1729">
        <v>2010</v>
      </c>
      <c r="H46" s="1729">
        <v>2009</v>
      </c>
      <c r="I46" s="1728">
        <v>2008</v>
      </c>
      <c r="J46" s="1728">
        <v>2007</v>
      </c>
      <c r="K46" s="1728"/>
      <c r="L46" s="1727" t="s">
        <v>1191</v>
      </c>
    </row>
    <row r="47" spans="1:16" ht="13.2" hidden="1">
      <c r="B47" s="1721"/>
      <c r="C47" s="1721"/>
      <c r="D47" s="1721"/>
      <c r="E47" s="1721"/>
      <c r="F47" s="1721"/>
      <c r="G47" s="1726"/>
      <c r="H47" s="1726"/>
      <c r="I47" s="1725"/>
      <c r="J47" s="1725"/>
      <c r="K47" s="1725"/>
      <c r="L47" s="1724"/>
    </row>
    <row r="48" spans="1:16" ht="13.2" hidden="1">
      <c r="B48" s="1723" t="s">
        <v>259</v>
      </c>
      <c r="C48" s="1721"/>
      <c r="D48" s="1721"/>
      <c r="E48" s="1721"/>
      <c r="F48" s="1722">
        <v>69.8</v>
      </c>
      <c r="G48" s="1721">
        <v>69</v>
      </c>
      <c r="H48" s="1721">
        <v>73.5</v>
      </c>
      <c r="I48" s="1720">
        <v>74.400000000000006</v>
      </c>
      <c r="J48" s="1720">
        <v>72.3</v>
      </c>
      <c r="K48" s="1720"/>
      <c r="L48" s="1720">
        <v>71.800000000000011</v>
      </c>
    </row>
    <row r="49" spans="2:12" ht="13.2" hidden="1">
      <c r="B49" s="1723" t="s">
        <v>80</v>
      </c>
      <c r="C49" s="1721"/>
      <c r="D49" s="1721"/>
      <c r="E49" s="1721"/>
      <c r="F49" s="1722"/>
      <c r="G49" s="1721">
        <v>56.1</v>
      </c>
      <c r="H49" s="1721">
        <v>60.1</v>
      </c>
      <c r="I49" s="1720">
        <v>59.1</v>
      </c>
      <c r="J49" s="1720">
        <v>54.8</v>
      </c>
      <c r="K49" s="1720"/>
      <c r="L49" s="1720">
        <v>57.525000000000006</v>
      </c>
    </row>
    <row r="50" spans="2:12" ht="13.2" hidden="1">
      <c r="B50" s="1723" t="s">
        <v>72</v>
      </c>
      <c r="C50" s="1721"/>
      <c r="D50" s="1721"/>
      <c r="E50" s="1721"/>
      <c r="F50" s="1722"/>
      <c r="G50" s="1721">
        <v>53.4</v>
      </c>
      <c r="H50" s="1721">
        <v>55.2</v>
      </c>
      <c r="I50" s="1720">
        <v>60.4</v>
      </c>
      <c r="J50" s="1720">
        <v>48.8</v>
      </c>
      <c r="K50" s="1720"/>
      <c r="L50" s="1720">
        <v>54.45</v>
      </c>
    </row>
    <row r="51" spans="2:12" ht="13.2" hidden="1">
      <c r="B51" s="1723" t="s">
        <v>930</v>
      </c>
      <c r="C51" s="1721"/>
      <c r="D51" s="1721"/>
      <c r="E51" s="1721"/>
      <c r="F51" s="1722"/>
      <c r="G51" s="1721">
        <v>55.7</v>
      </c>
      <c r="H51" s="1721">
        <v>60.2</v>
      </c>
      <c r="I51" s="1720">
        <v>58.8</v>
      </c>
      <c r="J51" s="1720">
        <v>53.1</v>
      </c>
      <c r="K51" s="1720"/>
      <c r="L51" s="1720">
        <v>56.949999999999996</v>
      </c>
    </row>
    <row r="52" spans="2:12" ht="13.2" hidden="1">
      <c r="B52" s="1723" t="s">
        <v>87</v>
      </c>
      <c r="C52" s="1721"/>
      <c r="D52" s="1721"/>
      <c r="E52" s="1721"/>
      <c r="F52" s="1722">
        <v>67.5</v>
      </c>
      <c r="G52" s="1721">
        <v>65.900000000000006</v>
      </c>
      <c r="H52" s="1721">
        <v>69</v>
      </c>
      <c r="I52" s="1720">
        <v>68.099999999999994</v>
      </c>
      <c r="J52" s="1720">
        <v>67.400000000000006</v>
      </c>
      <c r="K52" s="1720"/>
      <c r="L52" s="1720">
        <v>67.58</v>
      </c>
    </row>
    <row r="53" spans="2:12" ht="13.2" hidden="1">
      <c r="B53" s="1723" t="s">
        <v>85</v>
      </c>
      <c r="C53" s="1721"/>
      <c r="D53" s="1721"/>
      <c r="E53" s="1721"/>
      <c r="F53" s="1722">
        <v>61.7</v>
      </c>
      <c r="G53" s="1721">
        <v>62.1</v>
      </c>
      <c r="H53" s="1721">
        <v>65.599999999999994</v>
      </c>
      <c r="I53" s="1720">
        <v>58.4</v>
      </c>
      <c r="J53" s="1720">
        <v>60.2</v>
      </c>
      <c r="K53" s="1720"/>
      <c r="L53" s="1720">
        <v>61.6</v>
      </c>
    </row>
    <row r="54" spans="2:12" ht="13.2" hidden="1">
      <c r="B54" s="1723" t="s">
        <v>257</v>
      </c>
      <c r="C54" s="1721"/>
      <c r="D54" s="1721"/>
      <c r="E54" s="1721"/>
      <c r="F54" s="1722">
        <v>50.4</v>
      </c>
      <c r="G54" s="1721">
        <v>55</v>
      </c>
      <c r="H54" s="1721">
        <v>55.3</v>
      </c>
      <c r="I54" s="1720">
        <v>53.2</v>
      </c>
      <c r="J54" s="1720">
        <v>44.3</v>
      </c>
      <c r="K54" s="1720"/>
      <c r="L54" s="1720">
        <v>51.64</v>
      </c>
    </row>
    <row r="55" spans="2:12" ht="13.2" hidden="1">
      <c r="B55" s="1723" t="s">
        <v>74</v>
      </c>
      <c r="C55" s="1721"/>
      <c r="D55" s="1721"/>
      <c r="E55" s="1721"/>
      <c r="F55" s="1722">
        <v>47.8</v>
      </c>
      <c r="G55" s="1721">
        <v>49.5</v>
      </c>
      <c r="H55" s="1721">
        <v>59</v>
      </c>
      <c r="I55" s="1720">
        <v>55.5</v>
      </c>
      <c r="J55" s="1720">
        <v>44.7</v>
      </c>
      <c r="K55" s="1720"/>
      <c r="L55" s="1720">
        <v>51.3</v>
      </c>
    </row>
    <row r="56" spans="2:12" ht="13.2" hidden="1">
      <c r="B56" s="1723" t="s">
        <v>1190</v>
      </c>
      <c r="C56" s="1721"/>
      <c r="D56" s="1721"/>
      <c r="E56" s="1721"/>
      <c r="F56" s="1722">
        <v>121.2</v>
      </c>
      <c r="G56" s="1721">
        <v>98.5</v>
      </c>
      <c r="H56" s="1721">
        <v>109.2</v>
      </c>
      <c r="I56" s="1720">
        <v>105.4</v>
      </c>
      <c r="J56" s="1720">
        <v>97.9</v>
      </c>
      <c r="K56" s="1720"/>
      <c r="L56" s="1720">
        <v>106.43999999999998</v>
      </c>
    </row>
    <row r="57" spans="2:12" ht="13.2" hidden="1">
      <c r="B57" s="1723" t="s">
        <v>44</v>
      </c>
      <c r="C57" s="1721"/>
      <c r="D57" s="1721"/>
      <c r="E57" s="1721"/>
      <c r="F57" s="1722">
        <v>802.5</v>
      </c>
      <c r="G57" s="1721">
        <v>689.9</v>
      </c>
      <c r="H57" s="1721">
        <v>727.2</v>
      </c>
      <c r="I57" s="1720">
        <v>667.8</v>
      </c>
      <c r="J57" s="1720">
        <v>644.20000000000005</v>
      </c>
      <c r="K57" s="1720"/>
      <c r="L57" s="1720">
        <v>706.32</v>
      </c>
    </row>
    <row r="58" spans="2:12" ht="13.2" hidden="1">
      <c r="B58" s="1723" t="s">
        <v>187</v>
      </c>
      <c r="C58" s="1721"/>
      <c r="D58" s="1721"/>
      <c r="E58" s="1721"/>
      <c r="F58" s="1722"/>
      <c r="G58" s="1721"/>
      <c r="H58" s="1721">
        <v>270.7</v>
      </c>
      <c r="I58" s="1720">
        <v>282.39999999999998</v>
      </c>
      <c r="J58" s="1720">
        <v>283.7</v>
      </c>
      <c r="K58" s="1720"/>
      <c r="L58" s="1720">
        <v>278.93333333333334</v>
      </c>
    </row>
    <row r="59" spans="2:12" ht="13.2" hidden="1">
      <c r="B59" s="1723" t="s">
        <v>1189</v>
      </c>
      <c r="C59" s="1721"/>
      <c r="D59" s="1721"/>
      <c r="E59" s="1721"/>
      <c r="F59" s="1722"/>
      <c r="G59" s="1721"/>
      <c r="H59" s="1721">
        <v>387.2</v>
      </c>
      <c r="I59" s="1720">
        <v>371.3</v>
      </c>
      <c r="J59" s="1720">
        <v>363.3</v>
      </c>
      <c r="K59" s="1720"/>
      <c r="L59" s="1720">
        <v>373.93333333333334</v>
      </c>
    </row>
    <row r="60" spans="2:12" ht="13.2" hidden="1">
      <c r="B60" s="1723" t="s">
        <v>671</v>
      </c>
      <c r="C60" s="1721"/>
      <c r="D60" s="1721"/>
      <c r="E60" s="1721"/>
      <c r="F60" s="1722">
        <v>443.2</v>
      </c>
      <c r="G60" s="1721">
        <v>346.8</v>
      </c>
      <c r="H60" s="1721"/>
      <c r="I60" s="1720"/>
      <c r="J60" s="1720">
        <v>349.9</v>
      </c>
      <c r="K60" s="1720"/>
      <c r="L60" s="1720">
        <v>379.9666666666667</v>
      </c>
    </row>
    <row r="61" spans="2:12" ht="13.2" hidden="1">
      <c r="B61" s="1723" t="s">
        <v>63</v>
      </c>
      <c r="C61" s="1721"/>
      <c r="D61" s="1721"/>
      <c r="E61" s="1721"/>
      <c r="F61" s="1722">
        <v>26.5</v>
      </c>
      <c r="G61" s="1721">
        <v>38.799999999999997</v>
      </c>
      <c r="H61" s="1721">
        <v>41.8</v>
      </c>
      <c r="I61" s="1720">
        <v>37.4</v>
      </c>
      <c r="J61" s="1720">
        <v>42.1</v>
      </c>
      <c r="K61" s="1720"/>
      <c r="L61" s="1720">
        <v>37.32</v>
      </c>
    </row>
    <row r="62" spans="2:12" ht="13.2" hidden="1">
      <c r="B62" s="1723" t="s">
        <v>61</v>
      </c>
      <c r="C62" s="1721"/>
      <c r="D62" s="1721"/>
      <c r="E62" s="1721"/>
      <c r="F62" s="1722"/>
      <c r="G62" s="1721">
        <v>25.2</v>
      </c>
      <c r="H62" s="1721">
        <v>24.4</v>
      </c>
      <c r="I62" s="1720">
        <v>26.2</v>
      </c>
      <c r="J62" s="1720">
        <v>24.9</v>
      </c>
      <c r="K62" s="1720"/>
      <c r="L62" s="1720">
        <v>25.174999999999997</v>
      </c>
    </row>
    <row r="63" spans="2:12" ht="13.2" hidden="1">
      <c r="B63" s="1723" t="s">
        <v>53</v>
      </c>
      <c r="C63" s="1721"/>
      <c r="D63" s="1721"/>
      <c r="E63" s="1721"/>
      <c r="F63" s="1722"/>
      <c r="G63" s="1721">
        <v>34.6</v>
      </c>
      <c r="H63" s="1721">
        <v>35.9</v>
      </c>
      <c r="I63" s="1720">
        <v>36.700000000000003</v>
      </c>
      <c r="J63" s="1720">
        <v>34</v>
      </c>
      <c r="K63" s="1720"/>
      <c r="L63" s="1720">
        <v>35.299999999999997</v>
      </c>
    </row>
    <row r="64" spans="2:12" ht="13.2" hidden="1">
      <c r="B64" s="1723" t="s">
        <v>51</v>
      </c>
      <c r="C64" s="1721"/>
      <c r="D64" s="1721"/>
      <c r="E64" s="1721"/>
      <c r="F64" s="1722"/>
      <c r="G64" s="1721">
        <v>32.299999999999997</v>
      </c>
      <c r="H64" s="1721">
        <v>33.5</v>
      </c>
      <c r="I64" s="1720">
        <v>35</v>
      </c>
      <c r="J64" s="1720">
        <v>31.6</v>
      </c>
      <c r="K64" s="1720"/>
      <c r="L64" s="1720">
        <v>33.1</v>
      </c>
    </row>
    <row r="65" spans="2:12" ht="13.2" hidden="1">
      <c r="B65" s="1723" t="s">
        <v>1162</v>
      </c>
      <c r="C65" s="1721"/>
      <c r="D65" s="1721"/>
      <c r="E65" s="1721"/>
      <c r="F65" s="1722">
        <v>484.8</v>
      </c>
      <c r="G65" s="1721">
        <v>439.1</v>
      </c>
      <c r="H65" s="1721">
        <v>484.4</v>
      </c>
      <c r="I65" s="1720">
        <v>478.4</v>
      </c>
      <c r="J65" s="1720">
        <v>469.5</v>
      </c>
      <c r="K65" s="1720"/>
      <c r="L65" s="1720">
        <v>471.24000000000007</v>
      </c>
    </row>
    <row r="66" spans="2:12" ht="13.2" hidden="1">
      <c r="B66" s="1723" t="s">
        <v>1188</v>
      </c>
      <c r="C66" s="1721"/>
      <c r="D66" s="1721"/>
      <c r="E66" s="1721"/>
      <c r="F66" s="1722"/>
      <c r="G66" s="1721"/>
      <c r="H66" s="1721">
        <v>80.099999999999994</v>
      </c>
      <c r="I66" s="1720">
        <v>76.5</v>
      </c>
      <c r="J66" s="1720">
        <v>76.2</v>
      </c>
      <c r="K66" s="1720"/>
      <c r="L66" s="1720">
        <v>77.600000000000009</v>
      </c>
    </row>
    <row r="67" spans="2:12" ht="13.2" hidden="1">
      <c r="B67" s="1723" t="s">
        <v>1187</v>
      </c>
      <c r="C67" s="1721"/>
      <c r="D67" s="1721"/>
      <c r="E67" s="1721"/>
      <c r="F67" s="1722"/>
      <c r="G67" s="1721"/>
      <c r="H67" s="1721">
        <v>82</v>
      </c>
      <c r="I67" s="1720">
        <v>78.5</v>
      </c>
      <c r="J67" s="1720">
        <v>81.2</v>
      </c>
      <c r="K67" s="1720"/>
      <c r="L67" s="1720">
        <v>80.566666666666663</v>
      </c>
    </row>
    <row r="68" spans="2:12" ht="13.2" hidden="1">
      <c r="B68" s="1723" t="s">
        <v>1186</v>
      </c>
      <c r="C68" s="1721"/>
      <c r="D68" s="1721"/>
      <c r="E68" s="1721"/>
      <c r="F68" s="1722">
        <v>66.599999999999994</v>
      </c>
      <c r="G68" s="1721">
        <v>63.6</v>
      </c>
      <c r="H68" s="1721"/>
      <c r="I68" s="1720"/>
      <c r="J68" s="1720"/>
      <c r="K68" s="1720"/>
      <c r="L68" s="1720">
        <v>65.099999999999994</v>
      </c>
    </row>
    <row r="69" spans="2:12" ht="13.2" hidden="1">
      <c r="B69" s="1723" t="s">
        <v>1185</v>
      </c>
      <c r="C69" s="1721"/>
      <c r="D69" s="1721"/>
      <c r="E69" s="1721"/>
      <c r="F69" s="1722">
        <v>57.2</v>
      </c>
      <c r="G69" s="1721">
        <v>57.5</v>
      </c>
      <c r="H69" s="1721">
        <v>72.8</v>
      </c>
      <c r="I69" s="1720">
        <v>71.2</v>
      </c>
      <c r="J69" s="1720">
        <v>73</v>
      </c>
      <c r="K69" s="1720"/>
      <c r="L69" s="1720">
        <v>66.34</v>
      </c>
    </row>
    <row r="70" spans="2:12" ht="13.2" hidden="1">
      <c r="B70" s="1723" t="s">
        <v>1184</v>
      </c>
      <c r="C70" s="1721"/>
      <c r="D70" s="1721"/>
      <c r="E70" s="1721"/>
      <c r="F70" s="1722">
        <v>66</v>
      </c>
      <c r="G70" s="1721">
        <v>62.9</v>
      </c>
      <c r="H70" s="1721">
        <v>76.3</v>
      </c>
      <c r="I70" s="1720">
        <v>75.3</v>
      </c>
      <c r="J70" s="1720">
        <v>73.099999999999994</v>
      </c>
      <c r="K70" s="1720"/>
      <c r="L70" s="1720">
        <v>70.72</v>
      </c>
    </row>
    <row r="71" spans="2:12" ht="13.2">
      <c r="C71" s="3764" t="s">
        <v>1183</v>
      </c>
      <c r="D71" s="3765"/>
      <c r="E71" s="3765"/>
      <c r="F71" s="3765"/>
      <c r="G71" s="3765"/>
    </row>
    <row r="72" spans="2:12">
      <c r="B72" s="3766" t="s">
        <v>1182</v>
      </c>
      <c r="C72" s="1713">
        <v>2013</v>
      </c>
      <c r="D72" s="1713">
        <v>2014</v>
      </c>
      <c r="E72" s="1713">
        <v>2015</v>
      </c>
      <c r="F72" s="1713">
        <v>2016</v>
      </c>
      <c r="G72" s="1713">
        <v>2017</v>
      </c>
    </row>
    <row r="73" spans="2:12" ht="13.2">
      <c r="B73" s="3767"/>
      <c r="C73" s="3768" t="s">
        <v>164</v>
      </c>
      <c r="D73" s="3769"/>
      <c r="E73" s="3769"/>
      <c r="F73" s="3769"/>
      <c r="G73" s="3769"/>
    </row>
    <row r="74" spans="2:12" ht="13.2">
      <c r="B74" s="1718" t="s">
        <v>259</v>
      </c>
      <c r="C74" s="1715">
        <v>74.099999999999994</v>
      </c>
      <c r="D74" s="1715">
        <v>83.5</v>
      </c>
      <c r="E74" s="1715">
        <v>76.3</v>
      </c>
      <c r="F74" s="1715">
        <v>66.099999999999994</v>
      </c>
      <c r="G74" s="1715" t="s">
        <v>1161</v>
      </c>
    </row>
    <row r="75" spans="2:12" ht="13.2">
      <c r="B75" s="1718" t="s">
        <v>85</v>
      </c>
      <c r="C75" s="1715">
        <v>68.3</v>
      </c>
      <c r="D75" s="1715">
        <v>76.2</v>
      </c>
      <c r="E75" s="1715">
        <v>67.400000000000006</v>
      </c>
      <c r="F75" s="1715">
        <v>67.400000000000006</v>
      </c>
      <c r="G75" s="1715" t="s">
        <v>1161</v>
      </c>
    </row>
    <row r="76" spans="2:12" ht="13.2">
      <c r="B76" s="1718" t="s">
        <v>257</v>
      </c>
      <c r="C76" s="1715">
        <v>55.4</v>
      </c>
      <c r="D76" s="1715">
        <v>59.7</v>
      </c>
      <c r="E76" s="1715">
        <v>53.9</v>
      </c>
      <c r="F76" s="1715">
        <v>49.6</v>
      </c>
      <c r="G76" s="1715" t="s">
        <v>1161</v>
      </c>
    </row>
    <row r="77" spans="2:12" ht="13.2">
      <c r="B77" s="1718" t="s">
        <v>74</v>
      </c>
      <c r="C77" s="1715">
        <v>45.2</v>
      </c>
      <c r="D77" s="1715">
        <v>52.5</v>
      </c>
      <c r="E77" s="1715">
        <v>46.6</v>
      </c>
      <c r="F77" s="1715">
        <v>45.6</v>
      </c>
      <c r="G77" s="1715" t="s">
        <v>1161</v>
      </c>
    </row>
    <row r="78" spans="2:12" ht="13.2">
      <c r="B78" s="1718" t="s">
        <v>87</v>
      </c>
      <c r="C78" s="1715">
        <v>69.900000000000006</v>
      </c>
      <c r="D78" s="1715">
        <v>74.400000000000006</v>
      </c>
      <c r="E78" s="1715">
        <v>67.5</v>
      </c>
      <c r="F78" s="1715">
        <v>53.1</v>
      </c>
      <c r="G78" s="1715" t="s">
        <v>1161</v>
      </c>
    </row>
    <row r="79" spans="2:12" ht="13.2">
      <c r="B79" s="1718" t="s">
        <v>69</v>
      </c>
      <c r="C79" s="1715">
        <v>95.6</v>
      </c>
      <c r="D79" s="1715">
        <v>115.7</v>
      </c>
      <c r="E79" s="1715">
        <v>84.3</v>
      </c>
      <c r="F79" s="1715">
        <v>96.1</v>
      </c>
      <c r="G79" s="1715" t="s">
        <v>1161</v>
      </c>
    </row>
    <row r="80" spans="2:12" ht="13.2">
      <c r="B80" s="1718" t="s">
        <v>671</v>
      </c>
      <c r="C80" s="1715">
        <v>364.9</v>
      </c>
      <c r="D80" s="1715">
        <v>473.2</v>
      </c>
      <c r="E80" s="1715">
        <v>369.4</v>
      </c>
      <c r="F80" s="1715">
        <v>365.6</v>
      </c>
      <c r="G80" s="1715" t="s">
        <v>1161</v>
      </c>
    </row>
    <row r="81" spans="2:10" ht="13.2">
      <c r="B81" s="1718" t="s">
        <v>44</v>
      </c>
      <c r="C81" s="1715">
        <v>753.9</v>
      </c>
      <c r="D81" s="1715">
        <v>878.4</v>
      </c>
      <c r="E81" s="1715">
        <v>673.8</v>
      </c>
      <c r="F81" s="1715">
        <v>775.2</v>
      </c>
      <c r="G81" s="1715" t="s">
        <v>1161</v>
      </c>
    </row>
    <row r="82" spans="2:10" ht="13.2">
      <c r="B82" s="1718" t="s">
        <v>63</v>
      </c>
      <c r="C82" s="1715">
        <v>37</v>
      </c>
      <c r="D82" s="1715">
        <v>47.2</v>
      </c>
      <c r="E82" s="1715">
        <v>40.799999999999997</v>
      </c>
      <c r="F82" s="1715">
        <v>38.799999999999997</v>
      </c>
      <c r="G82" s="1715" t="s">
        <v>1161</v>
      </c>
    </row>
    <row r="83" spans="2:10" ht="13.2">
      <c r="B83" s="1718" t="s">
        <v>1162</v>
      </c>
      <c r="C83" s="1715">
        <v>426.6</v>
      </c>
      <c r="D83" s="1715">
        <v>485.3</v>
      </c>
      <c r="E83" s="1715">
        <v>393.2</v>
      </c>
      <c r="F83" s="1715">
        <v>427.1</v>
      </c>
      <c r="G83" s="1715" t="s">
        <v>1161</v>
      </c>
    </row>
    <row r="84" spans="2:10" ht="15.6">
      <c r="B84" s="1718" t="s">
        <v>1181</v>
      </c>
      <c r="C84" s="1715">
        <v>56.6</v>
      </c>
      <c r="D84" s="1715">
        <v>59.1</v>
      </c>
      <c r="E84" s="1715">
        <v>48.5</v>
      </c>
      <c r="F84" s="1715">
        <v>61.9</v>
      </c>
      <c r="G84" s="1715" t="s">
        <v>1161</v>
      </c>
    </row>
    <row r="85" spans="2:10" ht="15.6">
      <c r="B85" s="1718" t="s">
        <v>1180</v>
      </c>
      <c r="C85" s="1715">
        <v>63.4</v>
      </c>
      <c r="D85" s="1715">
        <v>57.5</v>
      </c>
      <c r="E85" s="1715">
        <v>47.4</v>
      </c>
      <c r="F85" s="1715">
        <v>52.3</v>
      </c>
      <c r="G85" s="1715" t="s">
        <v>1161</v>
      </c>
    </row>
    <row r="87" spans="2:10" ht="13.2" customHeight="1">
      <c r="B87" s="3770" t="s">
        <v>1179</v>
      </c>
      <c r="C87" s="3770"/>
      <c r="D87" s="3770"/>
      <c r="E87" s="3770"/>
      <c r="F87" s="3770"/>
      <c r="G87" s="3770"/>
      <c r="H87" s="3770"/>
      <c r="I87" s="3770"/>
      <c r="J87" s="3770"/>
    </row>
    <row r="88" spans="2:10" ht="13.2">
      <c r="B88" s="3771" t="s">
        <v>1178</v>
      </c>
      <c r="C88" s="3771" t="s">
        <v>1177</v>
      </c>
      <c r="D88" s="3771"/>
      <c r="E88" s="3771"/>
      <c r="F88" s="3771"/>
      <c r="G88" s="3771"/>
      <c r="H88" s="3770"/>
      <c r="I88" s="3770"/>
      <c r="J88" s="1719"/>
    </row>
    <row r="89" spans="2:10" ht="13.2">
      <c r="B89" s="3771"/>
      <c r="C89" s="3771"/>
      <c r="D89" s="3771"/>
      <c r="E89" s="3771"/>
      <c r="F89" s="3771"/>
      <c r="G89" s="3771"/>
      <c r="H89" s="3770"/>
      <c r="I89" s="3770"/>
      <c r="J89" s="1719"/>
    </row>
    <row r="90" spans="2:10" ht="26.4" customHeight="1">
      <c r="B90" s="3771"/>
      <c r="C90" s="3771"/>
      <c r="D90" s="3771"/>
      <c r="E90" s="3771"/>
      <c r="F90" s="3771"/>
      <c r="G90" s="3771"/>
      <c r="H90" s="3770"/>
      <c r="I90" s="3770"/>
      <c r="J90" s="1719"/>
    </row>
    <row r="91" spans="2:10" ht="39.6">
      <c r="B91" s="3771"/>
      <c r="C91" s="1719" t="s">
        <v>1176</v>
      </c>
      <c r="D91" s="1719" t="s">
        <v>1175</v>
      </c>
      <c r="E91" s="1719" t="s">
        <v>1174</v>
      </c>
      <c r="F91" s="1719" t="s">
        <v>1173</v>
      </c>
      <c r="G91" s="1719" t="s">
        <v>1172</v>
      </c>
      <c r="H91" s="1719"/>
      <c r="I91" s="1719" t="s">
        <v>1171</v>
      </c>
      <c r="J91" s="1719"/>
    </row>
    <row r="92" spans="2:10" ht="13.2" customHeight="1">
      <c r="B92" s="3771"/>
      <c r="C92" s="3770" t="s">
        <v>164</v>
      </c>
      <c r="D92" s="3770"/>
      <c r="E92" s="3770"/>
      <c r="F92" s="3770"/>
      <c r="G92" s="3770"/>
      <c r="H92" s="3770"/>
      <c r="I92" s="3770"/>
      <c r="J92" s="3770"/>
    </row>
    <row r="93" spans="2:10" ht="13.2">
      <c r="B93" s="1718" t="s">
        <v>1170</v>
      </c>
      <c r="C93" s="1717" t="s">
        <v>160</v>
      </c>
      <c r="D93" s="1717" t="s">
        <v>160</v>
      </c>
      <c r="E93" s="1717">
        <v>73.8</v>
      </c>
      <c r="F93" s="1717" t="s">
        <v>160</v>
      </c>
      <c r="G93" s="1717" t="s">
        <v>160</v>
      </c>
      <c r="H93" s="1715"/>
      <c r="I93" s="1716"/>
      <c r="J93" s="1715"/>
    </row>
    <row r="94" spans="2:10" ht="15.6">
      <c r="B94" s="1718" t="s">
        <v>1169</v>
      </c>
      <c r="C94" s="1717" t="s">
        <v>160</v>
      </c>
      <c r="D94" s="1717" t="s">
        <v>160</v>
      </c>
      <c r="E94" s="1717">
        <v>97.1</v>
      </c>
      <c r="F94" s="1717" t="s">
        <v>1161</v>
      </c>
      <c r="G94" s="1717" t="s">
        <v>160</v>
      </c>
      <c r="H94" s="1715"/>
      <c r="I94" s="1716">
        <v>97.1</v>
      </c>
      <c r="J94" s="1715"/>
    </row>
    <row r="95" spans="2:10" ht="13.2">
      <c r="B95" s="1718" t="s">
        <v>1168</v>
      </c>
      <c r="C95" s="1717">
        <v>69</v>
      </c>
      <c r="D95" s="1717">
        <v>69.900000000000006</v>
      </c>
      <c r="E95" s="1717">
        <v>70.3</v>
      </c>
      <c r="F95" s="1717" t="s">
        <v>160</v>
      </c>
      <c r="G95" s="1717" t="s">
        <v>160</v>
      </c>
      <c r="H95" s="1715"/>
      <c r="I95" s="1716"/>
      <c r="J95" s="1715"/>
    </row>
    <row r="96" spans="2:10" ht="13.2">
      <c r="B96" s="1718" t="s">
        <v>1167</v>
      </c>
      <c r="C96" s="1717">
        <v>73</v>
      </c>
      <c r="D96" s="1717">
        <v>72.900000000000006</v>
      </c>
      <c r="E96" s="1717">
        <v>74</v>
      </c>
      <c r="F96" s="1717" t="s">
        <v>160</v>
      </c>
      <c r="G96" s="1717" t="s">
        <v>160</v>
      </c>
      <c r="H96" s="1715"/>
      <c r="I96" s="1716"/>
      <c r="J96" s="1715"/>
    </row>
    <row r="97" spans="2:10" ht="15.6">
      <c r="B97" s="1718" t="s">
        <v>1166</v>
      </c>
      <c r="C97" s="1717">
        <v>73.400000000000006</v>
      </c>
      <c r="D97" s="1717">
        <v>73.2</v>
      </c>
      <c r="E97" s="1717">
        <v>74.2</v>
      </c>
      <c r="F97" s="1717" t="s">
        <v>160</v>
      </c>
      <c r="G97" s="1717" t="s">
        <v>160</v>
      </c>
      <c r="H97" s="1715"/>
      <c r="I97" s="1716">
        <f>(C97+D97+E97)/3</f>
        <v>73.600000000000009</v>
      </c>
      <c r="J97" s="1715"/>
    </row>
    <row r="98" spans="2:10" ht="13.2">
      <c r="B98" s="1718" t="s">
        <v>80</v>
      </c>
      <c r="C98" s="1717">
        <v>57.4</v>
      </c>
      <c r="D98" s="1717">
        <v>55.7</v>
      </c>
      <c r="E98" s="1717">
        <v>62</v>
      </c>
      <c r="F98" s="1717" t="s">
        <v>160</v>
      </c>
      <c r="G98" s="1717" t="s">
        <v>160</v>
      </c>
      <c r="H98" s="1715"/>
      <c r="I98" s="1716"/>
      <c r="J98" s="1715"/>
    </row>
    <row r="99" spans="2:10" ht="13.2">
      <c r="B99" s="1718" t="s">
        <v>1165</v>
      </c>
      <c r="C99" s="1717">
        <v>52.4</v>
      </c>
      <c r="D99" s="1717">
        <v>54.3</v>
      </c>
      <c r="E99" s="1717">
        <v>54.1</v>
      </c>
      <c r="F99" s="1717" t="s">
        <v>160</v>
      </c>
      <c r="G99" s="1717" t="s">
        <v>160</v>
      </c>
      <c r="H99" s="1715"/>
      <c r="I99" s="1716"/>
      <c r="J99" s="1715"/>
    </row>
    <row r="100" spans="2:10" ht="13.2">
      <c r="B100" s="1718" t="s">
        <v>1164</v>
      </c>
      <c r="C100" s="1717">
        <v>66</v>
      </c>
      <c r="D100" s="1717">
        <v>69</v>
      </c>
      <c r="E100" s="1717">
        <v>68.400000000000006</v>
      </c>
      <c r="F100" s="1717" t="s">
        <v>160</v>
      </c>
      <c r="G100" s="1717" t="s">
        <v>160</v>
      </c>
      <c r="H100" s="1715"/>
      <c r="I100" s="1716"/>
      <c r="J100" s="1715"/>
    </row>
    <row r="101" spans="2:10" ht="13.2">
      <c r="B101" s="1718" t="s">
        <v>85</v>
      </c>
      <c r="C101" s="1717">
        <v>71.599999999999994</v>
      </c>
      <c r="D101" s="1717">
        <v>75.2</v>
      </c>
      <c r="E101" s="1717">
        <v>74.099999999999994</v>
      </c>
      <c r="F101" s="1717" t="s">
        <v>160</v>
      </c>
      <c r="G101" s="1717" t="s">
        <v>160</v>
      </c>
      <c r="H101" s="1715"/>
      <c r="I101" s="1716">
        <f>(C101+D101+E101)/3</f>
        <v>73.63333333333334</v>
      </c>
      <c r="J101" s="1715"/>
    </row>
    <row r="102" spans="2:10" ht="13.2">
      <c r="B102" s="1718" t="s">
        <v>257</v>
      </c>
      <c r="C102" s="1717">
        <v>56.5</v>
      </c>
      <c r="D102" s="1717">
        <v>58.5</v>
      </c>
      <c r="E102" s="1717">
        <v>58.8</v>
      </c>
      <c r="F102" s="1717" t="s">
        <v>160</v>
      </c>
      <c r="G102" s="1717" t="s">
        <v>160</v>
      </c>
      <c r="H102" s="1715"/>
      <c r="I102" s="1716"/>
      <c r="J102" s="1715"/>
    </row>
    <row r="103" spans="2:10" ht="13.2">
      <c r="B103" s="1718" t="s">
        <v>74</v>
      </c>
      <c r="C103" s="1717">
        <v>49.7</v>
      </c>
      <c r="D103" s="1717">
        <v>50.8</v>
      </c>
      <c r="E103" s="1717">
        <v>49.1</v>
      </c>
      <c r="F103" s="1717" t="s">
        <v>160</v>
      </c>
      <c r="G103" s="1717" t="s">
        <v>160</v>
      </c>
      <c r="H103" s="1715"/>
      <c r="I103" s="1716"/>
      <c r="J103" s="1715"/>
    </row>
    <row r="104" spans="2:10" ht="13.2">
      <c r="B104" s="1718" t="s">
        <v>87</v>
      </c>
      <c r="C104" s="1717">
        <v>73.099999999999994</v>
      </c>
      <c r="D104" s="1717">
        <v>72.5</v>
      </c>
      <c r="E104" s="1717">
        <v>72.400000000000006</v>
      </c>
      <c r="F104" s="1717" t="s">
        <v>160</v>
      </c>
      <c r="G104" s="1717" t="s">
        <v>160</v>
      </c>
      <c r="H104" s="1715"/>
      <c r="I104" s="1716"/>
      <c r="J104" s="1715"/>
    </row>
    <row r="105" spans="2:10" ht="13.2">
      <c r="B105" s="1718" t="s">
        <v>53</v>
      </c>
      <c r="C105" s="1717" t="s">
        <v>160</v>
      </c>
      <c r="D105" s="1717">
        <v>37.4</v>
      </c>
      <c r="E105" s="1717">
        <v>36.1</v>
      </c>
      <c r="F105" s="1717" t="s">
        <v>160</v>
      </c>
      <c r="G105" s="1717" t="s">
        <v>160</v>
      </c>
      <c r="H105" s="1715"/>
      <c r="I105" s="1716"/>
      <c r="J105" s="1715"/>
    </row>
    <row r="106" spans="2:10" ht="13.2">
      <c r="B106" s="1718" t="s">
        <v>51</v>
      </c>
      <c r="C106" s="1717" t="s">
        <v>160</v>
      </c>
      <c r="D106" s="1717" t="s">
        <v>160</v>
      </c>
      <c r="E106" s="1717">
        <v>29.1</v>
      </c>
      <c r="F106" s="1717" t="s">
        <v>160</v>
      </c>
      <c r="G106" s="1717" t="s">
        <v>160</v>
      </c>
      <c r="H106" s="1715"/>
      <c r="I106" s="1716"/>
      <c r="J106" s="1715"/>
    </row>
    <row r="107" spans="2:10" ht="13.2">
      <c r="B107" s="1718" t="s">
        <v>1163</v>
      </c>
      <c r="C107" s="1717" t="s">
        <v>160</v>
      </c>
      <c r="D107" s="1717" t="s">
        <v>160</v>
      </c>
      <c r="E107" s="1717">
        <v>362.8</v>
      </c>
      <c r="F107" s="1717" t="s">
        <v>160</v>
      </c>
      <c r="G107" s="1717" t="s">
        <v>160</v>
      </c>
      <c r="H107" s="1715"/>
      <c r="I107" s="1716"/>
      <c r="J107" s="1715"/>
    </row>
    <row r="108" spans="2:10" ht="13.2">
      <c r="B108" s="1718" t="s">
        <v>44</v>
      </c>
      <c r="C108" s="1717" t="s">
        <v>160</v>
      </c>
      <c r="D108" s="1717" t="s">
        <v>160</v>
      </c>
      <c r="E108" s="1717" t="s">
        <v>160</v>
      </c>
      <c r="F108" s="1717" t="s">
        <v>160</v>
      </c>
      <c r="G108" s="1717" t="s">
        <v>1161</v>
      </c>
      <c r="H108" s="1715"/>
      <c r="I108" s="1716"/>
      <c r="J108" s="1715"/>
    </row>
    <row r="109" spans="2:10" ht="13.2">
      <c r="B109" s="1718" t="s">
        <v>63</v>
      </c>
      <c r="C109" s="1717">
        <v>38.1</v>
      </c>
      <c r="D109" s="1717">
        <v>36.700000000000003</v>
      </c>
      <c r="E109" s="1717">
        <v>38.299999999999997</v>
      </c>
      <c r="F109" s="1717" t="s">
        <v>160</v>
      </c>
      <c r="G109" s="1717" t="s">
        <v>160</v>
      </c>
      <c r="H109" s="1715"/>
      <c r="I109" s="1716">
        <f>(C109+D109+E109)/3</f>
        <v>37.700000000000003</v>
      </c>
      <c r="J109" s="1715"/>
    </row>
    <row r="110" spans="2:10" ht="13.2">
      <c r="B110" s="1718" t="s">
        <v>1162</v>
      </c>
      <c r="C110" s="1717" t="s">
        <v>160</v>
      </c>
      <c r="D110" s="1717" t="s">
        <v>160</v>
      </c>
      <c r="E110" s="1717">
        <v>460.5</v>
      </c>
      <c r="F110" s="1717" t="s">
        <v>1161</v>
      </c>
      <c r="G110" s="1717" t="s">
        <v>160</v>
      </c>
      <c r="H110" s="1715"/>
      <c r="I110" s="1716"/>
      <c r="J110" s="1715"/>
    </row>
    <row r="111" spans="2:10" ht="12.6">
      <c r="B111" s="1714" t="s">
        <v>1160</v>
      </c>
    </row>
    <row r="112" spans="2:10" ht="12.6">
      <c r="B112" s="1714" t="s">
        <v>1159</v>
      </c>
    </row>
    <row r="113" spans="2:2" ht="12.6">
      <c r="B113" s="1714" t="s">
        <v>1158</v>
      </c>
    </row>
    <row r="114" spans="2:2" ht="12.6">
      <c r="B114" s="1714" t="s">
        <v>1157</v>
      </c>
    </row>
  </sheetData>
  <customSheetViews>
    <customSheetView guid="{8063F48F-80B5-4ECD-B18A-51CBF126E780}"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customSheetView>
    <customSheetView guid="{5D5C9B61-9ABD-4513-AAEB-8333A9D6196C}"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2"/>
      <headerFooter>
        <oddFooter>&amp;L&amp;9LEL Schwäbisch Gmünd, Abt. II&amp;C&amp;9&amp;F&amp;R&amp;9&amp;A</oddFooter>
      </headerFooter>
    </customSheetView>
    <customSheetView guid="{22A73C4F-9004-4CEF-8499-B1F91BE1B569}"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3"/>
      <headerFooter>
        <oddFooter>&amp;L&amp;9LEL Schwäbisch Gmünd, Abt. II&amp;C&amp;9&amp;F&amp;R&amp;9&amp;A</oddFooter>
      </headerFooter>
    </customSheetView>
  </customSheetViews>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4"/>
  <headerFooter>
    <oddFooter>&amp;L&amp;9LEL Schwäbisch Gmünd, Abt. II&amp;C&amp;9&amp;F&amp;R&amp;9&amp;A</oddFooter>
  </headerFooter>
  <rowBreaks count="1" manualBreakCount="1">
    <brk id="44" max="16383" man="1"/>
  </rowBreaks>
  <legacyDrawing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68">
    <tabColor rgb="FF00B0F0"/>
    <pageSetUpPr fitToPage="1"/>
  </sheetPr>
  <dimension ref="A1:AQ133"/>
  <sheetViews>
    <sheetView workbookViewId="0"/>
  </sheetViews>
  <sheetFormatPr baseColWidth="10" defaultColWidth="10.5" defaultRowHeight="13.2"/>
  <cols>
    <col min="1" max="1" width="1.69921875" style="27" customWidth="1"/>
    <col min="2" max="2" width="0.8984375" style="28" hidden="1" customWidth="1"/>
    <col min="3" max="3" width="4.3984375" style="28" customWidth="1"/>
    <col min="4" max="4" width="5.19921875" style="28" customWidth="1"/>
    <col min="5" max="5" width="12.19921875" style="28" customWidth="1"/>
    <col min="6" max="6" width="4.69921875" style="28" customWidth="1"/>
    <col min="7" max="7" width="3.19921875" style="28" customWidth="1"/>
    <col min="8" max="8" width="9.09765625" style="35" customWidth="1"/>
    <col min="9" max="10" width="10.19921875" style="35" customWidth="1"/>
    <col min="11" max="11" width="8.19921875" style="35" customWidth="1"/>
    <col min="12" max="12" width="7.5" style="35" customWidth="1"/>
    <col min="13" max="13" width="8.3984375" style="28" customWidth="1"/>
    <col min="14" max="15" width="8.3984375" style="2919" customWidth="1"/>
    <col min="16" max="16" width="8.3984375" style="2899" customWidth="1"/>
    <col min="17" max="17" width="10.5" style="28" customWidth="1"/>
    <col min="18" max="18" width="9.59765625" style="28" customWidth="1"/>
    <col min="19" max="19" width="18" style="27" customWidth="1"/>
    <col min="20" max="23" width="10.5" style="27" hidden="1" customWidth="1"/>
    <col min="24" max="24" width="13.19921875" style="1490" hidden="1" customWidth="1"/>
    <col min="25" max="30" width="0" style="27" hidden="1" customWidth="1"/>
    <col min="31" max="16384" width="10.5" style="27"/>
  </cols>
  <sheetData>
    <row r="1" spans="1:43" ht="22.8">
      <c r="A1" s="42"/>
      <c r="D1" s="1396"/>
    </row>
    <row r="2" spans="1:43" ht="21.15" customHeight="1">
      <c r="A2" s="252"/>
      <c r="B2" s="437" t="s">
        <v>451</v>
      </c>
      <c r="C2" s="219"/>
      <c r="D2" s="219"/>
      <c r="E2" s="219"/>
      <c r="F2" s="219"/>
      <c r="G2" s="219"/>
      <c r="H2" s="219"/>
      <c r="I2" s="100"/>
      <c r="J2" s="433"/>
      <c r="K2" s="100"/>
      <c r="L2" s="219"/>
      <c r="M2" s="100"/>
      <c r="N2" s="100"/>
      <c r="O2" s="100"/>
      <c r="P2" s="432" t="str">
        <f>SDÖ1!O2</f>
        <v>Marktfrüchte Öko</v>
      </c>
    </row>
    <row r="3" spans="1:43" ht="21.15" customHeight="1">
      <c r="A3" s="252"/>
      <c r="B3" s="3513" t="s">
        <v>1610</v>
      </c>
      <c r="C3" s="3512"/>
      <c r="D3" s="219"/>
      <c r="E3" s="435"/>
      <c r="F3" s="255"/>
      <c r="G3" s="255"/>
      <c r="H3" s="430"/>
      <c r="I3" s="100"/>
      <c r="J3" s="433"/>
      <c r="K3" s="100"/>
      <c r="L3" s="429"/>
      <c r="M3" s="100"/>
      <c r="N3" s="100"/>
      <c r="O3" s="100"/>
      <c r="P3" s="100"/>
      <c r="Q3" s="432"/>
      <c r="S3" s="201"/>
      <c r="T3" s="201"/>
      <c r="U3" s="201"/>
      <c r="V3" s="201"/>
      <c r="W3" s="201"/>
      <c r="X3" s="1514"/>
      <c r="Y3" s="201"/>
      <c r="Z3" s="201"/>
      <c r="AA3" s="201"/>
      <c r="AB3" s="201"/>
      <c r="AC3" s="201"/>
      <c r="AD3" s="201"/>
      <c r="AE3" s="201"/>
      <c r="AF3" s="201"/>
      <c r="AG3" s="201"/>
      <c r="AH3" s="201"/>
      <c r="AI3" s="201"/>
      <c r="AJ3" s="201"/>
      <c r="AK3" s="201"/>
      <c r="AL3" s="201"/>
      <c r="AM3" s="201"/>
      <c r="AN3" s="201"/>
      <c r="AO3" s="201"/>
      <c r="AP3" s="201"/>
      <c r="AQ3" s="201"/>
    </row>
    <row r="4" spans="1:43" ht="3.45" customHeight="1">
      <c r="A4" s="252"/>
      <c r="B4" s="431"/>
      <c r="C4" s="219"/>
      <c r="D4" s="255"/>
      <c r="E4" s="255"/>
      <c r="F4" s="255"/>
      <c r="G4" s="255"/>
      <c r="H4" s="430"/>
      <c r="I4" s="254"/>
      <c r="J4" s="430"/>
      <c r="K4" s="430"/>
      <c r="L4" s="429"/>
      <c r="M4" s="27"/>
      <c r="N4" s="3008"/>
      <c r="O4" s="3008"/>
      <c r="P4" s="2898"/>
      <c r="Q4" s="27"/>
      <c r="S4" s="201"/>
      <c r="T4" s="201"/>
      <c r="U4" s="201"/>
      <c r="V4" s="201"/>
      <c r="W4" s="201"/>
      <c r="X4" s="1514"/>
      <c r="Y4" s="201"/>
      <c r="Z4" s="201"/>
      <c r="AA4" s="201"/>
      <c r="AB4" s="201"/>
      <c r="AC4" s="201"/>
      <c r="AD4" s="201"/>
      <c r="AE4" s="201"/>
      <c r="AF4" s="201"/>
      <c r="AG4" s="201"/>
      <c r="AH4" s="201"/>
      <c r="AI4" s="201"/>
      <c r="AJ4" s="201"/>
      <c r="AK4" s="201"/>
      <c r="AL4" s="201"/>
      <c r="AM4" s="201"/>
      <c r="AN4" s="201"/>
      <c r="AO4" s="201"/>
      <c r="AP4" s="201"/>
      <c r="AQ4" s="201"/>
    </row>
    <row r="5" spans="1:43" ht="18" customHeight="1">
      <c r="A5" s="252"/>
      <c r="B5" s="2539"/>
      <c r="C5" s="2512"/>
      <c r="D5" s="1515"/>
      <c r="E5" s="1515"/>
      <c r="F5" s="1515"/>
      <c r="G5" s="1515"/>
      <c r="H5" s="427" t="s">
        <v>449</v>
      </c>
      <c r="I5" s="2528" t="s">
        <v>448</v>
      </c>
      <c r="J5" s="2540"/>
      <c r="K5" s="426" t="s">
        <v>447</v>
      </c>
      <c r="L5" s="426" t="s">
        <v>446</v>
      </c>
      <c r="M5" s="426" t="s">
        <v>147</v>
      </c>
      <c r="N5" s="2897"/>
      <c r="O5" s="2897"/>
      <c r="P5" s="2897"/>
      <c r="Q5" s="2541" t="s">
        <v>445</v>
      </c>
      <c r="S5" s="201"/>
      <c r="T5" s="201"/>
      <c r="U5" s="201"/>
      <c r="V5" s="201"/>
      <c r="W5" s="201"/>
      <c r="X5" s="1514"/>
      <c r="Y5" s="201"/>
      <c r="Z5" s="201"/>
      <c r="AA5" s="201"/>
      <c r="AB5" s="201"/>
      <c r="AC5" s="201"/>
      <c r="AD5" s="201"/>
      <c r="AE5" s="201"/>
      <c r="AF5" s="201"/>
      <c r="AG5" s="201"/>
      <c r="AH5" s="201"/>
      <c r="AI5" s="201"/>
      <c r="AJ5" s="201"/>
      <c r="AK5" s="201"/>
      <c r="AL5" s="201"/>
      <c r="AM5" s="201"/>
      <c r="AN5" s="201"/>
      <c r="AO5" s="201"/>
      <c r="AP5" s="201"/>
      <c r="AQ5" s="201"/>
    </row>
    <row r="6" spans="1:43" ht="18" customHeight="1">
      <c r="A6" s="252"/>
      <c r="B6" s="2539"/>
      <c r="C6" s="169" t="s">
        <v>1064</v>
      </c>
      <c r="D6" s="1515"/>
      <c r="E6" s="1515"/>
      <c r="F6" s="1516">
        <f>SDÖ1!O11</f>
        <v>0</v>
      </c>
      <c r="G6" s="1515" t="s">
        <v>112</v>
      </c>
      <c r="H6" s="427" t="s">
        <v>443</v>
      </c>
      <c r="I6" s="426" t="s">
        <v>239</v>
      </c>
      <c r="J6" s="426" t="str">
        <f>SDÖ1!O8</f>
        <v>ohne MwSt.</v>
      </c>
      <c r="K6" s="426" t="s">
        <v>143</v>
      </c>
      <c r="L6" s="426"/>
      <c r="M6" s="426"/>
      <c r="N6" s="2897"/>
      <c r="O6" s="2897"/>
      <c r="P6" s="2897"/>
      <c r="Q6" s="2529"/>
      <c r="S6" s="201"/>
      <c r="T6" s="201"/>
      <c r="U6" s="201"/>
      <c r="V6" s="201"/>
      <c r="W6" s="201"/>
      <c r="X6" s="1514"/>
      <c r="Y6" s="406"/>
      <c r="Z6" s="201"/>
      <c r="AA6" s="201"/>
      <c r="AB6" s="201"/>
      <c r="AC6" s="201"/>
      <c r="AD6" s="201"/>
      <c r="AE6" s="201"/>
      <c r="AF6" s="201"/>
      <c r="AG6" s="201"/>
      <c r="AH6" s="201"/>
      <c r="AI6" s="201"/>
      <c r="AJ6" s="201"/>
      <c r="AK6" s="201"/>
      <c r="AL6" s="201"/>
      <c r="AM6" s="201"/>
      <c r="AN6" s="201"/>
      <c r="AO6" s="201"/>
      <c r="AP6" s="201"/>
      <c r="AQ6" s="201"/>
    </row>
    <row r="7" spans="1:43" ht="17.399999999999999">
      <c r="A7" s="252"/>
      <c r="B7" s="2539"/>
      <c r="C7" s="169"/>
      <c r="D7" s="1515"/>
      <c r="E7" s="1515"/>
      <c r="F7" s="1516"/>
      <c r="G7" s="1515"/>
      <c r="H7" s="2543" t="s">
        <v>442</v>
      </c>
      <c r="I7" s="2544" t="s">
        <v>441</v>
      </c>
      <c r="J7" s="2544" t="s">
        <v>441</v>
      </c>
      <c r="K7" s="2544" t="s">
        <v>112</v>
      </c>
      <c r="L7" s="2544" t="s">
        <v>113</v>
      </c>
      <c r="M7" s="2545" t="s">
        <v>163</v>
      </c>
      <c r="N7" s="344"/>
      <c r="O7" s="344"/>
      <c r="P7" s="344"/>
      <c r="Q7" s="2542" t="s">
        <v>163</v>
      </c>
      <c r="S7" s="201"/>
      <c r="T7" s="201"/>
      <c r="U7" s="201"/>
      <c r="V7" s="201"/>
      <c r="W7" s="201"/>
      <c r="X7" s="1514"/>
      <c r="Y7" s="201"/>
      <c r="Z7" s="262"/>
      <c r="AA7" s="201"/>
      <c r="AB7" s="201"/>
      <c r="AC7" s="201"/>
      <c r="AD7" s="201"/>
      <c r="AE7" s="201"/>
      <c r="AF7" s="201"/>
      <c r="AG7" s="201"/>
      <c r="AH7" s="201"/>
      <c r="AI7" s="201"/>
      <c r="AJ7" s="201"/>
      <c r="AK7" s="201"/>
      <c r="AL7" s="201"/>
      <c r="AM7" s="201"/>
      <c r="AN7" s="201"/>
      <c r="AO7" s="201"/>
      <c r="AP7" s="201"/>
      <c r="AQ7" s="201"/>
    </row>
    <row r="8" spans="1:43" s="196" customFormat="1" ht="18" customHeight="1" thickBot="1">
      <c r="A8" s="420"/>
      <c r="B8" s="2430"/>
      <c r="C8" s="2430" t="s">
        <v>1063</v>
      </c>
      <c r="D8" s="2430"/>
      <c r="E8" s="2430"/>
      <c r="F8" s="2430"/>
      <c r="G8" s="2546"/>
      <c r="H8" s="394"/>
      <c r="I8" s="2547"/>
      <c r="J8" s="2547"/>
      <c r="K8" s="2547"/>
      <c r="L8" s="2547"/>
      <c r="M8" s="2548"/>
      <c r="N8" s="2548"/>
      <c r="O8" s="2548"/>
      <c r="P8" s="2548"/>
      <c r="Q8" s="2549">
        <f>ROUND(SUM(M11:M18),0)</f>
        <v>307</v>
      </c>
      <c r="R8" s="315"/>
      <c r="X8" s="1513"/>
      <c r="Y8" s="172" t="s">
        <v>414</v>
      </c>
    </row>
    <row r="9" spans="1:43" s="177" customFormat="1" ht="18" customHeight="1">
      <c r="B9" s="48"/>
      <c r="C9" s="2471"/>
      <c r="D9" s="35" t="s">
        <v>422</v>
      </c>
      <c r="E9" s="34"/>
      <c r="F9" s="404">
        <f>SDÖ1!O73</f>
        <v>2</v>
      </c>
      <c r="G9" s="34" t="s">
        <v>112</v>
      </c>
      <c r="H9" s="415"/>
      <c r="I9" s="414"/>
      <c r="J9" s="414"/>
      <c r="K9" s="414"/>
      <c r="L9" s="414"/>
      <c r="M9" s="414"/>
      <c r="N9" s="414"/>
      <c r="O9" s="414"/>
      <c r="P9" s="414"/>
      <c r="Q9" s="2534"/>
      <c r="R9" s="39"/>
      <c r="Y9" s="356" t="s">
        <v>439</v>
      </c>
      <c r="Z9" s="417"/>
      <c r="AA9" s="417"/>
      <c r="AB9" s="417"/>
      <c r="AC9" s="417"/>
      <c r="AD9" s="416"/>
    </row>
    <row r="10" spans="1:43" s="177" customFormat="1" ht="18" customHeight="1">
      <c r="B10" s="384"/>
      <c r="C10" s="399"/>
      <c r="D10" s="383" t="s">
        <v>1062</v>
      </c>
      <c r="E10" s="399"/>
      <c r="F10" s="410">
        <v>2</v>
      </c>
      <c r="G10" s="381" t="s">
        <v>112</v>
      </c>
      <c r="H10" s="409"/>
      <c r="I10" s="408"/>
      <c r="J10" s="408"/>
      <c r="K10" s="408"/>
      <c r="L10" s="408"/>
      <c r="M10" s="407"/>
      <c r="N10" s="414"/>
      <c r="O10" s="414"/>
      <c r="P10" s="414"/>
      <c r="Q10" s="2534"/>
      <c r="R10" s="39"/>
      <c r="S10" s="3377" t="s">
        <v>1603</v>
      </c>
      <c r="Y10" s="413" t="s">
        <v>438</v>
      </c>
      <c r="Z10" s="412"/>
      <c r="AA10" s="412"/>
      <c r="AB10" s="412"/>
      <c r="AC10" s="412"/>
      <c r="AD10" s="411"/>
    </row>
    <row r="11" spans="1:43" s="36" customFormat="1" ht="22.5" customHeight="1" thickBot="1">
      <c r="B11" s="39"/>
      <c r="C11" s="375" t="s">
        <v>365</v>
      </c>
      <c r="D11" s="377"/>
      <c r="E11" s="34"/>
      <c r="F11" s="34"/>
      <c r="G11" s="34"/>
      <c r="H11" s="374">
        <v>25</v>
      </c>
      <c r="I11" s="373">
        <v>477000</v>
      </c>
      <c r="J11" s="372">
        <f t="shared" ref="J11:J18" si="0">I11*((100+$F$6)/100)</f>
        <v>477000</v>
      </c>
      <c r="K11" s="371">
        <f>IF(H11=0,0,100/H11+$F$9/2+F10)</f>
        <v>7</v>
      </c>
      <c r="L11" s="370">
        <v>150</v>
      </c>
      <c r="M11" s="369">
        <f t="shared" ref="M11:M18" si="1">IF(L11=0,0,J11*K11/100/L11)</f>
        <v>222.6</v>
      </c>
      <c r="N11" s="2563"/>
      <c r="O11" s="2563"/>
      <c r="P11" s="2563"/>
      <c r="Q11" s="2535"/>
      <c r="R11" s="39"/>
      <c r="S11" s="3377" t="s">
        <v>1741</v>
      </c>
      <c r="T11" s="3378"/>
      <c r="U11" s="3378"/>
      <c r="V11" s="3378"/>
      <c r="W11" s="3378"/>
      <c r="X11" s="3378"/>
      <c r="Y11" s="3379" t="s">
        <v>437</v>
      </c>
      <c r="Z11" s="3380"/>
      <c r="AA11" s="3380"/>
      <c r="AB11" s="3380"/>
      <c r="AC11" s="3380"/>
      <c r="AD11" s="3381"/>
      <c r="AE11" s="3378"/>
      <c r="AF11" s="3378"/>
      <c r="AG11" s="3378"/>
      <c r="AH11" s="3382"/>
    </row>
    <row r="12" spans="1:43" s="36" customFormat="1" ht="21.75" customHeight="1">
      <c r="B12" s="39"/>
      <c r="C12" s="375" t="s">
        <v>1061</v>
      </c>
      <c r="D12" s="377"/>
      <c r="E12" s="34"/>
      <c r="F12" s="34"/>
      <c r="G12" s="34"/>
      <c r="H12" s="374">
        <v>20</v>
      </c>
      <c r="I12" s="373">
        <v>126000</v>
      </c>
      <c r="J12" s="372">
        <f t="shared" si="0"/>
        <v>126000</v>
      </c>
      <c r="K12" s="371">
        <f t="shared" ref="K12:K18" si="2">IF(H12=0,0,100/H12+$F$9/2)</f>
        <v>6</v>
      </c>
      <c r="L12" s="370">
        <v>150</v>
      </c>
      <c r="M12" s="369">
        <f t="shared" si="1"/>
        <v>50.4</v>
      </c>
      <c r="N12" s="2563"/>
      <c r="O12" s="2563"/>
      <c r="P12" s="2563"/>
      <c r="Q12" s="2535"/>
      <c r="R12" s="39"/>
      <c r="S12" s="3377" t="s">
        <v>1742</v>
      </c>
      <c r="T12" s="3563"/>
      <c r="U12" s="3563"/>
      <c r="V12" s="3563"/>
      <c r="W12" s="3563"/>
      <c r="X12" s="3563"/>
      <c r="Y12" s="3563"/>
      <c r="Z12" s="3563"/>
      <c r="AA12" s="3563"/>
      <c r="AB12" s="3563"/>
      <c r="AC12" s="3563"/>
      <c r="AD12" s="3563"/>
      <c r="AE12" s="3563"/>
      <c r="AF12" s="3563"/>
      <c r="AG12" s="3563"/>
      <c r="AH12" s="3587"/>
    </row>
    <row r="13" spans="1:43" s="36" customFormat="1" ht="25.2" customHeight="1">
      <c r="B13" s="39"/>
      <c r="C13" s="375" t="s">
        <v>1060</v>
      </c>
      <c r="D13" s="377"/>
      <c r="E13" s="34"/>
      <c r="F13" s="34"/>
      <c r="G13" s="34"/>
      <c r="H13" s="374">
        <v>20</v>
      </c>
      <c r="I13" s="373">
        <v>37500</v>
      </c>
      <c r="J13" s="372">
        <f t="shared" si="0"/>
        <v>37500</v>
      </c>
      <c r="K13" s="371">
        <f t="shared" si="2"/>
        <v>6</v>
      </c>
      <c r="L13" s="370">
        <v>150</v>
      </c>
      <c r="M13" s="369">
        <f t="shared" si="1"/>
        <v>15</v>
      </c>
      <c r="N13" s="2563"/>
      <c r="O13" s="2563"/>
      <c r="P13" s="2563"/>
      <c r="Q13" s="2535"/>
      <c r="R13" s="39"/>
      <c r="S13" s="3377" t="s">
        <v>1744</v>
      </c>
      <c r="T13" s="3588"/>
      <c r="U13" s="3588"/>
      <c r="V13" s="3588"/>
      <c r="W13" s="3588"/>
      <c r="X13" s="3588"/>
      <c r="Y13" s="3588"/>
      <c r="Z13" s="3588"/>
      <c r="AA13" s="3588"/>
      <c r="AB13" s="3588"/>
      <c r="AC13" s="3588"/>
      <c r="AD13" s="3588"/>
      <c r="AE13" s="3588"/>
      <c r="AF13" s="3588"/>
      <c r="AG13" s="3588"/>
      <c r="AH13" s="3589"/>
    </row>
    <row r="14" spans="1:43" s="36" customFormat="1" ht="18.45" customHeight="1">
      <c r="B14" s="39"/>
      <c r="C14" s="375" t="s">
        <v>433</v>
      </c>
      <c r="D14" s="377"/>
      <c r="E14" s="34"/>
      <c r="F14" s="34"/>
      <c r="G14" s="34"/>
      <c r="H14" s="374">
        <v>20</v>
      </c>
      <c r="I14" s="373">
        <v>47000</v>
      </c>
      <c r="J14" s="372">
        <f t="shared" si="0"/>
        <v>47000</v>
      </c>
      <c r="K14" s="371">
        <f t="shared" si="2"/>
        <v>6</v>
      </c>
      <c r="L14" s="370">
        <v>150</v>
      </c>
      <c r="M14" s="369">
        <f t="shared" si="1"/>
        <v>18.8</v>
      </c>
      <c r="N14" s="2563"/>
      <c r="O14" s="2563"/>
      <c r="P14" s="2563"/>
      <c r="Q14" s="2535"/>
      <c r="R14" s="39"/>
      <c r="S14" s="340" t="s">
        <v>1743</v>
      </c>
      <c r="Y14" s="262" t="s">
        <v>434</v>
      </c>
      <c r="Z14" s="406"/>
      <c r="AA14" s="406"/>
      <c r="AB14" s="406"/>
      <c r="AC14" s="406"/>
      <c r="AD14" s="406"/>
    </row>
    <row r="15" spans="1:43" s="36" customFormat="1" ht="18" customHeight="1">
      <c r="B15" s="39"/>
      <c r="C15" s="375" t="s">
        <v>431</v>
      </c>
      <c r="D15" s="377"/>
      <c r="E15" s="34"/>
      <c r="F15" s="34"/>
      <c r="G15" s="34"/>
      <c r="H15" s="374">
        <v>15</v>
      </c>
      <c r="I15" s="373"/>
      <c r="J15" s="372">
        <f t="shared" si="0"/>
        <v>0</v>
      </c>
      <c r="K15" s="371">
        <f t="shared" si="2"/>
        <v>7.666666666666667</v>
      </c>
      <c r="L15" s="370">
        <v>150</v>
      </c>
      <c r="M15" s="369">
        <f t="shared" si="1"/>
        <v>0</v>
      </c>
      <c r="N15" s="2563"/>
      <c r="O15" s="2563"/>
      <c r="P15" s="2563"/>
      <c r="Q15" s="2535"/>
      <c r="R15" s="39"/>
      <c r="S15" s="340"/>
      <c r="Y15" s="406" t="s">
        <v>432</v>
      </c>
      <c r="Z15" s="406"/>
      <c r="AA15" s="406"/>
      <c r="AB15" s="406"/>
      <c r="AC15" s="406"/>
      <c r="AD15" s="406"/>
    </row>
    <row r="16" spans="1:43" s="36" customFormat="1" ht="18" customHeight="1">
      <c r="B16" s="39"/>
      <c r="C16" s="375"/>
      <c r="D16" s="377"/>
      <c r="E16" s="34"/>
      <c r="F16" s="34"/>
      <c r="G16" s="34"/>
      <c r="H16" s="374"/>
      <c r="I16" s="373"/>
      <c r="J16" s="372">
        <f t="shared" si="0"/>
        <v>0</v>
      </c>
      <c r="K16" s="371">
        <f t="shared" si="2"/>
        <v>0</v>
      </c>
      <c r="L16" s="370"/>
      <c r="M16" s="369">
        <f t="shared" si="1"/>
        <v>0</v>
      </c>
      <c r="N16" s="2563"/>
      <c r="O16" s="2563"/>
      <c r="P16" s="2563"/>
      <c r="Q16" s="2535"/>
      <c r="R16" s="39"/>
      <c r="S16" s="340"/>
      <c r="Y16" s="406" t="s">
        <v>430</v>
      </c>
      <c r="Z16" s="406"/>
      <c r="AA16" s="406"/>
      <c r="AB16" s="406"/>
      <c r="AC16" s="406"/>
      <c r="AD16" s="406"/>
    </row>
    <row r="17" spans="2:31" s="36" customFormat="1" ht="18" customHeight="1">
      <c r="B17" s="39"/>
      <c r="C17" s="375"/>
      <c r="D17" s="34"/>
      <c r="E17" s="34"/>
      <c r="F17" s="34"/>
      <c r="G17" s="34"/>
      <c r="H17" s="374"/>
      <c r="I17" s="373"/>
      <c r="J17" s="372">
        <f t="shared" si="0"/>
        <v>0</v>
      </c>
      <c r="K17" s="371">
        <f t="shared" si="2"/>
        <v>0</v>
      </c>
      <c r="L17" s="370"/>
      <c r="M17" s="369">
        <f t="shared" si="1"/>
        <v>0</v>
      </c>
      <c r="N17" s="2563"/>
      <c r="O17" s="2563"/>
      <c r="P17" s="2563"/>
      <c r="Q17" s="2535"/>
      <c r="R17" s="39"/>
      <c r="S17" s="340"/>
      <c r="Y17" s="406"/>
      <c r="Z17" s="406"/>
      <c r="AA17" s="406"/>
      <c r="AB17" s="406"/>
      <c r="AC17" s="406"/>
      <c r="AD17" s="406"/>
    </row>
    <row r="18" spans="2:31" s="36" customFormat="1" ht="18" customHeight="1">
      <c r="B18" s="223"/>
      <c r="C18" s="368"/>
      <c r="D18" s="285"/>
      <c r="E18" s="285"/>
      <c r="F18" s="285"/>
      <c r="G18" s="285"/>
      <c r="H18" s="367"/>
      <c r="I18" s="366"/>
      <c r="J18" s="365">
        <f t="shared" si="0"/>
        <v>0</v>
      </c>
      <c r="K18" s="364">
        <f t="shared" si="2"/>
        <v>0</v>
      </c>
      <c r="L18" s="363"/>
      <c r="M18" s="2526">
        <f t="shared" si="1"/>
        <v>0</v>
      </c>
      <c r="N18" s="2904"/>
      <c r="O18" s="2904"/>
      <c r="P18" s="2904"/>
      <c r="Q18" s="2536"/>
      <c r="R18" s="405"/>
      <c r="S18" s="340"/>
      <c r="Y18" s="406"/>
      <c r="Z18" s="406"/>
      <c r="AA18" s="406"/>
      <c r="AB18" s="406"/>
      <c r="AC18" s="406"/>
      <c r="AD18" s="406"/>
    </row>
    <row r="19" spans="2:31" s="36" customFormat="1" ht="18" customHeight="1">
      <c r="B19" s="173"/>
      <c r="C19" s="2512" t="s">
        <v>1059</v>
      </c>
      <c r="D19" s="2512"/>
      <c r="E19" s="2512"/>
      <c r="F19" s="2512"/>
      <c r="G19" s="2512"/>
      <c r="H19" s="393"/>
      <c r="I19" s="1547"/>
      <c r="J19" s="393"/>
      <c r="K19" s="393"/>
      <c r="L19" s="393"/>
      <c r="M19" s="392"/>
      <c r="N19" s="392"/>
      <c r="O19" s="392"/>
      <c r="P19" s="392"/>
      <c r="Q19" s="2532">
        <f>ROUND(SUM(M22:M24),0)</f>
        <v>31</v>
      </c>
      <c r="R19" s="405"/>
      <c r="S19" s="340"/>
      <c r="Y19" s="406"/>
      <c r="Z19" s="406"/>
      <c r="AA19" s="406"/>
      <c r="AB19" s="406"/>
      <c r="AC19" s="406"/>
      <c r="AD19" s="406"/>
    </row>
    <row r="20" spans="2:31" s="36" customFormat="1" ht="18" customHeight="1">
      <c r="B20" s="39"/>
      <c r="C20" s="48"/>
      <c r="D20" s="35" t="s">
        <v>422</v>
      </c>
      <c r="E20" s="34"/>
      <c r="F20" s="404">
        <f>SDÖ1!$O$74</f>
        <v>3</v>
      </c>
      <c r="G20" s="34" t="s">
        <v>112</v>
      </c>
      <c r="H20" s="388"/>
      <c r="I20" s="387"/>
      <c r="J20" s="386"/>
      <c r="K20" s="385"/>
      <c r="L20" s="385"/>
      <c r="M20" s="385"/>
      <c r="N20" s="385"/>
      <c r="O20" s="385"/>
      <c r="P20" s="385"/>
      <c r="Q20" s="2538"/>
      <c r="R20" s="405"/>
      <c r="S20" s="340"/>
      <c r="Y20" s="406"/>
      <c r="Z20" s="406"/>
      <c r="AA20" s="406"/>
      <c r="AB20" s="406"/>
      <c r="AC20" s="406"/>
      <c r="AD20" s="406"/>
    </row>
    <row r="21" spans="2:31" s="36" customFormat="1" ht="18" customHeight="1">
      <c r="B21" s="2537"/>
      <c r="C21" s="384"/>
      <c r="D21" s="383" t="s">
        <v>421</v>
      </c>
      <c r="E21" s="381"/>
      <c r="F21" s="382">
        <v>1</v>
      </c>
      <c r="G21" s="381" t="s">
        <v>112</v>
      </c>
      <c r="H21" s="380"/>
      <c r="I21" s="379"/>
      <c r="J21" s="379"/>
      <c r="K21" s="379"/>
      <c r="L21" s="379"/>
      <c r="M21" s="378"/>
      <c r="N21" s="385"/>
      <c r="O21" s="385"/>
      <c r="P21" s="385"/>
      <c r="Q21" s="2538"/>
      <c r="R21" s="405"/>
      <c r="S21" s="340"/>
      <c r="Y21" s="406"/>
      <c r="Z21" s="406"/>
      <c r="AA21" s="406"/>
      <c r="AB21" s="406"/>
      <c r="AC21" s="406"/>
      <c r="AD21" s="406"/>
    </row>
    <row r="22" spans="2:31" s="36" customFormat="1" ht="18" customHeight="1">
      <c r="B22" s="39"/>
      <c r="C22" s="375" t="s">
        <v>1058</v>
      </c>
      <c r="D22" s="377"/>
      <c r="E22" s="34"/>
      <c r="F22" s="34"/>
      <c r="G22" s="34"/>
      <c r="H22" s="374">
        <v>30</v>
      </c>
      <c r="I22" s="373">
        <v>80000</v>
      </c>
      <c r="J22" s="372">
        <f>I22*((100+$F$6)/100)</f>
        <v>80000</v>
      </c>
      <c r="K22" s="371">
        <f>IF(H22=0,0,100/H22+$F$20/2+$F$21)</f>
        <v>5.8333333333333339</v>
      </c>
      <c r="L22" s="370">
        <v>150</v>
      </c>
      <c r="M22" s="369">
        <f>IF(L22=0,0,J22*K22/100/L22)</f>
        <v>31.111111111111114</v>
      </c>
      <c r="N22" s="2563"/>
      <c r="O22" s="2563"/>
      <c r="P22" s="2563"/>
      <c r="Q22" s="2535"/>
      <c r="R22" s="405"/>
      <c r="S22" s="340"/>
      <c r="Y22" s="376" t="s">
        <v>419</v>
      </c>
      <c r="Z22" s="406"/>
      <c r="AA22" s="406"/>
      <c r="AB22" s="406"/>
      <c r="AC22" s="406"/>
      <c r="AD22" s="406"/>
    </row>
    <row r="23" spans="2:31" s="36" customFormat="1" ht="18" customHeight="1">
      <c r="B23" s="39"/>
      <c r="C23" s="375"/>
      <c r="D23" s="34"/>
      <c r="E23" s="34"/>
      <c r="F23" s="34"/>
      <c r="G23" s="34"/>
      <c r="H23" s="374"/>
      <c r="I23" s="373"/>
      <c r="J23" s="372">
        <f>I23*((100+$F$6)/100)</f>
        <v>0</v>
      </c>
      <c r="K23" s="371">
        <f>IF(H23=0,0,100/H23+$F$38/2+$F$39)</f>
        <v>0</v>
      </c>
      <c r="L23" s="370"/>
      <c r="M23" s="369">
        <f>IF(L23=0,0,J23*K23/100/L23)</f>
        <v>0</v>
      </c>
      <c r="N23" s="2563"/>
      <c r="O23" s="2563"/>
      <c r="P23" s="2563"/>
      <c r="Q23" s="2535"/>
      <c r="R23" s="405"/>
    </row>
    <row r="24" spans="2:31" s="36" customFormat="1" ht="18" customHeight="1" thickBot="1">
      <c r="B24" s="39"/>
      <c r="C24" s="375"/>
      <c r="D24" s="34"/>
      <c r="E24" s="34"/>
      <c r="F24" s="34"/>
      <c r="G24" s="34"/>
      <c r="H24" s="374"/>
      <c r="I24" s="373"/>
      <c r="J24" s="372">
        <f>I24*((100+$F$6)/100)</f>
        <v>0</v>
      </c>
      <c r="K24" s="371">
        <f>IF(H24=0,0,100/H24+$F$38/2+$F$39)</f>
        <v>0</v>
      </c>
      <c r="L24" s="370"/>
      <c r="M24" s="369">
        <f>IF(L24=0,0,J24*K24/100/L24)</f>
        <v>0</v>
      </c>
      <c r="N24" s="2563"/>
      <c r="O24" s="2563"/>
      <c r="P24" s="2563"/>
      <c r="Q24" s="2535"/>
      <c r="R24" s="405"/>
    </row>
    <row r="25" spans="2:31" s="36" customFormat="1" ht="18" hidden="1" customHeight="1">
      <c r="B25" s="218"/>
      <c r="C25" s="40" t="s">
        <v>1057</v>
      </c>
      <c r="D25" s="40"/>
      <c r="E25" s="40"/>
      <c r="F25" s="40"/>
      <c r="G25" s="40"/>
      <c r="H25" s="393"/>
      <c r="I25" s="109"/>
      <c r="J25" s="393"/>
      <c r="K25" s="393"/>
      <c r="L25" s="393"/>
      <c r="M25" s="1511"/>
      <c r="N25" s="1511"/>
      <c r="O25" s="1511"/>
      <c r="P25" s="1511"/>
      <c r="Q25" s="1508">
        <f>ROUND(SUM(M28:M30),0)</f>
        <v>692</v>
      </c>
      <c r="R25" s="39" t="s">
        <v>1055</v>
      </c>
    </row>
    <row r="26" spans="2:31" s="36" customFormat="1" ht="18" hidden="1" customHeight="1">
      <c r="B26" s="218"/>
      <c r="C26" s="33"/>
      <c r="D26" s="35" t="s">
        <v>422</v>
      </c>
      <c r="E26" s="34"/>
      <c r="F26" s="404">
        <f>SDÖ1!$O$74</f>
        <v>3</v>
      </c>
      <c r="G26" s="34" t="s">
        <v>112</v>
      </c>
      <c r="H26" s="403"/>
      <c r="I26" s="402"/>
      <c r="J26" s="401"/>
      <c r="K26" s="344"/>
      <c r="L26" s="344"/>
      <c r="M26" s="344"/>
      <c r="N26" s="344"/>
      <c r="O26" s="344"/>
      <c r="P26" s="344"/>
      <c r="Q26" s="1506"/>
      <c r="R26" s="39"/>
    </row>
    <row r="27" spans="2:31" s="36" customFormat="1" ht="18" hidden="1" customHeight="1">
      <c r="B27" s="1510"/>
      <c r="C27" s="399"/>
      <c r="D27" s="383" t="s">
        <v>421</v>
      </c>
      <c r="E27" s="381"/>
      <c r="F27" s="382">
        <v>1</v>
      </c>
      <c r="G27" s="381" t="s">
        <v>112</v>
      </c>
      <c r="H27" s="398"/>
      <c r="I27" s="397"/>
      <c r="J27" s="397"/>
      <c r="K27" s="397"/>
      <c r="L27" s="397"/>
      <c r="M27" s="396"/>
      <c r="N27" s="344"/>
      <c r="O27" s="344"/>
      <c r="P27" s="344"/>
      <c r="Q27" s="1506"/>
      <c r="R27" s="39"/>
    </row>
    <row r="28" spans="2:31" s="36" customFormat="1" ht="18" hidden="1" customHeight="1">
      <c r="B28" s="218"/>
      <c r="C28" s="375" t="s">
        <v>428</v>
      </c>
      <c r="D28" s="34"/>
      <c r="E28" s="34"/>
      <c r="F28" s="34"/>
      <c r="G28" s="34"/>
      <c r="H28" s="374">
        <v>12</v>
      </c>
      <c r="I28" s="373">
        <v>17300</v>
      </c>
      <c r="J28" s="372">
        <f>I28*((100+$F$6)/100)</f>
        <v>17300</v>
      </c>
      <c r="K28" s="371">
        <f>IF(H28=0,0,100/H28+$F$26/2+$F$27)</f>
        <v>10.833333333333334</v>
      </c>
      <c r="L28" s="370">
        <v>15</v>
      </c>
      <c r="M28" s="369">
        <f>IF(L28=0,0,J28*K28/100/L28)</f>
        <v>124.94444444444447</v>
      </c>
      <c r="N28" s="2563"/>
      <c r="O28" s="2563"/>
      <c r="P28" s="2563"/>
      <c r="Q28" s="1506"/>
      <c r="R28" s="39"/>
    </row>
    <row r="29" spans="2:31" s="36" customFormat="1" ht="18" hidden="1" customHeight="1">
      <c r="B29" s="218"/>
      <c r="C29" s="375" t="s">
        <v>427</v>
      </c>
      <c r="D29" s="34"/>
      <c r="E29" s="34"/>
      <c r="F29" s="34"/>
      <c r="G29" s="34"/>
      <c r="H29" s="374">
        <v>20</v>
      </c>
      <c r="I29" s="373">
        <v>75630</v>
      </c>
      <c r="J29" s="372">
        <f>I29*((100+$F$6)/100)</f>
        <v>75630</v>
      </c>
      <c r="K29" s="371">
        <f>IF(H29=0,0,100/H29+$F$26/2+$F$27)</f>
        <v>7.5</v>
      </c>
      <c r="L29" s="370">
        <v>10</v>
      </c>
      <c r="M29" s="369">
        <f>IF(L29=0,0,J29*K29/100/L29)</f>
        <v>567.22500000000002</v>
      </c>
      <c r="N29" s="2563"/>
      <c r="O29" s="2563"/>
      <c r="P29" s="2563"/>
      <c r="Q29" s="1506"/>
      <c r="R29" s="39"/>
    </row>
    <row r="30" spans="2:31" s="36" customFormat="1" ht="18" hidden="1" customHeight="1">
      <c r="B30" s="1492"/>
      <c r="C30" s="368"/>
      <c r="D30" s="285"/>
      <c r="E30" s="285"/>
      <c r="F30" s="285"/>
      <c r="G30" s="285"/>
      <c r="H30" s="367"/>
      <c r="I30" s="366"/>
      <c r="J30" s="365">
        <f>I30*((100+$F$6)/100)</f>
        <v>0</v>
      </c>
      <c r="K30" s="364">
        <f>IF(H30=0,0,100/H30+$F$26/2+$F$27)</f>
        <v>0</v>
      </c>
      <c r="L30" s="363"/>
      <c r="M30" s="362">
        <f>IF(L30=0,0,J30*K30/100/L30)</f>
        <v>0</v>
      </c>
      <c r="N30" s="2904"/>
      <c r="O30" s="2904"/>
      <c r="P30" s="2904"/>
      <c r="Q30" s="1509"/>
      <c r="R30" s="39"/>
    </row>
    <row r="31" spans="2:31" s="36" customFormat="1" ht="18" hidden="1" customHeight="1">
      <c r="B31" s="218"/>
      <c r="C31" s="40" t="s">
        <v>1056</v>
      </c>
      <c r="D31" s="40"/>
      <c r="E31" s="40"/>
      <c r="F31" s="40"/>
      <c r="G31" s="40"/>
      <c r="H31" s="393"/>
      <c r="I31" s="109"/>
      <c r="J31" s="393"/>
      <c r="K31" s="393"/>
      <c r="L31" s="393"/>
      <c r="M31" s="392"/>
      <c r="N31" s="392"/>
      <c r="O31" s="392"/>
      <c r="P31" s="392"/>
      <c r="Q31" s="1508">
        <f>ROUND(SUM(M34:M36),0)</f>
        <v>363</v>
      </c>
      <c r="R31" s="39" t="s">
        <v>1055</v>
      </c>
      <c r="AE31" s="340" t="s">
        <v>1604</v>
      </c>
    </row>
    <row r="32" spans="2:31" s="36" customFormat="1" ht="18" hidden="1" customHeight="1">
      <c r="B32" s="218"/>
      <c r="C32" s="48"/>
      <c r="D32" s="35" t="s">
        <v>422</v>
      </c>
      <c r="E32" s="34"/>
      <c r="F32" s="404">
        <f>SDÖ1!$O$74</f>
        <v>3</v>
      </c>
      <c r="G32" s="34" t="s">
        <v>112</v>
      </c>
      <c r="H32" s="388"/>
      <c r="I32" s="387"/>
      <c r="J32" s="386"/>
      <c r="K32" s="385"/>
      <c r="L32" s="385"/>
      <c r="M32" s="385"/>
      <c r="N32" s="385"/>
      <c r="O32" s="385"/>
      <c r="P32" s="385"/>
      <c r="Q32" s="1507"/>
      <c r="R32" s="39"/>
      <c r="AE32" s="340" t="s">
        <v>1605</v>
      </c>
    </row>
    <row r="33" spans="1:34" s="36" customFormat="1" ht="18" hidden="1" customHeight="1">
      <c r="B33" s="218"/>
      <c r="C33" s="384"/>
      <c r="D33" s="383" t="s">
        <v>421</v>
      </c>
      <c r="E33" s="381"/>
      <c r="F33" s="382">
        <v>1.5</v>
      </c>
      <c r="G33" s="381" t="s">
        <v>112</v>
      </c>
      <c r="H33" s="380"/>
      <c r="I33" s="379"/>
      <c r="J33" s="379"/>
      <c r="K33" s="379"/>
      <c r="L33" s="379"/>
      <c r="M33" s="378"/>
      <c r="N33" s="385"/>
      <c r="O33" s="385"/>
      <c r="P33" s="385"/>
      <c r="Q33" s="1507"/>
      <c r="R33" s="39"/>
      <c r="AE33" s="340" t="s">
        <v>1606</v>
      </c>
    </row>
    <row r="34" spans="1:34" s="36" customFormat="1" ht="18" hidden="1" customHeight="1">
      <c r="B34" s="218"/>
      <c r="C34" s="375" t="s">
        <v>1054</v>
      </c>
      <c r="D34" s="377"/>
      <c r="E34" s="34"/>
      <c r="F34" s="34"/>
      <c r="G34" s="34"/>
      <c r="H34" s="374">
        <v>12</v>
      </c>
      <c r="I34" s="373">
        <v>5000</v>
      </c>
      <c r="J34" s="372">
        <f>I34*((100+$F$6)/100)</f>
        <v>5000</v>
      </c>
      <c r="K34" s="371">
        <f>IF(H34=0,0,100/H34+$F$32/2+$F$33)</f>
        <v>11.333333333333334</v>
      </c>
      <c r="L34" s="370">
        <v>5</v>
      </c>
      <c r="M34" s="369">
        <f>IF(L34=0,0,J34*K34/100/L34)</f>
        <v>113.33333333333334</v>
      </c>
      <c r="N34" s="2563"/>
      <c r="O34" s="2563"/>
      <c r="P34" s="2563"/>
      <c r="Q34" s="1506"/>
      <c r="R34" s="39"/>
      <c r="AE34" s="340" t="s">
        <v>1607</v>
      </c>
    </row>
    <row r="35" spans="1:34" s="36" customFormat="1" ht="18" hidden="1" customHeight="1">
      <c r="B35" s="218"/>
      <c r="C35" s="375" t="s">
        <v>1053</v>
      </c>
      <c r="D35" s="377"/>
      <c r="E35" s="34"/>
      <c r="F35" s="34"/>
      <c r="G35" s="34"/>
      <c r="H35" s="374">
        <v>20</v>
      </c>
      <c r="I35" s="373">
        <v>10000</v>
      </c>
      <c r="J35" s="372">
        <f>I35*((100+$F$6)/100)</f>
        <v>10000</v>
      </c>
      <c r="K35" s="371">
        <f>IF(H35=0,0,100/H35+$F$38/2+$F$39)</f>
        <v>5</v>
      </c>
      <c r="L35" s="370">
        <v>2</v>
      </c>
      <c r="M35" s="369">
        <f>IF(L35=0,0,J35*K35/100/L35)</f>
        <v>250</v>
      </c>
      <c r="N35" s="2563"/>
      <c r="O35" s="2563"/>
      <c r="P35" s="2563"/>
      <c r="Q35" s="1506"/>
      <c r="R35" s="39"/>
      <c r="AE35" s="340" t="s">
        <v>1608</v>
      </c>
    </row>
    <row r="36" spans="1:34" s="36" customFormat="1" ht="18" hidden="1" customHeight="1" thickBot="1">
      <c r="B36" s="218"/>
      <c r="C36" s="1505"/>
      <c r="D36" s="1504"/>
      <c r="E36" s="1504"/>
      <c r="F36" s="1504"/>
      <c r="G36" s="1504"/>
      <c r="H36" s="1503"/>
      <c r="I36" s="1502"/>
      <c r="J36" s="1501">
        <f>I36*((100+$F$6)/100)</f>
        <v>0</v>
      </c>
      <c r="K36" s="1500">
        <f>IF(H36=0,0,100/H36+$F$38/2+$F$39)</f>
        <v>0</v>
      </c>
      <c r="L36" s="1499"/>
      <c r="M36" s="1498">
        <f>IF(L36=0,0,J36*K36/100/L36)</f>
        <v>0</v>
      </c>
      <c r="N36" s="2905"/>
      <c r="O36" s="2905"/>
      <c r="P36" s="2905"/>
      <c r="Q36" s="1497"/>
      <c r="R36" s="39"/>
      <c r="AE36" s="340" t="s">
        <v>1609</v>
      </c>
    </row>
    <row r="37" spans="1:34" s="36" customFormat="1" ht="18" customHeight="1">
      <c r="A37" s="29"/>
      <c r="B37" s="1496"/>
      <c r="C37" s="31" t="s">
        <v>1052</v>
      </c>
      <c r="D37" s="12"/>
      <c r="E37" s="29"/>
      <c r="F37" s="29"/>
      <c r="G37" s="29"/>
      <c r="H37" s="29"/>
      <c r="I37" s="29"/>
      <c r="J37" s="29"/>
      <c r="K37" s="29"/>
      <c r="L37" s="29"/>
      <c r="M37" s="29"/>
      <c r="N37" s="29"/>
      <c r="O37" s="29"/>
      <c r="P37" s="29"/>
      <c r="Q37" s="29"/>
      <c r="R37" s="29"/>
      <c r="AE37" s="340"/>
    </row>
    <row r="38" spans="1:34" s="36" customFormat="1" ht="18" hidden="1" customHeight="1">
      <c r="A38" s="29"/>
      <c r="B38" s="29"/>
      <c r="C38" s="29"/>
      <c r="D38" s="29"/>
      <c r="E38" s="29"/>
      <c r="F38" s="29"/>
      <c r="G38" s="29"/>
      <c r="H38" s="29"/>
      <c r="I38" s="29"/>
      <c r="J38" s="29"/>
      <c r="K38" s="29"/>
      <c r="L38" s="29"/>
      <c r="M38" s="29"/>
      <c r="N38" s="29"/>
      <c r="O38" s="29"/>
      <c r="P38" s="29"/>
      <c r="Q38" s="29"/>
      <c r="R38" s="29"/>
      <c r="S38" s="404"/>
      <c r="X38" s="1491"/>
    </row>
    <row r="39" spans="1:34" s="36" customFormat="1" ht="18" hidden="1" customHeight="1">
      <c r="A39" s="29"/>
      <c r="B39" s="29"/>
      <c r="C39" s="29"/>
      <c r="D39" s="29"/>
      <c r="E39" s="29"/>
      <c r="F39" s="29"/>
      <c r="G39" s="29"/>
      <c r="H39" s="29"/>
      <c r="I39" s="29"/>
      <c r="J39" s="29"/>
      <c r="K39" s="29"/>
      <c r="L39" s="29"/>
      <c r="M39" s="29"/>
      <c r="N39" s="29"/>
      <c r="O39" s="29"/>
      <c r="P39" s="29"/>
      <c r="Q39" s="29"/>
      <c r="R39" s="29"/>
      <c r="X39" s="1491"/>
    </row>
    <row r="40" spans="1:34" s="36" customFormat="1" ht="18" hidden="1" customHeight="1">
      <c r="A40" s="29"/>
      <c r="B40" s="29"/>
      <c r="C40" s="29"/>
      <c r="D40" s="29"/>
      <c r="E40" s="29"/>
      <c r="F40" s="29"/>
      <c r="G40" s="29"/>
      <c r="H40" s="29"/>
      <c r="I40" s="29"/>
      <c r="J40" s="29"/>
      <c r="K40" s="29"/>
      <c r="L40" s="29"/>
      <c r="M40" s="29"/>
      <c r="N40" s="29"/>
      <c r="O40" s="29"/>
      <c r="P40" s="29"/>
      <c r="Q40" s="29"/>
      <c r="R40" s="29"/>
      <c r="X40" s="1491"/>
    </row>
    <row r="41" spans="1:34" s="36" customFormat="1" ht="18" hidden="1" customHeight="1">
      <c r="A41" s="29"/>
      <c r="B41" s="29"/>
      <c r="C41" s="29"/>
      <c r="D41" s="29"/>
      <c r="E41" s="29"/>
      <c r="F41" s="29"/>
      <c r="G41" s="29"/>
      <c r="H41" s="29"/>
      <c r="I41" s="29"/>
      <c r="J41" s="29"/>
      <c r="K41" s="29"/>
      <c r="L41" s="29"/>
      <c r="M41" s="29"/>
      <c r="N41" s="29"/>
      <c r="O41" s="29"/>
      <c r="P41" s="29"/>
      <c r="Q41" s="29"/>
      <c r="R41" s="29"/>
      <c r="X41" s="1491"/>
    </row>
    <row r="42" spans="1:34" s="36" customFormat="1" ht="18" hidden="1" customHeight="1">
      <c r="A42" s="29"/>
      <c r="B42" s="29"/>
      <c r="C42" s="29"/>
      <c r="D42" s="29"/>
      <c r="E42" s="29"/>
      <c r="F42" s="29"/>
      <c r="G42" s="29"/>
      <c r="H42" s="29"/>
      <c r="I42" s="29"/>
      <c r="J42" s="29"/>
      <c r="K42" s="29"/>
      <c r="L42" s="29"/>
      <c r="M42" s="29"/>
      <c r="N42" s="29"/>
      <c r="O42" s="29"/>
      <c r="P42" s="29"/>
      <c r="Q42" s="29"/>
      <c r="R42" s="29"/>
      <c r="X42" s="1491"/>
    </row>
    <row r="43" spans="1:34" s="36" customFormat="1" ht="19.2" customHeight="1">
      <c r="B43" s="43"/>
      <c r="C43" s="44"/>
      <c r="D43" s="44"/>
      <c r="E43" s="44"/>
      <c r="F43" s="44"/>
      <c r="G43" s="44"/>
      <c r="H43" s="359"/>
      <c r="I43" s="361"/>
      <c r="J43" s="361"/>
      <c r="K43" s="360"/>
      <c r="L43" s="359"/>
      <c r="M43" s="358"/>
      <c r="N43" s="358"/>
      <c r="O43" s="358"/>
      <c r="P43" s="358"/>
      <c r="Q43" s="357"/>
      <c r="R43" s="39"/>
      <c r="X43" s="1491"/>
    </row>
    <row r="44" spans="1:34" s="36" customFormat="1" ht="19.2" customHeight="1" thickBot="1">
      <c r="B44" s="173"/>
      <c r="C44" s="171"/>
      <c r="D44" s="1515"/>
      <c r="E44" s="1515"/>
      <c r="F44" s="3973" t="s">
        <v>417</v>
      </c>
      <c r="G44" s="3974"/>
      <c r="H44" s="2555" t="s">
        <v>416</v>
      </c>
      <c r="I44" s="2556"/>
      <c r="J44" s="2557"/>
      <c r="K44" s="2558"/>
      <c r="L44" s="2558"/>
      <c r="M44" s="2558"/>
      <c r="N44" s="2558"/>
      <c r="O44" s="2558"/>
      <c r="P44" s="3374"/>
      <c r="Q44" s="385" t="s">
        <v>415</v>
      </c>
      <c r="T44" s="171"/>
      <c r="U44" s="171"/>
      <c r="V44" s="171"/>
      <c r="W44" s="3373"/>
      <c r="Y44" s="172" t="s">
        <v>414</v>
      </c>
      <c r="AG44" s="2912"/>
    </row>
    <row r="45" spans="1:34" s="36" customFormat="1" ht="15.6">
      <c r="B45" s="173"/>
      <c r="C45" s="2512" t="s">
        <v>1051</v>
      </c>
      <c r="D45" s="1515"/>
      <c r="E45" s="1515"/>
      <c r="F45" s="3963"/>
      <c r="G45" s="3964"/>
      <c r="H45" s="2897" t="s">
        <v>413</v>
      </c>
      <c r="I45" s="3679">
        <v>2018</v>
      </c>
      <c r="J45" s="3680">
        <f>I45+1</f>
        <v>2019</v>
      </c>
      <c r="K45" s="3680">
        <f>J45+1</f>
        <v>2020</v>
      </c>
      <c r="L45" s="3680">
        <f>K45+1</f>
        <v>2021</v>
      </c>
      <c r="M45" s="3666">
        <f>2022</f>
        <v>2022</v>
      </c>
      <c r="N45" s="3667">
        <v>2023</v>
      </c>
      <c r="O45" s="3680">
        <v>2024</v>
      </c>
      <c r="P45" s="3440" t="s">
        <v>1750</v>
      </c>
      <c r="Q45" s="2906">
        <f>'SDK1'!O6</f>
        <v>2024</v>
      </c>
      <c r="Z45" s="356" t="s">
        <v>412</v>
      </c>
      <c r="AA45" s="355"/>
      <c r="AB45" s="355"/>
      <c r="AC45" s="355"/>
      <c r="AD45" s="354"/>
    </row>
    <row r="46" spans="1:34" s="36" customFormat="1" ht="16.2" thickBot="1">
      <c r="B46" s="2559"/>
      <c r="C46" s="2569" t="s">
        <v>1050</v>
      </c>
      <c r="D46" s="1543"/>
      <c r="E46" s="1543"/>
      <c r="F46" s="2514"/>
      <c r="G46" s="2515"/>
      <c r="H46" s="2516" t="s">
        <v>112</v>
      </c>
      <c r="I46" s="2517"/>
      <c r="J46" s="2518"/>
      <c r="K46" s="2519"/>
      <c r="L46" s="2519"/>
      <c r="M46" s="2911"/>
      <c r="N46" s="2563"/>
      <c r="O46" s="2519"/>
      <c r="P46" s="3375"/>
      <c r="Q46" s="2907"/>
      <c r="T46" s="315"/>
      <c r="Z46" s="353" t="s">
        <v>411</v>
      </c>
      <c r="AA46" s="352"/>
      <c r="AB46" s="352"/>
      <c r="AC46" s="352"/>
      <c r="AD46" s="351"/>
    </row>
    <row r="47" spans="1:34" s="36" customFormat="1" ht="14.4" thickBot="1">
      <c r="B47" s="39"/>
      <c r="C47" s="2560" t="s">
        <v>698</v>
      </c>
      <c r="D47" s="48"/>
      <c r="E47" s="48"/>
      <c r="F47" s="3965" t="s">
        <v>410</v>
      </c>
      <c r="G47" s="3946"/>
      <c r="H47" s="344"/>
      <c r="I47" s="3681"/>
      <c r="J47" s="3681"/>
      <c r="K47" s="3682"/>
      <c r="L47" s="3682"/>
      <c r="M47" s="3668"/>
      <c r="N47" s="3670"/>
      <c r="P47" s="3686"/>
      <c r="Q47" s="1491"/>
      <c r="T47" s="315"/>
      <c r="Z47" s="350"/>
      <c r="AA47" s="349"/>
      <c r="AB47" s="349"/>
      <c r="AC47" s="349"/>
      <c r="AD47" s="348"/>
    </row>
    <row r="48" spans="1:34" s="36" customFormat="1" ht="13.65" customHeight="1">
      <c r="B48" s="39"/>
      <c r="C48" s="3959" t="s">
        <v>1049</v>
      </c>
      <c r="D48" s="3959"/>
      <c r="E48" s="34" t="s">
        <v>171</v>
      </c>
      <c r="F48" s="3966"/>
      <c r="G48" s="3948"/>
      <c r="H48" s="1495"/>
      <c r="I48" s="3681">
        <v>200</v>
      </c>
      <c r="J48" s="3682">
        <v>223</v>
      </c>
      <c r="K48" s="3682">
        <v>230</v>
      </c>
      <c r="L48" s="3682">
        <v>250</v>
      </c>
      <c r="M48" s="343">
        <v>260</v>
      </c>
      <c r="N48" s="343">
        <v>260</v>
      </c>
      <c r="O48" s="3683">
        <v>280</v>
      </c>
      <c r="P48" s="3687">
        <f>AVERAGE(K48:O48)</f>
        <v>256</v>
      </c>
      <c r="Q48" s="3383">
        <f>HLOOKUP($Q$45,$I$45:$P$50,4,FALSE)</f>
        <v>280</v>
      </c>
      <c r="T48" s="315"/>
      <c r="AD48" s="1494"/>
      <c r="AE48" s="1494"/>
      <c r="AH48" s="2903"/>
    </row>
    <row r="49" spans="1:31" s="36" customFormat="1" ht="13.8">
      <c r="B49" s="39"/>
      <c r="C49" s="3959"/>
      <c r="D49" s="3959"/>
      <c r="E49" s="34" t="s">
        <v>144</v>
      </c>
      <c r="F49" s="3966"/>
      <c r="G49" s="3948"/>
      <c r="H49" s="344"/>
      <c r="I49" s="3681">
        <v>250</v>
      </c>
      <c r="J49" s="3682">
        <v>230</v>
      </c>
      <c r="K49" s="3682">
        <v>250</v>
      </c>
      <c r="L49" s="3682">
        <v>300</v>
      </c>
      <c r="M49" s="343">
        <v>310</v>
      </c>
      <c r="N49" s="343">
        <v>310</v>
      </c>
      <c r="O49" s="3683">
        <v>320</v>
      </c>
      <c r="P49" s="3687">
        <f t="shared" ref="P49:P51" si="3">AVERAGE(K49:O49)</f>
        <v>298</v>
      </c>
      <c r="Q49" s="3383">
        <f>HLOOKUP($Q$45,$I$45:P49,5,FALSE)</f>
        <v>320</v>
      </c>
      <c r="T49" s="315"/>
      <c r="Z49" s="315" t="s">
        <v>406</v>
      </c>
    </row>
    <row r="50" spans="1:31" s="36" customFormat="1" ht="13.8">
      <c r="B50" s="223"/>
      <c r="C50" s="3960"/>
      <c r="D50" s="3960"/>
      <c r="E50" s="1493" t="s">
        <v>170</v>
      </c>
      <c r="F50" s="3967"/>
      <c r="G50" s="3950"/>
      <c r="H50" s="347"/>
      <c r="I50" s="3684">
        <v>300</v>
      </c>
      <c r="J50" s="3671">
        <v>255</v>
      </c>
      <c r="K50" s="3671">
        <v>270</v>
      </c>
      <c r="L50" s="3671">
        <v>350</v>
      </c>
      <c r="M50" s="2566">
        <v>360</v>
      </c>
      <c r="N50" s="2566">
        <v>360</v>
      </c>
      <c r="O50" s="3674">
        <v>350</v>
      </c>
      <c r="P50" s="3565">
        <f t="shared" si="3"/>
        <v>338</v>
      </c>
      <c r="Q50" s="3383">
        <f>HLOOKUP($Q$45,$I$45:P50,6,FALSE)</f>
        <v>350</v>
      </c>
      <c r="T50" s="315"/>
    </row>
    <row r="51" spans="1:31" s="36" customFormat="1" ht="14.25" customHeight="1">
      <c r="B51" s="39"/>
      <c r="C51" s="48" t="s">
        <v>1668</v>
      </c>
      <c r="D51" s="48"/>
      <c r="E51" s="48"/>
      <c r="F51" s="3952" t="s">
        <v>163</v>
      </c>
      <c r="G51" s="3953"/>
      <c r="H51" s="3975">
        <f>SDÖ1!O12</f>
        <v>0</v>
      </c>
      <c r="I51" s="3685">
        <v>115</v>
      </c>
      <c r="J51" s="3683">
        <v>115</v>
      </c>
      <c r="K51" s="3683">
        <v>115</v>
      </c>
      <c r="L51" s="3683">
        <v>115</v>
      </c>
      <c r="M51" s="3566">
        <v>115</v>
      </c>
      <c r="N51" s="3566">
        <v>191</v>
      </c>
      <c r="O51" s="3683">
        <v>195</v>
      </c>
      <c r="P51" s="3687">
        <f t="shared" si="3"/>
        <v>146.19999999999999</v>
      </c>
      <c r="Q51" s="3961">
        <f>HLOOKUP($Q$45,$I$45:Q51,7,FALSE)*((100+$H$51)/100)</f>
        <v>195</v>
      </c>
      <c r="T51" s="3376"/>
      <c r="U51" s="2431"/>
      <c r="V51" s="2431"/>
      <c r="W51" s="2431"/>
      <c r="Y51" s="2527"/>
      <c r="Z51" s="3951"/>
      <c r="AA51" s="3951"/>
      <c r="AB51" s="3951"/>
      <c r="AC51" s="3951"/>
      <c r="AD51" s="3951"/>
      <c r="AE51" s="3951"/>
    </row>
    <row r="52" spans="1:31" s="36" customFormat="1" ht="13.8">
      <c r="B52" s="223"/>
      <c r="C52" s="333" t="s">
        <v>1048</v>
      </c>
      <c r="D52" s="241"/>
      <c r="E52" s="241"/>
      <c r="F52" s="342"/>
      <c r="G52" s="341"/>
      <c r="H52" s="3942"/>
      <c r="I52" s="3675"/>
      <c r="J52" s="3674"/>
      <c r="K52" s="3674"/>
      <c r="L52" s="3674"/>
      <c r="M52" s="3675"/>
      <c r="N52" s="3675"/>
      <c r="O52" s="3674"/>
      <c r="P52" s="3565"/>
      <c r="Q52" s="3962" t="e">
        <f>HLOOKUP(#REF!,$I$45:K52,4,FALSE)</f>
        <v>#REF!</v>
      </c>
      <c r="T52" s="223"/>
      <c r="U52" s="223"/>
      <c r="V52" s="223"/>
      <c r="W52" s="223"/>
      <c r="Y52" s="2527"/>
      <c r="Z52" s="3951"/>
      <c r="AA52" s="3951"/>
      <c r="AB52" s="3951"/>
      <c r="AC52" s="3951"/>
      <c r="AD52" s="3951"/>
      <c r="AE52" s="3951"/>
    </row>
    <row r="53" spans="1:31" s="36" customFormat="1" ht="13.8">
      <c r="B53" s="39"/>
      <c r="C53" s="48" t="s">
        <v>404</v>
      </c>
      <c r="D53" s="48"/>
      <c r="E53" s="48"/>
      <c r="F53" s="3952" t="s">
        <v>403</v>
      </c>
      <c r="G53" s="3953"/>
      <c r="H53" s="230"/>
      <c r="I53" s="3937">
        <v>16</v>
      </c>
      <c r="J53" s="3937">
        <v>16.5</v>
      </c>
      <c r="K53" s="3937">
        <v>16.5</v>
      </c>
      <c r="L53" s="3937">
        <v>16.5</v>
      </c>
      <c r="M53" s="3971">
        <v>17.5</v>
      </c>
      <c r="N53" s="3971">
        <v>20</v>
      </c>
      <c r="O53" s="3971">
        <v>20</v>
      </c>
      <c r="P53" s="3969">
        <f>AVERAGE(K53:O54)</f>
        <v>18.100000000000001</v>
      </c>
      <c r="Q53" s="3968">
        <f>HLOOKUP($Q$45,$I$45:P53,9,FALSE)</f>
        <v>20</v>
      </c>
      <c r="X53" s="1491"/>
    </row>
    <row r="54" spans="1:31" s="36" customFormat="1" ht="13.8">
      <c r="B54" s="39"/>
      <c r="C54" s="262" t="s">
        <v>402</v>
      </c>
      <c r="D54" s="48"/>
      <c r="E54" s="48"/>
      <c r="F54" s="346"/>
      <c r="G54" s="345"/>
      <c r="H54" s="230"/>
      <c r="I54" s="3938"/>
      <c r="J54" s="3938"/>
      <c r="K54" s="3938"/>
      <c r="L54" s="3938"/>
      <c r="M54" s="3972"/>
      <c r="N54" s="3972"/>
      <c r="O54" s="3972"/>
      <c r="P54" s="3970"/>
      <c r="Q54" s="3968" t="e">
        <f>HLOOKUP(#REF!,$I$45:K54,4,FALSE)</f>
        <v>#REF!</v>
      </c>
      <c r="X54" s="1491"/>
    </row>
    <row r="55" spans="1:31" s="36" customFormat="1" ht="13.8">
      <c r="B55" s="29"/>
      <c r="C55" s="31"/>
      <c r="D55" s="29"/>
      <c r="E55" s="29"/>
      <c r="F55" s="29"/>
      <c r="G55" s="29"/>
      <c r="H55" s="100"/>
      <c r="I55" s="100"/>
      <c r="J55" s="100"/>
      <c r="K55" s="100"/>
      <c r="L55" s="100"/>
      <c r="M55" s="100"/>
      <c r="N55" s="100"/>
      <c r="O55" s="100"/>
      <c r="P55" s="29"/>
      <c r="Q55" s="29"/>
      <c r="R55" s="315"/>
      <c r="X55" s="1491"/>
    </row>
    <row r="56" spans="1:31" s="36" customFormat="1" ht="13.8">
      <c r="B56" s="29"/>
      <c r="C56" s="29"/>
      <c r="D56" s="29"/>
      <c r="E56" s="29"/>
      <c r="F56" s="29"/>
      <c r="G56" s="29"/>
      <c r="H56" s="29"/>
      <c r="I56" s="29"/>
      <c r="J56" s="29"/>
      <c r="K56" s="29"/>
      <c r="L56" s="29"/>
      <c r="M56" s="29"/>
      <c r="N56" s="29"/>
      <c r="O56" s="29"/>
      <c r="P56" s="29"/>
      <c r="Q56" s="29"/>
      <c r="R56" s="315"/>
      <c r="X56" s="1491"/>
    </row>
    <row r="57" spans="1:31" ht="9" customHeight="1">
      <c r="B57" s="27"/>
      <c r="C57" s="27"/>
      <c r="D57" s="27"/>
      <c r="E57" s="27"/>
      <c r="F57" s="27"/>
      <c r="G57" s="27"/>
      <c r="H57" s="27"/>
      <c r="I57" s="27"/>
      <c r="J57" s="27"/>
      <c r="K57" s="27"/>
      <c r="L57" s="27"/>
      <c r="M57" s="27"/>
      <c r="N57" s="3008"/>
      <c r="O57" s="3008"/>
      <c r="P57" s="2898"/>
      <c r="Q57" s="27"/>
      <c r="R57" s="27"/>
    </row>
    <row r="58" spans="1:31" ht="19.2" customHeight="1">
      <c r="A58" s="42"/>
      <c r="C58" s="36"/>
      <c r="D58" s="27"/>
      <c r="E58" s="27"/>
      <c r="F58" s="27"/>
      <c r="G58" s="27"/>
      <c r="H58" s="27"/>
      <c r="I58" s="27"/>
      <c r="J58" s="27"/>
      <c r="K58" s="27"/>
      <c r="L58" s="27"/>
      <c r="M58" s="27"/>
      <c r="N58" s="3008"/>
      <c r="O58" s="3008"/>
      <c r="P58" s="2898"/>
      <c r="Q58" s="27"/>
      <c r="R58" s="27"/>
    </row>
    <row r="59" spans="1:31" ht="19.2" customHeight="1">
      <c r="A59" s="42"/>
      <c r="C59" s="36"/>
      <c r="D59" s="27"/>
      <c r="E59" s="27"/>
      <c r="F59" s="31"/>
      <c r="G59" s="31"/>
      <c r="H59" s="31"/>
      <c r="I59" s="31"/>
      <c r="J59" s="31"/>
      <c r="K59" s="31"/>
      <c r="L59" s="31"/>
      <c r="M59" s="27"/>
      <c r="N59" s="3008"/>
      <c r="O59" s="3008"/>
      <c r="P59" s="2898"/>
      <c r="Q59" s="27"/>
      <c r="R59" s="27"/>
    </row>
    <row r="60" spans="1:31" ht="19.2" customHeight="1">
      <c r="A60" s="42"/>
      <c r="C60" s="46"/>
      <c r="D60" s="27"/>
      <c r="E60" s="27"/>
      <c r="F60" s="27"/>
      <c r="G60" s="27"/>
      <c r="H60" s="27"/>
      <c r="I60" s="27"/>
      <c r="J60" s="27"/>
      <c r="K60" s="27"/>
      <c r="L60" s="27"/>
      <c r="M60" s="27"/>
      <c r="N60" s="3008"/>
      <c r="O60" s="3008"/>
      <c r="P60" s="2898"/>
      <c r="Q60" s="27"/>
      <c r="R60" s="27"/>
    </row>
    <row r="61" spans="1:31" s="36" customFormat="1" ht="19.2" hidden="1" customHeight="1">
      <c r="C61" s="36" t="s">
        <v>1047</v>
      </c>
      <c r="X61" s="1491"/>
    </row>
    <row r="62" spans="1:31" s="36" customFormat="1" ht="16.95" customHeight="1">
      <c r="J62" s="339"/>
      <c r="X62" s="1491"/>
    </row>
    <row r="63" spans="1:31" s="36" customFormat="1" ht="16.95" customHeight="1">
      <c r="X63" s="1491"/>
    </row>
    <row r="64" spans="1:31" s="36" customFormat="1" ht="16.95" customHeight="1">
      <c r="X64" s="1491"/>
    </row>
    <row r="65" spans="24:24" s="36" customFormat="1" ht="16.95" customHeight="1">
      <c r="X65" s="1491"/>
    </row>
    <row r="66" spans="24:24" s="36" customFormat="1" ht="16.95" customHeight="1">
      <c r="X66" s="1491"/>
    </row>
    <row r="67" spans="24:24" s="36" customFormat="1" ht="16.95" customHeight="1">
      <c r="X67" s="1491"/>
    </row>
    <row r="68" spans="24:24" s="36" customFormat="1" ht="16.95" customHeight="1">
      <c r="X68" s="1491"/>
    </row>
    <row r="69" spans="24:24" s="36" customFormat="1" ht="16.95" customHeight="1">
      <c r="X69" s="1491"/>
    </row>
    <row r="70" spans="24:24" s="36" customFormat="1" ht="16.2" customHeight="1">
      <c r="X70" s="1491"/>
    </row>
    <row r="71" spans="24:24" s="36" customFormat="1" ht="16.2" customHeight="1">
      <c r="X71" s="1491"/>
    </row>
    <row r="72" spans="24:24" s="36" customFormat="1" ht="16.2" customHeight="1">
      <c r="X72" s="1491"/>
    </row>
    <row r="73" spans="24:24" s="36" customFormat="1" ht="16.2" customHeight="1">
      <c r="X73" s="1491"/>
    </row>
    <row r="74" spans="24:24" s="36" customFormat="1" ht="16.2" customHeight="1">
      <c r="X74" s="1491"/>
    </row>
    <row r="75" spans="24:24" s="36" customFormat="1" ht="16.2" customHeight="1">
      <c r="X75" s="1491"/>
    </row>
    <row r="76" spans="24:24" s="36" customFormat="1" ht="16.2" customHeight="1">
      <c r="X76" s="1491"/>
    </row>
    <row r="77" spans="24:24" s="36" customFormat="1" ht="16.2" customHeight="1">
      <c r="X77" s="1491"/>
    </row>
    <row r="78" spans="24:24" s="36" customFormat="1" ht="16.2" customHeight="1">
      <c r="X78" s="1491"/>
    </row>
    <row r="79" spans="24:24" s="36" customFormat="1" ht="16.2" customHeight="1">
      <c r="X79" s="1491"/>
    </row>
    <row r="80" spans="24:24" s="36" customFormat="1" ht="16.2" customHeight="1">
      <c r="X80" s="1491"/>
    </row>
    <row r="81" spans="24:24" s="36" customFormat="1" ht="16.2" customHeight="1">
      <c r="X81" s="1491"/>
    </row>
    <row r="82" spans="24:24" s="36" customFormat="1" ht="16.2" customHeight="1">
      <c r="X82" s="1491"/>
    </row>
    <row r="83" spans="24:24" s="36" customFormat="1" ht="16.2" customHeight="1">
      <c r="X83" s="1491"/>
    </row>
    <row r="84" spans="24:24" s="36" customFormat="1" ht="16.2" customHeight="1">
      <c r="X84" s="1491"/>
    </row>
    <row r="85" spans="24:24" s="36" customFormat="1" ht="16.2" customHeight="1">
      <c r="X85" s="1491"/>
    </row>
    <row r="86" spans="24:24" s="36" customFormat="1" ht="16.2" customHeight="1">
      <c r="X86" s="1491"/>
    </row>
    <row r="87" spans="24:24" s="36" customFormat="1" ht="16.2" customHeight="1">
      <c r="X87" s="1491"/>
    </row>
    <row r="88" spans="24:24" s="36" customFormat="1" ht="16.5" customHeight="1">
      <c r="X88" s="1491"/>
    </row>
    <row r="89" spans="24:24" s="36" customFormat="1" ht="16.5" customHeight="1">
      <c r="X89" s="1491"/>
    </row>
    <row r="90" spans="24:24" s="36" customFormat="1" ht="16.5" customHeight="1">
      <c r="X90" s="1491"/>
    </row>
    <row r="91" spans="24:24" s="36" customFormat="1" ht="16.5" customHeight="1">
      <c r="X91" s="1491"/>
    </row>
    <row r="92" spans="24:24" s="36" customFormat="1" ht="16.5" customHeight="1">
      <c r="X92" s="1491"/>
    </row>
    <row r="93" spans="24:24" s="36" customFormat="1" ht="16.5" customHeight="1">
      <c r="X93" s="1491"/>
    </row>
    <row r="94" spans="24:24" s="36" customFormat="1" ht="16.5" customHeight="1">
      <c r="X94" s="1491"/>
    </row>
    <row r="95" spans="24:24" s="36" customFormat="1" ht="16.5" customHeight="1">
      <c r="X95" s="1491"/>
    </row>
    <row r="96" spans="24:24" s="36" customFormat="1" ht="16.5" customHeight="1">
      <c r="X96" s="1491"/>
    </row>
    <row r="97" spans="24:24" s="36" customFormat="1" ht="16.5" customHeight="1">
      <c r="X97" s="1491"/>
    </row>
    <row r="98" spans="24:24" s="36" customFormat="1" ht="16.5" customHeight="1">
      <c r="X98" s="1491"/>
    </row>
    <row r="99" spans="24:24" s="36" customFormat="1" ht="16.5" customHeight="1">
      <c r="X99" s="1491"/>
    </row>
    <row r="100" spans="24:24" s="36" customFormat="1" ht="16.5" customHeight="1">
      <c r="X100" s="1491"/>
    </row>
    <row r="101" spans="24:24" s="36" customFormat="1" ht="16.5" customHeight="1">
      <c r="X101" s="1491"/>
    </row>
    <row r="102" spans="24:24" s="36" customFormat="1" ht="16.5" customHeight="1">
      <c r="X102" s="1491"/>
    </row>
    <row r="103" spans="24:24" s="36" customFormat="1" ht="16.5" customHeight="1">
      <c r="X103" s="1491"/>
    </row>
    <row r="104" spans="24:24" s="36" customFormat="1" ht="16.5" customHeight="1">
      <c r="X104" s="1491"/>
    </row>
    <row r="105" spans="24:24" s="36" customFormat="1" ht="16.5" customHeight="1">
      <c r="X105" s="1491"/>
    </row>
    <row r="106" spans="24:24" s="36" customFormat="1" ht="16.5" customHeight="1">
      <c r="X106" s="1491"/>
    </row>
    <row r="107" spans="24:24" s="36" customFormat="1" ht="16.5" customHeight="1">
      <c r="X107" s="1491"/>
    </row>
    <row r="108" spans="24:24" s="36" customFormat="1" ht="16.5" customHeight="1">
      <c r="X108" s="1491"/>
    </row>
    <row r="109" spans="24:24" s="36" customFormat="1" ht="16.5" customHeight="1">
      <c r="X109" s="1491"/>
    </row>
    <row r="110" spans="24:24" s="36" customFormat="1" ht="16.5" customHeight="1">
      <c r="X110" s="1491"/>
    </row>
    <row r="111" spans="24:24" s="36" customFormat="1" ht="16.5" customHeight="1">
      <c r="X111" s="1491"/>
    </row>
    <row r="112" spans="24:24" s="36" customFormat="1" ht="16.5" customHeight="1">
      <c r="X112" s="1491"/>
    </row>
    <row r="113" spans="24:24" s="36" customFormat="1" ht="16.5" customHeight="1">
      <c r="X113" s="1491"/>
    </row>
    <row r="114" spans="24:24" s="36" customFormat="1" ht="16.5" customHeight="1">
      <c r="X114" s="1491"/>
    </row>
    <row r="115" spans="24:24" s="36" customFormat="1" ht="16.5" customHeight="1">
      <c r="X115" s="1491"/>
    </row>
    <row r="116" spans="24:24" s="36" customFormat="1" ht="16.5" customHeight="1">
      <c r="X116" s="1491"/>
    </row>
    <row r="117" spans="24:24" s="36" customFormat="1" ht="16.5" customHeight="1">
      <c r="X117" s="1491"/>
    </row>
    <row r="118" spans="24:24" s="36" customFormat="1" ht="16.5" customHeight="1">
      <c r="X118" s="1491"/>
    </row>
    <row r="119" spans="24:24" s="36" customFormat="1" ht="16.5" customHeight="1">
      <c r="X119" s="1491"/>
    </row>
    <row r="120" spans="24:24" s="36" customFormat="1" ht="16.5" customHeight="1">
      <c r="X120" s="1491"/>
    </row>
    <row r="121" spans="24:24" s="36" customFormat="1" ht="16.5" customHeight="1">
      <c r="X121" s="1491"/>
    </row>
    <row r="122" spans="24:24" s="36" customFormat="1" ht="16.5" customHeight="1">
      <c r="X122" s="1491"/>
    </row>
    <row r="123" spans="24:24" s="36" customFormat="1" ht="16.5" customHeight="1">
      <c r="X123" s="1491"/>
    </row>
    <row r="124" spans="24:24" s="36" customFormat="1" ht="16.5" customHeight="1">
      <c r="X124" s="1491"/>
    </row>
    <row r="125" spans="24:24" s="36" customFormat="1" ht="16.5" customHeight="1">
      <c r="X125" s="1491"/>
    </row>
    <row r="126" spans="24:24" s="36" customFormat="1" ht="16.5" customHeight="1">
      <c r="X126" s="1491"/>
    </row>
    <row r="127" spans="24:24" s="36" customFormat="1" ht="16.5" customHeight="1">
      <c r="X127" s="1491"/>
    </row>
    <row r="128" spans="24:24" s="36" customFormat="1" ht="16.5" customHeight="1">
      <c r="X128" s="1491"/>
    </row>
    <row r="129" spans="24:24" s="36" customFormat="1" ht="16.5" customHeight="1">
      <c r="X129" s="1491"/>
    </row>
    <row r="130" spans="24:24" s="36" customFormat="1" ht="16.5" customHeight="1">
      <c r="X130" s="1491"/>
    </row>
    <row r="131" spans="24:24" s="36" customFormat="1" ht="16.5" customHeight="1">
      <c r="X131" s="1491"/>
    </row>
    <row r="132" spans="24:24" s="36" customFormat="1" ht="16.5" customHeight="1">
      <c r="X132" s="1491"/>
    </row>
    <row r="133" spans="24:24" s="36" customFormat="1" ht="16.5" customHeight="1">
      <c r="X133" s="1491"/>
    </row>
  </sheetData>
  <sheetProtection sheet="1" selectLockedCells="1"/>
  <customSheetViews>
    <customSheetView guid="{8063F48F-80B5-4ECD-B18A-51CBF126E780}" fitToPage="1" hiddenRows="1" hiddenColumns="1">
      <selection activeCell="AL26" sqref="AL26"/>
      <pageMargins left="0.59055118110236227" right="0.57999999999999996" top="0.59055118110236227" bottom="0.59055118110236227" header="0.39370078740157483" footer="0.39370078740157483"/>
      <printOptions horizontalCentered="1"/>
      <pageSetup paperSize="9" scale="76" firstPageNumber="10" orientation="landscape" useFirstPageNumber="1" r:id="rId1"/>
      <headerFooter alignWithMargins="0">
        <oddFooter>&amp;L&amp;11LEL Schwäbisch Gmünd&amp;C&amp;11 &amp;R&amp;11&amp;F</oddFooter>
      </headerFooter>
    </customSheetView>
    <customSheetView guid="{5D5C9B61-9ABD-4513-AAEB-8333A9D6196C}" fitToPage="1" hiddenRows="1" hiddenColumns="1">
      <selection activeCell="AL26" sqref="AL26"/>
      <pageMargins left="0.59055118110236227" right="0.57999999999999996" top="0.59055118110236227" bottom="0.59055118110236227" header="0.39370078740157483" footer="0.39370078740157483"/>
      <printOptions horizontalCentered="1"/>
      <pageSetup paperSize="9" scale="76" firstPageNumber="10" orientation="landscape" useFirstPageNumber="1" r:id="rId2"/>
      <headerFooter alignWithMargins="0">
        <oddFooter>&amp;L&amp;11LEL Schwäbisch Gmünd&amp;C&amp;11 &amp;R&amp;11&amp;F</oddFooter>
      </headerFooter>
    </customSheetView>
    <customSheetView guid="{22A73C4F-9004-4CEF-8499-B1F91BE1B569}" fitToPage="1" hiddenRows="1" hiddenColumns="1">
      <selection activeCell="AL26" sqref="AL26"/>
      <pageMargins left="0.59055118110236227" right="0.57999999999999996" top="0.59055118110236227" bottom="0.59055118110236227" header="0.39370078740157483" footer="0.39370078740157483"/>
      <printOptions horizontalCentered="1"/>
      <pageSetup paperSize="9" scale="76" firstPageNumber="10" orientation="landscape" useFirstPageNumber="1" r:id="rId3"/>
      <headerFooter alignWithMargins="0">
        <oddFooter>&amp;L&amp;11LEL Schwäbisch Gmünd&amp;C&amp;11 &amp;R&amp;11&amp;F</oddFooter>
      </headerFooter>
    </customSheetView>
  </customSheetViews>
  <mergeCells count="18">
    <mergeCell ref="F44:G44"/>
    <mergeCell ref="F51:G51"/>
    <mergeCell ref="H51:H52"/>
    <mergeCell ref="N53:N54"/>
    <mergeCell ref="O53:O54"/>
    <mergeCell ref="Q53:Q54"/>
    <mergeCell ref="P53:P54"/>
    <mergeCell ref="F53:G53"/>
    <mergeCell ref="L53:L54"/>
    <mergeCell ref="K53:K54"/>
    <mergeCell ref="J53:J54"/>
    <mergeCell ref="I53:I54"/>
    <mergeCell ref="M53:M54"/>
    <mergeCell ref="C48:D50"/>
    <mergeCell ref="Q51:Q52"/>
    <mergeCell ref="Z51:AE52"/>
    <mergeCell ref="F45:G45"/>
    <mergeCell ref="F47:G50"/>
  </mergeCells>
  <printOptions horizontalCentered="1"/>
  <pageMargins left="0.59055118110236227" right="0.57999999999999996" top="0.59055118110236227" bottom="0.59055118110236227" header="0.39370078740157483" footer="0.39370078740157483"/>
  <pageSetup paperSize="9" scale="76" firstPageNumber="10" orientation="landscape" useFirstPageNumber="1" r:id="rId4"/>
  <headerFooter alignWithMargins="0">
    <oddFooter>&amp;L&amp;11LEL Schwäbisch Gmünd&amp;C&amp;11 &amp;R&amp;11&amp;F</oddFooter>
  </headerFooter>
  <ignoredErrors>
    <ignoredError sqref="P48:P51" formulaRange="1"/>
  </ignoredErrors>
  <drawing r:id="rId5"/>
  <legacyDrawing r:id="rId6"/>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tabColor rgb="FF00B0F0"/>
    <pageSetUpPr fitToPage="1"/>
  </sheetPr>
  <dimension ref="A1:GW313"/>
  <sheetViews>
    <sheetView workbookViewId="0"/>
  </sheetViews>
  <sheetFormatPr baseColWidth="10" defaultColWidth="11.59765625" defaultRowHeight="15"/>
  <cols>
    <col min="1" max="1" width="1.69921875" style="2672" customWidth="1"/>
    <col min="2" max="2" width="5.5" style="1519" bestFit="1" customWidth="1"/>
    <col min="3" max="3" width="22.5" style="1518" customWidth="1"/>
    <col min="4" max="4" width="13.69921875" style="1520" hidden="1" customWidth="1"/>
    <col min="5" max="5" width="6.69921875" style="1519" hidden="1" customWidth="1"/>
    <col min="6" max="15" width="9.5" style="1518" customWidth="1"/>
    <col min="16" max="16" width="8.59765625" style="1518" hidden="1" customWidth="1"/>
    <col min="17" max="32" width="9.5" style="1518" customWidth="1"/>
    <col min="33" max="33" width="14.09765625" style="1518" hidden="1" customWidth="1"/>
    <col min="34" max="34" width="9.5" style="1518" customWidth="1"/>
    <col min="35" max="35" width="5" style="1518" hidden="1" customWidth="1"/>
    <col min="36" max="36" width="16" style="1518" hidden="1" customWidth="1"/>
    <col min="37" max="41" width="5" style="1518" hidden="1" customWidth="1"/>
    <col min="42" max="42" width="5.5" style="1518" hidden="1" customWidth="1"/>
    <col min="43" max="46" width="5" style="1518" hidden="1" customWidth="1"/>
    <col min="47" max="47" width="5.69921875" style="1518" hidden="1" customWidth="1"/>
    <col min="48" max="48" width="11.59765625" style="1518" hidden="1" customWidth="1"/>
    <col min="49" max="49" width="4.59765625" style="1518" hidden="1" customWidth="1"/>
    <col min="50" max="50" width="1.69921875" style="1518" hidden="1" customWidth="1"/>
    <col min="51" max="51" width="5.5" style="1518" hidden="1" customWidth="1"/>
    <col min="52" max="52" width="11.59765625" style="1518" hidden="1" customWidth="1"/>
    <col min="53" max="53" width="9" style="1518" hidden="1" customWidth="1"/>
    <col min="54" max="54" width="11.59765625" style="1518" hidden="1" customWidth="1"/>
    <col min="55" max="55" width="4.19921875" style="1518" hidden="1" customWidth="1"/>
    <col min="56" max="56" width="2.69921875" style="1518" hidden="1" customWidth="1"/>
    <col min="57" max="57" width="1.09765625" style="1518" hidden="1" customWidth="1"/>
    <col min="58" max="58" width="1.59765625" style="1518" hidden="1" customWidth="1"/>
    <col min="59" max="92" width="0" style="1518" hidden="1" customWidth="1"/>
    <col min="93" max="16384" width="11.59765625" style="1518"/>
  </cols>
  <sheetData>
    <row r="1" spans="1:59">
      <c r="A1" s="2719"/>
      <c r="AP1" s="1538" t="s">
        <v>560</v>
      </c>
    </row>
    <row r="2" spans="1:59" ht="30">
      <c r="B2" s="1534" t="s">
        <v>559</v>
      </c>
      <c r="AP2" s="1534" t="str">
        <f>B2</f>
        <v>Pflanzenschutzmittel</v>
      </c>
    </row>
    <row r="3" spans="1:59" ht="15.6" thickBot="1">
      <c r="C3" s="1538" t="s">
        <v>1734</v>
      </c>
    </row>
    <row r="4" spans="1:59" ht="21.45" customHeight="1" thickBot="1">
      <c r="B4" s="2650" t="s">
        <v>475</v>
      </c>
      <c r="C4" s="2651" t="s">
        <v>473</v>
      </c>
      <c r="D4" s="2652" t="s">
        <v>474</v>
      </c>
      <c r="E4" s="2653" t="s">
        <v>303</v>
      </c>
      <c r="F4" s="2653" t="s">
        <v>472</v>
      </c>
      <c r="G4" s="2654" t="s">
        <v>83</v>
      </c>
      <c r="H4" s="2654" t="s">
        <v>471</v>
      </c>
      <c r="I4" s="2654" t="s">
        <v>470</v>
      </c>
      <c r="J4" s="2654" t="s">
        <v>469</v>
      </c>
      <c r="K4" s="2654" t="s">
        <v>468</v>
      </c>
      <c r="L4" s="2654" t="s">
        <v>467</v>
      </c>
      <c r="M4" s="2654" t="s">
        <v>466</v>
      </c>
      <c r="N4" s="2654" t="s">
        <v>74</v>
      </c>
      <c r="O4" s="2654" t="s">
        <v>72</v>
      </c>
      <c r="P4" s="2654" t="s">
        <v>465</v>
      </c>
      <c r="Q4" s="2654" t="s">
        <v>464</v>
      </c>
      <c r="R4" s="2654" t="s">
        <v>463</v>
      </c>
      <c r="S4" s="2654" t="s">
        <v>462</v>
      </c>
      <c r="T4" s="2654" t="s">
        <v>461</v>
      </c>
      <c r="U4" s="2654" t="s">
        <v>460</v>
      </c>
      <c r="V4" s="2654" t="s">
        <v>57</v>
      </c>
      <c r="W4" s="2654" t="s">
        <v>56</v>
      </c>
      <c r="X4" s="2654" t="s">
        <v>459</v>
      </c>
      <c r="Y4" s="2654" t="s">
        <v>458</v>
      </c>
      <c r="Z4" s="2654" t="s">
        <v>49</v>
      </c>
      <c r="AA4" s="2654" t="s">
        <v>457</v>
      </c>
      <c r="AB4" s="2654" t="s">
        <v>456</v>
      </c>
      <c r="AC4" s="2654" t="s">
        <v>455</v>
      </c>
      <c r="AD4" s="2654" t="s">
        <v>454</v>
      </c>
      <c r="AE4" s="2654" t="s">
        <v>453</v>
      </c>
      <c r="AF4" s="2655" t="s">
        <v>452</v>
      </c>
    </row>
    <row r="5" spans="1:59" s="2672" customFormat="1" ht="17.399999999999999">
      <c r="B5" s="1525">
        <v>1</v>
      </c>
      <c r="C5" s="2658" t="s">
        <v>554</v>
      </c>
      <c r="D5" s="2673">
        <v>33.200000000000003</v>
      </c>
      <c r="E5" s="2660" t="s">
        <v>480</v>
      </c>
      <c r="F5" s="3688"/>
      <c r="G5" s="3689"/>
      <c r="H5" s="3689"/>
      <c r="I5" s="3689"/>
      <c r="J5" s="3689"/>
      <c r="K5" s="3689"/>
      <c r="L5" s="3689"/>
      <c r="M5" s="3689"/>
      <c r="N5" s="3689"/>
      <c r="O5" s="3689"/>
      <c r="P5" s="3689"/>
      <c r="Q5" s="3689"/>
      <c r="R5" s="3689"/>
      <c r="S5" s="3689" t="s">
        <v>160</v>
      </c>
      <c r="T5" s="3689"/>
      <c r="U5" s="3689" t="s">
        <v>160</v>
      </c>
      <c r="V5" s="3689"/>
      <c r="W5" s="3689"/>
      <c r="X5" s="3689" t="s">
        <v>160</v>
      </c>
      <c r="Y5" s="3689" t="s">
        <v>160</v>
      </c>
      <c r="Z5" s="3689"/>
      <c r="AA5" s="3689" t="s">
        <v>160</v>
      </c>
      <c r="AB5" s="3689" t="s">
        <v>160</v>
      </c>
      <c r="AC5" s="3689"/>
      <c r="AD5" s="3689" t="s">
        <v>160</v>
      </c>
      <c r="AE5" s="3689"/>
      <c r="AF5" s="3690"/>
      <c r="AG5" s="2675">
        <f t="shared" ref="AG5:AG68" si="0">IF(AND(I5="x",X5="x"),1,0)</f>
        <v>0</v>
      </c>
      <c r="BG5" s="2702"/>
    </row>
    <row r="6" spans="1:59" ht="17.399999999999999">
      <c r="B6" s="1525">
        <f t="shared" ref="B6:B68" si="1">B5+1</f>
        <v>2</v>
      </c>
      <c r="C6" s="2658" t="s">
        <v>552</v>
      </c>
      <c r="D6" s="2673">
        <v>35.700000000000003</v>
      </c>
      <c r="E6" s="2660" t="s">
        <v>480</v>
      </c>
      <c r="F6" s="3688" t="s">
        <v>160</v>
      </c>
      <c r="G6" s="3689" t="s">
        <v>160</v>
      </c>
      <c r="H6" s="3689" t="s">
        <v>160</v>
      </c>
      <c r="I6" s="3689" t="s">
        <v>160</v>
      </c>
      <c r="J6" s="3689" t="s">
        <v>160</v>
      </c>
      <c r="K6" s="3689" t="s">
        <v>160</v>
      </c>
      <c r="L6" s="3689" t="s">
        <v>160</v>
      </c>
      <c r="M6" s="3689" t="s">
        <v>160</v>
      </c>
      <c r="N6" s="3689" t="s">
        <v>160</v>
      </c>
      <c r="O6" s="3689"/>
      <c r="P6" s="3689"/>
      <c r="Q6" s="3689"/>
      <c r="R6" s="3689"/>
      <c r="S6" s="3689"/>
      <c r="T6" s="3689"/>
      <c r="U6" s="3689"/>
      <c r="V6" s="3689"/>
      <c r="W6" s="3689"/>
      <c r="X6" s="3689"/>
      <c r="Y6" s="3689"/>
      <c r="Z6" s="3689"/>
      <c r="AA6" s="3689"/>
      <c r="AB6" s="3689"/>
      <c r="AC6" s="3689"/>
      <c r="AD6" s="3689" t="s">
        <v>160</v>
      </c>
      <c r="AE6" s="3689"/>
      <c r="AF6" s="3690"/>
      <c r="AG6" s="1519">
        <f t="shared" si="0"/>
        <v>0</v>
      </c>
      <c r="AI6" s="1518" t="s">
        <v>482</v>
      </c>
      <c r="AJ6" s="2661" t="s">
        <v>557</v>
      </c>
      <c r="AP6" s="2662" t="s">
        <v>482</v>
      </c>
      <c r="AQ6" s="2663" t="s">
        <v>557</v>
      </c>
      <c r="AR6" s="2664"/>
      <c r="AS6" s="2664"/>
      <c r="AT6" s="2665"/>
      <c r="BG6" s="2666"/>
    </row>
    <row r="7" spans="1:59" ht="17.399999999999999">
      <c r="B7" s="1525">
        <f t="shared" si="1"/>
        <v>3</v>
      </c>
      <c r="C7" s="3450"/>
      <c r="D7" s="3451"/>
      <c r="E7" s="3452"/>
      <c r="F7" s="3691"/>
      <c r="G7" s="3692"/>
      <c r="H7" s="3692"/>
      <c r="I7" s="3692"/>
      <c r="J7" s="3692"/>
      <c r="K7" s="3692"/>
      <c r="L7" s="3692"/>
      <c r="M7" s="3692"/>
      <c r="N7" s="3692"/>
      <c r="O7" s="3692"/>
      <c r="P7" s="3692"/>
      <c r="Q7" s="3692"/>
      <c r="R7" s="3692"/>
      <c r="S7" s="3692"/>
      <c r="T7" s="3692"/>
      <c r="U7" s="3692"/>
      <c r="V7" s="3692"/>
      <c r="W7" s="3692"/>
      <c r="X7" s="3692"/>
      <c r="Y7" s="3692"/>
      <c r="Z7" s="3692"/>
      <c r="AA7" s="3692"/>
      <c r="AB7" s="3692"/>
      <c r="AC7" s="3692"/>
      <c r="AD7" s="3693"/>
      <c r="AE7" s="3693"/>
      <c r="AF7" s="3694"/>
      <c r="AG7" s="1519">
        <f t="shared" si="0"/>
        <v>0</v>
      </c>
      <c r="AI7" s="1518" t="s">
        <v>480</v>
      </c>
      <c r="AJ7" s="2661" t="s">
        <v>555</v>
      </c>
      <c r="AP7" s="2667" t="s">
        <v>480</v>
      </c>
      <c r="AQ7" s="2668" t="s">
        <v>555</v>
      </c>
      <c r="AR7" s="1523"/>
      <c r="AS7" s="1523"/>
      <c r="AT7" s="1528"/>
      <c r="BG7" s="2666"/>
    </row>
    <row r="8" spans="1:59" ht="17.399999999999999">
      <c r="B8" s="1525">
        <f t="shared" si="1"/>
        <v>4</v>
      </c>
      <c r="C8" s="2658" t="s">
        <v>547</v>
      </c>
      <c r="D8" s="2673">
        <v>588.1</v>
      </c>
      <c r="E8" s="2674" t="s">
        <v>480</v>
      </c>
      <c r="F8" s="3695" t="s">
        <v>160</v>
      </c>
      <c r="G8" s="3696"/>
      <c r="H8" s="3696" t="s">
        <v>160</v>
      </c>
      <c r="I8" s="3696" t="s">
        <v>160</v>
      </c>
      <c r="J8" s="3696" t="s">
        <v>160</v>
      </c>
      <c r="K8" s="3696" t="s">
        <v>160</v>
      </c>
      <c r="L8" s="3696" t="s">
        <v>160</v>
      </c>
      <c r="M8" s="3696" t="s">
        <v>160</v>
      </c>
      <c r="N8" s="3696" t="s">
        <v>160</v>
      </c>
      <c r="O8" s="3696"/>
      <c r="P8" s="3696"/>
      <c r="Q8" s="3696"/>
      <c r="R8" s="3696"/>
      <c r="S8" s="3696"/>
      <c r="T8" s="3696"/>
      <c r="U8" s="3696"/>
      <c r="V8" s="3696"/>
      <c r="W8" s="3696"/>
      <c r="X8" s="3696"/>
      <c r="Y8" s="3696"/>
      <c r="Z8" s="3696"/>
      <c r="AA8" s="3696"/>
      <c r="AB8" s="3696"/>
      <c r="AC8" s="3696"/>
      <c r="AD8" s="3689" t="s">
        <v>160</v>
      </c>
      <c r="AE8" s="3689"/>
      <c r="AF8" s="3690"/>
      <c r="AG8" s="1519">
        <f t="shared" si="0"/>
        <v>0</v>
      </c>
      <c r="AI8" s="1518" t="s">
        <v>477</v>
      </c>
      <c r="AJ8" s="2661" t="s">
        <v>553</v>
      </c>
      <c r="AP8" s="2667" t="s">
        <v>477</v>
      </c>
      <c r="AQ8" s="2668" t="s">
        <v>553</v>
      </c>
      <c r="AR8" s="1523"/>
      <c r="AS8" s="1523"/>
      <c r="AT8" s="1528"/>
      <c r="BG8" s="2666"/>
    </row>
    <row r="9" spans="1:59" s="2672" customFormat="1" ht="17.399999999999999">
      <c r="B9" s="1525">
        <f t="shared" si="1"/>
        <v>5</v>
      </c>
      <c r="C9" s="2658" t="s">
        <v>1482</v>
      </c>
      <c r="D9" s="2673">
        <v>71.8</v>
      </c>
      <c r="E9" s="2674" t="s">
        <v>482</v>
      </c>
      <c r="F9" s="3695" t="s">
        <v>160</v>
      </c>
      <c r="G9" s="3696" t="s">
        <v>160</v>
      </c>
      <c r="H9" s="3696" t="s">
        <v>160</v>
      </c>
      <c r="I9" s="3696" t="s">
        <v>160</v>
      </c>
      <c r="J9" s="3696" t="s">
        <v>160</v>
      </c>
      <c r="K9" s="3696" t="s">
        <v>160</v>
      </c>
      <c r="L9" s="3696" t="s">
        <v>160</v>
      </c>
      <c r="M9" s="3696" t="s">
        <v>160</v>
      </c>
      <c r="N9" s="3696" t="s">
        <v>160</v>
      </c>
      <c r="O9" s="3696" t="s">
        <v>160</v>
      </c>
      <c r="P9" s="3696"/>
      <c r="Q9" s="3696"/>
      <c r="R9" s="3696"/>
      <c r="S9" s="3696"/>
      <c r="T9" s="3696"/>
      <c r="U9" s="3696"/>
      <c r="V9" s="3696"/>
      <c r="W9" s="3696"/>
      <c r="X9" s="3696"/>
      <c r="Y9" s="3696"/>
      <c r="Z9" s="3696"/>
      <c r="AA9" s="3696"/>
      <c r="AB9" s="3696"/>
      <c r="AC9" s="3696"/>
      <c r="AD9" s="3689" t="s">
        <v>160</v>
      </c>
      <c r="AE9" s="3689"/>
      <c r="AF9" s="3690"/>
      <c r="AG9" s="2675">
        <f t="shared" si="0"/>
        <v>0</v>
      </c>
      <c r="AI9" s="2672" t="s">
        <v>1479</v>
      </c>
      <c r="AJ9" s="2703" t="s">
        <v>1480</v>
      </c>
      <c r="AP9" s="2704" t="s">
        <v>1479</v>
      </c>
      <c r="AQ9" s="2705" t="s">
        <v>1480</v>
      </c>
      <c r="AR9" s="2684"/>
      <c r="AS9" s="2684"/>
      <c r="AT9" s="2706"/>
      <c r="BG9" s="2702"/>
    </row>
    <row r="10" spans="1:59" ht="17.399999999999999">
      <c r="B10" s="1525">
        <f t="shared" si="1"/>
        <v>6</v>
      </c>
      <c r="C10" s="2658" t="s">
        <v>1474</v>
      </c>
      <c r="D10" s="2673">
        <v>248.73</v>
      </c>
      <c r="E10" s="2660" t="s">
        <v>480</v>
      </c>
      <c r="F10" s="3688" t="s">
        <v>160</v>
      </c>
      <c r="G10" s="3689" t="s">
        <v>160</v>
      </c>
      <c r="H10" s="3689" t="s">
        <v>160</v>
      </c>
      <c r="I10" s="3689" t="s">
        <v>160</v>
      </c>
      <c r="J10" s="3689"/>
      <c r="K10" s="3689"/>
      <c r="L10" s="3689"/>
      <c r="M10" s="3689"/>
      <c r="N10" s="3689"/>
      <c r="O10" s="3689" t="s">
        <v>160</v>
      </c>
      <c r="P10" s="3689"/>
      <c r="Q10" s="3689"/>
      <c r="R10" s="3689"/>
      <c r="S10" s="3689"/>
      <c r="T10" s="3689"/>
      <c r="U10" s="3689"/>
      <c r="V10" s="3689"/>
      <c r="W10" s="3689"/>
      <c r="X10" s="3689"/>
      <c r="Y10" s="3689"/>
      <c r="Z10" s="3689"/>
      <c r="AA10" s="3689"/>
      <c r="AB10" s="3689"/>
      <c r="AC10" s="3689"/>
      <c r="AD10" s="3696" t="s">
        <v>160</v>
      </c>
      <c r="AE10" s="3696"/>
      <c r="AF10" s="3697"/>
      <c r="AG10" s="1519">
        <f t="shared" si="0"/>
        <v>0</v>
      </c>
      <c r="AI10" s="1518" t="s">
        <v>505</v>
      </c>
      <c r="AJ10" s="2661" t="s">
        <v>551</v>
      </c>
      <c r="AP10" s="2667" t="s">
        <v>505</v>
      </c>
      <c r="AQ10" s="2668" t="s">
        <v>551</v>
      </c>
      <c r="AR10" s="1523"/>
      <c r="AS10" s="1523"/>
      <c r="AT10" s="1528"/>
      <c r="BG10" s="2666"/>
    </row>
    <row r="11" spans="1:59" ht="17.399999999999999">
      <c r="B11" s="1525">
        <f t="shared" si="1"/>
        <v>7</v>
      </c>
      <c r="C11" s="2915"/>
      <c r="D11" s="2673"/>
      <c r="E11" s="2660"/>
      <c r="F11" s="3688"/>
      <c r="G11" s="3689"/>
      <c r="H11" s="3689"/>
      <c r="I11" s="3689"/>
      <c r="J11" s="3689"/>
      <c r="K11" s="3689"/>
      <c r="L11" s="3689"/>
      <c r="M11" s="3689"/>
      <c r="N11" s="3689"/>
      <c r="O11" s="3689"/>
      <c r="P11" s="3689"/>
      <c r="Q11" s="3689"/>
      <c r="R11" s="3689"/>
      <c r="S11" s="3689"/>
      <c r="T11" s="3689"/>
      <c r="U11" s="3689"/>
      <c r="V11" s="3689"/>
      <c r="W11" s="3689"/>
      <c r="X11" s="3689"/>
      <c r="Y11" s="3689"/>
      <c r="Z11" s="3689"/>
      <c r="AA11" s="3689"/>
      <c r="AB11" s="3689"/>
      <c r="AC11" s="3689"/>
      <c r="AD11" s="3689"/>
      <c r="AE11" s="3689"/>
      <c r="AF11" s="3690"/>
      <c r="AG11" s="1519">
        <f t="shared" si="0"/>
        <v>0</v>
      </c>
      <c r="AI11" s="1518" t="s">
        <v>549</v>
      </c>
      <c r="AJ11" s="1518" t="s">
        <v>548</v>
      </c>
      <c r="AP11" s="2669" t="s">
        <v>549</v>
      </c>
      <c r="AQ11" s="2670" t="s">
        <v>548</v>
      </c>
      <c r="AR11" s="1521"/>
      <c r="AS11" s="1521"/>
      <c r="AT11" s="2671"/>
    </row>
    <row r="12" spans="1:59" s="2672" customFormat="1" ht="17.399999999999999">
      <c r="B12" s="1525">
        <f t="shared" si="1"/>
        <v>8</v>
      </c>
      <c r="C12" s="2658" t="s">
        <v>1475</v>
      </c>
      <c r="D12" s="2673">
        <v>74.900000000000006</v>
      </c>
      <c r="E12" s="2660" t="s">
        <v>482</v>
      </c>
      <c r="F12" s="3688" t="s">
        <v>160</v>
      </c>
      <c r="G12" s="3689" t="s">
        <v>160</v>
      </c>
      <c r="H12" s="3689" t="s">
        <v>160</v>
      </c>
      <c r="I12" s="3689" t="s">
        <v>160</v>
      </c>
      <c r="J12" s="3689" t="s">
        <v>160</v>
      </c>
      <c r="K12" s="3689" t="s">
        <v>160</v>
      </c>
      <c r="L12" s="3689" t="s">
        <v>160</v>
      </c>
      <c r="M12" s="3689" t="s">
        <v>160</v>
      </c>
      <c r="N12" s="3689"/>
      <c r="O12" s="3689" t="s">
        <v>160</v>
      </c>
      <c r="P12" s="3689"/>
      <c r="Q12" s="3689"/>
      <c r="R12" s="3689"/>
      <c r="S12" s="3689"/>
      <c r="T12" s="3689"/>
      <c r="U12" s="3689"/>
      <c r="V12" s="3689"/>
      <c r="W12" s="3689"/>
      <c r="X12" s="3689"/>
      <c r="Y12" s="3689"/>
      <c r="Z12" s="3689"/>
      <c r="AA12" s="3689"/>
      <c r="AB12" s="3689"/>
      <c r="AC12" s="3689"/>
      <c r="AD12" s="3689" t="s">
        <v>160</v>
      </c>
      <c r="AE12" s="3689"/>
      <c r="AF12" s="3690"/>
      <c r="AG12" s="2675">
        <f t="shared" si="0"/>
        <v>0</v>
      </c>
    </row>
    <row r="13" spans="1:59" ht="17.399999999999999">
      <c r="B13" s="1525">
        <f t="shared" si="1"/>
        <v>9</v>
      </c>
      <c r="C13" s="2658" t="s">
        <v>541</v>
      </c>
      <c r="D13" s="2673">
        <v>53.5</v>
      </c>
      <c r="E13" s="2660" t="s">
        <v>480</v>
      </c>
      <c r="F13" s="3688" t="s">
        <v>160</v>
      </c>
      <c r="G13" s="3689" t="s">
        <v>160</v>
      </c>
      <c r="H13" s="3689" t="s">
        <v>160</v>
      </c>
      <c r="I13" s="3689" t="s">
        <v>160</v>
      </c>
      <c r="J13" s="3689" t="s">
        <v>160</v>
      </c>
      <c r="K13" s="3689" t="s">
        <v>160</v>
      </c>
      <c r="L13" s="3689" t="s">
        <v>160</v>
      </c>
      <c r="M13" s="3689" t="s">
        <v>160</v>
      </c>
      <c r="N13" s="3689"/>
      <c r="O13" s="3689" t="s">
        <v>160</v>
      </c>
      <c r="P13" s="3689"/>
      <c r="Q13" s="3689"/>
      <c r="R13" s="3689"/>
      <c r="S13" s="3689"/>
      <c r="T13" s="3689"/>
      <c r="U13" s="3689"/>
      <c r="V13" s="3689"/>
      <c r="W13" s="3689"/>
      <c r="X13" s="3689"/>
      <c r="Y13" s="3689"/>
      <c r="Z13" s="3689"/>
      <c r="AA13" s="3689"/>
      <c r="AB13" s="3689"/>
      <c r="AC13" s="3689"/>
      <c r="AD13" s="3689" t="s">
        <v>160</v>
      </c>
      <c r="AE13" s="3689"/>
      <c r="AF13" s="3690"/>
      <c r="AG13" s="1519">
        <f t="shared" si="0"/>
        <v>0</v>
      </c>
      <c r="AP13" s="2676" t="s">
        <v>545</v>
      </c>
    </row>
    <row r="14" spans="1:59" ht="17.399999999999999">
      <c r="B14" s="1525">
        <f t="shared" si="1"/>
        <v>10</v>
      </c>
      <c r="C14" s="2915"/>
      <c r="D14" s="2673"/>
      <c r="E14" s="2660"/>
      <c r="F14" s="3688"/>
      <c r="G14" s="3689"/>
      <c r="H14" s="3689"/>
      <c r="I14" s="3689"/>
      <c r="J14" s="3689"/>
      <c r="K14" s="3689"/>
      <c r="L14" s="3689"/>
      <c r="M14" s="3689"/>
      <c r="N14" s="3689"/>
      <c r="O14" s="3689"/>
      <c r="P14" s="3689"/>
      <c r="Q14" s="3689"/>
      <c r="R14" s="3689"/>
      <c r="S14" s="3689"/>
      <c r="T14" s="3689"/>
      <c r="U14" s="3689"/>
      <c r="V14" s="3689"/>
      <c r="W14" s="3689"/>
      <c r="X14" s="3689"/>
      <c r="Y14" s="3689"/>
      <c r="Z14" s="3689"/>
      <c r="AA14" s="3689"/>
      <c r="AB14" s="3689"/>
      <c r="AC14" s="3689"/>
      <c r="AD14" s="3689"/>
      <c r="AE14" s="3689"/>
      <c r="AF14" s="3690"/>
      <c r="AG14" s="1519">
        <f t="shared" si="0"/>
        <v>0</v>
      </c>
    </row>
    <row r="15" spans="1:59" ht="17.399999999999999">
      <c r="B15" s="1525">
        <f t="shared" si="1"/>
        <v>11</v>
      </c>
      <c r="C15" s="2658" t="s">
        <v>539</v>
      </c>
      <c r="D15" s="2673">
        <v>29</v>
      </c>
      <c r="E15" s="2660" t="s">
        <v>480</v>
      </c>
      <c r="F15" s="3688"/>
      <c r="G15" s="3689"/>
      <c r="H15" s="3689"/>
      <c r="I15" s="3689"/>
      <c r="J15" s="3689"/>
      <c r="K15" s="3689"/>
      <c r="L15" s="3689"/>
      <c r="M15" s="3689"/>
      <c r="N15" s="3689"/>
      <c r="O15" s="3689"/>
      <c r="P15" s="3689"/>
      <c r="Q15" s="3689"/>
      <c r="R15" s="3689"/>
      <c r="S15" s="3689"/>
      <c r="T15" s="3689"/>
      <c r="U15" s="3689" t="s">
        <v>160</v>
      </c>
      <c r="V15" s="3689"/>
      <c r="W15" s="3689"/>
      <c r="X15" s="3689" t="s">
        <v>160</v>
      </c>
      <c r="Y15" s="3689" t="s">
        <v>160</v>
      </c>
      <c r="Z15" s="3689"/>
      <c r="AA15" s="3689"/>
      <c r="AB15" s="3689" t="s">
        <v>160</v>
      </c>
      <c r="AC15" s="3689"/>
      <c r="AD15" s="3689" t="s">
        <v>160</v>
      </c>
      <c r="AE15" s="3689"/>
      <c r="AF15" s="3690"/>
      <c r="AG15" s="1519">
        <f t="shared" si="0"/>
        <v>0</v>
      </c>
      <c r="AP15" s="2677">
        <f t="shared" ref="AP15:AP64" si="2">B5</f>
        <v>1</v>
      </c>
      <c r="AQ15" s="2664" t="str">
        <f t="shared" ref="AQ15:AQ64" si="3">IF(C5="","",C5)</f>
        <v>Agil-S</v>
      </c>
      <c r="AR15" s="2664"/>
      <c r="AS15" s="2664"/>
      <c r="AT15" s="2664"/>
      <c r="AU15" s="2664"/>
      <c r="AV15" s="2678">
        <f t="shared" ref="AV15:AW46" si="4">IF(D5="","",D5)</f>
        <v>33.200000000000003</v>
      </c>
      <c r="AW15" s="2679" t="str">
        <f t="shared" si="4"/>
        <v>H</v>
      </c>
      <c r="AX15"/>
      <c r="AY15" s="2677">
        <f t="shared" ref="AY15:AY63" si="5">B55</f>
        <v>51</v>
      </c>
      <c r="AZ15" s="2678" t="str">
        <f t="shared" ref="AZ15:AZ64" si="6">IF(C55="","",C55)</f>
        <v>Mospilan SG</v>
      </c>
      <c r="BA15" s="2664"/>
      <c r="BB15" s="2678">
        <f t="shared" ref="BB15:BC46" si="7">IF(D55="","",D55)</f>
        <v>106.7</v>
      </c>
      <c r="BC15" s="2679" t="str">
        <f t="shared" si="7"/>
        <v>I</v>
      </c>
      <c r="BD15"/>
    </row>
    <row r="16" spans="1:59" ht="17.399999999999999">
      <c r="B16" s="1525">
        <f t="shared" si="1"/>
        <v>12</v>
      </c>
      <c r="C16" s="2658" t="s">
        <v>1496</v>
      </c>
      <c r="D16" s="2673">
        <v>36.67</v>
      </c>
      <c r="E16" s="2660" t="s">
        <v>480</v>
      </c>
      <c r="F16" s="3688"/>
      <c r="G16" s="3689"/>
      <c r="H16" s="3689"/>
      <c r="I16" s="3689"/>
      <c r="J16" s="3689"/>
      <c r="K16" s="3689"/>
      <c r="L16" s="3689"/>
      <c r="M16" s="3689"/>
      <c r="N16" s="3689"/>
      <c r="O16" s="3689"/>
      <c r="P16" s="3689"/>
      <c r="Q16" s="3689"/>
      <c r="R16" s="3689"/>
      <c r="S16" s="3689"/>
      <c r="T16" s="3689"/>
      <c r="U16" s="3689"/>
      <c r="V16" s="3689"/>
      <c r="W16" s="3689"/>
      <c r="X16" s="3689"/>
      <c r="Y16" s="3689"/>
      <c r="Z16" s="3689"/>
      <c r="AA16" s="3689" t="s">
        <v>160</v>
      </c>
      <c r="AB16" s="3689"/>
      <c r="AC16" s="3689"/>
      <c r="AD16" s="3689" t="s">
        <v>160</v>
      </c>
      <c r="AE16" s="3689"/>
      <c r="AF16" s="3690"/>
      <c r="AG16" s="1519">
        <f t="shared" si="0"/>
        <v>0</v>
      </c>
      <c r="AP16" s="2680">
        <f t="shared" si="2"/>
        <v>2</v>
      </c>
      <c r="AQ16" s="1523" t="str">
        <f t="shared" si="3"/>
        <v>Ariane C</v>
      </c>
      <c r="AR16" s="1523"/>
      <c r="AS16" s="1523"/>
      <c r="AT16" s="1523"/>
      <c r="AU16" s="1523"/>
      <c r="AV16" s="2681">
        <f t="shared" si="4"/>
        <v>35.700000000000003</v>
      </c>
      <c r="AW16" s="2682" t="str">
        <f t="shared" si="4"/>
        <v>H</v>
      </c>
      <c r="AX16" s="1523"/>
      <c r="AY16" s="2680">
        <f t="shared" si="5"/>
        <v>52</v>
      </c>
      <c r="AZ16" s="2681" t="str">
        <f t="shared" si="6"/>
        <v>Pointer Plus</v>
      </c>
      <c r="BA16" s="1523"/>
      <c r="BB16" s="2681">
        <f t="shared" si="7"/>
        <v>642.29999999999995</v>
      </c>
      <c r="BC16" s="2682" t="str">
        <f t="shared" si="7"/>
        <v>H</v>
      </c>
      <c r="BD16" s="1523"/>
    </row>
    <row r="17" spans="1:205" ht="17.399999999999999">
      <c r="B17" s="1525">
        <f t="shared" si="1"/>
        <v>13</v>
      </c>
      <c r="C17" s="3450"/>
      <c r="D17" s="3451"/>
      <c r="E17" s="3452"/>
      <c r="F17" s="3691"/>
      <c r="G17" s="3692"/>
      <c r="H17" s="3692"/>
      <c r="I17" s="3692"/>
      <c r="J17" s="3692"/>
      <c r="K17" s="3692"/>
      <c r="L17" s="3692"/>
      <c r="M17" s="3692"/>
      <c r="N17" s="3692"/>
      <c r="O17" s="3692"/>
      <c r="P17" s="3692"/>
      <c r="Q17" s="3692"/>
      <c r="R17" s="3692"/>
      <c r="S17" s="3692"/>
      <c r="T17" s="3692"/>
      <c r="U17" s="3692"/>
      <c r="V17" s="3692"/>
      <c r="W17" s="3692"/>
      <c r="X17" s="3692"/>
      <c r="Y17" s="3692"/>
      <c r="Z17" s="3692"/>
      <c r="AA17" s="3692"/>
      <c r="AB17" s="3692"/>
      <c r="AC17" s="3692"/>
      <c r="AD17" s="3692"/>
      <c r="AE17" s="3692"/>
      <c r="AF17" s="3698"/>
      <c r="AG17" s="1519">
        <f t="shared" si="0"/>
        <v>0</v>
      </c>
      <c r="AP17" s="2680">
        <f t="shared" si="2"/>
        <v>3</v>
      </c>
      <c r="AQ17" s="1523" t="str">
        <f t="shared" si="3"/>
        <v/>
      </c>
      <c r="AR17" s="1523"/>
      <c r="AS17" s="1523"/>
      <c r="AT17" s="1523"/>
      <c r="AU17" s="1523"/>
      <c r="AV17" s="2681" t="str">
        <f t="shared" si="4"/>
        <v/>
      </c>
      <c r="AW17" s="2682" t="str">
        <f t="shared" si="4"/>
        <v/>
      </c>
      <c r="AX17" s="1523"/>
      <c r="AY17" s="2680">
        <f t="shared" si="5"/>
        <v>53</v>
      </c>
      <c r="AZ17" s="2681" t="str">
        <f t="shared" si="6"/>
        <v/>
      </c>
      <c r="BA17" s="1523"/>
      <c r="BB17" s="2681" t="str">
        <f t="shared" si="7"/>
        <v/>
      </c>
      <c r="BC17" s="2682" t="str">
        <f t="shared" si="7"/>
        <v/>
      </c>
      <c r="BD17" s="1523"/>
    </row>
    <row r="18" spans="1:205" ht="17.399999999999999">
      <c r="B18" s="1525">
        <f t="shared" si="1"/>
        <v>14</v>
      </c>
      <c r="C18" s="2658" t="s">
        <v>1501</v>
      </c>
      <c r="D18" s="2673">
        <v>50</v>
      </c>
      <c r="E18" s="2660" t="s">
        <v>482</v>
      </c>
      <c r="F18" s="3688"/>
      <c r="G18" s="3689"/>
      <c r="H18" s="3689"/>
      <c r="I18" s="3689"/>
      <c r="J18" s="3689"/>
      <c r="K18" s="3689"/>
      <c r="L18" s="3689"/>
      <c r="M18" s="3689"/>
      <c r="N18" s="3689"/>
      <c r="O18" s="3689"/>
      <c r="P18" s="3689" t="s">
        <v>160</v>
      </c>
      <c r="Q18" s="3689"/>
      <c r="R18" s="3689"/>
      <c r="S18" s="3689" t="s">
        <v>160</v>
      </c>
      <c r="T18" s="3689"/>
      <c r="U18" s="3689"/>
      <c r="V18" s="3689"/>
      <c r="W18" s="3689"/>
      <c r="X18" s="3689"/>
      <c r="Y18" s="3689"/>
      <c r="Z18" s="3689"/>
      <c r="AA18" s="3689" t="s">
        <v>160</v>
      </c>
      <c r="AB18" s="3689"/>
      <c r="AC18" s="3689"/>
      <c r="AD18" s="3689" t="s">
        <v>160</v>
      </c>
      <c r="AE18" s="3689"/>
      <c r="AF18" s="3690"/>
      <c r="AG18" s="1519">
        <f t="shared" si="0"/>
        <v>0</v>
      </c>
      <c r="AP18" s="2680">
        <f t="shared" si="2"/>
        <v>4</v>
      </c>
      <c r="AQ18" s="1523" t="str">
        <f t="shared" si="3"/>
        <v>Artus</v>
      </c>
      <c r="AR18" s="1523"/>
      <c r="AS18" s="1523"/>
      <c r="AT18" s="1523"/>
      <c r="AU18" s="1523"/>
      <c r="AV18" s="2681">
        <f t="shared" si="4"/>
        <v>588.1</v>
      </c>
      <c r="AW18" s="2682" t="str">
        <f t="shared" si="4"/>
        <v>H</v>
      </c>
      <c r="AX18" s="1523"/>
      <c r="AY18" s="2680">
        <f t="shared" si="5"/>
        <v>54</v>
      </c>
      <c r="AZ18" s="2681" t="str">
        <f t="shared" si="6"/>
        <v>Primus Perfect</v>
      </c>
      <c r="BA18" s="1523"/>
      <c r="BB18" s="2681">
        <f t="shared" si="7"/>
        <v>144.44</v>
      </c>
      <c r="BC18" s="2682" t="str">
        <f t="shared" si="7"/>
        <v>H</v>
      </c>
      <c r="BD18" s="1523"/>
    </row>
    <row r="19" spans="1:205" ht="17.399999999999999">
      <c r="B19" s="1525">
        <f t="shared" si="1"/>
        <v>15</v>
      </c>
      <c r="C19" s="2658" t="s">
        <v>535</v>
      </c>
      <c r="D19" s="2673">
        <v>15.7</v>
      </c>
      <c r="E19" s="2660" t="s">
        <v>480</v>
      </c>
      <c r="F19" s="3688" t="s">
        <v>160</v>
      </c>
      <c r="G19" s="3689" t="s">
        <v>160</v>
      </c>
      <c r="H19" s="3689" t="s">
        <v>160</v>
      </c>
      <c r="I19" s="3689"/>
      <c r="J19" s="3689" t="s">
        <v>160</v>
      </c>
      <c r="K19" s="3689"/>
      <c r="L19" s="3689" t="s">
        <v>160</v>
      </c>
      <c r="M19" s="3689" t="s">
        <v>160</v>
      </c>
      <c r="N19" s="3689"/>
      <c r="O19" s="3689"/>
      <c r="P19" s="3689"/>
      <c r="Q19" s="3689"/>
      <c r="R19" s="3689"/>
      <c r="S19" s="3689"/>
      <c r="T19" s="3689"/>
      <c r="U19" s="3689" t="s">
        <v>160</v>
      </c>
      <c r="V19" s="3689"/>
      <c r="W19" s="3689"/>
      <c r="X19" s="3689" t="s">
        <v>160</v>
      </c>
      <c r="Y19" s="3689" t="s">
        <v>160</v>
      </c>
      <c r="Z19" s="3689" t="s">
        <v>160</v>
      </c>
      <c r="AA19" s="3689"/>
      <c r="AB19" s="3689" t="s">
        <v>160</v>
      </c>
      <c r="AC19" s="3689"/>
      <c r="AD19" s="3689" t="s">
        <v>160</v>
      </c>
      <c r="AE19" s="3689"/>
      <c r="AF19" s="3690"/>
      <c r="AG19" s="1519">
        <f t="shared" si="0"/>
        <v>0</v>
      </c>
      <c r="AP19" s="2680">
        <f t="shared" si="2"/>
        <v>5</v>
      </c>
      <c r="AQ19" s="1523" t="str">
        <f t="shared" si="3"/>
        <v>Ascra Xpro</v>
      </c>
      <c r="AR19" s="1523"/>
      <c r="AS19" s="1523"/>
      <c r="AT19" s="1523"/>
      <c r="AU19" s="1523"/>
      <c r="AV19" s="2681">
        <f t="shared" si="4"/>
        <v>71.8</v>
      </c>
      <c r="AW19" s="2682" t="str">
        <f t="shared" si="4"/>
        <v>F</v>
      </c>
      <c r="AX19" s="1523"/>
      <c r="AY19" s="2680">
        <f t="shared" si="5"/>
        <v>55</v>
      </c>
      <c r="AZ19" s="2681" t="str">
        <f t="shared" si="6"/>
        <v>Proline</v>
      </c>
      <c r="BA19" s="1523"/>
      <c r="BB19" s="2681">
        <f t="shared" si="7"/>
        <v>68.400000000000006</v>
      </c>
      <c r="BC19" s="2682" t="str">
        <f t="shared" si="7"/>
        <v>F</v>
      </c>
      <c r="BD19" s="1523"/>
    </row>
    <row r="20" spans="1:205" ht="17.399999999999999">
      <c r="B20" s="1525">
        <f t="shared" si="1"/>
        <v>16</v>
      </c>
      <c r="C20" s="2658" t="s">
        <v>534</v>
      </c>
      <c r="D20" s="2673">
        <v>306</v>
      </c>
      <c r="E20" s="2660" t="s">
        <v>480</v>
      </c>
      <c r="F20" s="3688" t="s">
        <v>160</v>
      </c>
      <c r="G20" s="3689" t="s">
        <v>160</v>
      </c>
      <c r="H20" s="3689" t="s">
        <v>160</v>
      </c>
      <c r="I20" s="3689" t="s">
        <v>160</v>
      </c>
      <c r="J20" s="3689"/>
      <c r="K20" s="3689"/>
      <c r="L20" s="3689"/>
      <c r="M20" s="3689"/>
      <c r="N20" s="3689"/>
      <c r="O20" s="3689" t="s">
        <v>160</v>
      </c>
      <c r="P20" s="3689" t="s">
        <v>160</v>
      </c>
      <c r="Q20" s="3689"/>
      <c r="R20" s="3689"/>
      <c r="S20" s="3689"/>
      <c r="T20" s="3689"/>
      <c r="U20" s="3689"/>
      <c r="V20" s="3689"/>
      <c r="W20" s="3689"/>
      <c r="X20" s="3689"/>
      <c r="Y20" s="3689"/>
      <c r="Z20" s="3689"/>
      <c r="AA20" s="3689"/>
      <c r="AB20" s="3689"/>
      <c r="AC20" s="3689"/>
      <c r="AD20" s="3689" t="s">
        <v>160</v>
      </c>
      <c r="AE20" s="3689"/>
      <c r="AF20" s="3690"/>
      <c r="AG20" s="1519">
        <f t="shared" si="0"/>
        <v>0</v>
      </c>
      <c r="AP20" s="2680">
        <f t="shared" si="2"/>
        <v>6</v>
      </c>
      <c r="AQ20" s="1523" t="str">
        <f t="shared" si="3"/>
        <v>Atlantis Flex + Biopower</v>
      </c>
      <c r="AR20" s="1523"/>
      <c r="AS20" s="1523"/>
      <c r="AT20" s="1523"/>
      <c r="AU20" s="1523"/>
      <c r="AV20" s="2681">
        <f t="shared" si="4"/>
        <v>248.73</v>
      </c>
      <c r="AW20" s="2682" t="str">
        <f t="shared" si="4"/>
        <v>H</v>
      </c>
      <c r="AX20" s="1523"/>
      <c r="AY20" s="2680">
        <f t="shared" si="5"/>
        <v>56</v>
      </c>
      <c r="AZ20" s="2681" t="str">
        <f t="shared" si="6"/>
        <v>Propulse</v>
      </c>
      <c r="BA20" s="1523"/>
      <c r="BB20" s="2681">
        <f t="shared" si="7"/>
        <v>66.900000000000006</v>
      </c>
      <c r="BC20" s="2682" t="str">
        <f t="shared" si="7"/>
        <v>F</v>
      </c>
      <c r="BD20" s="1523"/>
    </row>
    <row r="21" spans="1:205" ht="17.399999999999999">
      <c r="B21" s="1525">
        <f t="shared" si="1"/>
        <v>17</v>
      </c>
      <c r="C21" s="2658" t="s">
        <v>1729</v>
      </c>
      <c r="D21" s="2673">
        <v>46.2</v>
      </c>
      <c r="E21" s="2660" t="s">
        <v>480</v>
      </c>
      <c r="F21" s="3695"/>
      <c r="G21" s="3696"/>
      <c r="H21" s="3696"/>
      <c r="I21" s="3696"/>
      <c r="J21" s="3696"/>
      <c r="K21" s="3696"/>
      <c r="L21" s="3696"/>
      <c r="M21" s="3696"/>
      <c r="N21" s="3696"/>
      <c r="O21" s="3696"/>
      <c r="P21" s="3696"/>
      <c r="Q21" s="3696"/>
      <c r="R21" s="3696"/>
      <c r="S21" s="3696" t="s">
        <v>160</v>
      </c>
      <c r="T21" s="3696" t="s">
        <v>160</v>
      </c>
      <c r="U21" s="3696"/>
      <c r="V21" s="3696"/>
      <c r="W21" s="3696"/>
      <c r="X21" s="3696"/>
      <c r="Y21" s="3689"/>
      <c r="Z21" s="3689"/>
      <c r="AA21" s="3689"/>
      <c r="AB21" s="3689"/>
      <c r="AC21" s="3689"/>
      <c r="AD21" s="3689" t="s">
        <v>160</v>
      </c>
      <c r="AE21" s="3689"/>
      <c r="AF21" s="3690"/>
      <c r="AG21" s="1519">
        <f t="shared" si="0"/>
        <v>0</v>
      </c>
      <c r="AP21" s="2680">
        <f t="shared" si="2"/>
        <v>7</v>
      </c>
      <c r="AQ21" s="1523" t="str">
        <f t="shared" si="3"/>
        <v/>
      </c>
      <c r="AR21" s="1523"/>
      <c r="AS21" s="1523"/>
      <c r="AT21" s="1523"/>
      <c r="AU21" s="1523"/>
      <c r="AV21" s="2681" t="str">
        <f t="shared" si="4"/>
        <v/>
      </c>
      <c r="AW21" s="2682" t="str">
        <f t="shared" si="4"/>
        <v/>
      </c>
      <c r="AX21" s="1523"/>
      <c r="AY21" s="2680">
        <f t="shared" si="5"/>
        <v>57</v>
      </c>
      <c r="AZ21" s="2681" t="str">
        <f t="shared" si="6"/>
        <v>Prosaro</v>
      </c>
      <c r="BA21" s="1523"/>
      <c r="BB21" s="2681">
        <f t="shared" si="7"/>
        <v>61.5</v>
      </c>
      <c r="BC21" s="2682" t="str">
        <f t="shared" si="7"/>
        <v>F</v>
      </c>
      <c r="BD21" s="1523"/>
      <c r="BE21" s="1523"/>
      <c r="BF21"/>
    </row>
    <row r="22" spans="1:205" ht="17.399999999999999">
      <c r="B22" s="1525">
        <f t="shared" si="1"/>
        <v>18</v>
      </c>
      <c r="C22" s="2658" t="s">
        <v>532</v>
      </c>
      <c r="D22" s="2673">
        <v>24</v>
      </c>
      <c r="E22" s="2660" t="s">
        <v>480</v>
      </c>
      <c r="F22" s="3688"/>
      <c r="G22" s="3689"/>
      <c r="H22" s="3689"/>
      <c r="I22" s="3689"/>
      <c r="J22" s="3689"/>
      <c r="K22" s="3689"/>
      <c r="L22" s="3689"/>
      <c r="M22" s="3689"/>
      <c r="N22" s="3689"/>
      <c r="O22" s="3689"/>
      <c r="P22" s="3689"/>
      <c r="Q22" s="3689"/>
      <c r="R22" s="3689" t="s">
        <v>160</v>
      </c>
      <c r="S22" s="3689"/>
      <c r="T22" s="3689"/>
      <c r="U22" s="3689"/>
      <c r="V22" s="3689"/>
      <c r="W22" s="3689" t="s">
        <v>160</v>
      </c>
      <c r="X22" s="3689"/>
      <c r="Y22" s="3689"/>
      <c r="Z22" s="3689"/>
      <c r="AA22" s="3689"/>
      <c r="AB22" s="3689"/>
      <c r="AC22" s="3689"/>
      <c r="AD22" s="3696" t="s">
        <v>160</v>
      </c>
      <c r="AE22" s="3696"/>
      <c r="AF22" s="3697"/>
      <c r="AG22" s="1519">
        <f t="shared" si="0"/>
        <v>0</v>
      </c>
      <c r="AP22" s="2680">
        <f t="shared" si="2"/>
        <v>8</v>
      </c>
      <c r="AQ22" s="1523" t="str">
        <f t="shared" si="3"/>
        <v>Aviator Xpro</v>
      </c>
      <c r="AR22" s="1523"/>
      <c r="AS22" s="1523"/>
      <c r="AT22" s="1523"/>
      <c r="AU22" s="1523"/>
      <c r="AV22" s="2681">
        <f t="shared" si="4"/>
        <v>74.900000000000006</v>
      </c>
      <c r="AW22" s="2682" t="str">
        <f t="shared" si="4"/>
        <v>F</v>
      </c>
      <c r="AX22" s="1523"/>
      <c r="AY22" s="2680">
        <f t="shared" si="5"/>
        <v>58</v>
      </c>
      <c r="AZ22" s="2681" t="str">
        <f t="shared" si="6"/>
        <v>Ranman Top</v>
      </c>
      <c r="BA22" s="1523"/>
      <c r="BB22" s="2681">
        <f t="shared" si="7"/>
        <v>84</v>
      </c>
      <c r="BC22" s="2682" t="str">
        <f t="shared" si="7"/>
        <v>F</v>
      </c>
      <c r="BD22" s="1523"/>
      <c r="BE22" s="1523"/>
      <c r="BF22"/>
    </row>
    <row r="23" spans="1:205" ht="17.399999999999999">
      <c r="B23" s="1525">
        <f t="shared" si="1"/>
        <v>19</v>
      </c>
      <c r="C23" s="2658" t="s">
        <v>1730</v>
      </c>
      <c r="D23" s="2673">
        <v>68.599999999999994</v>
      </c>
      <c r="E23" s="2660" t="s">
        <v>482</v>
      </c>
      <c r="F23" s="3688"/>
      <c r="G23" s="3689"/>
      <c r="H23" s="3689"/>
      <c r="I23" s="3689"/>
      <c r="J23" s="3689"/>
      <c r="K23" s="3689"/>
      <c r="L23" s="3689"/>
      <c r="M23" s="3689"/>
      <c r="N23" s="3689"/>
      <c r="O23" s="3689"/>
      <c r="P23" s="3689"/>
      <c r="Q23" s="3689"/>
      <c r="R23" s="3689"/>
      <c r="S23" s="3689" t="s">
        <v>160</v>
      </c>
      <c r="T23" s="3689"/>
      <c r="U23" s="3689" t="s">
        <v>160</v>
      </c>
      <c r="V23" s="3689"/>
      <c r="W23" s="3689"/>
      <c r="X23" s="3689"/>
      <c r="Y23" s="3689"/>
      <c r="Z23" s="3689"/>
      <c r="AA23" s="3689"/>
      <c r="AB23" s="3689"/>
      <c r="AC23" s="3689"/>
      <c r="AD23" s="3689" t="s">
        <v>160</v>
      </c>
      <c r="AE23" s="3689"/>
      <c r="AF23" s="3690"/>
      <c r="AG23" s="1519">
        <f t="shared" si="0"/>
        <v>0</v>
      </c>
      <c r="AH23" s="2672"/>
      <c r="AI23" s="2672"/>
      <c r="AJ23" s="2672"/>
      <c r="AK23" s="2672"/>
      <c r="AL23" s="2672"/>
      <c r="AM23" s="2672"/>
      <c r="AN23" s="2672"/>
      <c r="AO23" s="2672"/>
      <c r="AP23" s="2683">
        <f t="shared" si="2"/>
        <v>9</v>
      </c>
      <c r="AQ23" s="2684" t="str">
        <f t="shared" si="3"/>
        <v>Axial 50</v>
      </c>
      <c r="AR23" s="2684"/>
      <c r="AS23" s="2684"/>
      <c r="AT23" s="2684"/>
      <c r="AU23" s="2684"/>
      <c r="AV23" s="2685">
        <f t="shared" si="4"/>
        <v>53.5</v>
      </c>
      <c r="AW23" s="2686" t="str">
        <f t="shared" si="4"/>
        <v>H</v>
      </c>
      <c r="AX23" s="2684"/>
      <c r="AY23" s="2683">
        <f t="shared" si="5"/>
        <v>59</v>
      </c>
      <c r="AZ23" s="2685" t="str">
        <f t="shared" si="6"/>
        <v>Revus</v>
      </c>
      <c r="BA23" s="2684"/>
      <c r="BB23" s="2685">
        <f t="shared" si="7"/>
        <v>58.6</v>
      </c>
      <c r="BC23" s="2686" t="str">
        <f t="shared" si="7"/>
        <v>F</v>
      </c>
      <c r="BD23" s="2684"/>
      <c r="BE23" s="2684"/>
      <c r="BF23" s="2687"/>
      <c r="BG23" s="2672"/>
      <c r="BH23" s="2672"/>
      <c r="BI23" s="2672"/>
      <c r="BJ23" s="2672"/>
      <c r="BK23" s="2672"/>
      <c r="BL23" s="2672"/>
      <c r="BM23" s="2672"/>
      <c r="BN23" s="2672"/>
      <c r="BO23" s="2672"/>
      <c r="BP23" s="2672"/>
      <c r="BQ23" s="2672"/>
      <c r="BR23" s="2672"/>
      <c r="BS23" s="2672"/>
      <c r="BT23" s="2672"/>
      <c r="BU23" s="2672"/>
      <c r="BV23" s="2672"/>
      <c r="BW23" s="2672"/>
      <c r="BX23" s="2672"/>
      <c r="BY23" s="2672"/>
      <c r="BZ23" s="2672"/>
      <c r="CA23" s="2672"/>
      <c r="CB23" s="2672"/>
      <c r="CC23" s="2672"/>
      <c r="CD23" s="2672"/>
      <c r="CE23" s="2672"/>
      <c r="CF23" s="2672"/>
      <c r="CG23" s="2672"/>
      <c r="CH23" s="2672"/>
      <c r="CI23" s="2672"/>
      <c r="CJ23" s="2672"/>
      <c r="CK23" s="2672"/>
      <c r="CL23" s="2672"/>
      <c r="CM23" s="2672"/>
      <c r="CN23" s="2672"/>
      <c r="CO23" s="2672"/>
      <c r="CP23" s="2672"/>
      <c r="CQ23" s="2672"/>
      <c r="CR23" s="2672"/>
      <c r="CS23" s="2672"/>
      <c r="CT23" s="2672"/>
      <c r="CU23" s="2672"/>
      <c r="CV23" s="2672"/>
      <c r="CW23" s="2672"/>
      <c r="CX23" s="2672"/>
      <c r="CY23" s="2672"/>
      <c r="CZ23" s="2672"/>
      <c r="DA23" s="2672"/>
      <c r="DB23" s="2672"/>
      <c r="DC23" s="2672"/>
      <c r="DD23" s="2672"/>
      <c r="DE23" s="2672"/>
      <c r="DF23" s="2672"/>
      <c r="DG23" s="2672"/>
      <c r="DH23" s="2672"/>
      <c r="DI23" s="2672"/>
      <c r="DJ23" s="2672"/>
      <c r="DK23" s="2672"/>
      <c r="DL23" s="2672"/>
      <c r="DM23" s="2672"/>
      <c r="DN23" s="2672"/>
      <c r="DO23" s="2672"/>
      <c r="DP23" s="2672"/>
      <c r="DQ23" s="2672"/>
      <c r="DR23" s="2672"/>
      <c r="DS23" s="2672"/>
      <c r="DT23" s="2672"/>
      <c r="DU23" s="2672"/>
      <c r="DV23" s="2672"/>
      <c r="DW23" s="2672"/>
      <c r="DX23" s="2672"/>
      <c r="DY23" s="2672"/>
      <c r="DZ23" s="2672"/>
      <c r="EA23" s="2672"/>
      <c r="EB23" s="2672"/>
      <c r="EC23" s="2672"/>
      <c r="ED23" s="2672"/>
      <c r="EE23" s="2672"/>
      <c r="EF23" s="2672"/>
      <c r="EG23" s="2672"/>
      <c r="EH23" s="2672"/>
      <c r="EI23" s="2672"/>
      <c r="EJ23" s="2672"/>
      <c r="EK23" s="2672"/>
      <c r="EL23" s="2672"/>
      <c r="EM23" s="2672"/>
      <c r="EN23" s="2672"/>
      <c r="EO23" s="2672"/>
      <c r="EP23" s="2672"/>
      <c r="EQ23" s="2672"/>
      <c r="ER23" s="2672"/>
      <c r="ES23" s="2672"/>
      <c r="ET23" s="2672"/>
      <c r="EU23" s="2672"/>
      <c r="EV23" s="2672"/>
      <c r="EW23" s="2672"/>
      <c r="EX23" s="2672"/>
      <c r="EY23" s="2672"/>
      <c r="EZ23" s="2672"/>
      <c r="FA23" s="2672"/>
      <c r="FB23" s="2672"/>
      <c r="FC23" s="2672"/>
      <c r="FD23" s="2672"/>
      <c r="FE23" s="2672"/>
      <c r="FF23" s="2672"/>
      <c r="FG23" s="2672"/>
      <c r="FH23" s="2672"/>
      <c r="FI23" s="2672"/>
      <c r="FJ23" s="2672"/>
      <c r="FK23" s="2672"/>
      <c r="FL23" s="2672"/>
      <c r="FM23" s="2672"/>
      <c r="FN23" s="2672"/>
      <c r="FO23" s="2672"/>
      <c r="FP23" s="2672"/>
      <c r="FQ23" s="2672"/>
      <c r="FR23" s="2672"/>
      <c r="FS23" s="2672"/>
      <c r="FT23" s="2672"/>
      <c r="FU23" s="2672"/>
      <c r="FV23" s="2672"/>
      <c r="FW23" s="2672"/>
      <c r="FX23" s="2672"/>
      <c r="FY23" s="2672"/>
      <c r="FZ23" s="2672"/>
      <c r="GA23" s="2672"/>
      <c r="GB23" s="2672"/>
      <c r="GC23" s="2672"/>
      <c r="GD23" s="2672"/>
      <c r="GE23" s="2672"/>
      <c r="GF23" s="2672"/>
      <c r="GG23" s="2672"/>
      <c r="GH23" s="2672"/>
      <c r="GI23" s="2672"/>
      <c r="GJ23" s="2672"/>
      <c r="GK23" s="2672"/>
      <c r="GL23" s="2672"/>
      <c r="GM23" s="2672"/>
      <c r="GN23" s="2672"/>
      <c r="GO23" s="2672"/>
      <c r="GP23" s="2672"/>
      <c r="GQ23" s="2672"/>
      <c r="GR23" s="2672"/>
      <c r="GS23" s="2672"/>
      <c r="GT23" s="2672"/>
      <c r="GU23" s="2672"/>
      <c r="GV23" s="2672"/>
      <c r="GW23" s="2672"/>
    </row>
    <row r="24" spans="1:205" s="2656" customFormat="1" ht="17.399999999999999">
      <c r="A24" s="2672"/>
      <c r="B24" s="1525">
        <f t="shared" si="1"/>
        <v>20</v>
      </c>
      <c r="C24" s="2658" t="s">
        <v>529</v>
      </c>
      <c r="D24" s="2673">
        <v>42.5</v>
      </c>
      <c r="E24" s="2660" t="s">
        <v>482</v>
      </c>
      <c r="F24" s="3688"/>
      <c r="G24" s="3689"/>
      <c r="H24" s="3689"/>
      <c r="I24" s="3689"/>
      <c r="J24" s="3689"/>
      <c r="K24" s="3689"/>
      <c r="L24" s="3689"/>
      <c r="M24" s="3689"/>
      <c r="N24" s="3689"/>
      <c r="O24" s="3689"/>
      <c r="P24" s="3689"/>
      <c r="Q24" s="3689"/>
      <c r="R24" s="3689"/>
      <c r="S24" s="3689" t="s">
        <v>160</v>
      </c>
      <c r="T24" s="3689" t="s">
        <v>160</v>
      </c>
      <c r="U24" s="3689"/>
      <c r="V24" s="3689"/>
      <c r="W24" s="3689"/>
      <c r="X24" s="3689"/>
      <c r="Y24" s="3689"/>
      <c r="Z24" s="3689"/>
      <c r="AA24" s="3689"/>
      <c r="AB24" s="3689"/>
      <c r="AC24" s="3689"/>
      <c r="AD24" s="3689" t="s">
        <v>160</v>
      </c>
      <c r="AE24" s="3689"/>
      <c r="AF24" s="3690"/>
      <c r="AG24" s="2657">
        <f t="shared" si="0"/>
        <v>0</v>
      </c>
      <c r="AH24" s="2672"/>
      <c r="AI24" s="2672"/>
      <c r="AJ24" s="2672"/>
      <c r="AK24" s="2672"/>
      <c r="AL24" s="2672"/>
      <c r="AM24" s="2672"/>
      <c r="AN24" s="2672"/>
      <c r="AO24" s="2672"/>
      <c r="AP24" s="2683">
        <f t="shared" si="2"/>
        <v>10</v>
      </c>
      <c r="AQ24" s="2684" t="str">
        <f t="shared" si="3"/>
        <v/>
      </c>
      <c r="AR24" s="2684"/>
      <c r="AS24" s="2684"/>
      <c r="AT24" s="2684"/>
      <c r="AU24" s="2684"/>
      <c r="AV24" s="2685" t="str">
        <f t="shared" si="4"/>
        <v/>
      </c>
      <c r="AW24" s="2686" t="str">
        <f t="shared" si="4"/>
        <v/>
      </c>
      <c r="AX24" s="2684"/>
      <c r="AY24" s="2683">
        <f t="shared" si="5"/>
        <v>60</v>
      </c>
      <c r="AZ24" s="2685" t="str">
        <f t="shared" si="6"/>
        <v/>
      </c>
      <c r="BA24" s="2684"/>
      <c r="BB24" s="2685" t="str">
        <f t="shared" si="7"/>
        <v/>
      </c>
      <c r="BC24" s="2686" t="str">
        <f t="shared" si="7"/>
        <v/>
      </c>
      <c r="BD24" s="2684"/>
      <c r="BE24" s="2684"/>
      <c r="BF24" s="2687"/>
      <c r="BG24" s="2672"/>
      <c r="BH24" s="2672"/>
      <c r="BI24" s="2672"/>
      <c r="BJ24" s="2672"/>
      <c r="BK24" s="2672"/>
      <c r="BL24" s="2672"/>
      <c r="BM24" s="2672"/>
      <c r="BN24" s="2672"/>
      <c r="BO24" s="2672"/>
      <c r="BP24" s="2672"/>
      <c r="BQ24" s="2672"/>
      <c r="BR24" s="2672"/>
      <c r="BS24" s="2672"/>
      <c r="BT24" s="2672"/>
      <c r="BU24" s="2672"/>
      <c r="BV24" s="2672"/>
      <c r="BW24" s="2672"/>
      <c r="BX24" s="2672"/>
      <c r="BY24" s="2672"/>
      <c r="BZ24" s="2672"/>
      <c r="CA24" s="2672"/>
      <c r="CB24" s="2672"/>
      <c r="CC24" s="2672"/>
      <c r="CD24" s="2672"/>
      <c r="CE24" s="2672"/>
      <c r="CF24" s="2672"/>
      <c r="CG24" s="2672"/>
      <c r="CH24" s="2672"/>
      <c r="CI24" s="2672"/>
      <c r="CJ24" s="2672"/>
      <c r="CK24" s="2672"/>
      <c r="CL24" s="2672"/>
      <c r="CM24" s="2672"/>
      <c r="CN24" s="2672"/>
      <c r="CO24" s="2672"/>
      <c r="CP24" s="2672"/>
      <c r="CQ24" s="2672"/>
      <c r="CR24" s="2672"/>
      <c r="CS24" s="2672"/>
      <c r="CT24" s="2672"/>
      <c r="CU24" s="2672"/>
      <c r="CV24" s="2672"/>
      <c r="CW24" s="2672"/>
      <c r="CX24" s="2672"/>
      <c r="CY24" s="2672"/>
      <c r="CZ24" s="2672"/>
      <c r="DA24" s="2672"/>
      <c r="DB24" s="2672"/>
      <c r="DC24" s="2672"/>
      <c r="DD24" s="2672"/>
      <c r="DE24" s="2672"/>
      <c r="DF24" s="2672"/>
      <c r="DG24" s="2672"/>
      <c r="DH24" s="2672"/>
      <c r="DI24" s="2672"/>
      <c r="DJ24" s="2672"/>
      <c r="DK24" s="2672"/>
      <c r="DL24" s="2672"/>
      <c r="DM24" s="2672"/>
      <c r="DN24" s="2672"/>
      <c r="DO24" s="2672"/>
      <c r="DP24" s="2672"/>
      <c r="DQ24" s="2672"/>
      <c r="DR24" s="2672"/>
      <c r="DS24" s="2672"/>
      <c r="DT24" s="2672"/>
      <c r="DU24" s="2672"/>
      <c r="DV24" s="2672"/>
      <c r="DW24" s="2672"/>
      <c r="DX24" s="2672"/>
      <c r="DY24" s="2672"/>
      <c r="DZ24" s="2672"/>
      <c r="EA24" s="2672"/>
      <c r="EB24" s="2672"/>
      <c r="EC24" s="2672"/>
      <c r="ED24" s="2672"/>
      <c r="EE24" s="2672"/>
      <c r="EF24" s="2672"/>
      <c r="EG24" s="2672"/>
      <c r="EH24" s="2672"/>
      <c r="EI24" s="2672"/>
      <c r="EJ24" s="2672"/>
      <c r="EK24" s="2672"/>
      <c r="EL24" s="2672"/>
      <c r="EM24" s="2672"/>
      <c r="EN24" s="2672"/>
      <c r="EO24" s="2672"/>
      <c r="EP24" s="2672"/>
      <c r="EQ24" s="2672"/>
      <c r="ER24" s="2672"/>
      <c r="ES24" s="2672"/>
      <c r="ET24" s="2672"/>
      <c r="EU24" s="2672"/>
      <c r="EV24" s="2672"/>
      <c r="EW24" s="2672"/>
      <c r="EX24" s="2672"/>
      <c r="EY24" s="2672"/>
      <c r="EZ24" s="2672"/>
      <c r="FA24" s="2672"/>
      <c r="FB24" s="2672"/>
      <c r="FC24" s="2672"/>
      <c r="FD24" s="2672"/>
      <c r="FE24" s="2672"/>
      <c r="FF24" s="2672"/>
      <c r="FG24" s="2672"/>
      <c r="FH24" s="2672"/>
      <c r="FI24" s="2672"/>
      <c r="FJ24" s="2672"/>
      <c r="FK24" s="2672"/>
      <c r="FL24" s="2672"/>
      <c r="FM24" s="2672"/>
      <c r="FN24" s="2672"/>
      <c r="FO24" s="2672"/>
      <c r="FP24" s="2672"/>
      <c r="FQ24" s="2672"/>
      <c r="FR24" s="2672"/>
      <c r="FS24" s="2672"/>
      <c r="FT24" s="2672"/>
      <c r="FU24" s="2672"/>
      <c r="FV24" s="2672"/>
      <c r="FW24" s="2672"/>
      <c r="FX24" s="2672"/>
      <c r="FY24" s="2672"/>
      <c r="FZ24" s="2672"/>
      <c r="GA24" s="2672"/>
      <c r="GB24" s="2672"/>
      <c r="GC24" s="2672"/>
      <c r="GD24" s="2672"/>
      <c r="GE24" s="2672"/>
      <c r="GF24" s="2672"/>
      <c r="GG24" s="2672"/>
      <c r="GH24" s="2672"/>
      <c r="GI24" s="2672"/>
      <c r="GJ24" s="2672"/>
      <c r="GK24" s="2672"/>
      <c r="GL24" s="2672"/>
      <c r="GM24" s="2672"/>
      <c r="GN24" s="2672"/>
      <c r="GO24" s="2672"/>
      <c r="GP24" s="2672"/>
      <c r="GQ24" s="2672"/>
      <c r="GR24" s="2672"/>
      <c r="GS24" s="2672"/>
      <c r="GT24" s="2672"/>
      <c r="GU24" s="2672"/>
      <c r="GV24" s="2672"/>
      <c r="GW24" s="2672"/>
    </row>
    <row r="25" spans="1:205" ht="17.399999999999999">
      <c r="B25" s="1525">
        <f t="shared" si="1"/>
        <v>21</v>
      </c>
      <c r="C25" s="2658" t="s">
        <v>528</v>
      </c>
      <c r="D25" s="2673">
        <v>5.5</v>
      </c>
      <c r="E25" s="2660" t="s">
        <v>505</v>
      </c>
      <c r="F25" s="3688" t="s">
        <v>160</v>
      </c>
      <c r="G25" s="3689"/>
      <c r="H25" s="3689" t="s">
        <v>160</v>
      </c>
      <c r="I25" s="3689" t="s">
        <v>160</v>
      </c>
      <c r="J25" s="3689"/>
      <c r="K25" s="3689" t="s">
        <v>160</v>
      </c>
      <c r="L25" s="3689"/>
      <c r="M25" s="3689"/>
      <c r="N25" s="3689" t="s">
        <v>160</v>
      </c>
      <c r="O25" s="3689"/>
      <c r="P25" s="3689"/>
      <c r="Q25" s="3689"/>
      <c r="R25" s="3689"/>
      <c r="S25" s="3689"/>
      <c r="T25" s="3689"/>
      <c r="U25" s="3689"/>
      <c r="V25" s="3689"/>
      <c r="W25" s="3689"/>
      <c r="X25" s="3689"/>
      <c r="Y25" s="3689"/>
      <c r="Z25" s="3689"/>
      <c r="AA25" s="3689"/>
      <c r="AB25" s="3689"/>
      <c r="AC25" s="3689"/>
      <c r="AD25" s="3689" t="s">
        <v>160</v>
      </c>
      <c r="AE25" s="3689"/>
      <c r="AF25" s="3690"/>
      <c r="AG25" s="1519">
        <f t="shared" si="0"/>
        <v>0</v>
      </c>
      <c r="AH25" s="2672"/>
      <c r="AI25" s="2672"/>
      <c r="AJ25" s="2672"/>
      <c r="AK25" s="2672"/>
      <c r="AL25" s="2672"/>
      <c r="AM25" s="2672"/>
      <c r="AN25" s="2672"/>
      <c r="AO25" s="2672"/>
      <c r="AP25" s="2683">
        <f t="shared" si="2"/>
        <v>11</v>
      </c>
      <c r="AQ25" s="2684" t="str">
        <f t="shared" si="3"/>
        <v>Bandur</v>
      </c>
      <c r="AR25" s="2684"/>
      <c r="AS25" s="2684"/>
      <c r="AT25" s="2684"/>
      <c r="AU25" s="2684"/>
      <c r="AV25" s="2685">
        <f t="shared" si="4"/>
        <v>29</v>
      </c>
      <c r="AW25" s="2686" t="str">
        <f t="shared" si="4"/>
        <v>H</v>
      </c>
      <c r="AX25" s="2684"/>
      <c r="AY25" s="2683">
        <f t="shared" si="5"/>
        <v>61</v>
      </c>
      <c r="AZ25" s="2685" t="str">
        <f t="shared" si="6"/>
        <v>Roundup Rekord</v>
      </c>
      <c r="BA25" s="2684"/>
      <c r="BB25" s="2685">
        <f t="shared" si="7"/>
        <v>19.8</v>
      </c>
      <c r="BC25" s="2686" t="str">
        <f t="shared" si="7"/>
        <v>H</v>
      </c>
      <c r="BD25" s="2684"/>
      <c r="BE25" s="2684"/>
      <c r="BF25" s="2687"/>
      <c r="BG25" s="2672"/>
      <c r="BH25" s="2672"/>
      <c r="BI25" s="2672"/>
      <c r="BJ25" s="2672"/>
      <c r="BK25" s="2672"/>
      <c r="BL25" s="2672"/>
      <c r="BM25" s="2672"/>
      <c r="BN25" s="2672"/>
      <c r="BO25" s="2672"/>
      <c r="BP25" s="2672"/>
      <c r="BQ25" s="2672"/>
      <c r="BR25" s="2672"/>
      <c r="BS25" s="2672"/>
      <c r="BT25" s="2672"/>
      <c r="BU25" s="2672"/>
      <c r="BV25" s="2672"/>
      <c r="BW25" s="2672"/>
      <c r="BX25" s="2672"/>
      <c r="BY25" s="2672"/>
      <c r="BZ25" s="2672"/>
      <c r="CA25" s="2672"/>
      <c r="CB25" s="2672"/>
      <c r="CC25" s="2672"/>
      <c r="CD25" s="2672"/>
      <c r="CE25" s="2672"/>
      <c r="CF25" s="2672"/>
      <c r="CG25" s="2672"/>
      <c r="CH25" s="2672"/>
      <c r="CI25" s="2672"/>
      <c r="CJ25" s="2672"/>
      <c r="CK25" s="2672"/>
      <c r="CL25" s="2672"/>
      <c r="CM25" s="2672"/>
      <c r="CN25" s="2672"/>
      <c r="CO25" s="2672"/>
      <c r="CP25" s="2672"/>
      <c r="CQ25" s="2672"/>
      <c r="CR25" s="2672"/>
      <c r="CS25" s="2672"/>
      <c r="CT25" s="2672"/>
      <c r="CU25" s="2672"/>
      <c r="CV25" s="2672"/>
      <c r="CW25" s="2672"/>
      <c r="CX25" s="2672"/>
      <c r="CY25" s="2672"/>
      <c r="CZ25" s="2672"/>
      <c r="DA25" s="2672"/>
      <c r="DB25" s="2672"/>
      <c r="DC25" s="2672"/>
      <c r="DD25" s="2672"/>
      <c r="DE25" s="2672"/>
      <c r="DF25" s="2672"/>
      <c r="DG25" s="2672"/>
      <c r="DH25" s="2672"/>
      <c r="DI25" s="2672"/>
      <c r="DJ25" s="2672"/>
      <c r="DK25" s="2672"/>
      <c r="DL25" s="2672"/>
      <c r="DM25" s="2672"/>
      <c r="DN25" s="2672"/>
      <c r="DO25" s="2672"/>
      <c r="DP25" s="2672"/>
      <c r="DQ25" s="2672"/>
      <c r="DR25" s="2672"/>
      <c r="DS25" s="2672"/>
      <c r="DT25" s="2672"/>
      <c r="DU25" s="2672"/>
      <c r="DV25" s="2672"/>
      <c r="DW25" s="2672"/>
      <c r="DX25" s="2672"/>
      <c r="DY25" s="2672"/>
      <c r="DZ25" s="2672"/>
      <c r="EA25" s="2672"/>
      <c r="EB25" s="2672"/>
      <c r="EC25" s="2672"/>
      <c r="ED25" s="2672"/>
      <c r="EE25" s="2672"/>
      <c r="EF25" s="2672"/>
      <c r="EG25" s="2672"/>
      <c r="EH25" s="2672"/>
      <c r="EI25" s="2672"/>
      <c r="EJ25" s="2672"/>
      <c r="EK25" s="2672"/>
      <c r="EL25" s="2672"/>
      <c r="EM25" s="2672"/>
      <c r="EN25" s="2672"/>
      <c r="EO25" s="2672"/>
      <c r="EP25" s="2672"/>
      <c r="EQ25" s="2672"/>
      <c r="ER25" s="2672"/>
      <c r="ES25" s="2672"/>
      <c r="ET25" s="2672"/>
      <c r="EU25" s="2672"/>
      <c r="EV25" s="2672"/>
      <c r="EW25" s="2672"/>
      <c r="EX25" s="2672"/>
      <c r="EY25" s="2672"/>
      <c r="EZ25" s="2672"/>
      <c r="FA25" s="2672"/>
      <c r="FB25" s="2672"/>
      <c r="FC25" s="2672"/>
      <c r="FD25" s="2672"/>
      <c r="FE25" s="2672"/>
      <c r="FF25" s="2672"/>
      <c r="FG25" s="2672"/>
      <c r="FH25" s="2672"/>
      <c r="FI25" s="2672"/>
      <c r="FJ25" s="2672"/>
      <c r="FK25" s="2672"/>
      <c r="FL25" s="2672"/>
      <c r="FM25" s="2672"/>
      <c r="FN25" s="2672"/>
      <c r="FO25" s="2672"/>
      <c r="FP25" s="2672"/>
      <c r="FQ25" s="2672"/>
      <c r="FR25" s="2672"/>
      <c r="FS25" s="2672"/>
      <c r="FT25" s="2672"/>
      <c r="FU25" s="2672"/>
      <c r="FV25" s="2672"/>
      <c r="FW25" s="2672"/>
      <c r="FX25" s="2672"/>
      <c r="FY25" s="2672"/>
      <c r="FZ25" s="2672"/>
      <c r="GA25" s="2672"/>
      <c r="GB25" s="2672"/>
      <c r="GC25" s="2672"/>
      <c r="GD25" s="2672"/>
      <c r="GE25" s="2672"/>
      <c r="GF25" s="2672"/>
      <c r="GG25" s="2672"/>
      <c r="GH25" s="2672"/>
      <c r="GI25" s="2672"/>
      <c r="GJ25" s="2672"/>
      <c r="GK25" s="2672"/>
      <c r="GL25" s="2672"/>
      <c r="GM25" s="2672"/>
      <c r="GN25" s="2672"/>
      <c r="GO25" s="2672"/>
      <c r="GP25" s="2672"/>
      <c r="GQ25" s="2672"/>
      <c r="GR25" s="2672"/>
      <c r="GS25" s="2672"/>
      <c r="GT25" s="2672"/>
      <c r="GU25" s="2672"/>
      <c r="GV25" s="2672"/>
      <c r="GW25" s="2672"/>
    </row>
    <row r="26" spans="1:205" ht="17.399999999999999">
      <c r="B26" s="1525">
        <f t="shared" si="1"/>
        <v>22</v>
      </c>
      <c r="C26" s="2658" t="s">
        <v>527</v>
      </c>
      <c r="D26" s="2673">
        <v>171.5</v>
      </c>
      <c r="E26" s="2660" t="s">
        <v>480</v>
      </c>
      <c r="F26" s="3688"/>
      <c r="G26" s="3689"/>
      <c r="H26" s="3689"/>
      <c r="I26" s="3689"/>
      <c r="J26" s="3689"/>
      <c r="K26" s="3689"/>
      <c r="L26" s="3689"/>
      <c r="M26" s="3689"/>
      <c r="N26" s="3689"/>
      <c r="O26" s="3689"/>
      <c r="P26" s="3689"/>
      <c r="Q26" s="3689"/>
      <c r="R26" s="3689"/>
      <c r="S26" s="3689" t="s">
        <v>160</v>
      </c>
      <c r="T26" s="3689"/>
      <c r="U26" s="3689"/>
      <c r="V26" s="3689" t="s">
        <v>160</v>
      </c>
      <c r="W26" s="3689"/>
      <c r="X26" s="3689" t="s">
        <v>160</v>
      </c>
      <c r="Y26" s="3689" t="s">
        <v>160</v>
      </c>
      <c r="Z26" s="3689"/>
      <c r="AA26" s="3689"/>
      <c r="AB26" s="3689" t="s">
        <v>160</v>
      </c>
      <c r="AC26" s="3689"/>
      <c r="AD26" s="3689" t="s">
        <v>160</v>
      </c>
      <c r="AE26" s="3689"/>
      <c r="AF26" s="3690"/>
      <c r="AG26" s="1519">
        <f t="shared" si="0"/>
        <v>0</v>
      </c>
      <c r="AH26" s="2672"/>
      <c r="AI26" s="2672"/>
      <c r="AJ26" s="2672"/>
      <c r="AK26" s="2672"/>
      <c r="AL26" s="2672"/>
      <c r="AM26" s="2672"/>
      <c r="AN26" s="2672"/>
      <c r="AO26" s="2672"/>
      <c r="AP26" s="2683">
        <f t="shared" si="2"/>
        <v>12</v>
      </c>
      <c r="AQ26" s="2684" t="str">
        <f t="shared" si="3"/>
        <v>Betanal Tandem + Mero</v>
      </c>
      <c r="AR26" s="2684"/>
      <c r="AS26" s="2684"/>
      <c r="AT26" s="2684"/>
      <c r="AU26" s="2684"/>
      <c r="AV26" s="2685">
        <f t="shared" si="4"/>
        <v>36.67</v>
      </c>
      <c r="AW26" s="2686" t="str">
        <f t="shared" si="4"/>
        <v>H</v>
      </c>
      <c r="AX26" s="2684"/>
      <c r="AY26" s="2683">
        <f t="shared" si="5"/>
        <v>62</v>
      </c>
      <c r="AZ26" s="2685" t="str">
        <f t="shared" si="6"/>
        <v>Revytrex</v>
      </c>
      <c r="BA26" s="2684"/>
      <c r="BB26" s="2685">
        <f t="shared" si="7"/>
        <v>56</v>
      </c>
      <c r="BC26" s="2686" t="str">
        <f t="shared" si="7"/>
        <v>F</v>
      </c>
      <c r="BD26" s="2684"/>
      <c r="BE26" s="2684"/>
      <c r="BF26" s="2687"/>
      <c r="BG26" s="2672"/>
      <c r="BH26" s="2672"/>
      <c r="BI26" s="2672"/>
      <c r="BJ26" s="2672"/>
      <c r="BK26" s="2672"/>
      <c r="BL26" s="2672"/>
      <c r="BM26" s="2672"/>
      <c r="BN26" s="2672"/>
      <c r="BO26" s="2672"/>
      <c r="BP26" s="2672"/>
      <c r="BQ26" s="2672"/>
      <c r="BR26" s="2672"/>
      <c r="BS26" s="2672"/>
      <c r="BT26" s="2672"/>
      <c r="BU26" s="2672"/>
      <c r="BV26" s="2672"/>
      <c r="BW26" s="2672"/>
      <c r="BX26" s="2672"/>
      <c r="BY26" s="2672"/>
      <c r="BZ26" s="2672"/>
      <c r="CA26" s="2672"/>
      <c r="CB26" s="2672"/>
      <c r="CC26" s="2672"/>
      <c r="CD26" s="2672"/>
      <c r="CE26" s="2672"/>
      <c r="CF26" s="2672"/>
      <c r="CG26" s="2672"/>
      <c r="CH26" s="2672"/>
      <c r="CI26" s="2672"/>
      <c r="CJ26" s="2672"/>
      <c r="CK26" s="2672"/>
      <c r="CL26" s="2672"/>
      <c r="CM26" s="2672"/>
      <c r="CN26" s="2672"/>
      <c r="CO26" s="2672"/>
      <c r="CP26" s="2672"/>
      <c r="CQ26" s="2672"/>
      <c r="CR26" s="2672"/>
      <c r="CS26" s="2672"/>
      <c r="CT26" s="2672"/>
      <c r="CU26" s="2672"/>
      <c r="CV26" s="2672"/>
      <c r="CW26" s="2672"/>
      <c r="CX26" s="2672"/>
      <c r="CY26" s="2672"/>
      <c r="CZ26" s="2672"/>
      <c r="DA26" s="2672"/>
      <c r="DB26" s="2672"/>
      <c r="DC26" s="2672"/>
      <c r="DD26" s="2672"/>
      <c r="DE26" s="2672"/>
      <c r="DF26" s="2672"/>
      <c r="DG26" s="2672"/>
      <c r="DH26" s="2672"/>
      <c r="DI26" s="2672"/>
      <c r="DJ26" s="2672"/>
      <c r="DK26" s="2672"/>
      <c r="DL26" s="2672"/>
      <c r="DM26" s="2672"/>
      <c r="DN26" s="2672"/>
      <c r="DO26" s="2672"/>
      <c r="DP26" s="2672"/>
      <c r="DQ26" s="2672"/>
      <c r="DR26" s="2672"/>
      <c r="DS26" s="2672"/>
      <c r="DT26" s="2672"/>
      <c r="DU26" s="2672"/>
      <c r="DV26" s="2672"/>
      <c r="DW26" s="2672"/>
      <c r="DX26" s="2672"/>
      <c r="DY26" s="2672"/>
      <c r="DZ26" s="2672"/>
      <c r="EA26" s="2672"/>
      <c r="EB26" s="2672"/>
      <c r="EC26" s="2672"/>
      <c r="ED26" s="2672"/>
      <c r="EE26" s="2672"/>
      <c r="EF26" s="2672"/>
      <c r="EG26" s="2672"/>
      <c r="EH26" s="2672"/>
      <c r="EI26" s="2672"/>
      <c r="EJ26" s="2672"/>
      <c r="EK26" s="2672"/>
      <c r="EL26" s="2672"/>
      <c r="EM26" s="2672"/>
      <c r="EN26" s="2672"/>
      <c r="EO26" s="2672"/>
      <c r="EP26" s="2672"/>
      <c r="EQ26" s="2672"/>
      <c r="ER26" s="2672"/>
      <c r="ES26" s="2672"/>
      <c r="ET26" s="2672"/>
      <c r="EU26" s="2672"/>
      <c r="EV26" s="2672"/>
      <c r="EW26" s="2672"/>
      <c r="EX26" s="2672"/>
      <c r="EY26" s="2672"/>
      <c r="EZ26" s="2672"/>
      <c r="FA26" s="2672"/>
      <c r="FB26" s="2672"/>
      <c r="FC26" s="2672"/>
      <c r="FD26" s="2672"/>
      <c r="FE26" s="2672"/>
      <c r="FF26" s="2672"/>
      <c r="FG26" s="2672"/>
      <c r="FH26" s="2672"/>
      <c r="FI26" s="2672"/>
      <c r="FJ26" s="2672"/>
      <c r="FK26" s="2672"/>
      <c r="FL26" s="2672"/>
      <c r="FM26" s="2672"/>
      <c r="FN26" s="2672"/>
      <c r="FO26" s="2672"/>
      <c r="FP26" s="2672"/>
      <c r="FQ26" s="2672"/>
      <c r="FR26" s="2672"/>
      <c r="FS26" s="2672"/>
      <c r="FT26" s="2672"/>
      <c r="FU26" s="2672"/>
      <c r="FV26" s="2672"/>
      <c r="FW26" s="2672"/>
      <c r="FX26" s="2672"/>
      <c r="FY26" s="2672"/>
      <c r="FZ26" s="2672"/>
      <c r="GA26" s="2672"/>
      <c r="GB26" s="2672"/>
      <c r="GC26" s="2672"/>
      <c r="GD26" s="2672"/>
      <c r="GE26" s="2672"/>
      <c r="GF26" s="2672"/>
      <c r="GG26" s="2672"/>
      <c r="GH26" s="2672"/>
      <c r="GI26" s="2672"/>
      <c r="GJ26" s="2672"/>
      <c r="GK26" s="2672"/>
      <c r="GL26" s="2672"/>
      <c r="GM26" s="2672"/>
      <c r="GN26" s="2672"/>
      <c r="GO26" s="2672"/>
      <c r="GP26" s="2672"/>
      <c r="GQ26" s="2672"/>
      <c r="GR26" s="2672"/>
      <c r="GS26" s="2672"/>
      <c r="GT26" s="2672"/>
      <c r="GU26" s="2672"/>
      <c r="GV26" s="2672"/>
      <c r="GW26" s="2672"/>
    </row>
    <row r="27" spans="1:205" ht="17.399999999999999">
      <c r="B27" s="1525">
        <f t="shared" si="1"/>
        <v>23</v>
      </c>
      <c r="C27" s="2658" t="s">
        <v>1477</v>
      </c>
      <c r="D27" s="2673">
        <v>41.7</v>
      </c>
      <c r="E27" s="2660" t="s">
        <v>505</v>
      </c>
      <c r="F27" s="3688" t="s">
        <v>160</v>
      </c>
      <c r="G27" s="3689"/>
      <c r="H27" s="3689" t="s">
        <v>160</v>
      </c>
      <c r="I27" s="3689" t="s">
        <v>160</v>
      </c>
      <c r="J27" s="3689" t="s">
        <v>160</v>
      </c>
      <c r="K27" s="3689" t="s">
        <v>160</v>
      </c>
      <c r="L27" s="3689" t="s">
        <v>160</v>
      </c>
      <c r="M27" s="3689" t="s">
        <v>160</v>
      </c>
      <c r="N27" s="3689"/>
      <c r="O27" s="3689"/>
      <c r="P27" s="3689"/>
      <c r="Q27" s="3689"/>
      <c r="R27" s="3689"/>
      <c r="S27" s="3689"/>
      <c r="T27" s="3689"/>
      <c r="U27" s="3689"/>
      <c r="V27" s="3689"/>
      <c r="W27" s="3689"/>
      <c r="X27" s="3689"/>
      <c r="Y27" s="3689"/>
      <c r="Z27" s="3689"/>
      <c r="AA27" s="3689"/>
      <c r="AB27" s="3689"/>
      <c r="AC27" s="3689"/>
      <c r="AD27" s="3689" t="s">
        <v>160</v>
      </c>
      <c r="AE27" s="3689"/>
      <c r="AF27" s="3690"/>
      <c r="AG27" s="1519">
        <f t="shared" si="0"/>
        <v>0</v>
      </c>
      <c r="AH27" s="2672"/>
      <c r="AI27" s="2672"/>
      <c r="AJ27" s="2672"/>
      <c r="AK27" s="2672"/>
      <c r="AL27" s="2672"/>
      <c r="AM27" s="2672"/>
      <c r="AN27" s="2672"/>
      <c r="AO27" s="2672"/>
      <c r="AP27" s="2683">
        <f t="shared" si="2"/>
        <v>13</v>
      </c>
      <c r="AQ27" s="2684" t="str">
        <f t="shared" si="3"/>
        <v/>
      </c>
      <c r="AR27" s="2684"/>
      <c r="AS27" s="2684"/>
      <c r="AT27" s="2684"/>
      <c r="AU27" s="2684"/>
      <c r="AV27" s="2685" t="str">
        <f t="shared" si="4"/>
        <v/>
      </c>
      <c r="AW27" s="2686" t="str">
        <f t="shared" si="4"/>
        <v/>
      </c>
      <c r="AX27" s="2684"/>
      <c r="AY27" s="2683">
        <f t="shared" si="5"/>
        <v>63</v>
      </c>
      <c r="AZ27" s="2685" t="str">
        <f t="shared" si="6"/>
        <v>Comet</v>
      </c>
      <c r="BA27" s="2684"/>
      <c r="BB27" s="2685">
        <f t="shared" si="7"/>
        <v>33.6</v>
      </c>
      <c r="BC27" s="2686" t="str">
        <f t="shared" si="7"/>
        <v>F</v>
      </c>
      <c r="BD27" s="2684"/>
      <c r="BE27" s="2684"/>
      <c r="BF27" s="2687"/>
      <c r="BG27" s="2672"/>
      <c r="BH27" s="2672"/>
      <c r="BI27" s="2672"/>
      <c r="BJ27" s="2672"/>
      <c r="BK27" s="2672"/>
      <c r="BL27" s="2672"/>
      <c r="BM27" s="2672"/>
      <c r="BN27" s="2672"/>
      <c r="BO27" s="2672"/>
      <c r="BP27" s="2672"/>
      <c r="BQ27" s="2672"/>
      <c r="BR27" s="2672"/>
      <c r="BS27" s="2672"/>
      <c r="BT27" s="2672"/>
      <c r="BU27" s="2672"/>
      <c r="BV27" s="2672"/>
      <c r="BW27" s="2672"/>
      <c r="BX27" s="2672"/>
      <c r="BY27" s="2672"/>
      <c r="BZ27" s="2672"/>
      <c r="CA27" s="2672"/>
      <c r="CB27" s="2672"/>
      <c r="CC27" s="2672"/>
      <c r="CD27" s="2672"/>
      <c r="CE27" s="2672"/>
      <c r="CF27" s="2672"/>
      <c r="CG27" s="2672"/>
      <c r="CH27" s="2672"/>
      <c r="CI27" s="2672"/>
      <c r="CJ27" s="2672"/>
      <c r="CK27" s="2672"/>
      <c r="CL27" s="2672"/>
      <c r="CM27" s="2672"/>
      <c r="CN27" s="2672"/>
      <c r="CO27" s="2672"/>
      <c r="CP27" s="2672"/>
      <c r="CQ27" s="2672"/>
      <c r="CR27" s="2672"/>
      <c r="CS27" s="2672"/>
      <c r="CT27" s="2672"/>
      <c r="CU27" s="2672"/>
      <c r="CV27" s="2672"/>
      <c r="CW27" s="2672"/>
      <c r="CX27" s="2672"/>
      <c r="CY27" s="2672"/>
      <c r="CZ27" s="2672"/>
      <c r="DA27" s="2672"/>
      <c r="DB27" s="2672"/>
      <c r="DC27" s="2672"/>
      <c r="DD27" s="2672"/>
      <c r="DE27" s="2672"/>
      <c r="DF27" s="2672"/>
      <c r="DG27" s="2672"/>
      <c r="DH27" s="2672"/>
      <c r="DI27" s="2672"/>
      <c r="DJ27" s="2672"/>
      <c r="DK27" s="2672"/>
      <c r="DL27" s="2672"/>
      <c r="DM27" s="2672"/>
      <c r="DN27" s="2672"/>
      <c r="DO27" s="2672"/>
      <c r="DP27" s="2672"/>
      <c r="DQ27" s="2672"/>
      <c r="DR27" s="2672"/>
      <c r="DS27" s="2672"/>
      <c r="DT27" s="2672"/>
      <c r="DU27" s="2672"/>
      <c r="DV27" s="2672"/>
      <c r="DW27" s="2672"/>
      <c r="DX27" s="2672"/>
      <c r="DY27" s="2672"/>
      <c r="DZ27" s="2672"/>
      <c r="EA27" s="2672"/>
      <c r="EB27" s="2672"/>
      <c r="EC27" s="2672"/>
      <c r="ED27" s="2672"/>
      <c r="EE27" s="2672"/>
      <c r="EF27" s="2672"/>
      <c r="EG27" s="2672"/>
      <c r="EH27" s="2672"/>
      <c r="EI27" s="2672"/>
      <c r="EJ27" s="2672"/>
      <c r="EK27" s="2672"/>
      <c r="EL27" s="2672"/>
      <c r="EM27" s="2672"/>
      <c r="EN27" s="2672"/>
      <c r="EO27" s="2672"/>
      <c r="EP27" s="2672"/>
      <c r="EQ27" s="2672"/>
      <c r="ER27" s="2672"/>
      <c r="ES27" s="2672"/>
      <c r="ET27" s="2672"/>
      <c r="EU27" s="2672"/>
      <c r="EV27" s="2672"/>
      <c r="EW27" s="2672"/>
      <c r="EX27" s="2672"/>
      <c r="EY27" s="2672"/>
      <c r="EZ27" s="2672"/>
      <c r="FA27" s="2672"/>
      <c r="FB27" s="2672"/>
      <c r="FC27" s="2672"/>
      <c r="FD27" s="2672"/>
      <c r="FE27" s="2672"/>
      <c r="FF27" s="2672"/>
      <c r="FG27" s="2672"/>
      <c r="FH27" s="2672"/>
      <c r="FI27" s="2672"/>
      <c r="FJ27" s="2672"/>
      <c r="FK27" s="2672"/>
      <c r="FL27" s="2672"/>
      <c r="FM27" s="2672"/>
      <c r="FN27" s="2672"/>
      <c r="FO27" s="2672"/>
      <c r="FP27" s="2672"/>
      <c r="FQ27" s="2672"/>
      <c r="FR27" s="2672"/>
      <c r="FS27" s="2672"/>
      <c r="FT27" s="2672"/>
      <c r="FU27" s="2672"/>
      <c r="FV27" s="2672"/>
      <c r="FW27" s="2672"/>
      <c r="FX27" s="2672"/>
      <c r="FY27" s="2672"/>
      <c r="FZ27" s="2672"/>
      <c r="GA27" s="2672"/>
      <c r="GB27" s="2672"/>
      <c r="GC27" s="2672"/>
      <c r="GD27" s="2672"/>
      <c r="GE27" s="2672"/>
      <c r="GF27" s="2672"/>
      <c r="GG27" s="2672"/>
      <c r="GH27" s="2672"/>
      <c r="GI27" s="2672"/>
      <c r="GJ27" s="2672"/>
      <c r="GK27" s="2672"/>
      <c r="GL27" s="2672"/>
      <c r="GM27" s="2672"/>
      <c r="GN27" s="2672"/>
      <c r="GO27" s="2672"/>
      <c r="GP27" s="2672"/>
      <c r="GQ27" s="2672"/>
      <c r="GR27" s="2672"/>
      <c r="GS27" s="2672"/>
      <c r="GT27" s="2672"/>
      <c r="GU27" s="2672"/>
      <c r="GV27" s="2672"/>
      <c r="GW27" s="2672"/>
    </row>
    <row r="28" spans="1:205" ht="17.399999999999999">
      <c r="B28" s="1525">
        <f t="shared" si="1"/>
        <v>24</v>
      </c>
      <c r="C28" s="2658" t="s">
        <v>1572</v>
      </c>
      <c r="D28" s="2673">
        <v>50.4</v>
      </c>
      <c r="E28" s="2660" t="s">
        <v>480</v>
      </c>
      <c r="F28" s="3688"/>
      <c r="G28" s="3689"/>
      <c r="H28" s="3689"/>
      <c r="I28" s="3689"/>
      <c r="J28" s="3689"/>
      <c r="K28" s="3689"/>
      <c r="L28" s="3689"/>
      <c r="M28" s="3689"/>
      <c r="N28" s="3689"/>
      <c r="O28" s="3689"/>
      <c r="P28" s="3689"/>
      <c r="Q28" s="3689"/>
      <c r="R28" s="3689"/>
      <c r="S28" s="3689" t="s">
        <v>160</v>
      </c>
      <c r="T28" s="3689"/>
      <c r="U28" s="3689"/>
      <c r="V28" s="3689"/>
      <c r="W28" s="3689"/>
      <c r="X28" s="3689"/>
      <c r="Y28" s="3689"/>
      <c r="Z28" s="3689"/>
      <c r="AA28" s="3689"/>
      <c r="AB28" s="3689"/>
      <c r="AC28" s="3689"/>
      <c r="AD28" s="3696"/>
      <c r="AE28" s="3696"/>
      <c r="AF28" s="3697"/>
      <c r="AG28" s="1519">
        <f t="shared" si="0"/>
        <v>0</v>
      </c>
      <c r="AH28" s="2672"/>
      <c r="AI28" s="2672"/>
      <c r="AJ28" s="2672"/>
      <c r="AK28" s="2672"/>
      <c r="AL28" s="2672"/>
      <c r="AM28" s="2672"/>
      <c r="AN28" s="2672"/>
      <c r="AO28" s="2672"/>
      <c r="AP28" s="2683">
        <f t="shared" si="2"/>
        <v>14</v>
      </c>
      <c r="AQ28" s="2684" t="str">
        <f t="shared" si="3"/>
        <v>Amistar Gold</v>
      </c>
      <c r="AR28" s="2684"/>
      <c r="AS28" s="2684"/>
      <c r="AT28" s="2684"/>
      <c r="AU28" s="2684"/>
      <c r="AV28" s="2685">
        <f t="shared" si="4"/>
        <v>50</v>
      </c>
      <c r="AW28" s="2686" t="str">
        <f t="shared" si="4"/>
        <v>F</v>
      </c>
      <c r="AX28" s="2684"/>
      <c r="AY28" s="2683">
        <f t="shared" si="5"/>
        <v>64</v>
      </c>
      <c r="AZ28" s="2685" t="str">
        <f t="shared" si="6"/>
        <v>Select 240 EC</v>
      </c>
      <c r="BA28" s="2684"/>
      <c r="BB28" s="2685">
        <f t="shared" si="7"/>
        <v>82.5</v>
      </c>
      <c r="BC28" s="2686" t="str">
        <f t="shared" si="7"/>
        <v>H</v>
      </c>
      <c r="BD28" s="2684"/>
      <c r="BE28" s="2684"/>
      <c r="BF28" s="2687"/>
      <c r="BG28" s="2672"/>
      <c r="BH28" s="2672"/>
      <c r="BI28" s="2672"/>
      <c r="BJ28" s="2672"/>
      <c r="BK28" s="2672"/>
      <c r="BL28" s="2672"/>
      <c r="BM28" s="2672"/>
      <c r="BN28" s="2672"/>
      <c r="BO28" s="2672"/>
      <c r="BP28" s="2672"/>
      <c r="BQ28" s="2672"/>
      <c r="BR28" s="2672"/>
      <c r="BS28" s="2672"/>
      <c r="BT28" s="2672"/>
      <c r="BU28" s="2672"/>
      <c r="BV28" s="2672"/>
      <c r="BW28" s="2672"/>
      <c r="BX28" s="2672"/>
      <c r="BY28" s="2672"/>
      <c r="BZ28" s="2672"/>
      <c r="CA28" s="2672"/>
      <c r="CB28" s="2672"/>
      <c r="CC28" s="2672"/>
      <c r="CD28" s="2672"/>
      <c r="CE28" s="2672"/>
      <c r="CF28" s="2672"/>
      <c r="CG28" s="2672"/>
      <c r="CH28" s="2672"/>
      <c r="CI28" s="2672"/>
      <c r="CJ28" s="2672"/>
      <c r="CK28" s="2672"/>
      <c r="CL28" s="2672"/>
      <c r="CM28" s="2672"/>
      <c r="CN28" s="2672"/>
      <c r="CO28" s="2672"/>
      <c r="CP28" s="2672"/>
      <c r="CQ28" s="2672"/>
      <c r="CR28" s="2672"/>
      <c r="CS28" s="2672"/>
      <c r="CT28" s="2672"/>
      <c r="CU28" s="2672"/>
      <c r="CV28" s="2672"/>
      <c r="CW28" s="2672"/>
      <c r="CX28" s="2672"/>
      <c r="CY28" s="2672"/>
      <c r="CZ28" s="2672"/>
      <c r="DA28" s="2672"/>
      <c r="DB28" s="2672"/>
      <c r="DC28" s="2672"/>
      <c r="DD28" s="2672"/>
      <c r="DE28" s="2672"/>
      <c r="DF28" s="2672"/>
      <c r="DG28" s="2672"/>
      <c r="DH28" s="2672"/>
      <c r="DI28" s="2672"/>
      <c r="DJ28" s="2672"/>
      <c r="DK28" s="2672"/>
      <c r="DL28" s="2672"/>
      <c r="DM28" s="2672"/>
      <c r="DN28" s="2672"/>
      <c r="DO28" s="2672"/>
      <c r="DP28" s="2672"/>
      <c r="DQ28" s="2672"/>
      <c r="DR28" s="2672"/>
      <c r="DS28" s="2672"/>
      <c r="DT28" s="2672"/>
      <c r="DU28" s="2672"/>
      <c r="DV28" s="2672"/>
      <c r="DW28" s="2672"/>
      <c r="DX28" s="2672"/>
      <c r="DY28" s="2672"/>
      <c r="DZ28" s="2672"/>
      <c r="EA28" s="2672"/>
      <c r="EB28" s="2672"/>
      <c r="EC28" s="2672"/>
      <c r="ED28" s="2672"/>
      <c r="EE28" s="2672"/>
      <c r="EF28" s="2672"/>
      <c r="EG28" s="2672"/>
      <c r="EH28" s="2672"/>
      <c r="EI28" s="2672"/>
      <c r="EJ28" s="2672"/>
      <c r="EK28" s="2672"/>
      <c r="EL28" s="2672"/>
      <c r="EM28" s="2672"/>
      <c r="EN28" s="2672"/>
      <c r="EO28" s="2672"/>
      <c r="EP28" s="2672"/>
      <c r="EQ28" s="2672"/>
      <c r="ER28" s="2672"/>
      <c r="ES28" s="2672"/>
      <c r="ET28" s="2672"/>
      <c r="EU28" s="2672"/>
      <c r="EV28" s="2672"/>
      <c r="EW28" s="2672"/>
      <c r="EX28" s="2672"/>
      <c r="EY28" s="2672"/>
      <c r="EZ28" s="2672"/>
      <c r="FA28" s="2672"/>
      <c r="FB28" s="2672"/>
      <c r="FC28" s="2672"/>
      <c r="FD28" s="2672"/>
      <c r="FE28" s="2672"/>
      <c r="FF28" s="2672"/>
      <c r="FG28" s="2672"/>
      <c r="FH28" s="2672"/>
      <c r="FI28" s="2672"/>
      <c r="FJ28" s="2672"/>
      <c r="FK28" s="2672"/>
      <c r="FL28" s="2672"/>
      <c r="FM28" s="2672"/>
      <c r="FN28" s="2672"/>
      <c r="FO28" s="2672"/>
      <c r="FP28" s="2672"/>
      <c r="FQ28" s="2672"/>
      <c r="FR28" s="2672"/>
      <c r="FS28" s="2672"/>
      <c r="FT28" s="2672"/>
      <c r="FU28" s="2672"/>
      <c r="FV28" s="2672"/>
      <c r="FW28" s="2672"/>
      <c r="FX28" s="2672"/>
      <c r="FY28" s="2672"/>
      <c r="FZ28" s="2672"/>
      <c r="GA28" s="2672"/>
      <c r="GB28" s="2672"/>
      <c r="GC28" s="2672"/>
      <c r="GD28" s="2672"/>
      <c r="GE28" s="2672"/>
      <c r="GF28" s="2672"/>
      <c r="GG28" s="2672"/>
      <c r="GH28" s="2672"/>
      <c r="GI28" s="2672"/>
      <c r="GJ28" s="2672"/>
      <c r="GK28" s="2672"/>
      <c r="GL28" s="2672"/>
      <c r="GM28" s="2672"/>
      <c r="GN28" s="2672"/>
      <c r="GO28" s="2672"/>
      <c r="GP28" s="2672"/>
      <c r="GQ28" s="2672"/>
      <c r="GR28" s="2672"/>
      <c r="GS28" s="2672"/>
      <c r="GT28" s="2672"/>
      <c r="GU28" s="2672"/>
      <c r="GV28" s="2672"/>
      <c r="GW28" s="2672"/>
    </row>
    <row r="29" spans="1:205" ht="17.399999999999999">
      <c r="B29" s="1525">
        <f t="shared" si="1"/>
        <v>25</v>
      </c>
      <c r="C29" s="2658" t="s">
        <v>524</v>
      </c>
      <c r="D29" s="2673">
        <v>376.4</v>
      </c>
      <c r="E29" s="2660" t="s">
        <v>477</v>
      </c>
      <c r="F29" s="3688"/>
      <c r="G29" s="3689"/>
      <c r="H29" s="3689"/>
      <c r="I29" s="3689"/>
      <c r="J29" s="3689"/>
      <c r="K29" s="3689"/>
      <c r="L29" s="3689"/>
      <c r="M29" s="3689"/>
      <c r="N29" s="3689"/>
      <c r="O29" s="3689"/>
      <c r="P29" s="3689"/>
      <c r="Q29" s="3689"/>
      <c r="R29" s="3689" t="s">
        <v>160</v>
      </c>
      <c r="S29" s="3689"/>
      <c r="T29" s="3689"/>
      <c r="U29" s="3689"/>
      <c r="V29" s="3689"/>
      <c r="W29" s="3689"/>
      <c r="X29" s="3689"/>
      <c r="Y29" s="3689"/>
      <c r="Z29" s="3689"/>
      <c r="AA29" s="3689"/>
      <c r="AB29" s="3689" t="s">
        <v>160</v>
      </c>
      <c r="AC29" s="3689"/>
      <c r="AD29" s="3689" t="s">
        <v>160</v>
      </c>
      <c r="AE29" s="3689"/>
      <c r="AF29" s="3690"/>
      <c r="AG29" s="1519">
        <f t="shared" si="0"/>
        <v>0</v>
      </c>
      <c r="AH29" s="2672"/>
      <c r="AI29" s="2672"/>
      <c r="AJ29" s="2672"/>
      <c r="AK29" s="2672"/>
      <c r="AL29" s="2672"/>
      <c r="AM29" s="2672"/>
      <c r="AN29" s="2672"/>
      <c r="AO29" s="2672"/>
      <c r="AP29" s="2683">
        <f t="shared" si="2"/>
        <v>15</v>
      </c>
      <c r="AQ29" s="2684" t="str">
        <f t="shared" si="3"/>
        <v>Boxer</v>
      </c>
      <c r="AR29" s="2684"/>
      <c r="AS29" s="2684"/>
      <c r="AT29" s="2684"/>
      <c r="AU29" s="2684"/>
      <c r="AV29" s="2685">
        <f t="shared" si="4"/>
        <v>15.7</v>
      </c>
      <c r="AW29" s="2686" t="str">
        <f t="shared" si="4"/>
        <v>H</v>
      </c>
      <c r="AX29" s="2684"/>
      <c r="AY29" s="2683">
        <f t="shared" si="5"/>
        <v>65</v>
      </c>
      <c r="AZ29" s="2685" t="str">
        <f t="shared" si="6"/>
        <v/>
      </c>
      <c r="BA29" s="2684"/>
      <c r="BB29" s="2685" t="str">
        <f t="shared" si="7"/>
        <v/>
      </c>
      <c r="BC29" s="2686" t="str">
        <f t="shared" si="7"/>
        <v/>
      </c>
      <c r="BD29" s="2684"/>
      <c r="BE29" s="2684"/>
      <c r="BF29" s="2687"/>
      <c r="BG29" s="2672"/>
      <c r="BH29" s="2672"/>
      <c r="BI29" s="2672"/>
      <c r="BJ29" s="2672"/>
      <c r="BK29" s="2672"/>
      <c r="BL29" s="2672"/>
      <c r="BM29" s="2672"/>
      <c r="BN29" s="2672"/>
      <c r="BO29" s="2672"/>
      <c r="BP29" s="2672"/>
      <c r="BQ29" s="2672"/>
      <c r="BR29" s="2672"/>
      <c r="BS29" s="2672"/>
      <c r="BT29" s="2672"/>
      <c r="BU29" s="2672"/>
      <c r="BV29" s="2672"/>
      <c r="BW29" s="2672"/>
      <c r="BX29" s="2672"/>
      <c r="BY29" s="2672"/>
      <c r="BZ29" s="2672"/>
      <c r="CA29" s="2672"/>
      <c r="CB29" s="2672"/>
      <c r="CC29" s="2672"/>
      <c r="CD29" s="2672"/>
      <c r="CE29" s="2672"/>
      <c r="CF29" s="2672"/>
      <c r="CG29" s="2672"/>
      <c r="CH29" s="2672"/>
      <c r="CI29" s="2672"/>
      <c r="CJ29" s="2672"/>
      <c r="CK29" s="2672"/>
      <c r="CL29" s="2672"/>
      <c r="CM29" s="2672"/>
      <c r="CN29" s="2672"/>
      <c r="CO29" s="2672"/>
      <c r="CP29" s="2672"/>
      <c r="CQ29" s="2672"/>
      <c r="CR29" s="2672"/>
      <c r="CS29" s="2672"/>
      <c r="CT29" s="2672"/>
      <c r="CU29" s="2672"/>
      <c r="CV29" s="2672"/>
      <c r="CW29" s="2672"/>
      <c r="CX29" s="2672"/>
      <c r="CY29" s="2672"/>
      <c r="CZ29" s="2672"/>
      <c r="DA29" s="2672"/>
      <c r="DB29" s="2672"/>
      <c r="DC29" s="2672"/>
      <c r="DD29" s="2672"/>
      <c r="DE29" s="2672"/>
      <c r="DF29" s="2672"/>
      <c r="DG29" s="2672"/>
      <c r="DH29" s="2672"/>
      <c r="DI29" s="2672"/>
      <c r="DJ29" s="2672"/>
      <c r="DK29" s="2672"/>
      <c r="DL29" s="2672"/>
      <c r="DM29" s="2672"/>
      <c r="DN29" s="2672"/>
      <c r="DO29" s="2672"/>
      <c r="DP29" s="2672"/>
      <c r="DQ29" s="2672"/>
      <c r="DR29" s="2672"/>
      <c r="DS29" s="2672"/>
      <c r="DT29" s="2672"/>
      <c r="DU29" s="2672"/>
      <c r="DV29" s="2672"/>
      <c r="DW29" s="2672"/>
      <c r="DX29" s="2672"/>
      <c r="DY29" s="2672"/>
      <c r="DZ29" s="2672"/>
      <c r="EA29" s="2672"/>
      <c r="EB29" s="2672"/>
      <c r="EC29" s="2672"/>
      <c r="ED29" s="2672"/>
      <c r="EE29" s="2672"/>
      <c r="EF29" s="2672"/>
      <c r="EG29" s="2672"/>
      <c r="EH29" s="2672"/>
      <c r="EI29" s="2672"/>
      <c r="EJ29" s="2672"/>
      <c r="EK29" s="2672"/>
      <c r="EL29" s="2672"/>
      <c r="EM29" s="2672"/>
      <c r="EN29" s="2672"/>
      <c r="EO29" s="2672"/>
      <c r="EP29" s="2672"/>
      <c r="EQ29" s="2672"/>
      <c r="ER29" s="2672"/>
      <c r="ES29" s="2672"/>
      <c r="ET29" s="2672"/>
      <c r="EU29" s="2672"/>
      <c r="EV29" s="2672"/>
      <c r="EW29" s="2672"/>
      <c r="EX29" s="2672"/>
      <c r="EY29" s="2672"/>
      <c r="EZ29" s="2672"/>
      <c r="FA29" s="2672"/>
      <c r="FB29" s="2672"/>
      <c r="FC29" s="2672"/>
      <c r="FD29" s="2672"/>
      <c r="FE29" s="2672"/>
      <c r="FF29" s="2672"/>
      <c r="FG29" s="2672"/>
      <c r="FH29" s="2672"/>
      <c r="FI29" s="2672"/>
      <c r="FJ29" s="2672"/>
      <c r="FK29" s="2672"/>
      <c r="FL29" s="2672"/>
      <c r="FM29" s="2672"/>
      <c r="FN29" s="2672"/>
      <c r="FO29" s="2672"/>
      <c r="FP29" s="2672"/>
      <c r="FQ29" s="2672"/>
      <c r="FR29" s="2672"/>
      <c r="FS29" s="2672"/>
      <c r="FT29" s="2672"/>
      <c r="FU29" s="2672"/>
      <c r="FV29" s="2672"/>
      <c r="FW29" s="2672"/>
      <c r="FX29" s="2672"/>
      <c r="FY29" s="2672"/>
      <c r="FZ29" s="2672"/>
      <c r="GA29" s="2672"/>
      <c r="GB29" s="2672"/>
      <c r="GC29" s="2672"/>
      <c r="GD29" s="2672"/>
      <c r="GE29" s="2672"/>
      <c r="GF29" s="2672"/>
      <c r="GG29" s="2672"/>
      <c r="GH29" s="2672"/>
      <c r="GI29" s="2672"/>
      <c r="GJ29" s="2672"/>
      <c r="GK29" s="2672"/>
      <c r="GL29" s="2672"/>
      <c r="GM29" s="2672"/>
      <c r="GN29" s="2672"/>
      <c r="GO29" s="2672"/>
      <c r="GP29" s="2672"/>
      <c r="GQ29" s="2672"/>
      <c r="GR29" s="2672"/>
      <c r="GS29" s="2672"/>
      <c r="GT29" s="2672"/>
      <c r="GU29" s="2672"/>
      <c r="GV29" s="2672"/>
      <c r="GW29" s="2672"/>
    </row>
    <row r="30" spans="1:205" s="2656" customFormat="1" ht="17.399999999999999">
      <c r="A30" s="2672"/>
      <c r="B30" s="1525">
        <f t="shared" si="1"/>
        <v>26</v>
      </c>
      <c r="C30" s="3450"/>
      <c r="D30" s="3451"/>
      <c r="E30" s="3452"/>
      <c r="F30" s="3691"/>
      <c r="G30" s="3692"/>
      <c r="H30" s="3692"/>
      <c r="I30" s="3692"/>
      <c r="J30" s="3692"/>
      <c r="K30" s="3692"/>
      <c r="L30" s="3692"/>
      <c r="M30" s="3692"/>
      <c r="N30" s="3692"/>
      <c r="O30" s="3692"/>
      <c r="P30" s="3692"/>
      <c r="Q30" s="3692"/>
      <c r="R30" s="3692"/>
      <c r="S30" s="3692"/>
      <c r="T30" s="3692"/>
      <c r="U30" s="3692"/>
      <c r="V30" s="3692"/>
      <c r="W30" s="3692"/>
      <c r="X30" s="3692"/>
      <c r="Y30" s="3692"/>
      <c r="Z30" s="3692"/>
      <c r="AA30" s="3692"/>
      <c r="AB30" s="3692"/>
      <c r="AC30" s="3692"/>
      <c r="AD30" s="3692"/>
      <c r="AE30" s="3692"/>
      <c r="AF30" s="3698"/>
      <c r="AG30" s="2657">
        <f t="shared" si="0"/>
        <v>0</v>
      </c>
      <c r="AH30" s="2672"/>
      <c r="AI30" s="2672"/>
      <c r="AJ30" s="2672"/>
      <c r="AK30" s="2672"/>
      <c r="AL30" s="2672"/>
      <c r="AM30" s="2672"/>
      <c r="AN30" s="2672"/>
      <c r="AO30" s="2672"/>
      <c r="AP30" s="2683">
        <f t="shared" si="2"/>
        <v>16</v>
      </c>
      <c r="AQ30" s="2684" t="str">
        <f t="shared" si="3"/>
        <v>Broadway</v>
      </c>
      <c r="AR30" s="2684"/>
      <c r="AS30" s="2684"/>
      <c r="AT30" s="2684"/>
      <c r="AU30" s="2684"/>
      <c r="AV30" s="2685">
        <f t="shared" si="4"/>
        <v>306</v>
      </c>
      <c r="AW30" s="2686" t="str">
        <f t="shared" si="4"/>
        <v>H</v>
      </c>
      <c r="AX30" s="2684"/>
      <c r="AY30" s="2683">
        <f t="shared" si="5"/>
        <v>66</v>
      </c>
      <c r="AZ30" s="2685" t="str">
        <f t="shared" si="6"/>
        <v>Shirlan</v>
      </c>
      <c r="BA30" s="2684"/>
      <c r="BB30" s="2685">
        <f t="shared" si="7"/>
        <v>44.2</v>
      </c>
      <c r="BC30" s="2686" t="str">
        <f t="shared" si="7"/>
        <v>F</v>
      </c>
      <c r="BD30" s="2684"/>
      <c r="BE30" s="2684"/>
      <c r="BF30" s="2687"/>
      <c r="BG30" s="2672"/>
      <c r="BH30" s="2672"/>
      <c r="BI30" s="2672"/>
      <c r="BJ30" s="2672"/>
      <c r="BK30" s="2672"/>
      <c r="BL30" s="2672"/>
      <c r="BM30" s="2672"/>
      <c r="BN30" s="2672"/>
      <c r="BO30" s="2672"/>
      <c r="BP30" s="2672"/>
      <c r="BQ30" s="2672"/>
      <c r="BR30" s="2672"/>
      <c r="BS30" s="2672"/>
      <c r="BT30" s="2672"/>
      <c r="BU30" s="2672"/>
      <c r="BV30" s="2672"/>
      <c r="BW30" s="2672"/>
      <c r="BX30" s="2672"/>
      <c r="BY30" s="2672"/>
      <c r="BZ30" s="2672"/>
      <c r="CA30" s="2672"/>
      <c r="CB30" s="2672"/>
      <c r="CC30" s="2672"/>
      <c r="CD30" s="2672"/>
      <c r="CE30" s="2672"/>
      <c r="CF30" s="2672"/>
      <c r="CG30" s="2672"/>
      <c r="CH30" s="2672"/>
      <c r="CI30" s="2672"/>
      <c r="CJ30" s="2672"/>
      <c r="CK30" s="2672"/>
      <c r="CL30" s="2672"/>
      <c r="CM30" s="2672"/>
      <c r="CN30" s="2672"/>
      <c r="CO30" s="2672"/>
      <c r="CP30" s="2672"/>
      <c r="CQ30" s="2672"/>
      <c r="CR30" s="2672"/>
      <c r="CS30" s="2672"/>
      <c r="CT30" s="2672"/>
      <c r="CU30" s="2672"/>
      <c r="CV30" s="2672"/>
      <c r="CW30" s="2672"/>
      <c r="CX30" s="2672"/>
      <c r="CY30" s="2672"/>
      <c r="CZ30" s="2672"/>
      <c r="DA30" s="2672"/>
      <c r="DB30" s="2672"/>
      <c r="DC30" s="2672"/>
      <c r="DD30" s="2672"/>
      <c r="DE30" s="2672"/>
      <c r="DF30" s="2672"/>
      <c r="DG30" s="2672"/>
      <c r="DH30" s="2672"/>
      <c r="DI30" s="2672"/>
      <c r="DJ30" s="2672"/>
      <c r="DK30" s="2672"/>
      <c r="DL30" s="2672"/>
      <c r="DM30" s="2672"/>
      <c r="DN30" s="2672"/>
      <c r="DO30" s="2672"/>
      <c r="DP30" s="2672"/>
      <c r="DQ30" s="2672"/>
      <c r="DR30" s="2672"/>
      <c r="DS30" s="2672"/>
      <c r="DT30" s="2672"/>
      <c r="DU30" s="2672"/>
      <c r="DV30" s="2672"/>
      <c r="DW30" s="2672"/>
      <c r="DX30" s="2672"/>
      <c r="DY30" s="2672"/>
      <c r="DZ30" s="2672"/>
      <c r="EA30" s="2672"/>
      <c r="EB30" s="2672"/>
      <c r="EC30" s="2672"/>
      <c r="ED30" s="2672"/>
      <c r="EE30" s="2672"/>
      <c r="EF30" s="2672"/>
      <c r="EG30" s="2672"/>
      <c r="EH30" s="2672"/>
      <c r="EI30" s="2672"/>
      <c r="EJ30" s="2672"/>
      <c r="EK30" s="2672"/>
      <c r="EL30" s="2672"/>
      <c r="EM30" s="2672"/>
      <c r="EN30" s="2672"/>
      <c r="EO30" s="2672"/>
      <c r="EP30" s="2672"/>
      <c r="EQ30" s="2672"/>
      <c r="ER30" s="2672"/>
      <c r="ES30" s="2672"/>
      <c r="ET30" s="2672"/>
      <c r="EU30" s="2672"/>
      <c r="EV30" s="2672"/>
      <c r="EW30" s="2672"/>
      <c r="EX30" s="2672"/>
      <c r="EY30" s="2672"/>
      <c r="EZ30" s="2672"/>
      <c r="FA30" s="2672"/>
      <c r="FB30" s="2672"/>
      <c r="FC30" s="2672"/>
      <c r="FD30" s="2672"/>
      <c r="FE30" s="2672"/>
      <c r="FF30" s="2672"/>
      <c r="FG30" s="2672"/>
      <c r="FH30" s="2672"/>
      <c r="FI30" s="2672"/>
      <c r="FJ30" s="2672"/>
      <c r="FK30" s="2672"/>
      <c r="FL30" s="2672"/>
      <c r="FM30" s="2672"/>
      <c r="FN30" s="2672"/>
      <c r="FO30" s="2672"/>
      <c r="FP30" s="2672"/>
      <c r="FQ30" s="2672"/>
      <c r="FR30" s="2672"/>
      <c r="FS30" s="2672"/>
      <c r="FT30" s="2672"/>
      <c r="FU30" s="2672"/>
      <c r="FV30" s="2672"/>
      <c r="FW30" s="2672"/>
      <c r="FX30" s="2672"/>
      <c r="FY30" s="2672"/>
      <c r="FZ30" s="2672"/>
      <c r="GA30" s="2672"/>
      <c r="GB30" s="2672"/>
      <c r="GC30" s="2672"/>
      <c r="GD30" s="2672"/>
      <c r="GE30" s="2672"/>
      <c r="GF30" s="2672"/>
      <c r="GG30" s="2672"/>
      <c r="GH30" s="2672"/>
      <c r="GI30" s="2672"/>
      <c r="GJ30" s="2672"/>
      <c r="GK30" s="2672"/>
      <c r="GL30" s="2672"/>
      <c r="GM30" s="2672"/>
      <c r="GN30" s="2672"/>
      <c r="GO30" s="2672"/>
      <c r="GP30" s="2672"/>
      <c r="GQ30" s="2672"/>
      <c r="GR30" s="2672"/>
      <c r="GS30" s="2672"/>
      <c r="GT30" s="2672"/>
      <c r="GU30" s="2672"/>
      <c r="GV30" s="2672"/>
      <c r="GW30" s="2672"/>
    </row>
    <row r="31" spans="1:205" ht="17.399999999999999">
      <c r="B31" s="1525">
        <f t="shared" si="1"/>
        <v>27</v>
      </c>
      <c r="C31" s="2658" t="s">
        <v>522</v>
      </c>
      <c r="D31" s="2673">
        <v>160.4</v>
      </c>
      <c r="E31" s="2660" t="s">
        <v>480</v>
      </c>
      <c r="F31" s="3688"/>
      <c r="G31" s="3689"/>
      <c r="H31" s="3689"/>
      <c r="I31" s="3689"/>
      <c r="J31" s="3689"/>
      <c r="K31" s="3689"/>
      <c r="L31" s="3689"/>
      <c r="M31" s="3689"/>
      <c r="N31" s="3689"/>
      <c r="O31" s="3689"/>
      <c r="P31" s="3689"/>
      <c r="Q31" s="3689"/>
      <c r="R31" s="3689" t="s">
        <v>160</v>
      </c>
      <c r="S31" s="3689" t="s">
        <v>160</v>
      </c>
      <c r="T31" s="3689"/>
      <c r="U31" s="3689"/>
      <c r="V31" s="3689"/>
      <c r="W31" s="3689"/>
      <c r="X31" s="3689"/>
      <c r="Y31" s="3689"/>
      <c r="Z31" s="3689"/>
      <c r="AA31" s="3689"/>
      <c r="AB31" s="3689"/>
      <c r="AC31" s="3689"/>
      <c r="AD31" s="3689" t="s">
        <v>160</v>
      </c>
      <c r="AE31" s="3689"/>
      <c r="AF31" s="3690"/>
      <c r="AG31" s="1519">
        <f t="shared" si="0"/>
        <v>0</v>
      </c>
      <c r="AH31" s="2672"/>
      <c r="AI31" s="2672"/>
      <c r="AJ31" s="2672"/>
      <c r="AK31" s="2672"/>
      <c r="AL31" s="2672"/>
      <c r="AM31" s="2672"/>
      <c r="AN31" s="2672"/>
      <c r="AO31" s="2672"/>
      <c r="AP31" s="2683">
        <f t="shared" si="2"/>
        <v>17</v>
      </c>
      <c r="AQ31" s="2684" t="str">
        <f t="shared" si="3"/>
        <v>Butisan Gold</v>
      </c>
      <c r="AR31" s="2684"/>
      <c r="AS31" s="2684"/>
      <c r="AT31" s="2684"/>
      <c r="AU31" s="2684"/>
      <c r="AV31" s="2685">
        <f t="shared" si="4"/>
        <v>46.2</v>
      </c>
      <c r="AW31" s="2686" t="str">
        <f t="shared" si="4"/>
        <v>H</v>
      </c>
      <c r="AX31" s="2684"/>
      <c r="AY31" s="2683">
        <f t="shared" si="5"/>
        <v>67</v>
      </c>
      <c r="AZ31" s="2685" t="str">
        <f t="shared" si="6"/>
        <v>Spectrum Plus</v>
      </c>
      <c r="BA31" s="2684"/>
      <c r="BB31" s="2685">
        <f t="shared" si="7"/>
        <v>24.9</v>
      </c>
      <c r="BC31" s="2686" t="str">
        <f t="shared" si="7"/>
        <v>H</v>
      </c>
      <c r="BD31" s="2684"/>
      <c r="BE31" s="2684"/>
      <c r="BF31" s="2687"/>
      <c r="BG31" s="2672"/>
      <c r="BH31" s="2672"/>
      <c r="BI31" s="2672"/>
      <c r="BJ31" s="2672"/>
      <c r="BK31" s="2672"/>
      <c r="BL31" s="2672"/>
      <c r="BM31" s="2672"/>
      <c r="BN31" s="2672"/>
      <c r="BO31" s="2672"/>
      <c r="BP31" s="2672"/>
      <c r="BQ31" s="2672"/>
      <c r="BR31" s="2672"/>
      <c r="BS31" s="2672"/>
      <c r="BT31" s="2672"/>
      <c r="BU31" s="2672"/>
      <c r="BV31" s="2672"/>
      <c r="BW31" s="2672"/>
      <c r="BX31" s="2672"/>
      <c r="BY31" s="2672"/>
      <c r="BZ31" s="2672"/>
      <c r="CA31" s="2672"/>
      <c r="CB31" s="2672"/>
      <c r="CC31" s="2672"/>
      <c r="CD31" s="2672"/>
      <c r="CE31" s="2672"/>
      <c r="CF31" s="2672"/>
      <c r="CG31" s="2672"/>
      <c r="CH31" s="2672"/>
      <c r="CI31" s="2672"/>
      <c r="CJ31" s="2672"/>
      <c r="CK31" s="2672"/>
      <c r="CL31" s="2672"/>
      <c r="CM31" s="2672"/>
      <c r="CN31" s="2672"/>
      <c r="CO31" s="2672"/>
      <c r="CP31" s="2672"/>
      <c r="CQ31" s="2672"/>
      <c r="CR31" s="2672"/>
      <c r="CS31" s="2672"/>
      <c r="CT31" s="2672"/>
      <c r="CU31" s="2672"/>
      <c r="CV31" s="2672"/>
      <c r="CW31" s="2672"/>
      <c r="CX31" s="2672"/>
      <c r="CY31" s="2672"/>
      <c r="CZ31" s="2672"/>
      <c r="DA31" s="2672"/>
      <c r="DB31" s="2672"/>
      <c r="DC31" s="2672"/>
      <c r="DD31" s="2672"/>
      <c r="DE31" s="2672"/>
      <c r="DF31" s="2672"/>
      <c r="DG31" s="2672"/>
      <c r="DH31" s="2672"/>
      <c r="DI31" s="2672"/>
      <c r="DJ31" s="2672"/>
      <c r="DK31" s="2672"/>
      <c r="DL31" s="2672"/>
      <c r="DM31" s="2672"/>
      <c r="DN31" s="2672"/>
      <c r="DO31" s="2672"/>
      <c r="DP31" s="2672"/>
      <c r="DQ31" s="2672"/>
      <c r="DR31" s="2672"/>
      <c r="DS31" s="2672"/>
      <c r="DT31" s="2672"/>
      <c r="DU31" s="2672"/>
      <c r="DV31" s="2672"/>
      <c r="DW31" s="2672"/>
      <c r="DX31" s="2672"/>
      <c r="DY31" s="2672"/>
      <c r="DZ31" s="2672"/>
      <c r="EA31" s="2672"/>
      <c r="EB31" s="2672"/>
      <c r="EC31" s="2672"/>
      <c r="ED31" s="2672"/>
      <c r="EE31" s="2672"/>
      <c r="EF31" s="2672"/>
      <c r="EG31" s="2672"/>
      <c r="EH31" s="2672"/>
      <c r="EI31" s="2672"/>
      <c r="EJ31" s="2672"/>
      <c r="EK31" s="2672"/>
      <c r="EL31" s="2672"/>
      <c r="EM31" s="2672"/>
      <c r="EN31" s="2672"/>
      <c r="EO31" s="2672"/>
      <c r="EP31" s="2672"/>
      <c r="EQ31" s="2672"/>
      <c r="ER31" s="2672"/>
      <c r="ES31" s="2672"/>
      <c r="ET31" s="2672"/>
      <c r="EU31" s="2672"/>
      <c r="EV31" s="2672"/>
      <c r="EW31" s="2672"/>
      <c r="EX31" s="2672"/>
      <c r="EY31" s="2672"/>
      <c r="EZ31" s="2672"/>
      <c r="FA31" s="2672"/>
      <c r="FB31" s="2672"/>
      <c r="FC31" s="2672"/>
      <c r="FD31" s="2672"/>
      <c r="FE31" s="2672"/>
      <c r="FF31" s="2672"/>
      <c r="FG31" s="2672"/>
      <c r="FH31" s="2672"/>
      <c r="FI31" s="2672"/>
      <c r="FJ31" s="2672"/>
      <c r="FK31" s="2672"/>
      <c r="FL31" s="2672"/>
      <c r="FM31" s="2672"/>
      <c r="FN31" s="2672"/>
      <c r="FO31" s="2672"/>
      <c r="FP31" s="2672"/>
      <c r="FQ31" s="2672"/>
      <c r="FR31" s="2672"/>
      <c r="FS31" s="2672"/>
      <c r="FT31" s="2672"/>
      <c r="FU31" s="2672"/>
      <c r="FV31" s="2672"/>
      <c r="FW31" s="2672"/>
      <c r="FX31" s="2672"/>
      <c r="FY31" s="2672"/>
      <c r="FZ31" s="2672"/>
      <c r="GA31" s="2672"/>
      <c r="GB31" s="2672"/>
      <c r="GC31" s="2672"/>
      <c r="GD31" s="2672"/>
      <c r="GE31" s="2672"/>
      <c r="GF31" s="2672"/>
      <c r="GG31" s="2672"/>
      <c r="GH31" s="2672"/>
      <c r="GI31" s="2672"/>
      <c r="GJ31" s="2672"/>
      <c r="GK31" s="2672"/>
      <c r="GL31" s="2672"/>
      <c r="GM31" s="2672"/>
      <c r="GN31" s="2672"/>
      <c r="GO31" s="2672"/>
      <c r="GP31" s="2672"/>
      <c r="GQ31" s="2672"/>
      <c r="GR31" s="2672"/>
      <c r="GS31" s="2672"/>
      <c r="GT31" s="2672"/>
      <c r="GU31" s="2672"/>
      <c r="GV31" s="2672"/>
      <c r="GW31" s="2672"/>
    </row>
    <row r="32" spans="1:205" ht="17.399999999999999">
      <c r="B32" s="1525">
        <f t="shared" si="1"/>
        <v>28</v>
      </c>
      <c r="C32" s="2658" t="s">
        <v>1483</v>
      </c>
      <c r="D32" s="2673">
        <v>80.2</v>
      </c>
      <c r="E32" s="2674" t="s">
        <v>482</v>
      </c>
      <c r="F32" s="3695" t="s">
        <v>160</v>
      </c>
      <c r="G32" s="3696" t="s">
        <v>160</v>
      </c>
      <c r="H32" s="3696" t="s">
        <v>160</v>
      </c>
      <c r="I32" s="3696" t="s">
        <v>160</v>
      </c>
      <c r="J32" s="3696" t="s">
        <v>160</v>
      </c>
      <c r="K32" s="3696" t="s">
        <v>160</v>
      </c>
      <c r="L32" s="3696" t="s">
        <v>160</v>
      </c>
      <c r="M32" s="3696" t="s">
        <v>160</v>
      </c>
      <c r="N32" s="3696"/>
      <c r="O32" s="3696"/>
      <c r="P32" s="3696"/>
      <c r="Q32" s="3696"/>
      <c r="R32" s="3696"/>
      <c r="S32" s="3696"/>
      <c r="T32" s="3696"/>
      <c r="U32" s="3696"/>
      <c r="V32" s="3696"/>
      <c r="W32" s="3696"/>
      <c r="X32" s="3696"/>
      <c r="Y32" s="3696"/>
      <c r="Z32" s="3696"/>
      <c r="AA32" s="3696"/>
      <c r="AB32" s="3696"/>
      <c r="AC32" s="3696"/>
      <c r="AD32" s="3696" t="s">
        <v>160</v>
      </c>
      <c r="AE32" s="3696"/>
      <c r="AF32" s="3697"/>
      <c r="AG32" s="1519">
        <f t="shared" si="0"/>
        <v>0</v>
      </c>
      <c r="AH32" s="2672"/>
      <c r="AI32" s="2672"/>
      <c r="AJ32" s="2672"/>
      <c r="AK32" s="2672"/>
      <c r="AL32" s="2672"/>
      <c r="AM32" s="2672"/>
      <c r="AN32" s="2672"/>
      <c r="AO32" s="2672"/>
      <c r="AP32" s="2683">
        <f t="shared" si="2"/>
        <v>18</v>
      </c>
      <c r="AQ32" s="2684" t="str">
        <f t="shared" si="3"/>
        <v>Callisto</v>
      </c>
      <c r="AR32" s="2684"/>
      <c r="AS32" s="2684"/>
      <c r="AT32" s="2684"/>
      <c r="AU32" s="2684"/>
      <c r="AV32" s="2685">
        <f t="shared" si="4"/>
        <v>24</v>
      </c>
      <c r="AW32" s="2686" t="str">
        <f t="shared" si="4"/>
        <v>H</v>
      </c>
      <c r="AX32" s="2684"/>
      <c r="AY32" s="2683">
        <f t="shared" si="5"/>
        <v>68</v>
      </c>
      <c r="AZ32" s="2685" t="str">
        <f t="shared" si="6"/>
        <v>Starane XL</v>
      </c>
      <c r="BA32" s="2684"/>
      <c r="BB32" s="2685">
        <f t="shared" si="7"/>
        <v>21.3</v>
      </c>
      <c r="BC32" s="2686" t="str">
        <f t="shared" si="7"/>
        <v>H</v>
      </c>
      <c r="BD32" s="2684"/>
      <c r="BE32" s="2684"/>
      <c r="BF32" s="2687"/>
      <c r="BG32" s="2672"/>
      <c r="BH32" s="2672"/>
      <c r="BI32" s="2672"/>
      <c r="BJ32" s="2672"/>
      <c r="BK32" s="2672"/>
      <c r="BL32" s="2672"/>
      <c r="BM32" s="2672"/>
      <c r="BN32" s="2672"/>
      <c r="BO32" s="2672"/>
      <c r="BP32" s="2672"/>
      <c r="BQ32" s="2672"/>
      <c r="BR32" s="2672"/>
      <c r="BS32" s="2672"/>
      <c r="BT32" s="2672"/>
      <c r="BU32" s="2672"/>
      <c r="BV32" s="2672"/>
      <c r="BW32" s="2672"/>
      <c r="BX32" s="2672"/>
      <c r="BY32" s="2672"/>
      <c r="BZ32" s="2672"/>
      <c r="CA32" s="2672"/>
      <c r="CB32" s="2672"/>
      <c r="CC32" s="2672"/>
      <c r="CD32" s="2672"/>
      <c r="CE32" s="2672"/>
      <c r="CF32" s="2672"/>
      <c r="CG32" s="2672"/>
      <c r="CH32" s="2672"/>
      <c r="CI32" s="2672"/>
      <c r="CJ32" s="2672"/>
      <c r="CK32" s="2672"/>
      <c r="CL32" s="2672"/>
      <c r="CM32" s="2672"/>
      <c r="CN32" s="2672"/>
      <c r="CO32" s="2672"/>
      <c r="CP32" s="2672"/>
      <c r="CQ32" s="2672"/>
      <c r="CR32" s="2672"/>
      <c r="CS32" s="2672"/>
      <c r="CT32" s="2672"/>
      <c r="CU32" s="2672"/>
      <c r="CV32" s="2672"/>
      <c r="CW32" s="2672"/>
      <c r="CX32" s="2672"/>
      <c r="CY32" s="2672"/>
      <c r="CZ32" s="2672"/>
      <c r="DA32" s="2672"/>
      <c r="DB32" s="2672"/>
      <c r="DC32" s="2672"/>
      <c r="DD32" s="2672"/>
      <c r="DE32" s="2672"/>
      <c r="DF32" s="2672"/>
      <c r="DG32" s="2672"/>
      <c r="DH32" s="2672"/>
      <c r="DI32" s="2672"/>
      <c r="DJ32" s="2672"/>
      <c r="DK32" s="2672"/>
      <c r="DL32" s="2672"/>
      <c r="DM32" s="2672"/>
      <c r="DN32" s="2672"/>
      <c r="DO32" s="2672"/>
      <c r="DP32" s="2672"/>
      <c r="DQ32" s="2672"/>
      <c r="DR32" s="2672"/>
      <c r="DS32" s="2672"/>
      <c r="DT32" s="2672"/>
      <c r="DU32" s="2672"/>
      <c r="DV32" s="2672"/>
      <c r="DW32" s="2672"/>
      <c r="DX32" s="2672"/>
      <c r="DY32" s="2672"/>
      <c r="DZ32" s="2672"/>
      <c r="EA32" s="2672"/>
      <c r="EB32" s="2672"/>
      <c r="EC32" s="2672"/>
      <c r="ED32" s="2672"/>
      <c r="EE32" s="2672"/>
      <c r="EF32" s="2672"/>
      <c r="EG32" s="2672"/>
      <c r="EH32" s="2672"/>
      <c r="EI32" s="2672"/>
      <c r="EJ32" s="2672"/>
      <c r="EK32" s="2672"/>
      <c r="EL32" s="2672"/>
      <c r="EM32" s="2672"/>
      <c r="EN32" s="2672"/>
      <c r="EO32" s="2672"/>
      <c r="EP32" s="2672"/>
      <c r="EQ32" s="2672"/>
      <c r="ER32" s="2672"/>
      <c r="ES32" s="2672"/>
      <c r="ET32" s="2672"/>
      <c r="EU32" s="2672"/>
      <c r="EV32" s="2672"/>
      <c r="EW32" s="2672"/>
      <c r="EX32" s="2672"/>
      <c r="EY32" s="2672"/>
      <c r="EZ32" s="2672"/>
      <c r="FA32" s="2672"/>
      <c r="FB32" s="2672"/>
      <c r="FC32" s="2672"/>
      <c r="FD32" s="2672"/>
      <c r="FE32" s="2672"/>
      <c r="FF32" s="2672"/>
      <c r="FG32" s="2672"/>
      <c r="FH32" s="2672"/>
      <c r="FI32" s="2672"/>
      <c r="FJ32" s="2672"/>
      <c r="FK32" s="2672"/>
      <c r="FL32" s="2672"/>
      <c r="FM32" s="2672"/>
      <c r="FN32" s="2672"/>
      <c r="FO32" s="2672"/>
      <c r="FP32" s="2672"/>
      <c r="FQ32" s="2672"/>
      <c r="FR32" s="2672"/>
      <c r="FS32" s="2672"/>
      <c r="FT32" s="2672"/>
      <c r="FU32" s="2672"/>
      <c r="FV32" s="2672"/>
      <c r="FW32" s="2672"/>
      <c r="FX32" s="2672"/>
      <c r="FY32" s="2672"/>
      <c r="FZ32" s="2672"/>
      <c r="GA32" s="2672"/>
      <c r="GB32" s="2672"/>
      <c r="GC32" s="2672"/>
      <c r="GD32" s="2672"/>
      <c r="GE32" s="2672"/>
      <c r="GF32" s="2672"/>
      <c r="GG32" s="2672"/>
      <c r="GH32" s="2672"/>
      <c r="GI32" s="2672"/>
      <c r="GJ32" s="2672"/>
      <c r="GK32" s="2672"/>
      <c r="GL32" s="2672"/>
      <c r="GM32" s="2672"/>
      <c r="GN32" s="2672"/>
      <c r="GO32" s="2672"/>
      <c r="GP32" s="2672"/>
      <c r="GQ32" s="2672"/>
      <c r="GR32" s="2672"/>
      <c r="GS32" s="2672"/>
      <c r="GT32" s="2672"/>
      <c r="GU32" s="2672"/>
      <c r="GV32" s="2672"/>
      <c r="GW32" s="2672"/>
    </row>
    <row r="33" spans="1:205" ht="17.399999999999999">
      <c r="B33" s="1525">
        <f t="shared" si="1"/>
        <v>29</v>
      </c>
      <c r="C33" s="3450"/>
      <c r="D33" s="3451"/>
      <c r="E33" s="3453"/>
      <c r="F33" s="3699"/>
      <c r="G33" s="3693"/>
      <c r="H33" s="3693"/>
      <c r="I33" s="3693"/>
      <c r="J33" s="3693"/>
      <c r="K33" s="3693"/>
      <c r="L33" s="3693"/>
      <c r="M33" s="3693"/>
      <c r="N33" s="3693"/>
      <c r="O33" s="3693"/>
      <c r="P33" s="3693"/>
      <c r="Q33" s="3693"/>
      <c r="R33" s="3693"/>
      <c r="S33" s="3693"/>
      <c r="T33" s="3693"/>
      <c r="U33" s="3693"/>
      <c r="V33" s="3693"/>
      <c r="W33" s="3693"/>
      <c r="X33" s="3693"/>
      <c r="Y33" s="3693"/>
      <c r="Z33" s="3693"/>
      <c r="AA33" s="3693"/>
      <c r="AB33" s="3693"/>
      <c r="AC33" s="3693"/>
      <c r="AD33" s="3693"/>
      <c r="AE33" s="3693"/>
      <c r="AF33" s="3694"/>
      <c r="AG33" s="1519">
        <f t="shared" si="0"/>
        <v>0</v>
      </c>
      <c r="AH33" s="2672"/>
      <c r="AI33" s="2672"/>
      <c r="AJ33" s="2672"/>
      <c r="AK33" s="2672"/>
      <c r="AL33" s="2672"/>
      <c r="AM33" s="2672"/>
      <c r="AN33" s="2672"/>
      <c r="AO33" s="2672"/>
      <c r="AP33" s="2683">
        <f t="shared" si="2"/>
        <v>19</v>
      </c>
      <c r="AQ33" s="2684" t="str">
        <f t="shared" si="3"/>
        <v>Cantus Ultra</v>
      </c>
      <c r="AR33" s="2684"/>
      <c r="AS33" s="2684"/>
      <c r="AT33" s="2684"/>
      <c r="AU33" s="2684"/>
      <c r="AV33" s="2685">
        <f t="shared" si="4"/>
        <v>68.599999999999994</v>
      </c>
      <c r="AW33" s="2686" t="str">
        <f t="shared" si="4"/>
        <v>F</v>
      </c>
      <c r="AX33" s="2684"/>
      <c r="AY33" s="2683">
        <f t="shared" si="5"/>
        <v>69</v>
      </c>
      <c r="AZ33" s="2685" t="str">
        <f t="shared" si="6"/>
        <v/>
      </c>
      <c r="BA33" s="2684"/>
      <c r="BB33" s="2685" t="str">
        <f t="shared" si="7"/>
        <v/>
      </c>
      <c r="BC33" s="2686" t="str">
        <f t="shared" si="7"/>
        <v/>
      </c>
      <c r="BD33" s="2684"/>
      <c r="BE33" s="2684"/>
      <c r="BF33" s="2687"/>
      <c r="BG33" s="2672"/>
      <c r="BH33" s="2672"/>
      <c r="BI33" s="2672"/>
      <c r="BJ33" s="2672"/>
      <c r="BK33" s="2672"/>
      <c r="BL33" s="2672"/>
      <c r="BM33" s="2672"/>
      <c r="BN33" s="2672"/>
      <c r="BO33" s="2672"/>
      <c r="BP33" s="2672"/>
      <c r="BQ33" s="2672"/>
      <c r="BR33" s="2672"/>
      <c r="BS33" s="2672"/>
      <c r="BT33" s="2672"/>
      <c r="BU33" s="2672"/>
      <c r="BV33" s="2672"/>
      <c r="BW33" s="2672"/>
      <c r="BX33" s="2672"/>
      <c r="BY33" s="2672"/>
      <c r="BZ33" s="2672"/>
      <c r="CA33" s="2672"/>
      <c r="CB33" s="2672"/>
      <c r="CC33" s="2672"/>
      <c r="CD33" s="2672"/>
      <c r="CE33" s="2672"/>
      <c r="CF33" s="2672"/>
      <c r="CG33" s="2672"/>
      <c r="CH33" s="2672"/>
      <c r="CI33" s="2672"/>
      <c r="CJ33" s="2672"/>
      <c r="CK33" s="2672"/>
      <c r="CL33" s="2672"/>
      <c r="CM33" s="2672"/>
      <c r="CN33" s="2672"/>
      <c r="CO33" s="2672"/>
      <c r="CP33" s="2672"/>
      <c r="CQ33" s="2672"/>
      <c r="CR33" s="2672"/>
      <c r="CS33" s="2672"/>
      <c r="CT33" s="2672"/>
      <c r="CU33" s="2672"/>
      <c r="CV33" s="2672"/>
      <c r="CW33" s="2672"/>
      <c r="CX33" s="2672"/>
      <c r="CY33" s="2672"/>
      <c r="CZ33" s="2672"/>
      <c r="DA33" s="2672"/>
      <c r="DB33" s="2672"/>
      <c r="DC33" s="2672"/>
      <c r="DD33" s="2672"/>
      <c r="DE33" s="2672"/>
      <c r="DF33" s="2672"/>
      <c r="DG33" s="2672"/>
      <c r="DH33" s="2672"/>
      <c r="DI33" s="2672"/>
      <c r="DJ33" s="2672"/>
      <c r="DK33" s="2672"/>
      <c r="DL33" s="2672"/>
      <c r="DM33" s="2672"/>
      <c r="DN33" s="2672"/>
      <c r="DO33" s="2672"/>
      <c r="DP33" s="2672"/>
      <c r="DQ33" s="2672"/>
      <c r="DR33" s="2672"/>
      <c r="DS33" s="2672"/>
      <c r="DT33" s="2672"/>
      <c r="DU33" s="2672"/>
      <c r="DV33" s="2672"/>
      <c r="DW33" s="2672"/>
      <c r="DX33" s="2672"/>
      <c r="DY33" s="2672"/>
      <c r="DZ33" s="2672"/>
      <c r="EA33" s="2672"/>
      <c r="EB33" s="2672"/>
      <c r="EC33" s="2672"/>
      <c r="ED33" s="2672"/>
      <c r="EE33" s="2672"/>
      <c r="EF33" s="2672"/>
      <c r="EG33" s="2672"/>
      <c r="EH33" s="2672"/>
      <c r="EI33" s="2672"/>
      <c r="EJ33" s="2672"/>
      <c r="EK33" s="2672"/>
      <c r="EL33" s="2672"/>
      <c r="EM33" s="2672"/>
      <c r="EN33" s="2672"/>
      <c r="EO33" s="2672"/>
      <c r="EP33" s="2672"/>
      <c r="EQ33" s="2672"/>
      <c r="ER33" s="2672"/>
      <c r="ES33" s="2672"/>
      <c r="ET33" s="2672"/>
      <c r="EU33" s="2672"/>
      <c r="EV33" s="2672"/>
      <c r="EW33" s="2672"/>
      <c r="EX33" s="2672"/>
      <c r="EY33" s="2672"/>
      <c r="EZ33" s="2672"/>
      <c r="FA33" s="2672"/>
      <c r="FB33" s="2672"/>
      <c r="FC33" s="2672"/>
      <c r="FD33" s="2672"/>
      <c r="FE33" s="2672"/>
      <c r="FF33" s="2672"/>
      <c r="FG33" s="2672"/>
      <c r="FH33" s="2672"/>
      <c r="FI33" s="2672"/>
      <c r="FJ33" s="2672"/>
      <c r="FK33" s="2672"/>
      <c r="FL33" s="2672"/>
      <c r="FM33" s="2672"/>
      <c r="FN33" s="2672"/>
      <c r="FO33" s="2672"/>
      <c r="FP33" s="2672"/>
      <c r="FQ33" s="2672"/>
      <c r="FR33" s="2672"/>
      <c r="FS33" s="2672"/>
      <c r="FT33" s="2672"/>
      <c r="FU33" s="2672"/>
      <c r="FV33" s="2672"/>
      <c r="FW33" s="2672"/>
      <c r="FX33" s="2672"/>
      <c r="FY33" s="2672"/>
      <c r="FZ33" s="2672"/>
      <c r="GA33" s="2672"/>
      <c r="GB33" s="2672"/>
      <c r="GC33" s="2672"/>
      <c r="GD33" s="2672"/>
      <c r="GE33" s="2672"/>
      <c r="GF33" s="2672"/>
      <c r="GG33" s="2672"/>
      <c r="GH33" s="2672"/>
      <c r="GI33" s="2672"/>
      <c r="GJ33" s="2672"/>
      <c r="GK33" s="2672"/>
      <c r="GL33" s="2672"/>
      <c r="GM33" s="2672"/>
      <c r="GN33" s="2672"/>
      <c r="GO33" s="2672"/>
      <c r="GP33" s="2672"/>
      <c r="GQ33" s="2672"/>
      <c r="GR33" s="2672"/>
      <c r="GS33" s="2672"/>
      <c r="GT33" s="2672"/>
      <c r="GU33" s="2672"/>
      <c r="GV33" s="2672"/>
      <c r="GW33" s="2672"/>
    </row>
    <row r="34" spans="1:205" s="2656" customFormat="1" ht="17.399999999999999">
      <c r="A34" s="2672"/>
      <c r="B34" s="1525">
        <f t="shared" si="1"/>
        <v>30</v>
      </c>
      <c r="C34" s="2658" t="s">
        <v>1731</v>
      </c>
      <c r="D34" s="2673">
        <v>30</v>
      </c>
      <c r="E34" s="2674" t="s">
        <v>480</v>
      </c>
      <c r="F34" s="3695"/>
      <c r="G34" s="3696"/>
      <c r="H34" s="3696"/>
      <c r="I34" s="3696"/>
      <c r="J34" s="3696"/>
      <c r="K34" s="3696"/>
      <c r="L34" s="3696"/>
      <c r="M34" s="3696"/>
      <c r="N34" s="3696"/>
      <c r="O34" s="3696"/>
      <c r="P34" s="3696"/>
      <c r="Q34" s="3696"/>
      <c r="R34" s="3696" t="s">
        <v>160</v>
      </c>
      <c r="S34" s="3696"/>
      <c r="T34" s="3696"/>
      <c r="U34" s="3696"/>
      <c r="V34" s="3696"/>
      <c r="W34" s="3696"/>
      <c r="X34" s="3696"/>
      <c r="Y34" s="3696"/>
      <c r="Z34" s="3696"/>
      <c r="AA34" s="3696"/>
      <c r="AB34" s="3696"/>
      <c r="AC34" s="3696"/>
      <c r="AD34" s="3689" t="s">
        <v>160</v>
      </c>
      <c r="AE34" s="3689"/>
      <c r="AF34" s="3690"/>
      <c r="AG34" s="2657">
        <f t="shared" si="0"/>
        <v>0</v>
      </c>
      <c r="AH34" s="2672"/>
      <c r="AI34" s="2672"/>
      <c r="AJ34" s="2672"/>
      <c r="AK34" s="2672"/>
      <c r="AL34" s="2672"/>
      <c r="AM34" s="2672"/>
      <c r="AN34" s="2672"/>
      <c r="AO34" s="2672"/>
      <c r="AP34" s="2683">
        <f t="shared" si="2"/>
        <v>20</v>
      </c>
      <c r="AQ34" s="2684" t="str">
        <f t="shared" si="3"/>
        <v>Carax</v>
      </c>
      <c r="AR34" s="2684"/>
      <c r="AS34" s="2684"/>
      <c r="AT34" s="2684"/>
      <c r="AU34" s="2684"/>
      <c r="AV34" s="2685">
        <f t="shared" si="4"/>
        <v>42.5</v>
      </c>
      <c r="AW34" s="2686" t="str">
        <f t="shared" si="4"/>
        <v>F</v>
      </c>
      <c r="AX34" s="2684"/>
      <c r="AY34" s="2683">
        <f t="shared" si="5"/>
        <v>70</v>
      </c>
      <c r="AZ34" s="2685" t="str">
        <f t="shared" si="6"/>
        <v>Stomp Aqua</v>
      </c>
      <c r="BA34" s="2684"/>
      <c r="BB34" s="2685">
        <f t="shared" si="7"/>
        <v>23.9</v>
      </c>
      <c r="BC34" s="2686" t="str">
        <f t="shared" si="7"/>
        <v>H</v>
      </c>
      <c r="BD34" s="2684"/>
      <c r="BE34" s="2684"/>
      <c r="BF34" s="2687"/>
      <c r="BG34" s="2672"/>
      <c r="BH34" s="2672"/>
      <c r="BI34" s="2672"/>
      <c r="BJ34" s="2672"/>
      <c r="BK34" s="2672"/>
      <c r="BL34" s="2672"/>
      <c r="BM34" s="2672"/>
      <c r="BN34" s="2672"/>
      <c r="BO34" s="2672"/>
      <c r="BP34" s="2672"/>
      <c r="BQ34" s="2672"/>
      <c r="BR34" s="2672"/>
      <c r="BS34" s="2672"/>
      <c r="BT34" s="2672"/>
      <c r="BU34" s="2672"/>
      <c r="BV34" s="2672"/>
      <c r="BW34" s="2672"/>
      <c r="BX34" s="2672"/>
      <c r="BY34" s="2672"/>
      <c r="BZ34" s="2672"/>
      <c r="CA34" s="2672"/>
      <c r="CB34" s="2672"/>
      <c r="CC34" s="2672"/>
      <c r="CD34" s="2672"/>
      <c r="CE34" s="2672"/>
      <c r="CF34" s="2672"/>
      <c r="CG34" s="2672"/>
      <c r="CH34" s="2672"/>
      <c r="CI34" s="2672"/>
      <c r="CJ34" s="2672"/>
      <c r="CK34" s="2672"/>
      <c r="CL34" s="2672"/>
      <c r="CM34" s="2672"/>
      <c r="CN34" s="2672"/>
      <c r="CO34" s="2672"/>
      <c r="CP34" s="2672"/>
      <c r="CQ34" s="2672"/>
      <c r="CR34" s="2672"/>
      <c r="CS34" s="2672"/>
      <c r="CT34" s="2672"/>
      <c r="CU34" s="2672"/>
      <c r="CV34" s="2672"/>
      <c r="CW34" s="2672"/>
      <c r="CX34" s="2672"/>
      <c r="CY34" s="2672"/>
      <c r="CZ34" s="2672"/>
      <c r="DA34" s="2672"/>
      <c r="DB34" s="2672"/>
      <c r="DC34" s="2672"/>
      <c r="DD34" s="2672"/>
      <c r="DE34" s="2672"/>
      <c r="DF34" s="2672"/>
      <c r="DG34" s="2672"/>
      <c r="DH34" s="2672"/>
      <c r="DI34" s="2672"/>
      <c r="DJ34" s="2672"/>
      <c r="DK34" s="2672"/>
      <c r="DL34" s="2672"/>
      <c r="DM34" s="2672"/>
      <c r="DN34" s="2672"/>
      <c r="DO34" s="2672"/>
      <c r="DP34" s="2672"/>
      <c r="DQ34" s="2672"/>
      <c r="DR34" s="2672"/>
      <c r="DS34" s="2672"/>
      <c r="DT34" s="2672"/>
      <c r="DU34" s="2672"/>
      <c r="DV34" s="2672"/>
      <c r="DW34" s="2672"/>
      <c r="DX34" s="2672"/>
      <c r="DY34" s="2672"/>
      <c r="DZ34" s="2672"/>
      <c r="EA34" s="2672"/>
      <c r="EB34" s="2672"/>
      <c r="EC34" s="2672"/>
      <c r="ED34" s="2672"/>
      <c r="EE34" s="2672"/>
      <c r="EF34" s="2672"/>
      <c r="EG34" s="2672"/>
      <c r="EH34" s="2672"/>
      <c r="EI34" s="2672"/>
      <c r="EJ34" s="2672"/>
      <c r="EK34" s="2672"/>
      <c r="EL34" s="2672"/>
      <c r="EM34" s="2672"/>
      <c r="EN34" s="2672"/>
      <c r="EO34" s="2672"/>
      <c r="EP34" s="2672"/>
      <c r="EQ34" s="2672"/>
      <c r="ER34" s="2672"/>
      <c r="ES34" s="2672"/>
      <c r="ET34" s="2672"/>
      <c r="EU34" s="2672"/>
      <c r="EV34" s="2672"/>
      <c r="EW34" s="2672"/>
      <c r="EX34" s="2672"/>
      <c r="EY34" s="2672"/>
      <c r="EZ34" s="2672"/>
      <c r="FA34" s="2672"/>
      <c r="FB34" s="2672"/>
      <c r="FC34" s="2672"/>
      <c r="FD34" s="2672"/>
      <c r="FE34" s="2672"/>
      <c r="FF34" s="2672"/>
      <c r="FG34" s="2672"/>
      <c r="FH34" s="2672"/>
      <c r="FI34" s="2672"/>
      <c r="FJ34" s="2672"/>
      <c r="FK34" s="2672"/>
      <c r="FL34" s="2672"/>
      <c r="FM34" s="2672"/>
      <c r="FN34" s="2672"/>
      <c r="FO34" s="2672"/>
      <c r="FP34" s="2672"/>
      <c r="FQ34" s="2672"/>
      <c r="FR34" s="2672"/>
      <c r="FS34" s="2672"/>
      <c r="FT34" s="2672"/>
      <c r="FU34" s="2672"/>
      <c r="FV34" s="2672"/>
      <c r="FW34" s="2672"/>
      <c r="FX34" s="2672"/>
      <c r="FY34" s="2672"/>
      <c r="FZ34" s="2672"/>
      <c r="GA34" s="2672"/>
      <c r="GB34" s="2672"/>
      <c r="GC34" s="2672"/>
      <c r="GD34" s="2672"/>
      <c r="GE34" s="2672"/>
      <c r="GF34" s="2672"/>
      <c r="GG34" s="2672"/>
      <c r="GH34" s="2672"/>
      <c r="GI34" s="2672"/>
      <c r="GJ34" s="2672"/>
      <c r="GK34" s="2672"/>
      <c r="GL34" s="2672"/>
      <c r="GM34" s="2672"/>
      <c r="GN34" s="2672"/>
      <c r="GO34" s="2672"/>
      <c r="GP34" s="2672"/>
      <c r="GQ34" s="2672"/>
      <c r="GR34" s="2672"/>
      <c r="GS34" s="2672"/>
      <c r="GT34" s="2672"/>
      <c r="GU34" s="2672"/>
      <c r="GV34" s="2672"/>
      <c r="GW34" s="2672"/>
    </row>
    <row r="35" spans="1:205" s="2656" customFormat="1" ht="17.399999999999999">
      <c r="A35" s="2672"/>
      <c r="B35" s="1525">
        <f t="shared" si="1"/>
        <v>31</v>
      </c>
      <c r="C35" s="2658" t="s">
        <v>1732</v>
      </c>
      <c r="D35" s="2673">
        <v>880</v>
      </c>
      <c r="E35" s="2674" t="s">
        <v>480</v>
      </c>
      <c r="F35" s="3695"/>
      <c r="G35" s="3696"/>
      <c r="H35" s="3696"/>
      <c r="I35" s="3696"/>
      <c r="J35" s="3696"/>
      <c r="K35" s="3696"/>
      <c r="L35" s="3696"/>
      <c r="M35" s="3696"/>
      <c r="N35" s="3696"/>
      <c r="O35" s="3696"/>
      <c r="P35" s="3696"/>
      <c r="Q35" s="3696"/>
      <c r="R35" s="3696" t="s">
        <v>160</v>
      </c>
      <c r="S35" s="3696"/>
      <c r="T35" s="3696"/>
      <c r="U35" s="3696"/>
      <c r="V35" s="3696"/>
      <c r="W35" s="3696"/>
      <c r="X35" s="3696"/>
      <c r="Y35" s="3696"/>
      <c r="Z35" s="3696"/>
      <c r="AA35" s="3696"/>
      <c r="AB35" s="3696"/>
      <c r="AC35" s="3696"/>
      <c r="AD35" s="3689" t="s">
        <v>160</v>
      </c>
      <c r="AE35" s="3689"/>
      <c r="AF35" s="3690"/>
      <c r="AG35" s="2657">
        <f t="shared" si="0"/>
        <v>0</v>
      </c>
      <c r="AH35" s="2672"/>
      <c r="AI35" s="2672"/>
      <c r="AJ35" s="2672"/>
      <c r="AK35" s="2672"/>
      <c r="AL35" s="2672"/>
      <c r="AM35" s="2672"/>
      <c r="AN35" s="2672"/>
      <c r="AO35" s="2672"/>
      <c r="AP35" s="2683">
        <f t="shared" si="2"/>
        <v>21</v>
      </c>
      <c r="AQ35" s="2684" t="str">
        <f t="shared" si="3"/>
        <v>CCC 720</v>
      </c>
      <c r="AR35" s="2684"/>
      <c r="AS35" s="2684"/>
      <c r="AT35" s="2684"/>
      <c r="AU35" s="2684"/>
      <c r="AV35" s="2685">
        <f t="shared" si="4"/>
        <v>5.5</v>
      </c>
      <c r="AW35" s="2686" t="str">
        <f t="shared" si="4"/>
        <v>W</v>
      </c>
      <c r="AX35" s="2684"/>
      <c r="AY35" s="2683">
        <f t="shared" si="5"/>
        <v>71</v>
      </c>
      <c r="AZ35" s="2685" t="str">
        <f t="shared" si="6"/>
        <v>Teppeki</v>
      </c>
      <c r="BA35" s="2684"/>
      <c r="BB35" s="2685">
        <f t="shared" si="7"/>
        <v>127.8</v>
      </c>
      <c r="BC35" s="2686" t="str">
        <f t="shared" si="7"/>
        <v>I</v>
      </c>
      <c r="BD35" s="2684"/>
      <c r="BE35" s="2684"/>
      <c r="BF35" s="2687"/>
      <c r="BG35" s="2672"/>
      <c r="BH35" s="2672"/>
      <c r="BI35" s="2672"/>
      <c r="BJ35" s="2672"/>
      <c r="BK35" s="2672"/>
      <c r="BL35" s="2672"/>
      <c r="BM35" s="2672"/>
      <c r="BN35" s="2672"/>
      <c r="BO35" s="2672"/>
      <c r="BP35" s="2672"/>
      <c r="BQ35" s="2672"/>
      <c r="BR35" s="2672"/>
      <c r="BS35" s="2672"/>
      <c r="BT35" s="2672"/>
      <c r="BU35" s="2672"/>
      <c r="BV35" s="2672"/>
      <c r="BW35" s="2672"/>
      <c r="BX35" s="2672"/>
      <c r="BY35" s="2672"/>
      <c r="BZ35" s="2672"/>
      <c r="CA35" s="2672"/>
      <c r="CB35" s="2672"/>
      <c r="CC35" s="2672"/>
      <c r="CD35" s="2672"/>
      <c r="CE35" s="2672"/>
      <c r="CF35" s="2672"/>
      <c r="CG35" s="2672"/>
      <c r="CH35" s="2672"/>
      <c r="CI35" s="2672"/>
      <c r="CJ35" s="2672"/>
      <c r="CK35" s="2672"/>
      <c r="CL35" s="2672"/>
      <c r="CM35" s="2672"/>
      <c r="CN35" s="2672"/>
      <c r="CO35" s="2672"/>
      <c r="CP35" s="2672"/>
      <c r="CQ35" s="2672"/>
      <c r="CR35" s="2672"/>
      <c r="CS35" s="2672"/>
      <c r="CT35" s="2672"/>
      <c r="CU35" s="2672"/>
      <c r="CV35" s="2672"/>
      <c r="CW35" s="2672"/>
      <c r="CX35" s="2672"/>
      <c r="CY35" s="2672"/>
      <c r="CZ35" s="2672"/>
      <c r="DA35" s="2672"/>
      <c r="DB35" s="2672"/>
      <c r="DC35" s="2672"/>
      <c r="DD35" s="2672"/>
      <c r="DE35" s="2672"/>
      <c r="DF35" s="2672"/>
      <c r="DG35" s="2672"/>
      <c r="DH35" s="2672"/>
      <c r="DI35" s="2672"/>
      <c r="DJ35" s="2672"/>
      <c r="DK35" s="2672"/>
      <c r="DL35" s="2672"/>
      <c r="DM35" s="2672"/>
      <c r="DN35" s="2672"/>
      <c r="DO35" s="2672"/>
      <c r="DP35" s="2672"/>
      <c r="DQ35" s="2672"/>
      <c r="DR35" s="2672"/>
      <c r="DS35" s="2672"/>
      <c r="DT35" s="2672"/>
      <c r="DU35" s="2672"/>
      <c r="DV35" s="2672"/>
      <c r="DW35" s="2672"/>
      <c r="DX35" s="2672"/>
      <c r="DY35" s="2672"/>
      <c r="DZ35" s="2672"/>
      <c r="EA35" s="2672"/>
      <c r="EB35" s="2672"/>
      <c r="EC35" s="2672"/>
      <c r="ED35" s="2672"/>
      <c r="EE35" s="2672"/>
      <c r="EF35" s="2672"/>
      <c r="EG35" s="2672"/>
      <c r="EH35" s="2672"/>
      <c r="EI35" s="2672"/>
      <c r="EJ35" s="2672"/>
      <c r="EK35" s="2672"/>
      <c r="EL35" s="2672"/>
      <c r="EM35" s="2672"/>
      <c r="EN35" s="2672"/>
      <c r="EO35" s="2672"/>
      <c r="EP35" s="2672"/>
      <c r="EQ35" s="2672"/>
      <c r="ER35" s="2672"/>
      <c r="ES35" s="2672"/>
      <c r="ET35" s="2672"/>
      <c r="EU35" s="2672"/>
      <c r="EV35" s="2672"/>
      <c r="EW35" s="2672"/>
      <c r="EX35" s="2672"/>
      <c r="EY35" s="2672"/>
      <c r="EZ35" s="2672"/>
      <c r="FA35" s="2672"/>
      <c r="FB35" s="2672"/>
      <c r="FC35" s="2672"/>
      <c r="FD35" s="2672"/>
      <c r="FE35" s="2672"/>
      <c r="FF35" s="2672"/>
      <c r="FG35" s="2672"/>
      <c r="FH35" s="2672"/>
      <c r="FI35" s="2672"/>
      <c r="FJ35" s="2672"/>
      <c r="FK35" s="2672"/>
      <c r="FL35" s="2672"/>
      <c r="FM35" s="2672"/>
      <c r="FN35" s="2672"/>
      <c r="FO35" s="2672"/>
      <c r="FP35" s="2672"/>
      <c r="FQ35" s="2672"/>
      <c r="FR35" s="2672"/>
      <c r="FS35" s="2672"/>
      <c r="FT35" s="2672"/>
      <c r="FU35" s="2672"/>
      <c r="FV35" s="2672"/>
      <c r="FW35" s="2672"/>
      <c r="FX35" s="2672"/>
      <c r="FY35" s="2672"/>
      <c r="FZ35" s="2672"/>
      <c r="GA35" s="2672"/>
      <c r="GB35" s="2672"/>
      <c r="GC35" s="2672"/>
      <c r="GD35" s="2672"/>
      <c r="GE35" s="2672"/>
      <c r="GF35" s="2672"/>
      <c r="GG35" s="2672"/>
      <c r="GH35" s="2672"/>
      <c r="GI35" s="2672"/>
      <c r="GJ35" s="2672"/>
      <c r="GK35" s="2672"/>
      <c r="GL35" s="2672"/>
      <c r="GM35" s="2672"/>
      <c r="GN35" s="2672"/>
      <c r="GO35" s="2672"/>
      <c r="GP35" s="2672"/>
      <c r="GQ35" s="2672"/>
      <c r="GR35" s="2672"/>
      <c r="GS35" s="2672"/>
      <c r="GT35" s="2672"/>
      <c r="GU35" s="2672"/>
      <c r="GV35" s="2672"/>
      <c r="GW35" s="2672"/>
    </row>
    <row r="36" spans="1:205" ht="17.399999999999999">
      <c r="B36" s="1525">
        <f t="shared" si="1"/>
        <v>32</v>
      </c>
      <c r="C36" s="2658" t="s">
        <v>1476</v>
      </c>
      <c r="D36" s="2673">
        <v>65.2</v>
      </c>
      <c r="E36" s="2660" t="s">
        <v>482</v>
      </c>
      <c r="F36" s="3688" t="s">
        <v>160</v>
      </c>
      <c r="G36" s="3689" t="s">
        <v>160</v>
      </c>
      <c r="H36" s="3689" t="s">
        <v>160</v>
      </c>
      <c r="I36" s="3689" t="s">
        <v>160</v>
      </c>
      <c r="J36" s="3689" t="s">
        <v>160</v>
      </c>
      <c r="K36" s="3689" t="s">
        <v>160</v>
      </c>
      <c r="L36" s="3689" t="s">
        <v>160</v>
      </c>
      <c r="M36" s="3689" t="s">
        <v>160</v>
      </c>
      <c r="N36" s="3689"/>
      <c r="O36" s="3689" t="s">
        <v>160</v>
      </c>
      <c r="P36" s="3689"/>
      <c r="Q36" s="3689"/>
      <c r="R36" s="3689"/>
      <c r="S36" s="3689"/>
      <c r="T36" s="3689"/>
      <c r="U36" s="3689"/>
      <c r="V36" s="3689"/>
      <c r="W36" s="3689"/>
      <c r="X36" s="3689"/>
      <c r="Y36" s="3689"/>
      <c r="Z36" s="3689"/>
      <c r="AA36" s="3689"/>
      <c r="AB36" s="3689"/>
      <c r="AC36" s="3689"/>
      <c r="AD36" s="3696" t="s">
        <v>160</v>
      </c>
      <c r="AE36" s="3696"/>
      <c r="AF36" s="3697"/>
      <c r="AG36" s="1519">
        <f t="shared" si="0"/>
        <v>0</v>
      </c>
      <c r="AH36" s="2672"/>
      <c r="AI36" s="2672"/>
      <c r="AJ36" s="2672"/>
      <c r="AK36" s="2672"/>
      <c r="AL36" s="2672"/>
      <c r="AM36" s="2672"/>
      <c r="AN36" s="2672"/>
      <c r="AO36" s="2672"/>
      <c r="AP36" s="2683">
        <f t="shared" si="2"/>
        <v>22</v>
      </c>
      <c r="AQ36" s="2684" t="str">
        <f t="shared" si="3"/>
        <v>Centium 36 CS</v>
      </c>
      <c r="AR36" s="2684"/>
      <c r="AS36" s="2684"/>
      <c r="AT36" s="2684"/>
      <c r="AU36" s="2684"/>
      <c r="AV36" s="2685">
        <f t="shared" si="4"/>
        <v>171.5</v>
      </c>
      <c r="AW36" s="2686" t="str">
        <f t="shared" si="4"/>
        <v>H</v>
      </c>
      <c r="AX36" s="2684"/>
      <c r="AY36" s="2683">
        <f t="shared" si="5"/>
        <v>72</v>
      </c>
      <c r="AZ36" s="2685" t="str">
        <f t="shared" si="6"/>
        <v>Tilmor</v>
      </c>
      <c r="BA36" s="2684"/>
      <c r="BB36" s="2685">
        <f t="shared" si="7"/>
        <v>41.7</v>
      </c>
      <c r="BC36" s="2686" t="str">
        <f t="shared" si="7"/>
        <v>F</v>
      </c>
      <c r="BD36" s="2684"/>
      <c r="BE36" s="2684"/>
      <c r="BF36" s="2687"/>
      <c r="BG36" s="2672"/>
      <c r="BH36" s="2672"/>
      <c r="BI36" s="2672"/>
      <c r="BJ36" s="2672"/>
      <c r="BK36" s="2672"/>
      <c r="BL36" s="2672"/>
      <c r="BM36" s="2672"/>
      <c r="BN36" s="2672"/>
      <c r="BO36" s="2672"/>
      <c r="BP36" s="2672"/>
      <c r="BQ36" s="2672"/>
      <c r="BR36" s="2672"/>
      <c r="BS36" s="2672"/>
      <c r="BT36" s="2672"/>
      <c r="BU36" s="2672"/>
      <c r="BV36" s="2672"/>
      <c r="BW36" s="2672"/>
      <c r="BX36" s="2672"/>
      <c r="BY36" s="2672"/>
      <c r="BZ36" s="2672"/>
      <c r="CA36" s="2672"/>
      <c r="CB36" s="2672"/>
      <c r="CC36" s="2672"/>
      <c r="CD36" s="2672"/>
      <c r="CE36" s="2672"/>
      <c r="CF36" s="2672"/>
      <c r="CG36" s="2672"/>
      <c r="CH36" s="2672"/>
      <c r="CI36" s="2672"/>
      <c r="CJ36" s="2672"/>
      <c r="CK36" s="2672"/>
      <c r="CL36" s="2672"/>
      <c r="CM36" s="2672"/>
      <c r="CN36" s="2672"/>
      <c r="CO36" s="2672"/>
      <c r="CP36" s="2672"/>
      <c r="CQ36" s="2672"/>
      <c r="CR36" s="2672"/>
      <c r="CS36" s="2672"/>
      <c r="CT36" s="2672"/>
      <c r="CU36" s="2672"/>
      <c r="CV36" s="2672"/>
      <c r="CW36" s="2672"/>
      <c r="CX36" s="2672"/>
      <c r="CY36" s="2672"/>
      <c r="CZ36" s="2672"/>
      <c r="DA36" s="2672"/>
      <c r="DB36" s="2672"/>
      <c r="DC36" s="2672"/>
      <c r="DD36" s="2672"/>
      <c r="DE36" s="2672"/>
      <c r="DF36" s="2672"/>
      <c r="DG36" s="2672"/>
      <c r="DH36" s="2672"/>
      <c r="DI36" s="2672"/>
      <c r="DJ36" s="2672"/>
      <c r="DK36" s="2672"/>
      <c r="DL36" s="2672"/>
      <c r="DM36" s="2672"/>
      <c r="DN36" s="2672"/>
      <c r="DO36" s="2672"/>
      <c r="DP36" s="2672"/>
      <c r="DQ36" s="2672"/>
      <c r="DR36" s="2672"/>
      <c r="DS36" s="2672"/>
      <c r="DT36" s="2672"/>
      <c r="DU36" s="2672"/>
      <c r="DV36" s="2672"/>
      <c r="DW36" s="2672"/>
      <c r="DX36" s="2672"/>
      <c r="DY36" s="2672"/>
      <c r="DZ36" s="2672"/>
      <c r="EA36" s="2672"/>
      <c r="EB36" s="2672"/>
      <c r="EC36" s="2672"/>
      <c r="ED36" s="2672"/>
      <c r="EE36" s="2672"/>
      <c r="EF36" s="2672"/>
      <c r="EG36" s="2672"/>
      <c r="EH36" s="2672"/>
      <c r="EI36" s="2672"/>
      <c r="EJ36" s="2672"/>
      <c r="EK36" s="2672"/>
      <c r="EL36" s="2672"/>
      <c r="EM36" s="2672"/>
      <c r="EN36" s="2672"/>
      <c r="EO36" s="2672"/>
      <c r="EP36" s="2672"/>
      <c r="EQ36" s="2672"/>
      <c r="ER36" s="2672"/>
      <c r="ES36" s="2672"/>
      <c r="ET36" s="2672"/>
      <c r="EU36" s="2672"/>
      <c r="EV36" s="2672"/>
      <c r="EW36" s="2672"/>
      <c r="EX36" s="2672"/>
      <c r="EY36" s="2672"/>
      <c r="EZ36" s="2672"/>
      <c r="FA36" s="2672"/>
      <c r="FB36" s="2672"/>
      <c r="FC36" s="2672"/>
      <c r="FD36" s="2672"/>
      <c r="FE36" s="2672"/>
      <c r="FF36" s="2672"/>
      <c r="FG36" s="2672"/>
      <c r="FH36" s="2672"/>
      <c r="FI36" s="2672"/>
      <c r="FJ36" s="2672"/>
      <c r="FK36" s="2672"/>
      <c r="FL36" s="2672"/>
      <c r="FM36" s="2672"/>
      <c r="FN36" s="2672"/>
      <c r="FO36" s="2672"/>
      <c r="FP36" s="2672"/>
      <c r="FQ36" s="2672"/>
      <c r="FR36" s="2672"/>
      <c r="FS36" s="2672"/>
      <c r="FT36" s="2672"/>
      <c r="FU36" s="2672"/>
      <c r="FV36" s="2672"/>
      <c r="FW36" s="2672"/>
      <c r="FX36" s="2672"/>
      <c r="FY36" s="2672"/>
      <c r="FZ36" s="2672"/>
      <c r="GA36" s="2672"/>
      <c r="GB36" s="2672"/>
      <c r="GC36" s="2672"/>
      <c r="GD36" s="2672"/>
      <c r="GE36" s="2672"/>
      <c r="GF36" s="2672"/>
      <c r="GG36" s="2672"/>
      <c r="GH36" s="2672"/>
      <c r="GI36" s="2672"/>
      <c r="GJ36" s="2672"/>
      <c r="GK36" s="2672"/>
      <c r="GL36" s="2672"/>
      <c r="GM36" s="2672"/>
      <c r="GN36" s="2672"/>
      <c r="GO36" s="2672"/>
      <c r="GP36" s="2672"/>
      <c r="GQ36" s="2672"/>
      <c r="GR36" s="2672"/>
      <c r="GS36" s="2672"/>
      <c r="GT36" s="2672"/>
      <c r="GU36" s="2672"/>
      <c r="GV36" s="2672"/>
      <c r="GW36" s="2672"/>
    </row>
    <row r="37" spans="1:205" ht="17.399999999999999">
      <c r="B37" s="1525">
        <f t="shared" si="1"/>
        <v>33</v>
      </c>
      <c r="C37" s="2658" t="s">
        <v>1478</v>
      </c>
      <c r="D37" s="2673">
        <v>20</v>
      </c>
      <c r="E37" s="2660" t="s">
        <v>480</v>
      </c>
      <c r="F37" s="3688"/>
      <c r="G37" s="3689"/>
      <c r="H37" s="3689"/>
      <c r="I37" s="3689"/>
      <c r="J37" s="3689"/>
      <c r="K37" s="3689"/>
      <c r="L37" s="3689"/>
      <c r="M37" s="3689"/>
      <c r="N37" s="3689"/>
      <c r="O37" s="3689"/>
      <c r="P37" s="3689"/>
      <c r="Q37" s="3689"/>
      <c r="R37" s="3689"/>
      <c r="S37" s="3689" t="s">
        <v>160</v>
      </c>
      <c r="T37" s="3689" t="s">
        <v>160</v>
      </c>
      <c r="U37" s="3689" t="s">
        <v>160</v>
      </c>
      <c r="V37" s="3689" t="s">
        <v>160</v>
      </c>
      <c r="W37" s="3689" t="s">
        <v>160</v>
      </c>
      <c r="X37" s="3689" t="s">
        <v>160</v>
      </c>
      <c r="Y37" s="3689" t="s">
        <v>160</v>
      </c>
      <c r="Z37" s="3689"/>
      <c r="AA37" s="3689" t="s">
        <v>160</v>
      </c>
      <c r="AB37" s="3689" t="s">
        <v>160</v>
      </c>
      <c r="AC37" s="3689"/>
      <c r="AD37" s="3689" t="s">
        <v>160</v>
      </c>
      <c r="AE37" s="3689"/>
      <c r="AF37" s="3690"/>
      <c r="AG37" s="1519">
        <f t="shared" si="0"/>
        <v>0</v>
      </c>
      <c r="AH37" s="2672"/>
      <c r="AI37" s="2672"/>
      <c r="AJ37" s="2672"/>
      <c r="AK37" s="2672"/>
      <c r="AL37" s="2672"/>
      <c r="AM37" s="2672"/>
      <c r="AN37" s="2672"/>
      <c r="AO37" s="2672"/>
      <c r="AP37" s="2683">
        <f t="shared" si="2"/>
        <v>23</v>
      </c>
      <c r="AQ37" s="2684" t="str">
        <f t="shared" si="3"/>
        <v>Cerone 660</v>
      </c>
      <c r="AR37" s="2684"/>
      <c r="AS37" s="2684"/>
      <c r="AT37" s="2684"/>
      <c r="AU37" s="2684"/>
      <c r="AV37" s="2685">
        <f t="shared" si="4"/>
        <v>41.7</v>
      </c>
      <c r="AW37" s="2686" t="str">
        <f t="shared" si="4"/>
        <v>W</v>
      </c>
      <c r="AX37" s="2684"/>
      <c r="AY37" s="2683">
        <f t="shared" si="5"/>
        <v>73</v>
      </c>
      <c r="AZ37" s="2685" t="str">
        <f t="shared" si="6"/>
        <v>Traxos</v>
      </c>
      <c r="BA37" s="2684"/>
      <c r="BB37" s="2685">
        <f t="shared" si="7"/>
        <v>49.7</v>
      </c>
      <c r="BC37" s="2686" t="str">
        <f t="shared" si="7"/>
        <v>H</v>
      </c>
      <c r="BD37" s="2684"/>
      <c r="BE37" s="2684"/>
      <c r="BF37" s="2687"/>
      <c r="BG37" s="2672"/>
      <c r="BH37" s="2672"/>
      <c r="BI37" s="2672"/>
      <c r="BJ37" s="2672"/>
      <c r="BK37" s="2672"/>
      <c r="BL37" s="2672"/>
      <c r="BM37" s="2672"/>
      <c r="BN37" s="2672"/>
      <c r="BO37" s="2672"/>
      <c r="BP37" s="2672"/>
      <c r="BQ37" s="2672"/>
      <c r="BR37" s="2672"/>
      <c r="BS37" s="2672"/>
      <c r="BT37" s="2672"/>
      <c r="BU37" s="2672"/>
      <c r="BV37" s="2672"/>
      <c r="BW37" s="2672"/>
      <c r="BX37" s="2672"/>
      <c r="BY37" s="2672"/>
      <c r="BZ37" s="2672"/>
      <c r="CA37" s="2672"/>
      <c r="CB37" s="2672"/>
      <c r="CC37" s="2672"/>
      <c r="CD37" s="2672"/>
      <c r="CE37" s="2672"/>
      <c r="CF37" s="2672"/>
      <c r="CG37" s="2672"/>
      <c r="CH37" s="2672"/>
      <c r="CI37" s="2672"/>
      <c r="CJ37" s="2672"/>
      <c r="CK37" s="2672"/>
      <c r="CL37" s="2672"/>
      <c r="CM37" s="2672"/>
      <c r="CN37" s="2672"/>
      <c r="CO37" s="2672"/>
      <c r="CP37" s="2672"/>
      <c r="CQ37" s="2672"/>
      <c r="CR37" s="2672"/>
      <c r="CS37" s="2672"/>
      <c r="CT37" s="2672"/>
      <c r="CU37" s="2672"/>
      <c r="CV37" s="2672"/>
      <c r="CW37" s="2672"/>
      <c r="CX37" s="2672"/>
      <c r="CY37" s="2672"/>
      <c r="CZ37" s="2672"/>
      <c r="DA37" s="2672"/>
      <c r="DB37" s="2672"/>
      <c r="DC37" s="2672"/>
      <c r="DD37" s="2672"/>
      <c r="DE37" s="2672"/>
      <c r="DF37" s="2672"/>
      <c r="DG37" s="2672"/>
      <c r="DH37" s="2672"/>
      <c r="DI37" s="2672"/>
      <c r="DJ37" s="2672"/>
      <c r="DK37" s="2672"/>
      <c r="DL37" s="2672"/>
      <c r="DM37" s="2672"/>
      <c r="DN37" s="2672"/>
      <c r="DO37" s="2672"/>
      <c r="DP37" s="2672"/>
      <c r="DQ37" s="2672"/>
      <c r="DR37" s="2672"/>
      <c r="DS37" s="2672"/>
      <c r="DT37" s="2672"/>
      <c r="DU37" s="2672"/>
      <c r="DV37" s="2672"/>
      <c r="DW37" s="2672"/>
      <c r="DX37" s="2672"/>
      <c r="DY37" s="2672"/>
      <c r="DZ37" s="2672"/>
      <c r="EA37" s="2672"/>
      <c r="EB37" s="2672"/>
      <c r="EC37" s="2672"/>
      <c r="ED37" s="2672"/>
      <c r="EE37" s="2672"/>
      <c r="EF37" s="2672"/>
      <c r="EG37" s="2672"/>
      <c r="EH37" s="2672"/>
      <c r="EI37" s="2672"/>
      <c r="EJ37" s="2672"/>
      <c r="EK37" s="2672"/>
      <c r="EL37" s="2672"/>
      <c r="EM37" s="2672"/>
      <c r="EN37" s="2672"/>
      <c r="EO37" s="2672"/>
      <c r="EP37" s="2672"/>
      <c r="EQ37" s="2672"/>
      <c r="ER37" s="2672"/>
      <c r="ES37" s="2672"/>
      <c r="ET37" s="2672"/>
      <c r="EU37" s="2672"/>
      <c r="EV37" s="2672"/>
      <c r="EW37" s="2672"/>
      <c r="EX37" s="2672"/>
      <c r="EY37" s="2672"/>
      <c r="EZ37" s="2672"/>
      <c r="FA37" s="2672"/>
      <c r="FB37" s="2672"/>
      <c r="FC37" s="2672"/>
      <c r="FD37" s="2672"/>
      <c r="FE37" s="2672"/>
      <c r="FF37" s="2672"/>
      <c r="FG37" s="2672"/>
      <c r="FH37" s="2672"/>
      <c r="FI37" s="2672"/>
      <c r="FJ37" s="2672"/>
      <c r="FK37" s="2672"/>
      <c r="FL37" s="2672"/>
      <c r="FM37" s="2672"/>
      <c r="FN37" s="2672"/>
      <c r="FO37" s="2672"/>
      <c r="FP37" s="2672"/>
      <c r="FQ37" s="2672"/>
      <c r="FR37" s="2672"/>
      <c r="FS37" s="2672"/>
      <c r="FT37" s="2672"/>
      <c r="FU37" s="2672"/>
      <c r="FV37" s="2672"/>
      <c r="FW37" s="2672"/>
      <c r="FX37" s="2672"/>
      <c r="FY37" s="2672"/>
      <c r="FZ37" s="2672"/>
      <c r="GA37" s="2672"/>
      <c r="GB37" s="2672"/>
      <c r="GC37" s="2672"/>
      <c r="GD37" s="2672"/>
      <c r="GE37" s="2672"/>
      <c r="GF37" s="2672"/>
      <c r="GG37" s="2672"/>
      <c r="GH37" s="2672"/>
      <c r="GI37" s="2672"/>
      <c r="GJ37" s="2672"/>
      <c r="GK37" s="2672"/>
      <c r="GL37" s="2672"/>
      <c r="GM37" s="2672"/>
      <c r="GN37" s="2672"/>
      <c r="GO37" s="2672"/>
      <c r="GP37" s="2672"/>
      <c r="GQ37" s="2672"/>
      <c r="GR37" s="2672"/>
      <c r="GS37" s="2672"/>
      <c r="GT37" s="2672"/>
      <c r="GU37" s="2672"/>
      <c r="GV37" s="2672"/>
      <c r="GW37" s="2672"/>
    </row>
    <row r="38" spans="1:205" s="2656" customFormat="1" ht="17.399999999999999">
      <c r="A38" s="2672"/>
      <c r="B38" s="1525">
        <f t="shared" si="1"/>
        <v>34</v>
      </c>
      <c r="C38" s="2658" t="s">
        <v>520</v>
      </c>
      <c r="D38" s="2673">
        <v>28</v>
      </c>
      <c r="E38" s="2660" t="s">
        <v>482</v>
      </c>
      <c r="F38" s="3688" t="s">
        <v>160</v>
      </c>
      <c r="G38" s="3689" t="s">
        <v>160</v>
      </c>
      <c r="H38" s="3689" t="s">
        <v>160</v>
      </c>
      <c r="I38" s="3689"/>
      <c r="J38" s="3689" t="s">
        <v>160</v>
      </c>
      <c r="K38" s="3689" t="s">
        <v>160</v>
      </c>
      <c r="L38" s="3689" t="s">
        <v>160</v>
      </c>
      <c r="M38" s="3689" t="s">
        <v>160</v>
      </c>
      <c r="N38" s="3689"/>
      <c r="O38" s="3689"/>
      <c r="P38" s="3689"/>
      <c r="Q38" s="3689"/>
      <c r="R38" s="3689"/>
      <c r="S38" s="3689" t="s">
        <v>160</v>
      </c>
      <c r="T38" s="3689" t="s">
        <v>160</v>
      </c>
      <c r="U38" s="3689"/>
      <c r="V38" s="3689"/>
      <c r="W38" s="3689"/>
      <c r="X38" s="3689"/>
      <c r="Y38" s="3689"/>
      <c r="Z38" s="3689"/>
      <c r="AA38" s="3689"/>
      <c r="AB38" s="3689"/>
      <c r="AC38" s="3689"/>
      <c r="AD38" s="3696" t="s">
        <v>160</v>
      </c>
      <c r="AE38" s="3696"/>
      <c r="AF38" s="3697"/>
      <c r="AG38" s="2657">
        <f t="shared" si="0"/>
        <v>0</v>
      </c>
      <c r="AH38" s="2672"/>
      <c r="AI38" s="2672"/>
      <c r="AJ38" s="2672"/>
      <c r="AK38" s="2672"/>
      <c r="AL38" s="2672"/>
      <c r="AM38" s="2672"/>
      <c r="AN38" s="2672"/>
      <c r="AO38" s="2672"/>
      <c r="AP38" s="2683">
        <f t="shared" si="2"/>
        <v>24</v>
      </c>
      <c r="AQ38" s="2684" t="str">
        <f t="shared" si="3"/>
        <v>Fuego Top</v>
      </c>
      <c r="AR38" s="2684"/>
      <c r="AS38" s="2684"/>
      <c r="AT38" s="2684"/>
      <c r="AU38" s="2684"/>
      <c r="AV38" s="2685">
        <f t="shared" si="4"/>
        <v>50.4</v>
      </c>
      <c r="AW38" s="2686" t="str">
        <f t="shared" si="4"/>
        <v>H</v>
      </c>
      <c r="AX38" s="2684"/>
      <c r="AY38" s="2683">
        <f t="shared" si="5"/>
        <v>74</v>
      </c>
      <c r="AZ38" s="2685" t="str">
        <f t="shared" si="6"/>
        <v>Trebon 30 EC</v>
      </c>
      <c r="BA38" s="2684"/>
      <c r="BB38" s="2685">
        <f t="shared" si="7"/>
        <v>78</v>
      </c>
      <c r="BC38" s="2686" t="str">
        <f t="shared" si="7"/>
        <v>I</v>
      </c>
      <c r="BD38" s="2684"/>
      <c r="BE38" s="2684"/>
      <c r="BF38" s="2687"/>
      <c r="BG38" s="2672"/>
      <c r="BH38" s="2672"/>
      <c r="BI38" s="2672"/>
      <c r="BJ38" s="2672"/>
      <c r="BK38" s="2672"/>
      <c r="BL38" s="2672"/>
      <c r="BM38" s="2672"/>
      <c r="BN38" s="2672"/>
      <c r="BO38" s="2672"/>
      <c r="BP38" s="2672"/>
      <c r="BQ38" s="2672"/>
      <c r="BR38" s="2672"/>
      <c r="BS38" s="2672"/>
      <c r="BT38" s="2672"/>
      <c r="BU38" s="2672"/>
      <c r="BV38" s="2672"/>
      <c r="BW38" s="2672"/>
      <c r="BX38" s="2672"/>
      <c r="BY38" s="2672"/>
      <c r="BZ38" s="2672"/>
      <c r="CA38" s="2672"/>
      <c r="CB38" s="2672"/>
      <c r="CC38" s="2672"/>
      <c r="CD38" s="2672"/>
      <c r="CE38" s="2672"/>
      <c r="CF38" s="2672"/>
      <c r="CG38" s="2672"/>
      <c r="CH38" s="2672"/>
      <c r="CI38" s="2672"/>
      <c r="CJ38" s="2672"/>
      <c r="CK38" s="2672"/>
      <c r="CL38" s="2672"/>
      <c r="CM38" s="2672"/>
      <c r="CN38" s="2672"/>
      <c r="CO38" s="2672"/>
      <c r="CP38" s="2672"/>
      <c r="CQ38" s="2672"/>
      <c r="CR38" s="2672"/>
      <c r="CS38" s="2672"/>
      <c r="CT38" s="2672"/>
      <c r="CU38" s="2672"/>
      <c r="CV38" s="2672"/>
      <c r="CW38" s="2672"/>
      <c r="CX38" s="2672"/>
      <c r="CY38" s="2672"/>
      <c r="CZ38" s="2672"/>
      <c r="DA38" s="2672"/>
      <c r="DB38" s="2672"/>
      <c r="DC38" s="2672"/>
      <c r="DD38" s="2672"/>
      <c r="DE38" s="2672"/>
      <c r="DF38" s="2672"/>
      <c r="DG38" s="2672"/>
      <c r="DH38" s="2672"/>
      <c r="DI38" s="2672"/>
      <c r="DJ38" s="2672"/>
      <c r="DK38" s="2672"/>
      <c r="DL38" s="2672"/>
      <c r="DM38" s="2672"/>
      <c r="DN38" s="2672"/>
      <c r="DO38" s="2672"/>
      <c r="DP38" s="2672"/>
      <c r="DQ38" s="2672"/>
      <c r="DR38" s="2672"/>
      <c r="DS38" s="2672"/>
      <c r="DT38" s="2672"/>
      <c r="DU38" s="2672"/>
      <c r="DV38" s="2672"/>
      <c r="DW38" s="2672"/>
      <c r="DX38" s="2672"/>
      <c r="DY38" s="2672"/>
      <c r="DZ38" s="2672"/>
      <c r="EA38" s="2672"/>
      <c r="EB38" s="2672"/>
      <c r="EC38" s="2672"/>
      <c r="ED38" s="2672"/>
      <c r="EE38" s="2672"/>
      <c r="EF38" s="2672"/>
      <c r="EG38" s="2672"/>
      <c r="EH38" s="2672"/>
      <c r="EI38" s="2672"/>
      <c r="EJ38" s="2672"/>
      <c r="EK38" s="2672"/>
      <c r="EL38" s="2672"/>
      <c r="EM38" s="2672"/>
      <c r="EN38" s="2672"/>
      <c r="EO38" s="2672"/>
      <c r="EP38" s="2672"/>
      <c r="EQ38" s="2672"/>
      <c r="ER38" s="2672"/>
      <c r="ES38" s="2672"/>
      <c r="ET38" s="2672"/>
      <c r="EU38" s="2672"/>
      <c r="EV38" s="2672"/>
      <c r="EW38" s="2672"/>
      <c r="EX38" s="2672"/>
      <c r="EY38" s="2672"/>
      <c r="EZ38" s="2672"/>
      <c r="FA38" s="2672"/>
      <c r="FB38" s="2672"/>
      <c r="FC38" s="2672"/>
      <c r="FD38" s="2672"/>
      <c r="FE38" s="2672"/>
      <c r="FF38" s="2672"/>
      <c r="FG38" s="2672"/>
      <c r="FH38" s="2672"/>
      <c r="FI38" s="2672"/>
      <c r="FJ38" s="2672"/>
      <c r="FK38" s="2672"/>
      <c r="FL38" s="2672"/>
      <c r="FM38" s="2672"/>
      <c r="FN38" s="2672"/>
      <c r="FO38" s="2672"/>
      <c r="FP38" s="2672"/>
      <c r="FQ38" s="2672"/>
      <c r="FR38" s="2672"/>
      <c r="FS38" s="2672"/>
      <c r="FT38" s="2672"/>
      <c r="FU38" s="2672"/>
      <c r="FV38" s="2672"/>
      <c r="FW38" s="2672"/>
      <c r="FX38" s="2672"/>
      <c r="FY38" s="2672"/>
      <c r="FZ38" s="2672"/>
      <c r="GA38" s="2672"/>
      <c r="GB38" s="2672"/>
      <c r="GC38" s="2672"/>
      <c r="GD38" s="2672"/>
      <c r="GE38" s="2672"/>
      <c r="GF38" s="2672"/>
      <c r="GG38" s="2672"/>
      <c r="GH38" s="2672"/>
      <c r="GI38" s="2672"/>
      <c r="GJ38" s="2672"/>
      <c r="GK38" s="2672"/>
      <c r="GL38" s="2672"/>
      <c r="GM38" s="2672"/>
      <c r="GN38" s="2672"/>
      <c r="GO38" s="2672"/>
      <c r="GP38" s="2672"/>
      <c r="GQ38" s="2672"/>
      <c r="GR38" s="2672"/>
      <c r="GS38" s="2672"/>
      <c r="GT38" s="2672"/>
      <c r="GU38" s="2672"/>
      <c r="GV38" s="2672"/>
      <c r="GW38" s="2672"/>
    </row>
    <row r="39" spans="1:205" ht="17.399999999999999">
      <c r="B39" s="1525">
        <f t="shared" si="1"/>
        <v>35</v>
      </c>
      <c r="C39" s="2658" t="s">
        <v>519</v>
      </c>
      <c r="D39" s="2673">
        <v>33</v>
      </c>
      <c r="E39" s="2660" t="s">
        <v>480</v>
      </c>
      <c r="F39" s="3688"/>
      <c r="G39" s="3689"/>
      <c r="H39" s="3689"/>
      <c r="I39" s="3689"/>
      <c r="J39" s="3689"/>
      <c r="K39" s="3689"/>
      <c r="L39" s="3689"/>
      <c r="M39" s="3689"/>
      <c r="N39" s="3689"/>
      <c r="O39" s="3689"/>
      <c r="P39" s="3689"/>
      <c r="Q39" s="3689"/>
      <c r="R39" s="3689"/>
      <c r="S39" s="3689" t="s">
        <v>160</v>
      </c>
      <c r="T39" s="3689"/>
      <c r="U39" s="3689" t="s">
        <v>160</v>
      </c>
      <c r="V39" s="3689" t="s">
        <v>160</v>
      </c>
      <c r="W39" s="3689" t="s">
        <v>160</v>
      </c>
      <c r="X39" s="3689" t="s">
        <v>160</v>
      </c>
      <c r="Y39" s="3689" t="s">
        <v>160</v>
      </c>
      <c r="Z39" s="3689" t="s">
        <v>160</v>
      </c>
      <c r="AA39" s="3689" t="s">
        <v>160</v>
      </c>
      <c r="AB39" s="3689" t="s">
        <v>160</v>
      </c>
      <c r="AC39" s="3689"/>
      <c r="AD39" s="3689" t="s">
        <v>160</v>
      </c>
      <c r="AE39" s="3689"/>
      <c r="AF39" s="3690"/>
      <c r="AG39" s="1519">
        <f t="shared" si="0"/>
        <v>0</v>
      </c>
      <c r="AH39" s="2672"/>
      <c r="AI39" s="2672"/>
      <c r="AJ39" s="2672"/>
      <c r="AK39" s="2672"/>
      <c r="AL39" s="2672"/>
      <c r="AM39" s="2672"/>
      <c r="AN39" s="2672"/>
      <c r="AO39" s="2672"/>
      <c r="AP39" s="2683">
        <f t="shared" si="2"/>
        <v>25</v>
      </c>
      <c r="AQ39" s="2684" t="str">
        <f t="shared" si="3"/>
        <v>Coragen</v>
      </c>
      <c r="AR39" s="2684"/>
      <c r="AS39" s="2684"/>
      <c r="AT39" s="2684"/>
      <c r="AU39" s="2684"/>
      <c r="AV39" s="2685">
        <f t="shared" si="4"/>
        <v>376.4</v>
      </c>
      <c r="AW39" s="2686" t="str">
        <f t="shared" si="4"/>
        <v>I</v>
      </c>
      <c r="AX39" s="2684"/>
      <c r="AY39" s="2683">
        <f t="shared" si="5"/>
        <v>75</v>
      </c>
      <c r="AZ39" s="2685" t="str">
        <f t="shared" si="6"/>
        <v>TRICHOGRAMMA</v>
      </c>
      <c r="BA39" s="2684"/>
      <c r="BB39" s="2685">
        <f t="shared" si="7"/>
        <v>50</v>
      </c>
      <c r="BC39" s="2686" t="str">
        <f t="shared" si="7"/>
        <v>I</v>
      </c>
      <c r="BD39" s="2684"/>
      <c r="BE39" s="2684"/>
      <c r="BF39" s="2687"/>
      <c r="BG39" s="2672"/>
      <c r="BH39" s="2672"/>
      <c r="BI39" s="2672"/>
      <c r="BJ39" s="2672"/>
      <c r="BK39" s="2672"/>
      <c r="BL39" s="2672"/>
      <c r="BM39" s="2672"/>
      <c r="BN39" s="2672"/>
      <c r="BO39" s="2672"/>
      <c r="BP39" s="2672"/>
      <c r="BQ39" s="2672"/>
      <c r="BR39" s="2672"/>
      <c r="BS39" s="2672"/>
      <c r="BT39" s="2672"/>
      <c r="BU39" s="2672"/>
      <c r="BV39" s="2672"/>
      <c r="BW39" s="2672"/>
      <c r="BX39" s="2672"/>
      <c r="BY39" s="2672"/>
      <c r="BZ39" s="2672"/>
      <c r="CA39" s="2672"/>
      <c r="CB39" s="2672"/>
      <c r="CC39" s="2672"/>
      <c r="CD39" s="2672"/>
      <c r="CE39" s="2672"/>
      <c r="CF39" s="2672"/>
      <c r="CG39" s="2672"/>
      <c r="CH39" s="2672"/>
      <c r="CI39" s="2672"/>
      <c r="CJ39" s="2672"/>
      <c r="CK39" s="2672"/>
      <c r="CL39" s="2672"/>
      <c r="CM39" s="2672"/>
      <c r="CN39" s="2672"/>
      <c r="CO39" s="2672"/>
      <c r="CP39" s="2672"/>
      <c r="CQ39" s="2672"/>
      <c r="CR39" s="2672"/>
      <c r="CS39" s="2672"/>
      <c r="CT39" s="2672"/>
      <c r="CU39" s="2672"/>
      <c r="CV39" s="2672"/>
      <c r="CW39" s="2672"/>
      <c r="CX39" s="2672"/>
      <c r="CY39" s="2672"/>
      <c r="CZ39" s="2672"/>
      <c r="DA39" s="2672"/>
      <c r="DB39" s="2672"/>
      <c r="DC39" s="2672"/>
      <c r="DD39" s="2672"/>
      <c r="DE39" s="2672"/>
      <c r="DF39" s="2672"/>
      <c r="DG39" s="2672"/>
      <c r="DH39" s="2672"/>
      <c r="DI39" s="2672"/>
      <c r="DJ39" s="2672"/>
      <c r="DK39" s="2672"/>
      <c r="DL39" s="2672"/>
      <c r="DM39" s="2672"/>
      <c r="DN39" s="2672"/>
      <c r="DO39" s="2672"/>
      <c r="DP39" s="2672"/>
      <c r="DQ39" s="2672"/>
      <c r="DR39" s="2672"/>
      <c r="DS39" s="2672"/>
      <c r="DT39" s="2672"/>
      <c r="DU39" s="2672"/>
      <c r="DV39" s="2672"/>
      <c r="DW39" s="2672"/>
      <c r="DX39" s="2672"/>
      <c r="DY39" s="2672"/>
      <c r="DZ39" s="2672"/>
      <c r="EA39" s="2672"/>
      <c r="EB39" s="2672"/>
      <c r="EC39" s="2672"/>
      <c r="ED39" s="2672"/>
      <c r="EE39" s="2672"/>
      <c r="EF39" s="2672"/>
      <c r="EG39" s="2672"/>
      <c r="EH39" s="2672"/>
      <c r="EI39" s="2672"/>
      <c r="EJ39" s="2672"/>
      <c r="EK39" s="2672"/>
      <c r="EL39" s="2672"/>
      <c r="EM39" s="2672"/>
      <c r="EN39" s="2672"/>
      <c r="EO39" s="2672"/>
      <c r="EP39" s="2672"/>
      <c r="EQ39" s="2672"/>
      <c r="ER39" s="2672"/>
      <c r="ES39" s="2672"/>
      <c r="ET39" s="2672"/>
      <c r="EU39" s="2672"/>
      <c r="EV39" s="2672"/>
      <c r="EW39" s="2672"/>
      <c r="EX39" s="2672"/>
      <c r="EY39" s="2672"/>
      <c r="EZ39" s="2672"/>
      <c r="FA39" s="2672"/>
      <c r="FB39" s="2672"/>
      <c r="FC39" s="2672"/>
      <c r="FD39" s="2672"/>
      <c r="FE39" s="2672"/>
      <c r="FF39" s="2672"/>
      <c r="FG39" s="2672"/>
      <c r="FH39" s="2672"/>
      <c r="FI39" s="2672"/>
      <c r="FJ39" s="2672"/>
      <c r="FK39" s="2672"/>
      <c r="FL39" s="2672"/>
      <c r="FM39" s="2672"/>
      <c r="FN39" s="2672"/>
      <c r="FO39" s="2672"/>
      <c r="FP39" s="2672"/>
      <c r="FQ39" s="2672"/>
      <c r="FR39" s="2672"/>
      <c r="FS39" s="2672"/>
      <c r="FT39" s="2672"/>
      <c r="FU39" s="2672"/>
      <c r="FV39" s="2672"/>
      <c r="FW39" s="2672"/>
      <c r="FX39" s="2672"/>
      <c r="FY39" s="2672"/>
      <c r="FZ39" s="2672"/>
      <c r="GA39" s="2672"/>
      <c r="GB39" s="2672"/>
      <c r="GC39" s="2672"/>
      <c r="GD39" s="2672"/>
      <c r="GE39" s="2672"/>
      <c r="GF39" s="2672"/>
      <c r="GG39" s="2672"/>
      <c r="GH39" s="2672"/>
      <c r="GI39" s="2672"/>
      <c r="GJ39" s="2672"/>
      <c r="GK39" s="2672"/>
      <c r="GL39" s="2672"/>
      <c r="GM39" s="2672"/>
      <c r="GN39" s="2672"/>
      <c r="GO39" s="2672"/>
      <c r="GP39" s="2672"/>
      <c r="GQ39" s="2672"/>
      <c r="GR39" s="2672"/>
      <c r="GS39" s="2672"/>
      <c r="GT39" s="2672"/>
      <c r="GU39" s="2672"/>
      <c r="GV39" s="2672"/>
      <c r="GW39" s="2672"/>
    </row>
    <row r="40" spans="1:205" s="2656" customFormat="1" ht="17.399999999999999">
      <c r="A40" s="2672"/>
      <c r="B40" s="1525">
        <f t="shared" si="1"/>
        <v>36</v>
      </c>
      <c r="C40" s="2658" t="s">
        <v>518</v>
      </c>
      <c r="D40" s="2673">
        <v>25.3</v>
      </c>
      <c r="E40" s="2660" t="s">
        <v>480</v>
      </c>
      <c r="F40" s="3688"/>
      <c r="G40" s="3689"/>
      <c r="H40" s="3689"/>
      <c r="I40" s="3689"/>
      <c r="J40" s="3689"/>
      <c r="K40" s="3689"/>
      <c r="L40" s="3689"/>
      <c r="M40" s="3689"/>
      <c r="N40" s="3689"/>
      <c r="O40" s="3689"/>
      <c r="P40" s="3689"/>
      <c r="Q40" s="3689"/>
      <c r="R40" s="3689"/>
      <c r="S40" s="3689"/>
      <c r="T40" s="3689"/>
      <c r="U40" s="3689"/>
      <c r="V40" s="3689"/>
      <c r="W40" s="3689"/>
      <c r="X40" s="3689"/>
      <c r="Y40" s="3689"/>
      <c r="Z40" s="3689"/>
      <c r="AA40" s="3689" t="s">
        <v>160</v>
      </c>
      <c r="AB40" s="3689"/>
      <c r="AC40" s="3689"/>
      <c r="AD40" s="3696" t="s">
        <v>160</v>
      </c>
      <c r="AE40" s="3696"/>
      <c r="AF40" s="3697"/>
      <c r="AG40" s="2657">
        <f t="shared" si="0"/>
        <v>0</v>
      </c>
      <c r="AH40" s="2672"/>
      <c r="AI40" s="2672"/>
      <c r="AJ40" s="2672"/>
      <c r="AK40" s="2672"/>
      <c r="AL40" s="2672"/>
      <c r="AM40" s="2672"/>
      <c r="AN40" s="2672"/>
      <c r="AO40" s="2672"/>
      <c r="AP40" s="2683">
        <f t="shared" si="2"/>
        <v>26</v>
      </c>
      <c r="AQ40" s="2684" t="str">
        <f t="shared" si="3"/>
        <v/>
      </c>
      <c r="AR40" s="2684"/>
      <c r="AS40" s="2684"/>
      <c r="AT40" s="2684"/>
      <c r="AU40" s="2684"/>
      <c r="AV40" s="2685" t="str">
        <f t="shared" si="4"/>
        <v/>
      </c>
      <c r="AW40" s="2686" t="str">
        <f t="shared" si="4"/>
        <v/>
      </c>
      <c r="AX40" s="2684"/>
      <c r="AY40" s="2683">
        <f t="shared" si="5"/>
        <v>76</v>
      </c>
      <c r="AZ40" s="2685" t="str">
        <f t="shared" si="6"/>
        <v>Zypar</v>
      </c>
      <c r="BA40" s="2684"/>
      <c r="BB40" s="2685">
        <f t="shared" si="7"/>
        <v>35</v>
      </c>
      <c r="BC40" s="2686" t="str">
        <f t="shared" si="7"/>
        <v>H</v>
      </c>
      <c r="BD40" s="2684"/>
      <c r="BE40" s="2684"/>
      <c r="BF40" s="2687"/>
      <c r="BG40" s="2672"/>
      <c r="BH40" s="2672"/>
      <c r="BI40" s="2672"/>
      <c r="BJ40" s="2672"/>
      <c r="BK40" s="2672"/>
      <c r="BL40" s="2672"/>
      <c r="BM40" s="2672"/>
      <c r="BN40" s="2672"/>
      <c r="BO40" s="2672"/>
      <c r="BP40" s="2672"/>
      <c r="BQ40" s="2672"/>
      <c r="BR40" s="2672"/>
      <c r="BS40" s="2672"/>
      <c r="BT40" s="2672"/>
      <c r="BU40" s="2672"/>
      <c r="BV40" s="2672"/>
      <c r="BW40" s="2672"/>
      <c r="BX40" s="2672"/>
      <c r="BY40" s="2672"/>
      <c r="BZ40" s="2672"/>
      <c r="CA40" s="2672"/>
      <c r="CB40" s="2672"/>
      <c r="CC40" s="2672"/>
      <c r="CD40" s="2672"/>
      <c r="CE40" s="2672"/>
      <c r="CF40" s="2672"/>
      <c r="CG40" s="2672"/>
      <c r="CH40" s="2672"/>
      <c r="CI40" s="2672"/>
      <c r="CJ40" s="2672"/>
      <c r="CK40" s="2672"/>
      <c r="CL40" s="2672"/>
      <c r="CM40" s="2672"/>
      <c r="CN40" s="2672"/>
      <c r="CO40" s="2672"/>
      <c r="CP40" s="2672"/>
      <c r="CQ40" s="2672"/>
      <c r="CR40" s="2672"/>
      <c r="CS40" s="2672"/>
      <c r="CT40" s="2672"/>
      <c r="CU40" s="2672"/>
      <c r="CV40" s="2672"/>
      <c r="CW40" s="2672"/>
      <c r="CX40" s="2672"/>
      <c r="CY40" s="2672"/>
      <c r="CZ40" s="2672"/>
      <c r="DA40" s="2672"/>
      <c r="DB40" s="2672"/>
      <c r="DC40" s="2672"/>
      <c r="DD40" s="2672"/>
      <c r="DE40" s="2672"/>
      <c r="DF40" s="2672"/>
      <c r="DG40" s="2672"/>
      <c r="DH40" s="2672"/>
      <c r="DI40" s="2672"/>
      <c r="DJ40" s="2672"/>
      <c r="DK40" s="2672"/>
      <c r="DL40" s="2672"/>
      <c r="DM40" s="2672"/>
      <c r="DN40" s="2672"/>
      <c r="DO40" s="2672"/>
      <c r="DP40" s="2672"/>
      <c r="DQ40" s="2672"/>
      <c r="DR40" s="2672"/>
      <c r="DS40" s="2672"/>
      <c r="DT40" s="2672"/>
      <c r="DU40" s="2672"/>
      <c r="DV40" s="2672"/>
      <c r="DW40" s="2672"/>
      <c r="DX40" s="2672"/>
      <c r="DY40" s="2672"/>
      <c r="DZ40" s="2672"/>
      <c r="EA40" s="2672"/>
      <c r="EB40" s="2672"/>
      <c r="EC40" s="2672"/>
      <c r="ED40" s="2672"/>
      <c r="EE40" s="2672"/>
      <c r="EF40" s="2672"/>
      <c r="EG40" s="2672"/>
      <c r="EH40" s="2672"/>
      <c r="EI40" s="2672"/>
      <c r="EJ40" s="2672"/>
      <c r="EK40" s="2672"/>
      <c r="EL40" s="2672"/>
      <c r="EM40" s="2672"/>
      <c r="EN40" s="2672"/>
      <c r="EO40" s="2672"/>
      <c r="EP40" s="2672"/>
      <c r="EQ40" s="2672"/>
      <c r="ER40" s="2672"/>
      <c r="ES40" s="2672"/>
      <c r="ET40" s="2672"/>
      <c r="EU40" s="2672"/>
      <c r="EV40" s="2672"/>
      <c r="EW40" s="2672"/>
      <c r="EX40" s="2672"/>
      <c r="EY40" s="2672"/>
      <c r="EZ40" s="2672"/>
      <c r="FA40" s="2672"/>
      <c r="FB40" s="2672"/>
      <c r="FC40" s="2672"/>
      <c r="FD40" s="2672"/>
      <c r="FE40" s="2672"/>
      <c r="FF40" s="2672"/>
      <c r="FG40" s="2672"/>
      <c r="FH40" s="2672"/>
      <c r="FI40" s="2672"/>
      <c r="FJ40" s="2672"/>
      <c r="FK40" s="2672"/>
      <c r="FL40" s="2672"/>
      <c r="FM40" s="2672"/>
      <c r="FN40" s="2672"/>
      <c r="FO40" s="2672"/>
      <c r="FP40" s="2672"/>
      <c r="FQ40" s="2672"/>
      <c r="FR40" s="2672"/>
      <c r="FS40" s="2672"/>
      <c r="FT40" s="2672"/>
      <c r="FU40" s="2672"/>
      <c r="FV40" s="2672"/>
      <c r="FW40" s="2672"/>
      <c r="FX40" s="2672"/>
      <c r="FY40" s="2672"/>
      <c r="FZ40" s="2672"/>
      <c r="GA40" s="2672"/>
      <c r="GB40" s="2672"/>
      <c r="GC40" s="2672"/>
      <c r="GD40" s="2672"/>
      <c r="GE40" s="2672"/>
      <c r="GF40" s="2672"/>
      <c r="GG40" s="2672"/>
      <c r="GH40" s="2672"/>
      <c r="GI40" s="2672"/>
      <c r="GJ40" s="2672"/>
      <c r="GK40" s="2672"/>
      <c r="GL40" s="2672"/>
      <c r="GM40" s="2672"/>
      <c r="GN40" s="2672"/>
      <c r="GO40" s="2672"/>
      <c r="GP40" s="2672"/>
      <c r="GQ40" s="2672"/>
      <c r="GR40" s="2672"/>
      <c r="GS40" s="2672"/>
      <c r="GT40" s="2672"/>
      <c r="GU40" s="2672"/>
      <c r="GV40" s="2672"/>
      <c r="GW40" s="2672"/>
    </row>
    <row r="41" spans="1:205" ht="17.399999999999999">
      <c r="B41" s="1525">
        <f t="shared" si="1"/>
        <v>37</v>
      </c>
      <c r="C41" s="2658" t="s">
        <v>1485</v>
      </c>
      <c r="D41" s="2673">
        <v>34.799999999999997</v>
      </c>
      <c r="E41" s="2674" t="s">
        <v>480</v>
      </c>
      <c r="F41" s="3695"/>
      <c r="G41" s="3696"/>
      <c r="H41" s="3696"/>
      <c r="I41" s="3696"/>
      <c r="J41" s="3696"/>
      <c r="K41" s="3696"/>
      <c r="L41" s="3696"/>
      <c r="M41" s="3696"/>
      <c r="N41" s="3696"/>
      <c r="O41" s="3696"/>
      <c r="P41" s="3696" t="s">
        <v>160</v>
      </c>
      <c r="Q41" s="3696"/>
      <c r="R41" s="3696"/>
      <c r="S41" s="3696"/>
      <c r="T41" s="3696"/>
      <c r="U41" s="3696"/>
      <c r="V41" s="3696"/>
      <c r="W41" s="3696"/>
      <c r="X41" s="3696"/>
      <c r="Y41" s="3696"/>
      <c r="Z41" s="3696"/>
      <c r="AA41" s="3696" t="s">
        <v>160</v>
      </c>
      <c r="AB41" s="3696"/>
      <c r="AC41" s="3696"/>
      <c r="AD41" s="3696" t="s">
        <v>160</v>
      </c>
      <c r="AE41" s="3696"/>
      <c r="AF41" s="3697"/>
      <c r="AG41" s="1519">
        <f t="shared" si="0"/>
        <v>0</v>
      </c>
      <c r="AH41" s="2672"/>
      <c r="AI41" s="2672"/>
      <c r="AJ41" s="2672"/>
      <c r="AK41" s="2672"/>
      <c r="AL41" s="2672"/>
      <c r="AM41" s="2672"/>
      <c r="AN41" s="2672"/>
      <c r="AO41" s="2672"/>
      <c r="AP41" s="2683">
        <f t="shared" si="2"/>
        <v>27</v>
      </c>
      <c r="AQ41" s="2684" t="str">
        <f t="shared" si="3"/>
        <v>Effigo</v>
      </c>
      <c r="AR41" s="2684"/>
      <c r="AS41" s="2684"/>
      <c r="AT41" s="2684"/>
      <c r="AU41" s="2684"/>
      <c r="AV41" s="2685">
        <f t="shared" si="4"/>
        <v>160.4</v>
      </c>
      <c r="AW41" s="2686" t="str">
        <f t="shared" si="4"/>
        <v>H</v>
      </c>
      <c r="AX41" s="2684"/>
      <c r="AY41" s="2683">
        <f t="shared" si="5"/>
        <v>77</v>
      </c>
      <c r="AZ41" s="2685" t="str">
        <f t="shared" si="6"/>
        <v>Spectrum</v>
      </c>
      <c r="BA41" s="2684"/>
      <c r="BB41" s="2685">
        <f t="shared" si="7"/>
        <v>41.2</v>
      </c>
      <c r="BC41" s="2686" t="str">
        <f t="shared" si="7"/>
        <v>H</v>
      </c>
      <c r="BD41" s="2684"/>
      <c r="BE41" s="2684"/>
      <c r="BF41" s="2687"/>
      <c r="BG41" s="2672"/>
      <c r="BH41" s="2672"/>
      <c r="BI41" s="2672"/>
      <c r="BJ41" s="2672"/>
      <c r="BK41" s="2672"/>
      <c r="BL41" s="2672"/>
      <c r="BM41" s="2672"/>
      <c r="BN41" s="2672"/>
      <c r="BO41" s="2672"/>
      <c r="BP41" s="2672"/>
      <c r="BQ41" s="2672"/>
      <c r="BR41" s="2672"/>
      <c r="BS41" s="2672"/>
      <c r="BT41" s="2672"/>
      <c r="BU41" s="2672"/>
      <c r="BV41" s="2672"/>
      <c r="BW41" s="2672"/>
      <c r="BX41" s="2672"/>
      <c r="BY41" s="2672"/>
      <c r="BZ41" s="2672"/>
      <c r="CA41" s="2672"/>
      <c r="CB41" s="2672"/>
      <c r="CC41" s="2672"/>
      <c r="CD41" s="2672"/>
      <c r="CE41" s="2672"/>
      <c r="CF41" s="2672"/>
      <c r="CG41" s="2672"/>
      <c r="CH41" s="2672"/>
      <c r="CI41" s="2672"/>
      <c r="CJ41" s="2672"/>
      <c r="CK41" s="2672"/>
      <c r="CL41" s="2672"/>
      <c r="CM41" s="2672"/>
      <c r="CN41" s="2672"/>
      <c r="CO41" s="2672"/>
      <c r="CP41" s="2672"/>
      <c r="CQ41" s="2672"/>
      <c r="CR41" s="2672"/>
      <c r="CS41" s="2672"/>
      <c r="CT41" s="2672"/>
      <c r="CU41" s="2672"/>
      <c r="CV41" s="2672"/>
      <c r="CW41" s="2672"/>
      <c r="CX41" s="2672"/>
      <c r="CY41" s="2672"/>
      <c r="CZ41" s="2672"/>
      <c r="DA41" s="2672"/>
      <c r="DB41" s="2672"/>
      <c r="DC41" s="2672"/>
      <c r="DD41" s="2672"/>
      <c r="DE41" s="2672"/>
      <c r="DF41" s="2672"/>
      <c r="DG41" s="2672"/>
      <c r="DH41" s="2672"/>
      <c r="DI41" s="2672"/>
      <c r="DJ41" s="2672"/>
      <c r="DK41" s="2672"/>
      <c r="DL41" s="2672"/>
      <c r="DM41" s="2672"/>
      <c r="DN41" s="2672"/>
      <c r="DO41" s="2672"/>
      <c r="DP41" s="2672"/>
      <c r="DQ41" s="2672"/>
      <c r="DR41" s="2672"/>
      <c r="DS41" s="2672"/>
      <c r="DT41" s="2672"/>
      <c r="DU41" s="2672"/>
      <c r="DV41" s="2672"/>
      <c r="DW41" s="2672"/>
      <c r="DX41" s="2672"/>
      <c r="DY41" s="2672"/>
      <c r="DZ41" s="2672"/>
      <c r="EA41" s="2672"/>
      <c r="EB41" s="2672"/>
      <c r="EC41" s="2672"/>
      <c r="ED41" s="2672"/>
      <c r="EE41" s="2672"/>
      <c r="EF41" s="2672"/>
      <c r="EG41" s="2672"/>
      <c r="EH41" s="2672"/>
      <c r="EI41" s="2672"/>
      <c r="EJ41" s="2672"/>
      <c r="EK41" s="2672"/>
      <c r="EL41" s="2672"/>
      <c r="EM41" s="2672"/>
      <c r="EN41" s="2672"/>
      <c r="EO41" s="2672"/>
      <c r="EP41" s="2672"/>
      <c r="EQ41" s="2672"/>
      <c r="ER41" s="2672"/>
      <c r="ES41" s="2672"/>
      <c r="ET41" s="2672"/>
      <c r="EU41" s="2672"/>
      <c r="EV41" s="2672"/>
      <c r="EW41" s="2672"/>
      <c r="EX41" s="2672"/>
      <c r="EY41" s="2672"/>
      <c r="EZ41" s="2672"/>
      <c r="FA41" s="2672"/>
      <c r="FB41" s="2672"/>
      <c r="FC41" s="2672"/>
      <c r="FD41" s="2672"/>
      <c r="FE41" s="2672"/>
      <c r="FF41" s="2672"/>
      <c r="FG41" s="2672"/>
      <c r="FH41" s="2672"/>
      <c r="FI41" s="2672"/>
      <c r="FJ41" s="2672"/>
      <c r="FK41" s="2672"/>
      <c r="FL41" s="2672"/>
      <c r="FM41" s="2672"/>
      <c r="FN41" s="2672"/>
      <c r="FO41" s="2672"/>
      <c r="FP41" s="2672"/>
      <c r="FQ41" s="2672"/>
      <c r="FR41" s="2672"/>
      <c r="FS41" s="2672"/>
      <c r="FT41" s="2672"/>
      <c r="FU41" s="2672"/>
      <c r="FV41" s="2672"/>
      <c r="FW41" s="2672"/>
      <c r="FX41" s="2672"/>
      <c r="FY41" s="2672"/>
      <c r="FZ41" s="2672"/>
      <c r="GA41" s="2672"/>
      <c r="GB41" s="2672"/>
      <c r="GC41" s="2672"/>
      <c r="GD41" s="2672"/>
      <c r="GE41" s="2672"/>
      <c r="GF41" s="2672"/>
      <c r="GG41" s="2672"/>
      <c r="GH41" s="2672"/>
      <c r="GI41" s="2672"/>
      <c r="GJ41" s="2672"/>
      <c r="GK41" s="2672"/>
      <c r="GL41" s="2672"/>
      <c r="GM41" s="2672"/>
      <c r="GN41" s="2672"/>
      <c r="GO41" s="2672"/>
      <c r="GP41" s="2672"/>
      <c r="GQ41" s="2672"/>
      <c r="GR41" s="2672"/>
      <c r="GS41" s="2672"/>
      <c r="GT41" s="2672"/>
      <c r="GU41" s="2672"/>
      <c r="GV41" s="2672"/>
      <c r="GW41" s="2672"/>
    </row>
    <row r="42" spans="1:205" s="2672" customFormat="1" ht="17.399999999999999">
      <c r="B42" s="1525">
        <f t="shared" si="1"/>
        <v>38</v>
      </c>
      <c r="C42" s="2658" t="s">
        <v>517</v>
      </c>
      <c r="D42" s="2673">
        <v>1656.5</v>
      </c>
      <c r="E42" s="2660" t="s">
        <v>480</v>
      </c>
      <c r="F42" s="3688"/>
      <c r="G42" s="3689"/>
      <c r="H42" s="3689"/>
      <c r="I42" s="3689"/>
      <c r="J42" s="3689"/>
      <c r="K42" s="3689"/>
      <c r="L42" s="3689"/>
      <c r="M42" s="3689"/>
      <c r="N42" s="3689"/>
      <c r="O42" s="3689"/>
      <c r="P42" s="3689"/>
      <c r="Q42" s="3689"/>
      <c r="R42" s="3689" t="s">
        <v>160</v>
      </c>
      <c r="S42" s="3689"/>
      <c r="T42" s="3689"/>
      <c r="U42" s="3689"/>
      <c r="V42" s="3689" t="s">
        <v>160</v>
      </c>
      <c r="W42" s="3689"/>
      <c r="X42" s="3689"/>
      <c r="Y42" s="3689"/>
      <c r="Z42" s="3689"/>
      <c r="AA42" s="3689"/>
      <c r="AB42" s="3689"/>
      <c r="AC42" s="3689"/>
      <c r="AD42" s="3696" t="s">
        <v>160</v>
      </c>
      <c r="AE42" s="3696"/>
      <c r="AF42" s="3697"/>
      <c r="AG42" s="2675">
        <f t="shared" si="0"/>
        <v>0</v>
      </c>
      <c r="AP42" s="2683">
        <f t="shared" si="2"/>
        <v>28</v>
      </c>
      <c r="AQ42" s="2684" t="str">
        <f t="shared" si="3"/>
        <v>Elatus Era</v>
      </c>
      <c r="AR42" s="2684"/>
      <c r="AS42" s="2684"/>
      <c r="AT42" s="2684"/>
      <c r="AU42" s="2684"/>
      <c r="AV42" s="2685">
        <f t="shared" si="4"/>
        <v>80.2</v>
      </c>
      <c r="AW42" s="2686" t="str">
        <f t="shared" si="4"/>
        <v>F</v>
      </c>
      <c r="AX42" s="2684"/>
      <c r="AY42" s="2683">
        <f t="shared" si="5"/>
        <v>78</v>
      </c>
      <c r="AZ42" s="2685" t="str">
        <f t="shared" si="6"/>
        <v>Proman</v>
      </c>
      <c r="BA42" s="2684"/>
      <c r="BB42" s="2685">
        <f t="shared" si="7"/>
        <v>35.1</v>
      </c>
      <c r="BC42" s="2686" t="str">
        <f t="shared" si="7"/>
        <v>H</v>
      </c>
      <c r="BD42" s="2684"/>
      <c r="BE42" s="2684"/>
      <c r="BF42" s="2687"/>
    </row>
    <row r="43" spans="1:205" s="2672" customFormat="1" ht="17.399999999999999">
      <c r="B43" s="1525">
        <f t="shared" si="1"/>
        <v>39</v>
      </c>
      <c r="C43" s="2658" t="s">
        <v>516</v>
      </c>
      <c r="D43" s="2673">
        <v>85.5</v>
      </c>
      <c r="E43" s="2660" t="s">
        <v>480</v>
      </c>
      <c r="F43" s="3688" t="s">
        <v>160</v>
      </c>
      <c r="G43" s="3689" t="s">
        <v>160</v>
      </c>
      <c r="H43" s="3689" t="s">
        <v>160</v>
      </c>
      <c r="I43" s="3689" t="s">
        <v>160</v>
      </c>
      <c r="J43" s="3689" t="s">
        <v>160</v>
      </c>
      <c r="K43" s="3689"/>
      <c r="L43" s="3689"/>
      <c r="M43" s="3689"/>
      <c r="N43" s="3689"/>
      <c r="O43" s="3689"/>
      <c r="P43" s="3689"/>
      <c r="Q43" s="3689"/>
      <c r="R43" s="3689"/>
      <c r="S43" s="3689"/>
      <c r="T43" s="3689"/>
      <c r="U43" s="3689"/>
      <c r="V43" s="3689"/>
      <c r="W43" s="3689"/>
      <c r="X43" s="3689"/>
      <c r="Y43" s="3689"/>
      <c r="Z43" s="3689"/>
      <c r="AA43" s="3689"/>
      <c r="AB43" s="3689"/>
      <c r="AC43" s="3689"/>
      <c r="AD43" s="3689" t="s">
        <v>160</v>
      </c>
      <c r="AE43" s="3689"/>
      <c r="AF43" s="3690"/>
      <c r="AG43" s="2675">
        <f t="shared" si="0"/>
        <v>0</v>
      </c>
      <c r="AP43" s="2683">
        <f t="shared" si="2"/>
        <v>29</v>
      </c>
      <c r="AQ43" s="2684" t="str">
        <f t="shared" si="3"/>
        <v/>
      </c>
      <c r="AR43" s="2684"/>
      <c r="AS43" s="2684"/>
      <c r="AT43" s="2684"/>
      <c r="AU43" s="2684"/>
      <c r="AV43" s="2685" t="str">
        <f t="shared" si="4"/>
        <v/>
      </c>
      <c r="AW43" s="2686" t="str">
        <f t="shared" si="4"/>
        <v/>
      </c>
      <c r="AX43" s="2684"/>
      <c r="AY43" s="2683">
        <f t="shared" si="5"/>
        <v>79</v>
      </c>
      <c r="AZ43" s="2685" t="str">
        <f t="shared" si="6"/>
        <v>Univoq</v>
      </c>
      <c r="BA43" s="2684"/>
      <c r="BB43" s="2685">
        <f t="shared" si="7"/>
        <v>45.4</v>
      </c>
      <c r="BC43" s="2686" t="str">
        <f t="shared" si="7"/>
        <v>F</v>
      </c>
      <c r="BD43" s="2684"/>
      <c r="BE43" s="2684"/>
      <c r="BF43" s="2687"/>
    </row>
    <row r="44" spans="1:205" s="2672" customFormat="1" ht="17.399999999999999">
      <c r="B44" s="1525">
        <f t="shared" si="1"/>
        <v>40</v>
      </c>
      <c r="C44" s="2658" t="s">
        <v>515</v>
      </c>
      <c r="D44" s="2673">
        <v>127.4</v>
      </c>
      <c r="E44" s="2660" t="s">
        <v>480</v>
      </c>
      <c r="F44" s="3688" t="s">
        <v>160</v>
      </c>
      <c r="G44" s="3689"/>
      <c r="H44" s="3689" t="s">
        <v>160</v>
      </c>
      <c r="I44" s="3689" t="s">
        <v>160</v>
      </c>
      <c r="J44" s="3689" t="s">
        <v>160</v>
      </c>
      <c r="K44" s="3689" t="s">
        <v>160</v>
      </c>
      <c r="L44" s="3689" t="s">
        <v>160</v>
      </c>
      <c r="M44" s="3689" t="s">
        <v>160</v>
      </c>
      <c r="N44" s="3689"/>
      <c r="O44" s="3689" t="s">
        <v>160</v>
      </c>
      <c r="P44" s="3689" t="s">
        <v>160</v>
      </c>
      <c r="Q44" s="3689"/>
      <c r="R44" s="3689"/>
      <c r="S44" s="3689"/>
      <c r="T44" s="3689"/>
      <c r="U44" s="3689"/>
      <c r="V44" s="3689"/>
      <c r="W44" s="3689"/>
      <c r="X44" s="3689"/>
      <c r="Y44" s="3689"/>
      <c r="Z44" s="3689"/>
      <c r="AA44" s="3689"/>
      <c r="AB44" s="3689"/>
      <c r="AC44" s="3689"/>
      <c r="AD44" s="3689" t="s">
        <v>160</v>
      </c>
      <c r="AE44" s="3689"/>
      <c r="AF44" s="3690"/>
      <c r="AG44" s="2675">
        <f t="shared" si="0"/>
        <v>0</v>
      </c>
      <c r="AP44" s="2683">
        <f t="shared" si="2"/>
        <v>30</v>
      </c>
      <c r="AQ44" s="2684" t="str">
        <f t="shared" si="3"/>
        <v>Elumis P Pack, Elumis</v>
      </c>
      <c r="AR44" s="2684"/>
      <c r="AS44" s="2684"/>
      <c r="AT44" s="2684"/>
      <c r="AU44" s="2684"/>
      <c r="AV44" s="2685">
        <f t="shared" si="4"/>
        <v>30</v>
      </c>
      <c r="AW44" s="2686" t="str">
        <f t="shared" si="4"/>
        <v>H</v>
      </c>
      <c r="AX44" s="2684"/>
      <c r="AY44" s="2683">
        <f t="shared" si="5"/>
        <v>80</v>
      </c>
      <c r="AZ44" s="2685" t="str">
        <f t="shared" si="6"/>
        <v/>
      </c>
      <c r="BA44" s="2684"/>
      <c r="BB44" s="2685" t="str">
        <f t="shared" si="7"/>
        <v/>
      </c>
      <c r="BC44" s="2686" t="str">
        <f t="shared" si="7"/>
        <v/>
      </c>
      <c r="BD44" s="2684"/>
      <c r="BE44" s="2684"/>
      <c r="BF44" s="2687"/>
    </row>
    <row r="45" spans="1:205" ht="17.399999999999999">
      <c r="B45" s="1525">
        <f t="shared" si="1"/>
        <v>41</v>
      </c>
      <c r="C45" s="2658" t="s">
        <v>514</v>
      </c>
      <c r="D45" s="2673">
        <v>30.6</v>
      </c>
      <c r="E45" s="2660" t="s">
        <v>482</v>
      </c>
      <c r="F45" s="3688"/>
      <c r="G45" s="3689"/>
      <c r="H45" s="3689"/>
      <c r="I45" s="3689"/>
      <c r="J45" s="3689"/>
      <c r="K45" s="3689"/>
      <c r="L45" s="3689"/>
      <c r="M45" s="3689"/>
      <c r="N45" s="3689"/>
      <c r="O45" s="3689"/>
      <c r="P45" s="3689"/>
      <c r="Q45" s="3689"/>
      <c r="R45" s="3689"/>
      <c r="S45" s="3689"/>
      <c r="T45" s="3689"/>
      <c r="U45" s="3689"/>
      <c r="V45" s="3689"/>
      <c r="W45" s="3689"/>
      <c r="X45" s="3689"/>
      <c r="Y45" s="3689"/>
      <c r="Z45" s="3689"/>
      <c r="AA45" s="3689"/>
      <c r="AB45" s="3689" t="s">
        <v>160</v>
      </c>
      <c r="AC45" s="3689"/>
      <c r="AD45" s="3689" t="s">
        <v>160</v>
      </c>
      <c r="AE45" s="3689"/>
      <c r="AF45" s="3690"/>
      <c r="AG45" s="1519">
        <f t="shared" si="0"/>
        <v>0</v>
      </c>
      <c r="AH45" s="2672"/>
      <c r="AI45" s="2672"/>
      <c r="AJ45" s="2672"/>
      <c r="AK45" s="2672"/>
      <c r="AL45" s="2672"/>
      <c r="AM45" s="2672"/>
      <c r="AN45" s="2672"/>
      <c r="AO45" s="2672"/>
      <c r="AP45" s="2683">
        <f t="shared" si="2"/>
        <v>31</v>
      </c>
      <c r="AQ45" s="2684" t="str">
        <f t="shared" si="3"/>
        <v>Elumis P Pack, Peak</v>
      </c>
      <c r="AR45" s="2684"/>
      <c r="AS45" s="2684"/>
      <c r="AT45" s="2684"/>
      <c r="AU45" s="2684"/>
      <c r="AV45" s="2685">
        <f t="shared" si="4"/>
        <v>880</v>
      </c>
      <c r="AW45" s="2686" t="str">
        <f t="shared" si="4"/>
        <v>H</v>
      </c>
      <c r="AX45" s="2684"/>
      <c r="AY45" s="2683">
        <f t="shared" si="5"/>
        <v>81</v>
      </c>
      <c r="AZ45" s="2685" t="str">
        <f t="shared" si="6"/>
        <v/>
      </c>
      <c r="BA45" s="2684"/>
      <c r="BB45" s="2685" t="str">
        <f t="shared" si="7"/>
        <v/>
      </c>
      <c r="BC45" s="2686" t="str">
        <f t="shared" si="7"/>
        <v/>
      </c>
      <c r="BD45" s="2684"/>
      <c r="BE45" s="2684"/>
      <c r="BF45" s="2687"/>
      <c r="BG45" s="2672"/>
      <c r="BH45" s="2672"/>
      <c r="BI45" s="2672"/>
      <c r="BJ45" s="2672"/>
      <c r="BK45" s="2672"/>
      <c r="BL45" s="2672"/>
      <c r="BM45" s="2672"/>
      <c r="BN45" s="2672"/>
      <c r="BO45" s="2672"/>
      <c r="BP45" s="2672"/>
      <c r="BQ45" s="2672"/>
      <c r="BR45" s="2672"/>
      <c r="BS45" s="2672"/>
      <c r="BT45" s="2672"/>
      <c r="BU45" s="2672"/>
      <c r="BV45" s="2672"/>
      <c r="BW45" s="2672"/>
      <c r="BX45" s="2672"/>
      <c r="BY45" s="2672"/>
      <c r="BZ45" s="2672"/>
      <c r="CA45" s="2672"/>
      <c r="CB45" s="2672"/>
      <c r="CC45" s="2672"/>
      <c r="CD45" s="2672"/>
      <c r="CE45" s="2672"/>
      <c r="CF45" s="2672"/>
      <c r="CG45" s="2672"/>
      <c r="CH45" s="2672"/>
      <c r="CI45" s="2672"/>
      <c r="CJ45" s="2672"/>
      <c r="CK45" s="2672"/>
      <c r="CL45" s="2672"/>
      <c r="CM45" s="2672"/>
      <c r="CN45" s="2672"/>
      <c r="CO45" s="2672"/>
      <c r="CP45" s="2672"/>
      <c r="CQ45" s="2672"/>
      <c r="CR45" s="2672"/>
      <c r="CS45" s="2672"/>
      <c r="CT45" s="2672"/>
      <c r="CU45" s="2672"/>
      <c r="CV45" s="2672"/>
      <c r="CW45" s="2672"/>
      <c r="CX45" s="2672"/>
      <c r="CY45" s="2672"/>
      <c r="CZ45" s="2672"/>
      <c r="DA45" s="2672"/>
      <c r="DB45" s="2672"/>
      <c r="DC45" s="2672"/>
      <c r="DD45" s="2672"/>
      <c r="DE45" s="2672"/>
      <c r="DF45" s="2672"/>
      <c r="DG45" s="2672"/>
      <c r="DH45" s="2672"/>
      <c r="DI45" s="2672"/>
      <c r="DJ45" s="2672"/>
      <c r="DK45" s="2672"/>
      <c r="DL45" s="2672"/>
      <c r="DM45" s="2672"/>
      <c r="DN45" s="2672"/>
      <c r="DO45" s="2672"/>
      <c r="DP45" s="2672"/>
      <c r="DQ45" s="2672"/>
      <c r="DR45" s="2672"/>
      <c r="DS45" s="2672"/>
      <c r="DT45" s="2672"/>
      <c r="DU45" s="2672"/>
      <c r="DV45" s="2672"/>
      <c r="DW45" s="2672"/>
      <c r="DX45" s="2672"/>
      <c r="DY45" s="2672"/>
      <c r="DZ45" s="2672"/>
      <c r="EA45" s="2672"/>
      <c r="EB45" s="2672"/>
      <c r="EC45" s="2672"/>
      <c r="ED45" s="2672"/>
      <c r="EE45" s="2672"/>
      <c r="EF45" s="2672"/>
      <c r="EG45" s="2672"/>
      <c r="EH45" s="2672"/>
      <c r="EI45" s="2672"/>
      <c r="EJ45" s="2672"/>
      <c r="EK45" s="2672"/>
      <c r="EL45" s="2672"/>
      <c r="EM45" s="2672"/>
      <c r="EN45" s="2672"/>
      <c r="EO45" s="2672"/>
      <c r="EP45" s="2672"/>
      <c r="EQ45" s="2672"/>
      <c r="ER45" s="2672"/>
      <c r="ES45" s="2672"/>
      <c r="ET45" s="2672"/>
      <c r="EU45" s="2672"/>
      <c r="EV45" s="2672"/>
      <c r="EW45" s="2672"/>
      <c r="EX45" s="2672"/>
      <c r="EY45" s="2672"/>
      <c r="EZ45" s="2672"/>
      <c r="FA45" s="2672"/>
      <c r="FB45" s="2672"/>
      <c r="FC45" s="2672"/>
      <c r="FD45" s="2672"/>
      <c r="FE45" s="2672"/>
      <c r="FF45" s="2672"/>
      <c r="FG45" s="2672"/>
      <c r="FH45" s="2672"/>
      <c r="FI45" s="2672"/>
      <c r="FJ45" s="2672"/>
      <c r="FK45" s="2672"/>
      <c r="FL45" s="2672"/>
      <c r="FM45" s="2672"/>
      <c r="FN45" s="2672"/>
      <c r="FO45" s="2672"/>
      <c r="FP45" s="2672"/>
      <c r="FQ45" s="2672"/>
      <c r="FR45" s="2672"/>
      <c r="FS45" s="2672"/>
      <c r="FT45" s="2672"/>
      <c r="FU45" s="2672"/>
      <c r="FV45" s="2672"/>
      <c r="FW45" s="2672"/>
      <c r="FX45" s="2672"/>
      <c r="FY45" s="2672"/>
      <c r="FZ45" s="2672"/>
      <c r="GA45" s="2672"/>
      <c r="GB45" s="2672"/>
      <c r="GC45" s="2672"/>
      <c r="GD45" s="2672"/>
      <c r="GE45" s="2672"/>
      <c r="GF45" s="2672"/>
      <c r="GG45" s="2672"/>
      <c r="GH45" s="2672"/>
      <c r="GI45" s="2672"/>
      <c r="GJ45" s="2672"/>
      <c r="GK45" s="2672"/>
      <c r="GL45" s="2672"/>
      <c r="GM45" s="2672"/>
      <c r="GN45" s="2672"/>
      <c r="GO45" s="2672"/>
      <c r="GP45" s="2672"/>
      <c r="GQ45" s="2672"/>
      <c r="GR45" s="2672"/>
      <c r="GS45" s="2672"/>
      <c r="GT45" s="2672"/>
      <c r="GU45" s="2672"/>
      <c r="GV45" s="2672"/>
      <c r="GW45" s="2672"/>
    </row>
    <row r="46" spans="1:205" ht="17.399999999999999">
      <c r="B46" s="1525">
        <f t="shared" si="1"/>
        <v>42</v>
      </c>
      <c r="C46" s="2658" t="s">
        <v>513</v>
      </c>
      <c r="D46" s="2673">
        <v>65</v>
      </c>
      <c r="E46" s="2660" t="s">
        <v>482</v>
      </c>
      <c r="F46" s="3688" t="s">
        <v>160</v>
      </c>
      <c r="G46" s="3689" t="s">
        <v>160</v>
      </c>
      <c r="H46" s="3689" t="s">
        <v>160</v>
      </c>
      <c r="I46" s="3689" t="s">
        <v>160</v>
      </c>
      <c r="J46" s="3689" t="s">
        <v>160</v>
      </c>
      <c r="K46" s="3689" t="s">
        <v>160</v>
      </c>
      <c r="L46" s="3689" t="s">
        <v>160</v>
      </c>
      <c r="M46" s="3689" t="s">
        <v>160</v>
      </c>
      <c r="N46" s="3689"/>
      <c r="O46" s="3689" t="s">
        <v>160</v>
      </c>
      <c r="P46" s="3689" t="s">
        <v>160</v>
      </c>
      <c r="Q46" s="3689"/>
      <c r="R46" s="3689"/>
      <c r="S46" s="3689"/>
      <c r="T46" s="3689"/>
      <c r="U46" s="3689"/>
      <c r="V46" s="3689"/>
      <c r="W46" s="3689"/>
      <c r="X46" s="3689"/>
      <c r="Y46" s="3689"/>
      <c r="Z46" s="3689"/>
      <c r="AA46" s="3689"/>
      <c r="AB46" s="3689"/>
      <c r="AC46" s="3689"/>
      <c r="AD46" s="3696" t="s">
        <v>160</v>
      </c>
      <c r="AE46" s="3696"/>
      <c r="AF46" s="3697"/>
      <c r="AG46" s="1519">
        <f t="shared" si="0"/>
        <v>0</v>
      </c>
      <c r="AH46" s="2672"/>
      <c r="AI46" s="2672"/>
      <c r="AJ46" s="2672"/>
      <c r="AK46" s="2672"/>
      <c r="AL46" s="2672"/>
      <c r="AM46" s="2672"/>
      <c r="AN46" s="2672"/>
      <c r="AO46" s="2672"/>
      <c r="AP46" s="2683">
        <f t="shared" si="2"/>
        <v>32</v>
      </c>
      <c r="AQ46" s="2684" t="str">
        <f t="shared" si="3"/>
        <v>Fandango</v>
      </c>
      <c r="AR46" s="2684"/>
      <c r="AS46" s="2684"/>
      <c r="AT46" s="2684"/>
      <c r="AU46" s="2684"/>
      <c r="AV46" s="2685">
        <f t="shared" si="4"/>
        <v>65.2</v>
      </c>
      <c r="AW46" s="2686" t="str">
        <f t="shared" si="4"/>
        <v>F</v>
      </c>
      <c r="AX46" s="2684"/>
      <c r="AY46" s="2683">
        <f t="shared" si="5"/>
        <v>82</v>
      </c>
      <c r="AZ46" s="2685" t="str">
        <f t="shared" si="6"/>
        <v/>
      </c>
      <c r="BA46" s="2684"/>
      <c r="BB46" s="2685" t="str">
        <f t="shared" si="7"/>
        <v/>
      </c>
      <c r="BC46" s="2686" t="str">
        <f t="shared" si="7"/>
        <v/>
      </c>
      <c r="BD46" s="2684"/>
      <c r="BE46" s="2684"/>
      <c r="BF46" s="2687"/>
      <c r="BG46" s="2672"/>
      <c r="BH46" s="2672"/>
      <c r="BI46" s="2672"/>
      <c r="BJ46" s="2672"/>
      <c r="BK46" s="2672"/>
      <c r="BL46" s="2672"/>
      <c r="BM46" s="2672"/>
      <c r="BN46" s="2672"/>
      <c r="BO46" s="2672"/>
      <c r="BP46" s="2672"/>
      <c r="BQ46" s="2672"/>
      <c r="BR46" s="2672"/>
      <c r="BS46" s="2672"/>
      <c r="BT46" s="2672"/>
      <c r="BU46" s="2672"/>
      <c r="BV46" s="2672"/>
      <c r="BW46" s="2672"/>
      <c r="BX46" s="2672"/>
      <c r="BY46" s="2672"/>
      <c r="BZ46" s="2672"/>
      <c r="CA46" s="2672"/>
      <c r="CB46" s="2672"/>
      <c r="CC46" s="2672"/>
      <c r="CD46" s="2672"/>
      <c r="CE46" s="2672"/>
      <c r="CF46" s="2672"/>
      <c r="CG46" s="2672"/>
      <c r="CH46" s="2672"/>
      <c r="CI46" s="2672"/>
      <c r="CJ46" s="2672"/>
      <c r="CK46" s="2672"/>
      <c r="CL46" s="2672"/>
      <c r="CM46" s="2672"/>
      <c r="CN46" s="2672"/>
      <c r="CO46" s="2672"/>
      <c r="CP46" s="2672"/>
      <c r="CQ46" s="2672"/>
      <c r="CR46" s="2672"/>
      <c r="CS46" s="2672"/>
      <c r="CT46" s="2672"/>
      <c r="CU46" s="2672"/>
      <c r="CV46" s="2672"/>
      <c r="CW46" s="2672"/>
      <c r="CX46" s="2672"/>
      <c r="CY46" s="2672"/>
      <c r="CZ46" s="2672"/>
      <c r="DA46" s="2672"/>
      <c r="DB46" s="2672"/>
      <c r="DC46" s="2672"/>
      <c r="DD46" s="2672"/>
      <c r="DE46" s="2672"/>
      <c r="DF46" s="2672"/>
      <c r="DG46" s="2672"/>
      <c r="DH46" s="2672"/>
      <c r="DI46" s="2672"/>
      <c r="DJ46" s="2672"/>
      <c r="DK46" s="2672"/>
      <c r="DL46" s="2672"/>
      <c r="DM46" s="2672"/>
      <c r="DN46" s="2672"/>
      <c r="DO46" s="2672"/>
      <c r="DP46" s="2672"/>
      <c r="DQ46" s="2672"/>
      <c r="DR46" s="2672"/>
      <c r="DS46" s="2672"/>
      <c r="DT46" s="2672"/>
      <c r="DU46" s="2672"/>
      <c r="DV46" s="2672"/>
      <c r="DW46" s="2672"/>
      <c r="DX46" s="2672"/>
      <c r="DY46" s="2672"/>
      <c r="DZ46" s="2672"/>
      <c r="EA46" s="2672"/>
      <c r="EB46" s="2672"/>
      <c r="EC46" s="2672"/>
      <c r="ED46" s="2672"/>
      <c r="EE46" s="2672"/>
      <c r="EF46" s="2672"/>
      <c r="EG46" s="2672"/>
      <c r="EH46" s="2672"/>
      <c r="EI46" s="2672"/>
      <c r="EJ46" s="2672"/>
      <c r="EK46" s="2672"/>
      <c r="EL46" s="2672"/>
      <c r="EM46" s="2672"/>
      <c r="EN46" s="2672"/>
      <c r="EO46" s="2672"/>
      <c r="EP46" s="2672"/>
      <c r="EQ46" s="2672"/>
      <c r="ER46" s="2672"/>
      <c r="ES46" s="2672"/>
      <c r="ET46" s="2672"/>
      <c r="EU46" s="2672"/>
      <c r="EV46" s="2672"/>
      <c r="EW46" s="2672"/>
      <c r="EX46" s="2672"/>
      <c r="EY46" s="2672"/>
      <c r="EZ46" s="2672"/>
      <c r="FA46" s="2672"/>
      <c r="FB46" s="2672"/>
      <c r="FC46" s="2672"/>
      <c r="FD46" s="2672"/>
      <c r="FE46" s="2672"/>
      <c r="FF46" s="2672"/>
      <c r="FG46" s="2672"/>
      <c r="FH46" s="2672"/>
      <c r="FI46" s="2672"/>
      <c r="FJ46" s="2672"/>
      <c r="FK46" s="2672"/>
      <c r="FL46" s="2672"/>
      <c r="FM46" s="2672"/>
      <c r="FN46" s="2672"/>
      <c r="FO46" s="2672"/>
      <c r="FP46" s="2672"/>
      <c r="FQ46" s="2672"/>
      <c r="FR46" s="2672"/>
      <c r="FS46" s="2672"/>
      <c r="FT46" s="2672"/>
      <c r="FU46" s="2672"/>
      <c r="FV46" s="2672"/>
      <c r="FW46" s="2672"/>
      <c r="FX46" s="2672"/>
      <c r="FY46" s="2672"/>
      <c r="FZ46" s="2672"/>
      <c r="GA46" s="2672"/>
      <c r="GB46" s="2672"/>
      <c r="GC46" s="2672"/>
      <c r="GD46" s="2672"/>
      <c r="GE46" s="2672"/>
      <c r="GF46" s="2672"/>
      <c r="GG46" s="2672"/>
      <c r="GH46" s="2672"/>
      <c r="GI46" s="2672"/>
      <c r="GJ46" s="2672"/>
      <c r="GK46" s="2672"/>
      <c r="GL46" s="2672"/>
      <c r="GM46" s="2672"/>
      <c r="GN46" s="2672"/>
      <c r="GO46" s="2672"/>
      <c r="GP46" s="2672"/>
      <c r="GQ46" s="2672"/>
      <c r="GR46" s="2672"/>
      <c r="GS46" s="2672"/>
      <c r="GT46" s="2672"/>
      <c r="GU46" s="2672"/>
      <c r="GV46" s="2672"/>
      <c r="GW46" s="2672"/>
    </row>
    <row r="47" spans="1:205" ht="17.399999999999999">
      <c r="B47" s="1525">
        <f t="shared" si="1"/>
        <v>43</v>
      </c>
      <c r="C47" s="2658" t="s">
        <v>512</v>
      </c>
      <c r="D47" s="2673">
        <v>67.7</v>
      </c>
      <c r="E47" s="2660" t="s">
        <v>482</v>
      </c>
      <c r="F47" s="3688" t="s">
        <v>160</v>
      </c>
      <c r="G47" s="3689" t="s">
        <v>160</v>
      </c>
      <c r="H47" s="3689" t="s">
        <v>160</v>
      </c>
      <c r="I47" s="3689" t="s">
        <v>160</v>
      </c>
      <c r="J47" s="3689" t="s">
        <v>160</v>
      </c>
      <c r="K47" s="3689" t="s">
        <v>160</v>
      </c>
      <c r="L47" s="3689" t="s">
        <v>160</v>
      </c>
      <c r="M47" s="3689" t="s">
        <v>160</v>
      </c>
      <c r="N47" s="3689"/>
      <c r="O47" s="3689" t="s">
        <v>160</v>
      </c>
      <c r="P47" s="3689" t="s">
        <v>160</v>
      </c>
      <c r="Q47" s="3689"/>
      <c r="R47" s="3689"/>
      <c r="S47" s="3689"/>
      <c r="T47" s="3689"/>
      <c r="U47" s="3689"/>
      <c r="V47" s="3689"/>
      <c r="W47" s="3689"/>
      <c r="X47" s="3689"/>
      <c r="Y47" s="3689"/>
      <c r="Z47" s="3689"/>
      <c r="AA47" s="3689"/>
      <c r="AB47" s="3689"/>
      <c r="AC47" s="3689"/>
      <c r="AD47" s="3689" t="s">
        <v>160</v>
      </c>
      <c r="AE47" s="3689"/>
      <c r="AF47" s="3690"/>
      <c r="AG47" s="1519">
        <f t="shared" si="0"/>
        <v>0</v>
      </c>
      <c r="AH47" s="2672"/>
      <c r="AI47" s="2672"/>
      <c r="AJ47" s="2672"/>
      <c r="AK47" s="2672"/>
      <c r="AL47" s="2672"/>
      <c r="AM47" s="2672"/>
      <c r="AN47" s="2672"/>
      <c r="AO47" s="2672"/>
      <c r="AP47" s="2683">
        <f t="shared" si="2"/>
        <v>33</v>
      </c>
      <c r="AQ47" s="2684" t="str">
        <f t="shared" si="3"/>
        <v>Focus Aktiv Pack, Focus Ultra</v>
      </c>
      <c r="AR47" s="2684"/>
      <c r="AS47" s="2684"/>
      <c r="AT47" s="2684"/>
      <c r="AU47" s="2684"/>
      <c r="AV47" s="2685">
        <f t="shared" ref="AV47:AW64" si="8">IF(D37="","",D37)</f>
        <v>20</v>
      </c>
      <c r="AW47" s="2686" t="str">
        <f t="shared" si="8"/>
        <v>H</v>
      </c>
      <c r="AX47" s="2684"/>
      <c r="AY47" s="2683">
        <f t="shared" si="5"/>
        <v>83</v>
      </c>
      <c r="AZ47" s="2685" t="str">
        <f t="shared" si="6"/>
        <v/>
      </c>
      <c r="BA47" s="2684"/>
      <c r="BB47" s="2685" t="str">
        <f t="shared" ref="BB47:BC64" si="9">IF(D87="","",D87)</f>
        <v/>
      </c>
      <c r="BC47" s="2686" t="str">
        <f t="shared" si="9"/>
        <v/>
      </c>
      <c r="BD47" s="2684"/>
      <c r="BE47" s="2684"/>
      <c r="BF47" s="2687"/>
      <c r="BG47" s="2672"/>
      <c r="BH47" s="2672"/>
      <c r="BI47" s="2672"/>
      <c r="BJ47" s="2672"/>
      <c r="BK47" s="2672"/>
      <c r="BL47" s="2672"/>
      <c r="BM47" s="2672"/>
      <c r="BN47" s="2672"/>
      <c r="BO47" s="2672"/>
      <c r="BP47" s="2672"/>
      <c r="BQ47" s="2672"/>
      <c r="BR47" s="2672"/>
      <c r="BS47" s="2672"/>
      <c r="BT47" s="2672"/>
      <c r="BU47" s="2672"/>
      <c r="BV47" s="2672"/>
      <c r="BW47" s="2672"/>
      <c r="BX47" s="2672"/>
      <c r="BY47" s="2672"/>
      <c r="BZ47" s="2672"/>
      <c r="CA47" s="2672"/>
      <c r="CB47" s="2672"/>
      <c r="CC47" s="2672"/>
      <c r="CD47" s="2672"/>
      <c r="CE47" s="2672"/>
      <c r="CF47" s="2672"/>
      <c r="CG47" s="2672"/>
      <c r="CH47" s="2672"/>
      <c r="CI47" s="2672"/>
      <c r="CJ47" s="2672"/>
      <c r="CK47" s="2672"/>
      <c r="CL47" s="2672"/>
      <c r="CM47" s="2672"/>
      <c r="CN47" s="2672"/>
      <c r="CO47" s="2672"/>
      <c r="CP47" s="2672"/>
      <c r="CQ47" s="2672"/>
      <c r="CR47" s="2672"/>
      <c r="CS47" s="2672"/>
      <c r="CT47" s="2672"/>
      <c r="CU47" s="2672"/>
      <c r="CV47" s="2672"/>
      <c r="CW47" s="2672"/>
      <c r="CX47" s="2672"/>
      <c r="CY47" s="2672"/>
      <c r="CZ47" s="2672"/>
      <c r="DA47" s="2672"/>
      <c r="DB47" s="2672"/>
      <c r="DC47" s="2672"/>
      <c r="DD47" s="2672"/>
      <c r="DE47" s="2672"/>
      <c r="DF47" s="2672"/>
      <c r="DG47" s="2672"/>
      <c r="DH47" s="2672"/>
      <c r="DI47" s="2672"/>
      <c r="DJ47" s="2672"/>
      <c r="DK47" s="2672"/>
      <c r="DL47" s="2672"/>
      <c r="DM47" s="2672"/>
      <c r="DN47" s="2672"/>
      <c r="DO47" s="2672"/>
      <c r="DP47" s="2672"/>
      <c r="DQ47" s="2672"/>
      <c r="DR47" s="2672"/>
      <c r="DS47" s="2672"/>
      <c r="DT47" s="2672"/>
      <c r="DU47" s="2672"/>
      <c r="DV47" s="2672"/>
      <c r="DW47" s="2672"/>
      <c r="DX47" s="2672"/>
      <c r="DY47" s="2672"/>
      <c r="DZ47" s="2672"/>
      <c r="EA47" s="2672"/>
      <c r="EB47" s="2672"/>
      <c r="EC47" s="2672"/>
      <c r="ED47" s="2672"/>
      <c r="EE47" s="2672"/>
      <c r="EF47" s="2672"/>
      <c r="EG47" s="2672"/>
      <c r="EH47" s="2672"/>
      <c r="EI47" s="2672"/>
      <c r="EJ47" s="2672"/>
      <c r="EK47" s="2672"/>
      <c r="EL47" s="2672"/>
      <c r="EM47" s="2672"/>
      <c r="EN47" s="2672"/>
      <c r="EO47" s="2672"/>
      <c r="EP47" s="2672"/>
      <c r="EQ47" s="2672"/>
      <c r="ER47" s="2672"/>
      <c r="ES47" s="2672"/>
      <c r="ET47" s="2672"/>
      <c r="EU47" s="2672"/>
      <c r="EV47" s="2672"/>
      <c r="EW47" s="2672"/>
      <c r="EX47" s="2672"/>
      <c r="EY47" s="2672"/>
      <c r="EZ47" s="2672"/>
      <c r="FA47" s="2672"/>
      <c r="FB47" s="2672"/>
      <c r="FC47" s="2672"/>
      <c r="FD47" s="2672"/>
      <c r="FE47" s="2672"/>
      <c r="FF47" s="2672"/>
      <c r="FG47" s="2672"/>
      <c r="FH47" s="2672"/>
      <c r="FI47" s="2672"/>
      <c r="FJ47" s="2672"/>
      <c r="FK47" s="2672"/>
      <c r="FL47" s="2672"/>
      <c r="FM47" s="2672"/>
      <c r="FN47" s="2672"/>
      <c r="FO47" s="2672"/>
      <c r="FP47" s="2672"/>
      <c r="FQ47" s="2672"/>
      <c r="FR47" s="2672"/>
      <c r="FS47" s="2672"/>
      <c r="FT47" s="2672"/>
      <c r="FU47" s="2672"/>
      <c r="FV47" s="2672"/>
      <c r="FW47" s="2672"/>
      <c r="FX47" s="2672"/>
      <c r="FY47" s="2672"/>
      <c r="FZ47" s="2672"/>
      <c r="GA47" s="2672"/>
      <c r="GB47" s="2672"/>
      <c r="GC47" s="2672"/>
      <c r="GD47" s="2672"/>
      <c r="GE47" s="2672"/>
      <c r="GF47" s="2672"/>
      <c r="GG47" s="2672"/>
      <c r="GH47" s="2672"/>
      <c r="GI47" s="2672"/>
      <c r="GJ47" s="2672"/>
      <c r="GK47" s="2672"/>
      <c r="GL47" s="2672"/>
      <c r="GM47" s="2672"/>
      <c r="GN47" s="2672"/>
      <c r="GO47" s="2672"/>
      <c r="GP47" s="2672"/>
      <c r="GQ47" s="2672"/>
      <c r="GR47" s="2672"/>
      <c r="GS47" s="2672"/>
      <c r="GT47" s="2672"/>
      <c r="GU47" s="2672"/>
      <c r="GV47" s="2672"/>
      <c r="GW47" s="2672"/>
    </row>
    <row r="48" spans="1:205" s="2672" customFormat="1" ht="17.399999999999999">
      <c r="B48" s="1525">
        <f t="shared" si="1"/>
        <v>44</v>
      </c>
      <c r="C48" s="2658" t="s">
        <v>1500</v>
      </c>
      <c r="D48" s="2673">
        <v>24.1</v>
      </c>
      <c r="E48" s="2660" t="s">
        <v>480</v>
      </c>
      <c r="F48" s="3688"/>
      <c r="G48" s="3689"/>
      <c r="H48" s="3689"/>
      <c r="I48" s="3689"/>
      <c r="J48" s="3689"/>
      <c r="K48" s="3689"/>
      <c r="L48" s="3689"/>
      <c r="M48" s="3689"/>
      <c r="N48" s="3689"/>
      <c r="O48" s="3689"/>
      <c r="P48" s="3689"/>
      <c r="Q48" s="3689"/>
      <c r="R48" s="3689"/>
      <c r="S48" s="3689"/>
      <c r="T48" s="3689"/>
      <c r="U48" s="3689"/>
      <c r="V48" s="3689"/>
      <c r="W48" s="3689"/>
      <c r="X48" s="3689"/>
      <c r="Y48" s="3689"/>
      <c r="Z48" s="3689"/>
      <c r="AA48" s="3689" t="s">
        <v>160</v>
      </c>
      <c r="AB48" s="3689"/>
      <c r="AC48" s="3689"/>
      <c r="AD48" s="3689" t="s">
        <v>160</v>
      </c>
      <c r="AE48" s="3689"/>
      <c r="AF48" s="3690"/>
      <c r="AG48" s="2675">
        <f t="shared" si="0"/>
        <v>0</v>
      </c>
      <c r="AP48" s="2683">
        <f t="shared" si="2"/>
        <v>34</v>
      </c>
      <c r="AQ48" s="2684" t="str">
        <f t="shared" si="3"/>
        <v>Folicur</v>
      </c>
      <c r="AR48" s="2684"/>
      <c r="AS48" s="2684"/>
      <c r="AT48" s="2684"/>
      <c r="AU48" s="2684"/>
      <c r="AV48" s="2685">
        <f t="shared" si="8"/>
        <v>28</v>
      </c>
      <c r="AW48" s="2686" t="str">
        <f t="shared" si="8"/>
        <v>F</v>
      </c>
      <c r="AX48" s="2684"/>
      <c r="AY48" s="2683">
        <f t="shared" si="5"/>
        <v>84</v>
      </c>
      <c r="AZ48" s="2685" t="str">
        <f t="shared" si="6"/>
        <v/>
      </c>
      <c r="BA48" s="2684"/>
      <c r="BB48" s="2685" t="str">
        <f t="shared" si="9"/>
        <v/>
      </c>
      <c r="BC48" s="2686" t="str">
        <f t="shared" si="9"/>
        <v/>
      </c>
      <c r="BD48" s="2684"/>
      <c r="BE48" s="2684"/>
      <c r="BF48" s="2687"/>
    </row>
    <row r="49" spans="1:205" ht="17.399999999999999">
      <c r="B49" s="1525">
        <f t="shared" si="1"/>
        <v>45</v>
      </c>
      <c r="C49" s="2658" t="s">
        <v>510</v>
      </c>
      <c r="D49" s="2673">
        <v>150</v>
      </c>
      <c r="E49" s="2660" t="s">
        <v>477</v>
      </c>
      <c r="F49" s="3688" t="s">
        <v>160</v>
      </c>
      <c r="G49" s="3689" t="s">
        <v>160</v>
      </c>
      <c r="H49" s="3689" t="s">
        <v>160</v>
      </c>
      <c r="I49" s="3689" t="s">
        <v>160</v>
      </c>
      <c r="J49" s="3689" t="s">
        <v>160</v>
      </c>
      <c r="K49" s="3689" t="s">
        <v>160</v>
      </c>
      <c r="L49" s="3689" t="s">
        <v>160</v>
      </c>
      <c r="M49" s="3689" t="s">
        <v>160</v>
      </c>
      <c r="N49" s="3689" t="s">
        <v>160</v>
      </c>
      <c r="O49" s="3689" t="s">
        <v>160</v>
      </c>
      <c r="P49" s="3689" t="s">
        <v>160</v>
      </c>
      <c r="Q49" s="3689"/>
      <c r="R49" s="3689" t="s">
        <v>160</v>
      </c>
      <c r="S49" s="3689" t="s">
        <v>160</v>
      </c>
      <c r="T49" s="3689" t="s">
        <v>160</v>
      </c>
      <c r="U49" s="3689" t="s">
        <v>160</v>
      </c>
      <c r="V49" s="3689"/>
      <c r="W49" s="3689"/>
      <c r="X49" s="3689" t="s">
        <v>160</v>
      </c>
      <c r="Y49" s="3689" t="s">
        <v>160</v>
      </c>
      <c r="Z49" s="3689"/>
      <c r="AA49" s="3689" t="s">
        <v>160</v>
      </c>
      <c r="AB49" s="3689" t="s">
        <v>160</v>
      </c>
      <c r="AC49" s="3689"/>
      <c r="AD49" s="3689" t="s">
        <v>160</v>
      </c>
      <c r="AE49" s="3689"/>
      <c r="AF49" s="3690"/>
      <c r="AG49" s="1519">
        <f t="shared" si="0"/>
        <v>1</v>
      </c>
      <c r="AH49" s="2672"/>
      <c r="AI49" s="2672"/>
      <c r="AJ49" s="2672"/>
      <c r="AK49" s="2672"/>
      <c r="AL49" s="2672"/>
      <c r="AM49" s="2672"/>
      <c r="AN49" s="2672"/>
      <c r="AO49" s="2672"/>
      <c r="AP49" s="2683">
        <f t="shared" si="2"/>
        <v>35</v>
      </c>
      <c r="AQ49" s="2684" t="str">
        <f t="shared" si="3"/>
        <v>Fusilade MAX</v>
      </c>
      <c r="AR49" s="2684"/>
      <c r="AS49" s="2684"/>
      <c r="AT49" s="2684"/>
      <c r="AU49" s="2684"/>
      <c r="AV49" s="2685">
        <f t="shared" si="8"/>
        <v>33</v>
      </c>
      <c r="AW49" s="2686" t="str">
        <f t="shared" si="8"/>
        <v>H</v>
      </c>
      <c r="AX49" s="2684"/>
      <c r="AY49" s="2683">
        <f t="shared" si="5"/>
        <v>85</v>
      </c>
      <c r="AZ49" s="2685" t="str">
        <f t="shared" si="6"/>
        <v/>
      </c>
      <c r="BA49" s="2684"/>
      <c r="BB49" s="2685" t="str">
        <f t="shared" si="9"/>
        <v/>
      </c>
      <c r="BC49" s="2686" t="str">
        <f t="shared" si="9"/>
        <v/>
      </c>
      <c r="BD49" s="2684"/>
      <c r="BE49" s="2684"/>
      <c r="BF49" s="2687"/>
      <c r="BG49" s="2672"/>
      <c r="BH49" s="2672"/>
      <c r="BI49" s="2672"/>
      <c r="BJ49" s="2672"/>
      <c r="BK49" s="2672"/>
      <c r="BL49" s="2672"/>
      <c r="BM49" s="2672"/>
      <c r="BN49" s="2672"/>
      <c r="BO49" s="2672"/>
      <c r="BP49" s="2672"/>
      <c r="BQ49" s="2672"/>
      <c r="BR49" s="2672"/>
      <c r="BS49" s="2672"/>
      <c r="BT49" s="2672"/>
      <c r="BU49" s="2672"/>
      <c r="BV49" s="2672"/>
      <c r="BW49" s="2672"/>
      <c r="BX49" s="2672"/>
      <c r="BY49" s="2672"/>
      <c r="BZ49" s="2672"/>
      <c r="CA49" s="2672"/>
      <c r="CB49" s="2672"/>
      <c r="CC49" s="2672"/>
      <c r="CD49" s="2672"/>
      <c r="CE49" s="2672"/>
      <c r="CF49" s="2672"/>
      <c r="CG49" s="2672"/>
      <c r="CH49" s="2672"/>
      <c r="CI49" s="2672"/>
      <c r="CJ49" s="2672"/>
      <c r="CK49" s="2672"/>
      <c r="CL49" s="2672"/>
      <c r="CM49" s="2672"/>
      <c r="CN49" s="2672"/>
      <c r="CO49" s="2672"/>
      <c r="CP49" s="2672"/>
      <c r="CQ49" s="2672"/>
      <c r="CR49" s="2672"/>
      <c r="CS49" s="2672"/>
      <c r="CT49" s="2672"/>
      <c r="CU49" s="2672"/>
      <c r="CV49" s="2672"/>
      <c r="CW49" s="2672"/>
      <c r="CX49" s="2672"/>
      <c r="CY49" s="2672"/>
      <c r="CZ49" s="2672"/>
      <c r="DA49" s="2672"/>
      <c r="DB49" s="2672"/>
      <c r="DC49" s="2672"/>
      <c r="DD49" s="2672"/>
      <c r="DE49" s="2672"/>
      <c r="DF49" s="2672"/>
      <c r="DG49" s="2672"/>
      <c r="DH49" s="2672"/>
      <c r="DI49" s="2672"/>
      <c r="DJ49" s="2672"/>
      <c r="DK49" s="2672"/>
      <c r="DL49" s="2672"/>
      <c r="DM49" s="2672"/>
      <c r="DN49" s="2672"/>
      <c r="DO49" s="2672"/>
      <c r="DP49" s="2672"/>
      <c r="DQ49" s="2672"/>
      <c r="DR49" s="2672"/>
      <c r="DS49" s="2672"/>
      <c r="DT49" s="2672"/>
      <c r="DU49" s="2672"/>
      <c r="DV49" s="2672"/>
      <c r="DW49" s="2672"/>
      <c r="DX49" s="2672"/>
      <c r="DY49" s="2672"/>
      <c r="DZ49" s="2672"/>
      <c r="EA49" s="2672"/>
      <c r="EB49" s="2672"/>
      <c r="EC49" s="2672"/>
      <c r="ED49" s="2672"/>
      <c r="EE49" s="2672"/>
      <c r="EF49" s="2672"/>
      <c r="EG49" s="2672"/>
      <c r="EH49" s="2672"/>
      <c r="EI49" s="2672"/>
      <c r="EJ49" s="2672"/>
      <c r="EK49" s="2672"/>
      <c r="EL49" s="2672"/>
      <c r="EM49" s="2672"/>
      <c r="EN49" s="2672"/>
      <c r="EO49" s="2672"/>
      <c r="EP49" s="2672"/>
      <c r="EQ49" s="2672"/>
      <c r="ER49" s="2672"/>
      <c r="ES49" s="2672"/>
      <c r="ET49" s="2672"/>
      <c r="EU49" s="2672"/>
      <c r="EV49" s="2672"/>
      <c r="EW49" s="2672"/>
      <c r="EX49" s="2672"/>
      <c r="EY49" s="2672"/>
      <c r="EZ49" s="2672"/>
      <c r="FA49" s="2672"/>
      <c r="FB49" s="2672"/>
      <c r="FC49" s="2672"/>
      <c r="FD49" s="2672"/>
      <c r="FE49" s="2672"/>
      <c r="FF49" s="2672"/>
      <c r="FG49" s="2672"/>
      <c r="FH49" s="2672"/>
      <c r="FI49" s="2672"/>
      <c r="FJ49" s="2672"/>
      <c r="FK49" s="2672"/>
      <c r="FL49" s="2672"/>
      <c r="FM49" s="2672"/>
      <c r="FN49" s="2672"/>
      <c r="FO49" s="2672"/>
      <c r="FP49" s="2672"/>
      <c r="FQ49" s="2672"/>
      <c r="FR49" s="2672"/>
      <c r="FS49" s="2672"/>
      <c r="FT49" s="2672"/>
      <c r="FU49" s="2672"/>
      <c r="FV49" s="2672"/>
      <c r="FW49" s="2672"/>
      <c r="FX49" s="2672"/>
      <c r="FY49" s="2672"/>
      <c r="FZ49" s="2672"/>
      <c r="GA49" s="2672"/>
      <c r="GB49" s="2672"/>
      <c r="GC49" s="2672"/>
      <c r="GD49" s="2672"/>
      <c r="GE49" s="2672"/>
      <c r="GF49" s="2672"/>
      <c r="GG49" s="2672"/>
      <c r="GH49" s="2672"/>
      <c r="GI49" s="2672"/>
      <c r="GJ49" s="2672"/>
      <c r="GK49" s="2672"/>
      <c r="GL49" s="2672"/>
      <c r="GM49" s="2672"/>
      <c r="GN49" s="2672"/>
      <c r="GO49" s="2672"/>
      <c r="GP49" s="2672"/>
      <c r="GQ49" s="2672"/>
      <c r="GR49" s="2672"/>
      <c r="GS49" s="2672"/>
      <c r="GT49" s="2672"/>
      <c r="GU49" s="2672"/>
      <c r="GV49" s="2672"/>
      <c r="GW49" s="2672"/>
    </row>
    <row r="50" spans="1:205" ht="17.399999999999999">
      <c r="B50" s="1525">
        <f t="shared" si="1"/>
        <v>46</v>
      </c>
      <c r="C50" s="2658" t="s">
        <v>509</v>
      </c>
      <c r="D50" s="2673">
        <v>71.5</v>
      </c>
      <c r="E50" s="2660" t="s">
        <v>480</v>
      </c>
      <c r="F50" s="3688"/>
      <c r="G50" s="3689"/>
      <c r="H50" s="3689"/>
      <c r="I50" s="3689"/>
      <c r="J50" s="3689"/>
      <c r="K50" s="3689"/>
      <c r="L50" s="3689"/>
      <c r="M50" s="3689"/>
      <c r="N50" s="3689"/>
      <c r="O50" s="3689"/>
      <c r="P50" s="3689"/>
      <c r="Q50" s="3689" t="s">
        <v>160</v>
      </c>
      <c r="R50" s="3689" t="s">
        <v>160</v>
      </c>
      <c r="S50" s="3689"/>
      <c r="T50" s="3689"/>
      <c r="U50" s="3689"/>
      <c r="V50" s="3689"/>
      <c r="W50" s="3689"/>
      <c r="X50" s="3689"/>
      <c r="Y50" s="3689"/>
      <c r="Z50" s="3689"/>
      <c r="AA50" s="3689"/>
      <c r="AB50" s="3689"/>
      <c r="AC50" s="3689"/>
      <c r="AD50" s="3689" t="s">
        <v>160</v>
      </c>
      <c r="AE50" s="3689"/>
      <c r="AF50" s="3690"/>
      <c r="AG50" s="1519">
        <f t="shared" si="0"/>
        <v>0</v>
      </c>
      <c r="AH50" s="2672"/>
      <c r="AI50" s="2672"/>
      <c r="AJ50" s="2672"/>
      <c r="AK50" s="2672"/>
      <c r="AL50" s="2672"/>
      <c r="AM50" s="2672"/>
      <c r="AN50" s="2672"/>
      <c r="AO50" s="2672"/>
      <c r="AP50" s="2683">
        <f t="shared" si="2"/>
        <v>36</v>
      </c>
      <c r="AQ50" s="2684" t="str">
        <f t="shared" si="3"/>
        <v>Goltix Gold</v>
      </c>
      <c r="AR50" s="2684"/>
      <c r="AS50" s="2684"/>
      <c r="AT50" s="2684"/>
      <c r="AU50" s="2684"/>
      <c r="AV50" s="2685">
        <f t="shared" si="8"/>
        <v>25.3</v>
      </c>
      <c r="AW50" s="2686" t="str">
        <f t="shared" si="8"/>
        <v>H</v>
      </c>
      <c r="AX50" s="2684"/>
      <c r="AY50" s="2683">
        <f t="shared" si="5"/>
        <v>86</v>
      </c>
      <c r="AZ50" s="2685" t="str">
        <f t="shared" si="6"/>
        <v/>
      </c>
      <c r="BA50" s="2684"/>
      <c r="BB50" s="2685" t="str">
        <f t="shared" si="9"/>
        <v/>
      </c>
      <c r="BC50" s="2686" t="str">
        <f t="shared" si="9"/>
        <v/>
      </c>
      <c r="BD50" s="2684"/>
      <c r="BE50" s="2684"/>
      <c r="BF50" s="2687"/>
      <c r="BG50" s="2672"/>
      <c r="BH50" s="2672"/>
      <c r="BI50" s="2672"/>
      <c r="BJ50" s="2672"/>
      <c r="BK50" s="2672"/>
      <c r="BL50" s="2672"/>
      <c r="BM50" s="2672"/>
      <c r="BN50" s="2672"/>
      <c r="BO50" s="2672"/>
      <c r="BP50" s="2672"/>
      <c r="BQ50" s="2672"/>
      <c r="BR50" s="2672"/>
      <c r="BS50" s="2672"/>
      <c r="BT50" s="2672"/>
      <c r="BU50" s="2672"/>
      <c r="BV50" s="2672"/>
      <c r="BW50" s="2672"/>
      <c r="BX50" s="2672"/>
      <c r="BY50" s="2672"/>
      <c r="BZ50" s="2672"/>
      <c r="CA50" s="2672"/>
      <c r="CB50" s="2672"/>
      <c r="CC50" s="2672"/>
      <c r="CD50" s="2672"/>
      <c r="CE50" s="2672"/>
      <c r="CF50" s="2672"/>
      <c r="CG50" s="2672"/>
      <c r="CH50" s="2672"/>
      <c r="CI50" s="2672"/>
      <c r="CJ50" s="2672"/>
      <c r="CK50" s="2672"/>
      <c r="CL50" s="2672"/>
      <c r="CM50" s="2672"/>
      <c r="CN50" s="2672"/>
      <c r="CO50" s="2672"/>
      <c r="CP50" s="2672"/>
      <c r="CQ50" s="2672"/>
      <c r="CR50" s="2672"/>
      <c r="CS50" s="2672"/>
      <c r="CT50" s="2672"/>
      <c r="CU50" s="2672"/>
      <c r="CV50" s="2672"/>
      <c r="CW50" s="2672"/>
      <c r="CX50" s="2672"/>
      <c r="CY50" s="2672"/>
      <c r="CZ50" s="2672"/>
      <c r="DA50" s="2672"/>
      <c r="DB50" s="2672"/>
      <c r="DC50" s="2672"/>
      <c r="DD50" s="2672"/>
      <c r="DE50" s="2672"/>
      <c r="DF50" s="2672"/>
      <c r="DG50" s="2672"/>
      <c r="DH50" s="2672"/>
      <c r="DI50" s="2672"/>
      <c r="DJ50" s="2672"/>
      <c r="DK50" s="2672"/>
      <c r="DL50" s="2672"/>
      <c r="DM50" s="2672"/>
      <c r="DN50" s="2672"/>
      <c r="DO50" s="2672"/>
      <c r="DP50" s="2672"/>
      <c r="DQ50" s="2672"/>
      <c r="DR50" s="2672"/>
      <c r="DS50" s="2672"/>
      <c r="DT50" s="2672"/>
      <c r="DU50" s="2672"/>
      <c r="DV50" s="2672"/>
      <c r="DW50" s="2672"/>
      <c r="DX50" s="2672"/>
      <c r="DY50" s="2672"/>
      <c r="DZ50" s="2672"/>
      <c r="EA50" s="2672"/>
      <c r="EB50" s="2672"/>
      <c r="EC50" s="2672"/>
      <c r="ED50" s="2672"/>
      <c r="EE50" s="2672"/>
      <c r="EF50" s="2672"/>
      <c r="EG50" s="2672"/>
      <c r="EH50" s="2672"/>
      <c r="EI50" s="2672"/>
      <c r="EJ50" s="2672"/>
      <c r="EK50" s="2672"/>
      <c r="EL50" s="2672"/>
      <c r="EM50" s="2672"/>
      <c r="EN50" s="2672"/>
      <c r="EO50" s="2672"/>
      <c r="EP50" s="2672"/>
      <c r="EQ50" s="2672"/>
      <c r="ER50" s="2672"/>
      <c r="ES50" s="2672"/>
      <c r="ET50" s="2672"/>
      <c r="EU50" s="2672"/>
      <c r="EV50" s="2672"/>
      <c r="EW50" s="2672"/>
      <c r="EX50" s="2672"/>
      <c r="EY50" s="2672"/>
      <c r="EZ50" s="2672"/>
      <c r="FA50" s="2672"/>
      <c r="FB50" s="2672"/>
      <c r="FC50" s="2672"/>
      <c r="FD50" s="2672"/>
      <c r="FE50" s="2672"/>
      <c r="FF50" s="2672"/>
      <c r="FG50" s="2672"/>
      <c r="FH50" s="2672"/>
      <c r="FI50" s="2672"/>
      <c r="FJ50" s="2672"/>
      <c r="FK50" s="2672"/>
      <c r="FL50" s="2672"/>
      <c r="FM50" s="2672"/>
      <c r="FN50" s="2672"/>
      <c r="FO50" s="2672"/>
      <c r="FP50" s="2672"/>
      <c r="FQ50" s="2672"/>
      <c r="FR50" s="2672"/>
      <c r="FS50" s="2672"/>
      <c r="FT50" s="2672"/>
      <c r="FU50" s="2672"/>
      <c r="FV50" s="2672"/>
      <c r="FW50" s="2672"/>
      <c r="FX50" s="2672"/>
      <c r="FY50" s="2672"/>
      <c r="FZ50" s="2672"/>
      <c r="GA50" s="2672"/>
      <c r="GB50" s="2672"/>
      <c r="GC50" s="2672"/>
      <c r="GD50" s="2672"/>
      <c r="GE50" s="2672"/>
      <c r="GF50" s="2672"/>
      <c r="GG50" s="2672"/>
      <c r="GH50" s="2672"/>
      <c r="GI50" s="2672"/>
      <c r="GJ50" s="2672"/>
      <c r="GK50" s="2672"/>
      <c r="GL50" s="2672"/>
      <c r="GM50" s="2672"/>
      <c r="GN50" s="2672"/>
      <c r="GO50" s="2672"/>
      <c r="GP50" s="2672"/>
      <c r="GQ50" s="2672"/>
      <c r="GR50" s="2672"/>
      <c r="GS50" s="2672"/>
      <c r="GT50" s="2672"/>
      <c r="GU50" s="2672"/>
      <c r="GV50" s="2672"/>
      <c r="GW50" s="2672"/>
    </row>
    <row r="51" spans="1:205" ht="17.399999999999999">
      <c r="B51" s="1525">
        <f t="shared" si="1"/>
        <v>47</v>
      </c>
      <c r="C51" s="2658" t="s">
        <v>508</v>
      </c>
      <c r="D51" s="2673">
        <v>55.7</v>
      </c>
      <c r="E51" s="2660" t="s">
        <v>480</v>
      </c>
      <c r="F51" s="3688"/>
      <c r="G51" s="3689"/>
      <c r="H51" s="3689"/>
      <c r="I51" s="3689"/>
      <c r="J51" s="3689"/>
      <c r="K51" s="3689"/>
      <c r="L51" s="3689"/>
      <c r="M51" s="3689"/>
      <c r="N51" s="3689"/>
      <c r="O51" s="3689"/>
      <c r="P51" s="3689"/>
      <c r="Q51" s="3689"/>
      <c r="R51" s="3689" t="s">
        <v>160</v>
      </c>
      <c r="S51" s="3689"/>
      <c r="T51" s="3689"/>
      <c r="U51" s="3689"/>
      <c r="V51" s="3689"/>
      <c r="W51" s="3689"/>
      <c r="X51" s="3689"/>
      <c r="Y51" s="3689"/>
      <c r="Z51" s="3689"/>
      <c r="AA51" s="3689"/>
      <c r="AB51" s="3689"/>
      <c r="AC51" s="3689"/>
      <c r="AD51" s="3689" t="s">
        <v>160</v>
      </c>
      <c r="AE51" s="3689"/>
      <c r="AF51" s="3690"/>
      <c r="AG51" s="1519">
        <f t="shared" si="0"/>
        <v>0</v>
      </c>
      <c r="AH51" s="2672"/>
      <c r="AI51" s="2672"/>
      <c r="AJ51" s="2672"/>
      <c r="AK51" s="2672"/>
      <c r="AL51" s="2672"/>
      <c r="AM51" s="2672"/>
      <c r="AN51" s="2672"/>
      <c r="AO51" s="2672"/>
      <c r="AP51" s="2683">
        <f t="shared" si="2"/>
        <v>37</v>
      </c>
      <c r="AQ51" s="2684" t="str">
        <f t="shared" si="3"/>
        <v>Goltix Titan</v>
      </c>
      <c r="AR51" s="2684"/>
      <c r="AS51" s="2684"/>
      <c r="AT51" s="2684"/>
      <c r="AU51" s="2684"/>
      <c r="AV51" s="2685">
        <f t="shared" si="8"/>
        <v>34.799999999999997</v>
      </c>
      <c r="AW51" s="2686" t="str">
        <f t="shared" si="8"/>
        <v>H</v>
      </c>
      <c r="AX51" s="2684"/>
      <c r="AY51" s="2683">
        <f t="shared" si="5"/>
        <v>87</v>
      </c>
      <c r="AZ51" s="2685" t="str">
        <f t="shared" si="6"/>
        <v/>
      </c>
      <c r="BA51" s="2684"/>
      <c r="BB51" s="2685" t="str">
        <f t="shared" si="9"/>
        <v/>
      </c>
      <c r="BC51" s="2686" t="str">
        <f t="shared" si="9"/>
        <v/>
      </c>
      <c r="BD51" s="2684"/>
      <c r="BE51" s="2684"/>
      <c r="BF51" s="2687"/>
      <c r="BG51" s="2672"/>
      <c r="BH51" s="2672"/>
      <c r="BI51" s="2672"/>
      <c r="BJ51" s="2672"/>
      <c r="BK51" s="2672"/>
      <c r="BL51" s="2672"/>
      <c r="BM51" s="2672"/>
      <c r="BN51" s="2672"/>
      <c r="BO51" s="2672"/>
      <c r="BP51" s="2672"/>
      <c r="BQ51" s="2672"/>
      <c r="BR51" s="2672"/>
      <c r="BS51" s="2672"/>
      <c r="BT51" s="2672"/>
      <c r="BU51" s="2672"/>
      <c r="BV51" s="2672"/>
      <c r="BW51" s="2672"/>
      <c r="BX51" s="2672"/>
      <c r="BY51" s="2672"/>
      <c r="BZ51" s="2672"/>
      <c r="CA51" s="2672"/>
      <c r="CB51" s="2672"/>
      <c r="CC51" s="2672"/>
      <c r="CD51" s="2672"/>
      <c r="CE51" s="2672"/>
      <c r="CF51" s="2672"/>
      <c r="CG51" s="2672"/>
      <c r="CH51" s="2672"/>
      <c r="CI51" s="2672"/>
      <c r="CJ51" s="2672"/>
      <c r="CK51" s="2672"/>
      <c r="CL51" s="2672"/>
      <c r="CM51" s="2672"/>
      <c r="CN51" s="2672"/>
      <c r="CO51" s="2672"/>
      <c r="CP51" s="2672"/>
      <c r="CQ51" s="2672"/>
      <c r="CR51" s="2672"/>
      <c r="CS51" s="2672"/>
      <c r="CT51" s="2672"/>
      <c r="CU51" s="2672"/>
      <c r="CV51" s="2672"/>
      <c r="CW51" s="2672"/>
      <c r="CX51" s="2672"/>
      <c r="CY51" s="2672"/>
      <c r="CZ51" s="2672"/>
      <c r="DA51" s="2672"/>
      <c r="DB51" s="2672"/>
      <c r="DC51" s="2672"/>
      <c r="DD51" s="2672"/>
      <c r="DE51" s="2672"/>
      <c r="DF51" s="2672"/>
      <c r="DG51" s="2672"/>
      <c r="DH51" s="2672"/>
      <c r="DI51" s="2672"/>
      <c r="DJ51" s="2672"/>
      <c r="DK51" s="2672"/>
      <c r="DL51" s="2672"/>
      <c r="DM51" s="2672"/>
      <c r="DN51" s="2672"/>
      <c r="DO51" s="2672"/>
      <c r="DP51" s="2672"/>
      <c r="DQ51" s="2672"/>
      <c r="DR51" s="2672"/>
      <c r="DS51" s="2672"/>
      <c r="DT51" s="2672"/>
      <c r="DU51" s="2672"/>
      <c r="DV51" s="2672"/>
      <c r="DW51" s="2672"/>
      <c r="DX51" s="2672"/>
      <c r="DY51" s="2672"/>
      <c r="DZ51" s="2672"/>
      <c r="EA51" s="2672"/>
      <c r="EB51" s="2672"/>
      <c r="EC51" s="2672"/>
      <c r="ED51" s="2672"/>
      <c r="EE51" s="2672"/>
      <c r="EF51" s="2672"/>
      <c r="EG51" s="2672"/>
      <c r="EH51" s="2672"/>
      <c r="EI51" s="2672"/>
      <c r="EJ51" s="2672"/>
      <c r="EK51" s="2672"/>
      <c r="EL51" s="2672"/>
      <c r="EM51" s="2672"/>
      <c r="EN51" s="2672"/>
      <c r="EO51" s="2672"/>
      <c r="EP51" s="2672"/>
      <c r="EQ51" s="2672"/>
      <c r="ER51" s="2672"/>
      <c r="ES51" s="2672"/>
      <c r="ET51" s="2672"/>
      <c r="EU51" s="2672"/>
      <c r="EV51" s="2672"/>
      <c r="EW51" s="2672"/>
      <c r="EX51" s="2672"/>
      <c r="EY51" s="2672"/>
      <c r="EZ51" s="2672"/>
      <c r="FA51" s="2672"/>
      <c r="FB51" s="2672"/>
      <c r="FC51" s="2672"/>
      <c r="FD51" s="2672"/>
      <c r="FE51" s="2672"/>
      <c r="FF51" s="2672"/>
      <c r="FG51" s="2672"/>
      <c r="FH51" s="2672"/>
      <c r="FI51" s="2672"/>
      <c r="FJ51" s="2672"/>
      <c r="FK51" s="2672"/>
      <c r="FL51" s="2672"/>
      <c r="FM51" s="2672"/>
      <c r="FN51" s="2672"/>
      <c r="FO51" s="2672"/>
      <c r="FP51" s="2672"/>
      <c r="FQ51" s="2672"/>
      <c r="FR51" s="2672"/>
      <c r="FS51" s="2672"/>
      <c r="FT51" s="2672"/>
      <c r="FU51" s="2672"/>
      <c r="FV51" s="2672"/>
      <c r="FW51" s="2672"/>
      <c r="FX51" s="2672"/>
      <c r="FY51" s="2672"/>
      <c r="FZ51" s="2672"/>
      <c r="GA51" s="2672"/>
      <c r="GB51" s="2672"/>
      <c r="GC51" s="2672"/>
      <c r="GD51" s="2672"/>
      <c r="GE51" s="2672"/>
      <c r="GF51" s="2672"/>
      <c r="GG51" s="2672"/>
      <c r="GH51" s="2672"/>
      <c r="GI51" s="2672"/>
      <c r="GJ51" s="2672"/>
      <c r="GK51" s="2672"/>
      <c r="GL51" s="2672"/>
      <c r="GM51" s="2672"/>
      <c r="GN51" s="2672"/>
      <c r="GO51" s="2672"/>
      <c r="GP51" s="2672"/>
      <c r="GQ51" s="2672"/>
      <c r="GR51" s="2672"/>
      <c r="GS51" s="2672"/>
      <c r="GT51" s="2672"/>
      <c r="GU51" s="2672"/>
      <c r="GV51" s="2672"/>
      <c r="GW51" s="2672"/>
    </row>
    <row r="52" spans="1:205" ht="17.399999999999999">
      <c r="B52" s="1525">
        <f t="shared" si="1"/>
        <v>48</v>
      </c>
      <c r="C52" s="2658" t="s">
        <v>507</v>
      </c>
      <c r="D52" s="2673">
        <v>19.5</v>
      </c>
      <c r="E52" s="2660" t="s">
        <v>480</v>
      </c>
      <c r="F52" s="3688" t="s">
        <v>160</v>
      </c>
      <c r="G52" s="3689"/>
      <c r="H52" s="3689" t="s">
        <v>160</v>
      </c>
      <c r="I52" s="3689" t="s">
        <v>160</v>
      </c>
      <c r="J52" s="3689" t="s">
        <v>160</v>
      </c>
      <c r="K52" s="3689"/>
      <c r="L52" s="3689"/>
      <c r="M52" s="3689"/>
      <c r="N52" s="3689"/>
      <c r="O52" s="3689"/>
      <c r="P52" s="3689"/>
      <c r="Q52" s="3689"/>
      <c r="R52" s="3689"/>
      <c r="S52" s="3689"/>
      <c r="T52" s="3689"/>
      <c r="U52" s="3689"/>
      <c r="V52" s="3689"/>
      <c r="W52" s="3689"/>
      <c r="X52" s="3689"/>
      <c r="Y52" s="3689"/>
      <c r="Z52" s="3689"/>
      <c r="AA52" s="3689"/>
      <c r="AB52" s="3689"/>
      <c r="AC52" s="3689"/>
      <c r="AD52" s="3689" t="s">
        <v>160</v>
      </c>
      <c r="AE52" s="3689"/>
      <c r="AF52" s="3690"/>
      <c r="AG52" s="1519">
        <f t="shared" si="0"/>
        <v>0</v>
      </c>
      <c r="AH52" s="2672"/>
      <c r="AI52" s="2672"/>
      <c r="AJ52" s="2672"/>
      <c r="AK52" s="2672"/>
      <c r="AL52" s="2672"/>
      <c r="AM52" s="2672"/>
      <c r="AN52" s="2672"/>
      <c r="AO52" s="2672"/>
      <c r="AP52" s="2683">
        <f t="shared" si="2"/>
        <v>38</v>
      </c>
      <c r="AQ52" s="2684" t="str">
        <f t="shared" si="3"/>
        <v xml:space="preserve">Harmony SX </v>
      </c>
      <c r="AR52" s="2684"/>
      <c r="AS52" s="2684"/>
      <c r="AT52" s="2684"/>
      <c r="AU52" s="2684"/>
      <c r="AV52" s="2685">
        <f t="shared" si="8"/>
        <v>1656.5</v>
      </c>
      <c r="AW52" s="2686" t="str">
        <f t="shared" si="8"/>
        <v>H</v>
      </c>
      <c r="AX52" s="2684"/>
      <c r="AY52" s="2683">
        <f t="shared" si="5"/>
        <v>88</v>
      </c>
      <c r="AZ52" s="2685" t="str">
        <f t="shared" si="6"/>
        <v/>
      </c>
      <c r="BA52" s="2684"/>
      <c r="BB52" s="2685" t="str">
        <f t="shared" si="9"/>
        <v/>
      </c>
      <c r="BC52" s="2686" t="str">
        <f t="shared" si="9"/>
        <v/>
      </c>
      <c r="BD52" s="2684"/>
      <c r="BE52" s="2684"/>
      <c r="BF52" s="2687"/>
      <c r="BG52" s="2672"/>
      <c r="BH52" s="2672"/>
      <c r="BI52" s="2672"/>
      <c r="BJ52" s="2672"/>
      <c r="BK52" s="2672"/>
      <c r="BL52" s="2672"/>
      <c r="BM52" s="2672"/>
      <c r="BN52" s="2672"/>
      <c r="BO52" s="2672"/>
      <c r="BP52" s="2672"/>
      <c r="BQ52" s="2672"/>
      <c r="BR52" s="2672"/>
      <c r="BS52" s="2672"/>
      <c r="BT52" s="2672"/>
      <c r="BU52" s="2672"/>
      <c r="BV52" s="2672"/>
      <c r="BW52" s="2672"/>
      <c r="BX52" s="2672"/>
      <c r="BY52" s="2672"/>
      <c r="BZ52" s="2672"/>
      <c r="CA52" s="2672"/>
      <c r="CB52" s="2672"/>
      <c r="CC52" s="2672"/>
      <c r="CD52" s="2672"/>
      <c r="CE52" s="2672"/>
      <c r="CF52" s="2672"/>
      <c r="CG52" s="2672"/>
      <c r="CH52" s="2672"/>
      <c r="CI52" s="2672"/>
      <c r="CJ52" s="2672"/>
      <c r="CK52" s="2672"/>
      <c r="CL52" s="2672"/>
      <c r="CM52" s="2672"/>
      <c r="CN52" s="2672"/>
      <c r="CO52" s="2672"/>
      <c r="CP52" s="2672"/>
      <c r="CQ52" s="2672"/>
      <c r="CR52" s="2672"/>
      <c r="CS52" s="2672"/>
      <c r="CT52" s="2672"/>
      <c r="CU52" s="2672"/>
      <c r="CV52" s="2672"/>
      <c r="CW52" s="2672"/>
      <c r="CX52" s="2672"/>
      <c r="CY52" s="2672"/>
      <c r="CZ52" s="2672"/>
      <c r="DA52" s="2672"/>
      <c r="DB52" s="2672"/>
      <c r="DC52" s="2672"/>
      <c r="DD52" s="2672"/>
      <c r="DE52" s="2672"/>
      <c r="DF52" s="2672"/>
      <c r="DG52" s="2672"/>
      <c r="DH52" s="2672"/>
      <c r="DI52" s="2672"/>
      <c r="DJ52" s="2672"/>
      <c r="DK52" s="2672"/>
      <c r="DL52" s="2672"/>
      <c r="DM52" s="2672"/>
      <c r="DN52" s="2672"/>
      <c r="DO52" s="2672"/>
      <c r="DP52" s="2672"/>
      <c r="DQ52" s="2672"/>
      <c r="DR52" s="2672"/>
      <c r="DS52" s="2672"/>
      <c r="DT52" s="2672"/>
      <c r="DU52" s="2672"/>
      <c r="DV52" s="2672"/>
      <c r="DW52" s="2672"/>
      <c r="DX52" s="2672"/>
      <c r="DY52" s="2672"/>
      <c r="DZ52" s="2672"/>
      <c r="EA52" s="2672"/>
      <c r="EB52" s="2672"/>
      <c r="EC52" s="2672"/>
      <c r="ED52" s="2672"/>
      <c r="EE52" s="2672"/>
      <c r="EF52" s="2672"/>
      <c r="EG52" s="2672"/>
      <c r="EH52" s="2672"/>
      <c r="EI52" s="2672"/>
      <c r="EJ52" s="2672"/>
      <c r="EK52" s="2672"/>
      <c r="EL52" s="2672"/>
      <c r="EM52" s="2672"/>
      <c r="EN52" s="2672"/>
      <c r="EO52" s="2672"/>
      <c r="EP52" s="2672"/>
      <c r="EQ52" s="2672"/>
      <c r="ER52" s="2672"/>
      <c r="ES52" s="2672"/>
      <c r="ET52" s="2672"/>
      <c r="EU52" s="2672"/>
      <c r="EV52" s="2672"/>
      <c r="EW52" s="2672"/>
      <c r="EX52" s="2672"/>
      <c r="EY52" s="2672"/>
      <c r="EZ52" s="2672"/>
      <c r="FA52" s="2672"/>
      <c r="FB52" s="2672"/>
      <c r="FC52" s="2672"/>
      <c r="FD52" s="2672"/>
      <c r="FE52" s="2672"/>
      <c r="FF52" s="2672"/>
      <c r="FG52" s="2672"/>
      <c r="FH52" s="2672"/>
      <c r="FI52" s="2672"/>
      <c r="FJ52" s="2672"/>
      <c r="FK52" s="2672"/>
      <c r="FL52" s="2672"/>
      <c r="FM52" s="2672"/>
      <c r="FN52" s="2672"/>
      <c r="FO52" s="2672"/>
      <c r="FP52" s="2672"/>
      <c r="FQ52" s="2672"/>
      <c r="FR52" s="2672"/>
      <c r="FS52" s="2672"/>
      <c r="FT52" s="2672"/>
      <c r="FU52" s="2672"/>
      <c r="FV52" s="2672"/>
      <c r="FW52" s="2672"/>
      <c r="FX52" s="2672"/>
      <c r="FY52" s="2672"/>
      <c r="FZ52" s="2672"/>
      <c r="GA52" s="2672"/>
      <c r="GB52" s="2672"/>
      <c r="GC52" s="2672"/>
      <c r="GD52" s="2672"/>
      <c r="GE52" s="2672"/>
      <c r="GF52" s="2672"/>
      <c r="GG52" s="2672"/>
      <c r="GH52" s="2672"/>
      <c r="GI52" s="2672"/>
      <c r="GJ52" s="2672"/>
      <c r="GK52" s="2672"/>
      <c r="GL52" s="2672"/>
      <c r="GM52" s="2672"/>
      <c r="GN52" s="2672"/>
      <c r="GO52" s="2672"/>
      <c r="GP52" s="2672"/>
      <c r="GQ52" s="2672"/>
      <c r="GR52" s="2672"/>
      <c r="GS52" s="2672"/>
      <c r="GT52" s="2672"/>
      <c r="GU52" s="2672"/>
      <c r="GV52" s="2672"/>
      <c r="GW52" s="2672"/>
    </row>
    <row r="53" spans="1:205" ht="17.399999999999999">
      <c r="B53" s="1525">
        <f t="shared" si="1"/>
        <v>49</v>
      </c>
      <c r="C53" s="2658" t="s">
        <v>506</v>
      </c>
      <c r="D53" s="2673">
        <v>68.900000000000006</v>
      </c>
      <c r="E53" s="2660" t="s">
        <v>505</v>
      </c>
      <c r="F53" s="3688" t="s">
        <v>160</v>
      </c>
      <c r="G53" s="3689" t="s">
        <v>160</v>
      </c>
      <c r="H53" s="3689" t="s">
        <v>160</v>
      </c>
      <c r="I53" s="3689" t="s">
        <v>160</v>
      </c>
      <c r="J53" s="3689" t="s">
        <v>160</v>
      </c>
      <c r="K53" s="3689"/>
      <c r="L53" s="3689" t="s">
        <v>160</v>
      </c>
      <c r="M53" s="3689" t="s">
        <v>160</v>
      </c>
      <c r="N53" s="3689" t="s">
        <v>160</v>
      </c>
      <c r="O53" s="3689"/>
      <c r="P53" s="3689"/>
      <c r="Q53" s="3689"/>
      <c r="R53" s="3689"/>
      <c r="S53" s="3689"/>
      <c r="T53" s="3689"/>
      <c r="U53" s="3689"/>
      <c r="V53" s="3689"/>
      <c r="W53" s="3689"/>
      <c r="X53" s="3689"/>
      <c r="Y53" s="3689"/>
      <c r="Z53" s="3689"/>
      <c r="AA53" s="3689"/>
      <c r="AB53" s="3689"/>
      <c r="AC53" s="3689"/>
      <c r="AD53" s="3689" t="s">
        <v>160</v>
      </c>
      <c r="AE53" s="3689"/>
      <c r="AF53" s="3690"/>
      <c r="AG53" s="1519">
        <f t="shared" si="0"/>
        <v>0</v>
      </c>
      <c r="AH53" s="2672"/>
      <c r="AI53" s="2672"/>
      <c r="AJ53" s="2672"/>
      <c r="AK53" s="2672"/>
      <c r="AL53" s="2672"/>
      <c r="AM53" s="2672"/>
      <c r="AN53" s="2672"/>
      <c r="AO53" s="2672"/>
      <c r="AP53" s="2683">
        <f t="shared" si="2"/>
        <v>39</v>
      </c>
      <c r="AQ53" s="2684" t="str">
        <f t="shared" si="3"/>
        <v>Herold SC</v>
      </c>
      <c r="AR53" s="2684"/>
      <c r="AS53" s="2684"/>
      <c r="AT53" s="2684"/>
      <c r="AU53" s="2684"/>
      <c r="AV53" s="2685">
        <f t="shared" si="8"/>
        <v>85.5</v>
      </c>
      <c r="AW53" s="2686" t="str">
        <f t="shared" si="8"/>
        <v>H</v>
      </c>
      <c r="AX53" s="2684"/>
      <c r="AY53" s="2683">
        <f t="shared" si="5"/>
        <v>89</v>
      </c>
      <c r="AZ53" s="2684" t="str">
        <f t="shared" si="6"/>
        <v/>
      </c>
      <c r="BA53" s="2684"/>
      <c r="BB53" s="2684" t="str">
        <f t="shared" si="9"/>
        <v/>
      </c>
      <c r="BC53" s="2686" t="str">
        <f t="shared" si="9"/>
        <v/>
      </c>
      <c r="BD53" s="2684"/>
      <c r="BE53" s="2684"/>
      <c r="BF53" s="2687"/>
      <c r="BG53" s="2672"/>
      <c r="BH53" s="2672"/>
      <c r="BI53" s="2672"/>
      <c r="BJ53" s="2672"/>
      <c r="BK53" s="2672"/>
      <c r="BL53" s="2672"/>
      <c r="BM53" s="2672"/>
      <c r="BN53" s="2672"/>
      <c r="BO53" s="2672"/>
      <c r="BP53" s="2672"/>
      <c r="BQ53" s="2672"/>
      <c r="BR53" s="2672"/>
      <c r="BS53" s="2672"/>
      <c r="BT53" s="2672"/>
      <c r="BU53" s="2672"/>
      <c r="BV53" s="2672"/>
      <c r="BW53" s="2672"/>
      <c r="BX53" s="2672"/>
      <c r="BY53" s="2672"/>
      <c r="BZ53" s="2672"/>
      <c r="CA53" s="2672"/>
      <c r="CB53" s="2672"/>
      <c r="CC53" s="2672"/>
      <c r="CD53" s="2672"/>
      <c r="CE53" s="2672"/>
      <c r="CF53" s="2672"/>
      <c r="CG53" s="2672"/>
      <c r="CH53" s="2672"/>
      <c r="CI53" s="2672"/>
      <c r="CJ53" s="2672"/>
      <c r="CK53" s="2672"/>
      <c r="CL53" s="2672"/>
      <c r="CM53" s="2672"/>
      <c r="CN53" s="2672"/>
      <c r="CO53" s="2672"/>
      <c r="CP53" s="2672"/>
      <c r="CQ53" s="2672"/>
      <c r="CR53" s="2672"/>
      <c r="CS53" s="2672"/>
      <c r="CT53" s="2672"/>
      <c r="CU53" s="2672"/>
      <c r="CV53" s="2672"/>
      <c r="CW53" s="2672"/>
      <c r="CX53" s="2672"/>
      <c r="CY53" s="2672"/>
      <c r="CZ53" s="2672"/>
      <c r="DA53" s="2672"/>
      <c r="DB53" s="2672"/>
      <c r="DC53" s="2672"/>
      <c r="DD53" s="2672"/>
      <c r="DE53" s="2672"/>
      <c r="DF53" s="2672"/>
      <c r="DG53" s="2672"/>
      <c r="DH53" s="2672"/>
      <c r="DI53" s="2672"/>
      <c r="DJ53" s="2672"/>
      <c r="DK53" s="2672"/>
      <c r="DL53" s="2672"/>
      <c r="DM53" s="2672"/>
      <c r="DN53" s="2672"/>
      <c r="DO53" s="2672"/>
      <c r="DP53" s="2672"/>
      <c r="DQ53" s="2672"/>
      <c r="DR53" s="2672"/>
      <c r="DS53" s="2672"/>
      <c r="DT53" s="2672"/>
      <c r="DU53" s="2672"/>
      <c r="DV53" s="2672"/>
      <c r="DW53" s="2672"/>
      <c r="DX53" s="2672"/>
      <c r="DY53" s="2672"/>
      <c r="DZ53" s="2672"/>
      <c r="EA53" s="2672"/>
      <c r="EB53" s="2672"/>
      <c r="EC53" s="2672"/>
      <c r="ED53" s="2672"/>
      <c r="EE53" s="2672"/>
      <c r="EF53" s="2672"/>
      <c r="EG53" s="2672"/>
      <c r="EH53" s="2672"/>
      <c r="EI53" s="2672"/>
      <c r="EJ53" s="2672"/>
      <c r="EK53" s="2672"/>
      <c r="EL53" s="2672"/>
      <c r="EM53" s="2672"/>
      <c r="EN53" s="2672"/>
      <c r="EO53" s="2672"/>
      <c r="EP53" s="2672"/>
      <c r="EQ53" s="2672"/>
      <c r="ER53" s="2672"/>
      <c r="ES53" s="2672"/>
      <c r="ET53" s="2672"/>
      <c r="EU53" s="2672"/>
      <c r="EV53" s="2672"/>
      <c r="EW53" s="2672"/>
      <c r="EX53" s="2672"/>
      <c r="EY53" s="2672"/>
      <c r="EZ53" s="2672"/>
      <c r="FA53" s="2672"/>
      <c r="FB53" s="2672"/>
      <c r="FC53" s="2672"/>
      <c r="FD53" s="2672"/>
      <c r="FE53" s="2672"/>
      <c r="FF53" s="2672"/>
      <c r="FG53" s="2672"/>
      <c r="FH53" s="2672"/>
      <c r="FI53" s="2672"/>
      <c r="FJ53" s="2672"/>
      <c r="FK53" s="2672"/>
      <c r="FL53" s="2672"/>
      <c r="FM53" s="2672"/>
      <c r="FN53" s="2672"/>
      <c r="FO53" s="2672"/>
      <c r="FP53" s="2672"/>
      <c r="FQ53" s="2672"/>
      <c r="FR53" s="2672"/>
      <c r="FS53" s="2672"/>
      <c r="FT53" s="2672"/>
      <c r="FU53" s="2672"/>
      <c r="FV53" s="2672"/>
      <c r="FW53" s="2672"/>
      <c r="FX53" s="2672"/>
      <c r="FY53" s="2672"/>
      <c r="FZ53" s="2672"/>
      <c r="GA53" s="2672"/>
      <c r="GB53" s="2672"/>
      <c r="GC53" s="2672"/>
      <c r="GD53" s="2672"/>
      <c r="GE53" s="2672"/>
      <c r="GF53" s="2672"/>
      <c r="GG53" s="2672"/>
      <c r="GH53" s="2672"/>
      <c r="GI53" s="2672"/>
      <c r="GJ53" s="2672"/>
      <c r="GK53" s="2672"/>
      <c r="GL53" s="2672"/>
      <c r="GM53" s="2672"/>
      <c r="GN53" s="2672"/>
      <c r="GO53" s="2672"/>
      <c r="GP53" s="2672"/>
      <c r="GQ53" s="2672"/>
      <c r="GR53" s="2672"/>
      <c r="GS53" s="2672"/>
      <c r="GT53" s="2672"/>
      <c r="GU53" s="2672"/>
      <c r="GV53" s="2672"/>
      <c r="GW53" s="2672"/>
    </row>
    <row r="54" spans="1:205" ht="17.399999999999999">
      <c r="B54" s="1525">
        <f t="shared" si="1"/>
        <v>50</v>
      </c>
      <c r="C54" s="2658" t="s">
        <v>504</v>
      </c>
      <c r="D54" s="2673">
        <v>34.200000000000003</v>
      </c>
      <c r="E54" s="2660" t="s">
        <v>482</v>
      </c>
      <c r="F54" s="3700"/>
      <c r="G54" s="3701"/>
      <c r="H54" s="3701"/>
      <c r="I54" s="3701"/>
      <c r="J54" s="3701"/>
      <c r="K54" s="3701"/>
      <c r="L54" s="3701"/>
      <c r="M54" s="3701"/>
      <c r="N54" s="3701"/>
      <c r="O54" s="3701"/>
      <c r="P54" s="3701"/>
      <c r="Q54" s="3701"/>
      <c r="R54" s="3701"/>
      <c r="S54" s="3701" t="s">
        <v>160</v>
      </c>
      <c r="T54" s="3701" t="s">
        <v>160</v>
      </c>
      <c r="U54" s="3701"/>
      <c r="V54" s="3701"/>
      <c r="W54" s="3701"/>
      <c r="X54" s="3701"/>
      <c r="Y54" s="3701"/>
      <c r="Z54" s="3701"/>
      <c r="AA54" s="3701" t="s">
        <v>160</v>
      </c>
      <c r="AB54" s="3701" t="s">
        <v>160</v>
      </c>
      <c r="AC54" s="3701"/>
      <c r="AD54" s="3701" t="s">
        <v>160</v>
      </c>
      <c r="AE54" s="3701"/>
      <c r="AF54" s="3702"/>
      <c r="AG54" s="1519">
        <f t="shared" si="0"/>
        <v>0</v>
      </c>
      <c r="AH54" s="2672"/>
      <c r="AI54" s="2672"/>
      <c r="AJ54" s="2672"/>
      <c r="AK54" s="2672"/>
      <c r="AL54" s="2672"/>
      <c r="AM54" s="2672"/>
      <c r="AN54" s="2672"/>
      <c r="AO54" s="2672"/>
      <c r="AP54" s="2683">
        <f t="shared" si="2"/>
        <v>40</v>
      </c>
      <c r="AQ54" s="2684" t="str">
        <f t="shared" si="3"/>
        <v>Hoestar Super</v>
      </c>
      <c r="AR54" s="2684"/>
      <c r="AS54" s="2684"/>
      <c r="AT54" s="2684"/>
      <c r="AU54" s="2684"/>
      <c r="AV54" s="2685">
        <f t="shared" si="8"/>
        <v>127.4</v>
      </c>
      <c r="AW54" s="2686" t="str">
        <f t="shared" si="8"/>
        <v>H</v>
      </c>
      <c r="AX54" s="2684"/>
      <c r="AY54" s="2683">
        <f t="shared" si="5"/>
        <v>90</v>
      </c>
      <c r="AZ54" s="2684" t="str">
        <f t="shared" si="6"/>
        <v/>
      </c>
      <c r="BA54" s="2684"/>
      <c r="BB54" s="2684" t="str">
        <f t="shared" si="9"/>
        <v/>
      </c>
      <c r="BC54" s="2686" t="str">
        <f t="shared" si="9"/>
        <v/>
      </c>
      <c r="BD54" s="2684"/>
      <c r="BE54" s="2684"/>
      <c r="BF54" s="2687"/>
      <c r="BG54" s="2672"/>
      <c r="BH54" s="2672"/>
      <c r="BI54" s="2672"/>
      <c r="BJ54" s="2672"/>
      <c r="BK54" s="2672"/>
      <c r="BL54" s="2672"/>
      <c r="BM54" s="2672"/>
      <c r="BN54" s="2672"/>
      <c r="BO54" s="2672"/>
      <c r="BP54" s="2672"/>
      <c r="BQ54" s="2672"/>
      <c r="BR54" s="2672"/>
      <c r="BS54" s="2672"/>
      <c r="BT54" s="2672"/>
      <c r="BU54" s="2672"/>
      <c r="BV54" s="2672"/>
      <c r="BW54" s="2672"/>
      <c r="BX54" s="2672"/>
      <c r="BY54" s="2672"/>
      <c r="BZ54" s="2672"/>
      <c r="CA54" s="2672"/>
      <c r="CB54" s="2672"/>
      <c r="CC54" s="2672"/>
      <c r="CD54" s="2672"/>
      <c r="CE54" s="2672"/>
      <c r="CF54" s="2672"/>
      <c r="CG54" s="2672"/>
      <c r="CH54" s="2672"/>
      <c r="CI54" s="2672"/>
      <c r="CJ54" s="2672"/>
      <c r="CK54" s="2672"/>
      <c r="CL54" s="2672"/>
      <c r="CM54" s="2672"/>
      <c r="CN54" s="2672"/>
      <c r="CO54" s="2672"/>
      <c r="CP54" s="2672"/>
      <c r="CQ54" s="2672"/>
      <c r="CR54" s="2672"/>
      <c r="CS54" s="2672"/>
      <c r="CT54" s="2672"/>
      <c r="CU54" s="2672"/>
      <c r="CV54" s="2672"/>
      <c r="CW54" s="2672"/>
      <c r="CX54" s="2672"/>
      <c r="CY54" s="2672"/>
      <c r="CZ54" s="2672"/>
      <c r="DA54" s="2672"/>
      <c r="DB54" s="2672"/>
      <c r="DC54" s="2672"/>
      <c r="DD54" s="2672"/>
      <c r="DE54" s="2672"/>
      <c r="DF54" s="2672"/>
      <c r="DG54" s="2672"/>
      <c r="DH54" s="2672"/>
      <c r="DI54" s="2672"/>
      <c r="DJ54" s="2672"/>
      <c r="DK54" s="2672"/>
      <c r="DL54" s="2672"/>
      <c r="DM54" s="2672"/>
      <c r="DN54" s="2672"/>
      <c r="DO54" s="2672"/>
      <c r="DP54" s="2672"/>
      <c r="DQ54" s="2672"/>
      <c r="DR54" s="2672"/>
      <c r="DS54" s="2672"/>
      <c r="DT54" s="2672"/>
      <c r="DU54" s="2672"/>
      <c r="DV54" s="2672"/>
      <c r="DW54" s="2672"/>
      <c r="DX54" s="2672"/>
      <c r="DY54" s="2672"/>
      <c r="DZ54" s="2672"/>
      <c r="EA54" s="2672"/>
      <c r="EB54" s="2672"/>
      <c r="EC54" s="2672"/>
      <c r="ED54" s="2672"/>
      <c r="EE54" s="2672"/>
      <c r="EF54" s="2672"/>
      <c r="EG54" s="2672"/>
      <c r="EH54" s="2672"/>
      <c r="EI54" s="2672"/>
      <c r="EJ54" s="2672"/>
      <c r="EK54" s="2672"/>
      <c r="EL54" s="2672"/>
      <c r="EM54" s="2672"/>
      <c r="EN54" s="2672"/>
      <c r="EO54" s="2672"/>
      <c r="EP54" s="2672"/>
      <c r="EQ54" s="2672"/>
      <c r="ER54" s="2672"/>
      <c r="ES54" s="2672"/>
      <c r="ET54" s="2672"/>
      <c r="EU54" s="2672"/>
      <c r="EV54" s="2672"/>
      <c r="EW54" s="2672"/>
      <c r="EX54" s="2672"/>
      <c r="EY54" s="2672"/>
      <c r="EZ54" s="2672"/>
      <c r="FA54" s="2672"/>
      <c r="FB54" s="2672"/>
      <c r="FC54" s="2672"/>
      <c r="FD54" s="2672"/>
      <c r="FE54" s="2672"/>
      <c r="FF54" s="2672"/>
      <c r="FG54" s="2672"/>
      <c r="FH54" s="2672"/>
      <c r="FI54" s="2672"/>
      <c r="FJ54" s="2672"/>
      <c r="FK54" s="2672"/>
      <c r="FL54" s="2672"/>
      <c r="FM54" s="2672"/>
      <c r="FN54" s="2672"/>
      <c r="FO54" s="2672"/>
      <c r="FP54" s="2672"/>
      <c r="FQ54" s="2672"/>
      <c r="FR54" s="2672"/>
      <c r="FS54" s="2672"/>
      <c r="FT54" s="2672"/>
      <c r="FU54" s="2672"/>
      <c r="FV54" s="2672"/>
      <c r="FW54" s="2672"/>
      <c r="FX54" s="2672"/>
      <c r="FY54" s="2672"/>
      <c r="FZ54" s="2672"/>
      <c r="GA54" s="2672"/>
      <c r="GB54" s="2672"/>
      <c r="GC54" s="2672"/>
      <c r="GD54" s="2672"/>
      <c r="GE54" s="2672"/>
      <c r="GF54" s="2672"/>
      <c r="GG54" s="2672"/>
      <c r="GH54" s="2672"/>
      <c r="GI54" s="2672"/>
      <c r="GJ54" s="2672"/>
      <c r="GK54" s="2672"/>
      <c r="GL54" s="2672"/>
      <c r="GM54" s="2672"/>
      <c r="GN54" s="2672"/>
      <c r="GO54" s="2672"/>
      <c r="GP54" s="2672"/>
      <c r="GQ54" s="2672"/>
      <c r="GR54" s="2672"/>
      <c r="GS54" s="2672"/>
      <c r="GT54" s="2672"/>
      <c r="GU54" s="2672"/>
      <c r="GV54" s="2672"/>
      <c r="GW54" s="2672"/>
    </row>
    <row r="55" spans="1:205" ht="17.399999999999999">
      <c r="B55" s="1525">
        <f t="shared" si="1"/>
        <v>51</v>
      </c>
      <c r="C55" s="2658" t="s">
        <v>1499</v>
      </c>
      <c r="D55" s="2673">
        <v>106.7</v>
      </c>
      <c r="E55" s="2660" t="s">
        <v>477</v>
      </c>
      <c r="F55" s="3700"/>
      <c r="G55" s="3701"/>
      <c r="H55" s="3701"/>
      <c r="I55" s="3701"/>
      <c r="J55" s="3701"/>
      <c r="K55" s="3701"/>
      <c r="L55" s="3701"/>
      <c r="M55" s="3701"/>
      <c r="N55" s="3701"/>
      <c r="O55" s="3701"/>
      <c r="P55" s="3701" t="s">
        <v>160</v>
      </c>
      <c r="Q55" s="3701"/>
      <c r="R55" s="3701"/>
      <c r="S55" s="3701" t="s">
        <v>160</v>
      </c>
      <c r="T55" s="3701" t="s">
        <v>160</v>
      </c>
      <c r="U55" s="3701"/>
      <c r="V55" s="3701"/>
      <c r="W55" s="3701"/>
      <c r="X55" s="3701"/>
      <c r="Y55" s="3701"/>
      <c r="Z55" s="3701"/>
      <c r="AA55" s="3701"/>
      <c r="AB55" s="3701"/>
      <c r="AC55" s="3701"/>
      <c r="AD55" s="3703" t="s">
        <v>160</v>
      </c>
      <c r="AE55" s="3703"/>
      <c r="AF55" s="3704"/>
      <c r="AG55" s="1519">
        <f t="shared" si="0"/>
        <v>0</v>
      </c>
      <c r="AH55" s="2672"/>
      <c r="AI55" s="2672"/>
      <c r="AJ55" s="2672"/>
      <c r="AK55" s="2672"/>
      <c r="AL55" s="2672"/>
      <c r="AM55" s="2672"/>
      <c r="AN55" s="2672"/>
      <c r="AO55" s="2672"/>
      <c r="AP55" s="2683">
        <f t="shared" si="2"/>
        <v>41</v>
      </c>
      <c r="AQ55" s="2684" t="str">
        <f t="shared" si="3"/>
        <v>Infinito</v>
      </c>
      <c r="AR55" s="2684"/>
      <c r="AS55" s="2684"/>
      <c r="AT55" s="2684"/>
      <c r="AU55" s="2684"/>
      <c r="AV55" s="2685">
        <f t="shared" si="8"/>
        <v>30.6</v>
      </c>
      <c r="AW55" s="2686" t="str">
        <f t="shared" si="8"/>
        <v>F</v>
      </c>
      <c r="AX55" s="2684"/>
      <c r="AY55" s="2683">
        <f t="shared" si="5"/>
        <v>91</v>
      </c>
      <c r="AZ55" s="2684" t="str">
        <f t="shared" si="6"/>
        <v/>
      </c>
      <c r="BA55" s="2684"/>
      <c r="BB55" s="2684" t="str">
        <f t="shared" si="9"/>
        <v/>
      </c>
      <c r="BC55" s="2686" t="str">
        <f t="shared" si="9"/>
        <v/>
      </c>
      <c r="BD55" s="2684"/>
      <c r="BE55" s="2684"/>
      <c r="BF55" s="2687"/>
      <c r="BG55" s="2672"/>
      <c r="BH55" s="2672"/>
      <c r="BI55" s="2672"/>
      <c r="BJ55" s="2672"/>
      <c r="BK55" s="2672"/>
      <c r="BL55" s="2672"/>
      <c r="BM55" s="2672"/>
      <c r="BN55" s="2672"/>
      <c r="BO55" s="2672"/>
      <c r="BP55" s="2672"/>
      <c r="BQ55" s="2672"/>
      <c r="BR55" s="2672"/>
      <c r="BS55" s="2672"/>
      <c r="BT55" s="2672"/>
      <c r="BU55" s="2672"/>
      <c r="BV55" s="2672"/>
      <c r="BW55" s="2672"/>
      <c r="BX55" s="2672"/>
      <c r="BY55" s="2672"/>
      <c r="BZ55" s="2672"/>
      <c r="CA55" s="2672"/>
      <c r="CB55" s="2672"/>
      <c r="CC55" s="2672"/>
      <c r="CD55" s="2672"/>
      <c r="CE55" s="2672"/>
      <c r="CF55" s="2672"/>
      <c r="CG55" s="2672"/>
      <c r="CH55" s="2672"/>
      <c r="CI55" s="2672"/>
      <c r="CJ55" s="2672"/>
      <c r="CK55" s="2672"/>
      <c r="CL55" s="2672"/>
      <c r="CM55" s="2672"/>
      <c r="CN55" s="2672"/>
      <c r="CO55" s="2672"/>
      <c r="CP55" s="2672"/>
      <c r="CQ55" s="2672"/>
      <c r="CR55" s="2672"/>
      <c r="CS55" s="2672"/>
      <c r="CT55" s="2672"/>
      <c r="CU55" s="2672"/>
      <c r="CV55" s="2672"/>
      <c r="CW55" s="2672"/>
      <c r="CX55" s="2672"/>
      <c r="CY55" s="2672"/>
      <c r="CZ55" s="2672"/>
      <c r="DA55" s="2672"/>
      <c r="DB55" s="2672"/>
      <c r="DC55" s="2672"/>
      <c r="DD55" s="2672"/>
      <c r="DE55" s="2672"/>
      <c r="DF55" s="2672"/>
      <c r="DG55" s="2672"/>
      <c r="DH55" s="2672"/>
      <c r="DI55" s="2672"/>
      <c r="DJ55" s="2672"/>
      <c r="DK55" s="2672"/>
      <c r="DL55" s="2672"/>
      <c r="DM55" s="2672"/>
      <c r="DN55" s="2672"/>
      <c r="DO55" s="2672"/>
      <c r="DP55" s="2672"/>
      <c r="DQ55" s="2672"/>
      <c r="DR55" s="2672"/>
      <c r="DS55" s="2672"/>
      <c r="DT55" s="2672"/>
      <c r="DU55" s="2672"/>
      <c r="DV55" s="2672"/>
      <c r="DW55" s="2672"/>
      <c r="DX55" s="2672"/>
      <c r="DY55" s="2672"/>
      <c r="DZ55" s="2672"/>
      <c r="EA55" s="2672"/>
      <c r="EB55" s="2672"/>
      <c r="EC55" s="2672"/>
      <c r="ED55" s="2672"/>
      <c r="EE55" s="2672"/>
      <c r="EF55" s="2672"/>
      <c r="EG55" s="2672"/>
      <c r="EH55" s="2672"/>
      <c r="EI55" s="2672"/>
      <c r="EJ55" s="2672"/>
      <c r="EK55" s="2672"/>
      <c r="EL55" s="2672"/>
      <c r="EM55" s="2672"/>
      <c r="EN55" s="2672"/>
      <c r="EO55" s="2672"/>
      <c r="EP55" s="2672"/>
      <c r="EQ55" s="2672"/>
      <c r="ER55" s="2672"/>
      <c r="ES55" s="2672"/>
      <c r="ET55" s="2672"/>
      <c r="EU55" s="2672"/>
      <c r="EV55" s="2672"/>
      <c r="EW55" s="2672"/>
      <c r="EX55" s="2672"/>
      <c r="EY55" s="2672"/>
      <c r="EZ55" s="2672"/>
      <c r="FA55" s="2672"/>
      <c r="FB55" s="2672"/>
      <c r="FC55" s="2672"/>
      <c r="FD55" s="2672"/>
      <c r="FE55" s="2672"/>
      <c r="FF55" s="2672"/>
      <c r="FG55" s="2672"/>
      <c r="FH55" s="2672"/>
      <c r="FI55" s="2672"/>
      <c r="FJ55" s="2672"/>
      <c r="FK55" s="2672"/>
      <c r="FL55" s="2672"/>
      <c r="FM55" s="2672"/>
      <c r="FN55" s="2672"/>
      <c r="FO55" s="2672"/>
      <c r="FP55" s="2672"/>
      <c r="FQ55" s="2672"/>
      <c r="FR55" s="2672"/>
      <c r="FS55" s="2672"/>
      <c r="FT55" s="2672"/>
      <c r="FU55" s="2672"/>
      <c r="FV55" s="2672"/>
      <c r="FW55" s="2672"/>
      <c r="FX55" s="2672"/>
      <c r="FY55" s="2672"/>
      <c r="FZ55" s="2672"/>
      <c r="GA55" s="2672"/>
      <c r="GB55" s="2672"/>
      <c r="GC55" s="2672"/>
      <c r="GD55" s="2672"/>
      <c r="GE55" s="2672"/>
      <c r="GF55" s="2672"/>
      <c r="GG55" s="2672"/>
      <c r="GH55" s="2672"/>
      <c r="GI55" s="2672"/>
      <c r="GJ55" s="2672"/>
      <c r="GK55" s="2672"/>
      <c r="GL55" s="2672"/>
      <c r="GM55" s="2672"/>
      <c r="GN55" s="2672"/>
      <c r="GO55" s="2672"/>
      <c r="GP55" s="2672"/>
      <c r="GQ55" s="2672"/>
      <c r="GR55" s="2672"/>
      <c r="GS55" s="2672"/>
      <c r="GT55" s="2672"/>
      <c r="GU55" s="2672"/>
      <c r="GV55" s="2672"/>
      <c r="GW55" s="2672"/>
    </row>
    <row r="56" spans="1:205" ht="17.399999999999999">
      <c r="B56" s="1525">
        <f t="shared" si="1"/>
        <v>52</v>
      </c>
      <c r="C56" s="2658" t="s">
        <v>502</v>
      </c>
      <c r="D56" s="2673">
        <v>642.29999999999995</v>
      </c>
      <c r="E56" s="2660" t="s">
        <v>480</v>
      </c>
      <c r="F56" s="3700" t="s">
        <v>160</v>
      </c>
      <c r="G56" s="3701"/>
      <c r="H56" s="3701" t="s">
        <v>160</v>
      </c>
      <c r="I56" s="3701" t="s">
        <v>160</v>
      </c>
      <c r="J56" s="3701" t="s">
        <v>160</v>
      </c>
      <c r="K56" s="3701" t="s">
        <v>160</v>
      </c>
      <c r="L56" s="3701" t="s">
        <v>160</v>
      </c>
      <c r="M56" s="3701" t="s">
        <v>160</v>
      </c>
      <c r="N56" s="3701" t="s">
        <v>160</v>
      </c>
      <c r="O56" s="3701"/>
      <c r="P56" s="3701"/>
      <c r="Q56" s="3701"/>
      <c r="R56" s="3701"/>
      <c r="S56" s="3701"/>
      <c r="T56" s="3701"/>
      <c r="U56" s="3701"/>
      <c r="V56" s="3701"/>
      <c r="W56" s="3701"/>
      <c r="X56" s="3701"/>
      <c r="Y56" s="3701"/>
      <c r="Z56" s="3701"/>
      <c r="AA56" s="3701"/>
      <c r="AB56" s="3701"/>
      <c r="AC56" s="3701"/>
      <c r="AD56" s="3701" t="s">
        <v>160</v>
      </c>
      <c r="AE56" s="3701" t="s">
        <v>160</v>
      </c>
      <c r="AF56" s="3702"/>
      <c r="AG56" s="1519">
        <f t="shared" si="0"/>
        <v>0</v>
      </c>
      <c r="AH56" s="2672"/>
      <c r="AI56" s="2672"/>
      <c r="AJ56" s="2672"/>
      <c r="AK56" s="2672"/>
      <c r="AL56" s="2672"/>
      <c r="AM56" s="2672"/>
      <c r="AN56" s="2672"/>
      <c r="AO56" s="2672"/>
      <c r="AP56" s="2683">
        <f t="shared" si="2"/>
        <v>42</v>
      </c>
      <c r="AQ56" s="2684" t="str">
        <f t="shared" si="3"/>
        <v>Input Classic</v>
      </c>
      <c r="AR56" s="2684"/>
      <c r="AS56" s="2684"/>
      <c r="AT56" s="2684"/>
      <c r="AU56" s="2684"/>
      <c r="AV56" s="2685">
        <f t="shared" si="8"/>
        <v>65</v>
      </c>
      <c r="AW56" s="2686" t="str">
        <f t="shared" si="8"/>
        <v>F</v>
      </c>
      <c r="AX56" s="2684"/>
      <c r="AY56" s="2683">
        <f t="shared" si="5"/>
        <v>92</v>
      </c>
      <c r="AZ56" s="2684" t="str">
        <f t="shared" si="6"/>
        <v/>
      </c>
      <c r="BA56" s="2684"/>
      <c r="BB56" s="2684" t="str">
        <f t="shared" si="9"/>
        <v/>
      </c>
      <c r="BC56" s="2686" t="str">
        <f t="shared" si="9"/>
        <v/>
      </c>
      <c r="BD56" s="2684"/>
      <c r="BE56" s="2684"/>
      <c r="BF56" s="2687"/>
      <c r="BG56" s="2672"/>
      <c r="BH56" s="2672"/>
      <c r="BI56" s="2672"/>
      <c r="BJ56" s="2672"/>
      <c r="BK56" s="2672"/>
      <c r="BL56" s="2672"/>
      <c r="BM56" s="2672"/>
      <c r="BN56" s="2672"/>
      <c r="BO56" s="2672"/>
      <c r="BP56" s="2672"/>
      <c r="BQ56" s="2672"/>
      <c r="BR56" s="2672"/>
      <c r="BS56" s="2672"/>
      <c r="BT56" s="2672"/>
      <c r="BU56" s="2672"/>
      <c r="BV56" s="2672"/>
      <c r="BW56" s="2672"/>
      <c r="BX56" s="2672"/>
      <c r="BY56" s="2672"/>
      <c r="BZ56" s="2672"/>
      <c r="CA56" s="2672"/>
      <c r="CB56" s="2672"/>
      <c r="CC56" s="2672"/>
      <c r="CD56" s="2672"/>
      <c r="CE56" s="2672"/>
      <c r="CF56" s="2672"/>
      <c r="CG56" s="2672"/>
      <c r="CH56" s="2672"/>
      <c r="CI56" s="2672"/>
      <c r="CJ56" s="2672"/>
      <c r="CK56" s="2672"/>
      <c r="CL56" s="2672"/>
      <c r="CM56" s="2672"/>
      <c r="CN56" s="2672"/>
      <c r="CO56" s="2672"/>
      <c r="CP56" s="2672"/>
      <c r="CQ56" s="2672"/>
      <c r="CR56" s="2672"/>
      <c r="CS56" s="2672"/>
      <c r="CT56" s="2672"/>
      <c r="CU56" s="2672"/>
      <c r="CV56" s="2672"/>
      <c r="CW56" s="2672"/>
      <c r="CX56" s="2672"/>
      <c r="CY56" s="2672"/>
      <c r="CZ56" s="2672"/>
      <c r="DA56" s="2672"/>
      <c r="DB56" s="2672"/>
      <c r="DC56" s="2672"/>
      <c r="DD56" s="2672"/>
      <c r="DE56" s="2672"/>
      <c r="DF56" s="2672"/>
      <c r="DG56" s="2672"/>
      <c r="DH56" s="2672"/>
      <c r="DI56" s="2672"/>
      <c r="DJ56" s="2672"/>
      <c r="DK56" s="2672"/>
      <c r="DL56" s="2672"/>
      <c r="DM56" s="2672"/>
      <c r="DN56" s="2672"/>
      <c r="DO56" s="2672"/>
      <c r="DP56" s="2672"/>
      <c r="DQ56" s="2672"/>
      <c r="DR56" s="2672"/>
      <c r="DS56" s="2672"/>
      <c r="DT56" s="2672"/>
      <c r="DU56" s="2672"/>
      <c r="DV56" s="2672"/>
      <c r="DW56" s="2672"/>
      <c r="DX56" s="2672"/>
      <c r="DY56" s="2672"/>
      <c r="DZ56" s="2672"/>
      <c r="EA56" s="2672"/>
      <c r="EB56" s="2672"/>
      <c r="EC56" s="2672"/>
      <c r="ED56" s="2672"/>
      <c r="EE56" s="2672"/>
      <c r="EF56" s="2672"/>
      <c r="EG56" s="2672"/>
      <c r="EH56" s="2672"/>
      <c r="EI56" s="2672"/>
      <c r="EJ56" s="2672"/>
      <c r="EK56" s="2672"/>
      <c r="EL56" s="2672"/>
      <c r="EM56" s="2672"/>
      <c r="EN56" s="2672"/>
      <c r="EO56" s="2672"/>
      <c r="EP56" s="2672"/>
      <c r="EQ56" s="2672"/>
      <c r="ER56" s="2672"/>
      <c r="ES56" s="2672"/>
      <c r="ET56" s="2672"/>
      <c r="EU56" s="2672"/>
      <c r="EV56" s="2672"/>
      <c r="EW56" s="2672"/>
      <c r="EX56" s="2672"/>
      <c r="EY56" s="2672"/>
      <c r="EZ56" s="2672"/>
      <c r="FA56" s="2672"/>
      <c r="FB56" s="2672"/>
      <c r="FC56" s="2672"/>
      <c r="FD56" s="2672"/>
      <c r="FE56" s="2672"/>
      <c r="FF56" s="2672"/>
      <c r="FG56" s="2672"/>
      <c r="FH56" s="2672"/>
      <c r="FI56" s="2672"/>
      <c r="FJ56" s="2672"/>
      <c r="FK56" s="2672"/>
      <c r="FL56" s="2672"/>
      <c r="FM56" s="2672"/>
      <c r="FN56" s="2672"/>
      <c r="FO56" s="2672"/>
      <c r="FP56" s="2672"/>
      <c r="FQ56" s="2672"/>
      <c r="FR56" s="2672"/>
      <c r="FS56" s="2672"/>
      <c r="FT56" s="2672"/>
      <c r="FU56" s="2672"/>
      <c r="FV56" s="2672"/>
      <c r="FW56" s="2672"/>
      <c r="FX56" s="2672"/>
      <c r="FY56" s="2672"/>
      <c r="FZ56" s="2672"/>
      <c r="GA56" s="2672"/>
      <c r="GB56" s="2672"/>
      <c r="GC56" s="2672"/>
      <c r="GD56" s="2672"/>
      <c r="GE56" s="2672"/>
      <c r="GF56" s="2672"/>
      <c r="GG56" s="2672"/>
      <c r="GH56" s="2672"/>
      <c r="GI56" s="2672"/>
      <c r="GJ56" s="2672"/>
      <c r="GK56" s="2672"/>
      <c r="GL56" s="2672"/>
      <c r="GM56" s="2672"/>
      <c r="GN56" s="2672"/>
      <c r="GO56" s="2672"/>
      <c r="GP56" s="2672"/>
      <c r="GQ56" s="2672"/>
      <c r="GR56" s="2672"/>
      <c r="GS56" s="2672"/>
      <c r="GT56" s="2672"/>
      <c r="GU56" s="2672"/>
      <c r="GV56" s="2672"/>
      <c r="GW56" s="2672"/>
    </row>
    <row r="57" spans="1:205" s="2656" customFormat="1" ht="17.399999999999999">
      <c r="A57" s="2672"/>
      <c r="B57" s="1525">
        <f t="shared" si="1"/>
        <v>53</v>
      </c>
      <c r="C57" s="3450"/>
      <c r="D57" s="3451"/>
      <c r="E57" s="3452"/>
      <c r="F57" s="3705"/>
      <c r="G57" s="3706"/>
      <c r="H57" s="3706"/>
      <c r="I57" s="3706"/>
      <c r="J57" s="3706"/>
      <c r="K57" s="3706"/>
      <c r="L57" s="3706"/>
      <c r="M57" s="3706"/>
      <c r="N57" s="3706"/>
      <c r="O57" s="3706"/>
      <c r="P57" s="3706"/>
      <c r="Q57" s="3706"/>
      <c r="R57" s="3706"/>
      <c r="S57" s="3706"/>
      <c r="T57" s="3706"/>
      <c r="U57" s="3706"/>
      <c r="V57" s="3706"/>
      <c r="W57" s="3706"/>
      <c r="X57" s="3706"/>
      <c r="Y57" s="3706"/>
      <c r="Z57" s="3706"/>
      <c r="AA57" s="3706"/>
      <c r="AB57" s="3706"/>
      <c r="AC57" s="3706"/>
      <c r="AD57" s="3707"/>
      <c r="AE57" s="3707"/>
      <c r="AF57" s="3708"/>
      <c r="AG57" s="2657">
        <f t="shared" si="0"/>
        <v>0</v>
      </c>
      <c r="AH57" s="2672"/>
      <c r="AI57" s="2672"/>
      <c r="AJ57" s="2672"/>
      <c r="AK57" s="2672"/>
      <c r="AL57" s="2672"/>
      <c r="AM57" s="2672"/>
      <c r="AN57" s="2672"/>
      <c r="AO57" s="2672"/>
      <c r="AP57" s="2683">
        <f t="shared" si="2"/>
        <v>43</v>
      </c>
      <c r="AQ57" s="2684" t="str">
        <f t="shared" si="3"/>
        <v>Input Xpro</v>
      </c>
      <c r="AR57" s="2684"/>
      <c r="AS57" s="2684"/>
      <c r="AT57" s="2684"/>
      <c r="AU57" s="2684"/>
      <c r="AV57" s="2685">
        <f t="shared" si="8"/>
        <v>67.7</v>
      </c>
      <c r="AW57" s="2686" t="str">
        <f t="shared" si="8"/>
        <v>F</v>
      </c>
      <c r="AX57" s="2672"/>
      <c r="AY57" s="2683">
        <f t="shared" si="5"/>
        <v>93</v>
      </c>
      <c r="AZ57" s="2684" t="str">
        <f t="shared" si="6"/>
        <v/>
      </c>
      <c r="BA57" s="2684"/>
      <c r="BB57" s="2684" t="str">
        <f t="shared" si="9"/>
        <v/>
      </c>
      <c r="BC57" s="2686" t="str">
        <f t="shared" si="9"/>
        <v/>
      </c>
      <c r="BD57" s="2687"/>
      <c r="BE57" s="2687"/>
      <c r="BF57" s="2687"/>
      <c r="BG57" s="2672"/>
      <c r="BH57" s="2672"/>
      <c r="BI57" s="2672"/>
      <c r="BJ57" s="2672"/>
      <c r="BK57" s="2672"/>
      <c r="BL57" s="2672"/>
      <c r="BM57" s="2672"/>
      <c r="BN57" s="2672"/>
      <c r="BO57" s="2672"/>
      <c r="BP57" s="2672"/>
      <c r="BQ57" s="2672"/>
      <c r="BR57" s="2672"/>
      <c r="BS57" s="2672"/>
      <c r="BT57" s="2672"/>
      <c r="BU57" s="2672"/>
      <c r="BV57" s="2672"/>
      <c r="BW57" s="2672"/>
      <c r="BX57" s="2672"/>
      <c r="BY57" s="2672"/>
      <c r="BZ57" s="2672"/>
      <c r="CA57" s="2672"/>
      <c r="CB57" s="2672"/>
      <c r="CC57" s="2672"/>
      <c r="CD57" s="2672"/>
      <c r="CE57" s="2672"/>
      <c r="CF57" s="2672"/>
      <c r="CG57" s="2672"/>
      <c r="CH57" s="2672"/>
      <c r="CI57" s="2672"/>
      <c r="CJ57" s="2672"/>
      <c r="CK57" s="2672"/>
      <c r="CL57" s="2672"/>
      <c r="CM57" s="2672"/>
      <c r="CN57" s="2672"/>
      <c r="CO57" s="2672"/>
      <c r="CP57" s="2672"/>
      <c r="CQ57" s="2672"/>
      <c r="CR57" s="2672"/>
      <c r="CS57" s="2672"/>
      <c r="CT57" s="2672"/>
      <c r="CU57" s="2672"/>
      <c r="CV57" s="2672"/>
      <c r="CW57" s="2672"/>
      <c r="CX57" s="2672"/>
      <c r="CY57" s="2672"/>
      <c r="CZ57" s="2672"/>
      <c r="DA57" s="2672"/>
      <c r="DB57" s="2672"/>
      <c r="DC57" s="2672"/>
      <c r="DD57" s="2672"/>
      <c r="DE57" s="2672"/>
      <c r="DF57" s="2672"/>
      <c r="DG57" s="2672"/>
      <c r="DH57" s="2672"/>
      <c r="DI57" s="2672"/>
      <c r="DJ57" s="2672"/>
      <c r="DK57" s="2672"/>
      <c r="DL57" s="2672"/>
      <c r="DM57" s="2672"/>
      <c r="DN57" s="2672"/>
      <c r="DO57" s="2672"/>
      <c r="DP57" s="2672"/>
      <c r="DQ57" s="2672"/>
      <c r="DR57" s="2672"/>
      <c r="DS57" s="2672"/>
      <c r="DT57" s="2672"/>
      <c r="DU57" s="2672"/>
      <c r="DV57" s="2672"/>
      <c r="DW57" s="2672"/>
      <c r="DX57" s="2672"/>
      <c r="DY57" s="2672"/>
      <c r="DZ57" s="2672"/>
      <c r="EA57" s="2672"/>
      <c r="EB57" s="2672"/>
      <c r="EC57" s="2672"/>
      <c r="ED57" s="2672"/>
      <c r="EE57" s="2672"/>
      <c r="EF57" s="2672"/>
      <c r="EG57" s="2672"/>
      <c r="EH57" s="2672"/>
      <c r="EI57" s="2672"/>
      <c r="EJ57" s="2672"/>
      <c r="EK57" s="2672"/>
      <c r="EL57" s="2672"/>
      <c r="EM57" s="2672"/>
      <c r="EN57" s="2672"/>
      <c r="EO57" s="2672"/>
      <c r="EP57" s="2672"/>
      <c r="EQ57" s="2672"/>
      <c r="ER57" s="2672"/>
      <c r="ES57" s="2672"/>
      <c r="ET57" s="2672"/>
      <c r="EU57" s="2672"/>
      <c r="EV57" s="2672"/>
      <c r="EW57" s="2672"/>
      <c r="EX57" s="2672"/>
      <c r="EY57" s="2672"/>
      <c r="EZ57" s="2672"/>
      <c r="FA57" s="2672"/>
      <c r="FB57" s="2672"/>
      <c r="FC57" s="2672"/>
      <c r="FD57" s="2672"/>
      <c r="FE57" s="2672"/>
      <c r="FF57" s="2672"/>
      <c r="FG57" s="2672"/>
      <c r="FH57" s="2672"/>
      <c r="FI57" s="2672"/>
      <c r="FJ57" s="2672"/>
      <c r="FK57" s="2672"/>
      <c r="FL57" s="2672"/>
      <c r="FM57" s="2672"/>
      <c r="FN57" s="2672"/>
      <c r="FO57" s="2672"/>
      <c r="FP57" s="2672"/>
      <c r="FQ57" s="2672"/>
      <c r="FR57" s="2672"/>
      <c r="FS57" s="2672"/>
      <c r="FT57" s="2672"/>
      <c r="FU57" s="2672"/>
      <c r="FV57" s="2672"/>
      <c r="FW57" s="2672"/>
      <c r="FX57" s="2672"/>
      <c r="FY57" s="2672"/>
      <c r="FZ57" s="2672"/>
      <c r="GA57" s="2672"/>
      <c r="GB57" s="2672"/>
      <c r="GC57" s="2672"/>
      <c r="GD57" s="2672"/>
      <c r="GE57" s="2672"/>
      <c r="GF57" s="2672"/>
      <c r="GG57" s="2672"/>
      <c r="GH57" s="2672"/>
      <c r="GI57" s="2672"/>
      <c r="GJ57" s="2672"/>
      <c r="GK57" s="2672"/>
      <c r="GL57" s="2672"/>
      <c r="GM57" s="2672"/>
      <c r="GN57" s="2672"/>
      <c r="GO57" s="2672"/>
      <c r="GP57" s="2672"/>
      <c r="GQ57" s="2672"/>
      <c r="GR57" s="2672"/>
      <c r="GS57" s="2672"/>
      <c r="GT57" s="2672"/>
      <c r="GU57" s="2672"/>
      <c r="GV57" s="2672"/>
      <c r="GW57" s="2672"/>
    </row>
    <row r="58" spans="1:205" ht="17.399999999999999">
      <c r="B58" s="1525">
        <f t="shared" si="1"/>
        <v>54</v>
      </c>
      <c r="C58" s="2658" t="s">
        <v>500</v>
      </c>
      <c r="D58" s="2673">
        <v>144.44</v>
      </c>
      <c r="E58" s="2660" t="s">
        <v>480</v>
      </c>
      <c r="F58" s="3700" t="s">
        <v>160</v>
      </c>
      <c r="G58" s="3701" t="s">
        <v>160</v>
      </c>
      <c r="H58" s="3701" t="s">
        <v>160</v>
      </c>
      <c r="I58" s="3701" t="s">
        <v>160</v>
      </c>
      <c r="J58" s="3701" t="s">
        <v>160</v>
      </c>
      <c r="K58" s="3701" t="s">
        <v>160</v>
      </c>
      <c r="L58" s="3701" t="s">
        <v>160</v>
      </c>
      <c r="M58" s="3701" t="s">
        <v>160</v>
      </c>
      <c r="N58" s="3701" t="s">
        <v>160</v>
      </c>
      <c r="O58" s="3701" t="s">
        <v>160</v>
      </c>
      <c r="P58" s="3701"/>
      <c r="Q58" s="3701"/>
      <c r="R58" s="3701"/>
      <c r="S58" s="3701"/>
      <c r="T58" s="3701"/>
      <c r="U58" s="3701"/>
      <c r="V58" s="3701"/>
      <c r="W58" s="3701"/>
      <c r="X58" s="3701"/>
      <c r="Y58" s="3701"/>
      <c r="Z58" s="3701"/>
      <c r="AA58" s="3701"/>
      <c r="AB58" s="3701"/>
      <c r="AC58" s="3701"/>
      <c r="AD58" s="3701" t="s">
        <v>160</v>
      </c>
      <c r="AE58" s="3701"/>
      <c r="AF58" s="3702"/>
      <c r="AG58" s="1519">
        <f t="shared" si="0"/>
        <v>0</v>
      </c>
      <c r="AH58" s="2672"/>
      <c r="AI58" s="2672"/>
      <c r="AJ58" s="2672"/>
      <c r="AK58" s="2672"/>
      <c r="AL58" s="2672"/>
      <c r="AM58" s="2672"/>
      <c r="AN58" s="2672"/>
      <c r="AO58" s="2672"/>
      <c r="AP58" s="2683">
        <f t="shared" si="2"/>
        <v>44</v>
      </c>
      <c r="AQ58" s="2684" t="str">
        <f t="shared" si="3"/>
        <v>Metafol SC</v>
      </c>
      <c r="AR58" s="2684"/>
      <c r="AS58" s="2684"/>
      <c r="AT58" s="2684"/>
      <c r="AU58" s="2684"/>
      <c r="AV58" s="2685">
        <f t="shared" si="8"/>
        <v>24.1</v>
      </c>
      <c r="AW58" s="2686" t="str">
        <f t="shared" si="8"/>
        <v>H</v>
      </c>
      <c r="AX58" s="2672"/>
      <c r="AY58" s="2683">
        <f t="shared" si="5"/>
        <v>94</v>
      </c>
      <c r="AZ58" s="2684" t="str">
        <f t="shared" si="6"/>
        <v/>
      </c>
      <c r="BA58" s="2684"/>
      <c r="BB58" s="2684" t="str">
        <f t="shared" si="9"/>
        <v/>
      </c>
      <c r="BC58" s="2686" t="str">
        <f t="shared" si="9"/>
        <v/>
      </c>
      <c r="BD58" s="2672"/>
      <c r="BE58" s="2672"/>
      <c r="BF58" s="2672"/>
      <c r="BG58" s="2672"/>
      <c r="BH58" s="2672"/>
      <c r="BI58" s="2672"/>
      <c r="BJ58" s="2672"/>
      <c r="BK58" s="2672"/>
      <c r="BL58" s="2672"/>
      <c r="BM58" s="2672"/>
      <c r="BN58" s="2672"/>
      <c r="BO58" s="2672"/>
      <c r="BP58" s="2672"/>
      <c r="BQ58" s="2672"/>
      <c r="BR58" s="2672"/>
      <c r="BS58" s="2672"/>
      <c r="BT58" s="2672"/>
      <c r="BU58" s="2672"/>
      <c r="BV58" s="2672"/>
      <c r="BW58" s="2672"/>
      <c r="BX58" s="2672"/>
      <c r="BY58" s="2672"/>
      <c r="BZ58" s="2672"/>
      <c r="CA58" s="2672"/>
      <c r="CB58" s="2672"/>
      <c r="CC58" s="2672"/>
      <c r="CD58" s="2672"/>
      <c r="CE58" s="2672"/>
      <c r="CF58" s="2672"/>
      <c r="CG58" s="2672"/>
      <c r="CH58" s="2672"/>
      <c r="CI58" s="2672"/>
      <c r="CJ58" s="2672"/>
      <c r="CK58" s="2672"/>
      <c r="CL58" s="2672"/>
      <c r="CM58" s="2672"/>
      <c r="CN58" s="2672"/>
      <c r="CO58" s="2672"/>
      <c r="CP58" s="2672"/>
      <c r="CQ58" s="2672"/>
      <c r="CR58" s="2672"/>
      <c r="CS58" s="2672"/>
      <c r="CT58" s="2672"/>
      <c r="CU58" s="2672"/>
      <c r="CV58" s="2672"/>
      <c r="CW58" s="2672"/>
      <c r="CX58" s="2672"/>
      <c r="CY58" s="2672"/>
      <c r="CZ58" s="2672"/>
      <c r="DA58" s="2672"/>
      <c r="DB58" s="2672"/>
      <c r="DC58" s="2672"/>
      <c r="DD58" s="2672"/>
      <c r="DE58" s="2672"/>
      <c r="DF58" s="2672"/>
      <c r="DG58" s="2672"/>
      <c r="DH58" s="2672"/>
      <c r="DI58" s="2672"/>
      <c r="DJ58" s="2672"/>
      <c r="DK58" s="2672"/>
      <c r="DL58" s="2672"/>
      <c r="DM58" s="2672"/>
      <c r="DN58" s="2672"/>
      <c r="DO58" s="2672"/>
      <c r="DP58" s="2672"/>
      <c r="DQ58" s="2672"/>
      <c r="DR58" s="2672"/>
      <c r="DS58" s="2672"/>
      <c r="DT58" s="2672"/>
      <c r="DU58" s="2672"/>
      <c r="DV58" s="2672"/>
      <c r="DW58" s="2672"/>
      <c r="DX58" s="2672"/>
      <c r="DY58" s="2672"/>
      <c r="DZ58" s="2672"/>
      <c r="EA58" s="2672"/>
      <c r="EB58" s="2672"/>
      <c r="EC58" s="2672"/>
      <c r="ED58" s="2672"/>
      <c r="EE58" s="2672"/>
      <c r="EF58" s="2672"/>
      <c r="EG58" s="2672"/>
      <c r="EH58" s="2672"/>
      <c r="EI58" s="2672"/>
      <c r="EJ58" s="2672"/>
      <c r="EK58" s="2672"/>
      <c r="EL58" s="2672"/>
      <c r="EM58" s="2672"/>
      <c r="EN58" s="2672"/>
      <c r="EO58" s="2672"/>
      <c r="EP58" s="2672"/>
      <c r="EQ58" s="2672"/>
      <c r="ER58" s="2672"/>
      <c r="ES58" s="2672"/>
      <c r="ET58" s="2672"/>
      <c r="EU58" s="2672"/>
      <c r="EV58" s="2672"/>
      <c r="EW58" s="2672"/>
      <c r="EX58" s="2672"/>
      <c r="EY58" s="2672"/>
      <c r="EZ58" s="2672"/>
      <c r="FA58" s="2672"/>
      <c r="FB58" s="2672"/>
      <c r="FC58" s="2672"/>
      <c r="FD58" s="2672"/>
      <c r="FE58" s="2672"/>
      <c r="FF58" s="2672"/>
      <c r="FG58" s="2672"/>
      <c r="FH58" s="2672"/>
      <c r="FI58" s="2672"/>
      <c r="FJ58" s="2672"/>
      <c r="FK58" s="2672"/>
      <c r="FL58" s="2672"/>
      <c r="FM58" s="2672"/>
      <c r="FN58" s="2672"/>
      <c r="FO58" s="2672"/>
      <c r="FP58" s="2672"/>
      <c r="FQ58" s="2672"/>
      <c r="FR58" s="2672"/>
      <c r="FS58" s="2672"/>
      <c r="FT58" s="2672"/>
      <c r="FU58" s="2672"/>
      <c r="FV58" s="2672"/>
      <c r="FW58" s="2672"/>
      <c r="FX58" s="2672"/>
      <c r="FY58" s="2672"/>
      <c r="FZ58" s="2672"/>
      <c r="GA58" s="2672"/>
      <c r="GB58" s="2672"/>
      <c r="GC58" s="2672"/>
      <c r="GD58" s="2672"/>
      <c r="GE58" s="2672"/>
      <c r="GF58" s="2672"/>
      <c r="GG58" s="2672"/>
      <c r="GH58" s="2672"/>
      <c r="GI58" s="2672"/>
      <c r="GJ58" s="2672"/>
      <c r="GK58" s="2672"/>
      <c r="GL58" s="2672"/>
      <c r="GM58" s="2672"/>
      <c r="GN58" s="2672"/>
      <c r="GO58" s="2672"/>
      <c r="GP58" s="2672"/>
      <c r="GQ58" s="2672"/>
      <c r="GR58" s="2672"/>
      <c r="GS58" s="2672"/>
      <c r="GT58" s="2672"/>
      <c r="GU58" s="2672"/>
      <c r="GV58" s="2672"/>
      <c r="GW58" s="2672"/>
    </row>
    <row r="59" spans="1:205" s="2656" customFormat="1" ht="17.399999999999999">
      <c r="A59" s="2672"/>
      <c r="B59" s="1525">
        <f t="shared" si="1"/>
        <v>55</v>
      </c>
      <c r="C59" s="2658" t="s">
        <v>499</v>
      </c>
      <c r="D59" s="2673">
        <v>68.400000000000006</v>
      </c>
      <c r="E59" s="2660" t="s">
        <v>482</v>
      </c>
      <c r="F59" s="3700"/>
      <c r="G59" s="3701"/>
      <c r="H59" s="3701"/>
      <c r="I59" s="3701"/>
      <c r="J59" s="3701"/>
      <c r="K59" s="3701"/>
      <c r="L59" s="3701"/>
      <c r="M59" s="3701"/>
      <c r="N59" s="3701"/>
      <c r="O59" s="3701"/>
      <c r="P59" s="3701"/>
      <c r="Q59" s="3701"/>
      <c r="R59" s="3701"/>
      <c r="S59" s="3701" t="s">
        <v>160</v>
      </c>
      <c r="T59" s="3701" t="s">
        <v>160</v>
      </c>
      <c r="U59" s="3701"/>
      <c r="V59" s="3701"/>
      <c r="W59" s="3701"/>
      <c r="X59" s="3701"/>
      <c r="Y59" s="3701"/>
      <c r="Z59" s="3701"/>
      <c r="AA59" s="3701"/>
      <c r="AB59" s="3701"/>
      <c r="AC59" s="3701"/>
      <c r="AD59" s="3701" t="s">
        <v>160</v>
      </c>
      <c r="AE59" s="3701"/>
      <c r="AF59" s="3702"/>
      <c r="AG59" s="2657">
        <f t="shared" si="0"/>
        <v>0</v>
      </c>
      <c r="AH59" s="2672"/>
      <c r="AI59" s="2672"/>
      <c r="AJ59" s="2672"/>
      <c r="AK59" s="2672"/>
      <c r="AL59" s="2672"/>
      <c r="AM59" s="2672"/>
      <c r="AN59" s="2672"/>
      <c r="AO59" s="2672"/>
      <c r="AP59" s="2683">
        <f t="shared" si="2"/>
        <v>45</v>
      </c>
      <c r="AQ59" s="2684" t="str">
        <f t="shared" si="3"/>
        <v>Karate Zeon</v>
      </c>
      <c r="AR59" s="2684"/>
      <c r="AS59" s="2684"/>
      <c r="AT59" s="2684"/>
      <c r="AU59" s="2684"/>
      <c r="AV59" s="2685">
        <f t="shared" si="8"/>
        <v>150</v>
      </c>
      <c r="AW59" s="2686" t="str">
        <f t="shared" si="8"/>
        <v>I</v>
      </c>
      <c r="AX59" s="2672"/>
      <c r="AY59" s="2683">
        <f t="shared" si="5"/>
        <v>95</v>
      </c>
      <c r="AZ59" s="2684" t="str">
        <f t="shared" si="6"/>
        <v/>
      </c>
      <c r="BA59" s="2684"/>
      <c r="BB59" s="2684" t="str">
        <f t="shared" si="9"/>
        <v/>
      </c>
      <c r="BC59" s="2686" t="str">
        <f t="shared" si="9"/>
        <v/>
      </c>
      <c r="BD59" s="2672"/>
      <c r="BE59" s="2672"/>
      <c r="BF59" s="2672"/>
      <c r="BG59" s="2672"/>
      <c r="BH59" s="2672"/>
      <c r="BI59" s="2672"/>
      <c r="BJ59" s="2672"/>
      <c r="BK59" s="2672"/>
      <c r="BL59" s="2672"/>
      <c r="BM59" s="2672"/>
      <c r="BN59" s="2672"/>
      <c r="BO59" s="2672"/>
      <c r="BP59" s="2672"/>
      <c r="BQ59" s="2672"/>
      <c r="BR59" s="2672"/>
      <c r="BS59" s="2672"/>
      <c r="BT59" s="2672"/>
      <c r="BU59" s="2672"/>
      <c r="BV59" s="2672"/>
      <c r="BW59" s="2672"/>
      <c r="BX59" s="2672"/>
      <c r="BY59" s="2672"/>
      <c r="BZ59" s="2672"/>
      <c r="CA59" s="2672"/>
      <c r="CB59" s="2672"/>
      <c r="CC59" s="2672"/>
      <c r="CD59" s="2672"/>
      <c r="CE59" s="2672"/>
      <c r="CF59" s="2672"/>
      <c r="CG59" s="2672"/>
      <c r="CH59" s="2672"/>
      <c r="CI59" s="2672"/>
      <c r="CJ59" s="2672"/>
      <c r="CK59" s="2672"/>
      <c r="CL59" s="2672"/>
      <c r="CM59" s="2672"/>
      <c r="CN59" s="2672"/>
      <c r="CO59" s="2672"/>
      <c r="CP59" s="2672"/>
      <c r="CQ59" s="2672"/>
      <c r="CR59" s="2672"/>
      <c r="CS59" s="2672"/>
      <c r="CT59" s="2672"/>
      <c r="CU59" s="2672"/>
      <c r="CV59" s="2672"/>
      <c r="CW59" s="2672"/>
      <c r="CX59" s="2672"/>
      <c r="CY59" s="2672"/>
      <c r="CZ59" s="2672"/>
      <c r="DA59" s="2672"/>
      <c r="DB59" s="2672"/>
      <c r="DC59" s="2672"/>
      <c r="DD59" s="2672"/>
      <c r="DE59" s="2672"/>
      <c r="DF59" s="2672"/>
      <c r="DG59" s="2672"/>
      <c r="DH59" s="2672"/>
      <c r="DI59" s="2672"/>
      <c r="DJ59" s="2672"/>
      <c r="DK59" s="2672"/>
      <c r="DL59" s="2672"/>
      <c r="DM59" s="2672"/>
      <c r="DN59" s="2672"/>
      <c r="DO59" s="2672"/>
      <c r="DP59" s="2672"/>
      <c r="DQ59" s="2672"/>
      <c r="DR59" s="2672"/>
      <c r="DS59" s="2672"/>
      <c r="DT59" s="2672"/>
      <c r="DU59" s="2672"/>
      <c r="DV59" s="2672"/>
      <c r="DW59" s="2672"/>
      <c r="DX59" s="2672"/>
      <c r="DY59" s="2672"/>
      <c r="DZ59" s="2672"/>
      <c r="EA59" s="2672"/>
      <c r="EB59" s="2672"/>
      <c r="EC59" s="2672"/>
      <c r="ED59" s="2672"/>
      <c r="EE59" s="2672"/>
      <c r="EF59" s="2672"/>
      <c r="EG59" s="2672"/>
      <c r="EH59" s="2672"/>
      <c r="EI59" s="2672"/>
      <c r="EJ59" s="2672"/>
      <c r="EK59" s="2672"/>
      <c r="EL59" s="2672"/>
      <c r="EM59" s="2672"/>
      <c r="EN59" s="2672"/>
      <c r="EO59" s="2672"/>
      <c r="EP59" s="2672"/>
      <c r="EQ59" s="2672"/>
      <c r="ER59" s="2672"/>
      <c r="ES59" s="2672"/>
      <c r="ET59" s="2672"/>
      <c r="EU59" s="2672"/>
      <c r="EV59" s="2672"/>
      <c r="EW59" s="2672"/>
      <c r="EX59" s="2672"/>
      <c r="EY59" s="2672"/>
      <c r="EZ59" s="2672"/>
      <c r="FA59" s="2672"/>
      <c r="FB59" s="2672"/>
      <c r="FC59" s="2672"/>
      <c r="FD59" s="2672"/>
      <c r="FE59" s="2672"/>
      <c r="FF59" s="2672"/>
      <c r="FG59" s="2672"/>
      <c r="FH59" s="2672"/>
      <c r="FI59" s="2672"/>
      <c r="FJ59" s="2672"/>
      <c r="FK59" s="2672"/>
      <c r="FL59" s="2672"/>
      <c r="FM59" s="2672"/>
      <c r="FN59" s="2672"/>
      <c r="FO59" s="2672"/>
      <c r="FP59" s="2672"/>
      <c r="FQ59" s="2672"/>
      <c r="FR59" s="2672"/>
      <c r="FS59" s="2672"/>
      <c r="FT59" s="2672"/>
      <c r="FU59" s="2672"/>
      <c r="FV59" s="2672"/>
      <c r="FW59" s="2672"/>
      <c r="FX59" s="2672"/>
      <c r="FY59" s="2672"/>
      <c r="FZ59" s="2672"/>
      <c r="GA59" s="2672"/>
      <c r="GB59" s="2672"/>
      <c r="GC59" s="2672"/>
      <c r="GD59" s="2672"/>
      <c r="GE59" s="2672"/>
      <c r="GF59" s="2672"/>
      <c r="GG59" s="2672"/>
      <c r="GH59" s="2672"/>
      <c r="GI59" s="2672"/>
      <c r="GJ59" s="2672"/>
      <c r="GK59" s="2672"/>
      <c r="GL59" s="2672"/>
      <c r="GM59" s="2672"/>
      <c r="GN59" s="2672"/>
      <c r="GO59" s="2672"/>
      <c r="GP59" s="2672"/>
      <c r="GQ59" s="2672"/>
      <c r="GR59" s="2672"/>
      <c r="GS59" s="2672"/>
      <c r="GT59" s="2672"/>
      <c r="GU59" s="2672"/>
      <c r="GV59" s="2672"/>
      <c r="GW59" s="2672"/>
    </row>
    <row r="60" spans="1:205" ht="17.399999999999999">
      <c r="B60" s="1525">
        <f t="shared" si="1"/>
        <v>56</v>
      </c>
      <c r="C60" s="2658" t="s">
        <v>498</v>
      </c>
      <c r="D60" s="2673">
        <v>66.900000000000006</v>
      </c>
      <c r="E60" s="2660" t="s">
        <v>482</v>
      </c>
      <c r="F60" s="3700"/>
      <c r="G60" s="3701"/>
      <c r="H60" s="3701"/>
      <c r="I60" s="3701"/>
      <c r="J60" s="3701"/>
      <c r="K60" s="3701"/>
      <c r="L60" s="3701"/>
      <c r="M60" s="3701"/>
      <c r="N60" s="3701"/>
      <c r="O60" s="3701"/>
      <c r="P60" s="3701"/>
      <c r="Q60" s="3701"/>
      <c r="R60" s="3701"/>
      <c r="S60" s="3701" t="s">
        <v>160</v>
      </c>
      <c r="T60" s="3701" t="s">
        <v>160</v>
      </c>
      <c r="U60" s="3701"/>
      <c r="V60" s="3701"/>
      <c r="W60" s="3701"/>
      <c r="X60" s="3701"/>
      <c r="Y60" s="3701"/>
      <c r="Z60" s="3701"/>
      <c r="AA60" s="3701"/>
      <c r="AB60" s="3701" t="s">
        <v>160</v>
      </c>
      <c r="AC60" s="3701"/>
      <c r="AD60" s="3701" t="s">
        <v>160</v>
      </c>
      <c r="AE60" s="3701"/>
      <c r="AF60" s="3702"/>
      <c r="AG60" s="1519">
        <f t="shared" si="0"/>
        <v>0</v>
      </c>
      <c r="AH60" s="2672"/>
      <c r="AI60" s="2672"/>
      <c r="AJ60" s="2672"/>
      <c r="AK60" s="2672"/>
      <c r="AL60" s="2672"/>
      <c r="AM60" s="2672"/>
      <c r="AN60" s="2672"/>
      <c r="AO60" s="2672"/>
      <c r="AP60" s="2683">
        <f t="shared" si="2"/>
        <v>46</v>
      </c>
      <c r="AQ60" s="2684" t="str">
        <f t="shared" si="3"/>
        <v>Mais Banvel WG</v>
      </c>
      <c r="AR60" s="2684"/>
      <c r="AS60" s="2684"/>
      <c r="AT60" s="2684"/>
      <c r="AU60" s="2684"/>
      <c r="AV60" s="3462">
        <f t="shared" si="8"/>
        <v>71.5</v>
      </c>
      <c r="AW60" s="2686" t="str">
        <f t="shared" si="8"/>
        <v>H</v>
      </c>
      <c r="AX60" s="2687"/>
      <c r="AY60" s="2683">
        <f t="shared" si="5"/>
        <v>96</v>
      </c>
      <c r="AZ60" s="2684" t="str">
        <f t="shared" si="6"/>
        <v/>
      </c>
      <c r="BA60" s="2684"/>
      <c r="BB60" s="2684" t="str">
        <f t="shared" si="9"/>
        <v/>
      </c>
      <c r="BC60" s="2686" t="str">
        <f t="shared" si="9"/>
        <v/>
      </c>
      <c r="BD60" s="2672"/>
      <c r="BE60" s="2672"/>
      <c r="BF60" s="2672"/>
      <c r="BG60" s="2672"/>
      <c r="BH60" s="2672"/>
      <c r="BI60" s="2672"/>
      <c r="BJ60" s="2672"/>
      <c r="BK60" s="2672"/>
      <c r="BL60" s="2672"/>
      <c r="BM60" s="2672"/>
      <c r="BN60" s="2672"/>
      <c r="BO60" s="2672"/>
      <c r="BP60" s="2672"/>
      <c r="BQ60" s="2672"/>
      <c r="BR60" s="2672"/>
      <c r="BS60" s="2672"/>
      <c r="BT60" s="2672"/>
      <c r="BU60" s="2672"/>
      <c r="BV60" s="2672"/>
      <c r="BW60" s="2672"/>
      <c r="BX60" s="2672"/>
      <c r="BY60" s="2672"/>
      <c r="BZ60" s="2672"/>
      <c r="CA60" s="2672"/>
      <c r="CB60" s="2672"/>
      <c r="CC60" s="2672"/>
      <c r="CD60" s="2672"/>
      <c r="CE60" s="2672"/>
      <c r="CF60" s="2672"/>
      <c r="CG60" s="2672"/>
      <c r="CH60" s="2672"/>
      <c r="CI60" s="2672"/>
      <c r="CJ60" s="2672"/>
      <c r="CK60" s="2672"/>
      <c r="CL60" s="2672"/>
      <c r="CM60" s="2672"/>
      <c r="CN60" s="2672"/>
      <c r="CO60" s="2672"/>
      <c r="CP60" s="2672"/>
      <c r="CQ60" s="2672"/>
      <c r="CR60" s="2672"/>
      <c r="CS60" s="2672"/>
      <c r="CT60" s="2672"/>
      <c r="CU60" s="2672"/>
      <c r="CV60" s="2672"/>
      <c r="CW60" s="2672"/>
      <c r="CX60" s="2672"/>
      <c r="CY60" s="2672"/>
      <c r="CZ60" s="2672"/>
      <c r="DA60" s="2672"/>
      <c r="DB60" s="2672"/>
      <c r="DC60" s="2672"/>
      <c r="DD60" s="2672"/>
      <c r="DE60" s="2672"/>
      <c r="DF60" s="2672"/>
      <c r="DG60" s="2672"/>
      <c r="DH60" s="2672"/>
      <c r="DI60" s="2672"/>
      <c r="DJ60" s="2672"/>
      <c r="DK60" s="2672"/>
      <c r="DL60" s="2672"/>
      <c r="DM60" s="2672"/>
      <c r="DN60" s="2672"/>
      <c r="DO60" s="2672"/>
      <c r="DP60" s="2672"/>
      <c r="DQ60" s="2672"/>
      <c r="DR60" s="2672"/>
      <c r="DS60" s="2672"/>
      <c r="DT60" s="2672"/>
      <c r="DU60" s="2672"/>
      <c r="DV60" s="2672"/>
      <c r="DW60" s="2672"/>
      <c r="DX60" s="2672"/>
      <c r="DY60" s="2672"/>
      <c r="DZ60" s="2672"/>
      <c r="EA60" s="2672"/>
      <c r="EB60" s="2672"/>
      <c r="EC60" s="2672"/>
      <c r="ED60" s="2672"/>
      <c r="EE60" s="2672"/>
      <c r="EF60" s="2672"/>
      <c r="EG60" s="2672"/>
      <c r="EH60" s="2672"/>
      <c r="EI60" s="2672"/>
      <c r="EJ60" s="2672"/>
      <c r="EK60" s="2672"/>
      <c r="EL60" s="2672"/>
      <c r="EM60" s="2672"/>
      <c r="EN60" s="2672"/>
      <c r="EO60" s="2672"/>
      <c r="EP60" s="2672"/>
      <c r="EQ60" s="2672"/>
      <c r="ER60" s="2672"/>
      <c r="ES60" s="2672"/>
      <c r="ET60" s="2672"/>
      <c r="EU60" s="2672"/>
      <c r="EV60" s="2672"/>
      <c r="EW60" s="2672"/>
      <c r="EX60" s="2672"/>
      <c r="EY60" s="2672"/>
      <c r="EZ60" s="2672"/>
      <c r="FA60" s="2672"/>
      <c r="FB60" s="2672"/>
      <c r="FC60" s="2672"/>
      <c r="FD60" s="2672"/>
      <c r="FE60" s="2672"/>
      <c r="FF60" s="2672"/>
      <c r="FG60" s="2672"/>
      <c r="FH60" s="2672"/>
      <c r="FI60" s="2672"/>
      <c r="FJ60" s="2672"/>
      <c r="FK60" s="2672"/>
      <c r="FL60" s="2672"/>
      <c r="FM60" s="2672"/>
      <c r="FN60" s="2672"/>
      <c r="FO60" s="2672"/>
      <c r="FP60" s="2672"/>
      <c r="FQ60" s="2672"/>
      <c r="FR60" s="2672"/>
      <c r="FS60" s="2672"/>
      <c r="FT60" s="2672"/>
      <c r="FU60" s="2672"/>
      <c r="FV60" s="2672"/>
      <c r="FW60" s="2672"/>
      <c r="FX60" s="2672"/>
      <c r="FY60" s="2672"/>
      <c r="FZ60" s="2672"/>
      <c r="GA60" s="2672"/>
      <c r="GB60" s="2672"/>
      <c r="GC60" s="2672"/>
      <c r="GD60" s="2672"/>
      <c r="GE60" s="2672"/>
      <c r="GF60" s="2672"/>
      <c r="GG60" s="2672"/>
      <c r="GH60" s="2672"/>
      <c r="GI60" s="2672"/>
      <c r="GJ60" s="2672"/>
      <c r="GK60" s="2672"/>
      <c r="GL60" s="2672"/>
      <c r="GM60" s="2672"/>
      <c r="GN60" s="2672"/>
      <c r="GO60" s="2672"/>
      <c r="GP60" s="2672"/>
      <c r="GQ60" s="2672"/>
      <c r="GR60" s="2672"/>
      <c r="GS60" s="2672"/>
      <c r="GT60" s="2672"/>
      <c r="GU60" s="2672"/>
      <c r="GV60" s="2672"/>
      <c r="GW60" s="2672"/>
    </row>
    <row r="61" spans="1:205" ht="17.399999999999999">
      <c r="B61" s="1525">
        <f t="shared" si="1"/>
        <v>57</v>
      </c>
      <c r="C61" s="2658" t="s">
        <v>497</v>
      </c>
      <c r="D61" s="2673">
        <v>61.5</v>
      </c>
      <c r="E61" s="2660" t="s">
        <v>482</v>
      </c>
      <c r="F61" s="3700" t="s">
        <v>160</v>
      </c>
      <c r="G61" s="3701" t="s">
        <v>160</v>
      </c>
      <c r="H61" s="3701" t="s">
        <v>160</v>
      </c>
      <c r="I61" s="3701" t="s">
        <v>160</v>
      </c>
      <c r="J61" s="3701" t="s">
        <v>160</v>
      </c>
      <c r="K61" s="3701" t="s">
        <v>160</v>
      </c>
      <c r="L61" s="3701" t="s">
        <v>160</v>
      </c>
      <c r="M61" s="3701" t="s">
        <v>160</v>
      </c>
      <c r="N61" s="3701"/>
      <c r="O61" s="3701" t="s">
        <v>160</v>
      </c>
      <c r="P61" s="3701" t="s">
        <v>160</v>
      </c>
      <c r="Q61" s="3701"/>
      <c r="R61" s="3701"/>
      <c r="S61" s="3701" t="s">
        <v>160</v>
      </c>
      <c r="T61" s="3701" t="s">
        <v>160</v>
      </c>
      <c r="U61" s="3701"/>
      <c r="V61" s="3701"/>
      <c r="W61" s="3701"/>
      <c r="X61" s="3701"/>
      <c r="Y61" s="3701"/>
      <c r="Z61" s="3701"/>
      <c r="AA61" s="3701"/>
      <c r="AB61" s="3701"/>
      <c r="AC61" s="3701"/>
      <c r="AD61" s="3701" t="s">
        <v>160</v>
      </c>
      <c r="AE61" s="3701"/>
      <c r="AF61" s="3702"/>
      <c r="AG61" s="1519">
        <f t="shared" si="0"/>
        <v>0</v>
      </c>
      <c r="AH61" s="2672"/>
      <c r="AI61" s="2672"/>
      <c r="AJ61" s="2672"/>
      <c r="AK61" s="2672"/>
      <c r="AL61" s="2672"/>
      <c r="AM61" s="2672"/>
      <c r="AN61" s="2672"/>
      <c r="AO61" s="2672"/>
      <c r="AP61" s="2683">
        <f t="shared" si="2"/>
        <v>47</v>
      </c>
      <c r="AQ61" s="2685" t="str">
        <f t="shared" si="3"/>
        <v>MaisTer Power</v>
      </c>
      <c r="AR61" s="2684"/>
      <c r="AS61" s="2684"/>
      <c r="AT61" s="2684"/>
      <c r="AU61" s="2684"/>
      <c r="AV61" s="2685">
        <f t="shared" si="8"/>
        <v>55.7</v>
      </c>
      <c r="AW61" s="2686" t="str">
        <f t="shared" si="8"/>
        <v>H</v>
      </c>
      <c r="AX61" s="2672"/>
      <c r="AY61" s="2683">
        <f t="shared" si="5"/>
        <v>97</v>
      </c>
      <c r="AZ61" s="2684" t="str">
        <f t="shared" si="6"/>
        <v/>
      </c>
      <c r="BA61" s="2684"/>
      <c r="BB61" s="2684" t="str">
        <f t="shared" si="9"/>
        <v/>
      </c>
      <c r="BC61" s="2686" t="str">
        <f t="shared" si="9"/>
        <v/>
      </c>
      <c r="BD61" s="2672"/>
      <c r="BE61" s="2672"/>
      <c r="BF61" s="2672"/>
      <c r="BG61" s="2672"/>
      <c r="BH61" s="2672"/>
      <c r="BI61" s="2672"/>
      <c r="BJ61" s="2672"/>
      <c r="BK61" s="2672"/>
      <c r="BL61" s="2672"/>
      <c r="BM61" s="2672"/>
      <c r="BN61" s="2672"/>
      <c r="BO61" s="2672"/>
      <c r="BP61" s="2672"/>
      <c r="BQ61" s="2672"/>
      <c r="BR61" s="2672"/>
      <c r="BS61" s="2672"/>
      <c r="BT61" s="2672"/>
      <c r="BU61" s="2672"/>
      <c r="BV61" s="2672"/>
      <c r="BW61" s="2672"/>
      <c r="BX61" s="2672"/>
      <c r="BY61" s="2672"/>
      <c r="BZ61" s="2672"/>
      <c r="CA61" s="2672"/>
      <c r="CB61" s="2672"/>
      <c r="CC61" s="2672"/>
      <c r="CD61" s="2672"/>
      <c r="CE61" s="2672"/>
      <c r="CF61" s="2672"/>
      <c r="CG61" s="2672"/>
      <c r="CH61" s="2672"/>
      <c r="CI61" s="2672"/>
      <c r="CJ61" s="2672"/>
      <c r="CK61" s="2672"/>
      <c r="CL61" s="2672"/>
      <c r="CM61" s="2672"/>
      <c r="CN61" s="2672"/>
      <c r="CO61" s="2672"/>
      <c r="CP61" s="2672"/>
      <c r="CQ61" s="2672"/>
      <c r="CR61" s="2672"/>
      <c r="CS61" s="2672"/>
      <c r="CT61" s="2672"/>
      <c r="CU61" s="2672"/>
      <c r="CV61" s="2672"/>
      <c r="CW61" s="2672"/>
      <c r="CX61" s="2672"/>
      <c r="CY61" s="2672"/>
      <c r="CZ61" s="2672"/>
      <c r="DA61" s="2672"/>
      <c r="DB61" s="2672"/>
      <c r="DC61" s="2672"/>
      <c r="DD61" s="2672"/>
      <c r="DE61" s="2672"/>
      <c r="DF61" s="2672"/>
      <c r="DG61" s="2672"/>
      <c r="DH61" s="2672"/>
      <c r="DI61" s="2672"/>
      <c r="DJ61" s="2672"/>
      <c r="DK61" s="2672"/>
      <c r="DL61" s="2672"/>
      <c r="DM61" s="2672"/>
      <c r="DN61" s="2672"/>
      <c r="DO61" s="2672"/>
      <c r="DP61" s="2672"/>
      <c r="DQ61" s="2672"/>
      <c r="DR61" s="2672"/>
      <c r="DS61" s="2672"/>
      <c r="DT61" s="2672"/>
      <c r="DU61" s="2672"/>
      <c r="DV61" s="2672"/>
      <c r="DW61" s="2672"/>
      <c r="DX61" s="2672"/>
      <c r="DY61" s="2672"/>
      <c r="DZ61" s="2672"/>
      <c r="EA61" s="2672"/>
      <c r="EB61" s="2672"/>
      <c r="EC61" s="2672"/>
      <c r="ED61" s="2672"/>
      <c r="EE61" s="2672"/>
      <c r="EF61" s="2672"/>
      <c r="EG61" s="2672"/>
      <c r="EH61" s="2672"/>
      <c r="EI61" s="2672"/>
      <c r="EJ61" s="2672"/>
      <c r="EK61" s="2672"/>
      <c r="EL61" s="2672"/>
      <c r="EM61" s="2672"/>
      <c r="EN61" s="2672"/>
      <c r="EO61" s="2672"/>
      <c r="EP61" s="2672"/>
      <c r="EQ61" s="2672"/>
      <c r="ER61" s="2672"/>
      <c r="ES61" s="2672"/>
      <c r="ET61" s="2672"/>
      <c r="EU61" s="2672"/>
      <c r="EV61" s="2672"/>
      <c r="EW61" s="2672"/>
      <c r="EX61" s="2672"/>
      <c r="EY61" s="2672"/>
      <c r="EZ61" s="2672"/>
      <c r="FA61" s="2672"/>
      <c r="FB61" s="2672"/>
      <c r="FC61" s="2672"/>
      <c r="FD61" s="2672"/>
      <c r="FE61" s="2672"/>
      <c r="FF61" s="2672"/>
      <c r="FG61" s="2672"/>
      <c r="FH61" s="2672"/>
      <c r="FI61" s="2672"/>
      <c r="FJ61" s="2672"/>
      <c r="FK61" s="2672"/>
      <c r="FL61" s="2672"/>
      <c r="FM61" s="2672"/>
      <c r="FN61" s="2672"/>
      <c r="FO61" s="2672"/>
      <c r="FP61" s="2672"/>
      <c r="FQ61" s="2672"/>
      <c r="FR61" s="2672"/>
      <c r="FS61" s="2672"/>
      <c r="FT61" s="2672"/>
      <c r="FU61" s="2672"/>
      <c r="FV61" s="2672"/>
      <c r="FW61" s="2672"/>
      <c r="FX61" s="2672"/>
      <c r="FY61" s="2672"/>
      <c r="FZ61" s="2672"/>
      <c r="GA61" s="2672"/>
      <c r="GB61" s="2672"/>
      <c r="GC61" s="2672"/>
      <c r="GD61" s="2672"/>
      <c r="GE61" s="2672"/>
      <c r="GF61" s="2672"/>
      <c r="GG61" s="2672"/>
      <c r="GH61" s="2672"/>
      <c r="GI61" s="2672"/>
      <c r="GJ61" s="2672"/>
      <c r="GK61" s="2672"/>
      <c r="GL61" s="2672"/>
      <c r="GM61" s="2672"/>
      <c r="GN61" s="2672"/>
      <c r="GO61" s="2672"/>
      <c r="GP61" s="2672"/>
      <c r="GQ61" s="2672"/>
      <c r="GR61" s="2672"/>
      <c r="GS61" s="2672"/>
      <c r="GT61" s="2672"/>
      <c r="GU61" s="2672"/>
      <c r="GV61" s="2672"/>
      <c r="GW61" s="2672"/>
    </row>
    <row r="62" spans="1:205" ht="17.399999999999999">
      <c r="B62" s="1525">
        <f t="shared" si="1"/>
        <v>58</v>
      </c>
      <c r="C62" s="2658" t="s">
        <v>496</v>
      </c>
      <c r="D62" s="2673">
        <v>84</v>
      </c>
      <c r="E62" s="2660" t="s">
        <v>482</v>
      </c>
      <c r="F62" s="3700"/>
      <c r="G62" s="3701"/>
      <c r="H62" s="3701"/>
      <c r="I62" s="3701"/>
      <c r="J62" s="3701"/>
      <c r="K62" s="3701"/>
      <c r="L62" s="3701"/>
      <c r="M62" s="3701"/>
      <c r="N62" s="3701"/>
      <c r="O62" s="3701"/>
      <c r="P62" s="3701"/>
      <c r="Q62" s="3701"/>
      <c r="R62" s="3701"/>
      <c r="S62" s="3701"/>
      <c r="T62" s="3701"/>
      <c r="U62" s="3701"/>
      <c r="V62" s="3701"/>
      <c r="W62" s="3701"/>
      <c r="X62" s="3701"/>
      <c r="Y62" s="3701"/>
      <c r="Z62" s="3701"/>
      <c r="AA62" s="3701"/>
      <c r="AB62" s="3701" t="s">
        <v>160</v>
      </c>
      <c r="AC62" s="3701"/>
      <c r="AD62" s="3701" t="s">
        <v>160</v>
      </c>
      <c r="AE62" s="3701"/>
      <c r="AF62" s="3702"/>
      <c r="AG62" s="1519">
        <f t="shared" si="0"/>
        <v>0</v>
      </c>
      <c r="AH62" s="2672"/>
      <c r="AI62" s="2672"/>
      <c r="AJ62" s="2672"/>
      <c r="AK62" s="2672"/>
      <c r="AL62" s="2672"/>
      <c r="AM62" s="2672"/>
      <c r="AN62" s="2672"/>
      <c r="AO62" s="2672"/>
      <c r="AP62" s="2683">
        <f t="shared" si="2"/>
        <v>48</v>
      </c>
      <c r="AQ62" s="2685" t="str">
        <f t="shared" si="3"/>
        <v>Malibu</v>
      </c>
      <c r="AR62" s="2684"/>
      <c r="AS62" s="2684"/>
      <c r="AT62" s="2684"/>
      <c r="AU62" s="2684"/>
      <c r="AV62" s="2685">
        <f t="shared" si="8"/>
        <v>19.5</v>
      </c>
      <c r="AW62" s="2686" t="str">
        <f t="shared" si="8"/>
        <v>H</v>
      </c>
      <c r="AX62" s="2672"/>
      <c r="AY62" s="2683">
        <f t="shared" si="5"/>
        <v>98</v>
      </c>
      <c r="AZ62" s="2684" t="str">
        <f t="shared" si="6"/>
        <v/>
      </c>
      <c r="BA62" s="2684"/>
      <c r="BB62" s="2684" t="str">
        <f t="shared" si="9"/>
        <v/>
      </c>
      <c r="BC62" s="2686" t="str">
        <f t="shared" si="9"/>
        <v/>
      </c>
      <c r="BD62" s="2672"/>
      <c r="BE62" s="2672"/>
      <c r="BF62" s="2672"/>
      <c r="BG62" s="2672"/>
      <c r="BH62" s="2672"/>
      <c r="BI62" s="2672"/>
      <c r="BJ62" s="2672"/>
      <c r="BK62" s="2672"/>
      <c r="BL62" s="2672"/>
      <c r="BM62" s="2672"/>
      <c r="BN62" s="2672"/>
      <c r="BO62" s="2672"/>
      <c r="BP62" s="2672"/>
      <c r="BQ62" s="2672"/>
      <c r="BR62" s="2672"/>
      <c r="BS62" s="2672"/>
      <c r="BT62" s="2672"/>
      <c r="BU62" s="2672"/>
      <c r="BV62" s="2672"/>
      <c r="BW62" s="2672"/>
      <c r="BX62" s="2672"/>
      <c r="BY62" s="2672"/>
      <c r="BZ62" s="2672"/>
      <c r="CA62" s="2672"/>
      <c r="CB62" s="2672"/>
      <c r="CC62" s="2672"/>
      <c r="CD62" s="2672"/>
      <c r="CE62" s="2672"/>
      <c r="CF62" s="2672"/>
      <c r="CG62" s="2672"/>
      <c r="CH62" s="2672"/>
      <c r="CI62" s="2672"/>
      <c r="CJ62" s="2672"/>
      <c r="CK62" s="2672"/>
      <c r="CL62" s="2672"/>
      <c r="CM62" s="2672"/>
      <c r="CN62" s="2672"/>
      <c r="CO62" s="2672"/>
      <c r="CP62" s="2672"/>
      <c r="CQ62" s="2672"/>
      <c r="CR62" s="2672"/>
      <c r="CS62" s="2672"/>
      <c r="CT62" s="2672"/>
      <c r="CU62" s="2672"/>
      <c r="CV62" s="2672"/>
      <c r="CW62" s="2672"/>
      <c r="CX62" s="2672"/>
      <c r="CY62" s="2672"/>
      <c r="CZ62" s="2672"/>
      <c r="DA62" s="2672"/>
      <c r="DB62" s="2672"/>
      <c r="DC62" s="2672"/>
      <c r="DD62" s="2672"/>
      <c r="DE62" s="2672"/>
      <c r="DF62" s="2672"/>
      <c r="DG62" s="2672"/>
      <c r="DH62" s="2672"/>
      <c r="DI62" s="2672"/>
      <c r="DJ62" s="2672"/>
      <c r="DK62" s="2672"/>
      <c r="DL62" s="2672"/>
      <c r="DM62" s="2672"/>
      <c r="DN62" s="2672"/>
      <c r="DO62" s="2672"/>
      <c r="DP62" s="2672"/>
      <c r="DQ62" s="2672"/>
      <c r="DR62" s="2672"/>
      <c r="DS62" s="2672"/>
      <c r="DT62" s="2672"/>
      <c r="DU62" s="2672"/>
      <c r="DV62" s="2672"/>
      <c r="DW62" s="2672"/>
      <c r="DX62" s="2672"/>
      <c r="DY62" s="2672"/>
      <c r="DZ62" s="2672"/>
      <c r="EA62" s="2672"/>
      <c r="EB62" s="2672"/>
      <c r="EC62" s="2672"/>
      <c r="ED62" s="2672"/>
      <c r="EE62" s="2672"/>
      <c r="EF62" s="2672"/>
      <c r="EG62" s="2672"/>
      <c r="EH62" s="2672"/>
      <c r="EI62" s="2672"/>
      <c r="EJ62" s="2672"/>
      <c r="EK62" s="2672"/>
      <c r="EL62" s="2672"/>
      <c r="EM62" s="2672"/>
      <c r="EN62" s="2672"/>
      <c r="EO62" s="2672"/>
      <c r="EP62" s="2672"/>
      <c r="EQ62" s="2672"/>
      <c r="ER62" s="2672"/>
      <c r="ES62" s="2672"/>
      <c r="ET62" s="2672"/>
      <c r="EU62" s="2672"/>
      <c r="EV62" s="2672"/>
      <c r="EW62" s="2672"/>
      <c r="EX62" s="2672"/>
      <c r="EY62" s="2672"/>
      <c r="EZ62" s="2672"/>
      <c r="FA62" s="2672"/>
      <c r="FB62" s="2672"/>
      <c r="FC62" s="2672"/>
      <c r="FD62" s="2672"/>
      <c r="FE62" s="2672"/>
      <c r="FF62" s="2672"/>
      <c r="FG62" s="2672"/>
      <c r="FH62" s="2672"/>
      <c r="FI62" s="2672"/>
      <c r="FJ62" s="2672"/>
      <c r="FK62" s="2672"/>
      <c r="FL62" s="2672"/>
      <c r="FM62" s="2672"/>
      <c r="FN62" s="2672"/>
      <c r="FO62" s="2672"/>
      <c r="FP62" s="2672"/>
      <c r="FQ62" s="2672"/>
      <c r="FR62" s="2672"/>
      <c r="FS62" s="2672"/>
      <c r="FT62" s="2672"/>
      <c r="FU62" s="2672"/>
      <c r="FV62" s="2672"/>
      <c r="FW62" s="2672"/>
      <c r="FX62" s="2672"/>
      <c r="FY62" s="2672"/>
      <c r="FZ62" s="2672"/>
      <c r="GA62" s="2672"/>
      <c r="GB62" s="2672"/>
      <c r="GC62" s="2672"/>
      <c r="GD62" s="2672"/>
      <c r="GE62" s="2672"/>
      <c r="GF62" s="2672"/>
      <c r="GG62" s="2672"/>
      <c r="GH62" s="2672"/>
      <c r="GI62" s="2672"/>
      <c r="GJ62" s="2672"/>
      <c r="GK62" s="2672"/>
      <c r="GL62" s="2672"/>
      <c r="GM62" s="2672"/>
      <c r="GN62" s="2672"/>
      <c r="GO62" s="2672"/>
      <c r="GP62" s="2672"/>
      <c r="GQ62" s="2672"/>
      <c r="GR62" s="2672"/>
      <c r="GS62" s="2672"/>
      <c r="GT62" s="2672"/>
      <c r="GU62" s="2672"/>
      <c r="GV62" s="2672"/>
      <c r="GW62" s="2672"/>
    </row>
    <row r="63" spans="1:205" ht="17.399999999999999">
      <c r="B63" s="1525">
        <f t="shared" si="1"/>
        <v>59</v>
      </c>
      <c r="C63" s="2658" t="s">
        <v>495</v>
      </c>
      <c r="D63" s="2673">
        <v>58.6</v>
      </c>
      <c r="E63" s="2660" t="s">
        <v>482</v>
      </c>
      <c r="F63" s="3700"/>
      <c r="G63" s="3701"/>
      <c r="H63" s="3701"/>
      <c r="I63" s="3701"/>
      <c r="J63" s="3701"/>
      <c r="K63" s="3701"/>
      <c r="L63" s="3701"/>
      <c r="M63" s="3701"/>
      <c r="N63" s="3701"/>
      <c r="O63" s="3701"/>
      <c r="P63" s="3701"/>
      <c r="Q63" s="3701"/>
      <c r="R63" s="3701"/>
      <c r="S63" s="3701"/>
      <c r="T63" s="3701"/>
      <c r="U63" s="3701"/>
      <c r="V63" s="3701"/>
      <c r="W63" s="3701"/>
      <c r="X63" s="3701"/>
      <c r="Y63" s="3701" t="s">
        <v>160</v>
      </c>
      <c r="Z63" s="3701"/>
      <c r="AA63" s="3701"/>
      <c r="AB63" s="3701" t="s">
        <v>160</v>
      </c>
      <c r="AC63" s="3701"/>
      <c r="AD63" s="3701" t="s">
        <v>160</v>
      </c>
      <c r="AE63" s="3701"/>
      <c r="AF63" s="3702"/>
      <c r="AG63" s="1519">
        <f t="shared" si="0"/>
        <v>0</v>
      </c>
      <c r="AH63" s="2672"/>
      <c r="AI63" s="2672"/>
      <c r="AJ63" s="2672"/>
      <c r="AK63" s="2672"/>
      <c r="AL63" s="2672"/>
      <c r="AM63" s="2672"/>
      <c r="AN63" s="2672"/>
      <c r="AO63" s="2672"/>
      <c r="AP63" s="2683">
        <f t="shared" si="2"/>
        <v>49</v>
      </c>
      <c r="AQ63" s="2685" t="str">
        <f t="shared" si="3"/>
        <v>Moddus</v>
      </c>
      <c r="AR63" s="2684"/>
      <c r="AS63" s="2684"/>
      <c r="AT63" s="2684"/>
      <c r="AU63" s="2684"/>
      <c r="AV63" s="2685">
        <f t="shared" si="8"/>
        <v>68.900000000000006</v>
      </c>
      <c r="AW63" s="2686" t="str">
        <f t="shared" si="8"/>
        <v>W</v>
      </c>
      <c r="AX63" s="2672"/>
      <c r="AY63" s="2683">
        <f t="shared" si="5"/>
        <v>99</v>
      </c>
      <c r="AZ63" s="2684" t="str">
        <f t="shared" si="6"/>
        <v/>
      </c>
      <c r="BA63" s="2684"/>
      <c r="BB63" s="2684" t="str">
        <f t="shared" si="9"/>
        <v/>
      </c>
      <c r="BC63" s="2686" t="str">
        <f t="shared" si="9"/>
        <v/>
      </c>
      <c r="BD63" s="2672"/>
      <c r="BE63" s="2672"/>
      <c r="BF63" s="2672"/>
      <c r="BG63" s="2672"/>
      <c r="BH63" s="2672"/>
      <c r="BI63" s="2672"/>
      <c r="BJ63" s="2672"/>
      <c r="BK63" s="2672"/>
      <c r="BL63" s="2672"/>
      <c r="BM63" s="2672"/>
      <c r="BN63" s="2672"/>
      <c r="BO63" s="2672"/>
      <c r="BP63" s="2672"/>
      <c r="BQ63" s="2672"/>
      <c r="BR63" s="2672"/>
      <c r="BS63" s="2672"/>
      <c r="BT63" s="2672"/>
      <c r="BU63" s="2672"/>
      <c r="BV63" s="2672"/>
      <c r="BW63" s="2672"/>
      <c r="BX63" s="2672"/>
      <c r="BY63" s="2672"/>
      <c r="BZ63" s="2672"/>
      <c r="CA63" s="2672"/>
      <c r="CB63" s="2672"/>
      <c r="CC63" s="2672"/>
      <c r="CD63" s="2672"/>
      <c r="CE63" s="2672"/>
      <c r="CF63" s="2672"/>
      <c r="CG63" s="2672"/>
      <c r="CH63" s="2672"/>
      <c r="CI63" s="2672"/>
      <c r="CJ63" s="2672"/>
      <c r="CK63" s="2672"/>
      <c r="CL63" s="2672"/>
      <c r="CM63" s="2672"/>
      <c r="CN63" s="2672"/>
      <c r="CO63" s="2672"/>
      <c r="CP63" s="2672"/>
      <c r="CQ63" s="2672"/>
      <c r="CR63" s="2672"/>
      <c r="CS63" s="2672"/>
      <c r="CT63" s="2672"/>
      <c r="CU63" s="2672"/>
      <c r="CV63" s="2672"/>
      <c r="CW63" s="2672"/>
      <c r="CX63" s="2672"/>
      <c r="CY63" s="2672"/>
      <c r="CZ63" s="2672"/>
      <c r="DA63" s="2672"/>
      <c r="DB63" s="2672"/>
      <c r="DC63" s="2672"/>
      <c r="DD63" s="2672"/>
      <c r="DE63" s="2672"/>
      <c r="DF63" s="2672"/>
      <c r="DG63" s="2672"/>
      <c r="DH63" s="2672"/>
      <c r="DI63" s="2672"/>
      <c r="DJ63" s="2672"/>
      <c r="DK63" s="2672"/>
      <c r="DL63" s="2672"/>
      <c r="DM63" s="2672"/>
      <c r="DN63" s="2672"/>
      <c r="DO63" s="2672"/>
      <c r="DP63" s="2672"/>
      <c r="DQ63" s="2672"/>
      <c r="DR63" s="2672"/>
      <c r="DS63" s="2672"/>
      <c r="DT63" s="2672"/>
      <c r="DU63" s="2672"/>
      <c r="DV63" s="2672"/>
      <c r="DW63" s="2672"/>
      <c r="DX63" s="2672"/>
      <c r="DY63" s="2672"/>
      <c r="DZ63" s="2672"/>
      <c r="EA63" s="2672"/>
      <c r="EB63" s="2672"/>
      <c r="EC63" s="2672"/>
      <c r="ED63" s="2672"/>
      <c r="EE63" s="2672"/>
      <c r="EF63" s="2672"/>
      <c r="EG63" s="2672"/>
      <c r="EH63" s="2672"/>
      <c r="EI63" s="2672"/>
      <c r="EJ63" s="2672"/>
      <c r="EK63" s="2672"/>
      <c r="EL63" s="2672"/>
      <c r="EM63" s="2672"/>
      <c r="EN63" s="2672"/>
      <c r="EO63" s="2672"/>
      <c r="EP63" s="2672"/>
      <c r="EQ63" s="2672"/>
      <c r="ER63" s="2672"/>
      <c r="ES63" s="2672"/>
      <c r="ET63" s="2672"/>
      <c r="EU63" s="2672"/>
      <c r="EV63" s="2672"/>
      <c r="EW63" s="2672"/>
      <c r="EX63" s="2672"/>
      <c r="EY63" s="2672"/>
      <c r="EZ63" s="2672"/>
      <c r="FA63" s="2672"/>
      <c r="FB63" s="2672"/>
      <c r="FC63" s="2672"/>
      <c r="FD63" s="2672"/>
      <c r="FE63" s="2672"/>
      <c r="FF63" s="2672"/>
      <c r="FG63" s="2672"/>
      <c r="FH63" s="2672"/>
      <c r="FI63" s="2672"/>
      <c r="FJ63" s="2672"/>
      <c r="FK63" s="2672"/>
      <c r="FL63" s="2672"/>
      <c r="FM63" s="2672"/>
      <c r="FN63" s="2672"/>
      <c r="FO63" s="2672"/>
      <c r="FP63" s="2672"/>
      <c r="FQ63" s="2672"/>
      <c r="FR63" s="2672"/>
      <c r="FS63" s="2672"/>
      <c r="FT63" s="2672"/>
      <c r="FU63" s="2672"/>
      <c r="FV63" s="2672"/>
      <c r="FW63" s="2672"/>
      <c r="FX63" s="2672"/>
      <c r="FY63" s="2672"/>
      <c r="FZ63" s="2672"/>
      <c r="GA63" s="2672"/>
      <c r="GB63" s="2672"/>
      <c r="GC63" s="2672"/>
      <c r="GD63" s="2672"/>
      <c r="GE63" s="2672"/>
      <c r="GF63" s="2672"/>
      <c r="GG63" s="2672"/>
      <c r="GH63" s="2672"/>
      <c r="GI63" s="2672"/>
      <c r="GJ63" s="2672"/>
      <c r="GK63" s="2672"/>
      <c r="GL63" s="2672"/>
      <c r="GM63" s="2672"/>
      <c r="GN63" s="2672"/>
      <c r="GO63" s="2672"/>
      <c r="GP63" s="2672"/>
      <c r="GQ63" s="2672"/>
      <c r="GR63" s="2672"/>
      <c r="GS63" s="2672"/>
      <c r="GT63" s="2672"/>
      <c r="GU63" s="2672"/>
      <c r="GV63" s="2672"/>
      <c r="GW63" s="2672"/>
    </row>
    <row r="64" spans="1:205" ht="17.399999999999999">
      <c r="B64" s="1525">
        <f t="shared" si="1"/>
        <v>60</v>
      </c>
      <c r="C64" s="3450"/>
      <c r="D64" s="3451"/>
      <c r="E64" s="3452"/>
      <c r="F64" s="3705"/>
      <c r="G64" s="3706"/>
      <c r="H64" s="3706"/>
      <c r="I64" s="3706"/>
      <c r="J64" s="3706"/>
      <c r="K64" s="3706"/>
      <c r="L64" s="3706"/>
      <c r="M64" s="3706"/>
      <c r="N64" s="3706"/>
      <c r="O64" s="3706"/>
      <c r="P64" s="3706"/>
      <c r="Q64" s="3706"/>
      <c r="R64" s="3706"/>
      <c r="S64" s="3706"/>
      <c r="T64" s="3706"/>
      <c r="U64" s="3706"/>
      <c r="V64" s="3706"/>
      <c r="W64" s="3706"/>
      <c r="X64" s="3706"/>
      <c r="Y64" s="3706"/>
      <c r="Z64" s="3706"/>
      <c r="AA64" s="3706"/>
      <c r="AB64" s="3706"/>
      <c r="AC64" s="3706"/>
      <c r="AD64" s="3707"/>
      <c r="AE64" s="3707"/>
      <c r="AF64" s="3708"/>
      <c r="AG64" s="1519">
        <f t="shared" si="0"/>
        <v>0</v>
      </c>
      <c r="AH64" s="2672"/>
      <c r="AI64" s="2672"/>
      <c r="AJ64" s="2672"/>
      <c r="AK64" s="2672"/>
      <c r="AL64" s="2672"/>
      <c r="AM64" s="2672"/>
      <c r="AN64" s="2672"/>
      <c r="AO64" s="2672"/>
      <c r="AP64" s="3463">
        <f t="shared" si="2"/>
        <v>50</v>
      </c>
      <c r="AQ64" s="3464" t="str">
        <f t="shared" si="3"/>
        <v>Ortiva</v>
      </c>
      <c r="AR64" s="3465"/>
      <c r="AS64" s="3465"/>
      <c r="AT64" s="3465"/>
      <c r="AU64" s="3465"/>
      <c r="AV64" s="3464">
        <f t="shared" si="8"/>
        <v>34.200000000000003</v>
      </c>
      <c r="AW64" s="3466" t="str">
        <f t="shared" si="8"/>
        <v>F</v>
      </c>
      <c r="AX64" s="2672"/>
      <c r="AY64" s="3463"/>
      <c r="AZ64" s="3465" t="str">
        <f t="shared" si="6"/>
        <v/>
      </c>
      <c r="BA64" s="3465"/>
      <c r="BB64" s="3465" t="str">
        <f t="shared" si="9"/>
        <v/>
      </c>
      <c r="BC64" s="3466" t="str">
        <f t="shared" si="9"/>
        <v/>
      </c>
      <c r="BD64" s="2672"/>
      <c r="BE64" s="2672"/>
      <c r="BF64" s="2672"/>
      <c r="BG64" s="2672"/>
      <c r="BH64" s="2672"/>
      <c r="BI64" s="2672"/>
      <c r="BJ64" s="2672"/>
      <c r="BK64" s="2672"/>
      <c r="BL64" s="2672"/>
      <c r="BM64" s="2672"/>
      <c r="BN64" s="2672"/>
      <c r="BO64" s="2672"/>
      <c r="BP64" s="2672"/>
      <c r="BQ64" s="2672"/>
      <c r="BR64" s="2672"/>
      <c r="BS64" s="2672"/>
      <c r="BT64" s="2672"/>
      <c r="BU64" s="2672"/>
      <c r="BV64" s="2672"/>
      <c r="BW64" s="2672"/>
      <c r="BX64" s="2672"/>
      <c r="BY64" s="2672"/>
      <c r="BZ64" s="2672"/>
      <c r="CA64" s="2672"/>
      <c r="CB64" s="2672"/>
      <c r="CC64" s="2672"/>
      <c r="CD64" s="2672"/>
      <c r="CE64" s="2672"/>
      <c r="CF64" s="2672"/>
      <c r="CG64" s="2672"/>
      <c r="CH64" s="2672"/>
      <c r="CI64" s="2672"/>
      <c r="CJ64" s="2672"/>
      <c r="CK64" s="2672"/>
      <c r="CL64" s="2672"/>
      <c r="CM64" s="2672"/>
      <c r="CN64" s="2672"/>
      <c r="CO64" s="2672"/>
      <c r="CP64" s="2672"/>
      <c r="CQ64" s="2672"/>
      <c r="CR64" s="2672"/>
      <c r="CS64" s="2672"/>
      <c r="CT64" s="2672"/>
      <c r="CU64" s="2672"/>
      <c r="CV64" s="2672"/>
      <c r="CW64" s="2672"/>
      <c r="CX64" s="2672"/>
      <c r="CY64" s="2672"/>
      <c r="CZ64" s="2672"/>
      <c r="DA64" s="2672"/>
      <c r="DB64" s="2672"/>
      <c r="DC64" s="2672"/>
      <c r="DD64" s="2672"/>
      <c r="DE64" s="2672"/>
      <c r="DF64" s="2672"/>
      <c r="DG64" s="2672"/>
      <c r="DH64" s="2672"/>
      <c r="DI64" s="2672"/>
      <c r="DJ64" s="2672"/>
      <c r="DK64" s="2672"/>
      <c r="DL64" s="2672"/>
      <c r="DM64" s="2672"/>
      <c r="DN64" s="2672"/>
      <c r="DO64" s="2672"/>
      <c r="DP64" s="2672"/>
      <c r="DQ64" s="2672"/>
      <c r="DR64" s="2672"/>
      <c r="DS64" s="2672"/>
      <c r="DT64" s="2672"/>
      <c r="DU64" s="2672"/>
      <c r="DV64" s="2672"/>
      <c r="DW64" s="2672"/>
      <c r="DX64" s="2672"/>
      <c r="DY64" s="2672"/>
      <c r="DZ64" s="2672"/>
      <c r="EA64" s="2672"/>
      <c r="EB64" s="2672"/>
      <c r="EC64" s="2672"/>
      <c r="ED64" s="2672"/>
      <c r="EE64" s="2672"/>
      <c r="EF64" s="2672"/>
      <c r="EG64" s="2672"/>
      <c r="EH64" s="2672"/>
      <c r="EI64" s="2672"/>
      <c r="EJ64" s="2672"/>
      <c r="EK64" s="2672"/>
      <c r="EL64" s="2672"/>
      <c r="EM64" s="2672"/>
      <c r="EN64" s="2672"/>
      <c r="EO64" s="2672"/>
      <c r="EP64" s="2672"/>
      <c r="EQ64" s="2672"/>
      <c r="ER64" s="2672"/>
      <c r="ES64" s="2672"/>
      <c r="ET64" s="2672"/>
      <c r="EU64" s="2672"/>
      <c r="EV64" s="2672"/>
      <c r="EW64" s="2672"/>
      <c r="EX64" s="2672"/>
      <c r="EY64" s="2672"/>
      <c r="EZ64" s="2672"/>
      <c r="FA64" s="2672"/>
      <c r="FB64" s="2672"/>
      <c r="FC64" s="2672"/>
      <c r="FD64" s="2672"/>
      <c r="FE64" s="2672"/>
      <c r="FF64" s="2672"/>
      <c r="FG64" s="2672"/>
      <c r="FH64" s="2672"/>
      <c r="FI64" s="2672"/>
      <c r="FJ64" s="2672"/>
      <c r="FK64" s="2672"/>
      <c r="FL64" s="2672"/>
      <c r="FM64" s="2672"/>
      <c r="FN64" s="2672"/>
      <c r="FO64" s="2672"/>
      <c r="FP64" s="2672"/>
      <c r="FQ64" s="2672"/>
      <c r="FR64" s="2672"/>
      <c r="FS64" s="2672"/>
      <c r="FT64" s="2672"/>
      <c r="FU64" s="2672"/>
      <c r="FV64" s="2672"/>
      <c r="FW64" s="2672"/>
      <c r="FX64" s="2672"/>
      <c r="FY64" s="2672"/>
      <c r="FZ64" s="2672"/>
      <c r="GA64" s="2672"/>
      <c r="GB64" s="2672"/>
      <c r="GC64" s="2672"/>
      <c r="GD64" s="2672"/>
      <c r="GE64" s="2672"/>
      <c r="GF64" s="2672"/>
      <c r="GG64" s="2672"/>
      <c r="GH64" s="2672"/>
      <c r="GI64" s="2672"/>
      <c r="GJ64" s="2672"/>
      <c r="GK64" s="2672"/>
      <c r="GL64" s="2672"/>
      <c r="GM64" s="2672"/>
      <c r="GN64" s="2672"/>
      <c r="GO64" s="2672"/>
      <c r="GP64" s="2672"/>
      <c r="GQ64" s="2672"/>
      <c r="GR64" s="2672"/>
      <c r="GS64" s="2672"/>
      <c r="GT64" s="2672"/>
      <c r="GU64" s="2672"/>
      <c r="GV64" s="2672"/>
      <c r="GW64" s="2672"/>
    </row>
    <row r="65" spans="1:205" ht="17.399999999999999">
      <c r="B65" s="1525">
        <f t="shared" si="1"/>
        <v>61</v>
      </c>
      <c r="C65" s="2658" t="s">
        <v>493</v>
      </c>
      <c r="D65" s="2673">
        <v>19.8</v>
      </c>
      <c r="E65" s="2660" t="s">
        <v>480</v>
      </c>
      <c r="F65" s="3700"/>
      <c r="G65" s="3701"/>
      <c r="H65" s="3701"/>
      <c r="I65" s="3701"/>
      <c r="J65" s="3701"/>
      <c r="K65" s="3701"/>
      <c r="L65" s="3701"/>
      <c r="M65" s="3701"/>
      <c r="N65" s="3701"/>
      <c r="O65" s="3701"/>
      <c r="P65" s="3701"/>
      <c r="Q65" s="3701"/>
      <c r="R65" s="3701"/>
      <c r="S65" s="3701"/>
      <c r="T65" s="3701"/>
      <c r="U65" s="3701"/>
      <c r="V65" s="3701"/>
      <c r="W65" s="3701"/>
      <c r="X65" s="3701"/>
      <c r="Y65" s="3701"/>
      <c r="Z65" s="3701"/>
      <c r="AA65" s="3701"/>
      <c r="AB65" s="3701"/>
      <c r="AC65" s="3701"/>
      <c r="AD65" s="3701" t="s">
        <v>160</v>
      </c>
      <c r="AE65" s="3701"/>
      <c r="AF65" s="3702"/>
      <c r="AG65" s="1519">
        <f t="shared" si="0"/>
        <v>0</v>
      </c>
      <c r="AH65" s="2672"/>
      <c r="AI65" s="2672"/>
      <c r="AJ65" s="2672"/>
      <c r="AK65" s="2672"/>
      <c r="AL65" s="2672"/>
      <c r="AM65" s="2672"/>
      <c r="AN65" s="2672"/>
      <c r="AO65" s="2672"/>
      <c r="AP65" s="2672"/>
      <c r="AQ65" s="2672"/>
      <c r="AR65" s="2672"/>
      <c r="AS65" s="2672"/>
      <c r="AT65" s="2672"/>
      <c r="AU65" s="2672"/>
      <c r="AV65" s="2672"/>
      <c r="AW65" s="2672"/>
      <c r="AX65" s="2672"/>
      <c r="AY65" s="2672"/>
      <c r="AZ65" s="2672"/>
      <c r="BA65" s="2672"/>
      <c r="BB65" s="2672"/>
      <c r="BC65" s="2672"/>
      <c r="BD65" s="2672"/>
      <c r="BE65" s="2672"/>
      <c r="BF65" s="2672"/>
      <c r="BG65" s="2672"/>
      <c r="BH65" s="2672"/>
      <c r="BI65" s="2672"/>
      <c r="BJ65" s="2672"/>
      <c r="BK65" s="2672"/>
      <c r="BL65" s="2672"/>
      <c r="BM65" s="2672"/>
      <c r="BN65" s="2672"/>
      <c r="BO65" s="2672"/>
      <c r="BP65" s="2672"/>
      <c r="BQ65" s="2672"/>
      <c r="BR65" s="2672"/>
      <c r="BS65" s="2672"/>
      <c r="BT65" s="2672"/>
      <c r="BU65" s="2672"/>
      <c r="BV65" s="2672"/>
      <c r="BW65" s="2672"/>
      <c r="BX65" s="2672"/>
      <c r="BY65" s="2672"/>
      <c r="BZ65" s="2672"/>
      <c r="CA65" s="2672"/>
      <c r="CB65" s="2672"/>
      <c r="CC65" s="2672"/>
      <c r="CD65" s="2672"/>
      <c r="CE65" s="2672"/>
      <c r="CF65" s="2672"/>
      <c r="CG65" s="2672"/>
      <c r="CH65" s="2672"/>
      <c r="CI65" s="2672"/>
      <c r="CJ65" s="2672"/>
      <c r="CK65" s="2672"/>
      <c r="CL65" s="2672"/>
      <c r="CM65" s="2672"/>
      <c r="CN65" s="2672"/>
      <c r="CO65" s="2672"/>
      <c r="CP65" s="2672"/>
      <c r="CQ65" s="2672"/>
      <c r="CR65" s="2672"/>
      <c r="CS65" s="2672"/>
      <c r="CT65" s="2672"/>
      <c r="CU65" s="2672"/>
      <c r="CV65" s="2672"/>
      <c r="CW65" s="2672"/>
      <c r="CX65" s="2672"/>
      <c r="CY65" s="2672"/>
      <c r="CZ65" s="2672"/>
      <c r="DA65" s="2672"/>
      <c r="DB65" s="2672"/>
      <c r="DC65" s="2672"/>
      <c r="DD65" s="2672"/>
      <c r="DE65" s="2672"/>
      <c r="DF65" s="2672"/>
      <c r="DG65" s="2672"/>
      <c r="DH65" s="2672"/>
      <c r="DI65" s="2672"/>
      <c r="DJ65" s="2672"/>
      <c r="DK65" s="2672"/>
      <c r="DL65" s="2672"/>
      <c r="DM65" s="2672"/>
      <c r="DN65" s="2672"/>
      <c r="DO65" s="2672"/>
      <c r="DP65" s="2672"/>
      <c r="DQ65" s="2672"/>
      <c r="DR65" s="2672"/>
      <c r="DS65" s="2672"/>
      <c r="DT65" s="2672"/>
      <c r="DU65" s="2672"/>
      <c r="DV65" s="2672"/>
      <c r="DW65" s="2672"/>
      <c r="DX65" s="2672"/>
      <c r="DY65" s="2672"/>
      <c r="DZ65" s="2672"/>
      <c r="EA65" s="2672"/>
      <c r="EB65" s="2672"/>
      <c r="EC65" s="2672"/>
      <c r="ED65" s="2672"/>
      <c r="EE65" s="2672"/>
      <c r="EF65" s="2672"/>
      <c r="EG65" s="2672"/>
      <c r="EH65" s="2672"/>
      <c r="EI65" s="2672"/>
      <c r="EJ65" s="2672"/>
      <c r="EK65" s="2672"/>
      <c r="EL65" s="2672"/>
      <c r="EM65" s="2672"/>
      <c r="EN65" s="2672"/>
      <c r="EO65" s="2672"/>
      <c r="EP65" s="2672"/>
      <c r="EQ65" s="2672"/>
      <c r="ER65" s="2672"/>
      <c r="ES65" s="2672"/>
      <c r="ET65" s="2672"/>
      <c r="EU65" s="2672"/>
      <c r="EV65" s="2672"/>
      <c r="EW65" s="2672"/>
      <c r="EX65" s="2672"/>
      <c r="EY65" s="2672"/>
      <c r="EZ65" s="2672"/>
      <c r="FA65" s="2672"/>
      <c r="FB65" s="2672"/>
      <c r="FC65" s="2672"/>
      <c r="FD65" s="2672"/>
      <c r="FE65" s="2672"/>
      <c r="FF65" s="2672"/>
      <c r="FG65" s="2672"/>
      <c r="FH65" s="2672"/>
      <c r="FI65" s="2672"/>
      <c r="FJ65" s="2672"/>
      <c r="FK65" s="2672"/>
      <c r="FL65" s="2672"/>
      <c r="FM65" s="2672"/>
      <c r="FN65" s="2672"/>
      <c r="FO65" s="2672"/>
      <c r="FP65" s="2672"/>
      <c r="FQ65" s="2672"/>
      <c r="FR65" s="2672"/>
      <c r="FS65" s="2672"/>
      <c r="FT65" s="2672"/>
      <c r="FU65" s="2672"/>
      <c r="FV65" s="2672"/>
      <c r="FW65" s="2672"/>
      <c r="FX65" s="2672"/>
      <c r="FY65" s="2672"/>
      <c r="FZ65" s="2672"/>
      <c r="GA65" s="2672"/>
      <c r="GB65" s="2672"/>
      <c r="GC65" s="2672"/>
      <c r="GD65" s="2672"/>
      <c r="GE65" s="2672"/>
      <c r="GF65" s="2672"/>
      <c r="GG65" s="2672"/>
      <c r="GH65" s="2672"/>
      <c r="GI65" s="2672"/>
      <c r="GJ65" s="2672"/>
      <c r="GK65" s="2672"/>
      <c r="GL65" s="2672"/>
      <c r="GM65" s="2672"/>
      <c r="GN65" s="2672"/>
      <c r="GO65" s="2672"/>
      <c r="GP65" s="2672"/>
      <c r="GQ65" s="2672"/>
      <c r="GR65" s="2672"/>
      <c r="GS65" s="2672"/>
      <c r="GT65" s="2672"/>
      <c r="GU65" s="2672"/>
      <c r="GV65" s="2672"/>
      <c r="GW65" s="2672"/>
    </row>
    <row r="66" spans="1:205" s="2656" customFormat="1" ht="17.399999999999999">
      <c r="A66" s="2672"/>
      <c r="B66" s="1525">
        <f t="shared" si="1"/>
        <v>62</v>
      </c>
      <c r="C66" s="2658" t="s">
        <v>1497</v>
      </c>
      <c r="D66" s="2673">
        <v>56</v>
      </c>
      <c r="E66" s="2660" t="s">
        <v>482</v>
      </c>
      <c r="F66" s="3700" t="s">
        <v>160</v>
      </c>
      <c r="G66" s="3701" t="s">
        <v>160</v>
      </c>
      <c r="H66" s="3701" t="s">
        <v>160</v>
      </c>
      <c r="I66" s="3701" t="s">
        <v>160</v>
      </c>
      <c r="J66" s="3701" t="s">
        <v>160</v>
      </c>
      <c r="K66" s="3701" t="s">
        <v>160</v>
      </c>
      <c r="L66" s="3701" t="s">
        <v>160</v>
      </c>
      <c r="M66" s="3701" t="s">
        <v>160</v>
      </c>
      <c r="N66" s="3701" t="s">
        <v>160</v>
      </c>
      <c r="O66" s="3701" t="s">
        <v>160</v>
      </c>
      <c r="P66" s="3701"/>
      <c r="Q66" s="3701"/>
      <c r="R66" s="3701"/>
      <c r="S66" s="3701"/>
      <c r="T66" s="3701"/>
      <c r="U66" s="3701"/>
      <c r="V66" s="3701"/>
      <c r="W66" s="3701"/>
      <c r="X66" s="3701"/>
      <c r="Y66" s="3701"/>
      <c r="Z66" s="3701"/>
      <c r="AA66" s="3701"/>
      <c r="AB66" s="3701"/>
      <c r="AC66" s="3701"/>
      <c r="AD66" s="3701" t="s">
        <v>160</v>
      </c>
      <c r="AE66" s="3701"/>
      <c r="AF66" s="3702"/>
      <c r="AG66" s="2657">
        <f t="shared" si="0"/>
        <v>0</v>
      </c>
      <c r="AH66" s="2672"/>
      <c r="AI66" s="2672"/>
      <c r="AJ66" s="2672"/>
      <c r="AK66" s="2672"/>
      <c r="AL66" s="2672"/>
      <c r="AM66" s="2672"/>
      <c r="AN66" s="2672"/>
      <c r="AO66" s="2672"/>
      <c r="AP66" s="2672"/>
      <c r="AQ66" s="2672"/>
      <c r="AR66" s="2672"/>
      <c r="AS66" s="2672"/>
      <c r="AT66" s="2672"/>
      <c r="AU66" s="2672"/>
      <c r="AV66" s="2672"/>
      <c r="AW66" s="2672"/>
      <c r="AX66" s="2672"/>
      <c r="AY66" s="2672"/>
      <c r="AZ66" s="2672"/>
      <c r="BA66" s="2672"/>
      <c r="BB66" s="2672"/>
      <c r="BC66" s="2672"/>
      <c r="BD66" s="2672"/>
      <c r="BE66" s="2672"/>
      <c r="BF66" s="2672"/>
      <c r="BG66" s="2672"/>
      <c r="BH66" s="2672"/>
      <c r="BI66" s="2672"/>
      <c r="BJ66" s="2672"/>
      <c r="BK66" s="2672"/>
      <c r="BL66" s="2672"/>
      <c r="BM66" s="2672"/>
      <c r="BN66" s="2672"/>
      <c r="BO66" s="2672"/>
      <c r="BP66" s="2672"/>
      <c r="BQ66" s="2672"/>
      <c r="BR66" s="2672"/>
      <c r="BS66" s="2672"/>
      <c r="BT66" s="2672"/>
      <c r="BU66" s="2672"/>
      <c r="BV66" s="2672"/>
      <c r="BW66" s="2672"/>
      <c r="BX66" s="2672"/>
      <c r="BY66" s="2672"/>
      <c r="BZ66" s="2672"/>
      <c r="CA66" s="2672"/>
      <c r="CB66" s="2672"/>
      <c r="CC66" s="2672"/>
      <c r="CD66" s="2672"/>
      <c r="CE66" s="2672"/>
      <c r="CF66" s="2672"/>
      <c r="CG66" s="2672"/>
      <c r="CH66" s="2672"/>
      <c r="CI66" s="2672"/>
      <c r="CJ66" s="2672"/>
      <c r="CK66" s="2672"/>
      <c r="CL66" s="2672"/>
      <c r="CM66" s="2672"/>
      <c r="CN66" s="2672"/>
      <c r="CO66" s="2672"/>
      <c r="CP66" s="2672"/>
      <c r="CQ66" s="2672"/>
      <c r="CR66" s="2672"/>
      <c r="CS66" s="2672"/>
      <c r="CT66" s="2672"/>
      <c r="CU66" s="2672"/>
      <c r="CV66" s="2672"/>
      <c r="CW66" s="2672"/>
      <c r="CX66" s="2672"/>
      <c r="CY66" s="2672"/>
      <c r="CZ66" s="2672"/>
      <c r="DA66" s="2672"/>
      <c r="DB66" s="2672"/>
      <c r="DC66" s="2672"/>
      <c r="DD66" s="2672"/>
      <c r="DE66" s="2672"/>
      <c r="DF66" s="2672"/>
      <c r="DG66" s="2672"/>
      <c r="DH66" s="2672"/>
      <c r="DI66" s="2672"/>
      <c r="DJ66" s="2672"/>
      <c r="DK66" s="2672"/>
      <c r="DL66" s="2672"/>
      <c r="DM66" s="2672"/>
      <c r="DN66" s="2672"/>
      <c r="DO66" s="2672"/>
      <c r="DP66" s="2672"/>
      <c r="DQ66" s="2672"/>
      <c r="DR66" s="2672"/>
      <c r="DS66" s="2672"/>
      <c r="DT66" s="2672"/>
      <c r="DU66" s="2672"/>
      <c r="DV66" s="2672"/>
      <c r="DW66" s="2672"/>
      <c r="DX66" s="2672"/>
      <c r="DY66" s="2672"/>
      <c r="DZ66" s="2672"/>
      <c r="EA66" s="2672"/>
      <c r="EB66" s="2672"/>
      <c r="EC66" s="2672"/>
      <c r="ED66" s="2672"/>
      <c r="EE66" s="2672"/>
      <c r="EF66" s="2672"/>
      <c r="EG66" s="2672"/>
      <c r="EH66" s="2672"/>
      <c r="EI66" s="2672"/>
      <c r="EJ66" s="2672"/>
      <c r="EK66" s="2672"/>
      <c r="EL66" s="2672"/>
      <c r="EM66" s="2672"/>
      <c r="EN66" s="2672"/>
      <c r="EO66" s="2672"/>
      <c r="EP66" s="2672"/>
      <c r="EQ66" s="2672"/>
      <c r="ER66" s="2672"/>
      <c r="ES66" s="2672"/>
      <c r="ET66" s="2672"/>
      <c r="EU66" s="2672"/>
      <c r="EV66" s="2672"/>
      <c r="EW66" s="2672"/>
      <c r="EX66" s="2672"/>
      <c r="EY66" s="2672"/>
      <c r="EZ66" s="2672"/>
      <c r="FA66" s="2672"/>
      <c r="FB66" s="2672"/>
      <c r="FC66" s="2672"/>
      <c r="FD66" s="2672"/>
      <c r="FE66" s="2672"/>
      <c r="FF66" s="2672"/>
      <c r="FG66" s="2672"/>
      <c r="FH66" s="2672"/>
      <c r="FI66" s="2672"/>
      <c r="FJ66" s="2672"/>
      <c r="FK66" s="2672"/>
      <c r="FL66" s="2672"/>
      <c r="FM66" s="2672"/>
      <c r="FN66" s="2672"/>
      <c r="FO66" s="2672"/>
      <c r="FP66" s="2672"/>
      <c r="FQ66" s="2672"/>
      <c r="FR66" s="2672"/>
      <c r="FS66" s="2672"/>
      <c r="FT66" s="2672"/>
      <c r="FU66" s="2672"/>
      <c r="FV66" s="2672"/>
      <c r="FW66" s="2672"/>
      <c r="FX66" s="2672"/>
      <c r="FY66" s="2672"/>
      <c r="FZ66" s="2672"/>
      <c r="GA66" s="2672"/>
      <c r="GB66" s="2672"/>
      <c r="GC66" s="2672"/>
      <c r="GD66" s="2672"/>
      <c r="GE66" s="2672"/>
      <c r="GF66" s="2672"/>
      <c r="GG66" s="2672"/>
      <c r="GH66" s="2672"/>
      <c r="GI66" s="2672"/>
      <c r="GJ66" s="2672"/>
      <c r="GK66" s="2672"/>
      <c r="GL66" s="2672"/>
      <c r="GM66" s="2672"/>
      <c r="GN66" s="2672"/>
      <c r="GO66" s="2672"/>
      <c r="GP66" s="2672"/>
      <c r="GQ66" s="2672"/>
      <c r="GR66" s="2672"/>
      <c r="GS66" s="2672"/>
      <c r="GT66" s="2672"/>
      <c r="GU66" s="2672"/>
      <c r="GV66" s="2672"/>
      <c r="GW66" s="2672"/>
    </row>
    <row r="67" spans="1:205" ht="17.399999999999999">
      <c r="B67" s="1525">
        <f t="shared" si="1"/>
        <v>63</v>
      </c>
      <c r="C67" s="2658" t="s">
        <v>1498</v>
      </c>
      <c r="D67" s="2673">
        <v>33.6</v>
      </c>
      <c r="E67" s="2660" t="s">
        <v>482</v>
      </c>
      <c r="F67" s="3700" t="s">
        <v>160</v>
      </c>
      <c r="G67" s="3701" t="s">
        <v>160</v>
      </c>
      <c r="H67" s="3701" t="s">
        <v>160</v>
      </c>
      <c r="I67" s="3701" t="s">
        <v>160</v>
      </c>
      <c r="J67" s="3701" t="s">
        <v>160</v>
      </c>
      <c r="K67" s="3701" t="s">
        <v>160</v>
      </c>
      <c r="L67" s="3701" t="s">
        <v>160</v>
      </c>
      <c r="M67" s="3701" t="s">
        <v>160</v>
      </c>
      <c r="N67" s="3701"/>
      <c r="O67" s="3701" t="s">
        <v>160</v>
      </c>
      <c r="P67" s="3701"/>
      <c r="Q67" s="3701"/>
      <c r="R67" s="3701"/>
      <c r="S67" s="3701"/>
      <c r="T67" s="3701"/>
      <c r="U67" s="3701"/>
      <c r="V67" s="3701"/>
      <c r="W67" s="3701"/>
      <c r="X67" s="3701"/>
      <c r="Y67" s="3701"/>
      <c r="Z67" s="3701"/>
      <c r="AA67" s="3701"/>
      <c r="AB67" s="3701"/>
      <c r="AC67" s="3701"/>
      <c r="AD67" s="3703" t="s">
        <v>160</v>
      </c>
      <c r="AE67" s="3703"/>
      <c r="AF67" s="3704"/>
      <c r="AG67" s="1519">
        <f t="shared" si="0"/>
        <v>0</v>
      </c>
      <c r="AH67" s="2672"/>
      <c r="AI67" s="2672"/>
      <c r="AJ67" s="2672"/>
      <c r="AK67" s="2672"/>
      <c r="AL67" s="2672"/>
      <c r="AM67" s="2672"/>
      <c r="AN67" s="2672"/>
      <c r="AO67" s="2672"/>
      <c r="AP67" s="2672"/>
      <c r="AQ67" s="2672"/>
      <c r="AR67" s="2672"/>
      <c r="AS67" s="2672"/>
      <c r="AT67" s="2672"/>
      <c r="AU67" s="2672"/>
      <c r="AV67" s="2672"/>
      <c r="AW67" s="2672"/>
      <c r="AX67" s="2672"/>
      <c r="AY67" s="2672"/>
      <c r="AZ67" s="2672"/>
      <c r="BA67" s="2672"/>
      <c r="BB67" s="2672"/>
      <c r="BC67" s="2672"/>
      <c r="BD67" s="2672"/>
      <c r="BE67" s="2672"/>
      <c r="BF67" s="2672"/>
      <c r="BG67" s="2672"/>
      <c r="BH67" s="2672"/>
      <c r="BI67" s="2672"/>
      <c r="BJ67" s="2672"/>
      <c r="BK67" s="2672"/>
      <c r="BL67" s="2672"/>
      <c r="BM67" s="2672"/>
      <c r="BN67" s="2672"/>
      <c r="BO67" s="2672"/>
      <c r="BP67" s="2672"/>
      <c r="BQ67" s="2672"/>
      <c r="BR67" s="2672"/>
      <c r="BS67" s="2672"/>
      <c r="BT67" s="2672"/>
      <c r="BU67" s="2672"/>
      <c r="BV67" s="2672"/>
      <c r="BW67" s="2672"/>
      <c r="BX67" s="2672"/>
      <c r="BY67" s="2672"/>
      <c r="BZ67" s="2672"/>
      <c r="CA67" s="2672"/>
      <c r="CB67" s="2672"/>
      <c r="CC67" s="2672"/>
      <c r="CD67" s="2672"/>
      <c r="CE67" s="2672"/>
      <c r="CF67" s="2672"/>
      <c r="CG67" s="2672"/>
      <c r="CH67" s="2672"/>
      <c r="CI67" s="2672"/>
      <c r="CJ67" s="2672"/>
      <c r="CK67" s="2672"/>
      <c r="CL67" s="2672"/>
      <c r="CM67" s="2672"/>
      <c r="CN67" s="2672"/>
      <c r="CO67" s="2672"/>
      <c r="CP67" s="2672"/>
      <c r="CQ67" s="2672"/>
      <c r="CR67" s="2672"/>
      <c r="CS67" s="2672"/>
      <c r="CT67" s="2672"/>
      <c r="CU67" s="2672"/>
      <c r="CV67" s="2672"/>
      <c r="CW67" s="2672"/>
      <c r="CX67" s="2672"/>
      <c r="CY67" s="2672"/>
      <c r="CZ67" s="2672"/>
      <c r="DA67" s="2672"/>
      <c r="DB67" s="2672"/>
      <c r="DC67" s="2672"/>
      <c r="DD67" s="2672"/>
      <c r="DE67" s="2672"/>
      <c r="DF67" s="2672"/>
      <c r="DG67" s="2672"/>
      <c r="DH67" s="2672"/>
      <c r="DI67" s="2672"/>
      <c r="DJ67" s="2672"/>
      <c r="DK67" s="2672"/>
      <c r="DL67" s="2672"/>
      <c r="DM67" s="2672"/>
      <c r="DN67" s="2672"/>
      <c r="DO67" s="2672"/>
      <c r="DP67" s="2672"/>
      <c r="DQ67" s="2672"/>
      <c r="DR67" s="2672"/>
      <c r="DS67" s="2672"/>
      <c r="DT67" s="2672"/>
      <c r="DU67" s="2672"/>
      <c r="DV67" s="2672"/>
      <c r="DW67" s="2672"/>
      <c r="DX67" s="2672"/>
      <c r="DY67" s="2672"/>
      <c r="DZ67" s="2672"/>
      <c r="EA67" s="2672"/>
      <c r="EB67" s="2672"/>
      <c r="EC67" s="2672"/>
      <c r="ED67" s="2672"/>
      <c r="EE67" s="2672"/>
      <c r="EF67" s="2672"/>
      <c r="EG67" s="2672"/>
      <c r="EH67" s="2672"/>
      <c r="EI67" s="2672"/>
      <c r="EJ67" s="2672"/>
      <c r="EK67" s="2672"/>
      <c r="EL67" s="2672"/>
      <c r="EM67" s="2672"/>
      <c r="EN67" s="2672"/>
      <c r="EO67" s="2672"/>
      <c r="EP67" s="2672"/>
      <c r="EQ67" s="2672"/>
      <c r="ER67" s="2672"/>
      <c r="ES67" s="2672"/>
      <c r="ET67" s="2672"/>
      <c r="EU67" s="2672"/>
      <c r="EV67" s="2672"/>
      <c r="EW67" s="2672"/>
      <c r="EX67" s="2672"/>
      <c r="EY67" s="2672"/>
      <c r="EZ67" s="2672"/>
      <c r="FA67" s="2672"/>
      <c r="FB67" s="2672"/>
      <c r="FC67" s="2672"/>
      <c r="FD67" s="2672"/>
      <c r="FE67" s="2672"/>
      <c r="FF67" s="2672"/>
      <c r="FG67" s="2672"/>
      <c r="FH67" s="2672"/>
      <c r="FI67" s="2672"/>
      <c r="FJ67" s="2672"/>
      <c r="FK67" s="2672"/>
      <c r="FL67" s="2672"/>
      <c r="FM67" s="2672"/>
      <c r="FN67" s="2672"/>
      <c r="FO67" s="2672"/>
      <c r="FP67" s="2672"/>
      <c r="FQ67" s="2672"/>
      <c r="FR67" s="2672"/>
      <c r="FS67" s="2672"/>
      <c r="FT67" s="2672"/>
      <c r="FU67" s="2672"/>
      <c r="FV67" s="2672"/>
      <c r="FW67" s="2672"/>
      <c r="FX67" s="2672"/>
      <c r="FY67" s="2672"/>
      <c r="FZ67" s="2672"/>
      <c r="GA67" s="2672"/>
      <c r="GB67" s="2672"/>
      <c r="GC67" s="2672"/>
      <c r="GD67" s="2672"/>
      <c r="GE67" s="2672"/>
      <c r="GF67" s="2672"/>
      <c r="GG67" s="2672"/>
      <c r="GH67" s="2672"/>
      <c r="GI67" s="2672"/>
      <c r="GJ67" s="2672"/>
      <c r="GK67" s="2672"/>
      <c r="GL67" s="2672"/>
      <c r="GM67" s="2672"/>
      <c r="GN67" s="2672"/>
      <c r="GO67" s="2672"/>
      <c r="GP67" s="2672"/>
      <c r="GQ67" s="2672"/>
      <c r="GR67" s="2672"/>
      <c r="GS67" s="2672"/>
      <c r="GT67" s="2672"/>
      <c r="GU67" s="2672"/>
      <c r="GV67" s="2672"/>
      <c r="GW67" s="2672"/>
    </row>
    <row r="68" spans="1:205" ht="17.399999999999999">
      <c r="B68" s="1525">
        <f t="shared" si="1"/>
        <v>64</v>
      </c>
      <c r="C68" s="2658" t="s">
        <v>490</v>
      </c>
      <c r="D68" s="2673">
        <v>82.5</v>
      </c>
      <c r="E68" s="2660" t="s">
        <v>480</v>
      </c>
      <c r="F68" s="3700"/>
      <c r="G68" s="3701"/>
      <c r="H68" s="3701"/>
      <c r="I68" s="3701"/>
      <c r="J68" s="3701"/>
      <c r="K68" s="3701"/>
      <c r="L68" s="3701"/>
      <c r="M68" s="3701"/>
      <c r="N68" s="3701"/>
      <c r="O68" s="3701"/>
      <c r="P68" s="3701"/>
      <c r="Q68" s="3701"/>
      <c r="R68" s="3701"/>
      <c r="S68" s="3701" t="s">
        <v>160</v>
      </c>
      <c r="T68" s="3701"/>
      <c r="U68" s="3701"/>
      <c r="V68" s="3701"/>
      <c r="W68" s="3701"/>
      <c r="X68" s="3701" t="s">
        <v>160</v>
      </c>
      <c r="Y68" s="3701"/>
      <c r="Z68" s="3701"/>
      <c r="AA68" s="3701"/>
      <c r="AB68" s="3701"/>
      <c r="AC68" s="3701"/>
      <c r="AD68" s="3701" t="s">
        <v>160</v>
      </c>
      <c r="AE68" s="3701"/>
      <c r="AF68" s="3702"/>
      <c r="AG68" s="1519">
        <f t="shared" si="0"/>
        <v>0</v>
      </c>
      <c r="AH68" s="2672"/>
      <c r="AI68" s="2672"/>
      <c r="AJ68" s="2672"/>
      <c r="AK68" s="2672"/>
      <c r="AL68" s="2672"/>
      <c r="AM68" s="2672"/>
      <c r="AN68" s="2672"/>
      <c r="AO68" s="2672"/>
      <c r="AP68" s="2672"/>
      <c r="AQ68" s="2672"/>
      <c r="AR68" s="2672"/>
      <c r="AS68" s="2672"/>
      <c r="AT68" s="2672"/>
      <c r="AU68" s="2672"/>
      <c r="AV68" s="2672"/>
      <c r="AW68" s="2672"/>
      <c r="AX68" s="2672"/>
      <c r="AY68" s="2672"/>
      <c r="AZ68" s="2672"/>
      <c r="BA68" s="2672"/>
      <c r="BB68" s="2672"/>
      <c r="BC68" s="2672"/>
      <c r="BD68" s="2672"/>
      <c r="BE68" s="2672"/>
      <c r="BF68" s="2672"/>
      <c r="BG68" s="2672"/>
      <c r="BH68" s="2672"/>
      <c r="BI68" s="2672"/>
      <c r="BJ68" s="2672"/>
      <c r="BK68" s="2672"/>
      <c r="BL68" s="2672"/>
      <c r="BM68" s="2672"/>
      <c r="BN68" s="2672"/>
      <c r="BO68" s="2672"/>
      <c r="BP68" s="2672"/>
      <c r="BQ68" s="2672"/>
      <c r="BR68" s="2672"/>
      <c r="BS68" s="2672"/>
      <c r="BT68" s="2672"/>
      <c r="BU68" s="2672"/>
      <c r="BV68" s="2672"/>
      <c r="BW68" s="2672"/>
      <c r="BX68" s="2672"/>
      <c r="BY68" s="2672"/>
      <c r="BZ68" s="2672"/>
      <c r="CA68" s="2672"/>
      <c r="CB68" s="2672"/>
      <c r="CC68" s="2672"/>
      <c r="CD68" s="2672"/>
      <c r="CE68" s="2672"/>
      <c r="CF68" s="2672"/>
      <c r="CG68" s="2672"/>
      <c r="CH68" s="2672"/>
      <c r="CI68" s="2672"/>
      <c r="CJ68" s="2672"/>
      <c r="CK68" s="2672"/>
      <c r="CL68" s="2672"/>
      <c r="CM68" s="2672"/>
      <c r="CN68" s="2672"/>
      <c r="CO68" s="2672"/>
      <c r="CP68" s="2672"/>
      <c r="CQ68" s="2672"/>
      <c r="CR68" s="2672"/>
      <c r="CS68" s="2672"/>
      <c r="CT68" s="2672"/>
      <c r="CU68" s="2672"/>
      <c r="CV68" s="2672"/>
      <c r="CW68" s="2672"/>
      <c r="CX68" s="2672"/>
      <c r="CY68" s="2672"/>
      <c r="CZ68" s="2672"/>
      <c r="DA68" s="2672"/>
      <c r="DB68" s="2672"/>
      <c r="DC68" s="2672"/>
      <c r="DD68" s="2672"/>
      <c r="DE68" s="2672"/>
      <c r="DF68" s="2672"/>
      <c r="DG68" s="2672"/>
      <c r="DH68" s="2672"/>
      <c r="DI68" s="2672"/>
      <c r="DJ68" s="2672"/>
      <c r="DK68" s="2672"/>
      <c r="DL68" s="2672"/>
      <c r="DM68" s="2672"/>
      <c r="DN68" s="2672"/>
      <c r="DO68" s="2672"/>
      <c r="DP68" s="2672"/>
      <c r="DQ68" s="2672"/>
      <c r="DR68" s="2672"/>
      <c r="DS68" s="2672"/>
      <c r="DT68" s="2672"/>
      <c r="DU68" s="2672"/>
      <c r="DV68" s="2672"/>
      <c r="DW68" s="2672"/>
      <c r="DX68" s="2672"/>
      <c r="DY68" s="2672"/>
      <c r="DZ68" s="2672"/>
      <c r="EA68" s="2672"/>
      <c r="EB68" s="2672"/>
      <c r="EC68" s="2672"/>
      <c r="ED68" s="2672"/>
      <c r="EE68" s="2672"/>
      <c r="EF68" s="2672"/>
      <c r="EG68" s="2672"/>
      <c r="EH68" s="2672"/>
      <c r="EI68" s="2672"/>
      <c r="EJ68" s="2672"/>
      <c r="EK68" s="2672"/>
      <c r="EL68" s="2672"/>
      <c r="EM68" s="2672"/>
      <c r="EN68" s="2672"/>
      <c r="EO68" s="2672"/>
      <c r="EP68" s="2672"/>
      <c r="EQ68" s="2672"/>
      <c r="ER68" s="2672"/>
      <c r="ES68" s="2672"/>
      <c r="ET68" s="2672"/>
      <c r="EU68" s="2672"/>
      <c r="EV68" s="2672"/>
      <c r="EW68" s="2672"/>
      <c r="EX68" s="2672"/>
      <c r="EY68" s="2672"/>
      <c r="EZ68" s="2672"/>
      <c r="FA68" s="2672"/>
      <c r="FB68" s="2672"/>
      <c r="FC68" s="2672"/>
      <c r="FD68" s="2672"/>
      <c r="FE68" s="2672"/>
      <c r="FF68" s="2672"/>
      <c r="FG68" s="2672"/>
      <c r="FH68" s="2672"/>
      <c r="FI68" s="2672"/>
      <c r="FJ68" s="2672"/>
      <c r="FK68" s="2672"/>
      <c r="FL68" s="2672"/>
      <c r="FM68" s="2672"/>
      <c r="FN68" s="2672"/>
      <c r="FO68" s="2672"/>
      <c r="FP68" s="2672"/>
      <c r="FQ68" s="2672"/>
      <c r="FR68" s="2672"/>
      <c r="FS68" s="2672"/>
      <c r="FT68" s="2672"/>
      <c r="FU68" s="2672"/>
      <c r="FV68" s="2672"/>
      <c r="FW68" s="2672"/>
      <c r="FX68" s="2672"/>
      <c r="FY68" s="2672"/>
      <c r="FZ68" s="2672"/>
      <c r="GA68" s="2672"/>
      <c r="GB68" s="2672"/>
      <c r="GC68" s="2672"/>
      <c r="GD68" s="2672"/>
      <c r="GE68" s="2672"/>
      <c r="GF68" s="2672"/>
      <c r="GG68" s="2672"/>
      <c r="GH68" s="2672"/>
      <c r="GI68" s="2672"/>
      <c r="GJ68" s="2672"/>
      <c r="GK68" s="2672"/>
      <c r="GL68" s="2672"/>
      <c r="GM68" s="2672"/>
      <c r="GN68" s="2672"/>
      <c r="GO68" s="2672"/>
      <c r="GP68" s="2672"/>
      <c r="GQ68" s="2672"/>
      <c r="GR68" s="2672"/>
      <c r="GS68" s="2672"/>
      <c r="GT68" s="2672"/>
      <c r="GU68" s="2672"/>
      <c r="GV68" s="2672"/>
      <c r="GW68" s="2672"/>
    </row>
    <row r="69" spans="1:205" s="2656" customFormat="1" ht="17.399999999999999">
      <c r="A69" s="2672"/>
      <c r="B69" s="1525">
        <f t="shared" ref="B69:B103" si="10">B68+1</f>
        <v>65</v>
      </c>
      <c r="C69" s="3450"/>
      <c r="D69" s="3451"/>
      <c r="E69" s="3452"/>
      <c r="F69" s="3705"/>
      <c r="G69" s="3706"/>
      <c r="H69" s="3706"/>
      <c r="I69" s="3706"/>
      <c r="J69" s="3706"/>
      <c r="K69" s="3706"/>
      <c r="L69" s="3706"/>
      <c r="M69" s="3706"/>
      <c r="N69" s="3706"/>
      <c r="O69" s="3706"/>
      <c r="P69" s="3706"/>
      <c r="Q69" s="3706"/>
      <c r="R69" s="3706"/>
      <c r="S69" s="3706"/>
      <c r="T69" s="3706"/>
      <c r="U69" s="3706"/>
      <c r="V69" s="3706"/>
      <c r="W69" s="3706"/>
      <c r="X69" s="3706"/>
      <c r="Y69" s="3706"/>
      <c r="Z69" s="3706"/>
      <c r="AA69" s="3706"/>
      <c r="AB69" s="3706"/>
      <c r="AC69" s="3706"/>
      <c r="AD69" s="3706"/>
      <c r="AE69" s="3706"/>
      <c r="AF69" s="3709"/>
      <c r="AG69" s="2657">
        <f t="shared" ref="AG69:AG103" si="11">IF(AND(I69="x",X69="x"),1,0)</f>
        <v>0</v>
      </c>
      <c r="AH69" s="2672"/>
      <c r="AI69" s="2672"/>
      <c r="AJ69" s="2672"/>
      <c r="AK69" s="2672"/>
      <c r="AL69" s="2672"/>
      <c r="AM69" s="2672"/>
      <c r="AN69" s="2672"/>
      <c r="AO69" s="2672"/>
      <c r="AP69" s="2672"/>
      <c r="AQ69" s="2672"/>
      <c r="AR69" s="2672"/>
      <c r="AS69" s="2672"/>
      <c r="AT69" s="2672"/>
      <c r="AU69" s="2672"/>
      <c r="AV69" s="2672"/>
      <c r="AW69" s="2672"/>
      <c r="AX69" s="2672"/>
      <c r="AY69" s="2672"/>
      <c r="AZ69" s="2672"/>
      <c r="BA69" s="2672"/>
      <c r="BB69" s="2672"/>
      <c r="BC69" s="2672"/>
      <c r="BD69" s="2672"/>
      <c r="BE69" s="2672"/>
      <c r="BF69" s="2672"/>
      <c r="BG69" s="2672"/>
      <c r="BH69" s="2672"/>
      <c r="BI69" s="2672"/>
      <c r="BJ69" s="2672"/>
      <c r="BK69" s="2672"/>
      <c r="BL69" s="2672"/>
      <c r="BM69" s="2672"/>
      <c r="BN69" s="2672"/>
      <c r="BO69" s="2672"/>
      <c r="BP69" s="2672"/>
      <c r="BQ69" s="2672"/>
      <c r="BR69" s="2672"/>
      <c r="BS69" s="2672"/>
      <c r="BT69" s="2672"/>
      <c r="BU69" s="2672"/>
      <c r="BV69" s="2672"/>
      <c r="BW69" s="2672"/>
      <c r="BX69" s="2672"/>
      <c r="BY69" s="2672"/>
      <c r="BZ69" s="2672"/>
      <c r="CA69" s="2672"/>
      <c r="CB69" s="2672"/>
      <c r="CC69" s="2672"/>
      <c r="CD69" s="2672"/>
      <c r="CE69" s="2672"/>
      <c r="CF69" s="2672"/>
      <c r="CG69" s="2672"/>
      <c r="CH69" s="2672"/>
      <c r="CI69" s="2672"/>
      <c r="CJ69" s="2672"/>
      <c r="CK69" s="2672"/>
      <c r="CL69" s="2672"/>
      <c r="CM69" s="2672"/>
      <c r="CN69" s="2672"/>
      <c r="CO69" s="2672"/>
      <c r="CP69" s="2672"/>
      <c r="CQ69" s="2672"/>
      <c r="CR69" s="2672"/>
      <c r="CS69" s="2672"/>
      <c r="CT69" s="2672"/>
      <c r="CU69" s="2672"/>
      <c r="CV69" s="2672"/>
      <c r="CW69" s="2672"/>
      <c r="CX69" s="2672"/>
      <c r="CY69" s="2672"/>
      <c r="CZ69" s="2672"/>
      <c r="DA69" s="2672"/>
      <c r="DB69" s="2672"/>
      <c r="DC69" s="2672"/>
      <c r="DD69" s="2672"/>
      <c r="DE69" s="2672"/>
      <c r="DF69" s="2672"/>
      <c r="DG69" s="2672"/>
      <c r="DH69" s="2672"/>
      <c r="DI69" s="2672"/>
      <c r="DJ69" s="2672"/>
      <c r="DK69" s="2672"/>
      <c r="DL69" s="2672"/>
      <c r="DM69" s="2672"/>
      <c r="DN69" s="2672"/>
      <c r="DO69" s="2672"/>
      <c r="DP69" s="2672"/>
      <c r="DQ69" s="2672"/>
      <c r="DR69" s="2672"/>
      <c r="DS69" s="2672"/>
      <c r="DT69" s="2672"/>
      <c r="DU69" s="2672"/>
      <c r="DV69" s="2672"/>
      <c r="DW69" s="2672"/>
      <c r="DX69" s="2672"/>
      <c r="DY69" s="2672"/>
      <c r="DZ69" s="2672"/>
      <c r="EA69" s="2672"/>
      <c r="EB69" s="2672"/>
      <c r="EC69" s="2672"/>
      <c r="ED69" s="2672"/>
      <c r="EE69" s="2672"/>
      <c r="EF69" s="2672"/>
      <c r="EG69" s="2672"/>
      <c r="EH69" s="2672"/>
      <c r="EI69" s="2672"/>
      <c r="EJ69" s="2672"/>
      <c r="EK69" s="2672"/>
      <c r="EL69" s="2672"/>
      <c r="EM69" s="2672"/>
      <c r="EN69" s="2672"/>
      <c r="EO69" s="2672"/>
      <c r="EP69" s="2672"/>
      <c r="EQ69" s="2672"/>
      <c r="ER69" s="2672"/>
      <c r="ES69" s="2672"/>
      <c r="ET69" s="2672"/>
      <c r="EU69" s="2672"/>
      <c r="EV69" s="2672"/>
      <c r="EW69" s="2672"/>
      <c r="EX69" s="2672"/>
      <c r="EY69" s="2672"/>
      <c r="EZ69" s="2672"/>
      <c r="FA69" s="2672"/>
      <c r="FB69" s="2672"/>
      <c r="FC69" s="2672"/>
      <c r="FD69" s="2672"/>
      <c r="FE69" s="2672"/>
      <c r="FF69" s="2672"/>
      <c r="FG69" s="2672"/>
      <c r="FH69" s="2672"/>
      <c r="FI69" s="2672"/>
      <c r="FJ69" s="2672"/>
      <c r="FK69" s="2672"/>
      <c r="FL69" s="2672"/>
      <c r="FM69" s="2672"/>
      <c r="FN69" s="2672"/>
      <c r="FO69" s="2672"/>
      <c r="FP69" s="2672"/>
      <c r="FQ69" s="2672"/>
      <c r="FR69" s="2672"/>
      <c r="FS69" s="2672"/>
      <c r="FT69" s="2672"/>
      <c r="FU69" s="2672"/>
      <c r="FV69" s="2672"/>
      <c r="FW69" s="2672"/>
      <c r="FX69" s="2672"/>
      <c r="FY69" s="2672"/>
      <c r="FZ69" s="2672"/>
      <c r="GA69" s="2672"/>
      <c r="GB69" s="2672"/>
      <c r="GC69" s="2672"/>
      <c r="GD69" s="2672"/>
      <c r="GE69" s="2672"/>
      <c r="GF69" s="2672"/>
      <c r="GG69" s="2672"/>
      <c r="GH69" s="2672"/>
      <c r="GI69" s="2672"/>
      <c r="GJ69" s="2672"/>
      <c r="GK69" s="2672"/>
      <c r="GL69" s="2672"/>
      <c r="GM69" s="2672"/>
      <c r="GN69" s="2672"/>
      <c r="GO69" s="2672"/>
      <c r="GP69" s="2672"/>
      <c r="GQ69" s="2672"/>
      <c r="GR69" s="2672"/>
      <c r="GS69" s="2672"/>
      <c r="GT69" s="2672"/>
      <c r="GU69" s="2672"/>
      <c r="GV69" s="2672"/>
      <c r="GW69" s="2672"/>
    </row>
    <row r="70" spans="1:205" ht="17.399999999999999">
      <c r="B70" s="1525">
        <f t="shared" si="10"/>
        <v>66</v>
      </c>
      <c r="C70" s="2658" t="s">
        <v>488</v>
      </c>
      <c r="D70" s="2673">
        <v>44.2</v>
      </c>
      <c r="E70" s="2660" t="s">
        <v>482</v>
      </c>
      <c r="F70" s="3700"/>
      <c r="G70" s="3701"/>
      <c r="H70" s="3701"/>
      <c r="I70" s="3701"/>
      <c r="J70" s="3701"/>
      <c r="K70" s="3701"/>
      <c r="L70" s="3701"/>
      <c r="M70" s="3701"/>
      <c r="N70" s="3701"/>
      <c r="O70" s="3701"/>
      <c r="P70" s="3701"/>
      <c r="Q70" s="3701"/>
      <c r="R70" s="3701"/>
      <c r="S70" s="3701"/>
      <c r="T70" s="3701"/>
      <c r="U70" s="3701"/>
      <c r="V70" s="3701"/>
      <c r="W70" s="3701"/>
      <c r="X70" s="3701"/>
      <c r="Y70" s="3701"/>
      <c r="Z70" s="3701"/>
      <c r="AA70" s="3701"/>
      <c r="AB70" s="3701" t="s">
        <v>160</v>
      </c>
      <c r="AC70" s="3701"/>
      <c r="AD70" s="3701" t="s">
        <v>160</v>
      </c>
      <c r="AE70" s="3701"/>
      <c r="AF70" s="3702"/>
      <c r="AG70" s="1519">
        <f t="shared" si="11"/>
        <v>0</v>
      </c>
      <c r="AH70" s="2672"/>
      <c r="AI70" s="2672"/>
      <c r="AJ70" s="2672"/>
      <c r="AK70" s="2672"/>
      <c r="AL70" s="2672"/>
      <c r="AM70" s="2672"/>
      <c r="AN70" s="2672"/>
      <c r="AO70" s="2672"/>
      <c r="AP70" s="2672"/>
      <c r="AQ70" s="2672"/>
      <c r="AR70" s="2672"/>
      <c r="AS70" s="2672"/>
      <c r="AT70" s="2672"/>
      <c r="AU70" s="2672"/>
      <c r="AV70" s="2672"/>
      <c r="AW70" s="2672"/>
      <c r="AX70" s="2672"/>
      <c r="AY70" s="2672"/>
      <c r="AZ70" s="2672"/>
      <c r="BA70" s="2672"/>
      <c r="BB70" s="2672"/>
      <c r="BC70" s="2672"/>
      <c r="BD70" s="2672"/>
      <c r="BE70" s="2672"/>
      <c r="BF70" s="2672"/>
      <c r="BG70" s="2672"/>
      <c r="BH70" s="2672"/>
      <c r="BI70" s="2672"/>
      <c r="BJ70" s="2672"/>
      <c r="BK70" s="2672"/>
      <c r="BL70" s="2672"/>
      <c r="BM70" s="2672"/>
      <c r="BN70" s="2672"/>
      <c r="BO70" s="2672"/>
      <c r="BP70" s="2672"/>
      <c r="BQ70" s="2672"/>
      <c r="BR70" s="2672"/>
      <c r="BS70" s="2672"/>
      <c r="BT70" s="2672"/>
      <c r="BU70" s="2672"/>
      <c r="BV70" s="2672"/>
      <c r="BW70" s="2672"/>
      <c r="BX70" s="2672"/>
      <c r="BY70" s="2672"/>
      <c r="BZ70" s="2672"/>
      <c r="CA70" s="2672"/>
      <c r="CB70" s="2672"/>
      <c r="CC70" s="2672"/>
      <c r="CD70" s="2672"/>
      <c r="CE70" s="2672"/>
      <c r="CF70" s="2672"/>
      <c r="CG70" s="2672"/>
      <c r="CH70" s="2672"/>
      <c r="CI70" s="2672"/>
      <c r="CJ70" s="2672"/>
      <c r="CK70" s="2672"/>
      <c r="CL70" s="2672"/>
      <c r="CM70" s="2672"/>
      <c r="CN70" s="2672"/>
      <c r="CO70" s="2672"/>
      <c r="CP70" s="2672"/>
      <c r="CQ70" s="2672"/>
      <c r="CR70" s="2672"/>
      <c r="CS70" s="2672"/>
      <c r="CT70" s="2672"/>
      <c r="CU70" s="2672"/>
      <c r="CV70" s="2672"/>
      <c r="CW70" s="2672"/>
      <c r="CX70" s="2672"/>
      <c r="CY70" s="2672"/>
      <c r="CZ70" s="2672"/>
      <c r="DA70" s="2672"/>
      <c r="DB70" s="2672"/>
      <c r="DC70" s="2672"/>
      <c r="DD70" s="2672"/>
      <c r="DE70" s="2672"/>
      <c r="DF70" s="2672"/>
      <c r="DG70" s="2672"/>
      <c r="DH70" s="2672"/>
      <c r="DI70" s="2672"/>
      <c r="DJ70" s="2672"/>
      <c r="DK70" s="2672"/>
      <c r="DL70" s="2672"/>
      <c r="DM70" s="2672"/>
      <c r="DN70" s="2672"/>
      <c r="DO70" s="2672"/>
      <c r="DP70" s="2672"/>
      <c r="DQ70" s="2672"/>
      <c r="DR70" s="2672"/>
      <c r="DS70" s="2672"/>
      <c r="DT70" s="2672"/>
      <c r="DU70" s="2672"/>
      <c r="DV70" s="2672"/>
      <c r="DW70" s="2672"/>
      <c r="DX70" s="2672"/>
      <c r="DY70" s="2672"/>
      <c r="DZ70" s="2672"/>
      <c r="EA70" s="2672"/>
      <c r="EB70" s="2672"/>
      <c r="EC70" s="2672"/>
      <c r="ED70" s="2672"/>
      <c r="EE70" s="2672"/>
      <c r="EF70" s="2672"/>
      <c r="EG70" s="2672"/>
      <c r="EH70" s="2672"/>
      <c r="EI70" s="2672"/>
      <c r="EJ70" s="2672"/>
      <c r="EK70" s="2672"/>
      <c r="EL70" s="2672"/>
      <c r="EM70" s="2672"/>
      <c r="EN70" s="2672"/>
      <c r="EO70" s="2672"/>
      <c r="EP70" s="2672"/>
      <c r="EQ70" s="2672"/>
      <c r="ER70" s="2672"/>
      <c r="ES70" s="2672"/>
      <c r="ET70" s="2672"/>
      <c r="EU70" s="2672"/>
      <c r="EV70" s="2672"/>
      <c r="EW70" s="2672"/>
      <c r="EX70" s="2672"/>
      <c r="EY70" s="2672"/>
      <c r="EZ70" s="2672"/>
      <c r="FA70" s="2672"/>
      <c r="FB70" s="2672"/>
      <c r="FC70" s="2672"/>
      <c r="FD70" s="2672"/>
      <c r="FE70" s="2672"/>
      <c r="FF70" s="2672"/>
      <c r="FG70" s="2672"/>
      <c r="FH70" s="2672"/>
      <c r="FI70" s="2672"/>
      <c r="FJ70" s="2672"/>
      <c r="FK70" s="2672"/>
      <c r="FL70" s="2672"/>
      <c r="FM70" s="2672"/>
      <c r="FN70" s="2672"/>
      <c r="FO70" s="2672"/>
      <c r="FP70" s="2672"/>
      <c r="FQ70" s="2672"/>
      <c r="FR70" s="2672"/>
      <c r="FS70" s="2672"/>
      <c r="FT70" s="2672"/>
      <c r="FU70" s="2672"/>
      <c r="FV70" s="2672"/>
      <c r="FW70" s="2672"/>
      <c r="FX70" s="2672"/>
      <c r="FY70" s="2672"/>
      <c r="FZ70" s="2672"/>
      <c r="GA70" s="2672"/>
      <c r="GB70" s="2672"/>
      <c r="GC70" s="2672"/>
      <c r="GD70" s="2672"/>
      <c r="GE70" s="2672"/>
      <c r="GF70" s="2672"/>
      <c r="GG70" s="2672"/>
      <c r="GH70" s="2672"/>
      <c r="GI70" s="2672"/>
      <c r="GJ70" s="2672"/>
      <c r="GK70" s="2672"/>
      <c r="GL70" s="2672"/>
      <c r="GM70" s="2672"/>
      <c r="GN70" s="2672"/>
      <c r="GO70" s="2672"/>
      <c r="GP70" s="2672"/>
      <c r="GQ70" s="2672"/>
      <c r="GR70" s="2672"/>
      <c r="GS70" s="2672"/>
      <c r="GT70" s="2672"/>
      <c r="GU70" s="2672"/>
      <c r="GV70" s="2672"/>
      <c r="GW70" s="2672"/>
    </row>
    <row r="71" spans="1:205" ht="17.399999999999999">
      <c r="B71" s="1525">
        <f t="shared" si="10"/>
        <v>67</v>
      </c>
      <c r="C71" s="2658" t="s">
        <v>1481</v>
      </c>
      <c r="D71" s="2673">
        <v>24.9</v>
      </c>
      <c r="E71" s="2660" t="s">
        <v>480</v>
      </c>
      <c r="F71" s="3700"/>
      <c r="G71" s="3701"/>
      <c r="H71" s="3701"/>
      <c r="I71" s="3701"/>
      <c r="J71" s="3701"/>
      <c r="K71" s="3701"/>
      <c r="L71" s="3701"/>
      <c r="M71" s="3701"/>
      <c r="N71" s="3701"/>
      <c r="O71" s="3701"/>
      <c r="P71" s="3701"/>
      <c r="Q71" s="3701"/>
      <c r="R71" s="3701" t="s">
        <v>160</v>
      </c>
      <c r="S71" s="3701"/>
      <c r="T71" s="3701"/>
      <c r="U71" s="3701" t="s">
        <v>160</v>
      </c>
      <c r="V71" s="3701" t="s">
        <v>160</v>
      </c>
      <c r="W71" s="3701"/>
      <c r="X71" s="3701" t="s">
        <v>160</v>
      </c>
      <c r="Y71" s="3701" t="s">
        <v>160</v>
      </c>
      <c r="Z71" s="3701" t="s">
        <v>160</v>
      </c>
      <c r="AA71" s="3701"/>
      <c r="AB71" s="3701"/>
      <c r="AC71" s="3701"/>
      <c r="AD71" s="3701" t="s">
        <v>160</v>
      </c>
      <c r="AE71" s="3701"/>
      <c r="AF71" s="3702"/>
      <c r="AG71" s="1519">
        <f t="shared" si="11"/>
        <v>0</v>
      </c>
      <c r="AH71" s="2672"/>
      <c r="AI71" s="2672"/>
      <c r="AJ71" s="2672"/>
      <c r="AK71" s="2672"/>
      <c r="AL71" s="2672"/>
      <c r="AM71" s="2672"/>
      <c r="AN71" s="2672"/>
      <c r="AO71" s="2672"/>
      <c r="AP71" s="2672"/>
      <c r="AQ71" s="2672"/>
      <c r="AR71" s="2672"/>
      <c r="AS71" s="2672"/>
      <c r="AT71" s="2672"/>
      <c r="AU71" s="2672"/>
      <c r="AV71" s="2672"/>
      <c r="AW71" s="2672"/>
      <c r="AX71" s="2672"/>
      <c r="AY71" s="2672"/>
      <c r="AZ71" s="2672"/>
      <c r="BA71" s="2672"/>
      <c r="BB71" s="2672"/>
      <c r="BC71" s="2672"/>
      <c r="BD71" s="2672"/>
      <c r="BE71" s="2672"/>
      <c r="BF71" s="2672"/>
      <c r="BG71" s="2672"/>
      <c r="BH71" s="2672"/>
      <c r="BI71" s="2672"/>
      <c r="BJ71" s="2672"/>
      <c r="BK71" s="2672"/>
      <c r="BL71" s="2672"/>
      <c r="BM71" s="2672"/>
      <c r="BN71" s="2672"/>
      <c r="BO71" s="2672"/>
      <c r="BP71" s="2672"/>
      <c r="BQ71" s="2672"/>
      <c r="BR71" s="2672"/>
      <c r="BS71" s="2672"/>
      <c r="BT71" s="2672"/>
      <c r="BU71" s="2672"/>
      <c r="BV71" s="2672"/>
      <c r="BW71" s="2672"/>
      <c r="BX71" s="2672"/>
      <c r="BY71" s="2672"/>
      <c r="BZ71" s="2672"/>
      <c r="CA71" s="2672"/>
      <c r="CB71" s="2672"/>
      <c r="CC71" s="2672"/>
      <c r="CD71" s="2672"/>
      <c r="CE71" s="2672"/>
      <c r="CF71" s="2672"/>
      <c r="CG71" s="2672"/>
      <c r="CH71" s="2672"/>
      <c r="CI71" s="2672"/>
      <c r="CJ71" s="2672"/>
      <c r="CK71" s="2672"/>
      <c r="CL71" s="2672"/>
      <c r="CM71" s="2672"/>
      <c r="CN71" s="2672"/>
      <c r="CO71" s="2672"/>
      <c r="CP71" s="2672"/>
      <c r="CQ71" s="2672"/>
      <c r="CR71" s="2672"/>
      <c r="CS71" s="2672"/>
      <c r="CT71" s="2672"/>
      <c r="CU71" s="2672"/>
      <c r="CV71" s="2672"/>
      <c r="CW71" s="2672"/>
      <c r="CX71" s="2672"/>
      <c r="CY71" s="2672"/>
      <c r="CZ71" s="2672"/>
      <c r="DA71" s="2672"/>
      <c r="DB71" s="2672"/>
      <c r="DC71" s="2672"/>
      <c r="DD71" s="2672"/>
      <c r="DE71" s="2672"/>
      <c r="DF71" s="2672"/>
      <c r="DG71" s="2672"/>
      <c r="DH71" s="2672"/>
      <c r="DI71" s="2672"/>
      <c r="DJ71" s="2672"/>
      <c r="DK71" s="2672"/>
      <c r="DL71" s="2672"/>
      <c r="DM71" s="2672"/>
      <c r="DN71" s="2672"/>
      <c r="DO71" s="2672"/>
      <c r="DP71" s="2672"/>
      <c r="DQ71" s="2672"/>
      <c r="DR71" s="2672"/>
      <c r="DS71" s="2672"/>
      <c r="DT71" s="2672"/>
      <c r="DU71" s="2672"/>
      <c r="DV71" s="2672"/>
      <c r="DW71" s="2672"/>
      <c r="DX71" s="2672"/>
      <c r="DY71" s="2672"/>
      <c r="DZ71" s="2672"/>
      <c r="EA71" s="2672"/>
      <c r="EB71" s="2672"/>
      <c r="EC71" s="2672"/>
      <c r="ED71" s="2672"/>
      <c r="EE71" s="2672"/>
      <c r="EF71" s="2672"/>
      <c r="EG71" s="2672"/>
      <c r="EH71" s="2672"/>
      <c r="EI71" s="2672"/>
      <c r="EJ71" s="2672"/>
      <c r="EK71" s="2672"/>
      <c r="EL71" s="2672"/>
      <c r="EM71" s="2672"/>
      <c r="EN71" s="2672"/>
      <c r="EO71" s="2672"/>
      <c r="EP71" s="2672"/>
      <c r="EQ71" s="2672"/>
      <c r="ER71" s="2672"/>
      <c r="ES71" s="2672"/>
      <c r="ET71" s="2672"/>
      <c r="EU71" s="2672"/>
      <c r="EV71" s="2672"/>
      <c r="EW71" s="2672"/>
      <c r="EX71" s="2672"/>
      <c r="EY71" s="2672"/>
      <c r="EZ71" s="2672"/>
      <c r="FA71" s="2672"/>
      <c r="FB71" s="2672"/>
      <c r="FC71" s="2672"/>
      <c r="FD71" s="2672"/>
      <c r="FE71" s="2672"/>
      <c r="FF71" s="2672"/>
      <c r="FG71" s="2672"/>
      <c r="FH71" s="2672"/>
      <c r="FI71" s="2672"/>
      <c r="FJ71" s="2672"/>
      <c r="FK71" s="2672"/>
      <c r="FL71" s="2672"/>
      <c r="FM71" s="2672"/>
      <c r="FN71" s="2672"/>
      <c r="FO71" s="2672"/>
      <c r="FP71" s="2672"/>
      <c r="FQ71" s="2672"/>
      <c r="FR71" s="2672"/>
      <c r="FS71" s="2672"/>
      <c r="FT71" s="2672"/>
      <c r="FU71" s="2672"/>
      <c r="FV71" s="2672"/>
      <c r="FW71" s="2672"/>
      <c r="FX71" s="2672"/>
      <c r="FY71" s="2672"/>
      <c r="FZ71" s="2672"/>
      <c r="GA71" s="2672"/>
      <c r="GB71" s="2672"/>
      <c r="GC71" s="2672"/>
      <c r="GD71" s="2672"/>
      <c r="GE71" s="2672"/>
      <c r="GF71" s="2672"/>
      <c r="GG71" s="2672"/>
      <c r="GH71" s="2672"/>
      <c r="GI71" s="2672"/>
      <c r="GJ71" s="2672"/>
      <c r="GK71" s="2672"/>
      <c r="GL71" s="2672"/>
      <c r="GM71" s="2672"/>
      <c r="GN71" s="2672"/>
      <c r="GO71" s="2672"/>
      <c r="GP71" s="2672"/>
      <c r="GQ71" s="2672"/>
      <c r="GR71" s="2672"/>
      <c r="GS71" s="2672"/>
      <c r="GT71" s="2672"/>
      <c r="GU71" s="2672"/>
      <c r="GV71" s="2672"/>
      <c r="GW71" s="2672"/>
    </row>
    <row r="72" spans="1:205" ht="17.399999999999999">
      <c r="B72" s="1525">
        <f t="shared" si="10"/>
        <v>68</v>
      </c>
      <c r="C72" s="2658" t="s">
        <v>487</v>
      </c>
      <c r="D72" s="2673">
        <v>21.3</v>
      </c>
      <c r="E72" s="2660" t="s">
        <v>480</v>
      </c>
      <c r="F72" s="3700" t="s">
        <v>160</v>
      </c>
      <c r="G72" s="3701"/>
      <c r="H72" s="3701" t="s">
        <v>160</v>
      </c>
      <c r="I72" s="3701" t="s">
        <v>160</v>
      </c>
      <c r="J72" s="3701" t="s">
        <v>160</v>
      </c>
      <c r="K72" s="3701" t="s">
        <v>160</v>
      </c>
      <c r="L72" s="3701" t="s">
        <v>160</v>
      </c>
      <c r="M72" s="3701" t="s">
        <v>160</v>
      </c>
      <c r="N72" s="3701" t="s">
        <v>160</v>
      </c>
      <c r="O72" s="3701" t="s">
        <v>160</v>
      </c>
      <c r="P72" s="3701" t="s">
        <v>160</v>
      </c>
      <c r="Q72" s="3701"/>
      <c r="R72" s="3701"/>
      <c r="S72" s="3701"/>
      <c r="T72" s="3701"/>
      <c r="U72" s="3701"/>
      <c r="V72" s="3701"/>
      <c r="W72" s="3701"/>
      <c r="X72" s="3701"/>
      <c r="Y72" s="3701"/>
      <c r="Z72" s="3701"/>
      <c r="AA72" s="3701"/>
      <c r="AB72" s="3701"/>
      <c r="AC72" s="3701"/>
      <c r="AD72" s="3701" t="s">
        <v>160</v>
      </c>
      <c r="AE72" s="3701"/>
      <c r="AF72" s="3702"/>
      <c r="AG72" s="1519">
        <f t="shared" si="11"/>
        <v>0</v>
      </c>
      <c r="AH72" s="2672"/>
      <c r="AI72" s="2672"/>
      <c r="AJ72" s="2672"/>
      <c r="AK72" s="2672"/>
      <c r="AL72" s="2672"/>
      <c r="AM72" s="2672"/>
      <c r="AN72" s="2672"/>
      <c r="AO72" s="2672"/>
      <c r="AP72" s="2672"/>
      <c r="AQ72" s="2672"/>
      <c r="AR72" s="2672"/>
      <c r="AS72" s="2672"/>
      <c r="AT72" s="2672"/>
      <c r="AU72" s="2672"/>
      <c r="AV72" s="2672"/>
      <c r="AW72" s="2672"/>
      <c r="AX72" s="2672"/>
      <c r="AY72" s="2672"/>
      <c r="AZ72" s="2672"/>
      <c r="BA72" s="2672"/>
      <c r="BB72" s="2672"/>
      <c r="BC72" s="2672"/>
      <c r="BD72" s="2672"/>
      <c r="BE72" s="2672"/>
      <c r="BF72" s="2672"/>
      <c r="BG72" s="2672"/>
      <c r="BH72" s="2672"/>
      <c r="BI72" s="2672"/>
      <c r="BJ72" s="2672"/>
      <c r="BK72" s="2672"/>
      <c r="BL72" s="2672"/>
      <c r="BM72" s="2672"/>
      <c r="BN72" s="2672"/>
      <c r="BO72" s="2672"/>
      <c r="BP72" s="2672"/>
      <c r="BQ72" s="2672"/>
      <c r="BR72" s="2672"/>
      <c r="BS72" s="2672"/>
      <c r="BT72" s="2672"/>
      <c r="BU72" s="2672"/>
      <c r="BV72" s="2672"/>
      <c r="BW72" s="2672"/>
      <c r="BX72" s="2672"/>
      <c r="BY72" s="2672"/>
      <c r="BZ72" s="2672"/>
      <c r="CA72" s="2672"/>
      <c r="CB72" s="2672"/>
      <c r="CC72" s="2672"/>
      <c r="CD72" s="2672"/>
      <c r="CE72" s="2672"/>
      <c r="CF72" s="2672"/>
      <c r="CG72" s="2672"/>
      <c r="CH72" s="2672"/>
      <c r="CI72" s="2672"/>
      <c r="CJ72" s="2672"/>
      <c r="CK72" s="2672"/>
      <c r="CL72" s="2672"/>
      <c r="CM72" s="2672"/>
      <c r="CN72" s="2672"/>
      <c r="CO72" s="2672"/>
      <c r="CP72" s="2672"/>
      <c r="CQ72" s="2672"/>
      <c r="CR72" s="2672"/>
      <c r="CS72" s="2672"/>
      <c r="CT72" s="2672"/>
      <c r="CU72" s="2672"/>
      <c r="CV72" s="2672"/>
      <c r="CW72" s="2672"/>
      <c r="CX72" s="2672"/>
      <c r="CY72" s="2672"/>
      <c r="CZ72" s="2672"/>
      <c r="DA72" s="2672"/>
      <c r="DB72" s="2672"/>
      <c r="DC72" s="2672"/>
      <c r="DD72" s="2672"/>
      <c r="DE72" s="2672"/>
      <c r="DF72" s="2672"/>
      <c r="DG72" s="2672"/>
      <c r="DH72" s="2672"/>
      <c r="DI72" s="2672"/>
      <c r="DJ72" s="2672"/>
      <c r="DK72" s="2672"/>
      <c r="DL72" s="2672"/>
      <c r="DM72" s="2672"/>
      <c r="DN72" s="2672"/>
      <c r="DO72" s="2672"/>
      <c r="DP72" s="2672"/>
      <c r="DQ72" s="2672"/>
      <c r="DR72" s="2672"/>
      <c r="DS72" s="2672"/>
      <c r="DT72" s="2672"/>
      <c r="DU72" s="2672"/>
      <c r="DV72" s="2672"/>
      <c r="DW72" s="2672"/>
      <c r="DX72" s="2672"/>
      <c r="DY72" s="2672"/>
      <c r="DZ72" s="2672"/>
      <c r="EA72" s="2672"/>
      <c r="EB72" s="2672"/>
      <c r="EC72" s="2672"/>
      <c r="ED72" s="2672"/>
      <c r="EE72" s="2672"/>
      <c r="EF72" s="2672"/>
      <c r="EG72" s="2672"/>
      <c r="EH72" s="2672"/>
      <c r="EI72" s="2672"/>
      <c r="EJ72" s="2672"/>
      <c r="EK72" s="2672"/>
      <c r="EL72" s="2672"/>
      <c r="EM72" s="2672"/>
      <c r="EN72" s="2672"/>
      <c r="EO72" s="2672"/>
      <c r="EP72" s="2672"/>
      <c r="EQ72" s="2672"/>
      <c r="ER72" s="2672"/>
      <c r="ES72" s="2672"/>
      <c r="ET72" s="2672"/>
      <c r="EU72" s="2672"/>
      <c r="EV72" s="2672"/>
      <c r="EW72" s="2672"/>
      <c r="EX72" s="2672"/>
      <c r="EY72" s="2672"/>
      <c r="EZ72" s="2672"/>
      <c r="FA72" s="2672"/>
      <c r="FB72" s="2672"/>
      <c r="FC72" s="2672"/>
      <c r="FD72" s="2672"/>
      <c r="FE72" s="2672"/>
      <c r="FF72" s="2672"/>
      <c r="FG72" s="2672"/>
      <c r="FH72" s="2672"/>
      <c r="FI72" s="2672"/>
      <c r="FJ72" s="2672"/>
      <c r="FK72" s="2672"/>
      <c r="FL72" s="2672"/>
      <c r="FM72" s="2672"/>
      <c r="FN72" s="2672"/>
      <c r="FO72" s="2672"/>
      <c r="FP72" s="2672"/>
      <c r="FQ72" s="2672"/>
      <c r="FR72" s="2672"/>
      <c r="FS72" s="2672"/>
      <c r="FT72" s="2672"/>
      <c r="FU72" s="2672"/>
      <c r="FV72" s="2672"/>
      <c r="FW72" s="2672"/>
      <c r="FX72" s="2672"/>
      <c r="FY72" s="2672"/>
      <c r="FZ72" s="2672"/>
      <c r="GA72" s="2672"/>
      <c r="GB72" s="2672"/>
      <c r="GC72" s="2672"/>
      <c r="GD72" s="2672"/>
      <c r="GE72" s="2672"/>
      <c r="GF72" s="2672"/>
      <c r="GG72" s="2672"/>
      <c r="GH72" s="2672"/>
      <c r="GI72" s="2672"/>
      <c r="GJ72" s="2672"/>
      <c r="GK72" s="2672"/>
      <c r="GL72" s="2672"/>
      <c r="GM72" s="2672"/>
      <c r="GN72" s="2672"/>
      <c r="GO72" s="2672"/>
      <c r="GP72" s="2672"/>
      <c r="GQ72" s="2672"/>
      <c r="GR72" s="2672"/>
      <c r="GS72" s="2672"/>
      <c r="GT72" s="2672"/>
      <c r="GU72" s="2672"/>
      <c r="GV72" s="2672"/>
      <c r="GW72" s="2672"/>
    </row>
    <row r="73" spans="1:205" ht="17.399999999999999">
      <c r="B73" s="1525">
        <f t="shared" si="10"/>
        <v>69</v>
      </c>
      <c r="C73" s="2658"/>
      <c r="D73" s="2673"/>
      <c r="E73" s="2660"/>
      <c r="F73" s="3700"/>
      <c r="G73" s="3701"/>
      <c r="H73" s="3701"/>
      <c r="I73" s="3701"/>
      <c r="J73" s="3701"/>
      <c r="K73" s="3701"/>
      <c r="L73" s="3701"/>
      <c r="M73" s="3701"/>
      <c r="N73" s="3701"/>
      <c r="O73" s="3701"/>
      <c r="P73" s="3701"/>
      <c r="Q73" s="3701"/>
      <c r="R73" s="3701"/>
      <c r="S73" s="3701"/>
      <c r="T73" s="3701"/>
      <c r="U73" s="3701"/>
      <c r="V73" s="3701"/>
      <c r="W73" s="3701"/>
      <c r="X73" s="3701"/>
      <c r="Y73" s="3701"/>
      <c r="Z73" s="3701"/>
      <c r="AA73" s="3701"/>
      <c r="AB73" s="3701"/>
      <c r="AC73" s="3701"/>
      <c r="AD73" s="3703"/>
      <c r="AE73" s="3703"/>
      <c r="AF73" s="3704"/>
      <c r="AG73" s="1519">
        <f t="shared" si="11"/>
        <v>0</v>
      </c>
      <c r="AH73" s="2672"/>
      <c r="AI73" s="2672"/>
      <c r="AJ73" s="2672"/>
      <c r="AK73" s="2672"/>
      <c r="AL73" s="2672"/>
      <c r="AM73" s="2672"/>
      <c r="AN73" s="2672"/>
      <c r="AO73" s="2672"/>
      <c r="AP73" s="2672"/>
      <c r="AQ73" s="2672"/>
      <c r="AR73" s="2672"/>
      <c r="AS73" s="2672"/>
      <c r="AT73" s="2672"/>
      <c r="AU73" s="2672"/>
      <c r="AV73" s="2672"/>
      <c r="AW73" s="2672"/>
      <c r="AX73" s="2672"/>
      <c r="AY73" s="2672"/>
      <c r="AZ73" s="2672"/>
      <c r="BA73" s="2672"/>
      <c r="BB73" s="2672"/>
      <c r="BC73" s="2672"/>
      <c r="BD73" s="2672"/>
      <c r="BE73" s="2672"/>
      <c r="BF73" s="2672"/>
      <c r="BG73" s="2672"/>
      <c r="BH73" s="2672"/>
      <c r="BI73" s="2672"/>
      <c r="BJ73" s="2672"/>
      <c r="BK73" s="2672"/>
      <c r="BL73" s="2672"/>
      <c r="BM73" s="2672"/>
      <c r="BN73" s="2672"/>
      <c r="BO73" s="2672"/>
      <c r="BP73" s="2672"/>
      <c r="BQ73" s="2672"/>
      <c r="BR73" s="2672"/>
      <c r="BS73" s="2672"/>
      <c r="BT73" s="2672"/>
      <c r="BU73" s="2672"/>
      <c r="BV73" s="2672"/>
      <c r="BW73" s="2672"/>
      <c r="BX73" s="2672"/>
      <c r="BY73" s="2672"/>
      <c r="BZ73" s="2672"/>
      <c r="CA73" s="2672"/>
      <c r="CB73" s="2672"/>
      <c r="CC73" s="2672"/>
      <c r="CD73" s="2672"/>
      <c r="CE73" s="2672"/>
      <c r="CF73" s="2672"/>
      <c r="CG73" s="2672"/>
      <c r="CH73" s="2672"/>
      <c r="CI73" s="2672"/>
      <c r="CJ73" s="2672"/>
      <c r="CK73" s="2672"/>
      <c r="CL73" s="2672"/>
      <c r="CM73" s="2672"/>
      <c r="CN73" s="2672"/>
      <c r="CO73" s="2672"/>
      <c r="CP73" s="2672"/>
      <c r="CQ73" s="2672"/>
      <c r="CR73" s="2672"/>
      <c r="CS73" s="2672"/>
      <c r="CT73" s="2672"/>
      <c r="CU73" s="2672"/>
      <c r="CV73" s="2672"/>
      <c r="CW73" s="2672"/>
      <c r="CX73" s="2672"/>
      <c r="CY73" s="2672"/>
      <c r="CZ73" s="2672"/>
      <c r="DA73" s="2672"/>
      <c r="DB73" s="2672"/>
      <c r="DC73" s="2672"/>
      <c r="DD73" s="2672"/>
      <c r="DE73" s="2672"/>
      <c r="DF73" s="2672"/>
      <c r="DG73" s="2672"/>
      <c r="DH73" s="2672"/>
      <c r="DI73" s="2672"/>
      <c r="DJ73" s="2672"/>
      <c r="DK73" s="2672"/>
      <c r="DL73" s="2672"/>
      <c r="DM73" s="2672"/>
      <c r="DN73" s="2672"/>
      <c r="DO73" s="2672"/>
      <c r="DP73" s="2672"/>
      <c r="DQ73" s="2672"/>
      <c r="DR73" s="2672"/>
      <c r="DS73" s="2672"/>
      <c r="DT73" s="2672"/>
      <c r="DU73" s="2672"/>
      <c r="DV73" s="2672"/>
      <c r="DW73" s="2672"/>
      <c r="DX73" s="2672"/>
      <c r="DY73" s="2672"/>
      <c r="DZ73" s="2672"/>
      <c r="EA73" s="2672"/>
      <c r="EB73" s="2672"/>
      <c r="EC73" s="2672"/>
      <c r="ED73" s="2672"/>
      <c r="EE73" s="2672"/>
      <c r="EF73" s="2672"/>
      <c r="EG73" s="2672"/>
      <c r="EH73" s="2672"/>
      <c r="EI73" s="2672"/>
      <c r="EJ73" s="2672"/>
      <c r="EK73" s="2672"/>
      <c r="EL73" s="2672"/>
      <c r="EM73" s="2672"/>
      <c r="EN73" s="2672"/>
      <c r="EO73" s="2672"/>
      <c r="EP73" s="2672"/>
      <c r="EQ73" s="2672"/>
      <c r="ER73" s="2672"/>
      <c r="ES73" s="2672"/>
      <c r="ET73" s="2672"/>
      <c r="EU73" s="2672"/>
      <c r="EV73" s="2672"/>
      <c r="EW73" s="2672"/>
      <c r="EX73" s="2672"/>
      <c r="EY73" s="2672"/>
      <c r="EZ73" s="2672"/>
      <c r="FA73" s="2672"/>
      <c r="FB73" s="2672"/>
      <c r="FC73" s="2672"/>
      <c r="FD73" s="2672"/>
      <c r="FE73" s="2672"/>
      <c r="FF73" s="2672"/>
      <c r="FG73" s="2672"/>
      <c r="FH73" s="2672"/>
      <c r="FI73" s="2672"/>
      <c r="FJ73" s="2672"/>
      <c r="FK73" s="2672"/>
      <c r="FL73" s="2672"/>
      <c r="FM73" s="2672"/>
      <c r="FN73" s="2672"/>
      <c r="FO73" s="2672"/>
      <c r="FP73" s="2672"/>
      <c r="FQ73" s="2672"/>
      <c r="FR73" s="2672"/>
      <c r="FS73" s="2672"/>
      <c r="FT73" s="2672"/>
      <c r="FU73" s="2672"/>
      <c r="FV73" s="2672"/>
      <c r="FW73" s="2672"/>
      <c r="FX73" s="2672"/>
      <c r="FY73" s="2672"/>
      <c r="FZ73" s="2672"/>
      <c r="GA73" s="2672"/>
      <c r="GB73" s="2672"/>
      <c r="GC73" s="2672"/>
      <c r="GD73" s="2672"/>
      <c r="GE73" s="2672"/>
      <c r="GF73" s="2672"/>
      <c r="GG73" s="2672"/>
      <c r="GH73" s="2672"/>
      <c r="GI73" s="2672"/>
      <c r="GJ73" s="2672"/>
      <c r="GK73" s="2672"/>
      <c r="GL73" s="2672"/>
      <c r="GM73" s="2672"/>
      <c r="GN73" s="2672"/>
      <c r="GO73" s="2672"/>
      <c r="GP73" s="2672"/>
      <c r="GQ73" s="2672"/>
      <c r="GR73" s="2672"/>
      <c r="GS73" s="2672"/>
      <c r="GT73" s="2672"/>
      <c r="GU73" s="2672"/>
      <c r="GV73" s="2672"/>
      <c r="GW73" s="2672"/>
    </row>
    <row r="74" spans="1:205" ht="17.399999999999999">
      <c r="B74" s="1525">
        <f t="shared" si="10"/>
        <v>70</v>
      </c>
      <c r="C74" s="2658" t="s">
        <v>485</v>
      </c>
      <c r="D74" s="2673">
        <v>23.9</v>
      </c>
      <c r="E74" s="2660" t="s">
        <v>480</v>
      </c>
      <c r="F74" s="3700" t="s">
        <v>160</v>
      </c>
      <c r="G74" s="3701" t="s">
        <v>160</v>
      </c>
      <c r="H74" s="3701" t="s">
        <v>160</v>
      </c>
      <c r="I74" s="3701" t="s">
        <v>160</v>
      </c>
      <c r="J74" s="3701" t="s">
        <v>160</v>
      </c>
      <c r="K74" s="3701"/>
      <c r="L74" s="3701"/>
      <c r="M74" s="3701"/>
      <c r="N74" s="3701"/>
      <c r="O74" s="3701"/>
      <c r="P74" s="3701"/>
      <c r="Q74" s="3701" t="s">
        <v>160</v>
      </c>
      <c r="R74" s="3701" t="s">
        <v>160</v>
      </c>
      <c r="S74" s="3701" t="s">
        <v>160</v>
      </c>
      <c r="T74" s="3701" t="s">
        <v>160</v>
      </c>
      <c r="U74" s="3701" t="s">
        <v>160</v>
      </c>
      <c r="V74" s="3701" t="s">
        <v>160</v>
      </c>
      <c r="W74" s="3701"/>
      <c r="X74" s="3701" t="s">
        <v>160</v>
      </c>
      <c r="Y74" s="3701" t="s">
        <v>160</v>
      </c>
      <c r="Z74" s="3701" t="s">
        <v>160</v>
      </c>
      <c r="AA74" s="3701"/>
      <c r="AB74" s="3701"/>
      <c r="AC74" s="3701"/>
      <c r="AD74" s="3701" t="s">
        <v>160</v>
      </c>
      <c r="AE74" s="3701"/>
      <c r="AF74" s="3702"/>
      <c r="AG74" s="1519">
        <f t="shared" si="11"/>
        <v>1</v>
      </c>
      <c r="AH74" s="2672"/>
      <c r="AI74" s="2672"/>
      <c r="AJ74" s="2672"/>
      <c r="AK74" s="2672"/>
      <c r="AL74" s="2672"/>
      <c r="AM74" s="2672"/>
      <c r="AN74" s="2672"/>
      <c r="AO74" s="2672"/>
      <c r="AP74" s="2672"/>
      <c r="AQ74" s="2672"/>
      <c r="AR74" s="2672"/>
      <c r="AS74" s="2672"/>
      <c r="AT74" s="2672"/>
      <c r="AU74" s="2672"/>
      <c r="AV74" s="2672"/>
      <c r="AW74" s="2672"/>
      <c r="AX74" s="2672"/>
      <c r="AY74" s="2672"/>
      <c r="AZ74" s="2672"/>
      <c r="BA74" s="2672"/>
      <c r="BB74" s="2672"/>
      <c r="BC74" s="2672"/>
      <c r="BD74" s="2672"/>
      <c r="BE74" s="2672"/>
      <c r="BF74" s="2672"/>
      <c r="BG74" s="2672"/>
      <c r="BH74" s="2672"/>
      <c r="BI74" s="2672"/>
      <c r="BJ74" s="2672"/>
      <c r="BK74" s="2672"/>
      <c r="BL74" s="2672"/>
      <c r="BM74" s="2672"/>
      <c r="BN74" s="2672"/>
      <c r="BO74" s="2672"/>
      <c r="BP74" s="2672"/>
      <c r="BQ74" s="2672"/>
      <c r="BR74" s="2672"/>
      <c r="BS74" s="2672"/>
      <c r="BT74" s="2672"/>
      <c r="BU74" s="2672"/>
      <c r="BV74" s="2672"/>
      <c r="BW74" s="2672"/>
      <c r="BX74" s="2672"/>
      <c r="BY74" s="2672"/>
      <c r="BZ74" s="2672"/>
      <c r="CA74" s="2672"/>
      <c r="CB74" s="2672"/>
      <c r="CC74" s="2672"/>
      <c r="CD74" s="2672"/>
      <c r="CE74" s="2672"/>
      <c r="CF74" s="2672"/>
      <c r="CG74" s="2672"/>
      <c r="CH74" s="2672"/>
      <c r="CI74" s="2672"/>
      <c r="CJ74" s="2672"/>
      <c r="CK74" s="2672"/>
      <c r="CL74" s="2672"/>
      <c r="CM74" s="2672"/>
      <c r="CN74" s="2672"/>
      <c r="CO74" s="2672"/>
      <c r="CP74" s="2672"/>
      <c r="CQ74" s="2672"/>
      <c r="CR74" s="2672"/>
      <c r="CS74" s="2672"/>
      <c r="CT74" s="2672"/>
      <c r="CU74" s="2672"/>
      <c r="CV74" s="2672"/>
      <c r="CW74" s="2672"/>
      <c r="CX74" s="2672"/>
      <c r="CY74" s="2672"/>
      <c r="CZ74" s="2672"/>
      <c r="DA74" s="2672"/>
      <c r="DB74" s="2672"/>
      <c r="DC74" s="2672"/>
      <c r="DD74" s="2672"/>
      <c r="DE74" s="2672"/>
      <c r="DF74" s="2672"/>
      <c r="DG74" s="2672"/>
      <c r="DH74" s="2672"/>
      <c r="DI74" s="2672"/>
      <c r="DJ74" s="2672"/>
      <c r="DK74" s="2672"/>
      <c r="DL74" s="2672"/>
      <c r="DM74" s="2672"/>
      <c r="DN74" s="2672"/>
      <c r="DO74" s="2672"/>
      <c r="DP74" s="2672"/>
      <c r="DQ74" s="2672"/>
      <c r="DR74" s="2672"/>
      <c r="DS74" s="2672"/>
      <c r="DT74" s="2672"/>
      <c r="DU74" s="2672"/>
      <c r="DV74" s="2672"/>
      <c r="DW74" s="2672"/>
      <c r="DX74" s="2672"/>
      <c r="DY74" s="2672"/>
      <c r="DZ74" s="2672"/>
      <c r="EA74" s="2672"/>
      <c r="EB74" s="2672"/>
      <c r="EC74" s="2672"/>
      <c r="ED74" s="2672"/>
      <c r="EE74" s="2672"/>
      <c r="EF74" s="2672"/>
      <c r="EG74" s="2672"/>
      <c r="EH74" s="2672"/>
      <c r="EI74" s="2672"/>
      <c r="EJ74" s="2672"/>
      <c r="EK74" s="2672"/>
      <c r="EL74" s="2672"/>
      <c r="EM74" s="2672"/>
      <c r="EN74" s="2672"/>
      <c r="EO74" s="2672"/>
      <c r="EP74" s="2672"/>
      <c r="EQ74" s="2672"/>
      <c r="ER74" s="2672"/>
      <c r="ES74" s="2672"/>
      <c r="ET74" s="2672"/>
      <c r="EU74" s="2672"/>
      <c r="EV74" s="2672"/>
      <c r="EW74" s="2672"/>
      <c r="EX74" s="2672"/>
      <c r="EY74" s="2672"/>
      <c r="EZ74" s="2672"/>
      <c r="FA74" s="2672"/>
      <c r="FB74" s="2672"/>
      <c r="FC74" s="2672"/>
      <c r="FD74" s="2672"/>
      <c r="FE74" s="2672"/>
      <c r="FF74" s="2672"/>
      <c r="FG74" s="2672"/>
      <c r="FH74" s="2672"/>
      <c r="FI74" s="2672"/>
      <c r="FJ74" s="2672"/>
      <c r="FK74" s="2672"/>
      <c r="FL74" s="2672"/>
      <c r="FM74" s="2672"/>
      <c r="FN74" s="2672"/>
      <c r="FO74" s="2672"/>
      <c r="FP74" s="2672"/>
      <c r="FQ74" s="2672"/>
      <c r="FR74" s="2672"/>
      <c r="FS74" s="2672"/>
      <c r="FT74" s="2672"/>
      <c r="FU74" s="2672"/>
      <c r="FV74" s="2672"/>
      <c r="FW74" s="2672"/>
      <c r="FX74" s="2672"/>
      <c r="FY74" s="2672"/>
      <c r="FZ74" s="2672"/>
      <c r="GA74" s="2672"/>
      <c r="GB74" s="2672"/>
      <c r="GC74" s="2672"/>
      <c r="GD74" s="2672"/>
      <c r="GE74" s="2672"/>
      <c r="GF74" s="2672"/>
      <c r="GG74" s="2672"/>
      <c r="GH74" s="2672"/>
      <c r="GI74" s="2672"/>
      <c r="GJ74" s="2672"/>
      <c r="GK74" s="2672"/>
      <c r="GL74" s="2672"/>
      <c r="GM74" s="2672"/>
      <c r="GN74" s="2672"/>
      <c r="GO74" s="2672"/>
      <c r="GP74" s="2672"/>
      <c r="GQ74" s="2672"/>
      <c r="GR74" s="2672"/>
      <c r="GS74" s="2672"/>
      <c r="GT74" s="2672"/>
      <c r="GU74" s="2672"/>
      <c r="GV74" s="2672"/>
      <c r="GW74" s="2672"/>
    </row>
    <row r="75" spans="1:205" s="2656" customFormat="1" ht="17.399999999999999">
      <c r="A75" s="2672"/>
      <c r="B75" s="1525">
        <f t="shared" si="10"/>
        <v>71</v>
      </c>
      <c r="C75" s="2658" t="s">
        <v>484</v>
      </c>
      <c r="D75" s="2673">
        <v>127.8</v>
      </c>
      <c r="E75" s="2660" t="s">
        <v>477</v>
      </c>
      <c r="F75" s="3700" t="s">
        <v>160</v>
      </c>
      <c r="G75" s="3701"/>
      <c r="H75" s="3701"/>
      <c r="I75" s="3701"/>
      <c r="J75" s="3701"/>
      <c r="K75" s="3701"/>
      <c r="L75" s="3701"/>
      <c r="M75" s="3701"/>
      <c r="N75" s="3701"/>
      <c r="O75" s="3701"/>
      <c r="P75" s="3701"/>
      <c r="Q75" s="3701"/>
      <c r="R75" s="3701"/>
      <c r="S75" s="3701"/>
      <c r="T75" s="3701"/>
      <c r="U75" s="3701"/>
      <c r="V75" s="3701"/>
      <c r="W75" s="3701"/>
      <c r="X75" s="3701"/>
      <c r="Y75" s="3701"/>
      <c r="Z75" s="3701"/>
      <c r="AA75" s="3701"/>
      <c r="AB75" s="3701" t="s">
        <v>160</v>
      </c>
      <c r="AC75" s="3701"/>
      <c r="AD75" s="3701" t="s">
        <v>160</v>
      </c>
      <c r="AE75" s="3701"/>
      <c r="AF75" s="3702"/>
      <c r="AG75" s="2657">
        <f t="shared" si="11"/>
        <v>0</v>
      </c>
      <c r="AH75" s="2672"/>
      <c r="AI75" s="2672"/>
      <c r="AJ75" s="2672"/>
      <c r="AK75" s="2672"/>
      <c r="AL75" s="2672"/>
      <c r="AM75" s="2672"/>
      <c r="AN75" s="2672"/>
      <c r="AO75" s="2672"/>
      <c r="AP75" s="2672"/>
      <c r="AQ75" s="2672"/>
      <c r="AR75" s="2672"/>
      <c r="AS75" s="2672"/>
      <c r="AT75" s="2672"/>
      <c r="AU75" s="2672"/>
      <c r="AV75" s="2672"/>
      <c r="AW75" s="2672"/>
      <c r="AX75" s="2672"/>
      <c r="AY75" s="2672"/>
      <c r="AZ75" s="2672"/>
      <c r="BA75" s="2672"/>
      <c r="BB75" s="2672"/>
      <c r="BC75" s="2672"/>
      <c r="BD75" s="2672"/>
      <c r="BE75" s="2672"/>
      <c r="BF75" s="2672"/>
      <c r="BG75" s="2672"/>
      <c r="BH75" s="2672"/>
      <c r="BI75" s="2672"/>
      <c r="BJ75" s="2672"/>
      <c r="BK75" s="2672"/>
      <c r="BL75" s="2672"/>
      <c r="BM75" s="2672"/>
      <c r="BN75" s="2672"/>
      <c r="BO75" s="2672"/>
      <c r="BP75" s="2672"/>
      <c r="BQ75" s="2672"/>
      <c r="BR75" s="2672"/>
      <c r="BS75" s="2672"/>
      <c r="BT75" s="2672"/>
      <c r="BU75" s="2672"/>
      <c r="BV75" s="2672"/>
      <c r="BW75" s="2672"/>
      <c r="BX75" s="2672"/>
      <c r="BY75" s="2672"/>
      <c r="BZ75" s="2672"/>
      <c r="CA75" s="2672"/>
      <c r="CB75" s="2672"/>
      <c r="CC75" s="2672"/>
      <c r="CD75" s="2672"/>
      <c r="CE75" s="2672"/>
      <c r="CF75" s="2672"/>
      <c r="CG75" s="2672"/>
      <c r="CH75" s="2672"/>
      <c r="CI75" s="2672"/>
      <c r="CJ75" s="2672"/>
      <c r="CK75" s="2672"/>
      <c r="CL75" s="2672"/>
      <c r="CM75" s="2672"/>
      <c r="CN75" s="2672"/>
      <c r="CO75" s="2672"/>
      <c r="CP75" s="2672"/>
      <c r="CQ75" s="2672"/>
      <c r="CR75" s="2672"/>
      <c r="CS75" s="2672"/>
      <c r="CT75" s="2672"/>
      <c r="CU75" s="2672"/>
      <c r="CV75" s="2672"/>
      <c r="CW75" s="2672"/>
      <c r="CX75" s="2672"/>
      <c r="CY75" s="2672"/>
      <c r="CZ75" s="2672"/>
      <c r="DA75" s="2672"/>
      <c r="DB75" s="2672"/>
      <c r="DC75" s="2672"/>
      <c r="DD75" s="2672"/>
      <c r="DE75" s="2672"/>
      <c r="DF75" s="2672"/>
      <c r="DG75" s="2672"/>
      <c r="DH75" s="2672"/>
      <c r="DI75" s="2672"/>
      <c r="DJ75" s="2672"/>
      <c r="DK75" s="2672"/>
      <c r="DL75" s="2672"/>
      <c r="DM75" s="2672"/>
      <c r="DN75" s="2672"/>
      <c r="DO75" s="2672"/>
      <c r="DP75" s="2672"/>
      <c r="DQ75" s="2672"/>
      <c r="DR75" s="2672"/>
      <c r="DS75" s="2672"/>
      <c r="DT75" s="2672"/>
      <c r="DU75" s="2672"/>
      <c r="DV75" s="2672"/>
      <c r="DW75" s="2672"/>
      <c r="DX75" s="2672"/>
      <c r="DY75" s="2672"/>
      <c r="DZ75" s="2672"/>
      <c r="EA75" s="2672"/>
      <c r="EB75" s="2672"/>
      <c r="EC75" s="2672"/>
      <c r="ED75" s="2672"/>
      <c r="EE75" s="2672"/>
      <c r="EF75" s="2672"/>
      <c r="EG75" s="2672"/>
      <c r="EH75" s="2672"/>
      <c r="EI75" s="2672"/>
      <c r="EJ75" s="2672"/>
      <c r="EK75" s="2672"/>
      <c r="EL75" s="2672"/>
      <c r="EM75" s="2672"/>
      <c r="EN75" s="2672"/>
      <c r="EO75" s="2672"/>
      <c r="EP75" s="2672"/>
      <c r="EQ75" s="2672"/>
      <c r="ER75" s="2672"/>
      <c r="ES75" s="2672"/>
      <c r="ET75" s="2672"/>
      <c r="EU75" s="2672"/>
      <c r="EV75" s="2672"/>
      <c r="EW75" s="2672"/>
      <c r="EX75" s="2672"/>
      <c r="EY75" s="2672"/>
      <c r="EZ75" s="2672"/>
      <c r="FA75" s="2672"/>
      <c r="FB75" s="2672"/>
      <c r="FC75" s="2672"/>
      <c r="FD75" s="2672"/>
      <c r="FE75" s="2672"/>
      <c r="FF75" s="2672"/>
      <c r="FG75" s="2672"/>
      <c r="FH75" s="2672"/>
      <c r="FI75" s="2672"/>
      <c r="FJ75" s="2672"/>
      <c r="FK75" s="2672"/>
      <c r="FL75" s="2672"/>
      <c r="FM75" s="2672"/>
      <c r="FN75" s="2672"/>
      <c r="FO75" s="2672"/>
      <c r="FP75" s="2672"/>
      <c r="FQ75" s="2672"/>
      <c r="FR75" s="2672"/>
      <c r="FS75" s="2672"/>
      <c r="FT75" s="2672"/>
      <c r="FU75" s="2672"/>
      <c r="FV75" s="2672"/>
      <c r="FW75" s="2672"/>
      <c r="FX75" s="2672"/>
      <c r="FY75" s="2672"/>
      <c r="FZ75" s="2672"/>
      <c r="GA75" s="2672"/>
      <c r="GB75" s="2672"/>
      <c r="GC75" s="2672"/>
      <c r="GD75" s="2672"/>
      <c r="GE75" s="2672"/>
      <c r="GF75" s="2672"/>
      <c r="GG75" s="2672"/>
      <c r="GH75" s="2672"/>
      <c r="GI75" s="2672"/>
      <c r="GJ75" s="2672"/>
      <c r="GK75" s="2672"/>
      <c r="GL75" s="2672"/>
      <c r="GM75" s="2672"/>
      <c r="GN75" s="2672"/>
      <c r="GO75" s="2672"/>
      <c r="GP75" s="2672"/>
      <c r="GQ75" s="2672"/>
      <c r="GR75" s="2672"/>
      <c r="GS75" s="2672"/>
      <c r="GT75" s="2672"/>
      <c r="GU75" s="2672"/>
      <c r="GV75" s="2672"/>
      <c r="GW75" s="2672"/>
    </row>
    <row r="76" spans="1:205" ht="17.399999999999999">
      <c r="B76" s="1525">
        <f t="shared" si="10"/>
        <v>72</v>
      </c>
      <c r="C76" s="2658" t="s">
        <v>483</v>
      </c>
      <c r="D76" s="2673">
        <v>41.7</v>
      </c>
      <c r="E76" s="2660" t="s">
        <v>482</v>
      </c>
      <c r="F76" s="3700"/>
      <c r="G76" s="3701"/>
      <c r="H76" s="3701"/>
      <c r="I76" s="3701"/>
      <c r="J76" s="3701"/>
      <c r="K76" s="3701"/>
      <c r="L76" s="3701"/>
      <c r="M76" s="3701"/>
      <c r="N76" s="3701"/>
      <c r="O76" s="3701"/>
      <c r="P76" s="3701"/>
      <c r="Q76" s="3701"/>
      <c r="R76" s="3701"/>
      <c r="S76" s="3701" t="s">
        <v>160</v>
      </c>
      <c r="T76" s="3701"/>
      <c r="U76" s="3701"/>
      <c r="V76" s="3701"/>
      <c r="W76" s="3701"/>
      <c r="X76" s="3701"/>
      <c r="Y76" s="3701"/>
      <c r="Z76" s="3701"/>
      <c r="AA76" s="3701"/>
      <c r="AB76" s="3701"/>
      <c r="AC76" s="3701"/>
      <c r="AD76" s="3701" t="s">
        <v>160</v>
      </c>
      <c r="AE76" s="3701"/>
      <c r="AF76" s="3702"/>
      <c r="AG76" s="1519">
        <f t="shared" si="11"/>
        <v>0</v>
      </c>
      <c r="AH76" s="2672"/>
      <c r="AI76" s="2672"/>
      <c r="AJ76" s="2672"/>
      <c r="AK76" s="2672"/>
      <c r="AL76" s="2672"/>
      <c r="AM76" s="2672"/>
      <c r="AN76" s="2672"/>
      <c r="AO76" s="2672"/>
      <c r="AP76" s="2672"/>
      <c r="AQ76" s="2672"/>
      <c r="AR76" s="2672"/>
      <c r="AS76" s="2672"/>
      <c r="AT76" s="2672"/>
      <c r="AU76" s="2672"/>
      <c r="AV76" s="2672"/>
      <c r="AW76" s="2672"/>
      <c r="AX76" s="2672"/>
      <c r="AY76" s="2672"/>
      <c r="AZ76" s="2672"/>
      <c r="BA76" s="2672"/>
      <c r="BB76" s="2672"/>
      <c r="BC76" s="2672"/>
      <c r="BD76" s="2672"/>
      <c r="BE76" s="2672"/>
      <c r="BF76" s="2672"/>
      <c r="BG76" s="2672"/>
      <c r="BH76" s="2672"/>
      <c r="BI76" s="2672"/>
      <c r="BJ76" s="2672"/>
      <c r="BK76" s="2672"/>
      <c r="BL76" s="2672"/>
      <c r="BM76" s="2672"/>
      <c r="BN76" s="2672"/>
      <c r="BO76" s="2672"/>
      <c r="BP76" s="2672"/>
      <c r="BQ76" s="2672"/>
      <c r="BR76" s="2672"/>
      <c r="BS76" s="2672"/>
      <c r="BT76" s="2672"/>
      <c r="BU76" s="2672"/>
      <c r="BV76" s="2672"/>
      <c r="BW76" s="2672"/>
      <c r="BX76" s="2672"/>
      <c r="BY76" s="2672"/>
      <c r="BZ76" s="2672"/>
      <c r="CA76" s="2672"/>
      <c r="CB76" s="2672"/>
      <c r="CC76" s="2672"/>
      <c r="CD76" s="2672"/>
      <c r="CE76" s="2672"/>
      <c r="CF76" s="2672"/>
      <c r="CG76" s="2672"/>
      <c r="CH76" s="2672"/>
      <c r="CI76" s="2672"/>
      <c r="CJ76" s="2672"/>
      <c r="CK76" s="2672"/>
      <c r="CL76" s="2672"/>
      <c r="CM76" s="2672"/>
      <c r="CN76" s="2672"/>
      <c r="CO76" s="2672"/>
      <c r="CP76" s="2672"/>
      <c r="CQ76" s="2672"/>
      <c r="CR76" s="2672"/>
      <c r="CS76" s="2672"/>
      <c r="CT76" s="2672"/>
      <c r="CU76" s="2672"/>
      <c r="CV76" s="2672"/>
      <c r="CW76" s="2672"/>
      <c r="CX76" s="2672"/>
      <c r="CY76" s="2672"/>
      <c r="CZ76" s="2672"/>
      <c r="DA76" s="2672"/>
      <c r="DB76" s="2672"/>
      <c r="DC76" s="2672"/>
      <c r="DD76" s="2672"/>
      <c r="DE76" s="2672"/>
      <c r="DF76" s="2672"/>
      <c r="DG76" s="2672"/>
      <c r="DH76" s="2672"/>
      <c r="DI76" s="2672"/>
      <c r="DJ76" s="2672"/>
      <c r="DK76" s="2672"/>
      <c r="DL76" s="2672"/>
      <c r="DM76" s="2672"/>
      <c r="DN76" s="2672"/>
      <c r="DO76" s="2672"/>
      <c r="DP76" s="2672"/>
      <c r="DQ76" s="2672"/>
      <c r="DR76" s="2672"/>
      <c r="DS76" s="2672"/>
      <c r="DT76" s="2672"/>
      <c r="DU76" s="2672"/>
      <c r="DV76" s="2672"/>
      <c r="DW76" s="2672"/>
      <c r="DX76" s="2672"/>
      <c r="DY76" s="2672"/>
      <c r="DZ76" s="2672"/>
      <c r="EA76" s="2672"/>
      <c r="EB76" s="2672"/>
      <c r="EC76" s="2672"/>
      <c r="ED76" s="2672"/>
      <c r="EE76" s="2672"/>
      <c r="EF76" s="2672"/>
      <c r="EG76" s="2672"/>
      <c r="EH76" s="2672"/>
      <c r="EI76" s="2672"/>
      <c r="EJ76" s="2672"/>
      <c r="EK76" s="2672"/>
      <c r="EL76" s="2672"/>
      <c r="EM76" s="2672"/>
      <c r="EN76" s="2672"/>
      <c r="EO76" s="2672"/>
      <c r="EP76" s="2672"/>
      <c r="EQ76" s="2672"/>
      <c r="ER76" s="2672"/>
      <c r="ES76" s="2672"/>
      <c r="ET76" s="2672"/>
      <c r="EU76" s="2672"/>
      <c r="EV76" s="2672"/>
      <c r="EW76" s="2672"/>
      <c r="EX76" s="2672"/>
      <c r="EY76" s="2672"/>
      <c r="EZ76" s="2672"/>
      <c r="FA76" s="2672"/>
      <c r="FB76" s="2672"/>
      <c r="FC76" s="2672"/>
      <c r="FD76" s="2672"/>
      <c r="FE76" s="2672"/>
      <c r="FF76" s="2672"/>
      <c r="FG76" s="2672"/>
      <c r="FH76" s="2672"/>
      <c r="FI76" s="2672"/>
      <c r="FJ76" s="2672"/>
      <c r="FK76" s="2672"/>
      <c r="FL76" s="2672"/>
      <c r="FM76" s="2672"/>
      <c r="FN76" s="2672"/>
      <c r="FO76" s="2672"/>
      <c r="FP76" s="2672"/>
      <c r="FQ76" s="2672"/>
      <c r="FR76" s="2672"/>
      <c r="FS76" s="2672"/>
      <c r="FT76" s="2672"/>
      <c r="FU76" s="2672"/>
      <c r="FV76" s="2672"/>
      <c r="FW76" s="2672"/>
      <c r="FX76" s="2672"/>
      <c r="FY76" s="2672"/>
      <c r="FZ76" s="2672"/>
      <c r="GA76" s="2672"/>
      <c r="GB76" s="2672"/>
      <c r="GC76" s="2672"/>
      <c r="GD76" s="2672"/>
      <c r="GE76" s="2672"/>
      <c r="GF76" s="2672"/>
      <c r="GG76" s="2672"/>
      <c r="GH76" s="2672"/>
      <c r="GI76" s="2672"/>
      <c r="GJ76" s="2672"/>
      <c r="GK76" s="2672"/>
      <c r="GL76" s="2672"/>
      <c r="GM76" s="2672"/>
      <c r="GN76" s="2672"/>
      <c r="GO76" s="2672"/>
      <c r="GP76" s="2672"/>
      <c r="GQ76" s="2672"/>
      <c r="GR76" s="2672"/>
      <c r="GS76" s="2672"/>
      <c r="GT76" s="2672"/>
      <c r="GU76" s="2672"/>
      <c r="GV76" s="2672"/>
      <c r="GW76" s="2672"/>
    </row>
    <row r="77" spans="1:205" ht="17.399999999999999">
      <c r="B77" s="1525">
        <f t="shared" si="10"/>
        <v>73</v>
      </c>
      <c r="C77" s="2658" t="s">
        <v>481</v>
      </c>
      <c r="D77" s="2673">
        <v>49.7</v>
      </c>
      <c r="E77" s="2660" t="s">
        <v>480</v>
      </c>
      <c r="F77" s="3700" t="s">
        <v>160</v>
      </c>
      <c r="G77" s="3701"/>
      <c r="H77" s="3701" t="s">
        <v>160</v>
      </c>
      <c r="I77" s="3701" t="s">
        <v>160</v>
      </c>
      <c r="J77" s="3701"/>
      <c r="K77" s="3701"/>
      <c r="L77" s="3701"/>
      <c r="M77" s="3701"/>
      <c r="N77" s="3701"/>
      <c r="O77" s="3701"/>
      <c r="P77" s="3701"/>
      <c r="Q77" s="3701"/>
      <c r="R77" s="3701"/>
      <c r="S77" s="3701"/>
      <c r="T77" s="3701"/>
      <c r="U77" s="3701"/>
      <c r="V77" s="3701"/>
      <c r="W77" s="3701"/>
      <c r="X77" s="3701"/>
      <c r="Y77" s="3701"/>
      <c r="Z77" s="3701"/>
      <c r="AA77" s="3701"/>
      <c r="AB77" s="3701"/>
      <c r="AC77" s="3701"/>
      <c r="AD77" s="3701" t="s">
        <v>160</v>
      </c>
      <c r="AE77" s="3701"/>
      <c r="AF77" s="3702"/>
      <c r="AG77" s="1519">
        <f t="shared" si="11"/>
        <v>0</v>
      </c>
      <c r="AH77" s="2672"/>
      <c r="AI77" s="2672"/>
      <c r="AJ77" s="2672"/>
      <c r="AK77" s="2672"/>
      <c r="AL77" s="2672"/>
      <c r="AM77" s="2672"/>
      <c r="AN77" s="2672"/>
      <c r="AO77" s="2672"/>
      <c r="AP77" s="2672"/>
      <c r="AQ77" s="2672"/>
      <c r="AR77" s="2672"/>
      <c r="AS77" s="2672"/>
      <c r="AT77" s="2672"/>
      <c r="AU77" s="2672"/>
      <c r="AV77" s="2672"/>
      <c r="AW77" s="2672"/>
      <c r="AX77" s="2672"/>
      <c r="AY77" s="2672"/>
      <c r="AZ77" s="2672"/>
      <c r="BA77" s="2672"/>
      <c r="BB77" s="2672"/>
      <c r="BC77" s="2672"/>
      <c r="BD77" s="2672"/>
      <c r="BE77" s="2672"/>
      <c r="BF77" s="2672"/>
      <c r="BG77" s="2672"/>
      <c r="BH77" s="2672"/>
      <c r="BI77" s="2672"/>
      <c r="BJ77" s="2672"/>
      <c r="BK77" s="2672"/>
      <c r="BL77" s="2672"/>
      <c r="BM77" s="2672"/>
      <c r="BN77" s="2672"/>
      <c r="BO77" s="2672"/>
      <c r="BP77" s="2672"/>
      <c r="BQ77" s="2672"/>
      <c r="BR77" s="2672"/>
      <c r="BS77" s="2672"/>
      <c r="BT77" s="2672"/>
      <c r="BU77" s="2672"/>
      <c r="BV77" s="2672"/>
      <c r="BW77" s="2672"/>
      <c r="BX77" s="2672"/>
      <c r="BY77" s="2672"/>
      <c r="BZ77" s="2672"/>
      <c r="CA77" s="2672"/>
      <c r="CB77" s="2672"/>
      <c r="CC77" s="2672"/>
      <c r="CD77" s="2672"/>
      <c r="CE77" s="2672"/>
      <c r="CF77" s="2672"/>
      <c r="CG77" s="2672"/>
      <c r="CH77" s="2672"/>
      <c r="CI77" s="2672"/>
      <c r="CJ77" s="2672"/>
      <c r="CK77" s="2672"/>
      <c r="CL77" s="2672"/>
      <c r="CM77" s="2672"/>
      <c r="CN77" s="2672"/>
      <c r="CO77" s="2672"/>
      <c r="CP77" s="2672"/>
      <c r="CQ77" s="2672"/>
      <c r="CR77" s="2672"/>
      <c r="CS77" s="2672"/>
      <c r="CT77" s="2672"/>
      <c r="CU77" s="2672"/>
      <c r="CV77" s="2672"/>
      <c r="CW77" s="2672"/>
      <c r="CX77" s="2672"/>
      <c r="CY77" s="2672"/>
      <c r="CZ77" s="2672"/>
      <c r="DA77" s="2672"/>
      <c r="DB77" s="2672"/>
      <c r="DC77" s="2672"/>
      <c r="DD77" s="2672"/>
      <c r="DE77" s="2672"/>
      <c r="DF77" s="2672"/>
      <c r="DG77" s="2672"/>
      <c r="DH77" s="2672"/>
      <c r="DI77" s="2672"/>
      <c r="DJ77" s="2672"/>
      <c r="DK77" s="2672"/>
      <c r="DL77" s="2672"/>
      <c r="DM77" s="2672"/>
      <c r="DN77" s="2672"/>
      <c r="DO77" s="2672"/>
      <c r="DP77" s="2672"/>
      <c r="DQ77" s="2672"/>
      <c r="DR77" s="2672"/>
      <c r="DS77" s="2672"/>
      <c r="DT77" s="2672"/>
      <c r="DU77" s="2672"/>
      <c r="DV77" s="2672"/>
      <c r="DW77" s="2672"/>
      <c r="DX77" s="2672"/>
      <c r="DY77" s="2672"/>
      <c r="DZ77" s="2672"/>
      <c r="EA77" s="2672"/>
      <c r="EB77" s="2672"/>
      <c r="EC77" s="2672"/>
      <c r="ED77" s="2672"/>
      <c r="EE77" s="2672"/>
      <c r="EF77" s="2672"/>
      <c r="EG77" s="2672"/>
      <c r="EH77" s="2672"/>
      <c r="EI77" s="2672"/>
      <c r="EJ77" s="2672"/>
      <c r="EK77" s="2672"/>
      <c r="EL77" s="2672"/>
      <c r="EM77" s="2672"/>
      <c r="EN77" s="2672"/>
      <c r="EO77" s="2672"/>
      <c r="EP77" s="2672"/>
      <c r="EQ77" s="2672"/>
      <c r="ER77" s="2672"/>
      <c r="ES77" s="2672"/>
      <c r="ET77" s="2672"/>
      <c r="EU77" s="2672"/>
      <c r="EV77" s="2672"/>
      <c r="EW77" s="2672"/>
      <c r="EX77" s="2672"/>
      <c r="EY77" s="2672"/>
      <c r="EZ77" s="2672"/>
      <c r="FA77" s="2672"/>
      <c r="FB77" s="2672"/>
      <c r="FC77" s="2672"/>
      <c r="FD77" s="2672"/>
      <c r="FE77" s="2672"/>
      <c r="FF77" s="2672"/>
      <c r="FG77" s="2672"/>
      <c r="FH77" s="2672"/>
      <c r="FI77" s="2672"/>
      <c r="FJ77" s="2672"/>
      <c r="FK77" s="2672"/>
      <c r="FL77" s="2672"/>
      <c r="FM77" s="2672"/>
      <c r="FN77" s="2672"/>
      <c r="FO77" s="2672"/>
      <c r="FP77" s="2672"/>
      <c r="FQ77" s="2672"/>
      <c r="FR77" s="2672"/>
      <c r="FS77" s="2672"/>
      <c r="FT77" s="2672"/>
      <c r="FU77" s="2672"/>
      <c r="FV77" s="2672"/>
      <c r="FW77" s="2672"/>
      <c r="FX77" s="2672"/>
      <c r="FY77" s="2672"/>
      <c r="FZ77" s="2672"/>
      <c r="GA77" s="2672"/>
      <c r="GB77" s="2672"/>
      <c r="GC77" s="2672"/>
      <c r="GD77" s="2672"/>
      <c r="GE77" s="2672"/>
      <c r="GF77" s="2672"/>
      <c r="GG77" s="2672"/>
      <c r="GH77" s="2672"/>
      <c r="GI77" s="2672"/>
      <c r="GJ77" s="2672"/>
      <c r="GK77" s="2672"/>
      <c r="GL77" s="2672"/>
      <c r="GM77" s="2672"/>
      <c r="GN77" s="2672"/>
      <c r="GO77" s="2672"/>
      <c r="GP77" s="2672"/>
      <c r="GQ77" s="2672"/>
      <c r="GR77" s="2672"/>
      <c r="GS77" s="2672"/>
      <c r="GT77" s="2672"/>
      <c r="GU77" s="2672"/>
      <c r="GV77" s="2672"/>
      <c r="GW77" s="2672"/>
    </row>
    <row r="78" spans="1:205" ht="17.399999999999999">
      <c r="B78" s="1525">
        <f t="shared" si="10"/>
        <v>74</v>
      </c>
      <c r="C78" s="2658" t="s">
        <v>479</v>
      </c>
      <c r="D78" s="2673">
        <v>78</v>
      </c>
      <c r="E78" s="2660" t="s">
        <v>477</v>
      </c>
      <c r="F78" s="3700"/>
      <c r="G78" s="3701"/>
      <c r="H78" s="3701"/>
      <c r="I78" s="3701"/>
      <c r="J78" s="3701"/>
      <c r="K78" s="3701"/>
      <c r="L78" s="3701"/>
      <c r="M78" s="3701"/>
      <c r="N78" s="3701"/>
      <c r="O78" s="3701"/>
      <c r="P78" s="3701"/>
      <c r="Q78" s="3701"/>
      <c r="R78" s="3701"/>
      <c r="S78" s="3701" t="s">
        <v>160</v>
      </c>
      <c r="T78" s="3701" t="s">
        <v>160</v>
      </c>
      <c r="U78" s="3701"/>
      <c r="V78" s="3701"/>
      <c r="W78" s="3701"/>
      <c r="X78" s="3701"/>
      <c r="Y78" s="3701"/>
      <c r="Z78" s="3701"/>
      <c r="AA78" s="3701"/>
      <c r="AB78" s="3701"/>
      <c r="AC78" s="3701"/>
      <c r="AD78" s="3701" t="s">
        <v>160</v>
      </c>
      <c r="AE78" s="3701"/>
      <c r="AF78" s="3702"/>
      <c r="AG78" s="1519">
        <f t="shared" si="11"/>
        <v>0</v>
      </c>
      <c r="AH78" s="2672"/>
      <c r="AI78" s="2672"/>
      <c r="AJ78" s="2672"/>
      <c r="AK78" s="2672"/>
      <c r="AL78" s="2672"/>
      <c r="AM78" s="2672"/>
      <c r="AN78" s="2672"/>
      <c r="AO78" s="2672"/>
      <c r="AP78" s="2672"/>
      <c r="AQ78" s="2672"/>
      <c r="AR78" s="2672"/>
      <c r="AS78" s="2672"/>
      <c r="AT78" s="2672"/>
      <c r="AU78" s="2672"/>
      <c r="AV78" s="2672"/>
      <c r="AW78" s="2672"/>
      <c r="AX78" s="2672"/>
      <c r="AY78" s="2672"/>
      <c r="AZ78" s="2672"/>
      <c r="BA78" s="2672"/>
      <c r="BB78" s="2672"/>
      <c r="BC78" s="2672"/>
      <c r="BD78" s="2672"/>
      <c r="BE78" s="2672"/>
      <c r="BF78" s="2672"/>
      <c r="BG78" s="2672"/>
      <c r="BH78" s="2672"/>
      <c r="BI78" s="2672"/>
      <c r="BJ78" s="2672"/>
      <c r="BK78" s="2672"/>
      <c r="BL78" s="2672"/>
      <c r="BM78" s="2672"/>
      <c r="BN78" s="2672"/>
      <c r="BO78" s="2672"/>
      <c r="BP78" s="2672"/>
      <c r="BQ78" s="2672"/>
      <c r="BR78" s="2672"/>
      <c r="BS78" s="2672"/>
      <c r="BT78" s="2672"/>
      <c r="BU78" s="2672"/>
      <c r="BV78" s="2672"/>
      <c r="BW78" s="2672"/>
      <c r="BX78" s="2672"/>
      <c r="BY78" s="2672"/>
      <c r="BZ78" s="2672"/>
      <c r="CA78" s="2672"/>
      <c r="CB78" s="2672"/>
      <c r="CC78" s="2672"/>
      <c r="CD78" s="2672"/>
      <c r="CE78" s="2672"/>
      <c r="CF78" s="2672"/>
      <c r="CG78" s="2672"/>
      <c r="CH78" s="2672"/>
      <c r="CI78" s="2672"/>
      <c r="CJ78" s="2672"/>
      <c r="CK78" s="2672"/>
      <c r="CL78" s="2672"/>
      <c r="CM78" s="2672"/>
      <c r="CN78" s="2672"/>
      <c r="CO78" s="2672"/>
      <c r="CP78" s="2672"/>
      <c r="CQ78" s="2672"/>
      <c r="CR78" s="2672"/>
      <c r="CS78" s="2672"/>
      <c r="CT78" s="2672"/>
      <c r="CU78" s="2672"/>
      <c r="CV78" s="2672"/>
      <c r="CW78" s="2672"/>
      <c r="CX78" s="2672"/>
      <c r="CY78" s="2672"/>
      <c r="CZ78" s="2672"/>
      <c r="DA78" s="2672"/>
      <c r="DB78" s="2672"/>
      <c r="DC78" s="2672"/>
      <c r="DD78" s="2672"/>
      <c r="DE78" s="2672"/>
      <c r="DF78" s="2672"/>
      <c r="DG78" s="2672"/>
      <c r="DH78" s="2672"/>
      <c r="DI78" s="2672"/>
      <c r="DJ78" s="2672"/>
      <c r="DK78" s="2672"/>
      <c r="DL78" s="2672"/>
      <c r="DM78" s="2672"/>
      <c r="DN78" s="2672"/>
      <c r="DO78" s="2672"/>
      <c r="DP78" s="2672"/>
      <c r="DQ78" s="2672"/>
      <c r="DR78" s="2672"/>
      <c r="DS78" s="2672"/>
      <c r="DT78" s="2672"/>
      <c r="DU78" s="2672"/>
      <c r="DV78" s="2672"/>
      <c r="DW78" s="2672"/>
      <c r="DX78" s="2672"/>
      <c r="DY78" s="2672"/>
      <c r="DZ78" s="2672"/>
      <c r="EA78" s="2672"/>
      <c r="EB78" s="2672"/>
      <c r="EC78" s="2672"/>
      <c r="ED78" s="2672"/>
      <c r="EE78" s="2672"/>
      <c r="EF78" s="2672"/>
      <c r="EG78" s="2672"/>
      <c r="EH78" s="2672"/>
      <c r="EI78" s="2672"/>
      <c r="EJ78" s="2672"/>
      <c r="EK78" s="2672"/>
      <c r="EL78" s="2672"/>
      <c r="EM78" s="2672"/>
      <c r="EN78" s="2672"/>
      <c r="EO78" s="2672"/>
      <c r="EP78" s="2672"/>
      <c r="EQ78" s="2672"/>
      <c r="ER78" s="2672"/>
      <c r="ES78" s="2672"/>
      <c r="ET78" s="2672"/>
      <c r="EU78" s="2672"/>
      <c r="EV78" s="2672"/>
      <c r="EW78" s="2672"/>
      <c r="EX78" s="2672"/>
      <c r="EY78" s="2672"/>
      <c r="EZ78" s="2672"/>
      <c r="FA78" s="2672"/>
      <c r="FB78" s="2672"/>
      <c r="FC78" s="2672"/>
      <c r="FD78" s="2672"/>
      <c r="FE78" s="2672"/>
      <c r="FF78" s="2672"/>
      <c r="FG78" s="2672"/>
      <c r="FH78" s="2672"/>
      <c r="FI78" s="2672"/>
      <c r="FJ78" s="2672"/>
      <c r="FK78" s="2672"/>
      <c r="FL78" s="2672"/>
      <c r="FM78" s="2672"/>
      <c r="FN78" s="2672"/>
      <c r="FO78" s="2672"/>
      <c r="FP78" s="2672"/>
      <c r="FQ78" s="2672"/>
      <c r="FR78" s="2672"/>
      <c r="FS78" s="2672"/>
      <c r="FT78" s="2672"/>
      <c r="FU78" s="2672"/>
      <c r="FV78" s="2672"/>
      <c r="FW78" s="2672"/>
      <c r="FX78" s="2672"/>
      <c r="FY78" s="2672"/>
      <c r="FZ78" s="2672"/>
      <c r="GA78" s="2672"/>
      <c r="GB78" s="2672"/>
      <c r="GC78" s="2672"/>
      <c r="GD78" s="2672"/>
      <c r="GE78" s="2672"/>
      <c r="GF78" s="2672"/>
      <c r="GG78" s="2672"/>
      <c r="GH78" s="2672"/>
      <c r="GI78" s="2672"/>
      <c r="GJ78" s="2672"/>
      <c r="GK78" s="2672"/>
      <c r="GL78" s="2672"/>
      <c r="GM78" s="2672"/>
      <c r="GN78" s="2672"/>
      <c r="GO78" s="2672"/>
      <c r="GP78" s="2672"/>
      <c r="GQ78" s="2672"/>
      <c r="GR78" s="2672"/>
      <c r="GS78" s="2672"/>
      <c r="GT78" s="2672"/>
      <c r="GU78" s="2672"/>
      <c r="GV78" s="2672"/>
      <c r="GW78" s="2672"/>
    </row>
    <row r="79" spans="1:205" ht="17.399999999999999">
      <c r="B79" s="1525">
        <f t="shared" si="10"/>
        <v>75</v>
      </c>
      <c r="C79" s="2658" t="s">
        <v>478</v>
      </c>
      <c r="D79" s="2673">
        <v>50</v>
      </c>
      <c r="E79" s="2660" t="s">
        <v>477</v>
      </c>
      <c r="F79" s="3700"/>
      <c r="G79" s="3701"/>
      <c r="H79" s="3701"/>
      <c r="I79" s="3701"/>
      <c r="J79" s="3701"/>
      <c r="K79" s="3701"/>
      <c r="L79" s="3701"/>
      <c r="M79" s="3701"/>
      <c r="N79" s="3701"/>
      <c r="O79" s="3701"/>
      <c r="P79" s="3701"/>
      <c r="Q79" s="3701"/>
      <c r="R79" s="3701" t="s">
        <v>160</v>
      </c>
      <c r="S79" s="3701"/>
      <c r="T79" s="3701"/>
      <c r="U79" s="3701"/>
      <c r="V79" s="3701"/>
      <c r="W79" s="3701"/>
      <c r="X79" s="3701"/>
      <c r="Y79" s="3701"/>
      <c r="Z79" s="3701"/>
      <c r="AA79" s="3701"/>
      <c r="AB79" s="3701"/>
      <c r="AC79" s="3701"/>
      <c r="AD79" s="3701" t="s">
        <v>160</v>
      </c>
      <c r="AE79" s="3701"/>
      <c r="AF79" s="3702"/>
      <c r="AG79" s="1519">
        <f t="shared" si="11"/>
        <v>0</v>
      </c>
      <c r="AH79" s="2672"/>
      <c r="AI79" s="2672"/>
      <c r="AJ79" s="2672"/>
      <c r="AK79" s="2672"/>
      <c r="AL79" s="2672"/>
      <c r="AM79" s="2672"/>
      <c r="AN79" s="2672"/>
      <c r="AO79" s="2672"/>
      <c r="AP79" s="2672"/>
      <c r="AQ79" s="2672"/>
      <c r="AR79" s="2672"/>
      <c r="AS79" s="2672"/>
      <c r="AT79" s="2672"/>
      <c r="AU79" s="2672"/>
      <c r="AV79" s="2672"/>
      <c r="AW79" s="2672"/>
      <c r="AX79" s="2672"/>
      <c r="AY79" s="2672"/>
      <c r="AZ79" s="2672"/>
      <c r="BA79" s="2672"/>
      <c r="BB79" s="2672"/>
      <c r="BC79" s="2672"/>
      <c r="BD79" s="2672"/>
      <c r="BE79" s="2672"/>
      <c r="BF79" s="2672"/>
      <c r="BG79" s="2672"/>
      <c r="BH79" s="2672"/>
      <c r="BI79" s="2672"/>
      <c r="BJ79" s="2672"/>
      <c r="BK79" s="2672"/>
      <c r="BL79" s="2672"/>
      <c r="BM79" s="2672"/>
      <c r="BN79" s="2672"/>
      <c r="BO79" s="2672"/>
      <c r="BP79" s="2672"/>
      <c r="BQ79" s="2672"/>
      <c r="BR79" s="2672"/>
      <c r="BS79" s="2672"/>
      <c r="BT79" s="2672"/>
      <c r="BU79" s="2672"/>
      <c r="BV79" s="2672"/>
      <c r="BW79" s="2672"/>
      <c r="BX79" s="2672"/>
      <c r="BY79" s="2672"/>
      <c r="BZ79" s="2672"/>
      <c r="CA79" s="2672"/>
      <c r="CB79" s="2672"/>
      <c r="CC79" s="2672"/>
      <c r="CD79" s="2672"/>
      <c r="CE79" s="2672"/>
      <c r="CF79" s="2672"/>
      <c r="CG79" s="2672"/>
      <c r="CH79" s="2672"/>
      <c r="CI79" s="2672"/>
      <c r="CJ79" s="2672"/>
      <c r="CK79" s="2672"/>
      <c r="CL79" s="2672"/>
      <c r="CM79" s="2672"/>
      <c r="CN79" s="2672"/>
      <c r="CO79" s="2672"/>
      <c r="CP79" s="2672"/>
      <c r="CQ79" s="2672"/>
      <c r="CR79" s="2672"/>
      <c r="CS79" s="2672"/>
      <c r="CT79" s="2672"/>
      <c r="CU79" s="2672"/>
      <c r="CV79" s="2672"/>
      <c r="CW79" s="2672"/>
      <c r="CX79" s="2672"/>
      <c r="CY79" s="2672"/>
      <c r="CZ79" s="2672"/>
      <c r="DA79" s="2672"/>
      <c r="DB79" s="2672"/>
      <c r="DC79" s="2672"/>
      <c r="DD79" s="2672"/>
      <c r="DE79" s="2672"/>
      <c r="DF79" s="2672"/>
      <c r="DG79" s="2672"/>
      <c r="DH79" s="2672"/>
      <c r="DI79" s="2672"/>
      <c r="DJ79" s="2672"/>
      <c r="DK79" s="2672"/>
      <c r="DL79" s="2672"/>
      <c r="DM79" s="2672"/>
      <c r="DN79" s="2672"/>
      <c r="DO79" s="2672"/>
      <c r="DP79" s="2672"/>
      <c r="DQ79" s="2672"/>
      <c r="DR79" s="2672"/>
      <c r="DS79" s="2672"/>
      <c r="DT79" s="2672"/>
      <c r="DU79" s="2672"/>
      <c r="DV79" s="2672"/>
      <c r="DW79" s="2672"/>
      <c r="DX79" s="2672"/>
      <c r="DY79" s="2672"/>
      <c r="DZ79" s="2672"/>
      <c r="EA79" s="2672"/>
      <c r="EB79" s="2672"/>
      <c r="EC79" s="2672"/>
      <c r="ED79" s="2672"/>
      <c r="EE79" s="2672"/>
      <c r="EF79" s="2672"/>
      <c r="EG79" s="2672"/>
      <c r="EH79" s="2672"/>
      <c r="EI79" s="2672"/>
      <c r="EJ79" s="2672"/>
      <c r="EK79" s="2672"/>
      <c r="EL79" s="2672"/>
      <c r="EM79" s="2672"/>
      <c r="EN79" s="2672"/>
      <c r="EO79" s="2672"/>
      <c r="EP79" s="2672"/>
      <c r="EQ79" s="2672"/>
      <c r="ER79" s="2672"/>
      <c r="ES79" s="2672"/>
      <c r="ET79" s="2672"/>
      <c r="EU79" s="2672"/>
      <c r="EV79" s="2672"/>
      <c r="EW79" s="2672"/>
      <c r="EX79" s="2672"/>
      <c r="EY79" s="2672"/>
      <c r="EZ79" s="2672"/>
      <c r="FA79" s="2672"/>
      <c r="FB79" s="2672"/>
      <c r="FC79" s="2672"/>
      <c r="FD79" s="2672"/>
      <c r="FE79" s="2672"/>
      <c r="FF79" s="2672"/>
      <c r="FG79" s="2672"/>
      <c r="FH79" s="2672"/>
      <c r="FI79" s="2672"/>
      <c r="FJ79" s="2672"/>
      <c r="FK79" s="2672"/>
      <c r="FL79" s="2672"/>
      <c r="FM79" s="2672"/>
      <c r="FN79" s="2672"/>
      <c r="FO79" s="2672"/>
      <c r="FP79" s="2672"/>
      <c r="FQ79" s="2672"/>
      <c r="FR79" s="2672"/>
      <c r="FS79" s="2672"/>
      <c r="FT79" s="2672"/>
      <c r="FU79" s="2672"/>
      <c r="FV79" s="2672"/>
      <c r="FW79" s="2672"/>
      <c r="FX79" s="2672"/>
      <c r="FY79" s="2672"/>
      <c r="FZ79" s="2672"/>
      <c r="GA79" s="2672"/>
      <c r="GB79" s="2672"/>
      <c r="GC79" s="2672"/>
      <c r="GD79" s="2672"/>
      <c r="GE79" s="2672"/>
      <c r="GF79" s="2672"/>
      <c r="GG79" s="2672"/>
      <c r="GH79" s="2672"/>
      <c r="GI79" s="2672"/>
      <c r="GJ79" s="2672"/>
      <c r="GK79" s="2672"/>
      <c r="GL79" s="2672"/>
      <c r="GM79" s="2672"/>
      <c r="GN79" s="2672"/>
      <c r="GO79" s="2672"/>
      <c r="GP79" s="2672"/>
      <c r="GQ79" s="2672"/>
      <c r="GR79" s="2672"/>
      <c r="GS79" s="2672"/>
      <c r="GT79" s="2672"/>
      <c r="GU79" s="2672"/>
      <c r="GV79" s="2672"/>
      <c r="GW79" s="2672"/>
    </row>
    <row r="80" spans="1:205" ht="17.399999999999999">
      <c r="B80" s="1525">
        <f t="shared" si="10"/>
        <v>76</v>
      </c>
      <c r="C80" s="2707" t="s">
        <v>1484</v>
      </c>
      <c r="D80" s="2673">
        <v>35</v>
      </c>
      <c r="E80" s="2708" t="s">
        <v>480</v>
      </c>
      <c r="F80" s="3700" t="s">
        <v>160</v>
      </c>
      <c r="G80" s="3701" t="s">
        <v>160</v>
      </c>
      <c r="H80" s="3701" t="s">
        <v>160</v>
      </c>
      <c r="I80" s="3701" t="s">
        <v>160</v>
      </c>
      <c r="J80" s="3701" t="s">
        <v>160</v>
      </c>
      <c r="K80" s="3701" t="s">
        <v>160</v>
      </c>
      <c r="L80" s="3701" t="s">
        <v>160</v>
      </c>
      <c r="M80" s="3701" t="s">
        <v>160</v>
      </c>
      <c r="N80" s="3701"/>
      <c r="O80" s="3701" t="s">
        <v>160</v>
      </c>
      <c r="P80" s="3701"/>
      <c r="Q80" s="3701"/>
      <c r="R80" s="3701"/>
      <c r="S80" s="3701"/>
      <c r="T80" s="3701"/>
      <c r="U80" s="3701"/>
      <c r="V80" s="3701"/>
      <c r="W80" s="3701"/>
      <c r="X80" s="3701"/>
      <c r="Y80" s="3701"/>
      <c r="Z80" s="3701"/>
      <c r="AA80" s="3701"/>
      <c r="AB80" s="3701"/>
      <c r="AC80" s="3701"/>
      <c r="AD80" s="3701" t="s">
        <v>160</v>
      </c>
      <c r="AE80" s="3701"/>
      <c r="AF80" s="3702"/>
      <c r="AG80" s="1519">
        <f t="shared" si="11"/>
        <v>0</v>
      </c>
      <c r="AH80" s="2672"/>
      <c r="AI80" s="2672"/>
      <c r="AJ80" s="2672"/>
      <c r="AK80" s="2672"/>
      <c r="AL80" s="2672"/>
      <c r="AM80" s="2672"/>
      <c r="AN80" s="2672"/>
      <c r="AO80" s="2672"/>
      <c r="AP80" s="2672"/>
      <c r="AQ80" s="2672"/>
      <c r="AR80" s="2672"/>
      <c r="AS80" s="2672"/>
      <c r="AT80" s="2672"/>
      <c r="AU80" s="2672"/>
      <c r="AV80" s="2672"/>
      <c r="AW80" s="2672"/>
      <c r="AX80" s="2672"/>
      <c r="AY80" s="2672"/>
      <c r="AZ80" s="2672"/>
      <c r="BA80" s="2672"/>
      <c r="BB80" s="2672"/>
      <c r="BC80" s="2672"/>
      <c r="BD80" s="2672"/>
      <c r="BE80" s="2672"/>
      <c r="BF80" s="2672"/>
      <c r="BG80" s="2672"/>
      <c r="BH80" s="2672"/>
      <c r="BI80" s="2672"/>
      <c r="BJ80" s="2672"/>
      <c r="BK80" s="2672"/>
      <c r="BL80" s="2672"/>
      <c r="BM80" s="2672"/>
      <c r="BN80" s="2672"/>
      <c r="BO80" s="2672"/>
      <c r="BP80" s="2672"/>
      <c r="BQ80" s="2672"/>
      <c r="BR80" s="2672"/>
      <c r="BS80" s="2672"/>
      <c r="BT80" s="2672"/>
      <c r="BU80" s="2672"/>
      <c r="BV80" s="2672"/>
      <c r="BW80" s="2672"/>
      <c r="BX80" s="2672"/>
      <c r="BY80" s="2672"/>
      <c r="BZ80" s="2672"/>
      <c r="CA80" s="2672"/>
      <c r="CB80" s="2672"/>
      <c r="CC80" s="2672"/>
      <c r="CD80" s="2672"/>
      <c r="CE80" s="2672"/>
      <c r="CF80" s="2672"/>
      <c r="CG80" s="2672"/>
      <c r="CH80" s="2672"/>
      <c r="CI80" s="2672"/>
      <c r="CJ80" s="2672"/>
      <c r="CK80" s="2672"/>
      <c r="CL80" s="2672"/>
      <c r="CM80" s="2672"/>
      <c r="CN80" s="2672"/>
      <c r="CO80" s="2672"/>
      <c r="CP80" s="2672"/>
      <c r="CQ80" s="2672"/>
      <c r="CR80" s="2672"/>
      <c r="CS80" s="2672"/>
      <c r="CT80" s="2672"/>
      <c r="CU80" s="2672"/>
      <c r="CV80" s="2672"/>
      <c r="CW80" s="2672"/>
      <c r="CX80" s="2672"/>
      <c r="CY80" s="2672"/>
      <c r="CZ80" s="2672"/>
      <c r="DA80" s="2672"/>
      <c r="DB80" s="2672"/>
      <c r="DC80" s="2672"/>
      <c r="DD80" s="2672"/>
      <c r="DE80" s="2672"/>
      <c r="DF80" s="2672"/>
      <c r="DG80" s="2672"/>
      <c r="DH80" s="2672"/>
      <c r="DI80" s="2672"/>
      <c r="DJ80" s="2672"/>
      <c r="DK80" s="2672"/>
      <c r="DL80" s="2672"/>
      <c r="DM80" s="2672"/>
      <c r="DN80" s="2672"/>
      <c r="DO80" s="2672"/>
      <c r="DP80" s="2672"/>
      <c r="DQ80" s="2672"/>
      <c r="DR80" s="2672"/>
      <c r="DS80" s="2672"/>
      <c r="DT80" s="2672"/>
      <c r="DU80" s="2672"/>
      <c r="DV80" s="2672"/>
      <c r="DW80" s="2672"/>
      <c r="DX80" s="2672"/>
      <c r="DY80" s="2672"/>
      <c r="DZ80" s="2672"/>
      <c r="EA80" s="2672"/>
      <c r="EB80" s="2672"/>
      <c r="EC80" s="2672"/>
      <c r="ED80" s="2672"/>
      <c r="EE80" s="2672"/>
      <c r="EF80" s="2672"/>
      <c r="EG80" s="2672"/>
      <c r="EH80" s="2672"/>
      <c r="EI80" s="2672"/>
      <c r="EJ80" s="2672"/>
      <c r="EK80" s="2672"/>
      <c r="EL80" s="2672"/>
      <c r="EM80" s="2672"/>
      <c r="EN80" s="2672"/>
      <c r="EO80" s="2672"/>
      <c r="EP80" s="2672"/>
      <c r="EQ80" s="2672"/>
      <c r="ER80" s="2672"/>
      <c r="ES80" s="2672"/>
      <c r="ET80" s="2672"/>
      <c r="EU80" s="2672"/>
      <c r="EV80" s="2672"/>
      <c r="EW80" s="2672"/>
      <c r="EX80" s="2672"/>
      <c r="EY80" s="2672"/>
      <c r="EZ80" s="2672"/>
      <c r="FA80" s="2672"/>
      <c r="FB80" s="2672"/>
      <c r="FC80" s="2672"/>
      <c r="FD80" s="2672"/>
      <c r="FE80" s="2672"/>
      <c r="FF80" s="2672"/>
      <c r="FG80" s="2672"/>
      <c r="FH80" s="2672"/>
      <c r="FI80" s="2672"/>
      <c r="FJ80" s="2672"/>
      <c r="FK80" s="2672"/>
      <c r="FL80" s="2672"/>
      <c r="FM80" s="2672"/>
      <c r="FN80" s="2672"/>
      <c r="FO80" s="2672"/>
      <c r="FP80" s="2672"/>
      <c r="FQ80" s="2672"/>
      <c r="FR80" s="2672"/>
      <c r="FS80" s="2672"/>
      <c r="FT80" s="2672"/>
      <c r="FU80" s="2672"/>
      <c r="FV80" s="2672"/>
      <c r="FW80" s="2672"/>
      <c r="FX80" s="2672"/>
      <c r="FY80" s="2672"/>
      <c r="FZ80" s="2672"/>
      <c r="GA80" s="2672"/>
      <c r="GB80" s="2672"/>
      <c r="GC80" s="2672"/>
      <c r="GD80" s="2672"/>
      <c r="GE80" s="2672"/>
      <c r="GF80" s="2672"/>
      <c r="GG80" s="2672"/>
      <c r="GH80" s="2672"/>
      <c r="GI80" s="2672"/>
      <c r="GJ80" s="2672"/>
      <c r="GK80" s="2672"/>
      <c r="GL80" s="2672"/>
      <c r="GM80" s="2672"/>
      <c r="GN80" s="2672"/>
      <c r="GO80" s="2672"/>
      <c r="GP80" s="2672"/>
      <c r="GQ80" s="2672"/>
      <c r="GR80" s="2672"/>
      <c r="GS80" s="2672"/>
      <c r="GT80" s="2672"/>
      <c r="GU80" s="2672"/>
      <c r="GV80" s="2672"/>
      <c r="GW80" s="2672"/>
    </row>
    <row r="81" spans="1:205" ht="17.399999999999999">
      <c r="B81" s="1525">
        <f t="shared" si="10"/>
        <v>77</v>
      </c>
      <c r="C81" s="2658" t="s">
        <v>1419</v>
      </c>
      <c r="D81" s="2673">
        <v>41.2</v>
      </c>
      <c r="E81" s="3454" t="s">
        <v>480</v>
      </c>
      <c r="F81" s="3710"/>
      <c r="G81" s="3703"/>
      <c r="H81" s="3703"/>
      <c r="I81" s="3703"/>
      <c r="J81" s="3703"/>
      <c r="K81" s="3703"/>
      <c r="L81" s="3703"/>
      <c r="M81" s="3703"/>
      <c r="N81" s="3703"/>
      <c r="O81" s="3703"/>
      <c r="P81" s="3703" t="s">
        <v>160</v>
      </c>
      <c r="Q81" s="3703" t="s">
        <v>160</v>
      </c>
      <c r="R81" s="3703" t="s">
        <v>160</v>
      </c>
      <c r="S81" s="3703"/>
      <c r="T81" s="3703"/>
      <c r="U81" s="3703"/>
      <c r="V81" s="3703" t="s">
        <v>160</v>
      </c>
      <c r="W81" s="3703"/>
      <c r="X81" s="3703"/>
      <c r="Y81" s="3703"/>
      <c r="Z81" s="3703"/>
      <c r="AA81" s="3703" t="s">
        <v>160</v>
      </c>
      <c r="AB81" s="3703" t="s">
        <v>160</v>
      </c>
      <c r="AC81" s="3703"/>
      <c r="AD81" s="3703" t="s">
        <v>160</v>
      </c>
      <c r="AE81" s="3703"/>
      <c r="AF81" s="3704"/>
      <c r="AG81" s="1519">
        <f t="shared" si="11"/>
        <v>0</v>
      </c>
      <c r="AH81" s="2672"/>
      <c r="AI81" s="2672"/>
      <c r="AJ81" s="2672"/>
      <c r="AK81" s="2672"/>
      <c r="AL81" s="2672"/>
      <c r="AM81" s="2672"/>
      <c r="AN81" s="2672"/>
      <c r="AO81" s="2672"/>
      <c r="AP81" s="2672"/>
      <c r="AQ81" s="2672"/>
      <c r="AR81" s="2672"/>
      <c r="AS81" s="2672"/>
      <c r="AT81" s="2672"/>
      <c r="AU81" s="2672"/>
      <c r="AV81" s="2672"/>
      <c r="AW81" s="2672"/>
      <c r="AX81" s="2672"/>
      <c r="AY81" s="2672"/>
      <c r="AZ81" s="2672"/>
      <c r="BA81" s="2672"/>
      <c r="BB81" s="2672"/>
      <c r="BC81" s="2672"/>
      <c r="BD81" s="2672"/>
      <c r="BE81" s="2672"/>
      <c r="BF81" s="2672"/>
      <c r="BG81" s="2672"/>
      <c r="BH81" s="2672"/>
      <c r="BI81" s="2672"/>
      <c r="BJ81" s="2672"/>
      <c r="BK81" s="2672"/>
      <c r="BL81" s="2672"/>
      <c r="BM81" s="2672"/>
      <c r="BN81" s="2672"/>
      <c r="BO81" s="2672"/>
      <c r="BP81" s="2672"/>
      <c r="BQ81" s="2672"/>
      <c r="BR81" s="2672"/>
      <c r="BS81" s="2672"/>
      <c r="BT81" s="2672"/>
      <c r="BU81" s="2672"/>
      <c r="BV81" s="2672"/>
      <c r="BW81" s="2672"/>
      <c r="BX81" s="2672"/>
      <c r="BY81" s="2672"/>
      <c r="BZ81" s="2672"/>
      <c r="CA81" s="2672"/>
      <c r="CB81" s="2672"/>
      <c r="CC81" s="2672"/>
      <c r="CD81" s="2672"/>
      <c r="CE81" s="2672"/>
      <c r="CF81" s="2672"/>
      <c r="CG81" s="2672"/>
      <c r="CH81" s="2672"/>
      <c r="CI81" s="2672"/>
      <c r="CJ81" s="2672"/>
      <c r="CK81" s="2672"/>
      <c r="CL81" s="2672"/>
      <c r="CM81" s="2672"/>
      <c r="CN81" s="2672"/>
      <c r="CO81" s="2672"/>
      <c r="CP81" s="2672"/>
      <c r="CQ81" s="2672"/>
      <c r="CR81" s="2672"/>
      <c r="CS81" s="2672"/>
      <c r="CT81" s="2672"/>
      <c r="CU81" s="2672"/>
      <c r="CV81" s="2672"/>
      <c r="CW81" s="2672"/>
      <c r="CX81" s="2672"/>
      <c r="CY81" s="2672"/>
      <c r="CZ81" s="2672"/>
      <c r="DA81" s="2672"/>
      <c r="DB81" s="2672"/>
      <c r="DC81" s="2672"/>
      <c r="DD81" s="2672"/>
      <c r="DE81" s="2672"/>
      <c r="DF81" s="2672"/>
      <c r="DG81" s="2672"/>
      <c r="DH81" s="2672"/>
      <c r="DI81" s="2672"/>
      <c r="DJ81" s="2672"/>
      <c r="DK81" s="2672"/>
      <c r="DL81" s="2672"/>
      <c r="DM81" s="2672"/>
      <c r="DN81" s="2672"/>
      <c r="DO81" s="2672"/>
      <c r="DP81" s="2672"/>
      <c r="DQ81" s="2672"/>
      <c r="DR81" s="2672"/>
      <c r="DS81" s="2672"/>
      <c r="DT81" s="2672"/>
      <c r="DU81" s="2672"/>
      <c r="DV81" s="2672"/>
      <c r="DW81" s="2672"/>
      <c r="DX81" s="2672"/>
      <c r="DY81" s="2672"/>
      <c r="DZ81" s="2672"/>
      <c r="EA81" s="2672"/>
      <c r="EB81" s="2672"/>
      <c r="EC81" s="2672"/>
      <c r="ED81" s="2672"/>
      <c r="EE81" s="2672"/>
      <c r="EF81" s="2672"/>
      <c r="EG81" s="2672"/>
      <c r="EH81" s="2672"/>
      <c r="EI81" s="2672"/>
      <c r="EJ81" s="2672"/>
      <c r="EK81" s="2672"/>
      <c r="EL81" s="2672"/>
      <c r="EM81" s="2672"/>
      <c r="EN81" s="2672"/>
      <c r="EO81" s="2672"/>
      <c r="EP81" s="2672"/>
      <c r="EQ81" s="2672"/>
      <c r="ER81" s="2672"/>
      <c r="ES81" s="2672"/>
      <c r="ET81" s="2672"/>
      <c r="EU81" s="2672"/>
      <c r="EV81" s="2672"/>
      <c r="EW81" s="2672"/>
      <c r="EX81" s="2672"/>
      <c r="EY81" s="2672"/>
      <c r="EZ81" s="2672"/>
      <c r="FA81" s="2672"/>
      <c r="FB81" s="2672"/>
      <c r="FC81" s="2672"/>
      <c r="FD81" s="2672"/>
      <c r="FE81" s="2672"/>
      <c r="FF81" s="2672"/>
      <c r="FG81" s="2672"/>
      <c r="FH81" s="2672"/>
      <c r="FI81" s="2672"/>
      <c r="FJ81" s="2672"/>
      <c r="FK81" s="2672"/>
      <c r="FL81" s="2672"/>
      <c r="FM81" s="2672"/>
      <c r="FN81" s="2672"/>
      <c r="FO81" s="2672"/>
      <c r="FP81" s="2672"/>
      <c r="FQ81" s="2672"/>
      <c r="FR81" s="2672"/>
      <c r="FS81" s="2672"/>
      <c r="FT81" s="2672"/>
      <c r="FU81" s="2672"/>
      <c r="FV81" s="2672"/>
      <c r="FW81" s="2672"/>
      <c r="FX81" s="2672"/>
      <c r="FY81" s="2672"/>
      <c r="FZ81" s="2672"/>
      <c r="GA81" s="2672"/>
      <c r="GB81" s="2672"/>
      <c r="GC81" s="2672"/>
      <c r="GD81" s="2672"/>
      <c r="GE81" s="2672"/>
      <c r="GF81" s="2672"/>
      <c r="GG81" s="2672"/>
      <c r="GH81" s="2672"/>
      <c r="GI81" s="2672"/>
      <c r="GJ81" s="2672"/>
      <c r="GK81" s="2672"/>
      <c r="GL81" s="2672"/>
      <c r="GM81" s="2672"/>
      <c r="GN81" s="2672"/>
      <c r="GO81" s="2672"/>
      <c r="GP81" s="2672"/>
      <c r="GQ81" s="2672"/>
      <c r="GR81" s="2672"/>
      <c r="GS81" s="2672"/>
      <c r="GT81" s="2672"/>
      <c r="GU81" s="2672"/>
      <c r="GV81" s="2672"/>
      <c r="GW81" s="2672"/>
    </row>
    <row r="82" spans="1:205" ht="17.399999999999999">
      <c r="B82" s="1525">
        <f t="shared" si="10"/>
        <v>78</v>
      </c>
      <c r="C82" s="2709" t="s">
        <v>1733</v>
      </c>
      <c r="D82" s="2673">
        <v>35.1</v>
      </c>
      <c r="E82" s="3454" t="s">
        <v>480</v>
      </c>
      <c r="F82" s="3710"/>
      <c r="G82" s="3703"/>
      <c r="H82" s="3703"/>
      <c r="I82" s="3703"/>
      <c r="J82" s="3703"/>
      <c r="K82" s="3703"/>
      <c r="L82" s="3703"/>
      <c r="M82" s="3703"/>
      <c r="N82" s="3703"/>
      <c r="O82" s="3703"/>
      <c r="P82" s="3703"/>
      <c r="Q82" s="3703"/>
      <c r="R82" s="3703"/>
      <c r="S82" s="3703"/>
      <c r="T82" s="3703"/>
      <c r="U82" s="3703"/>
      <c r="V82" s="3703"/>
      <c r="W82" s="3703"/>
      <c r="X82" s="3703"/>
      <c r="Y82" s="3703"/>
      <c r="Z82" s="3703"/>
      <c r="AA82" s="3703"/>
      <c r="AB82" s="3703" t="s">
        <v>160</v>
      </c>
      <c r="AC82" s="3703"/>
      <c r="AD82" s="3703"/>
      <c r="AE82" s="3703"/>
      <c r="AF82" s="3704"/>
      <c r="AG82" s="1519">
        <f t="shared" si="11"/>
        <v>0</v>
      </c>
      <c r="AH82" s="2672"/>
      <c r="AI82" s="2672"/>
      <c r="AJ82" s="2672"/>
      <c r="AK82" s="2672"/>
      <c r="AL82" s="2672"/>
      <c r="AM82" s="2672"/>
      <c r="AN82" s="2672"/>
      <c r="AO82" s="2672"/>
      <c r="AP82" s="2672"/>
      <c r="AQ82" s="2672"/>
      <c r="AR82" s="2672"/>
      <c r="AS82" s="2672"/>
      <c r="AT82" s="2672"/>
      <c r="AU82" s="2672"/>
      <c r="AV82" s="2672"/>
      <c r="AW82" s="2672"/>
      <c r="AX82" s="2672"/>
      <c r="AY82" s="2672"/>
      <c r="AZ82" s="2672"/>
      <c r="BA82" s="2672"/>
      <c r="BB82" s="2672"/>
      <c r="BC82" s="2672"/>
      <c r="BD82" s="2672"/>
      <c r="BE82" s="2672"/>
      <c r="BF82" s="2672"/>
      <c r="BG82" s="2672"/>
      <c r="BH82" s="2672"/>
      <c r="BI82" s="2672"/>
      <c r="BJ82" s="2672"/>
      <c r="BK82" s="2672"/>
      <c r="BL82" s="2672"/>
      <c r="BM82" s="2672"/>
      <c r="BN82" s="2672"/>
      <c r="BO82" s="2672"/>
      <c r="BP82" s="2672"/>
      <c r="BQ82" s="2672"/>
      <c r="BR82" s="2672"/>
      <c r="BS82" s="2672"/>
      <c r="BT82" s="2672"/>
      <c r="BU82" s="2672"/>
      <c r="BV82" s="2672"/>
      <c r="BW82" s="2672"/>
      <c r="BX82" s="2672"/>
      <c r="BY82" s="2672"/>
      <c r="BZ82" s="2672"/>
      <c r="CA82" s="2672"/>
      <c r="CB82" s="2672"/>
      <c r="CC82" s="2672"/>
      <c r="CD82" s="2672"/>
      <c r="CE82" s="2672"/>
      <c r="CF82" s="2672"/>
      <c r="CG82" s="2672"/>
      <c r="CH82" s="2672"/>
      <c r="CI82" s="2672"/>
      <c r="CJ82" s="2672"/>
      <c r="CK82" s="2672"/>
      <c r="CL82" s="2672"/>
      <c r="CM82" s="2672"/>
      <c r="CN82" s="2672"/>
      <c r="CO82" s="2672"/>
      <c r="CP82" s="2672"/>
      <c r="CQ82" s="2672"/>
      <c r="CR82" s="2672"/>
      <c r="CS82" s="2672"/>
      <c r="CT82" s="2672"/>
      <c r="CU82" s="2672"/>
      <c r="CV82" s="2672"/>
      <c r="CW82" s="2672"/>
      <c r="CX82" s="2672"/>
      <c r="CY82" s="2672"/>
      <c r="CZ82" s="2672"/>
      <c r="DA82" s="2672"/>
      <c r="DB82" s="2672"/>
      <c r="DC82" s="2672"/>
      <c r="DD82" s="2672"/>
      <c r="DE82" s="2672"/>
      <c r="DF82" s="2672"/>
      <c r="DG82" s="2672"/>
      <c r="DH82" s="2672"/>
      <c r="DI82" s="2672"/>
      <c r="DJ82" s="2672"/>
      <c r="DK82" s="2672"/>
      <c r="DL82" s="2672"/>
      <c r="DM82" s="2672"/>
      <c r="DN82" s="2672"/>
      <c r="DO82" s="2672"/>
      <c r="DP82" s="2672"/>
      <c r="DQ82" s="2672"/>
      <c r="DR82" s="2672"/>
      <c r="DS82" s="2672"/>
      <c r="DT82" s="2672"/>
      <c r="DU82" s="2672"/>
      <c r="DV82" s="2672"/>
      <c r="DW82" s="2672"/>
      <c r="DX82" s="2672"/>
      <c r="DY82" s="2672"/>
      <c r="DZ82" s="2672"/>
      <c r="EA82" s="2672"/>
      <c r="EB82" s="2672"/>
      <c r="EC82" s="2672"/>
      <c r="ED82" s="2672"/>
      <c r="EE82" s="2672"/>
      <c r="EF82" s="2672"/>
      <c r="EG82" s="2672"/>
      <c r="EH82" s="2672"/>
      <c r="EI82" s="2672"/>
      <c r="EJ82" s="2672"/>
      <c r="EK82" s="2672"/>
      <c r="EL82" s="2672"/>
      <c r="EM82" s="2672"/>
      <c r="EN82" s="2672"/>
      <c r="EO82" s="2672"/>
      <c r="EP82" s="2672"/>
      <c r="EQ82" s="2672"/>
      <c r="ER82" s="2672"/>
      <c r="ES82" s="2672"/>
      <c r="ET82" s="2672"/>
      <c r="EU82" s="2672"/>
      <c r="EV82" s="2672"/>
      <c r="EW82" s="2672"/>
      <c r="EX82" s="2672"/>
      <c r="EY82" s="2672"/>
      <c r="EZ82" s="2672"/>
      <c r="FA82" s="2672"/>
      <c r="FB82" s="2672"/>
      <c r="FC82" s="2672"/>
      <c r="FD82" s="2672"/>
      <c r="FE82" s="2672"/>
      <c r="FF82" s="2672"/>
      <c r="FG82" s="2672"/>
      <c r="FH82" s="2672"/>
      <c r="FI82" s="2672"/>
      <c r="FJ82" s="2672"/>
      <c r="FK82" s="2672"/>
      <c r="FL82" s="2672"/>
      <c r="FM82" s="2672"/>
      <c r="FN82" s="2672"/>
      <c r="FO82" s="2672"/>
      <c r="FP82" s="2672"/>
      <c r="FQ82" s="2672"/>
      <c r="FR82" s="2672"/>
      <c r="FS82" s="2672"/>
      <c r="FT82" s="2672"/>
      <c r="FU82" s="2672"/>
      <c r="FV82" s="2672"/>
      <c r="FW82" s="2672"/>
      <c r="FX82" s="2672"/>
      <c r="FY82" s="2672"/>
      <c r="FZ82" s="2672"/>
      <c r="GA82" s="2672"/>
      <c r="GB82" s="2672"/>
      <c r="GC82" s="2672"/>
      <c r="GD82" s="2672"/>
      <c r="GE82" s="2672"/>
      <c r="GF82" s="2672"/>
      <c r="GG82" s="2672"/>
      <c r="GH82" s="2672"/>
      <c r="GI82" s="2672"/>
      <c r="GJ82" s="2672"/>
      <c r="GK82" s="2672"/>
      <c r="GL82" s="2672"/>
      <c r="GM82" s="2672"/>
      <c r="GN82" s="2672"/>
      <c r="GO82" s="2672"/>
      <c r="GP82" s="2672"/>
      <c r="GQ82" s="2672"/>
      <c r="GR82" s="2672"/>
      <c r="GS82" s="2672"/>
      <c r="GT82" s="2672"/>
      <c r="GU82" s="2672"/>
      <c r="GV82" s="2672"/>
      <c r="GW82" s="2672"/>
    </row>
    <row r="83" spans="1:205" s="2714" customFormat="1" ht="17.399999999999999">
      <c r="A83" s="2672"/>
      <c r="B83" s="1525">
        <f t="shared" si="10"/>
        <v>79</v>
      </c>
      <c r="C83" s="2709" t="s">
        <v>1503</v>
      </c>
      <c r="D83" s="2673">
        <v>45.4</v>
      </c>
      <c r="E83" s="3454" t="s">
        <v>482</v>
      </c>
      <c r="F83" s="3710" t="s">
        <v>160</v>
      </c>
      <c r="G83" s="3703" t="s">
        <v>160</v>
      </c>
      <c r="H83" s="3703" t="s">
        <v>160</v>
      </c>
      <c r="I83" s="3703" t="s">
        <v>160</v>
      </c>
      <c r="J83" s="3703"/>
      <c r="K83" s="3703" t="s">
        <v>160</v>
      </c>
      <c r="L83" s="3703"/>
      <c r="M83" s="3703"/>
      <c r="N83" s="3703"/>
      <c r="O83" s="3703"/>
      <c r="P83" s="3703" t="s">
        <v>160</v>
      </c>
      <c r="Q83" s="3703"/>
      <c r="R83" s="3703"/>
      <c r="S83" s="3703"/>
      <c r="T83" s="3703"/>
      <c r="U83" s="3703"/>
      <c r="V83" s="3703"/>
      <c r="W83" s="3703"/>
      <c r="X83" s="3703"/>
      <c r="Y83" s="3703"/>
      <c r="Z83" s="3703"/>
      <c r="AA83" s="3703"/>
      <c r="AB83" s="3703"/>
      <c r="AC83" s="3703"/>
      <c r="AD83" s="3703" t="s">
        <v>160</v>
      </c>
      <c r="AE83" s="3703"/>
      <c r="AF83" s="3704"/>
      <c r="AG83" s="2713">
        <f t="shared" si="11"/>
        <v>0</v>
      </c>
      <c r="AH83" s="2672"/>
      <c r="AI83" s="2672"/>
      <c r="AJ83" s="2672"/>
      <c r="AK83" s="2672"/>
      <c r="AL83" s="2672"/>
      <c r="AM83" s="2672"/>
      <c r="AN83" s="2672"/>
      <c r="AO83" s="2672"/>
      <c r="AP83" s="2672"/>
      <c r="AQ83" s="2672"/>
      <c r="AR83" s="2672"/>
      <c r="AS83" s="2672"/>
      <c r="AT83" s="2672"/>
      <c r="AU83" s="2672"/>
      <c r="AV83" s="2672"/>
      <c r="AW83" s="2672"/>
      <c r="AX83" s="2672"/>
      <c r="AY83" s="2672"/>
      <c r="AZ83" s="2672"/>
      <c r="BA83" s="2672"/>
      <c r="BB83" s="2672"/>
      <c r="BC83" s="2672"/>
      <c r="BD83" s="2672"/>
      <c r="BE83" s="2672"/>
      <c r="BF83" s="2672"/>
      <c r="BG83" s="2672"/>
      <c r="BH83" s="2672"/>
      <c r="BI83" s="2672"/>
      <c r="BJ83" s="2672"/>
      <c r="BK83" s="2672"/>
      <c r="BL83" s="2672"/>
      <c r="BM83" s="2672"/>
      <c r="BN83" s="2672"/>
      <c r="BO83" s="2672"/>
      <c r="BP83" s="2672"/>
      <c r="BQ83" s="2672"/>
      <c r="BR83" s="2672"/>
      <c r="BS83" s="2672"/>
      <c r="BT83" s="2672"/>
      <c r="BU83" s="2672"/>
      <c r="BV83" s="2672"/>
      <c r="BW83" s="2672"/>
      <c r="BX83" s="2672"/>
      <c r="BY83" s="2672"/>
      <c r="BZ83" s="2672"/>
      <c r="CA83" s="2672"/>
      <c r="CB83" s="2672"/>
      <c r="CC83" s="2672"/>
      <c r="CD83" s="2672"/>
      <c r="CE83" s="2672"/>
      <c r="CF83" s="2672"/>
      <c r="CG83" s="2672"/>
      <c r="CH83" s="2672"/>
      <c r="CI83" s="2672"/>
      <c r="CJ83" s="2672"/>
      <c r="CK83" s="2672"/>
      <c r="CL83" s="2672"/>
      <c r="CM83" s="2672"/>
      <c r="CN83" s="2672"/>
      <c r="CO83" s="2672"/>
      <c r="CP83" s="2672"/>
      <c r="CQ83" s="2672"/>
      <c r="CR83" s="2672"/>
      <c r="CS83" s="2672"/>
      <c r="CT83" s="2672"/>
      <c r="CU83" s="2672"/>
      <c r="CV83" s="2672"/>
      <c r="CW83" s="2672"/>
      <c r="CX83" s="2672"/>
      <c r="CY83" s="2672"/>
      <c r="CZ83" s="2672"/>
      <c r="DA83" s="2672"/>
      <c r="DB83" s="2672"/>
      <c r="DC83" s="2672"/>
      <c r="DD83" s="2672"/>
      <c r="DE83" s="2672"/>
      <c r="DF83" s="2672"/>
      <c r="DG83" s="2672"/>
      <c r="DH83" s="2672"/>
      <c r="DI83" s="2672"/>
      <c r="DJ83" s="2672"/>
      <c r="DK83" s="2672"/>
      <c r="DL83" s="2672"/>
      <c r="DM83" s="2672"/>
      <c r="DN83" s="2672"/>
      <c r="DO83" s="2672"/>
      <c r="DP83" s="2672"/>
      <c r="DQ83" s="2672"/>
      <c r="DR83" s="2672"/>
      <c r="DS83" s="2672"/>
      <c r="DT83" s="2672"/>
      <c r="DU83" s="2672"/>
      <c r="DV83" s="2672"/>
      <c r="DW83" s="2672"/>
      <c r="DX83" s="2672"/>
      <c r="DY83" s="2672"/>
      <c r="DZ83" s="2672"/>
      <c r="EA83" s="2672"/>
      <c r="EB83" s="2672"/>
      <c r="EC83" s="2672"/>
      <c r="ED83" s="2672"/>
      <c r="EE83" s="2672"/>
      <c r="EF83" s="2672"/>
      <c r="EG83" s="2672"/>
      <c r="EH83" s="2672"/>
      <c r="EI83" s="2672"/>
      <c r="EJ83" s="2672"/>
      <c r="EK83" s="2672"/>
      <c r="EL83" s="2672"/>
      <c r="EM83" s="2672"/>
      <c r="EN83" s="2672"/>
      <c r="EO83" s="2672"/>
      <c r="EP83" s="2672"/>
      <c r="EQ83" s="2672"/>
      <c r="ER83" s="2672"/>
      <c r="ES83" s="2672"/>
      <c r="ET83" s="2672"/>
      <c r="EU83" s="2672"/>
      <c r="EV83" s="2672"/>
      <c r="EW83" s="2672"/>
      <c r="EX83" s="2672"/>
      <c r="EY83" s="2672"/>
      <c r="EZ83" s="2672"/>
      <c r="FA83" s="2672"/>
      <c r="FB83" s="2672"/>
      <c r="FC83" s="2672"/>
      <c r="FD83" s="2672"/>
      <c r="FE83" s="2672"/>
      <c r="FF83" s="2672"/>
      <c r="FG83" s="2672"/>
      <c r="FH83" s="2672"/>
      <c r="FI83" s="2672"/>
      <c r="FJ83" s="2672"/>
      <c r="FK83" s="2672"/>
      <c r="FL83" s="2672"/>
      <c r="FM83" s="2672"/>
      <c r="FN83" s="2672"/>
      <c r="FO83" s="2672"/>
      <c r="FP83" s="2672"/>
      <c r="FQ83" s="2672"/>
      <c r="FR83" s="2672"/>
      <c r="FS83" s="2672"/>
      <c r="FT83" s="2672"/>
      <c r="FU83" s="2672"/>
      <c r="FV83" s="2672"/>
      <c r="FW83" s="2672"/>
      <c r="FX83" s="2672"/>
      <c r="FY83" s="2672"/>
      <c r="FZ83" s="2672"/>
      <c r="GA83" s="2672"/>
      <c r="GB83" s="2672"/>
      <c r="GC83" s="2672"/>
      <c r="GD83" s="2672"/>
      <c r="GE83" s="2672"/>
      <c r="GF83" s="2672"/>
      <c r="GG83" s="2672"/>
      <c r="GH83" s="2672"/>
      <c r="GI83" s="2672"/>
      <c r="GJ83" s="2672"/>
      <c r="GK83" s="2672"/>
      <c r="GL83" s="2672"/>
      <c r="GM83" s="2672"/>
      <c r="GN83" s="2672"/>
      <c r="GO83" s="2672"/>
      <c r="GP83" s="2672"/>
      <c r="GQ83" s="2672"/>
      <c r="GR83" s="2672"/>
      <c r="GS83" s="2672"/>
      <c r="GT83" s="2672"/>
      <c r="GU83" s="2672"/>
      <c r="GV83" s="2672"/>
      <c r="GW83" s="2672"/>
    </row>
    <row r="84" spans="1:205" s="2714" customFormat="1" ht="17.399999999999999">
      <c r="A84" s="2672"/>
      <c r="B84" s="1525">
        <f t="shared" si="10"/>
        <v>80</v>
      </c>
      <c r="C84" s="3711"/>
      <c r="D84" s="2673"/>
      <c r="E84" s="3712"/>
      <c r="F84" s="2710"/>
      <c r="G84" s="2711"/>
      <c r="H84" s="2711"/>
      <c r="I84" s="2711"/>
      <c r="J84" s="2711"/>
      <c r="K84" s="2711"/>
      <c r="L84" s="2711"/>
      <c r="M84" s="2711"/>
      <c r="N84" s="2711"/>
      <c r="O84" s="2711"/>
      <c r="P84" s="2711"/>
      <c r="Q84" s="2711"/>
      <c r="R84" s="2711"/>
      <c r="S84" s="2711"/>
      <c r="T84" s="2711"/>
      <c r="U84" s="2711"/>
      <c r="V84" s="2711"/>
      <c r="W84" s="2711"/>
      <c r="X84" s="2711"/>
      <c r="Y84" s="2711"/>
      <c r="Z84" s="2711"/>
      <c r="AA84" s="2711"/>
      <c r="AB84" s="2711"/>
      <c r="AC84" s="2711"/>
      <c r="AD84" s="2711"/>
      <c r="AE84" s="2711"/>
      <c r="AF84" s="2712"/>
      <c r="AG84" s="2713">
        <f t="shared" si="11"/>
        <v>0</v>
      </c>
      <c r="AH84" s="2672"/>
      <c r="AI84" s="2672"/>
      <c r="AJ84" s="2672"/>
      <c r="AK84" s="2672"/>
      <c r="AL84" s="2672"/>
      <c r="AM84" s="2672"/>
      <c r="AN84" s="2672"/>
      <c r="AO84" s="2672"/>
      <c r="AP84" s="2672"/>
      <c r="AQ84" s="2672"/>
      <c r="AR84" s="2672"/>
      <c r="AS84" s="2672"/>
      <c r="AT84" s="2672"/>
      <c r="AU84" s="2672"/>
      <c r="AV84" s="2672"/>
      <c r="AW84" s="2672"/>
      <c r="AX84" s="2672"/>
      <c r="AY84" s="2672"/>
      <c r="AZ84" s="2672"/>
      <c r="BA84" s="2672"/>
      <c r="BB84" s="2672"/>
      <c r="BC84" s="2672"/>
      <c r="BD84" s="2672"/>
      <c r="BE84" s="2672"/>
      <c r="BF84" s="2672"/>
      <c r="BG84" s="2672"/>
      <c r="BH84" s="2672"/>
      <c r="BI84" s="2672"/>
      <c r="BJ84" s="2672"/>
      <c r="BK84" s="2672"/>
      <c r="BL84" s="2672"/>
      <c r="BM84" s="2672"/>
      <c r="BN84" s="2672"/>
      <c r="BO84" s="2672"/>
      <c r="BP84" s="2672"/>
      <c r="BQ84" s="2672"/>
      <c r="BR84" s="2672"/>
      <c r="BS84" s="2672"/>
      <c r="BT84" s="2672"/>
      <c r="BU84" s="2672"/>
      <c r="BV84" s="2672"/>
      <c r="BW84" s="2672"/>
      <c r="BX84" s="2672"/>
      <c r="BY84" s="2672"/>
      <c r="BZ84" s="2672"/>
      <c r="CA84" s="2672"/>
      <c r="CB84" s="2672"/>
      <c r="CC84" s="2672"/>
      <c r="CD84" s="2672"/>
      <c r="CE84" s="2672"/>
      <c r="CF84" s="2672"/>
      <c r="CG84" s="2672"/>
      <c r="CH84" s="2672"/>
      <c r="CI84" s="2672"/>
      <c r="CJ84" s="2672"/>
      <c r="CK84" s="2672"/>
      <c r="CL84" s="2672"/>
      <c r="CM84" s="2672"/>
      <c r="CN84" s="2672"/>
      <c r="CO84" s="2672"/>
      <c r="CP84" s="2672"/>
      <c r="CQ84" s="2672"/>
      <c r="CR84" s="2672"/>
      <c r="CS84" s="2672"/>
      <c r="CT84" s="2672"/>
      <c r="CU84" s="2672"/>
      <c r="CV84" s="2672"/>
      <c r="CW84" s="2672"/>
      <c r="CX84" s="2672"/>
      <c r="CY84" s="2672"/>
      <c r="CZ84" s="2672"/>
      <c r="DA84" s="2672"/>
      <c r="DB84" s="2672"/>
      <c r="DC84" s="2672"/>
      <c r="DD84" s="2672"/>
      <c r="DE84" s="2672"/>
      <c r="DF84" s="2672"/>
      <c r="DG84" s="2672"/>
      <c r="DH84" s="2672"/>
      <c r="DI84" s="2672"/>
      <c r="DJ84" s="2672"/>
      <c r="DK84" s="2672"/>
      <c r="DL84" s="2672"/>
      <c r="DM84" s="2672"/>
      <c r="DN84" s="2672"/>
      <c r="DO84" s="2672"/>
      <c r="DP84" s="2672"/>
      <c r="DQ84" s="2672"/>
      <c r="DR84" s="2672"/>
      <c r="DS84" s="2672"/>
      <c r="DT84" s="2672"/>
      <c r="DU84" s="2672"/>
      <c r="DV84" s="2672"/>
      <c r="DW84" s="2672"/>
      <c r="DX84" s="2672"/>
      <c r="DY84" s="2672"/>
      <c r="DZ84" s="2672"/>
      <c r="EA84" s="2672"/>
      <c r="EB84" s="2672"/>
      <c r="EC84" s="2672"/>
      <c r="ED84" s="2672"/>
      <c r="EE84" s="2672"/>
      <c r="EF84" s="2672"/>
      <c r="EG84" s="2672"/>
      <c r="EH84" s="2672"/>
      <c r="EI84" s="2672"/>
      <c r="EJ84" s="2672"/>
      <c r="EK84" s="2672"/>
      <c r="EL84" s="2672"/>
      <c r="EM84" s="2672"/>
      <c r="EN84" s="2672"/>
      <c r="EO84" s="2672"/>
      <c r="EP84" s="2672"/>
      <c r="EQ84" s="2672"/>
      <c r="ER84" s="2672"/>
      <c r="ES84" s="2672"/>
      <c r="ET84" s="2672"/>
      <c r="EU84" s="2672"/>
      <c r="EV84" s="2672"/>
      <c r="EW84" s="2672"/>
      <c r="EX84" s="2672"/>
      <c r="EY84" s="2672"/>
      <c r="EZ84" s="2672"/>
      <c r="FA84" s="2672"/>
      <c r="FB84" s="2672"/>
      <c r="FC84" s="2672"/>
      <c r="FD84" s="2672"/>
      <c r="FE84" s="2672"/>
      <c r="FF84" s="2672"/>
      <c r="FG84" s="2672"/>
      <c r="FH84" s="2672"/>
      <c r="FI84" s="2672"/>
      <c r="FJ84" s="2672"/>
      <c r="FK84" s="2672"/>
      <c r="FL84" s="2672"/>
      <c r="FM84" s="2672"/>
      <c r="FN84" s="2672"/>
      <c r="FO84" s="2672"/>
      <c r="FP84" s="2672"/>
      <c r="FQ84" s="2672"/>
      <c r="FR84" s="2672"/>
      <c r="FS84" s="2672"/>
      <c r="FT84" s="2672"/>
      <c r="FU84" s="2672"/>
      <c r="FV84" s="2672"/>
      <c r="FW84" s="2672"/>
      <c r="FX84" s="2672"/>
      <c r="FY84" s="2672"/>
      <c r="FZ84" s="2672"/>
      <c r="GA84" s="2672"/>
      <c r="GB84" s="2672"/>
      <c r="GC84" s="2672"/>
      <c r="GD84" s="2672"/>
      <c r="GE84" s="2672"/>
      <c r="GF84" s="2672"/>
      <c r="GG84" s="2672"/>
      <c r="GH84" s="2672"/>
      <c r="GI84" s="2672"/>
      <c r="GJ84" s="2672"/>
      <c r="GK84" s="2672"/>
      <c r="GL84" s="2672"/>
      <c r="GM84" s="2672"/>
      <c r="GN84" s="2672"/>
      <c r="GO84" s="2672"/>
      <c r="GP84" s="2672"/>
      <c r="GQ84" s="2672"/>
      <c r="GR84" s="2672"/>
      <c r="GS84" s="2672"/>
      <c r="GT84" s="2672"/>
      <c r="GU84" s="2672"/>
      <c r="GV84" s="2672"/>
      <c r="GW84" s="2672"/>
    </row>
    <row r="85" spans="1:205" s="2714" customFormat="1" ht="17.399999999999999">
      <c r="A85" s="2672"/>
      <c r="B85" s="1525">
        <f t="shared" si="10"/>
        <v>81</v>
      </c>
      <c r="C85" s="3711"/>
      <c r="D85" s="2673"/>
      <c r="E85" s="3712"/>
      <c r="F85" s="2710"/>
      <c r="G85" s="2711"/>
      <c r="H85" s="2711"/>
      <c r="I85" s="2711"/>
      <c r="J85" s="2711"/>
      <c r="K85" s="2711"/>
      <c r="L85" s="2711"/>
      <c r="M85" s="2711"/>
      <c r="N85" s="2711"/>
      <c r="O85" s="2711"/>
      <c r="P85" s="2711"/>
      <c r="Q85" s="2711"/>
      <c r="R85" s="2711"/>
      <c r="S85" s="2711"/>
      <c r="T85" s="2711"/>
      <c r="U85" s="2711"/>
      <c r="V85" s="2711"/>
      <c r="W85" s="2711"/>
      <c r="X85" s="2711"/>
      <c r="Y85" s="2711"/>
      <c r="Z85" s="2711"/>
      <c r="AA85" s="2711"/>
      <c r="AB85" s="2711"/>
      <c r="AC85" s="2711"/>
      <c r="AD85" s="2711" t="s">
        <v>160</v>
      </c>
      <c r="AE85" s="2711"/>
      <c r="AF85" s="2712"/>
      <c r="AG85" s="2713">
        <f t="shared" si="11"/>
        <v>0</v>
      </c>
      <c r="AH85" s="2672"/>
      <c r="AI85" s="2672"/>
      <c r="AJ85" s="2672"/>
      <c r="AK85" s="2672"/>
      <c r="AL85" s="2672"/>
      <c r="AM85" s="2672"/>
      <c r="AN85" s="2672"/>
      <c r="AO85" s="2672"/>
      <c r="AP85" s="2672"/>
      <c r="AQ85" s="2672"/>
      <c r="AR85" s="2672"/>
      <c r="AS85" s="2672"/>
      <c r="AT85" s="2672"/>
      <c r="AU85" s="2672"/>
      <c r="AV85" s="2672"/>
      <c r="AW85" s="2672"/>
      <c r="AX85" s="2672"/>
      <c r="AY85" s="2672"/>
      <c r="AZ85" s="2672"/>
      <c r="BA85" s="2672"/>
      <c r="BB85" s="2672"/>
      <c r="BC85" s="2672"/>
      <c r="BD85" s="2672"/>
      <c r="BE85" s="2672"/>
      <c r="BF85" s="2672"/>
      <c r="BG85" s="2672"/>
      <c r="BH85" s="2672"/>
      <c r="BI85" s="2672"/>
      <c r="BJ85" s="2672"/>
      <c r="BK85" s="2672"/>
      <c r="BL85" s="2672"/>
      <c r="BM85" s="2672"/>
      <c r="BN85" s="2672"/>
      <c r="BO85" s="2672"/>
      <c r="BP85" s="2672"/>
      <c r="BQ85" s="2672"/>
      <c r="BR85" s="2672"/>
      <c r="BS85" s="2672"/>
      <c r="BT85" s="2672"/>
      <c r="BU85" s="2672"/>
      <c r="BV85" s="2672"/>
      <c r="BW85" s="2672"/>
      <c r="BX85" s="2672"/>
      <c r="BY85" s="2672"/>
      <c r="BZ85" s="2672"/>
      <c r="CA85" s="2672"/>
      <c r="CB85" s="2672"/>
      <c r="CC85" s="2672"/>
      <c r="CD85" s="2672"/>
      <c r="CE85" s="2672"/>
      <c r="CF85" s="2672"/>
      <c r="CG85" s="2672"/>
      <c r="CH85" s="2672"/>
      <c r="CI85" s="2672"/>
      <c r="CJ85" s="2672"/>
      <c r="CK85" s="2672"/>
      <c r="CL85" s="2672"/>
      <c r="CM85" s="2672"/>
      <c r="CN85" s="2672"/>
      <c r="CO85" s="2672"/>
      <c r="CP85" s="2672"/>
      <c r="CQ85" s="2672"/>
      <c r="CR85" s="2672"/>
      <c r="CS85" s="2672"/>
      <c r="CT85" s="2672"/>
      <c r="CU85" s="2672"/>
      <c r="CV85" s="2672"/>
      <c r="CW85" s="2672"/>
      <c r="CX85" s="2672"/>
      <c r="CY85" s="2672"/>
      <c r="CZ85" s="2672"/>
      <c r="DA85" s="2672"/>
      <c r="DB85" s="2672"/>
      <c r="DC85" s="2672"/>
      <c r="DD85" s="2672"/>
      <c r="DE85" s="2672"/>
      <c r="DF85" s="2672"/>
      <c r="DG85" s="2672"/>
      <c r="DH85" s="2672"/>
      <c r="DI85" s="2672"/>
      <c r="DJ85" s="2672"/>
      <c r="DK85" s="2672"/>
      <c r="DL85" s="2672"/>
      <c r="DM85" s="2672"/>
      <c r="DN85" s="2672"/>
      <c r="DO85" s="2672"/>
      <c r="DP85" s="2672"/>
      <c r="DQ85" s="2672"/>
      <c r="DR85" s="2672"/>
      <c r="DS85" s="2672"/>
      <c r="DT85" s="2672"/>
      <c r="DU85" s="2672"/>
      <c r="DV85" s="2672"/>
      <c r="DW85" s="2672"/>
      <c r="DX85" s="2672"/>
      <c r="DY85" s="2672"/>
      <c r="DZ85" s="2672"/>
      <c r="EA85" s="2672"/>
      <c r="EB85" s="2672"/>
      <c r="EC85" s="2672"/>
      <c r="ED85" s="2672"/>
      <c r="EE85" s="2672"/>
      <c r="EF85" s="2672"/>
      <c r="EG85" s="2672"/>
      <c r="EH85" s="2672"/>
      <c r="EI85" s="2672"/>
      <c r="EJ85" s="2672"/>
      <c r="EK85" s="2672"/>
      <c r="EL85" s="2672"/>
      <c r="EM85" s="2672"/>
      <c r="EN85" s="2672"/>
      <c r="EO85" s="2672"/>
      <c r="EP85" s="2672"/>
      <c r="EQ85" s="2672"/>
      <c r="ER85" s="2672"/>
      <c r="ES85" s="2672"/>
      <c r="ET85" s="2672"/>
      <c r="EU85" s="2672"/>
      <c r="EV85" s="2672"/>
      <c r="EW85" s="2672"/>
      <c r="EX85" s="2672"/>
      <c r="EY85" s="2672"/>
      <c r="EZ85" s="2672"/>
      <c r="FA85" s="2672"/>
      <c r="FB85" s="2672"/>
      <c r="FC85" s="2672"/>
      <c r="FD85" s="2672"/>
      <c r="FE85" s="2672"/>
      <c r="FF85" s="2672"/>
      <c r="FG85" s="2672"/>
      <c r="FH85" s="2672"/>
      <c r="FI85" s="2672"/>
      <c r="FJ85" s="2672"/>
      <c r="FK85" s="2672"/>
      <c r="FL85" s="2672"/>
      <c r="FM85" s="2672"/>
      <c r="FN85" s="2672"/>
      <c r="FO85" s="2672"/>
      <c r="FP85" s="2672"/>
      <c r="FQ85" s="2672"/>
      <c r="FR85" s="2672"/>
      <c r="FS85" s="2672"/>
      <c r="FT85" s="2672"/>
      <c r="FU85" s="2672"/>
      <c r="FV85" s="2672"/>
      <c r="FW85" s="2672"/>
      <c r="FX85" s="2672"/>
      <c r="FY85" s="2672"/>
      <c r="FZ85" s="2672"/>
      <c r="GA85" s="2672"/>
      <c r="GB85" s="2672"/>
      <c r="GC85" s="2672"/>
      <c r="GD85" s="2672"/>
      <c r="GE85" s="2672"/>
      <c r="GF85" s="2672"/>
      <c r="GG85" s="2672"/>
      <c r="GH85" s="2672"/>
      <c r="GI85" s="2672"/>
      <c r="GJ85" s="2672"/>
      <c r="GK85" s="2672"/>
      <c r="GL85" s="2672"/>
      <c r="GM85" s="2672"/>
      <c r="GN85" s="2672"/>
      <c r="GO85" s="2672"/>
      <c r="GP85" s="2672"/>
      <c r="GQ85" s="2672"/>
      <c r="GR85" s="2672"/>
      <c r="GS85" s="2672"/>
      <c r="GT85" s="2672"/>
      <c r="GU85" s="2672"/>
      <c r="GV85" s="2672"/>
      <c r="GW85" s="2672"/>
    </row>
    <row r="86" spans="1:205" s="2714" customFormat="1" ht="17.399999999999999">
      <c r="A86" s="2672"/>
      <c r="B86" s="1525">
        <f t="shared" si="10"/>
        <v>82</v>
      </c>
      <c r="C86" s="3711"/>
      <c r="D86" s="2673"/>
      <c r="E86" s="3712"/>
      <c r="F86" s="2710"/>
      <c r="G86" s="2711"/>
      <c r="H86" s="2711"/>
      <c r="I86" s="2711"/>
      <c r="J86" s="2711"/>
      <c r="K86" s="2711"/>
      <c r="L86" s="2711"/>
      <c r="M86" s="2711"/>
      <c r="N86" s="2711"/>
      <c r="O86" s="2711"/>
      <c r="P86" s="2711"/>
      <c r="Q86" s="2711"/>
      <c r="R86" s="2711"/>
      <c r="S86" s="2711"/>
      <c r="T86" s="2711"/>
      <c r="U86" s="2711"/>
      <c r="V86" s="2711"/>
      <c r="W86" s="2711"/>
      <c r="X86" s="2711"/>
      <c r="Y86" s="2711"/>
      <c r="Z86" s="2711"/>
      <c r="AA86" s="2711"/>
      <c r="AB86" s="2711"/>
      <c r="AC86" s="2711"/>
      <c r="AD86" s="2711" t="s">
        <v>160</v>
      </c>
      <c r="AE86" s="2711"/>
      <c r="AF86" s="2712"/>
      <c r="AG86" s="2713">
        <f t="shared" si="11"/>
        <v>0</v>
      </c>
      <c r="AH86" s="2672"/>
      <c r="AI86" s="2672"/>
      <c r="AJ86" s="2672"/>
      <c r="AK86" s="2672"/>
      <c r="AL86" s="2672"/>
      <c r="AM86" s="2672"/>
      <c r="AN86" s="2672"/>
      <c r="AO86" s="2672"/>
      <c r="AP86" s="2672"/>
      <c r="AQ86" s="2672"/>
      <c r="AR86" s="2672"/>
      <c r="AS86" s="2672"/>
      <c r="AT86" s="2672"/>
      <c r="AU86" s="2672"/>
      <c r="AV86" s="2672"/>
      <c r="AW86" s="2672"/>
      <c r="AX86" s="2672"/>
      <c r="AY86" s="2672"/>
      <c r="AZ86" s="2672"/>
      <c r="BA86" s="2672"/>
      <c r="BB86" s="2672"/>
      <c r="BC86" s="2672"/>
      <c r="BD86" s="2672"/>
      <c r="BE86" s="2672"/>
      <c r="BF86" s="2672"/>
      <c r="BG86" s="2672"/>
      <c r="BH86" s="2672"/>
      <c r="BI86" s="2672"/>
      <c r="BJ86" s="2672"/>
      <c r="BK86" s="2672"/>
      <c r="BL86" s="2672"/>
      <c r="BM86" s="2672"/>
      <c r="BN86" s="2672"/>
      <c r="BO86" s="2672"/>
      <c r="BP86" s="2672"/>
      <c r="BQ86" s="2672"/>
      <c r="BR86" s="2672"/>
      <c r="BS86" s="2672"/>
      <c r="BT86" s="2672"/>
      <c r="BU86" s="2672"/>
      <c r="BV86" s="2672"/>
      <c r="BW86" s="2672"/>
      <c r="BX86" s="2672"/>
      <c r="BY86" s="2672"/>
      <c r="BZ86" s="2672"/>
      <c r="CA86" s="2672"/>
      <c r="CB86" s="2672"/>
      <c r="CC86" s="2672"/>
      <c r="CD86" s="2672"/>
      <c r="CE86" s="2672"/>
      <c r="CF86" s="2672"/>
      <c r="CG86" s="2672"/>
      <c r="CH86" s="2672"/>
      <c r="CI86" s="2672"/>
      <c r="CJ86" s="2672"/>
      <c r="CK86" s="2672"/>
      <c r="CL86" s="2672"/>
      <c r="CM86" s="2672"/>
      <c r="CN86" s="2672"/>
      <c r="CO86" s="2672"/>
      <c r="CP86" s="2672"/>
      <c r="CQ86" s="2672"/>
      <c r="CR86" s="2672"/>
      <c r="CS86" s="2672"/>
      <c r="CT86" s="2672"/>
      <c r="CU86" s="2672"/>
      <c r="CV86" s="2672"/>
      <c r="CW86" s="2672"/>
      <c r="CX86" s="2672"/>
      <c r="CY86" s="2672"/>
      <c r="CZ86" s="2672"/>
      <c r="DA86" s="2672"/>
      <c r="DB86" s="2672"/>
      <c r="DC86" s="2672"/>
      <c r="DD86" s="2672"/>
      <c r="DE86" s="2672"/>
      <c r="DF86" s="2672"/>
      <c r="DG86" s="2672"/>
      <c r="DH86" s="2672"/>
      <c r="DI86" s="2672"/>
      <c r="DJ86" s="2672"/>
      <c r="DK86" s="2672"/>
      <c r="DL86" s="2672"/>
      <c r="DM86" s="2672"/>
      <c r="DN86" s="2672"/>
      <c r="DO86" s="2672"/>
      <c r="DP86" s="2672"/>
      <c r="DQ86" s="2672"/>
      <c r="DR86" s="2672"/>
      <c r="DS86" s="2672"/>
      <c r="DT86" s="2672"/>
      <c r="DU86" s="2672"/>
      <c r="DV86" s="2672"/>
      <c r="DW86" s="2672"/>
      <c r="DX86" s="2672"/>
      <c r="DY86" s="2672"/>
      <c r="DZ86" s="2672"/>
      <c r="EA86" s="2672"/>
      <c r="EB86" s="2672"/>
      <c r="EC86" s="2672"/>
      <c r="ED86" s="2672"/>
      <c r="EE86" s="2672"/>
      <c r="EF86" s="2672"/>
      <c r="EG86" s="2672"/>
      <c r="EH86" s="2672"/>
      <c r="EI86" s="2672"/>
      <c r="EJ86" s="2672"/>
      <c r="EK86" s="2672"/>
      <c r="EL86" s="2672"/>
      <c r="EM86" s="2672"/>
      <c r="EN86" s="2672"/>
      <c r="EO86" s="2672"/>
      <c r="EP86" s="2672"/>
      <c r="EQ86" s="2672"/>
      <c r="ER86" s="2672"/>
      <c r="ES86" s="2672"/>
      <c r="ET86" s="2672"/>
      <c r="EU86" s="2672"/>
      <c r="EV86" s="2672"/>
      <c r="EW86" s="2672"/>
      <c r="EX86" s="2672"/>
      <c r="EY86" s="2672"/>
      <c r="EZ86" s="2672"/>
      <c r="FA86" s="2672"/>
      <c r="FB86" s="2672"/>
      <c r="FC86" s="2672"/>
      <c r="FD86" s="2672"/>
      <c r="FE86" s="2672"/>
      <c r="FF86" s="2672"/>
      <c r="FG86" s="2672"/>
      <c r="FH86" s="2672"/>
      <c r="FI86" s="2672"/>
      <c r="FJ86" s="2672"/>
      <c r="FK86" s="2672"/>
      <c r="FL86" s="2672"/>
      <c r="FM86" s="2672"/>
      <c r="FN86" s="2672"/>
      <c r="FO86" s="2672"/>
      <c r="FP86" s="2672"/>
      <c r="FQ86" s="2672"/>
      <c r="FR86" s="2672"/>
      <c r="FS86" s="2672"/>
      <c r="FT86" s="2672"/>
      <c r="FU86" s="2672"/>
      <c r="FV86" s="2672"/>
      <c r="FW86" s="2672"/>
      <c r="FX86" s="2672"/>
      <c r="FY86" s="2672"/>
      <c r="FZ86" s="2672"/>
      <c r="GA86" s="2672"/>
      <c r="GB86" s="2672"/>
      <c r="GC86" s="2672"/>
      <c r="GD86" s="2672"/>
      <c r="GE86" s="2672"/>
      <c r="GF86" s="2672"/>
      <c r="GG86" s="2672"/>
      <c r="GH86" s="2672"/>
      <c r="GI86" s="2672"/>
      <c r="GJ86" s="2672"/>
      <c r="GK86" s="2672"/>
      <c r="GL86" s="2672"/>
      <c r="GM86" s="2672"/>
      <c r="GN86" s="2672"/>
      <c r="GO86" s="2672"/>
      <c r="GP86" s="2672"/>
      <c r="GQ86" s="2672"/>
      <c r="GR86" s="2672"/>
      <c r="GS86" s="2672"/>
      <c r="GT86" s="2672"/>
      <c r="GU86" s="2672"/>
      <c r="GV86" s="2672"/>
      <c r="GW86" s="2672"/>
    </row>
    <row r="87" spans="1:205" s="2714" customFormat="1" ht="17.399999999999999">
      <c r="A87" s="2672"/>
      <c r="B87" s="1525">
        <f t="shared" si="10"/>
        <v>83</v>
      </c>
      <c r="C87" s="3713"/>
      <c r="D87" s="2673"/>
      <c r="E87" s="3712"/>
      <c r="F87" s="2710"/>
      <c r="G87" s="2711"/>
      <c r="H87" s="2711"/>
      <c r="I87" s="2711"/>
      <c r="J87" s="2711"/>
      <c r="K87" s="2711"/>
      <c r="L87" s="2711"/>
      <c r="M87" s="2711"/>
      <c r="N87" s="2711"/>
      <c r="O87" s="2711"/>
      <c r="P87" s="2711"/>
      <c r="Q87" s="2711"/>
      <c r="R87" s="2711"/>
      <c r="S87" s="2711"/>
      <c r="T87" s="2711"/>
      <c r="U87" s="2711"/>
      <c r="V87" s="2711"/>
      <c r="W87" s="2711"/>
      <c r="X87" s="2711"/>
      <c r="Y87" s="2711"/>
      <c r="Z87" s="2711"/>
      <c r="AA87" s="2711"/>
      <c r="AB87" s="2711"/>
      <c r="AC87" s="2711"/>
      <c r="AD87" s="2711" t="s">
        <v>160</v>
      </c>
      <c r="AE87" s="2711"/>
      <c r="AF87" s="2712"/>
      <c r="AG87" s="2713">
        <f t="shared" si="11"/>
        <v>0</v>
      </c>
      <c r="AH87" s="2672"/>
      <c r="AI87" s="2672"/>
      <c r="AJ87" s="2672"/>
      <c r="AK87" s="2672"/>
      <c r="AL87" s="2672"/>
      <c r="AM87" s="2672"/>
      <c r="AN87" s="2672"/>
      <c r="AO87" s="2672"/>
      <c r="AP87" s="2672"/>
      <c r="AQ87" s="2672"/>
      <c r="AR87" s="2672"/>
      <c r="AS87" s="2672"/>
      <c r="AT87" s="2672"/>
      <c r="AU87" s="2672"/>
      <c r="AV87" s="2672"/>
      <c r="AW87" s="2672"/>
      <c r="AX87" s="2672"/>
      <c r="AY87" s="2672"/>
      <c r="AZ87" s="2672"/>
      <c r="BA87" s="2672"/>
      <c r="BB87" s="2672"/>
      <c r="BC87" s="2672"/>
      <c r="BD87" s="2672"/>
      <c r="BE87" s="2672"/>
      <c r="BF87" s="2672"/>
      <c r="BG87" s="2672"/>
      <c r="BH87" s="2672"/>
      <c r="BI87" s="2672"/>
      <c r="BJ87" s="2672"/>
      <c r="BK87" s="2672"/>
      <c r="BL87" s="2672"/>
      <c r="BM87" s="2672"/>
      <c r="BN87" s="2672"/>
      <c r="BO87" s="2672"/>
      <c r="BP87" s="2672"/>
      <c r="BQ87" s="2672"/>
      <c r="BR87" s="2672"/>
      <c r="BS87" s="2672"/>
      <c r="BT87" s="2672"/>
      <c r="BU87" s="2672"/>
      <c r="BV87" s="2672"/>
      <c r="BW87" s="2672"/>
      <c r="BX87" s="2672"/>
      <c r="BY87" s="2672"/>
      <c r="BZ87" s="2672"/>
      <c r="CA87" s="2672"/>
      <c r="CB87" s="2672"/>
      <c r="CC87" s="2672"/>
      <c r="CD87" s="2672"/>
      <c r="CE87" s="2672"/>
      <c r="CF87" s="2672"/>
      <c r="CG87" s="2672"/>
      <c r="CH87" s="2672"/>
      <c r="CI87" s="2672"/>
      <c r="CJ87" s="2672"/>
      <c r="CK87" s="2672"/>
      <c r="CL87" s="2672"/>
      <c r="CM87" s="2672"/>
      <c r="CN87" s="2672"/>
      <c r="CO87" s="2672"/>
      <c r="CP87" s="2672"/>
      <c r="CQ87" s="2672"/>
      <c r="CR87" s="2672"/>
      <c r="CS87" s="2672"/>
      <c r="CT87" s="2672"/>
      <c r="CU87" s="2672"/>
      <c r="CV87" s="2672"/>
      <c r="CW87" s="2672"/>
      <c r="CX87" s="2672"/>
      <c r="CY87" s="2672"/>
      <c r="CZ87" s="2672"/>
      <c r="DA87" s="2672"/>
      <c r="DB87" s="2672"/>
      <c r="DC87" s="2672"/>
      <c r="DD87" s="2672"/>
      <c r="DE87" s="2672"/>
      <c r="DF87" s="2672"/>
      <c r="DG87" s="2672"/>
      <c r="DH87" s="2672"/>
      <c r="DI87" s="2672"/>
      <c r="DJ87" s="2672"/>
      <c r="DK87" s="2672"/>
      <c r="DL87" s="2672"/>
      <c r="DM87" s="2672"/>
      <c r="DN87" s="2672"/>
      <c r="DO87" s="2672"/>
      <c r="DP87" s="2672"/>
      <c r="DQ87" s="2672"/>
      <c r="DR87" s="2672"/>
      <c r="DS87" s="2672"/>
      <c r="DT87" s="2672"/>
      <c r="DU87" s="2672"/>
      <c r="DV87" s="2672"/>
      <c r="DW87" s="2672"/>
      <c r="DX87" s="2672"/>
      <c r="DY87" s="2672"/>
      <c r="DZ87" s="2672"/>
      <c r="EA87" s="2672"/>
      <c r="EB87" s="2672"/>
      <c r="EC87" s="2672"/>
      <c r="ED87" s="2672"/>
      <c r="EE87" s="2672"/>
      <c r="EF87" s="2672"/>
      <c r="EG87" s="2672"/>
      <c r="EH87" s="2672"/>
      <c r="EI87" s="2672"/>
      <c r="EJ87" s="2672"/>
      <c r="EK87" s="2672"/>
      <c r="EL87" s="2672"/>
      <c r="EM87" s="2672"/>
      <c r="EN87" s="2672"/>
      <c r="EO87" s="2672"/>
      <c r="EP87" s="2672"/>
      <c r="EQ87" s="2672"/>
      <c r="ER87" s="2672"/>
      <c r="ES87" s="2672"/>
      <c r="ET87" s="2672"/>
      <c r="EU87" s="2672"/>
      <c r="EV87" s="2672"/>
      <c r="EW87" s="2672"/>
      <c r="EX87" s="2672"/>
      <c r="EY87" s="2672"/>
      <c r="EZ87" s="2672"/>
      <c r="FA87" s="2672"/>
      <c r="FB87" s="2672"/>
      <c r="FC87" s="2672"/>
      <c r="FD87" s="2672"/>
      <c r="FE87" s="2672"/>
      <c r="FF87" s="2672"/>
      <c r="FG87" s="2672"/>
      <c r="FH87" s="2672"/>
      <c r="FI87" s="2672"/>
      <c r="FJ87" s="2672"/>
      <c r="FK87" s="2672"/>
      <c r="FL87" s="2672"/>
      <c r="FM87" s="2672"/>
      <c r="FN87" s="2672"/>
      <c r="FO87" s="2672"/>
      <c r="FP87" s="2672"/>
      <c r="FQ87" s="2672"/>
      <c r="FR87" s="2672"/>
      <c r="FS87" s="2672"/>
      <c r="FT87" s="2672"/>
      <c r="FU87" s="2672"/>
      <c r="FV87" s="2672"/>
      <c r="FW87" s="2672"/>
      <c r="FX87" s="2672"/>
      <c r="FY87" s="2672"/>
      <c r="FZ87" s="2672"/>
      <c r="GA87" s="2672"/>
      <c r="GB87" s="2672"/>
      <c r="GC87" s="2672"/>
      <c r="GD87" s="2672"/>
      <c r="GE87" s="2672"/>
      <c r="GF87" s="2672"/>
      <c r="GG87" s="2672"/>
      <c r="GH87" s="2672"/>
      <c r="GI87" s="2672"/>
      <c r="GJ87" s="2672"/>
      <c r="GK87" s="2672"/>
      <c r="GL87" s="2672"/>
      <c r="GM87" s="2672"/>
      <c r="GN87" s="2672"/>
      <c r="GO87" s="2672"/>
      <c r="GP87" s="2672"/>
      <c r="GQ87" s="2672"/>
      <c r="GR87" s="2672"/>
      <c r="GS87" s="2672"/>
      <c r="GT87" s="2672"/>
      <c r="GU87" s="2672"/>
      <c r="GV87" s="2672"/>
      <c r="GW87" s="2672"/>
    </row>
    <row r="88" spans="1:205" s="2714" customFormat="1" ht="17.399999999999999">
      <c r="A88" s="2672"/>
      <c r="B88" s="1525">
        <f t="shared" si="10"/>
        <v>84</v>
      </c>
      <c r="C88" s="3713"/>
      <c r="D88" s="2673"/>
      <c r="E88" s="3712"/>
      <c r="F88" s="2710"/>
      <c r="G88" s="2711"/>
      <c r="H88" s="2711"/>
      <c r="I88" s="2711"/>
      <c r="J88" s="2711"/>
      <c r="K88" s="2711"/>
      <c r="L88" s="2711"/>
      <c r="M88" s="2711"/>
      <c r="N88" s="2711"/>
      <c r="O88" s="2711"/>
      <c r="P88" s="2711"/>
      <c r="Q88" s="2711"/>
      <c r="R88" s="2711"/>
      <c r="S88" s="2711"/>
      <c r="T88" s="2711"/>
      <c r="U88" s="2711"/>
      <c r="V88" s="2711"/>
      <c r="W88" s="2711"/>
      <c r="X88" s="2711"/>
      <c r="Y88" s="2711"/>
      <c r="Z88" s="2711"/>
      <c r="AA88" s="2711"/>
      <c r="AB88" s="2711"/>
      <c r="AC88" s="2711"/>
      <c r="AD88" s="2711" t="s">
        <v>160</v>
      </c>
      <c r="AE88" s="2711"/>
      <c r="AF88" s="2712"/>
      <c r="AG88" s="2713">
        <f t="shared" si="11"/>
        <v>0</v>
      </c>
      <c r="AH88" s="2672"/>
      <c r="AI88" s="2672"/>
      <c r="AJ88" s="2672"/>
      <c r="AK88" s="2672"/>
      <c r="AL88" s="2672"/>
      <c r="AM88" s="2672"/>
      <c r="AN88" s="2672"/>
      <c r="AO88" s="2672"/>
      <c r="AP88" s="2672"/>
      <c r="AQ88" s="2672"/>
      <c r="AR88" s="2672"/>
      <c r="AS88" s="2672"/>
      <c r="AT88" s="2672"/>
      <c r="AU88" s="2672"/>
      <c r="AV88" s="2672"/>
      <c r="AW88" s="2672"/>
      <c r="AX88" s="2672"/>
      <c r="AY88" s="2672"/>
      <c r="AZ88" s="2672"/>
      <c r="BA88" s="2672"/>
      <c r="BB88" s="2672"/>
      <c r="BC88" s="2672"/>
      <c r="BD88" s="2672"/>
      <c r="BE88" s="2672"/>
      <c r="BF88" s="2672"/>
      <c r="BG88" s="2672"/>
      <c r="BH88" s="2672"/>
      <c r="BI88" s="2672"/>
      <c r="BJ88" s="2672"/>
      <c r="BK88" s="2672"/>
      <c r="BL88" s="2672"/>
      <c r="BM88" s="2672"/>
      <c r="BN88" s="2672"/>
      <c r="BO88" s="2672"/>
      <c r="BP88" s="2672"/>
      <c r="BQ88" s="2672"/>
      <c r="BR88" s="2672"/>
      <c r="BS88" s="2672"/>
      <c r="BT88" s="2672"/>
      <c r="BU88" s="2672"/>
      <c r="BV88" s="2672"/>
      <c r="BW88" s="2672"/>
      <c r="BX88" s="2672"/>
      <c r="BY88" s="2672"/>
      <c r="BZ88" s="2672"/>
      <c r="CA88" s="2672"/>
      <c r="CB88" s="2672"/>
      <c r="CC88" s="2672"/>
      <c r="CD88" s="2672"/>
      <c r="CE88" s="2672"/>
      <c r="CF88" s="2672"/>
      <c r="CG88" s="2672"/>
      <c r="CH88" s="2672"/>
      <c r="CI88" s="2672"/>
      <c r="CJ88" s="2672"/>
      <c r="CK88" s="2672"/>
      <c r="CL88" s="2672"/>
      <c r="CM88" s="2672"/>
      <c r="CN88" s="2672"/>
      <c r="CO88" s="2672"/>
      <c r="CP88" s="2672"/>
      <c r="CQ88" s="2672"/>
      <c r="CR88" s="2672"/>
      <c r="CS88" s="2672"/>
      <c r="CT88" s="2672"/>
      <c r="CU88" s="2672"/>
      <c r="CV88" s="2672"/>
      <c r="CW88" s="2672"/>
      <c r="CX88" s="2672"/>
      <c r="CY88" s="2672"/>
      <c r="CZ88" s="2672"/>
      <c r="DA88" s="2672"/>
      <c r="DB88" s="2672"/>
      <c r="DC88" s="2672"/>
      <c r="DD88" s="2672"/>
      <c r="DE88" s="2672"/>
      <c r="DF88" s="2672"/>
      <c r="DG88" s="2672"/>
      <c r="DH88" s="2672"/>
      <c r="DI88" s="2672"/>
      <c r="DJ88" s="2672"/>
      <c r="DK88" s="2672"/>
      <c r="DL88" s="2672"/>
      <c r="DM88" s="2672"/>
      <c r="DN88" s="2672"/>
      <c r="DO88" s="2672"/>
      <c r="DP88" s="2672"/>
      <c r="DQ88" s="2672"/>
      <c r="DR88" s="2672"/>
      <c r="DS88" s="2672"/>
      <c r="DT88" s="2672"/>
      <c r="DU88" s="2672"/>
      <c r="DV88" s="2672"/>
      <c r="DW88" s="2672"/>
      <c r="DX88" s="2672"/>
      <c r="DY88" s="2672"/>
      <c r="DZ88" s="2672"/>
      <c r="EA88" s="2672"/>
      <c r="EB88" s="2672"/>
      <c r="EC88" s="2672"/>
      <c r="ED88" s="2672"/>
      <c r="EE88" s="2672"/>
      <c r="EF88" s="2672"/>
      <c r="EG88" s="2672"/>
      <c r="EH88" s="2672"/>
      <c r="EI88" s="2672"/>
      <c r="EJ88" s="2672"/>
      <c r="EK88" s="2672"/>
      <c r="EL88" s="2672"/>
      <c r="EM88" s="2672"/>
      <c r="EN88" s="2672"/>
      <c r="EO88" s="2672"/>
      <c r="EP88" s="2672"/>
      <c r="EQ88" s="2672"/>
      <c r="ER88" s="2672"/>
      <c r="ES88" s="2672"/>
      <c r="ET88" s="2672"/>
      <c r="EU88" s="2672"/>
      <c r="EV88" s="2672"/>
      <c r="EW88" s="2672"/>
      <c r="EX88" s="2672"/>
      <c r="EY88" s="2672"/>
      <c r="EZ88" s="2672"/>
      <c r="FA88" s="2672"/>
      <c r="FB88" s="2672"/>
      <c r="FC88" s="2672"/>
      <c r="FD88" s="2672"/>
      <c r="FE88" s="2672"/>
      <c r="FF88" s="2672"/>
      <c r="FG88" s="2672"/>
      <c r="FH88" s="2672"/>
      <c r="FI88" s="2672"/>
      <c r="FJ88" s="2672"/>
      <c r="FK88" s="2672"/>
      <c r="FL88" s="2672"/>
      <c r="FM88" s="2672"/>
      <c r="FN88" s="2672"/>
      <c r="FO88" s="2672"/>
      <c r="FP88" s="2672"/>
      <c r="FQ88" s="2672"/>
      <c r="FR88" s="2672"/>
      <c r="FS88" s="2672"/>
      <c r="FT88" s="2672"/>
      <c r="FU88" s="2672"/>
      <c r="FV88" s="2672"/>
      <c r="FW88" s="2672"/>
      <c r="FX88" s="2672"/>
      <c r="FY88" s="2672"/>
      <c r="FZ88" s="2672"/>
      <c r="GA88" s="2672"/>
      <c r="GB88" s="2672"/>
      <c r="GC88" s="2672"/>
      <c r="GD88" s="2672"/>
      <c r="GE88" s="2672"/>
      <c r="GF88" s="2672"/>
      <c r="GG88" s="2672"/>
      <c r="GH88" s="2672"/>
      <c r="GI88" s="2672"/>
      <c r="GJ88" s="2672"/>
      <c r="GK88" s="2672"/>
      <c r="GL88" s="2672"/>
      <c r="GM88" s="2672"/>
      <c r="GN88" s="2672"/>
      <c r="GO88" s="2672"/>
      <c r="GP88" s="2672"/>
      <c r="GQ88" s="2672"/>
      <c r="GR88" s="2672"/>
      <c r="GS88" s="2672"/>
      <c r="GT88" s="2672"/>
      <c r="GU88" s="2672"/>
      <c r="GV88" s="2672"/>
      <c r="GW88" s="2672"/>
    </row>
    <row r="89" spans="1:205" s="2714" customFormat="1" ht="17.399999999999999">
      <c r="A89" s="2672"/>
      <c r="B89" s="1525">
        <f t="shared" si="10"/>
        <v>85</v>
      </c>
      <c r="C89" s="3713"/>
      <c r="D89" s="2673"/>
      <c r="E89" s="3712"/>
      <c r="F89" s="2710"/>
      <c r="G89" s="2711"/>
      <c r="H89" s="2711"/>
      <c r="I89" s="2711"/>
      <c r="J89" s="2711"/>
      <c r="K89" s="2711"/>
      <c r="L89" s="2711"/>
      <c r="M89" s="2711"/>
      <c r="N89" s="2711"/>
      <c r="O89" s="2711"/>
      <c r="P89" s="2711"/>
      <c r="Q89" s="2711"/>
      <c r="R89" s="2711"/>
      <c r="S89" s="2711"/>
      <c r="T89" s="2711"/>
      <c r="U89" s="2711"/>
      <c r="V89" s="2711"/>
      <c r="W89" s="2711"/>
      <c r="X89" s="2711"/>
      <c r="Y89" s="2711"/>
      <c r="Z89" s="2711"/>
      <c r="AA89" s="2711"/>
      <c r="AB89" s="2711"/>
      <c r="AC89" s="2711"/>
      <c r="AD89" s="2711" t="s">
        <v>160</v>
      </c>
      <c r="AE89" s="2711"/>
      <c r="AF89" s="2712"/>
      <c r="AG89" s="2713">
        <f t="shared" si="11"/>
        <v>0</v>
      </c>
      <c r="AH89" s="2672"/>
      <c r="AI89" s="2672"/>
      <c r="AJ89" s="2672"/>
      <c r="AK89" s="2672"/>
      <c r="AL89" s="2672"/>
      <c r="AM89" s="2672"/>
      <c r="AN89" s="2672"/>
      <c r="AO89" s="2672"/>
      <c r="AP89" s="2672"/>
      <c r="AQ89" s="2672"/>
      <c r="AR89" s="2672"/>
      <c r="AS89" s="2672"/>
      <c r="AT89" s="2672"/>
      <c r="AU89" s="2672"/>
      <c r="AV89" s="2672"/>
      <c r="AW89" s="2672"/>
      <c r="AX89" s="2672"/>
      <c r="AY89" s="2672"/>
      <c r="AZ89" s="2672"/>
      <c r="BA89" s="2672"/>
      <c r="BB89" s="2672"/>
      <c r="BC89" s="2672"/>
      <c r="BD89" s="2672"/>
      <c r="BE89" s="2672"/>
      <c r="BF89" s="2672"/>
      <c r="BG89" s="2672"/>
      <c r="BH89" s="2672"/>
      <c r="BI89" s="2672"/>
      <c r="BJ89" s="2672"/>
      <c r="BK89" s="2672"/>
      <c r="BL89" s="2672"/>
      <c r="BM89" s="2672"/>
      <c r="BN89" s="2672"/>
      <c r="BO89" s="2672"/>
      <c r="BP89" s="2672"/>
      <c r="BQ89" s="2672"/>
      <c r="BR89" s="2672"/>
      <c r="BS89" s="2672"/>
      <c r="BT89" s="2672"/>
      <c r="BU89" s="2672"/>
      <c r="BV89" s="2672"/>
      <c r="BW89" s="2672"/>
      <c r="BX89" s="2672"/>
      <c r="BY89" s="2672"/>
      <c r="BZ89" s="2672"/>
      <c r="CA89" s="2672"/>
      <c r="CB89" s="2672"/>
      <c r="CC89" s="2672"/>
      <c r="CD89" s="2672"/>
      <c r="CE89" s="2672"/>
      <c r="CF89" s="2672"/>
      <c r="CG89" s="2672"/>
      <c r="CH89" s="2672"/>
      <c r="CI89" s="2672"/>
      <c r="CJ89" s="2672"/>
      <c r="CK89" s="2672"/>
      <c r="CL89" s="2672"/>
      <c r="CM89" s="2672"/>
      <c r="CN89" s="2672"/>
      <c r="CO89" s="2672"/>
      <c r="CP89" s="2672"/>
      <c r="CQ89" s="2672"/>
      <c r="CR89" s="2672"/>
      <c r="CS89" s="2672"/>
      <c r="CT89" s="2672"/>
      <c r="CU89" s="2672"/>
      <c r="CV89" s="2672"/>
      <c r="CW89" s="2672"/>
      <c r="CX89" s="2672"/>
      <c r="CY89" s="2672"/>
      <c r="CZ89" s="2672"/>
      <c r="DA89" s="2672"/>
      <c r="DB89" s="2672"/>
      <c r="DC89" s="2672"/>
      <c r="DD89" s="2672"/>
      <c r="DE89" s="2672"/>
      <c r="DF89" s="2672"/>
      <c r="DG89" s="2672"/>
      <c r="DH89" s="2672"/>
      <c r="DI89" s="2672"/>
      <c r="DJ89" s="2672"/>
      <c r="DK89" s="2672"/>
      <c r="DL89" s="2672"/>
      <c r="DM89" s="2672"/>
      <c r="DN89" s="2672"/>
      <c r="DO89" s="2672"/>
      <c r="DP89" s="2672"/>
      <c r="DQ89" s="2672"/>
      <c r="DR89" s="2672"/>
      <c r="DS89" s="2672"/>
      <c r="DT89" s="2672"/>
      <c r="DU89" s="2672"/>
      <c r="DV89" s="2672"/>
      <c r="DW89" s="2672"/>
      <c r="DX89" s="2672"/>
      <c r="DY89" s="2672"/>
      <c r="DZ89" s="2672"/>
      <c r="EA89" s="2672"/>
      <c r="EB89" s="2672"/>
      <c r="EC89" s="2672"/>
      <c r="ED89" s="2672"/>
      <c r="EE89" s="2672"/>
      <c r="EF89" s="2672"/>
      <c r="EG89" s="2672"/>
      <c r="EH89" s="2672"/>
      <c r="EI89" s="2672"/>
      <c r="EJ89" s="2672"/>
      <c r="EK89" s="2672"/>
      <c r="EL89" s="2672"/>
      <c r="EM89" s="2672"/>
      <c r="EN89" s="2672"/>
      <c r="EO89" s="2672"/>
      <c r="EP89" s="2672"/>
      <c r="EQ89" s="2672"/>
      <c r="ER89" s="2672"/>
      <c r="ES89" s="2672"/>
      <c r="ET89" s="2672"/>
      <c r="EU89" s="2672"/>
      <c r="EV89" s="2672"/>
      <c r="EW89" s="2672"/>
      <c r="EX89" s="2672"/>
      <c r="EY89" s="2672"/>
      <c r="EZ89" s="2672"/>
      <c r="FA89" s="2672"/>
      <c r="FB89" s="2672"/>
      <c r="FC89" s="2672"/>
      <c r="FD89" s="2672"/>
      <c r="FE89" s="2672"/>
      <c r="FF89" s="2672"/>
      <c r="FG89" s="2672"/>
      <c r="FH89" s="2672"/>
      <c r="FI89" s="2672"/>
      <c r="FJ89" s="2672"/>
      <c r="FK89" s="2672"/>
      <c r="FL89" s="2672"/>
      <c r="FM89" s="2672"/>
      <c r="FN89" s="2672"/>
      <c r="FO89" s="2672"/>
      <c r="FP89" s="2672"/>
      <c r="FQ89" s="2672"/>
      <c r="FR89" s="2672"/>
      <c r="FS89" s="2672"/>
      <c r="FT89" s="2672"/>
      <c r="FU89" s="2672"/>
      <c r="FV89" s="2672"/>
      <c r="FW89" s="2672"/>
      <c r="FX89" s="2672"/>
      <c r="FY89" s="2672"/>
      <c r="FZ89" s="2672"/>
      <c r="GA89" s="2672"/>
      <c r="GB89" s="2672"/>
      <c r="GC89" s="2672"/>
      <c r="GD89" s="2672"/>
      <c r="GE89" s="2672"/>
      <c r="GF89" s="2672"/>
      <c r="GG89" s="2672"/>
      <c r="GH89" s="2672"/>
      <c r="GI89" s="2672"/>
      <c r="GJ89" s="2672"/>
      <c r="GK89" s="2672"/>
      <c r="GL89" s="2672"/>
      <c r="GM89" s="2672"/>
      <c r="GN89" s="2672"/>
      <c r="GO89" s="2672"/>
      <c r="GP89" s="2672"/>
      <c r="GQ89" s="2672"/>
      <c r="GR89" s="2672"/>
      <c r="GS89" s="2672"/>
      <c r="GT89" s="2672"/>
      <c r="GU89" s="2672"/>
      <c r="GV89" s="2672"/>
      <c r="GW89" s="2672"/>
    </row>
    <row r="90" spans="1:205" s="2714" customFormat="1" ht="17.399999999999999">
      <c r="A90" s="2672"/>
      <c r="B90" s="1525">
        <f t="shared" si="10"/>
        <v>86</v>
      </c>
      <c r="C90" s="3713"/>
      <c r="D90" s="2673"/>
      <c r="E90" s="3712"/>
      <c r="F90" s="2710"/>
      <c r="G90" s="2711"/>
      <c r="H90" s="2711"/>
      <c r="I90" s="2711"/>
      <c r="J90" s="2711"/>
      <c r="K90" s="2711"/>
      <c r="L90" s="2711"/>
      <c r="M90" s="2711"/>
      <c r="N90" s="2711"/>
      <c r="O90" s="2711"/>
      <c r="P90" s="2711"/>
      <c r="Q90" s="2711"/>
      <c r="R90" s="2711"/>
      <c r="S90" s="2711"/>
      <c r="T90" s="2711"/>
      <c r="U90" s="2711"/>
      <c r="V90" s="2711"/>
      <c r="W90" s="2711"/>
      <c r="X90" s="2711"/>
      <c r="Y90" s="2711"/>
      <c r="Z90" s="2711"/>
      <c r="AA90" s="2711"/>
      <c r="AB90" s="2711"/>
      <c r="AC90" s="2711"/>
      <c r="AD90" s="2711" t="s">
        <v>160</v>
      </c>
      <c r="AE90" s="2711"/>
      <c r="AF90" s="2712"/>
      <c r="AG90" s="2713">
        <f t="shared" si="11"/>
        <v>0</v>
      </c>
      <c r="AH90" s="2672"/>
      <c r="AI90" s="2672"/>
      <c r="AJ90" s="2672"/>
      <c r="AK90" s="2672"/>
      <c r="AL90" s="2672"/>
      <c r="AM90" s="2672"/>
      <c r="AN90" s="2672"/>
      <c r="AO90" s="2672"/>
      <c r="AP90" s="2672"/>
      <c r="AQ90" s="2672"/>
      <c r="AR90" s="2672"/>
      <c r="AS90" s="2672"/>
      <c r="AT90" s="2672"/>
      <c r="AU90" s="2672"/>
      <c r="AV90" s="2672"/>
      <c r="AW90" s="2672"/>
      <c r="AX90" s="2672"/>
      <c r="AY90" s="2672"/>
      <c r="AZ90" s="2672"/>
      <c r="BA90" s="2672"/>
      <c r="BB90" s="2672"/>
      <c r="BC90" s="2672"/>
      <c r="BD90" s="2672"/>
      <c r="BE90" s="2672"/>
      <c r="BF90" s="2672"/>
      <c r="BG90" s="2672"/>
      <c r="BH90" s="2672"/>
      <c r="BI90" s="2672"/>
      <c r="BJ90" s="2672"/>
      <c r="BK90" s="2672"/>
      <c r="BL90" s="2672"/>
      <c r="BM90" s="2672"/>
      <c r="BN90" s="2672"/>
      <c r="BO90" s="2672"/>
      <c r="BP90" s="2672"/>
      <c r="BQ90" s="2672"/>
      <c r="BR90" s="2672"/>
      <c r="BS90" s="2672"/>
      <c r="BT90" s="2672"/>
      <c r="BU90" s="2672"/>
      <c r="BV90" s="2672"/>
      <c r="BW90" s="2672"/>
      <c r="BX90" s="2672"/>
      <c r="BY90" s="2672"/>
      <c r="BZ90" s="2672"/>
      <c r="CA90" s="2672"/>
      <c r="CB90" s="2672"/>
      <c r="CC90" s="2672"/>
      <c r="CD90" s="2672"/>
      <c r="CE90" s="2672"/>
      <c r="CF90" s="2672"/>
      <c r="CG90" s="2672"/>
      <c r="CH90" s="2672"/>
      <c r="CI90" s="2672"/>
      <c r="CJ90" s="2672"/>
      <c r="CK90" s="2672"/>
      <c r="CL90" s="2672"/>
      <c r="CM90" s="2672"/>
      <c r="CN90" s="2672"/>
      <c r="CO90" s="2672"/>
      <c r="CP90" s="2672"/>
      <c r="CQ90" s="2672"/>
      <c r="CR90" s="2672"/>
      <c r="CS90" s="2672"/>
      <c r="CT90" s="2672"/>
      <c r="CU90" s="2672"/>
      <c r="CV90" s="2672"/>
      <c r="CW90" s="2672"/>
      <c r="CX90" s="2672"/>
      <c r="CY90" s="2672"/>
      <c r="CZ90" s="2672"/>
      <c r="DA90" s="2672"/>
      <c r="DB90" s="2672"/>
      <c r="DC90" s="2672"/>
      <c r="DD90" s="2672"/>
      <c r="DE90" s="2672"/>
      <c r="DF90" s="2672"/>
      <c r="DG90" s="2672"/>
      <c r="DH90" s="2672"/>
      <c r="DI90" s="2672"/>
      <c r="DJ90" s="2672"/>
      <c r="DK90" s="2672"/>
      <c r="DL90" s="2672"/>
      <c r="DM90" s="2672"/>
      <c r="DN90" s="2672"/>
      <c r="DO90" s="2672"/>
      <c r="DP90" s="2672"/>
      <c r="DQ90" s="2672"/>
      <c r="DR90" s="2672"/>
      <c r="DS90" s="2672"/>
      <c r="DT90" s="2672"/>
      <c r="DU90" s="2672"/>
      <c r="DV90" s="2672"/>
      <c r="DW90" s="2672"/>
      <c r="DX90" s="2672"/>
      <c r="DY90" s="2672"/>
      <c r="DZ90" s="2672"/>
      <c r="EA90" s="2672"/>
      <c r="EB90" s="2672"/>
      <c r="EC90" s="2672"/>
      <c r="ED90" s="2672"/>
      <c r="EE90" s="2672"/>
      <c r="EF90" s="2672"/>
      <c r="EG90" s="2672"/>
      <c r="EH90" s="2672"/>
      <c r="EI90" s="2672"/>
      <c r="EJ90" s="2672"/>
      <c r="EK90" s="2672"/>
      <c r="EL90" s="2672"/>
      <c r="EM90" s="2672"/>
      <c r="EN90" s="2672"/>
      <c r="EO90" s="2672"/>
      <c r="EP90" s="2672"/>
      <c r="EQ90" s="2672"/>
      <c r="ER90" s="2672"/>
      <c r="ES90" s="2672"/>
      <c r="ET90" s="2672"/>
      <c r="EU90" s="2672"/>
      <c r="EV90" s="2672"/>
      <c r="EW90" s="2672"/>
      <c r="EX90" s="2672"/>
      <c r="EY90" s="2672"/>
      <c r="EZ90" s="2672"/>
      <c r="FA90" s="2672"/>
      <c r="FB90" s="2672"/>
      <c r="FC90" s="2672"/>
      <c r="FD90" s="2672"/>
      <c r="FE90" s="2672"/>
      <c r="FF90" s="2672"/>
      <c r="FG90" s="2672"/>
      <c r="FH90" s="2672"/>
      <c r="FI90" s="2672"/>
      <c r="FJ90" s="2672"/>
      <c r="FK90" s="2672"/>
      <c r="FL90" s="2672"/>
      <c r="FM90" s="2672"/>
      <c r="FN90" s="2672"/>
      <c r="FO90" s="2672"/>
      <c r="FP90" s="2672"/>
      <c r="FQ90" s="2672"/>
      <c r="FR90" s="2672"/>
      <c r="FS90" s="2672"/>
      <c r="FT90" s="2672"/>
      <c r="FU90" s="2672"/>
      <c r="FV90" s="2672"/>
      <c r="FW90" s="2672"/>
      <c r="FX90" s="2672"/>
      <c r="FY90" s="2672"/>
      <c r="FZ90" s="2672"/>
      <c r="GA90" s="2672"/>
      <c r="GB90" s="2672"/>
      <c r="GC90" s="2672"/>
      <c r="GD90" s="2672"/>
      <c r="GE90" s="2672"/>
      <c r="GF90" s="2672"/>
      <c r="GG90" s="2672"/>
      <c r="GH90" s="2672"/>
      <c r="GI90" s="2672"/>
      <c r="GJ90" s="2672"/>
      <c r="GK90" s="2672"/>
      <c r="GL90" s="2672"/>
      <c r="GM90" s="2672"/>
      <c r="GN90" s="2672"/>
      <c r="GO90" s="2672"/>
      <c r="GP90" s="2672"/>
      <c r="GQ90" s="2672"/>
      <c r="GR90" s="2672"/>
      <c r="GS90" s="2672"/>
      <c r="GT90" s="2672"/>
      <c r="GU90" s="2672"/>
      <c r="GV90" s="2672"/>
      <c r="GW90" s="2672"/>
    </row>
    <row r="91" spans="1:205" s="2714" customFormat="1" ht="17.399999999999999">
      <c r="A91" s="2672"/>
      <c r="B91" s="1525">
        <f t="shared" si="10"/>
        <v>87</v>
      </c>
      <c r="C91" s="3714"/>
      <c r="D91" s="2673"/>
      <c r="E91" s="3715"/>
      <c r="F91" s="2715"/>
      <c r="G91" s="2716"/>
      <c r="H91" s="2716"/>
      <c r="I91" s="2716"/>
      <c r="J91" s="2716"/>
      <c r="K91" s="2716"/>
      <c r="L91" s="2716"/>
      <c r="M91" s="2716"/>
      <c r="N91" s="2716"/>
      <c r="O91" s="2716"/>
      <c r="P91" s="2716"/>
      <c r="Q91" s="2716"/>
      <c r="R91" s="2716"/>
      <c r="S91" s="2716"/>
      <c r="T91" s="2716"/>
      <c r="U91" s="2716"/>
      <c r="V91" s="2716"/>
      <c r="W91" s="2716"/>
      <c r="X91" s="2716"/>
      <c r="Y91" s="2716"/>
      <c r="Z91" s="2716"/>
      <c r="AA91" s="2716"/>
      <c r="AB91" s="2716"/>
      <c r="AC91" s="2716"/>
      <c r="AD91" s="2716" t="s">
        <v>160</v>
      </c>
      <c r="AE91" s="2716"/>
      <c r="AF91" s="2717"/>
      <c r="AG91" s="2713">
        <f t="shared" si="11"/>
        <v>0</v>
      </c>
      <c r="AH91" s="2672"/>
      <c r="AI91" s="2672"/>
      <c r="AJ91" s="2672"/>
      <c r="AK91" s="2672"/>
      <c r="AL91" s="2672"/>
      <c r="AM91" s="2672"/>
      <c r="AN91" s="2672"/>
      <c r="AO91" s="2672"/>
      <c r="AP91" s="2672"/>
      <c r="AQ91" s="2672"/>
      <c r="AR91" s="2672"/>
      <c r="AS91" s="2672"/>
      <c r="AT91" s="2672"/>
      <c r="AU91" s="2672"/>
      <c r="AV91" s="2672"/>
      <c r="AW91" s="2672"/>
      <c r="AX91" s="2672"/>
      <c r="AY91" s="2672"/>
      <c r="AZ91" s="2672"/>
      <c r="BA91" s="2672"/>
      <c r="BB91" s="2672"/>
      <c r="BC91" s="2672"/>
      <c r="BD91" s="2672"/>
      <c r="BE91" s="2672"/>
      <c r="BF91" s="2672"/>
      <c r="BG91" s="2672"/>
      <c r="BH91" s="2672"/>
      <c r="BI91" s="2672"/>
      <c r="BJ91" s="2672"/>
      <c r="BK91" s="2672"/>
      <c r="BL91" s="2672"/>
      <c r="BM91" s="2672"/>
      <c r="BN91" s="2672"/>
      <c r="BO91" s="2672"/>
      <c r="BP91" s="2672"/>
      <c r="BQ91" s="2672"/>
      <c r="BR91" s="2672"/>
      <c r="BS91" s="2672"/>
      <c r="BT91" s="2672"/>
      <c r="BU91" s="2672"/>
      <c r="BV91" s="2672"/>
      <c r="BW91" s="2672"/>
      <c r="BX91" s="2672"/>
      <c r="BY91" s="2672"/>
      <c r="BZ91" s="2672"/>
      <c r="CA91" s="2672"/>
      <c r="CB91" s="2672"/>
      <c r="CC91" s="2672"/>
      <c r="CD91" s="2672"/>
      <c r="CE91" s="2672"/>
      <c r="CF91" s="2672"/>
      <c r="CG91" s="2672"/>
      <c r="CH91" s="2672"/>
      <c r="CI91" s="2672"/>
      <c r="CJ91" s="2672"/>
      <c r="CK91" s="2672"/>
      <c r="CL91" s="2672"/>
      <c r="CM91" s="2672"/>
      <c r="CN91" s="2672"/>
      <c r="CO91" s="2672"/>
      <c r="CP91" s="2672"/>
      <c r="CQ91" s="2672"/>
      <c r="CR91" s="2672"/>
      <c r="CS91" s="2672"/>
      <c r="CT91" s="2672"/>
      <c r="CU91" s="2672"/>
      <c r="CV91" s="2672"/>
      <c r="CW91" s="2672"/>
      <c r="CX91" s="2672"/>
      <c r="CY91" s="2672"/>
      <c r="CZ91" s="2672"/>
      <c r="DA91" s="2672"/>
      <c r="DB91" s="2672"/>
      <c r="DC91" s="2672"/>
      <c r="DD91" s="2672"/>
      <c r="DE91" s="2672"/>
      <c r="DF91" s="2672"/>
      <c r="DG91" s="2672"/>
      <c r="DH91" s="2672"/>
      <c r="DI91" s="2672"/>
      <c r="DJ91" s="2672"/>
      <c r="DK91" s="2672"/>
      <c r="DL91" s="2672"/>
      <c r="DM91" s="2672"/>
      <c r="DN91" s="2672"/>
      <c r="DO91" s="2672"/>
      <c r="DP91" s="2672"/>
      <c r="DQ91" s="2672"/>
      <c r="DR91" s="2672"/>
      <c r="DS91" s="2672"/>
      <c r="DT91" s="2672"/>
      <c r="DU91" s="2672"/>
      <c r="DV91" s="2672"/>
      <c r="DW91" s="2672"/>
      <c r="DX91" s="2672"/>
      <c r="DY91" s="2672"/>
      <c r="DZ91" s="2672"/>
      <c r="EA91" s="2672"/>
      <c r="EB91" s="2672"/>
      <c r="EC91" s="2672"/>
      <c r="ED91" s="2672"/>
      <c r="EE91" s="2672"/>
      <c r="EF91" s="2672"/>
      <c r="EG91" s="2672"/>
      <c r="EH91" s="2672"/>
      <c r="EI91" s="2672"/>
      <c r="EJ91" s="2672"/>
      <c r="EK91" s="2672"/>
      <c r="EL91" s="2672"/>
      <c r="EM91" s="2672"/>
      <c r="EN91" s="2672"/>
      <c r="EO91" s="2672"/>
      <c r="EP91" s="2672"/>
      <c r="EQ91" s="2672"/>
      <c r="ER91" s="2672"/>
      <c r="ES91" s="2672"/>
      <c r="ET91" s="2672"/>
      <c r="EU91" s="2672"/>
      <c r="EV91" s="2672"/>
      <c r="EW91" s="2672"/>
      <c r="EX91" s="2672"/>
      <c r="EY91" s="2672"/>
      <c r="EZ91" s="2672"/>
      <c r="FA91" s="2672"/>
      <c r="FB91" s="2672"/>
      <c r="FC91" s="2672"/>
      <c r="FD91" s="2672"/>
      <c r="FE91" s="2672"/>
      <c r="FF91" s="2672"/>
      <c r="FG91" s="2672"/>
      <c r="FH91" s="2672"/>
      <c r="FI91" s="2672"/>
      <c r="FJ91" s="2672"/>
      <c r="FK91" s="2672"/>
      <c r="FL91" s="2672"/>
      <c r="FM91" s="2672"/>
      <c r="FN91" s="2672"/>
      <c r="FO91" s="2672"/>
      <c r="FP91" s="2672"/>
      <c r="FQ91" s="2672"/>
      <c r="FR91" s="2672"/>
      <c r="FS91" s="2672"/>
      <c r="FT91" s="2672"/>
      <c r="FU91" s="2672"/>
      <c r="FV91" s="2672"/>
      <c r="FW91" s="2672"/>
      <c r="FX91" s="2672"/>
      <c r="FY91" s="2672"/>
      <c r="FZ91" s="2672"/>
      <c r="GA91" s="2672"/>
      <c r="GB91" s="2672"/>
      <c r="GC91" s="2672"/>
      <c r="GD91" s="2672"/>
      <c r="GE91" s="2672"/>
      <c r="GF91" s="2672"/>
      <c r="GG91" s="2672"/>
      <c r="GH91" s="2672"/>
      <c r="GI91" s="2672"/>
      <c r="GJ91" s="2672"/>
      <c r="GK91" s="2672"/>
      <c r="GL91" s="2672"/>
      <c r="GM91" s="2672"/>
      <c r="GN91" s="2672"/>
      <c r="GO91" s="2672"/>
      <c r="GP91" s="2672"/>
      <c r="GQ91" s="2672"/>
      <c r="GR91" s="2672"/>
      <c r="GS91" s="2672"/>
      <c r="GT91" s="2672"/>
      <c r="GU91" s="2672"/>
      <c r="GV91" s="2672"/>
      <c r="GW91" s="2672"/>
    </row>
    <row r="92" spans="1:205" s="2714" customFormat="1" ht="17.399999999999999">
      <c r="A92" s="2672"/>
      <c r="B92" s="1525">
        <f t="shared" si="10"/>
        <v>88</v>
      </c>
      <c r="C92" s="3716"/>
      <c r="D92" s="2673"/>
      <c r="E92" s="3717"/>
      <c r="F92" s="2718"/>
      <c r="G92" s="2716"/>
      <c r="H92" s="2716"/>
      <c r="I92" s="2716"/>
      <c r="J92" s="2716"/>
      <c r="K92" s="2716"/>
      <c r="L92" s="2716"/>
      <c r="M92" s="2716"/>
      <c r="N92" s="2716"/>
      <c r="O92" s="2716"/>
      <c r="P92" s="2716"/>
      <c r="Q92" s="2716"/>
      <c r="R92" s="2716"/>
      <c r="S92" s="2716"/>
      <c r="T92" s="2716"/>
      <c r="U92" s="2716"/>
      <c r="V92" s="2716"/>
      <c r="W92" s="2716"/>
      <c r="X92" s="2716"/>
      <c r="Y92" s="2716"/>
      <c r="Z92" s="2716"/>
      <c r="AA92" s="2716"/>
      <c r="AB92" s="2716"/>
      <c r="AC92" s="2716"/>
      <c r="AD92" s="2716" t="s">
        <v>160</v>
      </c>
      <c r="AE92" s="2716"/>
      <c r="AF92" s="2717"/>
      <c r="AG92" s="2713">
        <f t="shared" si="11"/>
        <v>0</v>
      </c>
      <c r="AH92" s="2672"/>
      <c r="AI92" s="2672"/>
      <c r="AJ92" s="2672"/>
      <c r="AK92" s="2672"/>
      <c r="AL92" s="2672"/>
      <c r="AM92" s="2672"/>
      <c r="AN92" s="2672"/>
      <c r="AO92" s="2672"/>
      <c r="AP92" s="2672"/>
      <c r="AQ92" s="2672"/>
      <c r="AR92" s="2672"/>
      <c r="AS92" s="2672"/>
      <c r="AT92" s="2672"/>
      <c r="AU92" s="2672"/>
      <c r="AV92" s="2672"/>
      <c r="AW92" s="2672"/>
      <c r="AX92" s="2672"/>
      <c r="AY92" s="2672"/>
      <c r="AZ92" s="2672"/>
      <c r="BA92" s="2672"/>
      <c r="BB92" s="2672"/>
      <c r="BC92" s="2672"/>
      <c r="BD92" s="2672"/>
      <c r="BE92" s="2672"/>
      <c r="BF92" s="2672"/>
      <c r="BG92" s="2672"/>
      <c r="BH92" s="2672"/>
      <c r="BI92" s="2672"/>
      <c r="BJ92" s="2672"/>
      <c r="BK92" s="2672"/>
      <c r="BL92" s="2672"/>
      <c r="BM92" s="2672"/>
      <c r="BN92" s="2672"/>
      <c r="BO92" s="2672"/>
      <c r="BP92" s="2672"/>
      <c r="BQ92" s="2672"/>
      <c r="BR92" s="2672"/>
      <c r="BS92" s="2672"/>
      <c r="BT92" s="2672"/>
      <c r="BU92" s="2672"/>
      <c r="BV92" s="2672"/>
      <c r="BW92" s="2672"/>
      <c r="BX92" s="2672"/>
      <c r="BY92" s="2672"/>
      <c r="BZ92" s="2672"/>
      <c r="CA92" s="2672"/>
      <c r="CB92" s="2672"/>
      <c r="CC92" s="2672"/>
      <c r="CD92" s="2672"/>
      <c r="CE92" s="2672"/>
      <c r="CF92" s="2672"/>
      <c r="CG92" s="2672"/>
      <c r="CH92" s="2672"/>
      <c r="CI92" s="2672"/>
      <c r="CJ92" s="2672"/>
      <c r="CK92" s="2672"/>
      <c r="CL92" s="2672"/>
      <c r="CM92" s="2672"/>
      <c r="CN92" s="2672"/>
      <c r="CO92" s="2672"/>
      <c r="CP92" s="2672"/>
      <c r="CQ92" s="2672"/>
      <c r="CR92" s="2672"/>
      <c r="CS92" s="2672"/>
      <c r="CT92" s="2672"/>
      <c r="CU92" s="2672"/>
      <c r="CV92" s="2672"/>
      <c r="CW92" s="2672"/>
      <c r="CX92" s="2672"/>
      <c r="CY92" s="2672"/>
      <c r="CZ92" s="2672"/>
      <c r="DA92" s="2672"/>
      <c r="DB92" s="2672"/>
      <c r="DC92" s="2672"/>
      <c r="DD92" s="2672"/>
      <c r="DE92" s="2672"/>
      <c r="DF92" s="2672"/>
      <c r="DG92" s="2672"/>
      <c r="DH92" s="2672"/>
      <c r="DI92" s="2672"/>
      <c r="DJ92" s="2672"/>
      <c r="DK92" s="2672"/>
      <c r="DL92" s="2672"/>
      <c r="DM92" s="2672"/>
      <c r="DN92" s="2672"/>
      <c r="DO92" s="2672"/>
      <c r="DP92" s="2672"/>
      <c r="DQ92" s="2672"/>
      <c r="DR92" s="2672"/>
      <c r="DS92" s="2672"/>
      <c r="DT92" s="2672"/>
      <c r="DU92" s="2672"/>
      <c r="DV92" s="2672"/>
      <c r="DW92" s="2672"/>
      <c r="DX92" s="2672"/>
      <c r="DY92" s="2672"/>
      <c r="DZ92" s="2672"/>
      <c r="EA92" s="2672"/>
      <c r="EB92" s="2672"/>
      <c r="EC92" s="2672"/>
      <c r="ED92" s="2672"/>
      <c r="EE92" s="2672"/>
      <c r="EF92" s="2672"/>
      <c r="EG92" s="2672"/>
      <c r="EH92" s="2672"/>
      <c r="EI92" s="2672"/>
      <c r="EJ92" s="2672"/>
      <c r="EK92" s="2672"/>
      <c r="EL92" s="2672"/>
      <c r="EM92" s="2672"/>
      <c r="EN92" s="2672"/>
      <c r="EO92" s="2672"/>
      <c r="EP92" s="2672"/>
      <c r="EQ92" s="2672"/>
      <c r="ER92" s="2672"/>
      <c r="ES92" s="2672"/>
      <c r="ET92" s="2672"/>
      <c r="EU92" s="2672"/>
      <c r="EV92" s="2672"/>
      <c r="EW92" s="2672"/>
      <c r="EX92" s="2672"/>
      <c r="EY92" s="2672"/>
      <c r="EZ92" s="2672"/>
      <c r="FA92" s="2672"/>
      <c r="FB92" s="2672"/>
      <c r="FC92" s="2672"/>
      <c r="FD92" s="2672"/>
      <c r="FE92" s="2672"/>
      <c r="FF92" s="2672"/>
      <c r="FG92" s="2672"/>
      <c r="FH92" s="2672"/>
      <c r="FI92" s="2672"/>
      <c r="FJ92" s="2672"/>
      <c r="FK92" s="2672"/>
      <c r="FL92" s="2672"/>
      <c r="FM92" s="2672"/>
      <c r="FN92" s="2672"/>
      <c r="FO92" s="2672"/>
      <c r="FP92" s="2672"/>
      <c r="FQ92" s="2672"/>
      <c r="FR92" s="2672"/>
      <c r="FS92" s="2672"/>
      <c r="FT92" s="2672"/>
      <c r="FU92" s="2672"/>
      <c r="FV92" s="2672"/>
      <c r="FW92" s="2672"/>
      <c r="FX92" s="2672"/>
      <c r="FY92" s="2672"/>
      <c r="FZ92" s="2672"/>
      <c r="GA92" s="2672"/>
      <c r="GB92" s="2672"/>
      <c r="GC92" s="2672"/>
      <c r="GD92" s="2672"/>
      <c r="GE92" s="2672"/>
      <c r="GF92" s="2672"/>
      <c r="GG92" s="2672"/>
      <c r="GH92" s="2672"/>
      <c r="GI92" s="2672"/>
      <c r="GJ92" s="2672"/>
      <c r="GK92" s="2672"/>
      <c r="GL92" s="2672"/>
      <c r="GM92" s="2672"/>
      <c r="GN92" s="2672"/>
      <c r="GO92" s="2672"/>
      <c r="GP92" s="2672"/>
      <c r="GQ92" s="2672"/>
      <c r="GR92" s="2672"/>
      <c r="GS92" s="2672"/>
      <c r="GT92" s="2672"/>
      <c r="GU92" s="2672"/>
      <c r="GV92" s="2672"/>
      <c r="GW92" s="2672"/>
    </row>
    <row r="93" spans="1:205" s="2714" customFormat="1" ht="17.399999999999999">
      <c r="A93" s="2672"/>
      <c r="B93" s="1525">
        <f t="shared" si="10"/>
        <v>89</v>
      </c>
      <c r="C93" s="2659"/>
      <c r="D93" s="2659"/>
      <c r="E93" s="2659"/>
      <c r="F93" s="2700"/>
      <c r="G93" s="443"/>
      <c r="H93" s="443"/>
      <c r="I93" s="443"/>
      <c r="J93" s="443"/>
      <c r="K93" s="443"/>
      <c r="L93" s="443"/>
      <c r="M93" s="443"/>
      <c r="N93" s="443"/>
      <c r="O93" s="443"/>
      <c r="P93" s="443"/>
      <c r="Q93" s="443"/>
      <c r="R93" s="443"/>
      <c r="S93" s="443"/>
      <c r="T93" s="443"/>
      <c r="U93" s="443"/>
      <c r="V93" s="443"/>
      <c r="W93" s="443"/>
      <c r="X93" s="443"/>
      <c r="Y93" s="443"/>
      <c r="Z93" s="443"/>
      <c r="AA93" s="443"/>
      <c r="AB93" s="443"/>
      <c r="AC93" s="443"/>
      <c r="AD93" s="443" t="s">
        <v>160</v>
      </c>
      <c r="AE93" s="443"/>
      <c r="AF93" s="442"/>
      <c r="AG93" s="2713">
        <f t="shared" si="11"/>
        <v>0</v>
      </c>
      <c r="AH93" s="2672"/>
      <c r="AI93" s="2672"/>
      <c r="AJ93" s="2672"/>
      <c r="AK93" s="2672"/>
      <c r="AL93" s="2672"/>
      <c r="AM93" s="2672"/>
      <c r="AN93" s="2672"/>
      <c r="AO93" s="2672"/>
      <c r="AP93" s="2672"/>
      <c r="AQ93" s="2672"/>
      <c r="AR93" s="2672"/>
      <c r="AS93" s="2672"/>
      <c r="AT93" s="2672"/>
      <c r="AU93" s="2672"/>
      <c r="AV93" s="2672"/>
      <c r="AW93" s="2672"/>
      <c r="AX93" s="2672"/>
      <c r="AY93" s="2672"/>
      <c r="AZ93" s="2672"/>
      <c r="BA93" s="2672"/>
      <c r="BB93" s="2672"/>
      <c r="BC93" s="2672"/>
      <c r="BD93" s="2672"/>
      <c r="BE93" s="2672"/>
      <c r="BF93" s="2672"/>
      <c r="BG93" s="2672"/>
      <c r="BH93" s="2672"/>
      <c r="BI93" s="2672"/>
      <c r="BJ93" s="2672"/>
      <c r="BK93" s="2672"/>
      <c r="BL93" s="2672"/>
      <c r="BM93" s="2672"/>
      <c r="BN93" s="2672"/>
      <c r="BO93" s="2672"/>
      <c r="BP93" s="2672"/>
      <c r="BQ93" s="2672"/>
      <c r="BR93" s="2672"/>
      <c r="BS93" s="2672"/>
      <c r="BT93" s="2672"/>
      <c r="BU93" s="2672"/>
      <c r="BV93" s="2672"/>
      <c r="BW93" s="2672"/>
      <c r="BX93" s="2672"/>
      <c r="BY93" s="2672"/>
      <c r="BZ93" s="2672"/>
      <c r="CA93" s="2672"/>
      <c r="CB93" s="2672"/>
      <c r="CC93" s="2672"/>
      <c r="CD93" s="2672"/>
      <c r="CE93" s="2672"/>
      <c r="CF93" s="2672"/>
      <c r="CG93" s="2672"/>
      <c r="CH93" s="2672"/>
      <c r="CI93" s="2672"/>
      <c r="CJ93" s="2672"/>
      <c r="CK93" s="2672"/>
      <c r="CL93" s="2672"/>
      <c r="CM93" s="2672"/>
      <c r="CN93" s="2672"/>
      <c r="CO93" s="2672"/>
      <c r="CP93" s="2672"/>
      <c r="CQ93" s="2672"/>
      <c r="CR93" s="2672"/>
      <c r="CS93" s="2672"/>
      <c r="CT93" s="2672"/>
      <c r="CU93" s="2672"/>
      <c r="CV93" s="2672"/>
      <c r="CW93" s="2672"/>
      <c r="CX93" s="2672"/>
      <c r="CY93" s="2672"/>
      <c r="CZ93" s="2672"/>
      <c r="DA93" s="2672"/>
      <c r="DB93" s="2672"/>
      <c r="DC93" s="2672"/>
      <c r="DD93" s="2672"/>
      <c r="DE93" s="2672"/>
      <c r="DF93" s="2672"/>
      <c r="DG93" s="2672"/>
      <c r="DH93" s="2672"/>
      <c r="DI93" s="2672"/>
      <c r="DJ93" s="2672"/>
      <c r="DK93" s="2672"/>
      <c r="DL93" s="2672"/>
      <c r="DM93" s="2672"/>
      <c r="DN93" s="2672"/>
      <c r="DO93" s="2672"/>
      <c r="DP93" s="2672"/>
      <c r="DQ93" s="2672"/>
      <c r="DR93" s="2672"/>
      <c r="DS93" s="2672"/>
      <c r="DT93" s="2672"/>
      <c r="DU93" s="2672"/>
      <c r="DV93" s="2672"/>
      <c r="DW93" s="2672"/>
      <c r="DX93" s="2672"/>
      <c r="DY93" s="2672"/>
      <c r="DZ93" s="2672"/>
      <c r="EA93" s="2672"/>
      <c r="EB93" s="2672"/>
      <c r="EC93" s="2672"/>
      <c r="ED93" s="2672"/>
      <c r="EE93" s="2672"/>
      <c r="EF93" s="2672"/>
      <c r="EG93" s="2672"/>
      <c r="EH93" s="2672"/>
      <c r="EI93" s="2672"/>
      <c r="EJ93" s="2672"/>
      <c r="EK93" s="2672"/>
      <c r="EL93" s="2672"/>
      <c r="EM93" s="2672"/>
      <c r="EN93" s="2672"/>
      <c r="EO93" s="2672"/>
      <c r="EP93" s="2672"/>
      <c r="EQ93" s="2672"/>
      <c r="ER93" s="2672"/>
      <c r="ES93" s="2672"/>
      <c r="ET93" s="2672"/>
      <c r="EU93" s="2672"/>
      <c r="EV93" s="2672"/>
      <c r="EW93" s="2672"/>
      <c r="EX93" s="2672"/>
      <c r="EY93" s="2672"/>
      <c r="EZ93" s="2672"/>
      <c r="FA93" s="2672"/>
      <c r="FB93" s="2672"/>
      <c r="FC93" s="2672"/>
      <c r="FD93" s="2672"/>
      <c r="FE93" s="2672"/>
      <c r="FF93" s="2672"/>
      <c r="FG93" s="2672"/>
      <c r="FH93" s="2672"/>
      <c r="FI93" s="2672"/>
      <c r="FJ93" s="2672"/>
      <c r="FK93" s="2672"/>
      <c r="FL93" s="2672"/>
      <c r="FM93" s="2672"/>
      <c r="FN93" s="2672"/>
      <c r="FO93" s="2672"/>
      <c r="FP93" s="2672"/>
      <c r="FQ93" s="2672"/>
      <c r="FR93" s="2672"/>
      <c r="FS93" s="2672"/>
      <c r="FT93" s="2672"/>
      <c r="FU93" s="2672"/>
      <c r="FV93" s="2672"/>
      <c r="FW93" s="2672"/>
      <c r="FX93" s="2672"/>
      <c r="FY93" s="2672"/>
      <c r="FZ93" s="2672"/>
      <c r="GA93" s="2672"/>
      <c r="GB93" s="2672"/>
      <c r="GC93" s="2672"/>
      <c r="GD93" s="2672"/>
      <c r="GE93" s="2672"/>
      <c r="GF93" s="2672"/>
      <c r="GG93" s="2672"/>
      <c r="GH93" s="2672"/>
      <c r="GI93" s="2672"/>
      <c r="GJ93" s="2672"/>
      <c r="GK93" s="2672"/>
      <c r="GL93" s="2672"/>
      <c r="GM93" s="2672"/>
      <c r="GN93" s="2672"/>
      <c r="GO93" s="2672"/>
      <c r="GP93" s="2672"/>
      <c r="GQ93" s="2672"/>
      <c r="GR93" s="2672"/>
      <c r="GS93" s="2672"/>
      <c r="GT93" s="2672"/>
      <c r="GU93" s="2672"/>
      <c r="GV93" s="2672"/>
      <c r="GW93" s="2672"/>
    </row>
    <row r="94" spans="1:205" s="2714" customFormat="1" ht="17.399999999999999">
      <c r="A94" s="2672"/>
      <c r="B94" s="1525">
        <f t="shared" si="10"/>
        <v>90</v>
      </c>
      <c r="C94" s="2659"/>
      <c r="D94" s="2659"/>
      <c r="E94" s="2659"/>
      <c r="F94" s="2700"/>
      <c r="G94" s="443"/>
      <c r="H94" s="443"/>
      <c r="I94" s="443"/>
      <c r="J94" s="443"/>
      <c r="K94" s="443"/>
      <c r="L94" s="443"/>
      <c r="M94" s="443"/>
      <c r="N94" s="443"/>
      <c r="O94" s="443"/>
      <c r="P94" s="443"/>
      <c r="Q94" s="443"/>
      <c r="R94" s="443"/>
      <c r="S94" s="443"/>
      <c r="T94" s="443"/>
      <c r="U94" s="443"/>
      <c r="V94" s="443"/>
      <c r="W94" s="443"/>
      <c r="X94" s="443"/>
      <c r="Y94" s="443"/>
      <c r="Z94" s="443"/>
      <c r="AA94" s="443"/>
      <c r="AB94" s="443"/>
      <c r="AC94" s="443"/>
      <c r="AD94" s="443" t="s">
        <v>160</v>
      </c>
      <c r="AE94" s="443"/>
      <c r="AF94" s="442"/>
      <c r="AG94" s="2713">
        <f t="shared" si="11"/>
        <v>0</v>
      </c>
      <c r="AH94" s="2672"/>
      <c r="AI94" s="2672"/>
      <c r="AJ94" s="2672"/>
      <c r="AK94" s="2672"/>
      <c r="AL94" s="2672"/>
      <c r="AM94" s="2672"/>
      <c r="AN94" s="2672"/>
      <c r="AO94" s="2672"/>
      <c r="AP94" s="2672"/>
      <c r="AQ94" s="2672"/>
      <c r="AR94" s="2672"/>
      <c r="AS94" s="2672"/>
      <c r="AT94" s="2672"/>
      <c r="AU94" s="2672"/>
      <c r="AV94" s="2672"/>
      <c r="AW94" s="2672"/>
      <c r="AX94" s="2672"/>
      <c r="AY94" s="2672"/>
      <c r="AZ94" s="2672"/>
      <c r="BA94" s="2672"/>
      <c r="BB94" s="2672"/>
      <c r="BC94" s="2672"/>
      <c r="BD94" s="2672"/>
      <c r="BE94" s="2672"/>
      <c r="BF94" s="2672"/>
      <c r="BG94" s="2672"/>
      <c r="BH94" s="2672"/>
      <c r="BI94" s="2672"/>
      <c r="BJ94" s="2672"/>
      <c r="BK94" s="2672"/>
      <c r="BL94" s="2672"/>
      <c r="BM94" s="2672"/>
      <c r="BN94" s="2672"/>
      <c r="BO94" s="2672"/>
      <c r="BP94" s="2672"/>
      <c r="BQ94" s="2672"/>
      <c r="BR94" s="2672"/>
      <c r="BS94" s="2672"/>
      <c r="BT94" s="2672"/>
      <c r="BU94" s="2672"/>
      <c r="BV94" s="2672"/>
      <c r="BW94" s="2672"/>
      <c r="BX94" s="2672"/>
      <c r="BY94" s="2672"/>
      <c r="BZ94" s="2672"/>
      <c r="CA94" s="2672"/>
      <c r="CB94" s="2672"/>
      <c r="CC94" s="2672"/>
      <c r="CD94" s="2672"/>
      <c r="CE94" s="2672"/>
      <c r="CF94" s="2672"/>
      <c r="CG94" s="2672"/>
      <c r="CH94" s="2672"/>
      <c r="CI94" s="2672"/>
      <c r="CJ94" s="2672"/>
      <c r="CK94" s="2672"/>
      <c r="CL94" s="2672"/>
      <c r="CM94" s="2672"/>
      <c r="CN94" s="2672"/>
      <c r="CO94" s="2672"/>
      <c r="CP94" s="2672"/>
      <c r="CQ94" s="2672"/>
      <c r="CR94" s="2672"/>
      <c r="CS94" s="2672"/>
      <c r="CT94" s="2672"/>
      <c r="CU94" s="2672"/>
      <c r="CV94" s="2672"/>
      <c r="CW94" s="2672"/>
      <c r="CX94" s="2672"/>
      <c r="CY94" s="2672"/>
      <c r="CZ94" s="2672"/>
      <c r="DA94" s="2672"/>
      <c r="DB94" s="2672"/>
      <c r="DC94" s="2672"/>
      <c r="DD94" s="2672"/>
      <c r="DE94" s="2672"/>
      <c r="DF94" s="2672"/>
      <c r="DG94" s="2672"/>
      <c r="DH94" s="2672"/>
      <c r="DI94" s="2672"/>
      <c r="DJ94" s="2672"/>
      <c r="DK94" s="2672"/>
      <c r="DL94" s="2672"/>
      <c r="DM94" s="2672"/>
      <c r="DN94" s="2672"/>
      <c r="DO94" s="2672"/>
      <c r="DP94" s="2672"/>
      <c r="DQ94" s="2672"/>
      <c r="DR94" s="2672"/>
      <c r="DS94" s="2672"/>
      <c r="DT94" s="2672"/>
      <c r="DU94" s="2672"/>
      <c r="DV94" s="2672"/>
      <c r="DW94" s="2672"/>
      <c r="DX94" s="2672"/>
      <c r="DY94" s="2672"/>
      <c r="DZ94" s="2672"/>
      <c r="EA94" s="2672"/>
      <c r="EB94" s="2672"/>
      <c r="EC94" s="2672"/>
      <c r="ED94" s="2672"/>
      <c r="EE94" s="2672"/>
      <c r="EF94" s="2672"/>
      <c r="EG94" s="2672"/>
      <c r="EH94" s="2672"/>
      <c r="EI94" s="2672"/>
      <c r="EJ94" s="2672"/>
      <c r="EK94" s="2672"/>
      <c r="EL94" s="2672"/>
      <c r="EM94" s="2672"/>
      <c r="EN94" s="2672"/>
      <c r="EO94" s="2672"/>
      <c r="EP94" s="2672"/>
      <c r="EQ94" s="2672"/>
      <c r="ER94" s="2672"/>
      <c r="ES94" s="2672"/>
      <c r="ET94" s="2672"/>
      <c r="EU94" s="2672"/>
      <c r="EV94" s="2672"/>
      <c r="EW94" s="2672"/>
      <c r="EX94" s="2672"/>
      <c r="EY94" s="2672"/>
      <c r="EZ94" s="2672"/>
      <c r="FA94" s="2672"/>
      <c r="FB94" s="2672"/>
      <c r="FC94" s="2672"/>
      <c r="FD94" s="2672"/>
      <c r="FE94" s="2672"/>
      <c r="FF94" s="2672"/>
      <c r="FG94" s="2672"/>
      <c r="FH94" s="2672"/>
      <c r="FI94" s="2672"/>
      <c r="FJ94" s="2672"/>
      <c r="FK94" s="2672"/>
      <c r="FL94" s="2672"/>
      <c r="FM94" s="2672"/>
      <c r="FN94" s="2672"/>
      <c r="FO94" s="2672"/>
      <c r="FP94" s="2672"/>
      <c r="FQ94" s="2672"/>
      <c r="FR94" s="2672"/>
      <c r="FS94" s="2672"/>
      <c r="FT94" s="2672"/>
      <c r="FU94" s="2672"/>
      <c r="FV94" s="2672"/>
      <c r="FW94" s="2672"/>
      <c r="FX94" s="2672"/>
      <c r="FY94" s="2672"/>
      <c r="FZ94" s="2672"/>
      <c r="GA94" s="2672"/>
      <c r="GB94" s="2672"/>
      <c r="GC94" s="2672"/>
      <c r="GD94" s="2672"/>
      <c r="GE94" s="2672"/>
      <c r="GF94" s="2672"/>
      <c r="GG94" s="2672"/>
      <c r="GH94" s="2672"/>
      <c r="GI94" s="2672"/>
      <c r="GJ94" s="2672"/>
      <c r="GK94" s="2672"/>
      <c r="GL94" s="2672"/>
      <c r="GM94" s="2672"/>
      <c r="GN94" s="2672"/>
      <c r="GO94" s="2672"/>
      <c r="GP94" s="2672"/>
      <c r="GQ94" s="2672"/>
      <c r="GR94" s="2672"/>
      <c r="GS94" s="2672"/>
      <c r="GT94" s="2672"/>
      <c r="GU94" s="2672"/>
      <c r="GV94" s="2672"/>
      <c r="GW94" s="2672"/>
    </row>
    <row r="95" spans="1:205" ht="17.399999999999999">
      <c r="B95" s="1525">
        <f t="shared" si="10"/>
        <v>91</v>
      </c>
      <c r="C95" s="2659"/>
      <c r="D95" s="2659"/>
      <c r="E95" s="2659"/>
      <c r="F95" s="2700"/>
      <c r="G95" s="443"/>
      <c r="H95" s="443"/>
      <c r="I95" s="443"/>
      <c r="J95" s="443"/>
      <c r="K95" s="443"/>
      <c r="L95" s="443"/>
      <c r="M95" s="443"/>
      <c r="N95" s="443"/>
      <c r="O95" s="443"/>
      <c r="P95" s="443"/>
      <c r="Q95" s="443"/>
      <c r="R95" s="443"/>
      <c r="S95" s="443"/>
      <c r="T95" s="443"/>
      <c r="U95" s="443"/>
      <c r="V95" s="443"/>
      <c r="W95" s="443"/>
      <c r="X95" s="443"/>
      <c r="Y95" s="443"/>
      <c r="Z95" s="443"/>
      <c r="AA95" s="443"/>
      <c r="AB95" s="443"/>
      <c r="AC95" s="443"/>
      <c r="AD95" s="443" t="s">
        <v>160</v>
      </c>
      <c r="AE95" s="443"/>
      <c r="AF95" s="442"/>
      <c r="AG95" s="1519">
        <f t="shared" si="11"/>
        <v>0</v>
      </c>
      <c r="AH95" s="2672"/>
      <c r="AI95" s="2672"/>
      <c r="AJ95" s="2672"/>
      <c r="AK95" s="2672"/>
      <c r="AL95" s="2672"/>
      <c r="AM95" s="2672"/>
      <c r="AN95" s="2672"/>
      <c r="AO95" s="2672"/>
      <c r="AP95" s="2672"/>
      <c r="AQ95" s="2672"/>
      <c r="AR95" s="2672"/>
      <c r="AS95" s="2672"/>
      <c r="AT95" s="2672"/>
      <c r="AU95" s="2672"/>
      <c r="AV95" s="2672"/>
      <c r="AW95" s="2672"/>
      <c r="AX95" s="2672"/>
      <c r="AY95" s="2672"/>
      <c r="AZ95" s="2672"/>
      <c r="BA95" s="2672"/>
      <c r="BB95" s="2672"/>
      <c r="BC95" s="2672"/>
      <c r="BD95" s="2672"/>
      <c r="BE95" s="2672"/>
      <c r="BF95" s="2672"/>
      <c r="BG95" s="2672"/>
      <c r="BH95" s="2672"/>
      <c r="BI95" s="2672"/>
      <c r="BJ95" s="2672"/>
      <c r="BK95" s="2672"/>
      <c r="BL95" s="2672"/>
      <c r="BM95" s="2672"/>
      <c r="BN95" s="2672"/>
      <c r="BO95" s="2672"/>
      <c r="BP95" s="2672"/>
      <c r="BQ95" s="2672"/>
      <c r="BR95" s="2672"/>
      <c r="BS95" s="2672"/>
      <c r="BT95" s="2672"/>
      <c r="BU95" s="2672"/>
      <c r="BV95" s="2672"/>
      <c r="BW95" s="2672"/>
      <c r="BX95" s="2672"/>
      <c r="BY95" s="2672"/>
      <c r="BZ95" s="2672"/>
      <c r="CA95" s="2672"/>
      <c r="CB95" s="2672"/>
      <c r="CC95" s="2672"/>
      <c r="CD95" s="2672"/>
      <c r="CE95" s="2672"/>
      <c r="CF95" s="2672"/>
      <c r="CG95" s="2672"/>
      <c r="CH95" s="2672"/>
      <c r="CI95" s="2672"/>
      <c r="CJ95" s="2672"/>
      <c r="CK95" s="2672"/>
      <c r="CL95" s="2672"/>
      <c r="CM95" s="2672"/>
      <c r="CN95" s="2672"/>
      <c r="CO95" s="2672"/>
      <c r="CP95" s="2672"/>
      <c r="CQ95" s="2672"/>
      <c r="CR95" s="2672"/>
      <c r="CS95" s="2672"/>
      <c r="CT95" s="2672"/>
      <c r="CU95" s="2672"/>
      <c r="CV95" s="2672"/>
      <c r="CW95" s="2672"/>
      <c r="CX95" s="2672"/>
      <c r="CY95" s="2672"/>
      <c r="CZ95" s="2672"/>
      <c r="DA95" s="2672"/>
      <c r="DB95" s="2672"/>
      <c r="DC95" s="2672"/>
      <c r="DD95" s="2672"/>
      <c r="DE95" s="2672"/>
      <c r="DF95" s="2672"/>
      <c r="DG95" s="2672"/>
      <c r="DH95" s="2672"/>
      <c r="DI95" s="2672"/>
      <c r="DJ95" s="2672"/>
      <c r="DK95" s="2672"/>
      <c r="DL95" s="2672"/>
      <c r="DM95" s="2672"/>
      <c r="DN95" s="2672"/>
      <c r="DO95" s="2672"/>
      <c r="DP95" s="2672"/>
      <c r="DQ95" s="2672"/>
      <c r="DR95" s="2672"/>
      <c r="DS95" s="2672"/>
      <c r="DT95" s="2672"/>
      <c r="DU95" s="2672"/>
      <c r="DV95" s="2672"/>
      <c r="DW95" s="2672"/>
      <c r="DX95" s="2672"/>
      <c r="DY95" s="2672"/>
      <c r="DZ95" s="2672"/>
      <c r="EA95" s="2672"/>
      <c r="EB95" s="2672"/>
      <c r="EC95" s="2672"/>
      <c r="ED95" s="2672"/>
      <c r="EE95" s="2672"/>
      <c r="EF95" s="2672"/>
      <c r="EG95" s="2672"/>
      <c r="EH95" s="2672"/>
      <c r="EI95" s="2672"/>
      <c r="EJ95" s="2672"/>
      <c r="EK95" s="2672"/>
      <c r="EL95" s="2672"/>
      <c r="EM95" s="2672"/>
      <c r="EN95" s="2672"/>
      <c r="EO95" s="2672"/>
      <c r="EP95" s="2672"/>
      <c r="EQ95" s="2672"/>
      <c r="ER95" s="2672"/>
      <c r="ES95" s="2672"/>
      <c r="ET95" s="2672"/>
      <c r="EU95" s="2672"/>
      <c r="EV95" s="2672"/>
      <c r="EW95" s="2672"/>
      <c r="EX95" s="2672"/>
      <c r="EY95" s="2672"/>
      <c r="EZ95" s="2672"/>
      <c r="FA95" s="2672"/>
      <c r="FB95" s="2672"/>
      <c r="FC95" s="2672"/>
      <c r="FD95" s="2672"/>
      <c r="FE95" s="2672"/>
      <c r="FF95" s="2672"/>
      <c r="FG95" s="2672"/>
      <c r="FH95" s="2672"/>
      <c r="FI95" s="2672"/>
      <c r="FJ95" s="2672"/>
      <c r="FK95" s="2672"/>
      <c r="FL95" s="2672"/>
      <c r="FM95" s="2672"/>
      <c r="FN95" s="2672"/>
      <c r="FO95" s="2672"/>
      <c r="FP95" s="2672"/>
      <c r="FQ95" s="2672"/>
      <c r="FR95" s="2672"/>
      <c r="FS95" s="2672"/>
      <c r="FT95" s="2672"/>
      <c r="FU95" s="2672"/>
      <c r="FV95" s="2672"/>
      <c r="FW95" s="2672"/>
      <c r="FX95" s="2672"/>
      <c r="FY95" s="2672"/>
      <c r="FZ95" s="2672"/>
      <c r="GA95" s="2672"/>
      <c r="GB95" s="2672"/>
      <c r="GC95" s="2672"/>
      <c r="GD95" s="2672"/>
      <c r="GE95" s="2672"/>
      <c r="GF95" s="2672"/>
      <c r="GG95" s="2672"/>
      <c r="GH95" s="2672"/>
      <c r="GI95" s="2672"/>
      <c r="GJ95" s="2672"/>
      <c r="GK95" s="2672"/>
      <c r="GL95" s="2672"/>
      <c r="GM95" s="2672"/>
      <c r="GN95" s="2672"/>
      <c r="GO95" s="2672"/>
      <c r="GP95" s="2672"/>
      <c r="GQ95" s="2672"/>
      <c r="GR95" s="2672"/>
      <c r="GS95" s="2672"/>
      <c r="GT95" s="2672"/>
      <c r="GU95" s="2672"/>
      <c r="GV95" s="2672"/>
      <c r="GW95" s="2672"/>
    </row>
    <row r="96" spans="1:205" ht="17.399999999999999">
      <c r="B96" s="1525">
        <f t="shared" si="10"/>
        <v>92</v>
      </c>
      <c r="C96" s="2659"/>
      <c r="D96" s="2659"/>
      <c r="E96" s="2659"/>
      <c r="F96" s="2700"/>
      <c r="G96" s="443"/>
      <c r="H96" s="443"/>
      <c r="I96" s="443"/>
      <c r="J96" s="443"/>
      <c r="K96" s="443"/>
      <c r="L96" s="443"/>
      <c r="M96" s="443"/>
      <c r="N96" s="443"/>
      <c r="O96" s="443"/>
      <c r="P96" s="443"/>
      <c r="Q96" s="443"/>
      <c r="R96" s="443"/>
      <c r="S96" s="443"/>
      <c r="T96" s="443"/>
      <c r="U96" s="443"/>
      <c r="V96" s="443"/>
      <c r="W96" s="443"/>
      <c r="X96" s="443"/>
      <c r="Y96" s="443"/>
      <c r="Z96" s="443"/>
      <c r="AA96" s="443"/>
      <c r="AB96" s="443"/>
      <c r="AC96" s="443"/>
      <c r="AD96" s="443" t="s">
        <v>160</v>
      </c>
      <c r="AE96" s="443"/>
      <c r="AF96" s="442"/>
      <c r="AG96" s="1519">
        <f t="shared" si="11"/>
        <v>0</v>
      </c>
    </row>
    <row r="97" spans="2:33" ht="17.399999999999999">
      <c r="B97" s="1525">
        <f t="shared" si="10"/>
        <v>93</v>
      </c>
      <c r="C97" s="2659"/>
      <c r="D97" s="2659"/>
      <c r="E97" s="2659"/>
      <c r="F97" s="2700"/>
      <c r="G97" s="443"/>
      <c r="H97" s="443"/>
      <c r="I97" s="443"/>
      <c r="J97" s="443"/>
      <c r="K97" s="443"/>
      <c r="L97" s="443"/>
      <c r="M97" s="443"/>
      <c r="N97" s="443"/>
      <c r="O97" s="443"/>
      <c r="P97" s="443"/>
      <c r="Q97" s="443"/>
      <c r="R97" s="443"/>
      <c r="S97" s="443"/>
      <c r="T97" s="443"/>
      <c r="U97" s="443"/>
      <c r="V97" s="443"/>
      <c r="W97" s="443"/>
      <c r="X97" s="443"/>
      <c r="Y97" s="443"/>
      <c r="Z97" s="443"/>
      <c r="AA97" s="443"/>
      <c r="AB97" s="443"/>
      <c r="AC97" s="443"/>
      <c r="AD97" s="443" t="s">
        <v>160</v>
      </c>
      <c r="AE97" s="443"/>
      <c r="AF97" s="442"/>
      <c r="AG97" s="1519">
        <f t="shared" si="11"/>
        <v>0</v>
      </c>
    </row>
    <row r="98" spans="2:33" ht="17.399999999999999">
      <c r="B98" s="1525">
        <f t="shared" si="10"/>
        <v>94</v>
      </c>
      <c r="C98" s="2659"/>
      <c r="D98" s="2659"/>
      <c r="E98" s="2659"/>
      <c r="F98" s="2700"/>
      <c r="G98" s="443"/>
      <c r="H98" s="443"/>
      <c r="I98" s="443"/>
      <c r="J98" s="443"/>
      <c r="K98" s="443"/>
      <c r="L98" s="443"/>
      <c r="M98" s="443"/>
      <c r="N98" s="443"/>
      <c r="O98" s="443"/>
      <c r="P98" s="443"/>
      <c r="Q98" s="443"/>
      <c r="R98" s="443"/>
      <c r="S98" s="443"/>
      <c r="T98" s="443"/>
      <c r="U98" s="443"/>
      <c r="V98" s="443"/>
      <c r="W98" s="443"/>
      <c r="X98" s="443"/>
      <c r="Y98" s="443"/>
      <c r="Z98" s="443"/>
      <c r="AA98" s="443"/>
      <c r="AB98" s="443"/>
      <c r="AC98" s="443"/>
      <c r="AD98" s="443" t="s">
        <v>160</v>
      </c>
      <c r="AE98" s="443"/>
      <c r="AF98" s="442"/>
      <c r="AG98" s="1519">
        <f t="shared" si="11"/>
        <v>0</v>
      </c>
    </row>
    <row r="99" spans="2:33" ht="17.399999999999999">
      <c r="B99" s="1525">
        <f t="shared" si="10"/>
        <v>95</v>
      </c>
      <c r="C99" s="2659"/>
      <c r="D99" s="2659"/>
      <c r="E99" s="2659"/>
      <c r="F99" s="2700"/>
      <c r="G99" s="443"/>
      <c r="H99" s="443"/>
      <c r="I99" s="443"/>
      <c r="J99" s="443"/>
      <c r="K99" s="443"/>
      <c r="L99" s="443"/>
      <c r="M99" s="443"/>
      <c r="N99" s="443"/>
      <c r="O99" s="443"/>
      <c r="P99" s="443"/>
      <c r="Q99" s="443"/>
      <c r="R99" s="443"/>
      <c r="S99" s="443"/>
      <c r="T99" s="443"/>
      <c r="U99" s="443"/>
      <c r="V99" s="443"/>
      <c r="W99" s="443"/>
      <c r="X99" s="443"/>
      <c r="Y99" s="443"/>
      <c r="Z99" s="443"/>
      <c r="AA99" s="443"/>
      <c r="AB99" s="443"/>
      <c r="AC99" s="443"/>
      <c r="AD99" s="443" t="s">
        <v>160</v>
      </c>
      <c r="AE99" s="443"/>
      <c r="AF99" s="442"/>
      <c r="AG99" s="1519">
        <f t="shared" si="11"/>
        <v>0</v>
      </c>
    </row>
    <row r="100" spans="2:33" ht="17.399999999999999">
      <c r="B100" s="1525">
        <f t="shared" si="10"/>
        <v>96</v>
      </c>
      <c r="C100" s="2659"/>
      <c r="D100" s="2659"/>
      <c r="E100" s="2659"/>
      <c r="F100" s="2700"/>
      <c r="G100" s="443"/>
      <c r="H100" s="443"/>
      <c r="I100" s="443"/>
      <c r="J100" s="443"/>
      <c r="K100" s="443"/>
      <c r="L100" s="443"/>
      <c r="M100" s="443"/>
      <c r="N100" s="443"/>
      <c r="O100" s="443"/>
      <c r="P100" s="443"/>
      <c r="Q100" s="443"/>
      <c r="R100" s="443"/>
      <c r="S100" s="443"/>
      <c r="T100" s="443"/>
      <c r="U100" s="443"/>
      <c r="V100" s="443"/>
      <c r="W100" s="443"/>
      <c r="X100" s="443"/>
      <c r="Y100" s="443"/>
      <c r="Z100" s="443"/>
      <c r="AA100" s="443"/>
      <c r="AB100" s="443"/>
      <c r="AC100" s="443"/>
      <c r="AD100" s="443" t="s">
        <v>160</v>
      </c>
      <c r="AE100" s="443"/>
      <c r="AF100" s="442"/>
      <c r="AG100" s="1519">
        <f t="shared" si="11"/>
        <v>0</v>
      </c>
    </row>
    <row r="101" spans="2:33" ht="17.399999999999999">
      <c r="B101" s="1525">
        <f t="shared" si="10"/>
        <v>97</v>
      </c>
      <c r="C101" s="3458"/>
      <c r="D101" s="3459"/>
      <c r="E101" s="3460"/>
      <c r="F101" s="2700"/>
      <c r="G101" s="443"/>
      <c r="H101" s="443"/>
      <c r="I101" s="443"/>
      <c r="J101" s="443"/>
      <c r="K101" s="443"/>
      <c r="L101" s="443"/>
      <c r="M101" s="443"/>
      <c r="N101" s="443"/>
      <c r="O101" s="443"/>
      <c r="P101" s="443"/>
      <c r="Q101" s="443"/>
      <c r="R101" s="443"/>
      <c r="S101" s="443"/>
      <c r="T101" s="443"/>
      <c r="U101" s="443"/>
      <c r="V101" s="443"/>
      <c r="W101" s="443"/>
      <c r="X101" s="443"/>
      <c r="Y101" s="443"/>
      <c r="Z101" s="443"/>
      <c r="AA101" s="443"/>
      <c r="AB101" s="443"/>
      <c r="AC101" s="443"/>
      <c r="AD101" s="443" t="s">
        <v>160</v>
      </c>
      <c r="AE101" s="443"/>
      <c r="AF101" s="442"/>
      <c r="AG101" s="1519">
        <f t="shared" si="11"/>
        <v>0</v>
      </c>
    </row>
    <row r="102" spans="2:33" ht="17.399999999999999">
      <c r="B102" s="1525">
        <f t="shared" si="10"/>
        <v>98</v>
      </c>
      <c r="C102" s="2659"/>
      <c r="D102" s="2659"/>
      <c r="E102" s="2659"/>
      <c r="F102" s="3455"/>
      <c r="G102" s="3456"/>
      <c r="H102" s="3456"/>
      <c r="I102" s="3456"/>
      <c r="J102" s="3456"/>
      <c r="K102" s="3456"/>
      <c r="L102" s="3456"/>
      <c r="M102" s="3456"/>
      <c r="N102" s="3456"/>
      <c r="O102" s="3456"/>
      <c r="P102" s="3456"/>
      <c r="Q102" s="3456"/>
      <c r="R102" s="3456"/>
      <c r="S102" s="3456"/>
      <c r="T102" s="3456"/>
      <c r="U102" s="3456"/>
      <c r="V102" s="3456"/>
      <c r="W102" s="3456"/>
      <c r="X102" s="3456"/>
      <c r="Y102" s="3456"/>
      <c r="Z102" s="3456"/>
      <c r="AA102" s="3456"/>
      <c r="AB102" s="3456"/>
      <c r="AC102" s="3456"/>
      <c r="AD102" s="3456" t="s">
        <v>160</v>
      </c>
      <c r="AE102" s="3456"/>
      <c r="AF102" s="3457"/>
      <c r="AG102" s="1519">
        <f t="shared" si="11"/>
        <v>0</v>
      </c>
    </row>
    <row r="103" spans="2:33" ht="18" thickBot="1">
      <c r="B103" s="3461">
        <f t="shared" si="10"/>
        <v>99</v>
      </c>
      <c r="C103" s="2688"/>
      <c r="D103" s="2689"/>
      <c r="E103" s="2699"/>
      <c r="F103" s="2701"/>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t="s">
        <v>160</v>
      </c>
      <c r="AE103" s="439"/>
      <c r="AF103" s="438"/>
      <c r="AG103" s="1519">
        <f t="shared" si="11"/>
        <v>0</v>
      </c>
    </row>
    <row r="104" spans="2:33">
      <c r="B104" s="2690"/>
    </row>
    <row r="105" spans="2:33" hidden="1">
      <c r="B105" s="2691"/>
      <c r="C105" s="1523"/>
      <c r="D105" s="1518"/>
    </row>
    <row r="106" spans="2:33" hidden="1">
      <c r="C106" s="441" t="s">
        <v>476</v>
      </c>
      <c r="D106" s="1518"/>
    </row>
    <row r="107" spans="2:33" hidden="1">
      <c r="B107" s="440"/>
      <c r="C107" s="440"/>
      <c r="D107" s="440"/>
      <c r="E107" s="440"/>
      <c r="F107" s="440">
        <f>COLUMNS(F$107:$AG107)</f>
        <v>28</v>
      </c>
      <c r="G107" s="440">
        <f>COLUMNS(G$107:$AG107)</f>
        <v>27</v>
      </c>
      <c r="H107" s="440">
        <f>COLUMNS(H$107:$AG107)</f>
        <v>26</v>
      </c>
      <c r="I107" s="440">
        <f>COLUMNS(I$107:$AG107)</f>
        <v>25</v>
      </c>
      <c r="J107" s="440">
        <f>COLUMNS(J$107:$AG107)</f>
        <v>24</v>
      </c>
      <c r="K107" s="440">
        <f>COLUMNS(K$107:$AG107)</f>
        <v>23</v>
      </c>
      <c r="L107" s="440">
        <f>COLUMNS(L$107:$AG107)</f>
        <v>22</v>
      </c>
      <c r="M107" s="440">
        <f>COLUMNS(M$107:$AG107)</f>
        <v>21</v>
      </c>
      <c r="N107" s="440">
        <f>COLUMNS(N$107:$AG107)</f>
        <v>20</v>
      </c>
      <c r="O107" s="440">
        <f>COLUMNS(O$107:$AG107)</f>
        <v>19</v>
      </c>
      <c r="P107" s="440">
        <f>COLUMNS(P$107:$AG107)</f>
        <v>18</v>
      </c>
      <c r="Q107" s="440">
        <f>COLUMNS(Q$107:$AG107)</f>
        <v>17</v>
      </c>
      <c r="R107" s="440">
        <f>COLUMNS(R$107:$AG107)</f>
        <v>16</v>
      </c>
      <c r="S107" s="440">
        <f>COLUMNS(S$107:$AG107)</f>
        <v>15</v>
      </c>
      <c r="T107" s="440">
        <f>COLUMNS(T$107:$AG107)</f>
        <v>14</v>
      </c>
      <c r="U107" s="440">
        <f>COLUMNS(U$107:$AG107)</f>
        <v>13</v>
      </c>
      <c r="V107" s="440">
        <f>COLUMNS(V$107:$AG107)</f>
        <v>12</v>
      </c>
      <c r="W107" s="440">
        <f>COLUMNS(W$107:$AG107)</f>
        <v>11</v>
      </c>
      <c r="X107" s="440">
        <f>COLUMNS(X$107:$AG107)</f>
        <v>10</v>
      </c>
      <c r="Y107" s="440">
        <f>COLUMNS(Y$107:$AG107)</f>
        <v>9</v>
      </c>
      <c r="Z107" s="440">
        <f>COLUMNS(Z$107:$AG107)</f>
        <v>8</v>
      </c>
      <c r="AA107" s="440">
        <f>COLUMNS(AA$107:$AG107)</f>
        <v>7</v>
      </c>
      <c r="AB107" s="440">
        <f>COLUMNS(AB$107:$AG107)</f>
        <v>6</v>
      </c>
      <c r="AC107" s="440">
        <f>COLUMNS(AC$107:$AG107)</f>
        <v>5</v>
      </c>
      <c r="AD107" s="440">
        <f>COLUMNS(AD$107:$AG107)</f>
        <v>4</v>
      </c>
      <c r="AE107" s="440">
        <f>COLUMNS(AE$107:$AG107)</f>
        <v>3</v>
      </c>
      <c r="AF107" s="440">
        <f>COLUMNS(AF$107:$AG107)</f>
        <v>2</v>
      </c>
      <c r="AG107" s="440">
        <f>COLUMNS($AG$107:AG107)</f>
        <v>1</v>
      </c>
    </row>
    <row r="108" spans="2:33" ht="15.6" hidden="1" thickBot="1">
      <c r="C108" s="2692"/>
      <c r="D108" s="1518"/>
    </row>
    <row r="109" spans="2:33" ht="16.2" hidden="1" thickBot="1">
      <c r="B109" s="2650" t="s">
        <v>475</v>
      </c>
      <c r="C109" s="2651" t="s">
        <v>473</v>
      </c>
      <c r="D109" s="2652" t="s">
        <v>474</v>
      </c>
      <c r="E109" s="2653" t="s">
        <v>303</v>
      </c>
      <c r="F109" s="2653" t="str">
        <f t="shared" ref="F109:AF109" si="12">F4</f>
        <v>Wiweiz</v>
      </c>
      <c r="G109" s="2654" t="str">
        <f t="shared" si="12"/>
        <v>Dinkel</v>
      </c>
      <c r="H109" s="2654" t="str">
        <f t="shared" si="12"/>
        <v>Wirogg</v>
      </c>
      <c r="I109" s="2654" t="str">
        <f t="shared" si="12"/>
        <v>Tritic</v>
      </c>
      <c r="J109" s="2654" t="str">
        <f t="shared" si="12"/>
        <v>WiGerst</v>
      </c>
      <c r="K109" s="2654" t="str">
        <f t="shared" si="12"/>
        <v>Soweizen</v>
      </c>
      <c r="L109" s="2654" t="str">
        <f t="shared" si="12"/>
        <v>SoGerst</v>
      </c>
      <c r="M109" s="2654" t="str">
        <f t="shared" si="12"/>
        <v>BraugerstG</v>
      </c>
      <c r="N109" s="2654" t="str">
        <f t="shared" si="12"/>
        <v>Hafer</v>
      </c>
      <c r="O109" s="2654" t="str">
        <f t="shared" si="12"/>
        <v>Durum</v>
      </c>
      <c r="P109" s="2654" t="str">
        <f t="shared" si="12"/>
        <v>Einkorn</v>
      </c>
      <c r="Q109" s="2654" t="str">
        <f t="shared" si="12"/>
        <v>KöHirse</v>
      </c>
      <c r="R109" s="2654" t="str">
        <f t="shared" si="12"/>
        <v>KöMais</v>
      </c>
      <c r="S109" s="2654" t="str">
        <f t="shared" si="12"/>
        <v>WiRaps</v>
      </c>
      <c r="T109" s="2654" t="str">
        <f t="shared" si="12"/>
        <v>SoRaps</v>
      </c>
      <c r="U109" s="2654" t="str">
        <f t="shared" si="12"/>
        <v>SonnBlum</v>
      </c>
      <c r="V109" s="2654" t="str">
        <f t="shared" si="12"/>
        <v>Soja</v>
      </c>
      <c r="W109" s="2654" t="str">
        <f t="shared" si="12"/>
        <v>Öllein</v>
      </c>
      <c r="X109" s="2654" t="str">
        <f t="shared" si="12"/>
        <v>FuErbs</v>
      </c>
      <c r="Y109" s="2654" t="str">
        <f t="shared" si="12"/>
        <v>AckBohn</v>
      </c>
      <c r="Z109" s="2654" t="str">
        <f t="shared" si="12"/>
        <v>Lupinen</v>
      </c>
      <c r="AA109" s="2654" t="str">
        <f t="shared" si="12"/>
        <v>ZuRüb</v>
      </c>
      <c r="AB109" s="2654" t="str">
        <f t="shared" si="12"/>
        <v>Kart.</v>
      </c>
      <c r="AC109" s="2654" t="str">
        <f t="shared" si="12"/>
        <v>Hanf</v>
      </c>
      <c r="AD109" s="2654" t="str">
        <f t="shared" si="12"/>
        <v>KulturA</v>
      </c>
      <c r="AE109" s="2654" t="str">
        <f t="shared" si="12"/>
        <v>Legu-Gemenge</v>
      </c>
      <c r="AF109" s="2655" t="str">
        <f t="shared" si="12"/>
        <v>Mulchen</v>
      </c>
      <c r="AG109" s="2651" t="s">
        <v>473</v>
      </c>
    </row>
    <row r="110" spans="2:33" ht="17.399999999999999" hidden="1">
      <c r="B110" s="1525">
        <v>1</v>
      </c>
      <c r="C110" s="2658" t="s">
        <v>554</v>
      </c>
      <c r="D110" s="3635"/>
      <c r="E110" s="2693"/>
      <c r="F110" s="3631" t="str">
        <f t="shared" ref="F110:AF110" si="13">IF(F5="x",1,"")</f>
        <v/>
      </c>
      <c r="G110" s="3632" t="str">
        <f t="shared" si="13"/>
        <v/>
      </c>
      <c r="H110" s="3632" t="str">
        <f t="shared" si="13"/>
        <v/>
      </c>
      <c r="I110" s="3632" t="str">
        <f t="shared" si="13"/>
        <v/>
      </c>
      <c r="J110" s="3632" t="str">
        <f t="shared" si="13"/>
        <v/>
      </c>
      <c r="K110" s="3632" t="str">
        <f t="shared" si="13"/>
        <v/>
      </c>
      <c r="L110" s="3632" t="str">
        <f t="shared" si="13"/>
        <v/>
      </c>
      <c r="M110" s="3632" t="str">
        <f t="shared" si="13"/>
        <v/>
      </c>
      <c r="N110" s="3632" t="str">
        <f t="shared" si="13"/>
        <v/>
      </c>
      <c r="O110" s="3632" t="str">
        <f t="shared" si="13"/>
        <v/>
      </c>
      <c r="P110" s="3632" t="str">
        <f t="shared" si="13"/>
        <v/>
      </c>
      <c r="Q110" s="3632" t="str">
        <f t="shared" si="13"/>
        <v/>
      </c>
      <c r="R110" s="3632" t="str">
        <f t="shared" si="13"/>
        <v/>
      </c>
      <c r="S110" s="3632">
        <f t="shared" si="13"/>
        <v>1</v>
      </c>
      <c r="T110" s="3632" t="str">
        <f t="shared" si="13"/>
        <v/>
      </c>
      <c r="U110" s="3632">
        <f t="shared" si="13"/>
        <v>1</v>
      </c>
      <c r="V110" s="3632" t="str">
        <f t="shared" si="13"/>
        <v/>
      </c>
      <c r="W110" s="3632" t="str">
        <f t="shared" si="13"/>
        <v/>
      </c>
      <c r="X110" s="3632">
        <f t="shared" si="13"/>
        <v>1</v>
      </c>
      <c r="Y110" s="3632">
        <f t="shared" si="13"/>
        <v>1</v>
      </c>
      <c r="Z110" s="3632" t="str">
        <f t="shared" si="13"/>
        <v/>
      </c>
      <c r="AA110" s="3632">
        <f t="shared" si="13"/>
        <v>1</v>
      </c>
      <c r="AB110" s="3632">
        <f t="shared" si="13"/>
        <v>1</v>
      </c>
      <c r="AC110" s="3632" t="str">
        <f t="shared" si="13"/>
        <v/>
      </c>
      <c r="AD110" s="3632">
        <f t="shared" si="13"/>
        <v>1</v>
      </c>
      <c r="AE110" s="3632" t="str">
        <f t="shared" si="13"/>
        <v/>
      </c>
      <c r="AF110" s="3633" t="str">
        <f t="shared" si="13"/>
        <v/>
      </c>
      <c r="AG110" s="1518" t="str">
        <f t="shared" ref="AG110:AG173" si="14">C110</f>
        <v>Agil-S</v>
      </c>
    </row>
    <row r="111" spans="2:33" ht="17.399999999999999" hidden="1">
      <c r="B111" s="1525">
        <f t="shared" ref="B111:B174" si="15">B110+1</f>
        <v>2</v>
      </c>
      <c r="C111" s="2658" t="s">
        <v>552</v>
      </c>
      <c r="D111" s="3635"/>
      <c r="E111" s="2694"/>
      <c r="F111" s="3631">
        <f>IF(((COUNTIF($F$5:$F6,"x"))-(COUNTIF($F5:$F$5,"x")))=0,"",COUNTIF($F$5:$F6,"x"))</f>
        <v>1</v>
      </c>
      <c r="G111" s="3632">
        <f>IF(((COUNTIF($G$5:$G6,"x"))-(COUNTIF($G5:$G$5,"x")))=0,"",COUNTIF($G$5:$G6,"x"))</f>
        <v>1</v>
      </c>
      <c r="H111" s="3632">
        <f>IF(((COUNTIF($H$5:$H6,"x"))-(COUNTIF($H$5:$H5,"x")))=0,"",COUNTIF($H$5:$H6,"x"))</f>
        <v>1</v>
      </c>
      <c r="I111" s="3632">
        <f>IF(((COUNTIF($I$5:I6,"x"))-(COUNTIF($I$5:I5,"x")))=0,"",COUNTIF($I$5:I6,"x"))</f>
        <v>1</v>
      </c>
      <c r="J111" s="3632">
        <f>IF(((COUNTIF($J$5:J6,"x"))-(COUNTIF($J$5:J5,"x")))=0,"",COUNTIF($J$5:J6,"x"))</f>
        <v>1</v>
      </c>
      <c r="K111" s="3632">
        <f>IF(((COUNTIF($K$5:K6,"x"))-(COUNTIF($K$5:K5,"x")))=0,"",COUNTIF($K$5:K6,"x"))</f>
        <v>1</v>
      </c>
      <c r="L111" s="3632">
        <f>IF(((COUNTIF($L$5:L6,"x"))-(COUNTIF($L$5:L5,"x")))=0,"",COUNTIF($L$5:L6,"x"))</f>
        <v>1</v>
      </c>
      <c r="M111" s="3632">
        <f>IF(((COUNTIF($M$5:M6,"x"))-(COUNTIF($M$5:M5,"x")))=0,"",COUNTIF($M$5:M6,"x"))</f>
        <v>1</v>
      </c>
      <c r="N111" s="3632">
        <f>IF(((COUNTIF($N$5:N6,"x"))-(COUNTIF($N$5:N5,"x")))=0,"",COUNTIF($N$5:N6,"x"))</f>
        <v>1</v>
      </c>
      <c r="O111" s="3632" t="str">
        <f>IF(((COUNTIF($O$5:O6,"x"))-(COUNTIF($O$5:O5,"x")))=0,"",COUNTIF($O$5:O6,"x"))</f>
        <v/>
      </c>
      <c r="P111" s="3632" t="str">
        <f>IF(((COUNTIF($P$5:P6,"x"))-(COUNTIF($P$5:P5,"x")))=0,"",COUNTIF($P$5:P6,"x"))</f>
        <v/>
      </c>
      <c r="Q111" s="3632" t="str">
        <f>IF(((COUNTIF($Q$5:Q6,"x"))-(COUNTIF($Q$5:Q5,"x")))=0,"",COUNTIF($Q$5:Q6,"x"))</f>
        <v/>
      </c>
      <c r="R111" s="3632" t="str">
        <f>IF(((COUNTIF($R$5:R6,"x"))-(COUNTIF($R$5:R5,"x")))=0,"",COUNTIF($R$5:R6,"x"))</f>
        <v/>
      </c>
      <c r="S111" s="3632" t="str">
        <f>IF(((COUNTIF($S$5:S6,"x"))-(COUNTIF($S$5:S5,"x")))=0,"",COUNTIF($S$5:S6,"x"))</f>
        <v/>
      </c>
      <c r="T111" s="3632" t="str">
        <f>IF(((COUNTIF($T$5:T6,"x"))-(COUNTIF($T$5:T5,"x")))=0,"",COUNTIF($T$5:T6,"x"))</f>
        <v/>
      </c>
      <c r="U111" s="3632" t="str">
        <f>IF(((COUNTIF($U$5:U6,"x"))-(COUNTIF($U$5:U5,"x")))=0,"",COUNTIF($U$5:U6,"x"))</f>
        <v/>
      </c>
      <c r="V111" s="3632" t="str">
        <f>IF(((COUNTIF($V$5:V6,"x"))-(COUNTIF($V$5:V5,"x")))=0,"",COUNTIF($V$5:V6,"x"))</f>
        <v/>
      </c>
      <c r="W111" s="3632" t="str">
        <f>IF(((COUNTIF($W$5:W6,"x"))-(COUNTIF($W$5:W5,"x")))=0,"",COUNTIF($W$5:W6,"x"))</f>
        <v/>
      </c>
      <c r="X111" s="3632" t="str">
        <f>IF(((COUNTIF($X$5:X6,"x"))-(COUNTIF($X$5:X5,"x")))=0,"",COUNTIF($X$5:X6,"x"))</f>
        <v/>
      </c>
      <c r="Y111" s="3632" t="str">
        <f>IF(((COUNTIF($Y$5:Y6,"x"))-(COUNTIF($Y$5:Y5,"x")))=0,"",COUNTIF($Y$5:Y6,"x"))</f>
        <v/>
      </c>
      <c r="Z111" s="3632" t="str">
        <f>IF(((COUNTIF($Z$5:Z6,"x"))-(COUNTIF($Z$5:Z5,"x")))=0,"",COUNTIF($Z$5:Z6,"x"))</f>
        <v/>
      </c>
      <c r="AA111" s="3632" t="str">
        <f>IF(((COUNTIF($AA$5:AA6,"x"))-(COUNTIF($AA$5:AA5,"x")))=0,"",COUNTIF($AA$5:AA6,"x"))</f>
        <v/>
      </c>
      <c r="AB111" s="3632" t="str">
        <f>IF(((COUNTIF($AB$5:AB6,"x"))-(COUNTIF($AB$5:AB5,"x")))=0,"",COUNTIF($AB$5:AB6,"x"))</f>
        <v/>
      </c>
      <c r="AC111" s="3632" t="str">
        <f>IF(((COUNTIF($AC$5:AC6,"x"))-(COUNTIF($AC$5:AC5,"x")))=0,"",COUNTIF($AC$5:AC6,"x"))</f>
        <v/>
      </c>
      <c r="AD111" s="3632">
        <f>IF(((COUNTIF($AD$5:AD6,"x"))-(COUNTIF($AD$5:AD5,"x")))=0,"",COUNTIF($AD$5:AD6,"x"))</f>
        <v>2</v>
      </c>
      <c r="AE111" s="3632" t="str">
        <f>IF(((COUNTIF($AE$5:AE6,"x"))-(COUNTIF($AE$5:AE5,"x")))=0,"",COUNTIF($AE$5:AE6,"x"))</f>
        <v/>
      </c>
      <c r="AF111" s="3632" t="str">
        <f>IF(((COUNTIF($AF$5:AF6,"x"))-(COUNTIF($AF$5:AF5,"x")))=0,"",COUNTIF($AF$5:AF6,"x"))</f>
        <v/>
      </c>
      <c r="AG111" s="1518" t="str">
        <f t="shared" si="14"/>
        <v>Ariane C</v>
      </c>
    </row>
    <row r="112" spans="2:33" ht="17.399999999999999" hidden="1">
      <c r="B112" s="1525">
        <f t="shared" si="15"/>
        <v>3</v>
      </c>
      <c r="C112" s="3450"/>
      <c r="D112" s="3635"/>
      <c r="E112" s="2693"/>
      <c r="F112" s="3631" t="str">
        <f>IF(((COUNTIF($F$5:$F7,"x"))-(COUNTIF($F$5:$F6,"x")))=0,"",COUNTIF($F$5:$F7,"x"))</f>
        <v/>
      </c>
      <c r="G112" s="3632" t="str">
        <f>IF(((COUNTIF($G$5:$G7,"x"))-(COUNTIF($G$5:$G6,"x")))=0,"",COUNTIF($G$5:$G7,"x"))</f>
        <v/>
      </c>
      <c r="H112" s="3632" t="str">
        <f>IF(((COUNTIF($H$5:$H7,"x"))-(COUNTIF($H$5:$H6,"x")))=0,"",COUNTIF($H$5:$H7,"x"))</f>
        <v/>
      </c>
      <c r="I112" s="3632" t="str">
        <f>IF(((COUNTIF($I$5:I7,"x"))-(COUNTIF($I$5:I6,"x")))=0,"",COUNTIF($I$5:I7,"x"))</f>
        <v/>
      </c>
      <c r="J112" s="3632" t="str">
        <f>IF(((COUNTIF($J$5:J7,"x"))-(COUNTIF($J$5:J6,"x")))=0,"",COUNTIF($J$5:J7,"x"))</f>
        <v/>
      </c>
      <c r="K112" s="3632" t="str">
        <f>IF(((COUNTIF($K$5:K7,"x"))-(COUNTIF($K$5:K6,"x")))=0,"",COUNTIF($K$5:K7,"x"))</f>
        <v/>
      </c>
      <c r="L112" s="3632" t="str">
        <f>IF(((COUNTIF($L$5:L7,"x"))-(COUNTIF($L$5:L6,"x")))=0,"",COUNTIF($L$5:L7,"x"))</f>
        <v/>
      </c>
      <c r="M112" s="3632" t="str">
        <f>IF(((COUNTIF($M$5:M7,"x"))-(COUNTIF($M$5:M6,"x")))=0,"",COUNTIF($M$5:M7,"x"))</f>
        <v/>
      </c>
      <c r="N112" s="3632" t="str">
        <f>IF(((COUNTIF($N$5:N7,"x"))-(COUNTIF($N$5:N6,"x")))=0,"",COUNTIF($N$5:N7,"x"))</f>
        <v/>
      </c>
      <c r="O112" s="3632" t="str">
        <f>IF(((COUNTIF($O$5:O7,"x"))-(COUNTIF($O$5:O6,"x")))=0,"",COUNTIF($O$5:O7,"x"))</f>
        <v/>
      </c>
      <c r="P112" s="3632" t="str">
        <f>IF(((COUNTIF($P$5:P7,"x"))-(COUNTIF($P$5:P6,"x")))=0,"",COUNTIF($P$5:P7,"x"))</f>
        <v/>
      </c>
      <c r="Q112" s="3632" t="str">
        <f>IF(((COUNTIF($Q$5:Q7,"x"))-(COUNTIF($Q$5:Q6,"x")))=0,"",COUNTIF($Q$5:Q7,"x"))</f>
        <v/>
      </c>
      <c r="R112" s="3632" t="str">
        <f>IF(((COUNTIF($R$5:R7,"x"))-(COUNTIF($R$5:R6,"x")))=0,"",COUNTIF($R$5:R7,"x"))</f>
        <v/>
      </c>
      <c r="S112" s="3632" t="str">
        <f>IF(((COUNTIF($S$5:S7,"x"))-(COUNTIF($S$5:S6,"x")))=0,"",COUNTIF($S$5:S7,"x"))</f>
        <v/>
      </c>
      <c r="T112" s="3632" t="str">
        <f>IF(((COUNTIF($T$5:T7,"x"))-(COUNTIF($T$5:T6,"x")))=0,"",COUNTIF($T$5:T7,"x"))</f>
        <v/>
      </c>
      <c r="U112" s="3632" t="str">
        <f>IF(((COUNTIF($U$5:U7,"x"))-(COUNTIF($U$5:U6,"x")))=0,"",COUNTIF($U$5:U7,"x"))</f>
        <v/>
      </c>
      <c r="V112" s="3632" t="str">
        <f>IF(((COUNTIF($V$5:V7,"x"))-(COUNTIF($V$5:V6,"x")))=0,"",COUNTIF($V$5:V7,"x"))</f>
        <v/>
      </c>
      <c r="W112" s="3632" t="str">
        <f>IF(((COUNTIF($W$5:W7,"x"))-(COUNTIF($W$5:W6,"x")))=0,"",COUNTIF($W$5:W7,"x"))</f>
        <v/>
      </c>
      <c r="X112" s="3632" t="str">
        <f>IF(((COUNTIF($X$5:X7,"x"))-(COUNTIF($X$5:X6,"x")))=0,"",COUNTIF($X$5:X7,"x"))</f>
        <v/>
      </c>
      <c r="Y112" s="3632" t="str">
        <f>IF(((COUNTIF($Y$5:Y7,"x"))-(COUNTIF($Y$5:Y6,"x")))=0,"",COUNTIF($Y$5:Y7,"x"))</f>
        <v/>
      </c>
      <c r="Z112" s="3632" t="str">
        <f>IF(((COUNTIF($Z$5:Z7,"x"))-(COUNTIF($Z$5:Z6,"x")))=0,"",COUNTIF($Z$5:Z7,"x"))</f>
        <v/>
      </c>
      <c r="AA112" s="3632" t="str">
        <f>IF(((COUNTIF($AA$5:AA7,"x"))-(COUNTIF($AA$5:AA6,"x")))=0,"",COUNTIF($AA$5:AA7,"x"))</f>
        <v/>
      </c>
      <c r="AB112" s="3632" t="str">
        <f>IF(((COUNTIF($AB$5:AB7,"x"))-(COUNTIF($AB$5:AB6,"x")))=0,"",COUNTIF($AB$5:AB7,"x"))</f>
        <v/>
      </c>
      <c r="AC112" s="3632" t="str">
        <f>IF(((COUNTIF($AC$5:AC7,"x"))-(COUNTIF($AC$5:AC6,"x")))=0,"",COUNTIF($AC$5:AC7,"x"))</f>
        <v/>
      </c>
      <c r="AD112" s="3632" t="str">
        <f>IF(((COUNTIF($AD$5:AD7,"x"))-(COUNTIF($AD$5:AD6,"x")))=0,"",COUNTIF($AD$5:AD7,"x"))</f>
        <v/>
      </c>
      <c r="AE112" s="3632" t="str">
        <f>IF(((COUNTIF($AE$5:AE7,"x"))-(COUNTIF($AE$5:AE6,"x")))=0,"",COUNTIF($AE$5:AE7,"x"))</f>
        <v/>
      </c>
      <c r="AF112" s="3633" t="str">
        <f>IF(((COUNTIF($AF$5:AF7,"x"))-(COUNTIF($AF$5:AF6,"x")))=0,"",COUNTIF($AF$5:AF7,"x"))</f>
        <v/>
      </c>
      <c r="AG112" s="1518">
        <f t="shared" si="14"/>
        <v>0</v>
      </c>
    </row>
    <row r="113" spans="2:33" ht="17.399999999999999" hidden="1">
      <c r="B113" s="1525">
        <f t="shared" si="15"/>
        <v>4</v>
      </c>
      <c r="C113" s="2658" t="s">
        <v>547</v>
      </c>
      <c r="D113" s="3635"/>
      <c r="E113" s="2693"/>
      <c r="F113" s="3631">
        <f>IF(((COUNTIF($F$5:$F8,"x"))-(COUNTIF($F$5:$F7,"x")))=0,"",COUNTIF($F$5:$F8,"x"))</f>
        <v>2</v>
      </c>
      <c r="G113" s="3632" t="str">
        <f>IF(((COUNTIF($G$5:$G8,"x"))-(COUNTIF($G$5:$G7,"x")))=0,"",COUNTIF($G$5:$G8,"x"))</f>
        <v/>
      </c>
      <c r="H113" s="3632">
        <f>IF(((COUNTIF($H$5:$H8,"x"))-(COUNTIF($H$5:$H7,"x")))=0,"",COUNTIF($H$5:$H8,"x"))</f>
        <v>2</v>
      </c>
      <c r="I113" s="3632">
        <f>IF(((COUNTIF($I$5:I8,"x"))-(COUNTIF($I$5:I7,"x")))=0,"",COUNTIF($I$5:I8,"x"))</f>
        <v>2</v>
      </c>
      <c r="J113" s="3632">
        <f>IF(((COUNTIF($J$5:J8,"x"))-(COUNTIF($J$5:J7,"x")))=0,"",COUNTIF($J$5:J8,"x"))</f>
        <v>2</v>
      </c>
      <c r="K113" s="3632">
        <f>IF(((COUNTIF($K$5:K8,"x"))-(COUNTIF($K$5:K7,"x")))=0,"",COUNTIF($K$5:K8,"x"))</f>
        <v>2</v>
      </c>
      <c r="L113" s="3632">
        <f>IF(((COUNTIF($L$5:L8,"x"))-(COUNTIF($L$5:L7,"x")))=0,"",COUNTIF($L$5:L8,"x"))</f>
        <v>2</v>
      </c>
      <c r="M113" s="3632">
        <f>IF(((COUNTIF($M$5:M8,"x"))-(COUNTIF($M$5:M7,"x")))=0,"",COUNTIF($M$5:M8,"x"))</f>
        <v>2</v>
      </c>
      <c r="N113" s="3632">
        <f>IF(((COUNTIF($N$5:N8,"x"))-(COUNTIF($N$5:N7,"x")))=0,"",COUNTIF($N$5:N8,"x"))</f>
        <v>2</v>
      </c>
      <c r="O113" s="3632" t="str">
        <f>IF(((COUNTIF($O$5:O8,"x"))-(COUNTIF($O$5:O7,"x")))=0,"",COUNTIF($O$5:O8,"x"))</f>
        <v/>
      </c>
      <c r="P113" s="3632" t="str">
        <f>IF(((COUNTIF($P$5:P8,"x"))-(COUNTIF($P$5:P7,"x")))=0,"",COUNTIF($P$5:P8,"x"))</f>
        <v/>
      </c>
      <c r="Q113" s="3632" t="str">
        <f>IF(((COUNTIF($Q$5:Q8,"x"))-(COUNTIF($Q$5:Q7,"x")))=0,"",COUNTIF($Q$5:Q8,"x"))</f>
        <v/>
      </c>
      <c r="R113" s="3632" t="str">
        <f>IF(((COUNTIF($R$5:R8,"x"))-(COUNTIF($R$5:R7,"x")))=0,"",COUNTIF($R$5:R8,"x"))</f>
        <v/>
      </c>
      <c r="S113" s="3632" t="str">
        <f>IF(((COUNTIF($S$5:S8,"x"))-(COUNTIF($S$5:S7,"x")))=0,"",COUNTIF($S$5:S8,"x"))</f>
        <v/>
      </c>
      <c r="T113" s="3632" t="str">
        <f>IF(((COUNTIF($T$5:T8,"x"))-(COUNTIF($T$5:T7,"x")))=0,"",COUNTIF($T$5:T8,"x"))</f>
        <v/>
      </c>
      <c r="U113" s="3632" t="str">
        <f>IF(((COUNTIF($U$5:U8,"x"))-(COUNTIF($U$5:U7,"x")))=0,"",COUNTIF($U$5:U8,"x"))</f>
        <v/>
      </c>
      <c r="V113" s="3632" t="str">
        <f>IF(((COUNTIF($V$5:V8,"x"))-(COUNTIF($V$5:V7,"x")))=0,"",COUNTIF($V$5:V8,"x"))</f>
        <v/>
      </c>
      <c r="W113" s="3632" t="str">
        <f>IF(((COUNTIF($W$5:W8,"x"))-(COUNTIF($W$5:W7,"x")))=0,"",COUNTIF($W$5:W8,"x"))</f>
        <v/>
      </c>
      <c r="X113" s="3632" t="str">
        <f>IF(((COUNTIF($X$5:X8,"x"))-(COUNTIF($X$5:X7,"x")))=0,"",COUNTIF($X$5:X8,"x"))</f>
        <v/>
      </c>
      <c r="Y113" s="3632" t="str">
        <f>IF(((COUNTIF($Y$5:Y8,"x"))-(COUNTIF($Y$5:Y7,"x")))=0,"",COUNTIF($Y$5:Y8,"x"))</f>
        <v/>
      </c>
      <c r="Z113" s="3632" t="str">
        <f>IF(((COUNTIF($Z$5:Z8,"x"))-(COUNTIF($Z$5:Z7,"x")))=0,"",COUNTIF($Z$5:Z8,"x"))</f>
        <v/>
      </c>
      <c r="AA113" s="3632" t="str">
        <f>IF(((COUNTIF($AA$5:AA8,"x"))-(COUNTIF($AA$5:AA7,"x")))=0,"",COUNTIF($AA$5:AA8,"x"))</f>
        <v/>
      </c>
      <c r="AB113" s="3632" t="str">
        <f>IF(((COUNTIF($AB$5:AB8,"x"))-(COUNTIF($AB$5:AB7,"x")))=0,"",COUNTIF($AB$5:AB8,"x"))</f>
        <v/>
      </c>
      <c r="AC113" s="3632" t="str">
        <f>IF(((COUNTIF($AC$5:AC8,"x"))-(COUNTIF($AC$5:AC7,"x")))=0,"",COUNTIF($AC$5:AC8,"x"))</f>
        <v/>
      </c>
      <c r="AD113" s="3632">
        <f>IF(((COUNTIF($AD$5:AD8,"x"))-(COUNTIF($AD$5:AD7,"x")))=0,"",COUNTIF($AD$5:AD8,"x"))</f>
        <v>3</v>
      </c>
      <c r="AE113" s="3632" t="str">
        <f>IF(((COUNTIF($AE$5:AE8,"x"))-(COUNTIF($AE$5:AE7,"x")))=0,"",COUNTIF($AE$5:AE8,"x"))</f>
        <v/>
      </c>
      <c r="AF113" s="3633" t="str">
        <f>IF(((COUNTIF($AF$5:AF8,"x"))-(COUNTIF($AF$5:AF7,"x")))=0,"",COUNTIF($AF$5:AF8,"x"))</f>
        <v/>
      </c>
      <c r="AG113" s="1518" t="str">
        <f t="shared" si="14"/>
        <v>Artus</v>
      </c>
    </row>
    <row r="114" spans="2:33" ht="17.399999999999999" hidden="1">
      <c r="B114" s="1525">
        <f t="shared" si="15"/>
        <v>5</v>
      </c>
      <c r="C114" s="2658" t="s">
        <v>1482</v>
      </c>
      <c r="D114" s="3635"/>
      <c r="E114" s="2693"/>
      <c r="F114" s="3631">
        <f>IF(((COUNTIF($F$5:$F9,"x"))-(COUNTIF($F$5:$F8,"x")))=0,"",COUNTIF($F$5:$F9,"x"))</f>
        <v>3</v>
      </c>
      <c r="G114" s="3632">
        <f>IF(((COUNTIF($G$5:$G9,"x"))-(COUNTIF($G$5:$G8,"x")))=0,"",COUNTIF($G$5:$G9,"x"))</f>
        <v>2</v>
      </c>
      <c r="H114" s="3632">
        <f>IF(((COUNTIF($H$5:$H9,"x"))-(COUNTIF($H$5:$H8,"x")))=0,"",COUNTIF($H$5:$H9,"x"))</f>
        <v>3</v>
      </c>
      <c r="I114" s="3632">
        <f>IF(((COUNTIF($I$5:I9,"x"))-(COUNTIF($I$5:I8,"x")))=0,"",COUNTIF($I$5:I9,"x"))</f>
        <v>3</v>
      </c>
      <c r="J114" s="3632">
        <f>IF(((COUNTIF($J$5:J9,"x"))-(COUNTIF($J$5:J8,"x")))=0,"",COUNTIF($J$5:J9,"x"))</f>
        <v>3</v>
      </c>
      <c r="K114" s="3632">
        <f>IF(((COUNTIF($K$5:K9,"x"))-(COUNTIF($K$5:K8,"x")))=0,"",COUNTIF($K$5:K9,"x"))</f>
        <v>3</v>
      </c>
      <c r="L114" s="3632">
        <f>IF(((COUNTIF($L$5:L9,"x"))-(COUNTIF($L$5:L8,"x")))=0,"",COUNTIF($L$5:L9,"x"))</f>
        <v>3</v>
      </c>
      <c r="M114" s="3632">
        <f>IF(((COUNTIF($M$5:M9,"x"))-(COUNTIF($M$5:M8,"x")))=0,"",COUNTIF($M$5:M9,"x"))</f>
        <v>3</v>
      </c>
      <c r="N114" s="3632">
        <f>IF(((COUNTIF($N$5:N9,"x"))-(COUNTIF($N$5:N8,"x")))=0,"",COUNTIF($N$5:N9,"x"))</f>
        <v>3</v>
      </c>
      <c r="O114" s="3632">
        <f>IF(((COUNTIF($O$5:O9,"x"))-(COUNTIF($O$5:O8,"x")))=0,"",COUNTIF($O$5:O9,"x"))</f>
        <v>1</v>
      </c>
      <c r="P114" s="3632" t="str">
        <f>IF(((COUNTIF($P$5:P9,"x"))-(COUNTIF($P$5:P8,"x")))=0,"",COUNTIF($P$5:P9,"x"))</f>
        <v/>
      </c>
      <c r="Q114" s="3632" t="str">
        <f>IF(((COUNTIF($Q$5:Q9,"x"))-(COUNTIF($Q$5:Q8,"x")))=0,"",COUNTIF($Q$5:Q9,"x"))</f>
        <v/>
      </c>
      <c r="R114" s="3632" t="str">
        <f>IF(((COUNTIF($R$5:R9,"x"))-(COUNTIF($R$5:R8,"x")))=0,"",COUNTIF($R$5:R9,"x"))</f>
        <v/>
      </c>
      <c r="S114" s="3632" t="str">
        <f>IF(((COUNTIF($S$5:S9,"x"))-(COUNTIF($S$5:S8,"x")))=0,"",COUNTIF($S$5:S9,"x"))</f>
        <v/>
      </c>
      <c r="T114" s="3632" t="str">
        <f>IF(((COUNTIF($T$5:T9,"x"))-(COUNTIF($T$5:T8,"x")))=0,"",COUNTIF($T$5:T9,"x"))</f>
        <v/>
      </c>
      <c r="U114" s="3632" t="str">
        <f>IF(((COUNTIF($U$5:U9,"x"))-(COUNTIF($U$5:U8,"x")))=0,"",COUNTIF($U$5:U9,"x"))</f>
        <v/>
      </c>
      <c r="V114" s="3632" t="str">
        <f>IF(((COUNTIF($V$5:V9,"x"))-(COUNTIF($V$5:V8,"x")))=0,"",COUNTIF($V$5:V9,"x"))</f>
        <v/>
      </c>
      <c r="W114" s="3632" t="str">
        <f>IF(((COUNTIF($W$5:W9,"x"))-(COUNTIF($W$5:W8,"x")))=0,"",COUNTIF($W$5:W9,"x"))</f>
        <v/>
      </c>
      <c r="X114" s="3632" t="str">
        <f>IF(((COUNTIF($X$5:X9,"x"))-(COUNTIF($X$5:X8,"x")))=0,"",COUNTIF($X$5:X9,"x"))</f>
        <v/>
      </c>
      <c r="Y114" s="3632" t="str">
        <f>IF(((COUNTIF($Y$5:Y9,"x"))-(COUNTIF($Y$5:Y8,"x")))=0,"",COUNTIF($Y$5:Y9,"x"))</f>
        <v/>
      </c>
      <c r="Z114" s="3632" t="str">
        <f>IF(((COUNTIF($Z$5:Z9,"x"))-(COUNTIF($Z$5:Z8,"x")))=0,"",COUNTIF($Z$5:Z9,"x"))</f>
        <v/>
      </c>
      <c r="AA114" s="3632" t="str">
        <f>IF(((COUNTIF($AA$5:AA9,"x"))-(COUNTIF($AA$5:AA8,"x")))=0,"",COUNTIF($AA$5:AA9,"x"))</f>
        <v/>
      </c>
      <c r="AB114" s="3632" t="str">
        <f>IF(((COUNTIF($AB$5:AB9,"x"))-(COUNTIF($AB$5:AB8,"x")))=0,"",COUNTIF($AB$5:AB9,"x"))</f>
        <v/>
      </c>
      <c r="AC114" s="3632" t="str">
        <f>IF(((COUNTIF($AC$5:AC9,"x"))-(COUNTIF($AC$5:AC8,"x")))=0,"",COUNTIF($AC$5:AC9,"x"))</f>
        <v/>
      </c>
      <c r="AD114" s="3632">
        <f>IF(((COUNTIF($AD$5:AD9,"x"))-(COUNTIF($AD$5:AD8,"x")))=0,"",COUNTIF($AD$5:AD9,"x"))</f>
        <v>4</v>
      </c>
      <c r="AE114" s="3632" t="str">
        <f>IF(((COUNTIF($AE$5:AE9,"x"))-(COUNTIF($AE$5:AE8,"x")))=0,"",COUNTIF($AE$5:AE9,"x"))</f>
        <v/>
      </c>
      <c r="AF114" s="3633" t="str">
        <f>IF(((COUNTIF($AF$5:AF9,"x"))-(COUNTIF($AF$5:AF8,"x")))=0,"",COUNTIF($AF$5:AF9,"x"))</f>
        <v/>
      </c>
      <c r="AG114" s="1518" t="str">
        <f t="shared" si="14"/>
        <v>Ascra Xpro</v>
      </c>
    </row>
    <row r="115" spans="2:33" ht="17.399999999999999" hidden="1">
      <c r="B115" s="1525">
        <f t="shared" si="15"/>
        <v>6</v>
      </c>
      <c r="C115" s="2658" t="s">
        <v>1474</v>
      </c>
      <c r="D115" s="3635"/>
      <c r="E115" s="2695"/>
      <c r="F115" s="3631">
        <f>IF(((COUNTIF($F$5:$F10,"x"))-(COUNTIF($F$5:$F9,"x")))=0,"",COUNTIF($F$5:$F10,"x"))</f>
        <v>4</v>
      </c>
      <c r="G115" s="3632">
        <f>IF(((COUNTIF($G$5:$G10,"x"))-(COUNTIF($G$5:$G9,"x")))=0,"",COUNTIF($G$5:$G10,"x"))</f>
        <v>3</v>
      </c>
      <c r="H115" s="3632">
        <f>IF(((COUNTIF($H$5:$H10,"x"))-(COUNTIF($H$5:$H9,"x")))=0,"",COUNTIF($H$5:$H10,"x"))</f>
        <v>4</v>
      </c>
      <c r="I115" s="3632">
        <f>IF(((COUNTIF($I$5:I10,"x"))-(COUNTIF($I$5:I9,"x")))=0,"",COUNTIF($I$5:I10,"x"))</f>
        <v>4</v>
      </c>
      <c r="J115" s="3632" t="str">
        <f>IF(((COUNTIF($J$5:J10,"x"))-(COUNTIF($J$5:J9,"x")))=0,"",COUNTIF($J$5:J10,"x"))</f>
        <v/>
      </c>
      <c r="K115" s="3632" t="str">
        <f>IF(((COUNTIF($K$5:K10,"x"))-(COUNTIF($K$5:K9,"x")))=0,"",COUNTIF($K$5:K10,"x"))</f>
        <v/>
      </c>
      <c r="L115" s="3632" t="str">
        <f>IF(((COUNTIF($L$5:L10,"x"))-(COUNTIF($L$5:L9,"x")))=0,"",COUNTIF($L$5:L10,"x"))</f>
        <v/>
      </c>
      <c r="M115" s="3632" t="str">
        <f>IF(((COUNTIF($M$5:M10,"x"))-(COUNTIF($M$5:M9,"x")))=0,"",COUNTIF($M$5:M10,"x"))</f>
        <v/>
      </c>
      <c r="N115" s="3632" t="str">
        <f>IF(((COUNTIF($N$5:N10,"x"))-(COUNTIF($N$5:N9,"x")))=0,"",COUNTIF($N$5:N10,"x"))</f>
        <v/>
      </c>
      <c r="O115" s="3632">
        <f>IF(((COUNTIF($O$5:O10,"x"))-(COUNTIF($O$5:O9,"x")))=0,"",COUNTIF($O$5:O10,"x"))</f>
        <v>2</v>
      </c>
      <c r="P115" s="3632" t="str">
        <f>IF(((COUNTIF($P$5:P10,"x"))-(COUNTIF($P$5:P9,"x")))=0,"",COUNTIF($P$5:P10,"x"))</f>
        <v/>
      </c>
      <c r="Q115" s="3632" t="str">
        <f>IF(((COUNTIF($Q$5:Q10,"x"))-(COUNTIF($Q$5:Q9,"x")))=0,"",COUNTIF($Q$5:Q10,"x"))</f>
        <v/>
      </c>
      <c r="R115" s="3632" t="str">
        <f>IF(((COUNTIF($R$5:R10,"x"))-(COUNTIF($R$5:R9,"x")))=0,"",COUNTIF($R$5:R10,"x"))</f>
        <v/>
      </c>
      <c r="S115" s="3632" t="str">
        <f>IF(((COUNTIF($S$5:S10,"x"))-(COUNTIF($S$5:S9,"x")))=0,"",COUNTIF($S$5:S10,"x"))</f>
        <v/>
      </c>
      <c r="T115" s="3632" t="str">
        <f>IF(((COUNTIF($T$5:T10,"x"))-(COUNTIF($T$5:T9,"x")))=0,"",COUNTIF($T$5:T10,"x"))</f>
        <v/>
      </c>
      <c r="U115" s="3632" t="str">
        <f>IF(((COUNTIF($U$5:U10,"x"))-(COUNTIF($U$5:U9,"x")))=0,"",COUNTIF($U$5:U10,"x"))</f>
        <v/>
      </c>
      <c r="V115" s="3632" t="str">
        <f>IF(((COUNTIF($V$5:V10,"x"))-(COUNTIF($V$5:V9,"x")))=0,"",COUNTIF($V$5:V10,"x"))</f>
        <v/>
      </c>
      <c r="W115" s="3632" t="str">
        <f>IF(((COUNTIF($W$5:W10,"x"))-(COUNTIF($W$5:W9,"x")))=0,"",COUNTIF($W$5:W10,"x"))</f>
        <v/>
      </c>
      <c r="X115" s="3632" t="str">
        <f>IF(((COUNTIF($X$5:X10,"x"))-(COUNTIF($X$5:X9,"x")))=0,"",COUNTIF($X$5:X10,"x"))</f>
        <v/>
      </c>
      <c r="Y115" s="3632" t="str">
        <f>IF(((COUNTIF($Y$5:Y10,"x"))-(COUNTIF($Y$5:Y9,"x")))=0,"",COUNTIF($Y$5:Y10,"x"))</f>
        <v/>
      </c>
      <c r="Z115" s="3632" t="str">
        <f>IF(((COUNTIF($Z$5:Z10,"x"))-(COUNTIF($Z$5:Z9,"x")))=0,"",COUNTIF($Z$5:Z10,"x"))</f>
        <v/>
      </c>
      <c r="AA115" s="3632" t="str">
        <f>IF(((COUNTIF($AA$5:AA10,"x"))-(COUNTIF($AA$5:AA9,"x")))=0,"",COUNTIF($AA$5:AA10,"x"))</f>
        <v/>
      </c>
      <c r="AB115" s="3632" t="str">
        <f>IF(((COUNTIF($AB$5:AB10,"x"))-(COUNTIF($AB$5:AB9,"x")))=0,"",COUNTIF($AB$5:AB10,"x"))</f>
        <v/>
      </c>
      <c r="AC115" s="3632" t="str">
        <f>IF(((COUNTIF($AC$5:AC10,"x"))-(COUNTIF($AC$5:AC9,"x")))=0,"",COUNTIF($AC$5:AC10,"x"))</f>
        <v/>
      </c>
      <c r="AD115" s="3632">
        <f>IF(((COUNTIF($AD$5:AD10,"x"))-(COUNTIF($AD$5:AD9,"x")))=0,"",COUNTIF($AD$5:AD10,"x"))</f>
        <v>5</v>
      </c>
      <c r="AE115" s="3632" t="str">
        <f>IF(((COUNTIF($AE$5:AE10,"x"))-(COUNTIF($AE$5:AE9,"x")))=0,"",COUNTIF($AE$5:AE10,"x"))</f>
        <v/>
      </c>
      <c r="AF115" s="3633" t="str">
        <f>IF(((COUNTIF($AF$5:AF10,"x"))-(COUNTIF($AF$5:AF9,"x")))=0,"",COUNTIF($AF$5:AF10,"x"))</f>
        <v/>
      </c>
      <c r="AG115" s="1518" t="str">
        <f t="shared" si="14"/>
        <v>Atlantis Flex + Biopower</v>
      </c>
    </row>
    <row r="116" spans="2:33" ht="17.399999999999999" hidden="1">
      <c r="B116" s="1525">
        <f t="shared" si="15"/>
        <v>7</v>
      </c>
      <c r="C116" s="2915"/>
      <c r="D116" s="3635"/>
      <c r="E116" s="2695"/>
      <c r="F116" s="3631" t="str">
        <f>IF(((COUNTIF($F$5:$F11,"x"))-(COUNTIF($F$5:$F10,"x")))=0,"",COUNTIF($F$5:$F11,"x"))</f>
        <v/>
      </c>
      <c r="G116" s="3632" t="str">
        <f>IF(((COUNTIF($G$5:$G11,"x"))-(COUNTIF($G$5:$G10,"x")))=0,"",COUNTIF($G$5:$G11,"x"))</f>
        <v/>
      </c>
      <c r="H116" s="3632" t="str">
        <f>IF(((COUNTIF($H$5:$H11,"x"))-(COUNTIF($H$5:$H10,"x")))=0,"",COUNTIF($H$5:$H11,"x"))</f>
        <v/>
      </c>
      <c r="I116" s="3632" t="str">
        <f>IF(((COUNTIF($I$5:I11,"x"))-(COUNTIF($I$5:I10,"x")))=0,"",COUNTIF($I$5:I11,"x"))</f>
        <v/>
      </c>
      <c r="J116" s="3632" t="str">
        <f>IF(((COUNTIF($J$5:J11,"x"))-(COUNTIF($J$5:J10,"x")))=0,"",COUNTIF($J$5:J11,"x"))</f>
        <v/>
      </c>
      <c r="K116" s="3632" t="str">
        <f>IF(((COUNTIF($K$5:K11,"x"))-(COUNTIF($K$5:K10,"x")))=0,"",COUNTIF($K$5:K11,"x"))</f>
        <v/>
      </c>
      <c r="L116" s="3632" t="str">
        <f>IF(((COUNTIF($L$5:L11,"x"))-(COUNTIF($L$5:L10,"x")))=0,"",COUNTIF($L$5:L11,"x"))</f>
        <v/>
      </c>
      <c r="M116" s="3632" t="str">
        <f>IF(((COUNTIF($M$5:M11,"x"))-(COUNTIF($M$5:M10,"x")))=0,"",COUNTIF($M$5:M11,"x"))</f>
        <v/>
      </c>
      <c r="N116" s="3632" t="str">
        <f>IF(((COUNTIF($N$5:N11,"x"))-(COUNTIF($N$5:N10,"x")))=0,"",COUNTIF($N$5:N11,"x"))</f>
        <v/>
      </c>
      <c r="O116" s="3632" t="str">
        <f>IF(((COUNTIF($O$5:O11,"x"))-(COUNTIF($O$5:O10,"x")))=0,"",COUNTIF($O$5:O11,"x"))</f>
        <v/>
      </c>
      <c r="P116" s="3632" t="str">
        <f>IF(((COUNTIF($P$5:P11,"x"))-(COUNTIF($P$5:P10,"x")))=0,"",COUNTIF($P$5:P11,"x"))</f>
        <v/>
      </c>
      <c r="Q116" s="3632" t="str">
        <f>IF(((COUNTIF($Q$5:Q11,"x"))-(COUNTIF($Q$5:Q10,"x")))=0,"",COUNTIF($Q$5:Q11,"x"))</f>
        <v/>
      </c>
      <c r="R116" s="3632" t="str">
        <f>IF(((COUNTIF($R$5:R11,"x"))-(COUNTIF($R$5:R10,"x")))=0,"",COUNTIF($R$5:R11,"x"))</f>
        <v/>
      </c>
      <c r="S116" s="3632" t="str">
        <f>IF(((COUNTIF($S$5:S11,"x"))-(COUNTIF($S$5:S10,"x")))=0,"",COUNTIF($S$5:S11,"x"))</f>
        <v/>
      </c>
      <c r="T116" s="3632" t="str">
        <f>IF(((COUNTIF($T$5:T11,"x"))-(COUNTIF($T$5:T10,"x")))=0,"",COUNTIF($T$5:T11,"x"))</f>
        <v/>
      </c>
      <c r="U116" s="3632" t="str">
        <f>IF(((COUNTIF($U$5:U11,"x"))-(COUNTIF($U$5:U10,"x")))=0,"",COUNTIF($U$5:U11,"x"))</f>
        <v/>
      </c>
      <c r="V116" s="3632" t="str">
        <f>IF(((COUNTIF($V$5:V11,"x"))-(COUNTIF($V$5:V10,"x")))=0,"",COUNTIF($V$5:V11,"x"))</f>
        <v/>
      </c>
      <c r="W116" s="3632" t="str">
        <f>IF(((COUNTIF($W$5:W11,"x"))-(COUNTIF($W$5:W10,"x")))=0,"",COUNTIF($W$5:W11,"x"))</f>
        <v/>
      </c>
      <c r="X116" s="3632" t="str">
        <f>IF(((COUNTIF($X$5:X11,"x"))-(COUNTIF($X$5:X10,"x")))=0,"",COUNTIF($X$5:X11,"x"))</f>
        <v/>
      </c>
      <c r="Y116" s="3632" t="str">
        <f>IF(((COUNTIF($Y$5:Y11,"x"))-(COUNTIF($Y$5:Y10,"x")))=0,"",COUNTIF($Y$5:Y11,"x"))</f>
        <v/>
      </c>
      <c r="Z116" s="3632" t="str">
        <f>IF(((COUNTIF($Z$5:Z11,"x"))-(COUNTIF($Z$5:Z10,"x")))=0,"",COUNTIF($Z$5:Z11,"x"))</f>
        <v/>
      </c>
      <c r="AA116" s="3632" t="str">
        <f>IF(((COUNTIF($AA$5:AA11,"x"))-(COUNTIF($AA$5:AA10,"x")))=0,"",COUNTIF($AA$5:AA11,"x"))</f>
        <v/>
      </c>
      <c r="AB116" s="3632" t="str">
        <f>IF(((COUNTIF($AB$5:AB11,"x"))-(COUNTIF($AB$5:AB10,"x")))=0,"",COUNTIF($AB$5:AB11,"x"))</f>
        <v/>
      </c>
      <c r="AC116" s="3632" t="str">
        <f>IF(((COUNTIF($AC$5:AC11,"x"))-(COUNTIF($AC$5:AC10,"x")))=0,"",COUNTIF($AC$5:AC11,"x"))</f>
        <v/>
      </c>
      <c r="AD116" s="3632" t="str">
        <f>IF(((COUNTIF($AD$5:AD11,"x"))-(COUNTIF($AD$5:AD10,"x")))=0,"",COUNTIF($AD$5:AD11,"x"))</f>
        <v/>
      </c>
      <c r="AE116" s="3632" t="str">
        <f>IF(((COUNTIF($AE$5:AE11,"x"))-(COUNTIF($AE$5:AE10,"x")))=0,"",COUNTIF($AE$5:AE11,"x"))</f>
        <v/>
      </c>
      <c r="AF116" s="3633" t="str">
        <f>IF(((COUNTIF($AF$5:AF11,"x"))-(COUNTIF($AF$5:AF10,"x")))=0,"",COUNTIF($AF$5:AF11,"x"))</f>
        <v/>
      </c>
      <c r="AG116" s="1518">
        <f t="shared" si="14"/>
        <v>0</v>
      </c>
    </row>
    <row r="117" spans="2:33" ht="17.399999999999999" hidden="1">
      <c r="B117" s="1525">
        <f t="shared" si="15"/>
        <v>8</v>
      </c>
      <c r="C117" s="2658" t="s">
        <v>1475</v>
      </c>
      <c r="D117" s="3635"/>
      <c r="E117" s="2694"/>
      <c r="F117" s="3631">
        <f>IF(((COUNTIF($F$5:$F12,"x"))-(COUNTIF($F$5:$F11,"x")))=0,"",COUNTIF($F$5:$F12,"x"))</f>
        <v>5</v>
      </c>
      <c r="G117" s="3632">
        <f>IF(((COUNTIF($G$5:$G12,"x"))-(COUNTIF($G$5:$G11,"x")))=0,"",COUNTIF($G$5:$G12,"x"))</f>
        <v>4</v>
      </c>
      <c r="H117" s="3632">
        <f>IF(((COUNTIF($H$5:$H12,"x"))-(COUNTIF($H$5:$H11,"x")))=0,"",COUNTIF($H$5:$H12,"x"))</f>
        <v>5</v>
      </c>
      <c r="I117" s="3632">
        <f>IF(((COUNTIF($I$5:I12,"x"))-(COUNTIF($I$5:I11,"x")))=0,"",COUNTIF($I$5:I12,"x"))</f>
        <v>5</v>
      </c>
      <c r="J117" s="3632">
        <f>IF(((COUNTIF($J$5:J12,"x"))-(COUNTIF($J$5:J11,"x")))=0,"",COUNTIF($J$5:J12,"x"))</f>
        <v>4</v>
      </c>
      <c r="K117" s="3632">
        <f>IF(((COUNTIF($K$5:K12,"x"))-(COUNTIF($K$5:K11,"x")))=0,"",COUNTIF($K$5:K12,"x"))</f>
        <v>4</v>
      </c>
      <c r="L117" s="3632">
        <f>IF(((COUNTIF($L$5:L12,"x"))-(COUNTIF($L$5:L11,"x")))=0,"",COUNTIF($L$5:L12,"x"))</f>
        <v>4</v>
      </c>
      <c r="M117" s="3632">
        <f>IF(((COUNTIF($M$5:M12,"x"))-(COUNTIF($M$5:M11,"x")))=0,"",COUNTIF($M$5:M12,"x"))</f>
        <v>4</v>
      </c>
      <c r="N117" s="3632" t="str">
        <f>IF(((COUNTIF($N$5:N12,"x"))-(COUNTIF($N$5:N11,"x")))=0,"",COUNTIF($N$5:N12,"x"))</f>
        <v/>
      </c>
      <c r="O117" s="3632">
        <f>IF(((COUNTIF($O$5:O12,"x"))-(COUNTIF($O$5:O11,"x")))=0,"",COUNTIF($O$5:O12,"x"))</f>
        <v>3</v>
      </c>
      <c r="P117" s="3632" t="str">
        <f>IF(((COUNTIF($P$5:P12,"x"))-(COUNTIF($P$5:P11,"x")))=0,"",COUNTIF($P$5:P12,"x"))</f>
        <v/>
      </c>
      <c r="Q117" s="3632" t="str">
        <f>IF(((COUNTIF($Q$5:Q12,"x"))-(COUNTIF($Q$5:Q11,"x")))=0,"",COUNTIF($Q$5:Q12,"x"))</f>
        <v/>
      </c>
      <c r="R117" s="3632" t="str">
        <f>IF(((COUNTIF($R$5:R12,"x"))-(COUNTIF($R$5:R11,"x")))=0,"",COUNTIF($R$5:R12,"x"))</f>
        <v/>
      </c>
      <c r="S117" s="3632" t="str">
        <f>IF(((COUNTIF($S$5:S12,"x"))-(COUNTIF($S$5:S11,"x")))=0,"",COUNTIF($S$5:S12,"x"))</f>
        <v/>
      </c>
      <c r="T117" s="3632" t="str">
        <f>IF(((COUNTIF($T$5:T12,"x"))-(COUNTIF($T$5:T11,"x")))=0,"",COUNTIF($T$5:T12,"x"))</f>
        <v/>
      </c>
      <c r="U117" s="3632" t="str">
        <f>IF(((COUNTIF($U$5:U12,"x"))-(COUNTIF($U$5:U11,"x")))=0,"",COUNTIF($U$5:U12,"x"))</f>
        <v/>
      </c>
      <c r="V117" s="3632" t="str">
        <f>IF(((COUNTIF($V$5:V12,"x"))-(COUNTIF($V$5:V11,"x")))=0,"",COUNTIF($V$5:V12,"x"))</f>
        <v/>
      </c>
      <c r="W117" s="3632" t="str">
        <f>IF(((COUNTIF($W$5:W12,"x"))-(COUNTIF($W$5:W11,"x")))=0,"",COUNTIF($W$5:W12,"x"))</f>
        <v/>
      </c>
      <c r="X117" s="3632" t="str">
        <f>IF(((COUNTIF($X$5:X12,"x"))-(COUNTIF($X$5:X11,"x")))=0,"",COUNTIF($X$5:X12,"x"))</f>
        <v/>
      </c>
      <c r="Y117" s="3632" t="str">
        <f>IF(((COUNTIF($Y$5:Y12,"x"))-(COUNTIF($Y$5:Y11,"x")))=0,"",COUNTIF($Y$5:Y12,"x"))</f>
        <v/>
      </c>
      <c r="Z117" s="3632" t="str">
        <f>IF(((COUNTIF($Z$5:Z12,"x"))-(COUNTIF($Z$5:Z11,"x")))=0,"",COUNTIF($Z$5:Z12,"x"))</f>
        <v/>
      </c>
      <c r="AA117" s="3632" t="str">
        <f>IF(((COUNTIF($AA$5:AA12,"x"))-(COUNTIF($AA$5:AA11,"x")))=0,"",COUNTIF($AA$5:AA12,"x"))</f>
        <v/>
      </c>
      <c r="AB117" s="3632" t="str">
        <f>IF(((COUNTIF($AB$5:AB12,"x"))-(COUNTIF($AB$5:AB11,"x")))=0,"",COUNTIF($AB$5:AB12,"x"))</f>
        <v/>
      </c>
      <c r="AC117" s="3632" t="str">
        <f>IF(((COUNTIF($AC$5:AC12,"x"))-(COUNTIF($AC$5:AC11,"x")))=0,"",COUNTIF($AC$5:AC12,"x"))</f>
        <v/>
      </c>
      <c r="AD117" s="3632">
        <f>IF(((COUNTIF($AD$5:AD12,"x"))-(COUNTIF($AD$5:AD11,"x")))=0,"",COUNTIF($AD$5:AD12,"x"))</f>
        <v>6</v>
      </c>
      <c r="AE117" s="3632" t="str">
        <f>IF(((COUNTIF($AE$5:AE12,"x"))-(COUNTIF($AE$5:AE11,"x")))=0,"",COUNTIF($AE$5:AE12,"x"))</f>
        <v/>
      </c>
      <c r="AF117" s="3633" t="str">
        <f>IF(((COUNTIF($AF$5:AF12,"x"))-(COUNTIF($AF$5:AF11,"x")))=0,"",COUNTIF($AF$5:AF12,"x"))</f>
        <v/>
      </c>
      <c r="AG117" s="1518" t="str">
        <f t="shared" si="14"/>
        <v>Aviator Xpro</v>
      </c>
    </row>
    <row r="118" spans="2:33" ht="17.399999999999999" hidden="1">
      <c r="B118" s="1525">
        <f t="shared" si="15"/>
        <v>9</v>
      </c>
      <c r="C118" s="2658" t="s">
        <v>541</v>
      </c>
      <c r="D118" s="3635"/>
      <c r="E118" s="2695"/>
      <c r="F118" s="3631">
        <f>IF(((COUNTIF($F$5:$F13,"x"))-(COUNTIF($F$5:$F12,"x")))=0,"",COUNTIF($F$5:$F13,"x"))</f>
        <v>6</v>
      </c>
      <c r="G118" s="3632">
        <f>IF(((COUNTIF($G$5:$G13,"x"))-(COUNTIF($G$5:$G12,"x")))=0,"",COUNTIF($G$5:$G13,"x"))</f>
        <v>5</v>
      </c>
      <c r="H118" s="3632">
        <f>IF(((COUNTIF($H$5:$H13,"x"))-(COUNTIF($H$5:$H12,"x")))=0,"",COUNTIF($H$5:$H13,"x"))</f>
        <v>6</v>
      </c>
      <c r="I118" s="3632">
        <f>IF(((COUNTIF($I$5:I13,"x"))-(COUNTIF($I$5:I12,"x")))=0,"",COUNTIF($I$5:I13,"x"))</f>
        <v>6</v>
      </c>
      <c r="J118" s="3632">
        <f>IF(((COUNTIF($J$5:J13,"x"))-(COUNTIF($J$5:J12,"x")))=0,"",COUNTIF($J$5:J13,"x"))</f>
        <v>5</v>
      </c>
      <c r="K118" s="3632">
        <f>IF(((COUNTIF($K$5:K13,"x"))-(COUNTIF($K$5:K12,"x")))=0,"",COUNTIF($K$5:K13,"x"))</f>
        <v>5</v>
      </c>
      <c r="L118" s="3632">
        <f>IF(((COUNTIF($L$5:L13,"x"))-(COUNTIF($L$5:L12,"x")))=0,"",COUNTIF($L$5:L13,"x"))</f>
        <v>5</v>
      </c>
      <c r="M118" s="3632">
        <f>IF(((COUNTIF($M$5:M13,"x"))-(COUNTIF($M$5:M12,"x")))=0,"",COUNTIF($M$5:M13,"x"))</f>
        <v>5</v>
      </c>
      <c r="N118" s="3632" t="str">
        <f>IF(((COUNTIF($N$5:N13,"x"))-(COUNTIF($N$5:N12,"x")))=0,"",COUNTIF($N$5:N13,"x"))</f>
        <v/>
      </c>
      <c r="O118" s="3632">
        <f>IF(((COUNTIF($O$5:O13,"x"))-(COUNTIF($O$5:O12,"x")))=0,"",COUNTIF($O$5:O13,"x"))</f>
        <v>4</v>
      </c>
      <c r="P118" s="3632" t="str">
        <f>IF(((COUNTIF($P$5:P13,"x"))-(COUNTIF($P$5:P12,"x")))=0,"",COUNTIF($P$5:P13,"x"))</f>
        <v/>
      </c>
      <c r="Q118" s="3632" t="str">
        <f>IF(((COUNTIF($Q$5:Q13,"x"))-(COUNTIF($Q$5:Q12,"x")))=0,"",COUNTIF($Q$5:Q13,"x"))</f>
        <v/>
      </c>
      <c r="R118" s="3632" t="str">
        <f>IF(((COUNTIF($R$5:R13,"x"))-(COUNTIF($R$5:R12,"x")))=0,"",COUNTIF($R$5:R13,"x"))</f>
        <v/>
      </c>
      <c r="S118" s="3632" t="str">
        <f>IF(((COUNTIF($S$5:S13,"x"))-(COUNTIF($S$5:S12,"x")))=0,"",COUNTIF($S$5:S13,"x"))</f>
        <v/>
      </c>
      <c r="T118" s="3632" t="str">
        <f>IF(((COUNTIF($T$5:T13,"x"))-(COUNTIF($T$5:T12,"x")))=0,"",COUNTIF($T$5:T13,"x"))</f>
        <v/>
      </c>
      <c r="U118" s="3632" t="str">
        <f>IF(((COUNTIF($U$5:U13,"x"))-(COUNTIF($U$5:U12,"x")))=0,"",COUNTIF($U$5:U13,"x"))</f>
        <v/>
      </c>
      <c r="V118" s="3632" t="str">
        <f>IF(((COUNTIF($V$5:V13,"x"))-(COUNTIF($V$5:V12,"x")))=0,"",COUNTIF($V$5:V13,"x"))</f>
        <v/>
      </c>
      <c r="W118" s="3632" t="str">
        <f>IF(((COUNTIF($W$5:W13,"x"))-(COUNTIF($W$5:W12,"x")))=0,"",COUNTIF($W$5:W13,"x"))</f>
        <v/>
      </c>
      <c r="X118" s="3632" t="str">
        <f>IF(((COUNTIF($X$5:X13,"x"))-(COUNTIF($X$5:X12,"x")))=0,"",COUNTIF($X$5:X13,"x"))</f>
        <v/>
      </c>
      <c r="Y118" s="3632" t="str">
        <f>IF(((COUNTIF($Y$5:Y13,"x"))-(COUNTIF($Y$5:Y12,"x")))=0,"",COUNTIF($Y$5:Y13,"x"))</f>
        <v/>
      </c>
      <c r="Z118" s="3632" t="str">
        <f>IF(((COUNTIF($Z$5:Z13,"x"))-(COUNTIF($Z$5:Z12,"x")))=0,"",COUNTIF($Z$5:Z13,"x"))</f>
        <v/>
      </c>
      <c r="AA118" s="3632" t="str">
        <f>IF(((COUNTIF($AA$5:AA13,"x"))-(COUNTIF($AA$5:AA12,"x")))=0,"",COUNTIF($AA$5:AA13,"x"))</f>
        <v/>
      </c>
      <c r="AB118" s="3632" t="str">
        <f>IF(((COUNTIF($AB$5:AB13,"x"))-(COUNTIF($AB$5:AB12,"x")))=0,"",COUNTIF($AB$5:AB13,"x"))</f>
        <v/>
      </c>
      <c r="AC118" s="3632" t="str">
        <f>IF(((COUNTIF($AC$5:AC13,"x"))-(COUNTIF($AC$5:AC12,"x")))=0,"",COUNTIF($AC$5:AC13,"x"))</f>
        <v/>
      </c>
      <c r="AD118" s="3632">
        <f>IF(((COUNTIF($AD$5:AD13,"x"))-(COUNTIF($AD$5:AD12,"x")))=0,"",COUNTIF($AD$5:AD13,"x"))</f>
        <v>7</v>
      </c>
      <c r="AE118" s="3632" t="str">
        <f>IF(((COUNTIF($AE$5:AE13,"x"))-(COUNTIF($AE$5:AE12,"x")))=0,"",COUNTIF($AE$5:AE13,"x"))</f>
        <v/>
      </c>
      <c r="AF118" s="3633" t="str">
        <f>IF(((COUNTIF($AF$5:AF13,"x"))-(COUNTIF($AF$5:AF12,"x")))=0,"",COUNTIF($AF$5:AF13,"x"))</f>
        <v/>
      </c>
      <c r="AG118" s="1518" t="str">
        <f t="shared" si="14"/>
        <v>Axial 50</v>
      </c>
    </row>
    <row r="119" spans="2:33" ht="17.399999999999999" hidden="1">
      <c r="B119" s="1525">
        <f t="shared" si="15"/>
        <v>10</v>
      </c>
      <c r="C119" s="2915"/>
      <c r="D119" s="3635"/>
      <c r="E119" s="2695"/>
      <c r="F119" s="3631" t="str">
        <f>IF(((COUNTIF($F$5:$F14,"x"))-(COUNTIF($F$5:$F13,"x")))=0,"",COUNTIF($F$5:$F14,"x"))</f>
        <v/>
      </c>
      <c r="G119" s="3632" t="str">
        <f>IF(((COUNTIF($G$5:$G14,"x"))-(COUNTIF($G$5:$G13,"x")))=0,"",COUNTIF($G$5:$G14,"x"))</f>
        <v/>
      </c>
      <c r="H119" s="3632" t="str">
        <f>IF(((COUNTIF($H$5:$H14,"x"))-(COUNTIF($H$5:$H13,"x")))=0,"",COUNTIF($H$5:$H14,"x"))</f>
        <v/>
      </c>
      <c r="I119" s="3632" t="str">
        <f>IF(((COUNTIF($I$5:I14,"x"))-(COUNTIF($I$5:I13,"x")))=0,"",COUNTIF($I$5:I14,"x"))</f>
        <v/>
      </c>
      <c r="J119" s="3632" t="str">
        <f>IF(((COUNTIF($J$5:J14,"x"))-(COUNTIF($J$5:J13,"x")))=0,"",COUNTIF($J$5:J14,"x"))</f>
        <v/>
      </c>
      <c r="K119" s="3632" t="str">
        <f>IF(((COUNTIF($K$5:K14,"x"))-(COUNTIF($K$5:K13,"x")))=0,"",COUNTIF($K$5:K14,"x"))</f>
        <v/>
      </c>
      <c r="L119" s="3632" t="str">
        <f>IF(((COUNTIF($L$5:L14,"x"))-(COUNTIF($L$5:L13,"x")))=0,"",COUNTIF($L$5:L14,"x"))</f>
        <v/>
      </c>
      <c r="M119" s="3632" t="str">
        <f>IF(((COUNTIF($M$5:M14,"x"))-(COUNTIF($M$5:M13,"x")))=0,"",COUNTIF($M$5:M14,"x"))</f>
        <v/>
      </c>
      <c r="N119" s="3632" t="str">
        <f>IF(((COUNTIF($N$5:N14,"x"))-(COUNTIF($N$5:N13,"x")))=0,"",COUNTIF($N$5:N14,"x"))</f>
        <v/>
      </c>
      <c r="O119" s="3632" t="str">
        <f>IF(((COUNTIF($O$5:O14,"x"))-(COUNTIF($O$5:O13,"x")))=0,"",COUNTIF($O$5:O14,"x"))</f>
        <v/>
      </c>
      <c r="P119" s="3632" t="str">
        <f>IF(((COUNTIF($P$5:P14,"x"))-(COUNTIF($P$5:P13,"x")))=0,"",COUNTIF($P$5:P14,"x"))</f>
        <v/>
      </c>
      <c r="Q119" s="3632" t="str">
        <f>IF(((COUNTIF($Q$5:Q14,"x"))-(COUNTIF($Q$5:Q13,"x")))=0,"",COUNTIF($Q$5:Q14,"x"))</f>
        <v/>
      </c>
      <c r="R119" s="3632" t="str">
        <f>IF(((COUNTIF($R$5:R14,"x"))-(COUNTIF($R$5:R13,"x")))=0,"",COUNTIF($R$5:R14,"x"))</f>
        <v/>
      </c>
      <c r="S119" s="3632" t="str">
        <f>IF(((COUNTIF($S$5:S14,"x"))-(COUNTIF($S$5:S13,"x")))=0,"",COUNTIF($S$5:S14,"x"))</f>
        <v/>
      </c>
      <c r="T119" s="3632" t="str">
        <f>IF(((COUNTIF($T$5:T14,"x"))-(COUNTIF($T$5:T13,"x")))=0,"",COUNTIF($T$5:T14,"x"))</f>
        <v/>
      </c>
      <c r="U119" s="3632" t="str">
        <f>IF(((COUNTIF($U$5:U14,"x"))-(COUNTIF($U$5:U13,"x")))=0,"",COUNTIF($U$5:U14,"x"))</f>
        <v/>
      </c>
      <c r="V119" s="3632" t="str">
        <f>IF(((COUNTIF($V$5:V14,"x"))-(COUNTIF($V$5:V13,"x")))=0,"",COUNTIF($V$5:V14,"x"))</f>
        <v/>
      </c>
      <c r="W119" s="3632" t="str">
        <f>IF(((COUNTIF($W$5:W14,"x"))-(COUNTIF($W$5:W13,"x")))=0,"",COUNTIF($W$5:W14,"x"))</f>
        <v/>
      </c>
      <c r="X119" s="3632" t="str">
        <f>IF(((COUNTIF($X$5:X14,"x"))-(COUNTIF($X$5:X13,"x")))=0,"",COUNTIF($X$5:X14,"x"))</f>
        <v/>
      </c>
      <c r="Y119" s="3632" t="str">
        <f>IF(((COUNTIF($Y$5:Y14,"x"))-(COUNTIF($Y$5:Y13,"x")))=0,"",COUNTIF($Y$5:Y14,"x"))</f>
        <v/>
      </c>
      <c r="Z119" s="3632" t="str">
        <f>IF(((COUNTIF($Z$5:Z14,"x"))-(COUNTIF($Z$5:Z13,"x")))=0,"",COUNTIF($Z$5:Z14,"x"))</f>
        <v/>
      </c>
      <c r="AA119" s="3632" t="str">
        <f>IF(((COUNTIF($AA$5:AA14,"x"))-(COUNTIF($AA$5:AA13,"x")))=0,"",COUNTIF($AA$5:AA14,"x"))</f>
        <v/>
      </c>
      <c r="AB119" s="3632" t="str">
        <f>IF(((COUNTIF($AB$5:AB14,"x"))-(COUNTIF($AB$5:AB13,"x")))=0,"",COUNTIF($AB$5:AB14,"x"))</f>
        <v/>
      </c>
      <c r="AC119" s="3632" t="str">
        <f>IF(((COUNTIF($AC$5:AC14,"x"))-(COUNTIF($AC$5:AC13,"x")))=0,"",COUNTIF($AC$5:AC14,"x"))</f>
        <v/>
      </c>
      <c r="AD119" s="3632" t="str">
        <f>IF(((COUNTIF($AD$5:AD14,"x"))-(COUNTIF($AD$5:AD13,"x")))=0,"",COUNTIF($AD$5:AD14,"x"))</f>
        <v/>
      </c>
      <c r="AE119" s="3632" t="str">
        <f>IF(((COUNTIF($AE$5:AE14,"x"))-(COUNTIF($AE$5:AE13,"x")))=0,"",COUNTIF($AE$5:AE14,"x"))</f>
        <v/>
      </c>
      <c r="AF119" s="3633" t="str">
        <f>IF(((COUNTIF($AF$5:AF14,"x"))-(COUNTIF($AF$5:AF13,"x")))=0,"",COUNTIF($AF$5:AF14,"x"))</f>
        <v/>
      </c>
      <c r="AG119" s="1518">
        <f t="shared" si="14"/>
        <v>0</v>
      </c>
    </row>
    <row r="120" spans="2:33" ht="17.399999999999999" hidden="1">
      <c r="B120" s="1525">
        <f t="shared" si="15"/>
        <v>11</v>
      </c>
      <c r="C120" s="2658" t="s">
        <v>539</v>
      </c>
      <c r="D120" s="3635"/>
      <c r="E120" s="2695"/>
      <c r="F120" s="3631" t="str">
        <f>IF(((COUNTIF($F$5:$F15,"x"))-(COUNTIF($F$5:$F14,"x")))=0,"",COUNTIF($F$5:$F15,"x"))</f>
        <v/>
      </c>
      <c r="G120" s="3632" t="str">
        <f>IF(((COUNTIF($G$5:$G15,"x"))-(COUNTIF($G$5:$G14,"x")))=0,"",COUNTIF($G$5:$G15,"x"))</f>
        <v/>
      </c>
      <c r="H120" s="3632" t="str">
        <f>IF(((COUNTIF($H$5:$H15,"x"))-(COUNTIF($H$5:$H14,"x")))=0,"",COUNTIF($H$5:$H15,"x"))</f>
        <v/>
      </c>
      <c r="I120" s="3632" t="str">
        <f>IF(((COUNTIF($I$5:I15,"x"))-(COUNTIF($I$5:I14,"x")))=0,"",COUNTIF($I$5:I15,"x"))</f>
        <v/>
      </c>
      <c r="J120" s="3632" t="str">
        <f>IF(((COUNTIF($J$5:J15,"x"))-(COUNTIF($J$5:J14,"x")))=0,"",COUNTIF($J$5:J15,"x"))</f>
        <v/>
      </c>
      <c r="K120" s="3632" t="str">
        <f>IF(((COUNTIF($K$5:K15,"x"))-(COUNTIF($K$5:K14,"x")))=0,"",COUNTIF($K$5:K15,"x"))</f>
        <v/>
      </c>
      <c r="L120" s="3632" t="str">
        <f>IF(((COUNTIF($L$5:L15,"x"))-(COUNTIF($L$5:L14,"x")))=0,"",COUNTIF($L$5:L15,"x"))</f>
        <v/>
      </c>
      <c r="M120" s="3632" t="str">
        <f>IF(((COUNTIF($M$5:M15,"x"))-(COUNTIF($M$5:M14,"x")))=0,"",COUNTIF($M$5:M15,"x"))</f>
        <v/>
      </c>
      <c r="N120" s="3632" t="str">
        <f>IF(((COUNTIF($N$5:N15,"x"))-(COUNTIF($N$5:N14,"x")))=0,"",COUNTIF($N$5:N15,"x"))</f>
        <v/>
      </c>
      <c r="O120" s="3632" t="str">
        <f>IF(((COUNTIF($O$5:O15,"x"))-(COUNTIF($O$5:O14,"x")))=0,"",COUNTIF($O$5:O15,"x"))</f>
        <v/>
      </c>
      <c r="P120" s="3632" t="str">
        <f>IF(((COUNTIF($P$5:P15,"x"))-(COUNTIF($P$5:P14,"x")))=0,"",COUNTIF($P$5:P15,"x"))</f>
        <v/>
      </c>
      <c r="Q120" s="3632" t="str">
        <f>IF(((COUNTIF($Q$5:Q15,"x"))-(COUNTIF($Q$5:Q14,"x")))=0,"",COUNTIF($Q$5:Q15,"x"))</f>
        <v/>
      </c>
      <c r="R120" s="3632" t="str">
        <f>IF(((COUNTIF($R$5:R15,"x"))-(COUNTIF($R$5:R14,"x")))=0,"",COUNTIF($R$5:R15,"x"))</f>
        <v/>
      </c>
      <c r="S120" s="3632" t="str">
        <f>IF(((COUNTIF($S$5:S15,"x"))-(COUNTIF($S$5:S14,"x")))=0,"",COUNTIF($S$5:S15,"x"))</f>
        <v/>
      </c>
      <c r="T120" s="3632" t="str">
        <f>IF(((COUNTIF($T$5:T15,"x"))-(COUNTIF($T$5:T14,"x")))=0,"",COUNTIF($T$5:T15,"x"))</f>
        <v/>
      </c>
      <c r="U120" s="3632">
        <f>IF(((COUNTIF($U$5:U15,"x"))-(COUNTIF($U$5:U14,"x")))=0,"",COUNTIF($U$5:U15,"x"))</f>
        <v>2</v>
      </c>
      <c r="V120" s="3632" t="str">
        <f>IF(((COUNTIF($V$5:V15,"x"))-(COUNTIF($V$5:V14,"x")))=0,"",COUNTIF($V$5:V15,"x"))</f>
        <v/>
      </c>
      <c r="W120" s="3632" t="str">
        <f>IF(((COUNTIF($W$5:W15,"x"))-(COUNTIF($W$5:W14,"x")))=0,"",COUNTIF($W$5:W15,"x"))</f>
        <v/>
      </c>
      <c r="X120" s="3632">
        <f>IF(((COUNTIF($X$5:X15,"x"))-(COUNTIF($X$5:X14,"x")))=0,"",COUNTIF($X$5:X15,"x"))</f>
        <v>2</v>
      </c>
      <c r="Y120" s="3632">
        <f>IF(((COUNTIF($Y$5:Y15,"x"))-(COUNTIF($Y$5:Y14,"x")))=0,"",COUNTIF($Y$5:Y15,"x"))</f>
        <v>2</v>
      </c>
      <c r="Z120" s="3632" t="str">
        <f>IF(((COUNTIF($Z$5:Z15,"x"))-(COUNTIF($Z$5:Z14,"x")))=0,"",COUNTIF($Z$5:Z15,"x"))</f>
        <v/>
      </c>
      <c r="AA120" s="3632" t="str">
        <f>IF(((COUNTIF($AA$5:AA15,"x"))-(COUNTIF($AA$5:AA14,"x")))=0,"",COUNTIF($AA$5:AA15,"x"))</f>
        <v/>
      </c>
      <c r="AB120" s="3632">
        <f>IF(((COUNTIF($AB$5:AB15,"x"))-(COUNTIF($AB$5:AB14,"x")))=0,"",COUNTIF($AB$5:AB15,"x"))</f>
        <v>2</v>
      </c>
      <c r="AC120" s="3632" t="str">
        <f>IF(((COUNTIF($AC$5:AC15,"x"))-(COUNTIF($AC$5:AC14,"x")))=0,"",COUNTIF($AC$5:AC15,"x"))</f>
        <v/>
      </c>
      <c r="AD120" s="3632">
        <f>IF(((COUNTIF($AD$5:AD15,"x"))-(COUNTIF($AD$5:AD14,"x")))=0,"",COUNTIF($AD$5:AD15,"x"))</f>
        <v>8</v>
      </c>
      <c r="AE120" s="3632" t="str">
        <f>IF(((COUNTIF($AE$5:AE15,"x"))-(COUNTIF($AE$5:AE14,"x")))=0,"",COUNTIF($AE$5:AE15,"x"))</f>
        <v/>
      </c>
      <c r="AF120" s="3633" t="str">
        <f>IF(((COUNTIF($AF$5:AF15,"x"))-(COUNTIF($AF$5:AF14,"x")))=0,"",COUNTIF($AF$5:AF15,"x"))</f>
        <v/>
      </c>
      <c r="AG120" s="1518" t="str">
        <f t="shared" si="14"/>
        <v>Bandur</v>
      </c>
    </row>
    <row r="121" spans="2:33" ht="17.399999999999999" hidden="1">
      <c r="B121" s="1525">
        <f t="shared" si="15"/>
        <v>12</v>
      </c>
      <c r="C121" s="2658" t="s">
        <v>1496</v>
      </c>
      <c r="D121" s="3635"/>
      <c r="E121" s="2695"/>
      <c r="F121" s="3631" t="str">
        <f>IF(((COUNTIF($F$5:$F16,"x"))-(COUNTIF($F$5:$F15,"x")))=0,"",COUNTIF($F$5:$F16,"x"))</f>
        <v/>
      </c>
      <c r="G121" s="3632" t="str">
        <f>IF(((COUNTIF($G$5:$G16,"x"))-(COUNTIF($G$5:$G15,"x")))=0,"",COUNTIF($G$5:$G16,"x"))</f>
        <v/>
      </c>
      <c r="H121" s="3632" t="str">
        <f>IF(((COUNTIF($H$5:$H16,"x"))-(COUNTIF($H$5:$H15,"x")))=0,"",COUNTIF($H$5:$H16,"x"))</f>
        <v/>
      </c>
      <c r="I121" s="3632" t="str">
        <f>IF(((COUNTIF($I$5:I16,"x"))-(COUNTIF($I$5:I15,"x")))=0,"",COUNTIF($I$5:I16,"x"))</f>
        <v/>
      </c>
      <c r="J121" s="3632" t="str">
        <f>IF(((COUNTIF($J$5:J16,"x"))-(COUNTIF($J$5:J15,"x")))=0,"",COUNTIF($J$5:J16,"x"))</f>
        <v/>
      </c>
      <c r="K121" s="3632" t="str">
        <f>IF(((COUNTIF($K$5:K16,"x"))-(COUNTIF($K$5:K15,"x")))=0,"",COUNTIF($K$5:K16,"x"))</f>
        <v/>
      </c>
      <c r="L121" s="3632" t="str">
        <f>IF(((COUNTIF($L$5:L16,"x"))-(COUNTIF($L$5:L15,"x")))=0,"",COUNTIF($L$5:L16,"x"))</f>
        <v/>
      </c>
      <c r="M121" s="3632" t="str">
        <f>IF(((COUNTIF($M$5:M16,"x"))-(COUNTIF($M$5:M15,"x")))=0,"",COUNTIF($M$5:M16,"x"))</f>
        <v/>
      </c>
      <c r="N121" s="3632" t="str">
        <f>IF(((COUNTIF($N$5:N16,"x"))-(COUNTIF($N$5:N15,"x")))=0,"",COUNTIF($N$5:N16,"x"))</f>
        <v/>
      </c>
      <c r="O121" s="3632" t="str">
        <f>IF(((COUNTIF($O$5:O16,"x"))-(COUNTIF($O$5:O15,"x")))=0,"",COUNTIF($O$5:O16,"x"))</f>
        <v/>
      </c>
      <c r="P121" s="3632" t="str">
        <f>IF(((COUNTIF($P$5:P16,"x"))-(COUNTIF($P$5:P15,"x")))=0,"",COUNTIF($P$5:P16,"x"))</f>
        <v/>
      </c>
      <c r="Q121" s="3632" t="str">
        <f>IF(((COUNTIF($Q$5:Q16,"x"))-(COUNTIF($Q$5:Q15,"x")))=0,"",COUNTIF($Q$5:Q16,"x"))</f>
        <v/>
      </c>
      <c r="R121" s="3632" t="str">
        <f>IF(((COUNTIF($R$5:R16,"x"))-(COUNTIF($R$5:R15,"x")))=0,"",COUNTIF($R$5:R16,"x"))</f>
        <v/>
      </c>
      <c r="S121" s="3632" t="str">
        <f>IF(((COUNTIF($S$5:S16,"x"))-(COUNTIF($S$5:S15,"x")))=0,"",COUNTIF($S$5:S16,"x"))</f>
        <v/>
      </c>
      <c r="T121" s="3632" t="str">
        <f>IF(((COUNTIF($T$5:T16,"x"))-(COUNTIF($T$5:T15,"x")))=0,"",COUNTIF($T$5:T16,"x"))</f>
        <v/>
      </c>
      <c r="U121" s="3632" t="str">
        <f>IF(((COUNTIF($U$5:U16,"x"))-(COUNTIF($U$5:U15,"x")))=0,"",COUNTIF($U$5:U16,"x"))</f>
        <v/>
      </c>
      <c r="V121" s="3632" t="str">
        <f>IF(((COUNTIF($V$5:V16,"x"))-(COUNTIF($V$5:V15,"x")))=0,"",COUNTIF($V$5:V16,"x"))</f>
        <v/>
      </c>
      <c r="W121" s="3632" t="str">
        <f>IF(((COUNTIF($W$5:W16,"x"))-(COUNTIF($W$5:W15,"x")))=0,"",COUNTIF($W$5:W16,"x"))</f>
        <v/>
      </c>
      <c r="X121" s="3632" t="str">
        <f>IF(((COUNTIF($X$5:X16,"x"))-(COUNTIF($X$5:X15,"x")))=0,"",COUNTIF($X$5:X16,"x"))</f>
        <v/>
      </c>
      <c r="Y121" s="3632" t="str">
        <f>IF(((COUNTIF($Y$5:Y16,"x"))-(COUNTIF($Y$5:Y15,"x")))=0,"",COUNTIF($Y$5:Y16,"x"))</f>
        <v/>
      </c>
      <c r="Z121" s="3632" t="str">
        <f>IF(((COUNTIF($Z$5:Z16,"x"))-(COUNTIF($Z$5:Z15,"x")))=0,"",COUNTIF($Z$5:Z16,"x"))</f>
        <v/>
      </c>
      <c r="AA121" s="3632">
        <f>IF(((COUNTIF($AA$5:AA16,"x"))-(COUNTIF($AA$5:AA15,"x")))=0,"",COUNTIF($AA$5:AA16,"x"))</f>
        <v>2</v>
      </c>
      <c r="AB121" s="3632" t="str">
        <f>IF(((COUNTIF($AB$5:AB16,"x"))-(COUNTIF($AB$5:AB15,"x")))=0,"",COUNTIF($AB$5:AB16,"x"))</f>
        <v/>
      </c>
      <c r="AC121" s="3632" t="str">
        <f>IF(((COUNTIF($AC$5:AC16,"x"))-(COUNTIF($AC$5:AC15,"x")))=0,"",COUNTIF($AC$5:AC16,"x"))</f>
        <v/>
      </c>
      <c r="AD121" s="3632">
        <f>IF(((COUNTIF($AD$5:AD16,"x"))-(COUNTIF($AD$5:AD15,"x")))=0,"",COUNTIF($AD$5:AD16,"x"))</f>
        <v>9</v>
      </c>
      <c r="AE121" s="3632" t="str">
        <f>IF(((COUNTIF($AE$5:AE16,"x"))-(COUNTIF($AE$5:AE15,"x")))=0,"",COUNTIF($AE$5:AE16,"x"))</f>
        <v/>
      </c>
      <c r="AF121" s="3633" t="str">
        <f>IF(((COUNTIF($AF$5:AF16,"x"))-(COUNTIF($AF$5:AF15,"x")))=0,"",COUNTIF($AF$5:AF16,"x"))</f>
        <v/>
      </c>
      <c r="AG121" s="1518" t="str">
        <f t="shared" si="14"/>
        <v>Betanal Tandem + Mero</v>
      </c>
    </row>
    <row r="122" spans="2:33" ht="17.399999999999999" hidden="1">
      <c r="B122" s="1525">
        <f t="shared" si="15"/>
        <v>13</v>
      </c>
      <c r="C122" s="3450"/>
      <c r="D122" s="3635"/>
      <c r="E122" s="2695"/>
      <c r="F122" s="3631" t="str">
        <f>IF(((COUNTIF($F$5:$F17,"x"))-(COUNTIF($F$5:$F16,"x")))=0,"",COUNTIF($F$5:$F17,"x"))</f>
        <v/>
      </c>
      <c r="G122" s="3632" t="str">
        <f>IF(((COUNTIF($G$5:$G17,"x"))-(COUNTIF($G$5:$G16,"x")))=0,"",COUNTIF($G$5:$G17,"x"))</f>
        <v/>
      </c>
      <c r="H122" s="3632" t="str">
        <f>IF(((COUNTIF($H$5:$H17,"x"))-(COUNTIF($H$5:$H16,"x")))=0,"",COUNTIF($H$5:$H17,"x"))</f>
        <v/>
      </c>
      <c r="I122" s="3632" t="str">
        <f>IF(((COUNTIF($I$5:I17,"x"))-(COUNTIF($I$5:I16,"x")))=0,"",COUNTIF($I$5:I17,"x"))</f>
        <v/>
      </c>
      <c r="J122" s="3632" t="str">
        <f>IF(((COUNTIF($J$5:J17,"x"))-(COUNTIF($J$5:J16,"x")))=0,"",COUNTIF($J$5:J17,"x"))</f>
        <v/>
      </c>
      <c r="K122" s="3632" t="str">
        <f>IF(((COUNTIF($K$5:K17,"x"))-(COUNTIF($K$5:K16,"x")))=0,"",COUNTIF($K$5:K17,"x"))</f>
        <v/>
      </c>
      <c r="L122" s="3632" t="str">
        <f>IF(((COUNTIF($L$5:L17,"x"))-(COUNTIF($L$5:L16,"x")))=0,"",COUNTIF($L$5:L17,"x"))</f>
        <v/>
      </c>
      <c r="M122" s="3632" t="str">
        <f>IF(((COUNTIF($M$5:M17,"x"))-(COUNTIF($M$5:M16,"x")))=0,"",COUNTIF($M$5:M17,"x"))</f>
        <v/>
      </c>
      <c r="N122" s="3632" t="str">
        <f>IF(((COUNTIF($N$5:N17,"x"))-(COUNTIF($N$5:N16,"x")))=0,"",COUNTIF($N$5:N17,"x"))</f>
        <v/>
      </c>
      <c r="O122" s="3632" t="str">
        <f>IF(((COUNTIF($O$5:O17,"x"))-(COUNTIF($O$5:O16,"x")))=0,"",COUNTIF($O$5:O17,"x"))</f>
        <v/>
      </c>
      <c r="P122" s="3632" t="str">
        <f>IF(((COUNTIF($P$5:P17,"x"))-(COUNTIF($P$5:P16,"x")))=0,"",COUNTIF($P$5:P17,"x"))</f>
        <v/>
      </c>
      <c r="Q122" s="3632" t="str">
        <f>IF(((COUNTIF($Q$5:Q17,"x"))-(COUNTIF($Q$5:Q16,"x")))=0,"",COUNTIF($Q$5:Q17,"x"))</f>
        <v/>
      </c>
      <c r="R122" s="3632" t="str">
        <f>IF(((COUNTIF($R$5:R17,"x"))-(COUNTIF($R$5:R16,"x")))=0,"",COUNTIF($R$5:R17,"x"))</f>
        <v/>
      </c>
      <c r="S122" s="3632" t="str">
        <f>IF(((COUNTIF($S$5:S17,"x"))-(COUNTIF($S$5:S16,"x")))=0,"",COUNTIF($S$5:S17,"x"))</f>
        <v/>
      </c>
      <c r="T122" s="3632" t="str">
        <f>IF(((COUNTIF($T$5:T17,"x"))-(COUNTIF($T$5:T16,"x")))=0,"",COUNTIF($T$5:T17,"x"))</f>
        <v/>
      </c>
      <c r="U122" s="3632" t="str">
        <f>IF(((COUNTIF($U$5:U17,"x"))-(COUNTIF($U$5:U16,"x")))=0,"",COUNTIF($U$5:U17,"x"))</f>
        <v/>
      </c>
      <c r="V122" s="3632" t="str">
        <f>IF(((COUNTIF($V$5:V17,"x"))-(COUNTIF($V$5:V16,"x")))=0,"",COUNTIF($V$5:V17,"x"))</f>
        <v/>
      </c>
      <c r="W122" s="3632" t="str">
        <f>IF(((COUNTIF($W$5:W17,"x"))-(COUNTIF($W$5:W16,"x")))=0,"",COUNTIF($W$5:W17,"x"))</f>
        <v/>
      </c>
      <c r="X122" s="3632" t="str">
        <f>IF(((COUNTIF($X$5:X17,"x"))-(COUNTIF($X$5:X16,"x")))=0,"",COUNTIF($X$5:X17,"x"))</f>
        <v/>
      </c>
      <c r="Y122" s="3632" t="str">
        <f>IF(((COUNTIF($Y$5:Y17,"x"))-(COUNTIF($Y$5:Y16,"x")))=0,"",COUNTIF($Y$5:Y17,"x"))</f>
        <v/>
      </c>
      <c r="Z122" s="3632" t="str">
        <f>IF(((COUNTIF($Z$5:Z17,"x"))-(COUNTIF($Z$5:Z16,"x")))=0,"",COUNTIF($Z$5:Z17,"x"))</f>
        <v/>
      </c>
      <c r="AA122" s="3632" t="str">
        <f>IF(((COUNTIF($AA$5:AA17,"x"))-(COUNTIF($AA$5:AA16,"x")))=0,"",COUNTIF($AA$5:AA17,"x"))</f>
        <v/>
      </c>
      <c r="AB122" s="3632" t="str">
        <f>IF(((COUNTIF($AB$5:AB17,"x"))-(COUNTIF($AB$5:AB16,"x")))=0,"",COUNTIF($AB$5:AB17,"x"))</f>
        <v/>
      </c>
      <c r="AC122" s="3632" t="str">
        <f>IF(((COUNTIF($AC$5:AC17,"x"))-(COUNTIF($AC$5:AC16,"x")))=0,"",COUNTIF($AC$5:AC17,"x"))</f>
        <v/>
      </c>
      <c r="AD122" s="3632" t="str">
        <f>IF(((COUNTIF($AD$5:AD17,"x"))-(COUNTIF($AD$5:AD16,"x")))=0,"",COUNTIF($AD$5:AD17,"x"))</f>
        <v/>
      </c>
      <c r="AE122" s="3632" t="str">
        <f>IF(((COUNTIF($AE$5:AE17,"x"))-(COUNTIF($AE$5:AE16,"x")))=0,"",COUNTIF($AE$5:AE17,"x"))</f>
        <v/>
      </c>
      <c r="AF122" s="3633" t="str">
        <f>IF(((COUNTIF($AF$5:AF17,"x"))-(COUNTIF($AF$5:AF16,"x")))=0,"",COUNTIF($AF$5:AF17,"x"))</f>
        <v/>
      </c>
      <c r="AG122" s="1518">
        <f t="shared" si="14"/>
        <v>0</v>
      </c>
    </row>
    <row r="123" spans="2:33" ht="17.399999999999999" hidden="1">
      <c r="B123" s="1525">
        <f t="shared" si="15"/>
        <v>14</v>
      </c>
      <c r="C123" s="2658" t="s">
        <v>1501</v>
      </c>
      <c r="D123" s="3635"/>
      <c r="E123" s="2695"/>
      <c r="F123" s="3631" t="str">
        <f>IF(((COUNTIF($F$5:$F18,"x"))-(COUNTIF($F$5:$F17,"x")))=0,"",COUNTIF($F$5:$F18,"x"))</f>
        <v/>
      </c>
      <c r="G123" s="3632" t="str">
        <f>IF(((COUNTIF($G$5:$G18,"x"))-(COUNTIF($G$5:$G17,"x")))=0,"",COUNTIF($G$5:$G18,"x"))</f>
        <v/>
      </c>
      <c r="H123" s="3632" t="str">
        <f>IF(((COUNTIF($H$5:$H18,"x"))-(COUNTIF($H$5:$H17,"x")))=0,"",COUNTIF($H$5:$H18,"x"))</f>
        <v/>
      </c>
      <c r="I123" s="3632" t="str">
        <f>IF(((COUNTIF($I$5:I18,"x"))-(COUNTIF($I$5:I17,"x")))=0,"",COUNTIF($I$5:I18,"x"))</f>
        <v/>
      </c>
      <c r="J123" s="3632" t="str">
        <f>IF(((COUNTIF($J$5:J18,"x"))-(COUNTIF($J$5:J17,"x")))=0,"",COUNTIF($J$5:J18,"x"))</f>
        <v/>
      </c>
      <c r="K123" s="3632" t="str">
        <f>IF(((COUNTIF($K$5:K18,"x"))-(COUNTIF($K$5:K17,"x")))=0,"",COUNTIF($K$5:K18,"x"))</f>
        <v/>
      </c>
      <c r="L123" s="3632" t="str">
        <f>IF(((COUNTIF($L$5:L18,"x"))-(COUNTIF($L$5:L17,"x")))=0,"",COUNTIF($L$5:L18,"x"))</f>
        <v/>
      </c>
      <c r="M123" s="3632" t="str">
        <f>IF(((COUNTIF($M$5:M18,"x"))-(COUNTIF($M$5:M17,"x")))=0,"",COUNTIF($M$5:M18,"x"))</f>
        <v/>
      </c>
      <c r="N123" s="3632" t="str">
        <f>IF(((COUNTIF($N$5:N18,"x"))-(COUNTIF($N$5:N17,"x")))=0,"",COUNTIF($N$5:N18,"x"))</f>
        <v/>
      </c>
      <c r="O123" s="3632" t="str">
        <f>IF(((COUNTIF($O$5:O18,"x"))-(COUNTIF($O$5:O17,"x")))=0,"",COUNTIF($O$5:O18,"x"))</f>
        <v/>
      </c>
      <c r="P123" s="3632">
        <f>IF(((COUNTIF($P$5:P18,"x"))-(COUNTIF($P$5:P17,"x")))=0,"",COUNTIF($P$5:P18,"x"))</f>
        <v>1</v>
      </c>
      <c r="Q123" s="3632" t="str">
        <f>IF(((COUNTIF($Q$5:Q18,"x"))-(COUNTIF($Q$5:Q17,"x")))=0,"",COUNTIF($Q$5:Q18,"x"))</f>
        <v/>
      </c>
      <c r="R123" s="3632" t="str">
        <f>IF(((COUNTIF($R$5:R18,"x"))-(COUNTIF($R$5:R17,"x")))=0,"",COUNTIF($R$5:R18,"x"))</f>
        <v/>
      </c>
      <c r="S123" s="3632">
        <f>IF(((COUNTIF($S$5:S18,"x"))-(COUNTIF($S$5:S17,"x")))=0,"",COUNTIF($S$5:S18,"x"))</f>
        <v>2</v>
      </c>
      <c r="T123" s="3632" t="str">
        <f>IF(((COUNTIF($T$5:T18,"x"))-(COUNTIF($T$5:T17,"x")))=0,"",COUNTIF($T$5:T18,"x"))</f>
        <v/>
      </c>
      <c r="U123" s="3632" t="str">
        <f>IF(((COUNTIF($U$5:U18,"x"))-(COUNTIF($U$5:U17,"x")))=0,"",COUNTIF($U$5:U18,"x"))</f>
        <v/>
      </c>
      <c r="V123" s="3632" t="str">
        <f>IF(((COUNTIF($V$5:V18,"x"))-(COUNTIF($V$5:V17,"x")))=0,"",COUNTIF($V$5:V18,"x"))</f>
        <v/>
      </c>
      <c r="W123" s="3632" t="str">
        <f>IF(((COUNTIF($W$5:W18,"x"))-(COUNTIF($W$5:W17,"x")))=0,"",COUNTIF($W$5:W18,"x"))</f>
        <v/>
      </c>
      <c r="X123" s="3632" t="str">
        <f>IF(((COUNTIF($X$5:X18,"x"))-(COUNTIF($X$5:X17,"x")))=0,"",COUNTIF($X$5:X18,"x"))</f>
        <v/>
      </c>
      <c r="Y123" s="3632" t="str">
        <f>IF(((COUNTIF($Y$5:Y18,"x"))-(COUNTIF($Y$5:Y17,"x")))=0,"",COUNTIF($Y$5:Y18,"x"))</f>
        <v/>
      </c>
      <c r="Z123" s="3632" t="str">
        <f>IF(((COUNTIF($Z$5:Z18,"x"))-(COUNTIF($Z$5:Z17,"x")))=0,"",COUNTIF($Z$5:Z18,"x"))</f>
        <v/>
      </c>
      <c r="AA123" s="3632">
        <f>IF(((COUNTIF($AA$5:AA18,"x"))-(COUNTIF($AA$5:AA17,"x")))=0,"",COUNTIF($AA$5:AA18,"x"))</f>
        <v>3</v>
      </c>
      <c r="AB123" s="3632" t="str">
        <f>IF(((COUNTIF($AB$5:AB18,"x"))-(COUNTIF($AB$5:AB17,"x")))=0,"",COUNTIF($AB$5:AB18,"x"))</f>
        <v/>
      </c>
      <c r="AC123" s="3632" t="str">
        <f>IF(((COUNTIF($AC$5:AC18,"x"))-(COUNTIF($AC$5:AC17,"x")))=0,"",COUNTIF($AC$5:AC18,"x"))</f>
        <v/>
      </c>
      <c r="AD123" s="3632">
        <f>IF(((COUNTIF($AD$5:AD18,"x"))-(COUNTIF($AD$5:AD17,"x")))=0,"",COUNTIF($AD$5:AD18,"x"))</f>
        <v>10</v>
      </c>
      <c r="AE123" s="3632" t="str">
        <f>IF(((COUNTIF($AE$5:AE18,"x"))-(COUNTIF($AE$5:AE17,"x")))=0,"",COUNTIF($AE$5:AE18,"x"))</f>
        <v/>
      </c>
      <c r="AF123" s="3633" t="str">
        <f>IF(((COUNTIF($AF$5:AF18,"x"))-(COUNTIF($AF$5:AF17,"x")))=0,"",COUNTIF($AF$5:AF18,"x"))</f>
        <v/>
      </c>
      <c r="AG123" s="1518" t="str">
        <f t="shared" si="14"/>
        <v>Amistar Gold</v>
      </c>
    </row>
    <row r="124" spans="2:33" ht="17.399999999999999" hidden="1">
      <c r="B124" s="1525">
        <f t="shared" si="15"/>
        <v>15</v>
      </c>
      <c r="C124" s="2658" t="s">
        <v>535</v>
      </c>
      <c r="D124" s="3635"/>
      <c r="E124" s="2695"/>
      <c r="F124" s="3631">
        <f>IF(((COUNTIF($F$5:$F19,"x"))-(COUNTIF($F$5:$F18,"x")))=0,"",COUNTIF($F$5:$F19,"x"))</f>
        <v>7</v>
      </c>
      <c r="G124" s="3632">
        <f>IF(((COUNTIF($G$5:$G19,"x"))-(COUNTIF($G$5:$G18,"x")))=0,"",COUNTIF($G$5:$G19,"x"))</f>
        <v>6</v>
      </c>
      <c r="H124" s="3632">
        <f>IF(((COUNTIF($H$5:$H19,"x"))-(COUNTIF($H$5:$H18,"x")))=0,"",COUNTIF($H$5:$H19,"x"))</f>
        <v>7</v>
      </c>
      <c r="I124" s="3632" t="str">
        <f>IF(((COUNTIF($I$5:I19,"x"))-(COUNTIF($I$5:I18,"x")))=0,"",COUNTIF($I$5:I19,"x"))</f>
        <v/>
      </c>
      <c r="J124" s="3632">
        <f>IF(((COUNTIF($J$5:J19,"x"))-(COUNTIF($J$5:J18,"x")))=0,"",COUNTIF($J$5:J19,"x"))</f>
        <v>6</v>
      </c>
      <c r="K124" s="3632" t="str">
        <f>IF(((COUNTIF($K$5:K19,"x"))-(COUNTIF($K$5:K18,"x")))=0,"",COUNTIF($K$5:K19,"x"))</f>
        <v/>
      </c>
      <c r="L124" s="3632">
        <f>IF(((COUNTIF($L$5:L19,"x"))-(COUNTIF($L$5:L18,"x")))=0,"",COUNTIF($L$5:L19,"x"))</f>
        <v>6</v>
      </c>
      <c r="M124" s="3632">
        <f>IF(((COUNTIF($M$5:M19,"x"))-(COUNTIF($M$5:M18,"x")))=0,"",COUNTIF($M$5:M19,"x"))</f>
        <v>6</v>
      </c>
      <c r="N124" s="3632" t="str">
        <f>IF(((COUNTIF($N$5:N19,"x"))-(COUNTIF($N$5:N18,"x")))=0,"",COUNTIF($N$5:N19,"x"))</f>
        <v/>
      </c>
      <c r="O124" s="3632" t="str">
        <f>IF(((COUNTIF($O$5:O19,"x"))-(COUNTIF($O$5:O18,"x")))=0,"",COUNTIF($O$5:O19,"x"))</f>
        <v/>
      </c>
      <c r="P124" s="3632" t="str">
        <f>IF(((COUNTIF($P$5:P19,"x"))-(COUNTIF($P$5:P18,"x")))=0,"",COUNTIF($P$5:P19,"x"))</f>
        <v/>
      </c>
      <c r="Q124" s="3632" t="str">
        <f>IF(((COUNTIF($Q$5:Q19,"x"))-(COUNTIF($Q$5:Q18,"x")))=0,"",COUNTIF($Q$5:Q19,"x"))</f>
        <v/>
      </c>
      <c r="R124" s="3632" t="str">
        <f>IF(((COUNTIF($R$5:R19,"x"))-(COUNTIF($R$5:R18,"x")))=0,"",COUNTIF($R$5:R19,"x"))</f>
        <v/>
      </c>
      <c r="S124" s="3632" t="str">
        <f>IF(((COUNTIF($S$5:S19,"x"))-(COUNTIF($S$5:S18,"x")))=0,"",COUNTIF($S$5:S19,"x"))</f>
        <v/>
      </c>
      <c r="T124" s="3632" t="str">
        <f>IF(((COUNTIF($T$5:T19,"x"))-(COUNTIF($T$5:T18,"x")))=0,"",COUNTIF($T$5:T19,"x"))</f>
        <v/>
      </c>
      <c r="U124" s="3632">
        <f>IF(((COUNTIF($U$5:U19,"x"))-(COUNTIF($U$5:U18,"x")))=0,"",COUNTIF($U$5:U19,"x"))</f>
        <v>3</v>
      </c>
      <c r="V124" s="3632" t="str">
        <f>IF(((COUNTIF($V$5:V19,"x"))-(COUNTIF($V$5:V18,"x")))=0,"",COUNTIF($V$5:V19,"x"))</f>
        <v/>
      </c>
      <c r="W124" s="3632" t="str">
        <f>IF(((COUNTIF($W$5:W19,"x"))-(COUNTIF($W$5:W18,"x")))=0,"",COUNTIF($W$5:W19,"x"))</f>
        <v/>
      </c>
      <c r="X124" s="3632">
        <f>IF(((COUNTIF($X$5:X19,"x"))-(COUNTIF($X$5:X18,"x")))=0,"",COUNTIF($X$5:X19,"x"))</f>
        <v>3</v>
      </c>
      <c r="Y124" s="3632">
        <f>IF(((COUNTIF($Y$5:Y19,"x"))-(COUNTIF($Y$5:Y18,"x")))=0,"",COUNTIF($Y$5:Y19,"x"))</f>
        <v>3</v>
      </c>
      <c r="Z124" s="3632">
        <f>IF(((COUNTIF($Z$5:Z19,"x"))-(COUNTIF($Z$5:Z18,"x")))=0,"",COUNTIF($Z$5:Z19,"x"))</f>
        <v>1</v>
      </c>
      <c r="AA124" s="3632" t="str">
        <f>IF(((COUNTIF($AA$5:AA19,"x"))-(COUNTIF($AA$5:AA18,"x")))=0,"",COUNTIF($AA$5:AA19,"x"))</f>
        <v/>
      </c>
      <c r="AB124" s="3632">
        <f>IF(((COUNTIF($AB$5:AB19,"x"))-(COUNTIF($AB$5:AB18,"x")))=0,"",COUNTIF($AB$5:AB19,"x"))</f>
        <v>3</v>
      </c>
      <c r="AC124" s="3632" t="str">
        <f>IF(((COUNTIF($AC$5:AC19,"x"))-(COUNTIF($AC$5:AC18,"x")))=0,"",COUNTIF($AC$5:AC19,"x"))</f>
        <v/>
      </c>
      <c r="AD124" s="3632">
        <f>IF(((COUNTIF($AD$5:AD19,"x"))-(COUNTIF($AD$5:AD18,"x")))=0,"",COUNTIF($AD$5:AD19,"x"))</f>
        <v>11</v>
      </c>
      <c r="AE124" s="3632" t="str">
        <f>IF(((COUNTIF($AE$5:AE19,"x"))-(COUNTIF($AE$5:AE18,"x")))=0,"",COUNTIF($AE$5:AE19,"x"))</f>
        <v/>
      </c>
      <c r="AF124" s="3633" t="str">
        <f>IF(((COUNTIF($AF$5:AF19,"x"))-(COUNTIF($AF$5:AF18,"x")))=0,"",COUNTIF($AF$5:AF19,"x"))</f>
        <v/>
      </c>
      <c r="AG124" s="1518" t="str">
        <f t="shared" si="14"/>
        <v>Boxer</v>
      </c>
    </row>
    <row r="125" spans="2:33" ht="17.399999999999999" hidden="1">
      <c r="B125" s="1525">
        <f t="shared" si="15"/>
        <v>16</v>
      </c>
      <c r="C125" s="2658" t="s">
        <v>534</v>
      </c>
      <c r="D125" s="3635"/>
      <c r="E125" s="2695"/>
      <c r="F125" s="3631">
        <f>IF(((COUNTIF($F$5:$F20,"x"))-(COUNTIF($F$5:$F19,"x")))=0,"",COUNTIF($F$5:$F20,"x"))</f>
        <v>8</v>
      </c>
      <c r="G125" s="3632">
        <f>IF(((COUNTIF($G$5:$G20,"x"))-(COUNTIF($G$5:$G19,"x")))=0,"",COUNTIF($G$5:$G20,"x"))</f>
        <v>7</v>
      </c>
      <c r="H125" s="3632">
        <f>IF(((COUNTIF($H$5:$H20,"x"))-(COUNTIF($H$5:$H19,"x")))=0,"",COUNTIF($H$5:$H20,"x"))</f>
        <v>8</v>
      </c>
      <c r="I125" s="3632">
        <f>IF(((COUNTIF($I$5:I20,"x"))-(COUNTIF($I$5:I19,"x")))=0,"",COUNTIF($I$5:I20,"x"))</f>
        <v>7</v>
      </c>
      <c r="J125" s="3632" t="str">
        <f>IF(((COUNTIF($J$5:J20,"x"))-(COUNTIF($J$5:J19,"x")))=0,"",COUNTIF($J$5:J20,"x"))</f>
        <v/>
      </c>
      <c r="K125" s="3632" t="str">
        <f>IF(((COUNTIF($K$5:K20,"x"))-(COUNTIF($K$5:K19,"x")))=0,"",COUNTIF($K$5:K20,"x"))</f>
        <v/>
      </c>
      <c r="L125" s="3632" t="str">
        <f>IF(((COUNTIF($L$5:L20,"x"))-(COUNTIF($L$5:L19,"x")))=0,"",COUNTIF($L$5:L20,"x"))</f>
        <v/>
      </c>
      <c r="M125" s="3632" t="str">
        <f>IF(((COUNTIF($M$5:M20,"x"))-(COUNTIF($M$5:M19,"x")))=0,"",COUNTIF($M$5:M20,"x"))</f>
        <v/>
      </c>
      <c r="N125" s="3632" t="str">
        <f>IF(((COUNTIF($N$5:N20,"x"))-(COUNTIF($N$5:N19,"x")))=0,"",COUNTIF($N$5:N20,"x"))</f>
        <v/>
      </c>
      <c r="O125" s="3632">
        <f>IF(((COUNTIF($O$5:O20,"x"))-(COUNTIF($O$5:O19,"x")))=0,"",COUNTIF($O$5:O20,"x"))</f>
        <v>5</v>
      </c>
      <c r="P125" s="3632">
        <f>IF(((COUNTIF($P$5:P20,"x"))-(COUNTIF($P$5:P19,"x")))=0,"",COUNTIF($P$5:P20,"x"))</f>
        <v>2</v>
      </c>
      <c r="Q125" s="3632" t="str">
        <f>IF(((COUNTIF($Q$5:Q20,"x"))-(COUNTIF($Q$5:Q19,"x")))=0,"",COUNTIF($Q$5:Q20,"x"))</f>
        <v/>
      </c>
      <c r="R125" s="3632" t="str">
        <f>IF(((COUNTIF($R$5:R20,"x"))-(COUNTIF($R$5:R19,"x")))=0,"",COUNTIF($R$5:R20,"x"))</f>
        <v/>
      </c>
      <c r="S125" s="3632" t="str">
        <f>IF(((COUNTIF($S$5:S20,"x"))-(COUNTIF($S$5:S19,"x")))=0,"",COUNTIF($S$5:S20,"x"))</f>
        <v/>
      </c>
      <c r="T125" s="3632" t="str">
        <f>IF(((COUNTIF($T$5:T20,"x"))-(COUNTIF($T$5:T19,"x")))=0,"",COUNTIF($T$5:T20,"x"))</f>
        <v/>
      </c>
      <c r="U125" s="3632" t="str">
        <f>IF(((COUNTIF($U$5:U20,"x"))-(COUNTIF($U$5:U19,"x")))=0,"",COUNTIF($U$5:U20,"x"))</f>
        <v/>
      </c>
      <c r="V125" s="3632" t="str">
        <f>IF(((COUNTIF($V$5:V20,"x"))-(COUNTIF($V$5:V19,"x")))=0,"",COUNTIF($V$5:V20,"x"))</f>
        <v/>
      </c>
      <c r="W125" s="3632" t="str">
        <f>IF(((COUNTIF($W$5:W20,"x"))-(COUNTIF($W$5:W19,"x")))=0,"",COUNTIF($W$5:W20,"x"))</f>
        <v/>
      </c>
      <c r="X125" s="3632" t="str">
        <f>IF(((COUNTIF($X$5:X20,"x"))-(COUNTIF($X$5:X19,"x")))=0,"",COUNTIF($X$5:X20,"x"))</f>
        <v/>
      </c>
      <c r="Y125" s="3632" t="str">
        <f>IF(((COUNTIF($Y$5:Y20,"x"))-(COUNTIF($Y$5:Y19,"x")))=0,"",COUNTIF($Y$5:Y20,"x"))</f>
        <v/>
      </c>
      <c r="Z125" s="3632" t="str">
        <f>IF(((COUNTIF($Z$5:Z20,"x"))-(COUNTIF($Z$5:Z19,"x")))=0,"",COUNTIF($Z$5:Z20,"x"))</f>
        <v/>
      </c>
      <c r="AA125" s="3632" t="str">
        <f>IF(((COUNTIF($AA$5:AA20,"x"))-(COUNTIF($AA$5:AA19,"x")))=0,"",COUNTIF($AA$5:AA20,"x"))</f>
        <v/>
      </c>
      <c r="AB125" s="3632" t="str">
        <f>IF(((COUNTIF($AB$5:AB20,"x"))-(COUNTIF($AB$5:AB19,"x")))=0,"",COUNTIF($AB$5:AB20,"x"))</f>
        <v/>
      </c>
      <c r="AC125" s="3632" t="str">
        <f>IF(((COUNTIF($AC$5:AC20,"x"))-(COUNTIF($AC$5:AC19,"x")))=0,"",COUNTIF($AC$5:AC20,"x"))</f>
        <v/>
      </c>
      <c r="AD125" s="3632">
        <f>IF(((COUNTIF($AD$5:AD20,"x"))-(COUNTIF($AD$5:AD19,"x")))=0,"",COUNTIF($AD$5:AD20,"x"))</f>
        <v>12</v>
      </c>
      <c r="AE125" s="3632" t="str">
        <f>IF(((COUNTIF($AE$5:AE20,"x"))-(COUNTIF($AE$5:AE19,"x")))=0,"",COUNTIF($AE$5:AE20,"x"))</f>
        <v/>
      </c>
      <c r="AF125" s="3633" t="str">
        <f>IF(((COUNTIF($AF$5:AF20,"x"))-(COUNTIF($AF$5:AF19,"x")))=0,"",COUNTIF($AF$5:AF20,"x"))</f>
        <v/>
      </c>
      <c r="AG125" s="1518" t="str">
        <f t="shared" si="14"/>
        <v>Broadway</v>
      </c>
    </row>
    <row r="126" spans="2:33" ht="17.399999999999999" hidden="1">
      <c r="B126" s="1525">
        <f t="shared" si="15"/>
        <v>17</v>
      </c>
      <c r="C126" s="2658" t="s">
        <v>1729</v>
      </c>
      <c r="D126" s="3635"/>
      <c r="E126" s="2695"/>
      <c r="F126" s="3631" t="str">
        <f>IF(((COUNTIF($F$5:$F21,"x"))-(COUNTIF($F$5:$F20,"x")))=0,"",COUNTIF($F$5:$F21,"x"))</f>
        <v/>
      </c>
      <c r="G126" s="3632" t="str">
        <f>IF(((COUNTIF($G$5:$G21,"x"))-(COUNTIF($G$5:$G20,"x")))=0,"",COUNTIF($G$5:$G21,"x"))</f>
        <v/>
      </c>
      <c r="H126" s="3632" t="str">
        <f>IF(((COUNTIF($H$5:$H21,"x"))-(COUNTIF($H$5:$H20,"x")))=0,"",COUNTIF($H$5:$H21,"x"))</f>
        <v/>
      </c>
      <c r="I126" s="3632" t="str">
        <f>IF(((COUNTIF($I$5:I21,"x"))-(COUNTIF($I$5:I20,"x")))=0,"",COUNTIF($I$5:I21,"x"))</f>
        <v/>
      </c>
      <c r="J126" s="3632" t="str">
        <f>IF(((COUNTIF($J$5:J21,"x"))-(COUNTIF($J$5:J20,"x")))=0,"",COUNTIF($J$5:J21,"x"))</f>
        <v/>
      </c>
      <c r="K126" s="3632" t="str">
        <f>IF(((COUNTIF($K$5:K21,"x"))-(COUNTIF($K$5:K20,"x")))=0,"",COUNTIF($K$5:K21,"x"))</f>
        <v/>
      </c>
      <c r="L126" s="3632" t="str">
        <f>IF(((COUNTIF($L$5:L21,"x"))-(COUNTIF($L$5:L20,"x")))=0,"",COUNTIF($L$5:L21,"x"))</f>
        <v/>
      </c>
      <c r="M126" s="3632" t="str">
        <f>IF(((COUNTIF($M$5:M21,"x"))-(COUNTIF($M$5:M20,"x")))=0,"",COUNTIF($M$5:M21,"x"))</f>
        <v/>
      </c>
      <c r="N126" s="3632" t="str">
        <f>IF(((COUNTIF($N$5:N21,"x"))-(COUNTIF($N$5:N20,"x")))=0,"",COUNTIF($N$5:N21,"x"))</f>
        <v/>
      </c>
      <c r="O126" s="3632" t="str">
        <f>IF(((COUNTIF($O$5:O21,"x"))-(COUNTIF($O$5:O20,"x")))=0,"",COUNTIF($O$5:O21,"x"))</f>
        <v/>
      </c>
      <c r="P126" s="3632" t="str">
        <f>IF(((COUNTIF($P$5:P21,"x"))-(COUNTIF($P$5:P20,"x")))=0,"",COUNTIF($P$5:P21,"x"))</f>
        <v/>
      </c>
      <c r="Q126" s="3632" t="str">
        <f>IF(((COUNTIF($Q$5:Q21,"x"))-(COUNTIF($Q$5:Q20,"x")))=0,"",COUNTIF($Q$5:Q21,"x"))</f>
        <v/>
      </c>
      <c r="R126" s="3632" t="str">
        <f>IF(((COUNTIF($R$5:R21,"x"))-(COUNTIF($R$5:R20,"x")))=0,"",COUNTIF($R$5:R21,"x"))</f>
        <v/>
      </c>
      <c r="S126" s="3632">
        <f>IF(((COUNTIF($S$5:S21,"x"))-(COUNTIF($S$5:S20,"x")))=0,"",COUNTIF($S$5:S21,"x"))</f>
        <v>3</v>
      </c>
      <c r="T126" s="3632">
        <f>IF(((COUNTIF($T$5:T21,"x"))-(COUNTIF($T$5:T20,"x")))=0,"",COUNTIF($T$5:T21,"x"))</f>
        <v>1</v>
      </c>
      <c r="U126" s="3632" t="str">
        <f>IF(((COUNTIF($U$5:U21,"x"))-(COUNTIF($U$5:U20,"x")))=0,"",COUNTIF($U$5:U21,"x"))</f>
        <v/>
      </c>
      <c r="V126" s="3632" t="str">
        <f>IF(((COUNTIF($V$5:V21,"x"))-(COUNTIF($V$5:V20,"x")))=0,"",COUNTIF($V$5:V21,"x"))</f>
        <v/>
      </c>
      <c r="W126" s="3632" t="str">
        <f>IF(((COUNTIF($W$5:W21,"x"))-(COUNTIF($W$5:W20,"x")))=0,"",COUNTIF($W$5:W21,"x"))</f>
        <v/>
      </c>
      <c r="X126" s="3632" t="str">
        <f>IF(((COUNTIF($X$5:X21,"x"))-(COUNTIF($X$5:X20,"x")))=0,"",COUNTIF($X$5:X21,"x"))</f>
        <v/>
      </c>
      <c r="Y126" s="3632" t="str">
        <f>IF(((COUNTIF($Y$5:Y21,"x"))-(COUNTIF($Y$5:Y20,"x")))=0,"",COUNTIF($Y$5:Y21,"x"))</f>
        <v/>
      </c>
      <c r="Z126" s="3632" t="str">
        <f>IF(((COUNTIF($Z$5:Z21,"x"))-(COUNTIF($Z$5:Z20,"x")))=0,"",COUNTIF($Z$5:Z21,"x"))</f>
        <v/>
      </c>
      <c r="AA126" s="3632" t="str">
        <f>IF(((COUNTIF($AA$5:AA21,"x"))-(COUNTIF($AA$5:AA20,"x")))=0,"",COUNTIF($AA$5:AA21,"x"))</f>
        <v/>
      </c>
      <c r="AB126" s="3632" t="str">
        <f>IF(((COUNTIF($AB$5:AB21,"x"))-(COUNTIF($AB$5:AB20,"x")))=0,"",COUNTIF($AB$5:AB21,"x"))</f>
        <v/>
      </c>
      <c r="AC126" s="3632" t="str">
        <f>IF(((COUNTIF($AC$5:AC21,"x"))-(COUNTIF($AC$5:AC20,"x")))=0,"",COUNTIF($AC$5:AC21,"x"))</f>
        <v/>
      </c>
      <c r="AD126" s="3632">
        <f>IF(((COUNTIF($AD$5:AD21,"x"))-(COUNTIF($AD$5:AD20,"x")))=0,"",COUNTIF($AD$5:AD21,"x"))</f>
        <v>13</v>
      </c>
      <c r="AE126" s="3632" t="str">
        <f>IF(((COUNTIF($AE$5:AE21,"x"))-(COUNTIF($AE$5:AE20,"x")))=0,"",COUNTIF($AE$5:AE21,"x"))</f>
        <v/>
      </c>
      <c r="AF126" s="3633" t="str">
        <f>IF(((COUNTIF($AF$5:AF21,"x"))-(COUNTIF($AF$5:AF20,"x")))=0,"",COUNTIF($AF$5:AF21,"x"))</f>
        <v/>
      </c>
      <c r="AG126" s="1518" t="str">
        <f t="shared" si="14"/>
        <v>Butisan Gold</v>
      </c>
    </row>
    <row r="127" spans="2:33" ht="17.399999999999999" hidden="1">
      <c r="B127" s="1525">
        <f t="shared" si="15"/>
        <v>18</v>
      </c>
      <c r="C127" s="2658" t="s">
        <v>532</v>
      </c>
      <c r="D127" s="3635"/>
      <c r="E127" s="2695"/>
      <c r="F127" s="3631" t="str">
        <f>IF(((COUNTIF($F$5:$F22,"x"))-(COUNTIF($F$5:$F21,"x")))=0,"",COUNTIF($F$5:$F22,"x"))</f>
        <v/>
      </c>
      <c r="G127" s="3632" t="str">
        <f>IF(((COUNTIF($G$5:$G22,"x"))-(COUNTIF($G$5:$G21,"x")))=0,"",COUNTIF($G$5:$G22,"x"))</f>
        <v/>
      </c>
      <c r="H127" s="3632" t="str">
        <f>IF(((COUNTIF($H$5:$H22,"x"))-(COUNTIF($H$5:$H21,"x")))=0,"",COUNTIF($H$5:$H22,"x"))</f>
        <v/>
      </c>
      <c r="I127" s="3632" t="str">
        <f>IF(((COUNTIF($I$5:I22,"x"))-(COUNTIF($I$5:I21,"x")))=0,"",COUNTIF($I$5:I22,"x"))</f>
        <v/>
      </c>
      <c r="J127" s="3632" t="str">
        <f>IF(((COUNTIF($J$5:J22,"x"))-(COUNTIF($J$5:J21,"x")))=0,"",COUNTIF($J$5:J22,"x"))</f>
        <v/>
      </c>
      <c r="K127" s="3632" t="str">
        <f>IF(((COUNTIF($K$5:K22,"x"))-(COUNTIF($K$5:K21,"x")))=0,"",COUNTIF($K$5:K22,"x"))</f>
        <v/>
      </c>
      <c r="L127" s="3632" t="str">
        <f>IF(((COUNTIF($L$5:L22,"x"))-(COUNTIF($L$5:L21,"x")))=0,"",COUNTIF($L$5:L22,"x"))</f>
        <v/>
      </c>
      <c r="M127" s="3632" t="str">
        <f>IF(((COUNTIF($M$5:M22,"x"))-(COUNTIF($M$5:M21,"x")))=0,"",COUNTIF($M$5:M22,"x"))</f>
        <v/>
      </c>
      <c r="N127" s="3632" t="str">
        <f>IF(((COUNTIF($N$5:N22,"x"))-(COUNTIF($N$5:N21,"x")))=0,"",COUNTIF($N$5:N22,"x"))</f>
        <v/>
      </c>
      <c r="O127" s="3632" t="str">
        <f>IF(((COUNTIF($O$5:O22,"x"))-(COUNTIF($O$5:O21,"x")))=0,"",COUNTIF($O$5:O22,"x"))</f>
        <v/>
      </c>
      <c r="P127" s="3632" t="str">
        <f>IF(((COUNTIF($P$5:P22,"x"))-(COUNTIF($P$5:P21,"x")))=0,"",COUNTIF($P$5:P22,"x"))</f>
        <v/>
      </c>
      <c r="Q127" s="3632" t="str">
        <f>IF(((COUNTIF($Q$5:Q22,"x"))-(COUNTIF($Q$5:Q21,"x")))=0,"",COUNTIF($Q$5:Q22,"x"))</f>
        <v/>
      </c>
      <c r="R127" s="3632">
        <f>IF(((COUNTIF($R$5:R22,"x"))-(COUNTIF($R$5:R21,"x")))=0,"",COUNTIF($R$5:R22,"x"))</f>
        <v>1</v>
      </c>
      <c r="S127" s="3632" t="str">
        <f>IF(((COUNTIF($S$5:S22,"x"))-(COUNTIF($S$5:S21,"x")))=0,"",COUNTIF($S$5:S22,"x"))</f>
        <v/>
      </c>
      <c r="T127" s="3632" t="str">
        <f>IF(((COUNTIF($T$5:T22,"x"))-(COUNTIF($T$5:T21,"x")))=0,"",COUNTIF($T$5:T22,"x"))</f>
        <v/>
      </c>
      <c r="U127" s="3632" t="str">
        <f>IF(((COUNTIF($U$5:U22,"x"))-(COUNTIF($U$5:U21,"x")))=0,"",COUNTIF($U$5:U22,"x"))</f>
        <v/>
      </c>
      <c r="V127" s="3632" t="str">
        <f>IF(((COUNTIF($V$5:V22,"x"))-(COUNTIF($V$5:V21,"x")))=0,"",COUNTIF($V$5:V22,"x"))</f>
        <v/>
      </c>
      <c r="W127" s="3632">
        <f>IF(((COUNTIF($W$5:W22,"x"))-(COUNTIF($W$5:W21,"x")))=0,"",COUNTIF($W$5:W22,"x"))</f>
        <v>1</v>
      </c>
      <c r="X127" s="3632" t="str">
        <f>IF(((COUNTIF($X$5:X22,"x"))-(COUNTIF($X$5:X21,"x")))=0,"",COUNTIF($X$5:X22,"x"))</f>
        <v/>
      </c>
      <c r="Y127" s="3632" t="str">
        <f>IF(((COUNTIF($Y$5:Y22,"x"))-(COUNTIF($Y$5:Y21,"x")))=0,"",COUNTIF($Y$5:Y22,"x"))</f>
        <v/>
      </c>
      <c r="Z127" s="3632" t="str">
        <f>IF(((COUNTIF($Z$5:Z22,"x"))-(COUNTIF($Z$5:Z21,"x")))=0,"",COUNTIF($Z$5:Z22,"x"))</f>
        <v/>
      </c>
      <c r="AA127" s="3632" t="str">
        <f>IF(((COUNTIF($AA$5:AA22,"x"))-(COUNTIF($AA$5:AA21,"x")))=0,"",COUNTIF($AA$5:AA22,"x"))</f>
        <v/>
      </c>
      <c r="AB127" s="3632" t="str">
        <f>IF(((COUNTIF($AB$5:AB22,"x"))-(COUNTIF($AB$5:AB21,"x")))=0,"",COUNTIF($AB$5:AB22,"x"))</f>
        <v/>
      </c>
      <c r="AC127" s="3632" t="str">
        <f>IF(((COUNTIF($AC$5:AC22,"x"))-(COUNTIF($AC$5:AC21,"x")))=0,"",COUNTIF($AC$5:AC22,"x"))</f>
        <v/>
      </c>
      <c r="AD127" s="3632">
        <f>IF(((COUNTIF($AD$5:AD22,"x"))-(COUNTIF($AD$5:AD21,"x")))=0,"",COUNTIF($AD$5:AD22,"x"))</f>
        <v>14</v>
      </c>
      <c r="AE127" s="3632" t="str">
        <f>IF(((COUNTIF($AE$5:AE22,"x"))-(COUNTIF($AE$5:AE21,"x")))=0,"",COUNTIF($AE$5:AE22,"x"))</f>
        <v/>
      </c>
      <c r="AF127" s="3633" t="str">
        <f>IF(((COUNTIF($AF$5:AF22,"x"))-(COUNTIF($AF$5:AF21,"x")))=0,"",COUNTIF($AF$5:AF22,"x"))</f>
        <v/>
      </c>
      <c r="AG127" s="1518" t="str">
        <f t="shared" si="14"/>
        <v>Callisto</v>
      </c>
    </row>
    <row r="128" spans="2:33" ht="17.399999999999999" hidden="1">
      <c r="B128" s="1525">
        <f t="shared" si="15"/>
        <v>19</v>
      </c>
      <c r="C128" s="2658" t="s">
        <v>1730</v>
      </c>
      <c r="D128" s="3635"/>
      <c r="E128" s="2695"/>
      <c r="F128" s="3631" t="str">
        <f>IF(((COUNTIF($F$5:$F23,"x"))-(COUNTIF($F$5:$F22,"x")))=0,"",COUNTIF($F$5:$F23,"x"))</f>
        <v/>
      </c>
      <c r="G128" s="3632" t="str">
        <f>IF(((COUNTIF($G$5:$G23,"x"))-(COUNTIF($G$5:$G22,"x")))=0,"",COUNTIF($G$5:$G23,"x"))</f>
        <v/>
      </c>
      <c r="H128" s="3632" t="str">
        <f>IF(((COUNTIF($H$5:$H23,"x"))-(COUNTIF($H$5:$H22,"x")))=0,"",COUNTIF($H$5:$H23,"x"))</f>
        <v/>
      </c>
      <c r="I128" s="3632" t="str">
        <f>IF(((COUNTIF($I$5:I23,"x"))-(COUNTIF($I$5:I22,"x")))=0,"",COUNTIF($I$5:I23,"x"))</f>
        <v/>
      </c>
      <c r="J128" s="3632" t="str">
        <f>IF(((COUNTIF($J$5:J23,"x"))-(COUNTIF($J$5:J22,"x")))=0,"",COUNTIF($J$5:J23,"x"))</f>
        <v/>
      </c>
      <c r="K128" s="3632" t="str">
        <f>IF(((COUNTIF($K$5:K23,"x"))-(COUNTIF($K$5:K22,"x")))=0,"",COUNTIF($K$5:K23,"x"))</f>
        <v/>
      </c>
      <c r="L128" s="3632" t="str">
        <f>IF(((COUNTIF($L$5:L23,"x"))-(COUNTIF($L$5:L22,"x")))=0,"",COUNTIF($L$5:L23,"x"))</f>
        <v/>
      </c>
      <c r="M128" s="3632" t="str">
        <f>IF(((COUNTIF($M$5:M23,"x"))-(COUNTIF($M$5:M22,"x")))=0,"",COUNTIF($M$5:M23,"x"))</f>
        <v/>
      </c>
      <c r="N128" s="3632" t="str">
        <f>IF(((COUNTIF($N$5:N23,"x"))-(COUNTIF($N$5:N22,"x")))=0,"",COUNTIF($N$5:N23,"x"))</f>
        <v/>
      </c>
      <c r="O128" s="3632" t="str">
        <f>IF(((COUNTIF($O$5:O23,"x"))-(COUNTIF($O$5:O22,"x")))=0,"",COUNTIF($O$5:O23,"x"))</f>
        <v/>
      </c>
      <c r="P128" s="3632" t="str">
        <f>IF(((COUNTIF($P$5:P23,"x"))-(COUNTIF($P$5:P22,"x")))=0,"",COUNTIF($P$5:P23,"x"))</f>
        <v/>
      </c>
      <c r="Q128" s="3632" t="str">
        <f>IF(((COUNTIF($Q$5:Q23,"x"))-(COUNTIF($Q$5:Q22,"x")))=0,"",COUNTIF($Q$5:Q23,"x"))</f>
        <v/>
      </c>
      <c r="R128" s="3632" t="str">
        <f>IF(((COUNTIF($R$5:R23,"x"))-(COUNTIF($R$5:R22,"x")))=0,"",COUNTIF($R$5:R23,"x"))</f>
        <v/>
      </c>
      <c r="S128" s="3632">
        <f>IF(((COUNTIF($S$5:S23,"x"))-(COUNTIF($S$5:S22,"x")))=0,"",COUNTIF($S$5:S23,"x"))</f>
        <v>4</v>
      </c>
      <c r="T128" s="3632" t="str">
        <f>IF(((COUNTIF($T$5:T23,"x"))-(COUNTIF($T$5:T22,"x")))=0,"",COUNTIF($T$5:T23,"x"))</f>
        <v/>
      </c>
      <c r="U128" s="3632">
        <f>IF(((COUNTIF($U$5:U23,"x"))-(COUNTIF($U$5:U22,"x")))=0,"",COUNTIF($U$5:U23,"x"))</f>
        <v>4</v>
      </c>
      <c r="V128" s="3632" t="str">
        <f>IF(((COUNTIF($V$5:V23,"x"))-(COUNTIF($V$5:V22,"x")))=0,"",COUNTIF($V$5:V23,"x"))</f>
        <v/>
      </c>
      <c r="W128" s="3632" t="str">
        <f>IF(((COUNTIF($W$5:W23,"x"))-(COUNTIF($W$5:W22,"x")))=0,"",COUNTIF($W$5:W23,"x"))</f>
        <v/>
      </c>
      <c r="X128" s="3632" t="str">
        <f>IF(((COUNTIF($X$5:X23,"x"))-(COUNTIF($X$5:X22,"x")))=0,"",COUNTIF($X$5:X23,"x"))</f>
        <v/>
      </c>
      <c r="Y128" s="3632" t="str">
        <f>IF(((COUNTIF($Y$5:Y23,"x"))-(COUNTIF($Y$5:Y22,"x")))=0,"",COUNTIF($Y$5:Y23,"x"))</f>
        <v/>
      </c>
      <c r="Z128" s="3632" t="str">
        <f>IF(((COUNTIF($Z$5:Z23,"x"))-(COUNTIF($Z$5:Z22,"x")))=0,"",COUNTIF($Z$5:Z23,"x"))</f>
        <v/>
      </c>
      <c r="AA128" s="3632" t="str">
        <f>IF(((COUNTIF($AA$5:AA23,"x"))-(COUNTIF($AA$5:AA22,"x")))=0,"",COUNTIF($AA$5:AA23,"x"))</f>
        <v/>
      </c>
      <c r="AB128" s="3632" t="str">
        <f>IF(((COUNTIF($AB$5:AB23,"x"))-(COUNTIF($AB$5:AB22,"x")))=0,"",COUNTIF($AB$5:AB23,"x"))</f>
        <v/>
      </c>
      <c r="AC128" s="3632" t="str">
        <f>IF(((COUNTIF($AC$5:AC23,"x"))-(COUNTIF($AC$5:AC22,"x")))=0,"",COUNTIF($AC$5:AC23,"x"))</f>
        <v/>
      </c>
      <c r="AD128" s="3632">
        <f>IF(((COUNTIF($AD$5:AD23,"x"))-(COUNTIF($AD$5:AD22,"x")))=0,"",COUNTIF($AD$5:AD23,"x"))</f>
        <v>15</v>
      </c>
      <c r="AE128" s="3632" t="str">
        <f>IF(((COUNTIF($AE$5:AE23,"x"))-(COUNTIF($AE$5:AE22,"x")))=0,"",COUNTIF($AE$5:AE23,"x"))</f>
        <v/>
      </c>
      <c r="AF128" s="3633" t="str">
        <f>IF(((COUNTIF($AF$5:AF23,"x"))-(COUNTIF($AF$5:AF22,"x")))=0,"",COUNTIF($AF$5:AF23,"x"))</f>
        <v/>
      </c>
      <c r="AG128" s="1518" t="str">
        <f t="shared" si="14"/>
        <v>Cantus Ultra</v>
      </c>
    </row>
    <row r="129" spans="2:33" ht="17.399999999999999" hidden="1">
      <c r="B129" s="1525">
        <f t="shared" si="15"/>
        <v>20</v>
      </c>
      <c r="C129" s="2658" t="s">
        <v>529</v>
      </c>
      <c r="D129" s="3635"/>
      <c r="E129" s="2695"/>
      <c r="F129" s="3631" t="str">
        <f>IF(((COUNTIF($F$5:$F24,"x"))-(COUNTIF($F$5:$F23,"x")))=0,"",COUNTIF($F$5:$F24,"x"))</f>
        <v/>
      </c>
      <c r="G129" s="3632" t="str">
        <f>IF(((COUNTIF($G$5:$G24,"x"))-(COUNTIF($G$5:$G23,"x")))=0,"",COUNTIF($G$5:$G24,"x"))</f>
        <v/>
      </c>
      <c r="H129" s="3632" t="str">
        <f>IF(((COUNTIF($H$5:$H24,"x"))-(COUNTIF($H$5:$H23,"x")))=0,"",COUNTIF($H$5:$H24,"x"))</f>
        <v/>
      </c>
      <c r="I129" s="3632" t="str">
        <f>IF(((COUNTIF($I$5:I24,"x"))-(COUNTIF($I$5:I23,"x")))=0,"",COUNTIF($I$5:I24,"x"))</f>
        <v/>
      </c>
      <c r="J129" s="3632" t="str">
        <f>IF(((COUNTIF($J$5:J24,"x"))-(COUNTIF($J$5:J23,"x")))=0,"",COUNTIF($J$5:J24,"x"))</f>
        <v/>
      </c>
      <c r="K129" s="3632" t="str">
        <f>IF(((COUNTIF($K$5:K24,"x"))-(COUNTIF($K$5:K23,"x")))=0,"",COUNTIF($K$5:K24,"x"))</f>
        <v/>
      </c>
      <c r="L129" s="3632" t="str">
        <f>IF(((COUNTIF($L$5:L24,"x"))-(COUNTIF($L$5:L23,"x")))=0,"",COUNTIF($L$5:L24,"x"))</f>
        <v/>
      </c>
      <c r="M129" s="3632" t="str">
        <f>IF(((COUNTIF($M$5:M24,"x"))-(COUNTIF($M$5:M23,"x")))=0,"",COUNTIF($M$5:M24,"x"))</f>
        <v/>
      </c>
      <c r="N129" s="3632" t="str">
        <f>IF(((COUNTIF($N$5:N24,"x"))-(COUNTIF($N$5:N23,"x")))=0,"",COUNTIF($N$5:N24,"x"))</f>
        <v/>
      </c>
      <c r="O129" s="3632" t="str">
        <f>IF(((COUNTIF($O$5:O24,"x"))-(COUNTIF($O$5:O23,"x")))=0,"",COUNTIF($O$5:O24,"x"))</f>
        <v/>
      </c>
      <c r="P129" s="3632" t="str">
        <f>IF(((COUNTIF($P$5:P24,"x"))-(COUNTIF($P$5:P23,"x")))=0,"",COUNTIF($P$5:P24,"x"))</f>
        <v/>
      </c>
      <c r="Q129" s="3632" t="str">
        <f>IF(((COUNTIF($Q$5:Q24,"x"))-(COUNTIF($Q$5:Q23,"x")))=0,"",COUNTIF($Q$5:Q24,"x"))</f>
        <v/>
      </c>
      <c r="R129" s="3632" t="str">
        <f>IF(((COUNTIF($R$5:R24,"x"))-(COUNTIF($R$5:R23,"x")))=0,"",COUNTIF($R$5:R24,"x"))</f>
        <v/>
      </c>
      <c r="S129" s="3632">
        <f>IF(((COUNTIF($S$5:S24,"x"))-(COUNTIF($S$5:S23,"x")))=0,"",COUNTIF($S$5:S24,"x"))</f>
        <v>5</v>
      </c>
      <c r="T129" s="3632">
        <f>IF(((COUNTIF($T$5:T24,"x"))-(COUNTIF($T$5:T23,"x")))=0,"",COUNTIF($T$5:T24,"x"))</f>
        <v>2</v>
      </c>
      <c r="U129" s="3632" t="str">
        <f>IF(((COUNTIF($U$5:U24,"x"))-(COUNTIF($U$5:U23,"x")))=0,"",COUNTIF($U$5:U24,"x"))</f>
        <v/>
      </c>
      <c r="V129" s="3632" t="str">
        <f>IF(((COUNTIF($V$5:V24,"x"))-(COUNTIF($V$5:V23,"x")))=0,"",COUNTIF($V$5:V24,"x"))</f>
        <v/>
      </c>
      <c r="W129" s="3632" t="str">
        <f>IF(((COUNTIF($W$5:W24,"x"))-(COUNTIF($W$5:W23,"x")))=0,"",COUNTIF($W$5:W24,"x"))</f>
        <v/>
      </c>
      <c r="X129" s="3632" t="str">
        <f>IF(((COUNTIF($X$5:X24,"x"))-(COUNTIF($X$5:X23,"x")))=0,"",COUNTIF($X$5:X24,"x"))</f>
        <v/>
      </c>
      <c r="Y129" s="3632" t="str">
        <f>IF(((COUNTIF($Y$5:Y24,"x"))-(COUNTIF($Y$5:Y23,"x")))=0,"",COUNTIF($Y$5:Y24,"x"))</f>
        <v/>
      </c>
      <c r="Z129" s="3632" t="str">
        <f>IF(((COUNTIF($Z$5:Z24,"x"))-(COUNTIF($Z$5:Z23,"x")))=0,"",COUNTIF($Z$5:Z24,"x"))</f>
        <v/>
      </c>
      <c r="AA129" s="3632" t="str">
        <f>IF(((COUNTIF($AA$5:AA24,"x"))-(COUNTIF($AA$5:AA23,"x")))=0,"",COUNTIF($AA$5:AA24,"x"))</f>
        <v/>
      </c>
      <c r="AB129" s="3632" t="str">
        <f>IF(((COUNTIF($AB$5:AB24,"x"))-(COUNTIF($AB$5:AB23,"x")))=0,"",COUNTIF($AB$5:AB24,"x"))</f>
        <v/>
      </c>
      <c r="AC129" s="3632" t="str">
        <f>IF(((COUNTIF($AC$5:AC24,"x"))-(COUNTIF($AC$5:AC23,"x")))=0,"",COUNTIF($AC$5:AC24,"x"))</f>
        <v/>
      </c>
      <c r="AD129" s="3632">
        <f>IF(((COUNTIF($AD$5:AD24,"x"))-(COUNTIF($AD$5:AD23,"x")))=0,"",COUNTIF($AD$5:AD24,"x"))</f>
        <v>16</v>
      </c>
      <c r="AE129" s="3632" t="str">
        <f>IF(((COUNTIF($AE$5:AE24,"x"))-(COUNTIF($AE$5:AE23,"x")))=0,"",COUNTIF($AE$5:AE24,"x"))</f>
        <v/>
      </c>
      <c r="AF129" s="3633" t="str">
        <f>IF(((COUNTIF($AF$5:AF24,"x"))-(COUNTIF($AF$5:AF23,"x")))=0,"",COUNTIF($AF$5:AF24,"x"))</f>
        <v/>
      </c>
      <c r="AG129" s="1518" t="str">
        <f t="shared" si="14"/>
        <v>Carax</v>
      </c>
    </row>
    <row r="130" spans="2:33" ht="17.399999999999999" hidden="1">
      <c r="B130" s="1525">
        <f t="shared" si="15"/>
        <v>21</v>
      </c>
      <c r="C130" s="2658" t="s">
        <v>528</v>
      </c>
      <c r="D130" s="3635"/>
      <c r="E130" s="2695"/>
      <c r="F130" s="3631">
        <f>IF(((COUNTIF($F$5:$F25,"x"))-(COUNTIF($F$5:$F24,"x")))=0,"",COUNTIF($F$5:$F25,"x"))</f>
        <v>9</v>
      </c>
      <c r="G130" s="3632" t="str">
        <f>IF(((COUNTIF($G$5:$G25,"x"))-(COUNTIF($G$5:$G24,"x")))=0,"",COUNTIF($G$5:$G25,"x"))</f>
        <v/>
      </c>
      <c r="H130" s="3632">
        <f>IF(((COUNTIF($H$5:$H25,"x"))-(COUNTIF($H$5:$H24,"x")))=0,"",COUNTIF($H$5:$H25,"x"))</f>
        <v>9</v>
      </c>
      <c r="I130" s="3632">
        <f>IF(((COUNTIF($I$5:I25,"x"))-(COUNTIF($I$5:I24,"x")))=0,"",COUNTIF($I$5:I25,"x"))</f>
        <v>8</v>
      </c>
      <c r="J130" s="3632" t="str">
        <f>IF(((COUNTIF($J$5:J25,"x"))-(COUNTIF($J$5:J24,"x")))=0,"",COUNTIF($J$5:J25,"x"))</f>
        <v/>
      </c>
      <c r="K130" s="3632">
        <f>IF(((COUNTIF($K$5:K25,"x"))-(COUNTIF($K$5:K24,"x")))=0,"",COUNTIF($K$5:K25,"x"))</f>
        <v>6</v>
      </c>
      <c r="L130" s="3632" t="str">
        <f>IF(((COUNTIF($L$5:L25,"x"))-(COUNTIF($L$5:L24,"x")))=0,"",COUNTIF($L$5:L25,"x"))</f>
        <v/>
      </c>
      <c r="M130" s="3632" t="str">
        <f>IF(((COUNTIF($M$5:M25,"x"))-(COUNTIF($M$5:M24,"x")))=0,"",COUNTIF($M$5:M25,"x"))</f>
        <v/>
      </c>
      <c r="N130" s="3632">
        <f>IF(((COUNTIF($N$5:N25,"x"))-(COUNTIF($N$5:N24,"x")))=0,"",COUNTIF($N$5:N25,"x"))</f>
        <v>4</v>
      </c>
      <c r="O130" s="3632" t="str">
        <f>IF(((COUNTIF($O$5:O25,"x"))-(COUNTIF($O$5:O24,"x")))=0,"",COUNTIF($O$5:O25,"x"))</f>
        <v/>
      </c>
      <c r="P130" s="3632" t="str">
        <f>IF(((COUNTIF($P$5:P25,"x"))-(COUNTIF($P$5:P24,"x")))=0,"",COUNTIF($P$5:P25,"x"))</f>
        <v/>
      </c>
      <c r="Q130" s="3632" t="str">
        <f>IF(((COUNTIF($Q$5:Q25,"x"))-(COUNTIF($Q$5:Q24,"x")))=0,"",COUNTIF($Q$5:Q25,"x"))</f>
        <v/>
      </c>
      <c r="R130" s="3632" t="str">
        <f>IF(((COUNTIF($R$5:R25,"x"))-(COUNTIF($R$5:R24,"x")))=0,"",COUNTIF($R$5:R25,"x"))</f>
        <v/>
      </c>
      <c r="S130" s="3632" t="str">
        <f>IF(((COUNTIF($S$5:S25,"x"))-(COUNTIF($S$5:S24,"x")))=0,"",COUNTIF($S$5:S25,"x"))</f>
        <v/>
      </c>
      <c r="T130" s="3632" t="str">
        <f>IF(((COUNTIF($T$5:T25,"x"))-(COUNTIF($T$5:T24,"x")))=0,"",COUNTIF($T$5:T25,"x"))</f>
        <v/>
      </c>
      <c r="U130" s="3632" t="str">
        <f>IF(((COUNTIF($U$5:U25,"x"))-(COUNTIF($U$5:U24,"x")))=0,"",COUNTIF($U$5:U25,"x"))</f>
        <v/>
      </c>
      <c r="V130" s="3632" t="str">
        <f>IF(((COUNTIF($V$5:V25,"x"))-(COUNTIF($V$5:V24,"x")))=0,"",COUNTIF($V$5:V25,"x"))</f>
        <v/>
      </c>
      <c r="W130" s="3632" t="str">
        <f>IF(((COUNTIF($W$5:W25,"x"))-(COUNTIF($W$5:W24,"x")))=0,"",COUNTIF($W$5:W25,"x"))</f>
        <v/>
      </c>
      <c r="X130" s="3632" t="str">
        <f>IF(((COUNTIF($X$5:X25,"x"))-(COUNTIF($X$5:X24,"x")))=0,"",COUNTIF($X$5:X25,"x"))</f>
        <v/>
      </c>
      <c r="Y130" s="3632" t="str">
        <f>IF(((COUNTIF($Y$5:Y25,"x"))-(COUNTIF($Y$5:Y24,"x")))=0,"",COUNTIF($Y$5:Y25,"x"))</f>
        <v/>
      </c>
      <c r="Z130" s="3632" t="str">
        <f>IF(((COUNTIF($Z$5:Z25,"x"))-(COUNTIF($Z$5:Z24,"x")))=0,"",COUNTIF($Z$5:Z25,"x"))</f>
        <v/>
      </c>
      <c r="AA130" s="3632" t="str">
        <f>IF(((COUNTIF($AA$5:AA25,"x"))-(COUNTIF($AA$5:AA24,"x")))=0,"",COUNTIF($AA$5:AA25,"x"))</f>
        <v/>
      </c>
      <c r="AB130" s="3632" t="str">
        <f>IF(((COUNTIF($AB$5:AB25,"x"))-(COUNTIF($AB$5:AB24,"x")))=0,"",COUNTIF($AB$5:AB25,"x"))</f>
        <v/>
      </c>
      <c r="AC130" s="3632" t="str">
        <f>IF(((COUNTIF($AC$5:AC25,"x"))-(COUNTIF($AC$5:AC24,"x")))=0,"",COUNTIF($AC$5:AC25,"x"))</f>
        <v/>
      </c>
      <c r="AD130" s="3632">
        <f>IF(((COUNTIF($AD$5:AD25,"x"))-(COUNTIF($AD$5:AD24,"x")))=0,"",COUNTIF($AD$5:AD25,"x"))</f>
        <v>17</v>
      </c>
      <c r="AE130" s="3632" t="str">
        <f>IF(((COUNTIF($AE$5:AE25,"x"))-(COUNTIF($AE$5:AE24,"x")))=0,"",COUNTIF($AE$5:AE25,"x"))</f>
        <v/>
      </c>
      <c r="AF130" s="3633" t="str">
        <f>IF(((COUNTIF($AF$5:AF25,"x"))-(COUNTIF($AF$5:AF24,"x")))=0,"",COUNTIF($AF$5:AF25,"x"))</f>
        <v/>
      </c>
      <c r="AG130" s="1518" t="str">
        <f t="shared" si="14"/>
        <v>CCC 720</v>
      </c>
    </row>
    <row r="131" spans="2:33" ht="17.399999999999999" hidden="1">
      <c r="B131" s="1525">
        <f t="shared" si="15"/>
        <v>22</v>
      </c>
      <c r="C131" s="2658" t="s">
        <v>527</v>
      </c>
      <c r="D131" s="3635"/>
      <c r="E131" s="2694"/>
      <c r="F131" s="3631" t="str">
        <f>IF(((COUNTIF($F$5:$F26,"x"))-(COUNTIF($F$5:$F25,"x")))=0,"",COUNTIF($F$5:$F26,"x"))</f>
        <v/>
      </c>
      <c r="G131" s="3632" t="str">
        <f>IF(((COUNTIF($G$5:$G26,"x"))-(COUNTIF($G$5:$G25,"x")))=0,"",COUNTIF($G$5:$G26,"x"))</f>
        <v/>
      </c>
      <c r="H131" s="3632" t="str">
        <f>IF(((COUNTIF($H$5:$H26,"x"))-(COUNTIF($H$5:$H25,"x")))=0,"",COUNTIF($H$5:$H26,"x"))</f>
        <v/>
      </c>
      <c r="I131" s="3632" t="str">
        <f>IF(((COUNTIF($I$5:I26,"x"))-(COUNTIF($I$5:I25,"x")))=0,"",COUNTIF($I$5:I26,"x"))</f>
        <v/>
      </c>
      <c r="J131" s="3632" t="str">
        <f>IF(((COUNTIF($J$5:J26,"x"))-(COUNTIF($J$5:J25,"x")))=0,"",COUNTIF($J$5:J26,"x"))</f>
        <v/>
      </c>
      <c r="K131" s="3632" t="str">
        <f>IF(((COUNTIF($K$5:K26,"x"))-(COUNTIF($K$5:K25,"x")))=0,"",COUNTIF($K$5:K26,"x"))</f>
        <v/>
      </c>
      <c r="L131" s="3632" t="str">
        <f>IF(((COUNTIF($L$5:L26,"x"))-(COUNTIF($L$5:L25,"x")))=0,"",COUNTIF($L$5:L26,"x"))</f>
        <v/>
      </c>
      <c r="M131" s="3632" t="str">
        <f>IF(((COUNTIF($M$5:M26,"x"))-(COUNTIF($M$5:M25,"x")))=0,"",COUNTIF($M$5:M26,"x"))</f>
        <v/>
      </c>
      <c r="N131" s="3632" t="str">
        <f>IF(((COUNTIF($N$5:N26,"x"))-(COUNTIF($N$5:N25,"x")))=0,"",COUNTIF($N$5:N26,"x"))</f>
        <v/>
      </c>
      <c r="O131" s="3632" t="str">
        <f>IF(((COUNTIF($O$5:O26,"x"))-(COUNTIF($O$5:O25,"x")))=0,"",COUNTIF($O$5:O26,"x"))</f>
        <v/>
      </c>
      <c r="P131" s="3632" t="str">
        <f>IF(((COUNTIF($P$5:P26,"x"))-(COUNTIF($P$5:P25,"x")))=0,"",COUNTIF($P$5:P26,"x"))</f>
        <v/>
      </c>
      <c r="Q131" s="3632" t="str">
        <f>IF(((COUNTIF($Q$5:Q26,"x"))-(COUNTIF($Q$5:Q25,"x")))=0,"",COUNTIF($Q$5:Q26,"x"))</f>
        <v/>
      </c>
      <c r="R131" s="3632" t="str">
        <f>IF(((COUNTIF($R$5:R26,"x"))-(COUNTIF($R$5:R25,"x")))=0,"",COUNTIF($R$5:R26,"x"))</f>
        <v/>
      </c>
      <c r="S131" s="3632">
        <f>IF(((COUNTIF($S$5:S26,"x"))-(COUNTIF($S$5:S25,"x")))=0,"",COUNTIF($S$5:S26,"x"))</f>
        <v>6</v>
      </c>
      <c r="T131" s="3632" t="str">
        <f>IF(((COUNTIF($T$5:T26,"x"))-(COUNTIF($T$5:T25,"x")))=0,"",COUNTIF($T$5:T26,"x"))</f>
        <v/>
      </c>
      <c r="U131" s="3632" t="str">
        <f>IF(((COUNTIF($U$5:U26,"x"))-(COUNTIF($U$5:U25,"x")))=0,"",COUNTIF($U$5:U26,"x"))</f>
        <v/>
      </c>
      <c r="V131" s="3632">
        <f>IF(((COUNTIF($V$5:V26,"x"))-(COUNTIF($V$5:V25,"x")))=0,"",COUNTIF($V$5:V26,"x"))</f>
        <v>1</v>
      </c>
      <c r="W131" s="3632" t="str">
        <f>IF(((COUNTIF($W$5:W26,"x"))-(COUNTIF($W$5:W25,"x")))=0,"",COUNTIF($W$5:W26,"x"))</f>
        <v/>
      </c>
      <c r="X131" s="3632">
        <f>IF(((COUNTIF($X$5:X26,"x"))-(COUNTIF($X$5:X25,"x")))=0,"",COUNTIF($X$5:X26,"x"))</f>
        <v>4</v>
      </c>
      <c r="Y131" s="3632">
        <f>IF(((COUNTIF($Y$5:Y26,"x"))-(COUNTIF($Y$5:Y25,"x")))=0,"",COUNTIF($Y$5:Y26,"x"))</f>
        <v>4</v>
      </c>
      <c r="Z131" s="3632" t="str">
        <f>IF(((COUNTIF($Z$5:Z26,"x"))-(COUNTIF($Z$5:Z25,"x")))=0,"",COUNTIF($Z$5:Z26,"x"))</f>
        <v/>
      </c>
      <c r="AA131" s="3632" t="str">
        <f>IF(((COUNTIF($AA$5:AA26,"x"))-(COUNTIF($AA$5:AA25,"x")))=0,"",COUNTIF($AA$5:AA26,"x"))</f>
        <v/>
      </c>
      <c r="AB131" s="3632">
        <f>IF(((COUNTIF($AB$5:AB26,"x"))-(COUNTIF($AB$5:AB25,"x")))=0,"",COUNTIF($AB$5:AB26,"x"))</f>
        <v>4</v>
      </c>
      <c r="AC131" s="3632" t="str">
        <f>IF(((COUNTIF($AC$5:AC26,"x"))-(COUNTIF($AC$5:AC25,"x")))=0,"",COUNTIF($AC$5:AC26,"x"))</f>
        <v/>
      </c>
      <c r="AD131" s="3632">
        <f>IF(((COUNTIF($AD$5:AD26,"x"))-(COUNTIF($AD$5:AD25,"x")))=0,"",COUNTIF($AD$5:AD26,"x"))</f>
        <v>18</v>
      </c>
      <c r="AE131" s="3632" t="str">
        <f>IF(((COUNTIF($AE$5:AE26,"x"))-(COUNTIF($AE$5:AE25,"x")))=0,"",COUNTIF($AE$5:AE26,"x"))</f>
        <v/>
      </c>
      <c r="AF131" s="3633" t="str">
        <f>IF(((COUNTIF($AF$5:AF26,"x"))-(COUNTIF($AF$5:AF25,"x")))=0,"",COUNTIF($AF$5:AF26,"x"))</f>
        <v/>
      </c>
      <c r="AG131" s="1518" t="str">
        <f t="shared" si="14"/>
        <v>Centium 36 CS</v>
      </c>
    </row>
    <row r="132" spans="2:33" ht="17.399999999999999" hidden="1">
      <c r="B132" s="1525">
        <f t="shared" si="15"/>
        <v>23</v>
      </c>
      <c r="C132" s="2658" t="s">
        <v>1477</v>
      </c>
      <c r="D132" s="3635"/>
      <c r="E132" s="2695"/>
      <c r="F132" s="3631">
        <f>IF(((COUNTIF($F$5:$F27,"x"))-(COUNTIF($F$5:$F26,"x")))=0,"",COUNTIF($F$5:$F27,"x"))</f>
        <v>10</v>
      </c>
      <c r="G132" s="3632" t="str">
        <f>IF(((COUNTIF($G$5:$G27,"x"))-(COUNTIF($G$5:$G26,"x")))=0,"",COUNTIF($G$5:$G27,"x"))</f>
        <v/>
      </c>
      <c r="H132" s="3632">
        <f>IF(((COUNTIF($H$5:$H27,"x"))-(COUNTIF($H$5:$H26,"x")))=0,"",COUNTIF($H$5:$H27,"x"))</f>
        <v>10</v>
      </c>
      <c r="I132" s="3632">
        <f>IF(((COUNTIF($I$5:I27,"x"))-(COUNTIF($I$5:I26,"x")))=0,"",COUNTIF($I$5:I27,"x"))</f>
        <v>9</v>
      </c>
      <c r="J132" s="3632">
        <f>IF(((COUNTIF($J$5:J27,"x"))-(COUNTIF($J$5:J26,"x")))=0,"",COUNTIF($J$5:J27,"x"))</f>
        <v>7</v>
      </c>
      <c r="K132" s="3632">
        <f>IF(((COUNTIF($K$5:K27,"x"))-(COUNTIF($K$5:K26,"x")))=0,"",COUNTIF($K$5:K27,"x"))</f>
        <v>7</v>
      </c>
      <c r="L132" s="3632">
        <f>IF(((COUNTIF($L$5:L27,"x"))-(COUNTIF($L$5:L26,"x")))=0,"",COUNTIF($L$5:L27,"x"))</f>
        <v>7</v>
      </c>
      <c r="M132" s="3632">
        <f>IF(((COUNTIF($M$5:M27,"x"))-(COUNTIF($M$5:M26,"x")))=0,"",COUNTIF($M$5:M27,"x"))</f>
        <v>7</v>
      </c>
      <c r="N132" s="3632" t="str">
        <f>IF(((COUNTIF($N$5:N27,"x"))-(COUNTIF($N$5:N26,"x")))=0,"",COUNTIF($N$5:N27,"x"))</f>
        <v/>
      </c>
      <c r="O132" s="3632" t="str">
        <f>IF(((COUNTIF($O$5:O27,"x"))-(COUNTIF($O$5:O26,"x")))=0,"",COUNTIF($O$5:O27,"x"))</f>
        <v/>
      </c>
      <c r="P132" s="3632" t="str">
        <f>IF(((COUNTIF($P$5:P27,"x"))-(COUNTIF($P$5:P26,"x")))=0,"",COUNTIF($P$5:P27,"x"))</f>
        <v/>
      </c>
      <c r="Q132" s="3632" t="str">
        <f>IF(((COUNTIF($Q$5:Q27,"x"))-(COUNTIF($Q$5:Q26,"x")))=0,"",COUNTIF($Q$5:Q27,"x"))</f>
        <v/>
      </c>
      <c r="R132" s="3632" t="str">
        <f>IF(((COUNTIF($R$5:R27,"x"))-(COUNTIF($R$5:R26,"x")))=0,"",COUNTIF($R$5:R27,"x"))</f>
        <v/>
      </c>
      <c r="S132" s="3632" t="str">
        <f>IF(((COUNTIF($S$5:S27,"x"))-(COUNTIF($S$5:S26,"x")))=0,"",COUNTIF($S$5:S27,"x"))</f>
        <v/>
      </c>
      <c r="T132" s="3632" t="str">
        <f>IF(((COUNTIF($T$5:T27,"x"))-(COUNTIF($T$5:T26,"x")))=0,"",COUNTIF($T$5:T27,"x"))</f>
        <v/>
      </c>
      <c r="U132" s="3632" t="str">
        <f>IF(((COUNTIF($U$5:U27,"x"))-(COUNTIF($U$5:U26,"x")))=0,"",COUNTIF($U$5:U27,"x"))</f>
        <v/>
      </c>
      <c r="V132" s="3632" t="str">
        <f>IF(((COUNTIF($V$5:V27,"x"))-(COUNTIF($V$5:V26,"x")))=0,"",COUNTIF($V$5:V27,"x"))</f>
        <v/>
      </c>
      <c r="W132" s="3632" t="str">
        <f>IF(((COUNTIF($W$5:W27,"x"))-(COUNTIF($W$5:W26,"x")))=0,"",COUNTIF($W$5:W27,"x"))</f>
        <v/>
      </c>
      <c r="X132" s="3632" t="str">
        <f>IF(((COUNTIF($X$5:X27,"x"))-(COUNTIF($X$5:X26,"x")))=0,"",COUNTIF($X$5:X27,"x"))</f>
        <v/>
      </c>
      <c r="Y132" s="3632" t="str">
        <f>IF(((COUNTIF($Y$5:Y27,"x"))-(COUNTIF($Y$5:Y26,"x")))=0,"",COUNTIF($Y$5:Y27,"x"))</f>
        <v/>
      </c>
      <c r="Z132" s="3632" t="str">
        <f>IF(((COUNTIF($Z$5:Z27,"x"))-(COUNTIF($Z$5:Z26,"x")))=0,"",COUNTIF($Z$5:Z27,"x"))</f>
        <v/>
      </c>
      <c r="AA132" s="3632" t="str">
        <f>IF(((COUNTIF($AA$5:AA27,"x"))-(COUNTIF($AA$5:AA26,"x")))=0,"",COUNTIF($AA$5:AA27,"x"))</f>
        <v/>
      </c>
      <c r="AB132" s="3632" t="str">
        <f>IF(((COUNTIF($AB$5:AB27,"x"))-(COUNTIF($AB$5:AB26,"x")))=0,"",COUNTIF($AB$5:AB27,"x"))</f>
        <v/>
      </c>
      <c r="AC132" s="3632" t="str">
        <f>IF(((COUNTIF($AC$5:AC27,"x"))-(COUNTIF($AC$5:AC26,"x")))=0,"",COUNTIF($AC$5:AC27,"x"))</f>
        <v/>
      </c>
      <c r="AD132" s="3632">
        <f>IF(((COUNTIF($AD$5:AD27,"x"))-(COUNTIF($AD$5:AD26,"x")))=0,"",COUNTIF($AD$5:AD27,"x"))</f>
        <v>19</v>
      </c>
      <c r="AE132" s="3632" t="str">
        <f>IF(((COUNTIF($AE$5:AE27,"x"))-(COUNTIF($AE$5:AE26,"x")))=0,"",COUNTIF($AE$5:AE27,"x"))</f>
        <v/>
      </c>
      <c r="AF132" s="3633" t="str">
        <f>IF(((COUNTIF($AF$5:AF27,"x"))-(COUNTIF($AF$5:AF26,"x")))=0,"",COUNTIF($AF$5:AF27,"x"))</f>
        <v/>
      </c>
      <c r="AG132" s="1518" t="str">
        <f t="shared" si="14"/>
        <v>Cerone 660</v>
      </c>
    </row>
    <row r="133" spans="2:33" ht="17.399999999999999" hidden="1">
      <c r="B133" s="1525">
        <f t="shared" si="15"/>
        <v>24</v>
      </c>
      <c r="C133" s="2658" t="s">
        <v>1572</v>
      </c>
      <c r="D133" s="3635"/>
      <c r="E133" s="2694"/>
      <c r="F133" s="3631" t="str">
        <f>IF(((COUNTIF($F$5:$F28,"x"))-(COUNTIF($F$5:$F27,"x")))=0,"",COUNTIF($F$5:$F28,"x"))</f>
        <v/>
      </c>
      <c r="G133" s="3632" t="str">
        <f>IF(((COUNTIF($G$5:$G28,"x"))-(COUNTIF($G$5:$G27,"x")))=0,"",COUNTIF($G$5:$G28,"x"))</f>
        <v/>
      </c>
      <c r="H133" s="3632" t="str">
        <f>IF(((COUNTIF($H$5:$H28,"x"))-(COUNTIF($H$5:$H27,"x")))=0,"",COUNTIF($H$5:$H28,"x"))</f>
        <v/>
      </c>
      <c r="I133" s="3632" t="str">
        <f>IF(((COUNTIF($I$5:I28,"x"))-(COUNTIF($I$5:I27,"x")))=0,"",COUNTIF($I$5:I28,"x"))</f>
        <v/>
      </c>
      <c r="J133" s="3632" t="str">
        <f>IF(((COUNTIF($J$5:J28,"x"))-(COUNTIF($J$5:J27,"x")))=0,"",COUNTIF($J$5:J28,"x"))</f>
        <v/>
      </c>
      <c r="K133" s="3632" t="str">
        <f>IF(((COUNTIF($K$5:K28,"x"))-(COUNTIF($K$5:K27,"x")))=0,"",COUNTIF($K$5:K28,"x"))</f>
        <v/>
      </c>
      <c r="L133" s="3632" t="str">
        <f>IF(((COUNTIF($L$5:L28,"x"))-(COUNTIF($L$5:L27,"x")))=0,"",COUNTIF($L$5:L28,"x"))</f>
        <v/>
      </c>
      <c r="M133" s="3632" t="str">
        <f>IF(((COUNTIF($M$5:M28,"x"))-(COUNTIF($M$5:M27,"x")))=0,"",COUNTIF($M$5:M28,"x"))</f>
        <v/>
      </c>
      <c r="N133" s="3632" t="str">
        <f>IF(((COUNTIF($N$5:N28,"x"))-(COUNTIF($N$5:N27,"x")))=0,"",COUNTIF($N$5:N28,"x"))</f>
        <v/>
      </c>
      <c r="O133" s="3632" t="str">
        <f>IF(((COUNTIF($O$5:O28,"x"))-(COUNTIF($O$5:O27,"x")))=0,"",COUNTIF($O$5:O28,"x"))</f>
        <v/>
      </c>
      <c r="P133" s="3632" t="str">
        <f>IF(((COUNTIF($P$5:P28,"x"))-(COUNTIF($P$5:P27,"x")))=0,"",COUNTIF($P$5:P28,"x"))</f>
        <v/>
      </c>
      <c r="Q133" s="3632" t="str">
        <f>IF(((COUNTIF($Q$5:Q28,"x"))-(COUNTIF($Q$5:Q27,"x")))=0,"",COUNTIF($Q$5:Q28,"x"))</f>
        <v/>
      </c>
      <c r="R133" s="3632" t="str">
        <f>IF(((COUNTIF($R$5:R28,"x"))-(COUNTIF($R$5:R27,"x")))=0,"",COUNTIF($R$5:R28,"x"))</f>
        <v/>
      </c>
      <c r="S133" s="3632">
        <f>IF(((COUNTIF($S$5:S28,"x"))-(COUNTIF($S$5:S27,"x")))=0,"",COUNTIF($S$5:S28,"x"))</f>
        <v>7</v>
      </c>
      <c r="T133" s="3632" t="str">
        <f>IF(((COUNTIF($T$5:T28,"x"))-(COUNTIF($T$5:T27,"x")))=0,"",COUNTIF($T$5:T28,"x"))</f>
        <v/>
      </c>
      <c r="U133" s="3632" t="str">
        <f>IF(((COUNTIF($U$5:U28,"x"))-(COUNTIF($U$5:U27,"x")))=0,"",COUNTIF($U$5:U28,"x"))</f>
        <v/>
      </c>
      <c r="V133" s="3632" t="str">
        <f>IF(((COUNTIF($V$5:V28,"x"))-(COUNTIF($V$5:V27,"x")))=0,"",COUNTIF($V$5:V28,"x"))</f>
        <v/>
      </c>
      <c r="W133" s="3632" t="str">
        <f>IF(((COUNTIF($W$5:W28,"x"))-(COUNTIF($W$5:W27,"x")))=0,"",COUNTIF($W$5:W28,"x"))</f>
        <v/>
      </c>
      <c r="X133" s="3632" t="str">
        <f>IF(((COUNTIF($X$5:X28,"x"))-(COUNTIF($X$5:X27,"x")))=0,"",COUNTIF($X$5:X28,"x"))</f>
        <v/>
      </c>
      <c r="Y133" s="3632" t="str">
        <f>IF(((COUNTIF($Y$5:Y28,"x"))-(COUNTIF($Y$5:Y27,"x")))=0,"",COUNTIF($Y$5:Y28,"x"))</f>
        <v/>
      </c>
      <c r="Z133" s="3632" t="str">
        <f>IF(((COUNTIF($Z$5:Z28,"x"))-(COUNTIF($Z$5:Z27,"x")))=0,"",COUNTIF($Z$5:Z28,"x"))</f>
        <v/>
      </c>
      <c r="AA133" s="3632" t="str">
        <f>IF(((COUNTIF($AA$5:AA28,"x"))-(COUNTIF($AA$5:AA27,"x")))=0,"",COUNTIF($AA$5:AA28,"x"))</f>
        <v/>
      </c>
      <c r="AB133" s="3632" t="str">
        <f>IF(((COUNTIF($AB$5:AB28,"x"))-(COUNTIF($AB$5:AB27,"x")))=0,"",COUNTIF($AB$5:AB28,"x"))</f>
        <v/>
      </c>
      <c r="AC133" s="3632" t="str">
        <f>IF(((COUNTIF($AC$5:AC28,"x"))-(COUNTIF($AC$5:AC27,"x")))=0,"",COUNTIF($AC$5:AC28,"x"))</f>
        <v/>
      </c>
      <c r="AD133" s="3632" t="str">
        <f>IF(((COUNTIF($AD$5:AD28,"x"))-(COUNTIF($AD$5:AD27,"x")))=0,"",COUNTIF($AD$5:AD28,"x"))</f>
        <v/>
      </c>
      <c r="AE133" s="3632" t="str">
        <f>IF(((COUNTIF($AE$5:AE28,"x"))-(COUNTIF($AE$5:AE27,"x")))=0,"",COUNTIF($AE$5:AE28,"x"))</f>
        <v/>
      </c>
      <c r="AF133" s="3633" t="str">
        <f>IF(((COUNTIF($AF$5:AF28,"x"))-(COUNTIF($AF$5:AF27,"x")))=0,"",COUNTIF($AF$5:AF28,"x"))</f>
        <v/>
      </c>
      <c r="AG133" s="1518" t="str">
        <f t="shared" si="14"/>
        <v>Fuego Top</v>
      </c>
    </row>
    <row r="134" spans="2:33" ht="17.399999999999999" hidden="1">
      <c r="B134" s="1525">
        <f t="shared" si="15"/>
        <v>25</v>
      </c>
      <c r="C134" s="2658" t="s">
        <v>524</v>
      </c>
      <c r="D134" s="3635"/>
      <c r="E134" s="2695"/>
      <c r="F134" s="3631" t="str">
        <f>IF(((COUNTIF($F$5:$F29,"x"))-(COUNTIF($F$5:$F28,"x")))=0,"",COUNTIF($F$5:$F29,"x"))</f>
        <v/>
      </c>
      <c r="G134" s="3632" t="str">
        <f>IF(((COUNTIF($G$5:$G29,"x"))-(COUNTIF($G$5:$G28,"x")))=0,"",COUNTIF($G$5:$G29,"x"))</f>
        <v/>
      </c>
      <c r="H134" s="3632" t="str">
        <f>IF(((COUNTIF($H$5:$H29,"x"))-(COUNTIF($H$5:$H28,"x")))=0,"",COUNTIF($H$5:$H29,"x"))</f>
        <v/>
      </c>
      <c r="I134" s="3632" t="str">
        <f>IF(((COUNTIF($I$5:I29,"x"))-(COUNTIF($I$5:I28,"x")))=0,"",COUNTIF($I$5:I29,"x"))</f>
        <v/>
      </c>
      <c r="J134" s="3632" t="str">
        <f>IF(((COUNTIF($J$5:J29,"x"))-(COUNTIF($J$5:J28,"x")))=0,"",COUNTIF($J$5:J29,"x"))</f>
        <v/>
      </c>
      <c r="K134" s="3632" t="str">
        <f>IF(((COUNTIF($K$5:K29,"x"))-(COUNTIF($K$5:K28,"x")))=0,"",COUNTIF($K$5:K29,"x"))</f>
        <v/>
      </c>
      <c r="L134" s="3632" t="str">
        <f>IF(((COUNTIF($L$5:L29,"x"))-(COUNTIF($L$5:L28,"x")))=0,"",COUNTIF($L$5:L29,"x"))</f>
        <v/>
      </c>
      <c r="M134" s="3632" t="str">
        <f>IF(((COUNTIF($M$5:M29,"x"))-(COUNTIF($M$5:M28,"x")))=0,"",COUNTIF($M$5:M29,"x"))</f>
        <v/>
      </c>
      <c r="N134" s="3632" t="str">
        <f>IF(((COUNTIF($N$5:N29,"x"))-(COUNTIF($N$5:N28,"x")))=0,"",COUNTIF($N$5:N29,"x"))</f>
        <v/>
      </c>
      <c r="O134" s="3632" t="str">
        <f>IF(((COUNTIF($O$5:O29,"x"))-(COUNTIF($O$5:O28,"x")))=0,"",COUNTIF($O$5:O29,"x"))</f>
        <v/>
      </c>
      <c r="P134" s="3632" t="str">
        <f>IF(((COUNTIF($P$5:P29,"x"))-(COUNTIF($P$5:P28,"x")))=0,"",COUNTIF($P$5:P29,"x"))</f>
        <v/>
      </c>
      <c r="Q134" s="3632" t="str">
        <f>IF(((COUNTIF($Q$5:Q29,"x"))-(COUNTIF($Q$5:Q28,"x")))=0,"",COUNTIF($Q$5:Q29,"x"))</f>
        <v/>
      </c>
      <c r="R134" s="3632">
        <f>IF(((COUNTIF($R$5:R29,"x"))-(COUNTIF($R$5:R28,"x")))=0,"",COUNTIF($R$5:R29,"x"))</f>
        <v>2</v>
      </c>
      <c r="S134" s="3632" t="str">
        <f>IF(((COUNTIF($S$5:S29,"x"))-(COUNTIF($S$5:S28,"x")))=0,"",COUNTIF($S$5:S29,"x"))</f>
        <v/>
      </c>
      <c r="T134" s="3632" t="str">
        <f>IF(((COUNTIF($T$5:T29,"x"))-(COUNTIF($T$5:T28,"x")))=0,"",COUNTIF($T$5:T29,"x"))</f>
        <v/>
      </c>
      <c r="U134" s="3632" t="str">
        <f>IF(((COUNTIF($U$5:U29,"x"))-(COUNTIF($U$5:U28,"x")))=0,"",COUNTIF($U$5:U29,"x"))</f>
        <v/>
      </c>
      <c r="V134" s="3632" t="str">
        <f>IF(((COUNTIF($V$5:V29,"x"))-(COUNTIF($V$5:V28,"x")))=0,"",COUNTIF($V$5:V29,"x"))</f>
        <v/>
      </c>
      <c r="W134" s="3632" t="str">
        <f>IF(((COUNTIF($W$5:W29,"x"))-(COUNTIF($W$5:W28,"x")))=0,"",COUNTIF($W$5:W29,"x"))</f>
        <v/>
      </c>
      <c r="X134" s="3632" t="str">
        <f>IF(((COUNTIF($X$5:X29,"x"))-(COUNTIF($X$5:X28,"x")))=0,"",COUNTIF($X$5:X29,"x"))</f>
        <v/>
      </c>
      <c r="Y134" s="3632" t="str">
        <f>IF(((COUNTIF($Y$5:Y29,"x"))-(COUNTIF($Y$5:Y28,"x")))=0,"",COUNTIF($Y$5:Y29,"x"))</f>
        <v/>
      </c>
      <c r="Z134" s="3632" t="str">
        <f>IF(((COUNTIF($Z$5:Z29,"x"))-(COUNTIF($Z$5:Z28,"x")))=0,"",COUNTIF($Z$5:Z29,"x"))</f>
        <v/>
      </c>
      <c r="AA134" s="3632" t="str">
        <f>IF(((COUNTIF($AA$5:AA29,"x"))-(COUNTIF($AA$5:AA28,"x")))=0,"",COUNTIF($AA$5:AA29,"x"))</f>
        <v/>
      </c>
      <c r="AB134" s="3632">
        <f>IF(((COUNTIF($AB$5:AB29,"x"))-(COUNTIF($AB$5:AB28,"x")))=0,"",COUNTIF($AB$5:AB29,"x"))</f>
        <v>5</v>
      </c>
      <c r="AC134" s="3632" t="str">
        <f>IF(((COUNTIF($AC$5:AC29,"x"))-(COUNTIF($AC$5:AC28,"x")))=0,"",COUNTIF($AC$5:AC29,"x"))</f>
        <v/>
      </c>
      <c r="AD134" s="3632">
        <f>IF(((COUNTIF($AD$5:AD29,"x"))-(COUNTIF($AD$5:AD28,"x")))=0,"",COUNTIF($AD$5:AD29,"x"))</f>
        <v>20</v>
      </c>
      <c r="AE134" s="3632" t="str">
        <f>IF(((COUNTIF($AE$5:AE29,"x"))-(COUNTIF($AE$5:AE28,"x")))=0,"",COUNTIF($AE$5:AE29,"x"))</f>
        <v/>
      </c>
      <c r="AF134" s="3633" t="str">
        <f>IF(((COUNTIF($AF$5:AF29,"x"))-(COUNTIF($AF$5:AF28,"x")))=0,"",COUNTIF($AF$5:AF29,"x"))</f>
        <v/>
      </c>
      <c r="AG134" s="1518" t="str">
        <f t="shared" si="14"/>
        <v>Coragen</v>
      </c>
    </row>
    <row r="135" spans="2:33" ht="17.399999999999999" hidden="1">
      <c r="B135" s="1525">
        <f t="shared" si="15"/>
        <v>26</v>
      </c>
      <c r="C135" s="3450"/>
      <c r="D135" s="3635"/>
      <c r="E135" s="2695"/>
      <c r="F135" s="3631" t="str">
        <f>IF(((COUNTIF($F$5:$F30,"x"))-(COUNTIF($F$5:$F29,"x")))=0,"",COUNTIF($F$5:$F30,"x"))</f>
        <v/>
      </c>
      <c r="G135" s="3632" t="str">
        <f>IF(((COUNTIF($G$5:$G30,"x"))-(COUNTIF($G$5:$G29,"x")))=0,"",COUNTIF($G$5:$G30,"x"))</f>
        <v/>
      </c>
      <c r="H135" s="3632" t="str">
        <f>IF(((COUNTIF($H$5:$H30,"x"))-(COUNTIF($H$5:$H29,"x")))=0,"",COUNTIF($H$5:$H30,"x"))</f>
        <v/>
      </c>
      <c r="I135" s="3632" t="str">
        <f>IF(((COUNTIF($I$5:I30,"x"))-(COUNTIF($I$5:I29,"x")))=0,"",COUNTIF($I$5:I30,"x"))</f>
        <v/>
      </c>
      <c r="J135" s="3632" t="str">
        <f>IF(((COUNTIF($J$5:J30,"x"))-(COUNTIF($J$5:J29,"x")))=0,"",COUNTIF($J$5:J30,"x"))</f>
        <v/>
      </c>
      <c r="K135" s="3632" t="str">
        <f>IF(((COUNTIF($K$5:K30,"x"))-(COUNTIF($K$5:K29,"x")))=0,"",COUNTIF($K$5:K30,"x"))</f>
        <v/>
      </c>
      <c r="L135" s="3632" t="str">
        <f>IF(((COUNTIF($L$5:L30,"x"))-(COUNTIF($L$5:L29,"x")))=0,"",COUNTIF($L$5:L30,"x"))</f>
        <v/>
      </c>
      <c r="M135" s="3632" t="str">
        <f>IF(((COUNTIF($M$5:M30,"x"))-(COUNTIF($M$5:M29,"x")))=0,"",COUNTIF($M$5:M30,"x"))</f>
        <v/>
      </c>
      <c r="N135" s="3632" t="str">
        <f>IF(((COUNTIF($N$5:N30,"x"))-(COUNTIF($N$5:N29,"x")))=0,"",COUNTIF($N$5:N30,"x"))</f>
        <v/>
      </c>
      <c r="O135" s="3632" t="str">
        <f>IF(((COUNTIF($O$5:O30,"x"))-(COUNTIF($O$5:O29,"x")))=0,"",COUNTIF($O$5:O30,"x"))</f>
        <v/>
      </c>
      <c r="P135" s="3632" t="str">
        <f>IF(((COUNTIF($P$5:P30,"x"))-(COUNTIF($P$5:P29,"x")))=0,"",COUNTIF($P$5:P30,"x"))</f>
        <v/>
      </c>
      <c r="Q135" s="3632" t="str">
        <f>IF(((COUNTIF($Q$5:Q30,"x"))-(COUNTIF($Q$5:Q29,"x")))=0,"",COUNTIF($Q$5:Q30,"x"))</f>
        <v/>
      </c>
      <c r="R135" s="3632" t="str">
        <f>IF(((COUNTIF($R$5:R30,"x"))-(COUNTIF($R$5:R29,"x")))=0,"",COUNTIF($R$5:R30,"x"))</f>
        <v/>
      </c>
      <c r="S135" s="3632" t="str">
        <f>IF(((COUNTIF($S$5:S30,"x"))-(COUNTIF($S$5:S29,"x")))=0,"",COUNTIF($S$5:S30,"x"))</f>
        <v/>
      </c>
      <c r="T135" s="3632" t="str">
        <f>IF(((COUNTIF($T$5:T30,"x"))-(COUNTIF($T$5:T29,"x")))=0,"",COUNTIF($T$5:T30,"x"))</f>
        <v/>
      </c>
      <c r="U135" s="3632" t="str">
        <f>IF(((COUNTIF($U$5:U30,"x"))-(COUNTIF($U$5:U29,"x")))=0,"",COUNTIF($U$5:U30,"x"))</f>
        <v/>
      </c>
      <c r="V135" s="3632" t="str">
        <f>IF(((COUNTIF($V$5:V30,"x"))-(COUNTIF($V$5:V29,"x")))=0,"",COUNTIF($V$5:V30,"x"))</f>
        <v/>
      </c>
      <c r="W135" s="3632" t="str">
        <f>IF(((COUNTIF($W$5:W30,"x"))-(COUNTIF($W$5:W29,"x")))=0,"",COUNTIF($W$5:W30,"x"))</f>
        <v/>
      </c>
      <c r="X135" s="3632" t="str">
        <f>IF(((COUNTIF($X$5:X30,"x"))-(COUNTIF($X$5:X29,"x")))=0,"",COUNTIF($X$5:X30,"x"))</f>
        <v/>
      </c>
      <c r="Y135" s="3632" t="str">
        <f>IF(((COUNTIF($Y$5:Y30,"x"))-(COUNTIF($Y$5:Y29,"x")))=0,"",COUNTIF($Y$5:Y30,"x"))</f>
        <v/>
      </c>
      <c r="Z135" s="3632" t="str">
        <f>IF(((COUNTIF($Z$5:Z30,"x"))-(COUNTIF($Z$5:Z29,"x")))=0,"",COUNTIF($Z$5:Z30,"x"))</f>
        <v/>
      </c>
      <c r="AA135" s="3632" t="str">
        <f>IF(((COUNTIF($AA$5:AA30,"x"))-(COUNTIF($AA$5:AA29,"x")))=0,"",COUNTIF($AA$5:AA30,"x"))</f>
        <v/>
      </c>
      <c r="AB135" s="3632" t="str">
        <f>IF(((COUNTIF($AB$5:AB30,"x"))-(COUNTIF($AB$5:AB29,"x")))=0,"",COUNTIF($AB$5:AB30,"x"))</f>
        <v/>
      </c>
      <c r="AC135" s="3632" t="str">
        <f>IF(((COUNTIF($AC$5:AC30,"x"))-(COUNTIF($AC$5:AC29,"x")))=0,"",COUNTIF($AC$5:AC30,"x"))</f>
        <v/>
      </c>
      <c r="AD135" s="3632" t="str">
        <f>IF(((COUNTIF($AD$5:AD30,"x"))-(COUNTIF($AD$5:AD29,"x")))=0,"",COUNTIF($AD$5:AD30,"x"))</f>
        <v/>
      </c>
      <c r="AE135" s="3632" t="str">
        <f>IF(((COUNTIF($AE$5:AE30,"x"))-(COUNTIF($AE$5:AE29,"x")))=0,"",COUNTIF($AE$5:AE30,"x"))</f>
        <v/>
      </c>
      <c r="AF135" s="3633" t="str">
        <f>IF(((COUNTIF($AF$5:AF30,"x"))-(COUNTIF($AF$5:AF29,"x")))=0,"",COUNTIF($AF$5:AF30,"x"))</f>
        <v/>
      </c>
      <c r="AG135" s="1518">
        <f t="shared" si="14"/>
        <v>0</v>
      </c>
    </row>
    <row r="136" spans="2:33" ht="17.399999999999999" hidden="1">
      <c r="B136" s="1525">
        <f t="shared" si="15"/>
        <v>27</v>
      </c>
      <c r="C136" s="2658" t="s">
        <v>522</v>
      </c>
      <c r="D136" s="3635"/>
      <c r="E136" s="2695"/>
      <c r="F136" s="3631" t="str">
        <f>IF(((COUNTIF($F$5:$F31,"x"))-(COUNTIF($F$5:$F30,"x")))=0,"",COUNTIF($F$5:$F31,"x"))</f>
        <v/>
      </c>
      <c r="G136" s="3632" t="str">
        <f>IF(((COUNTIF($G$5:$G31,"x"))-(COUNTIF($G$5:$G30,"x")))=0,"",COUNTIF($G$5:$G31,"x"))</f>
        <v/>
      </c>
      <c r="H136" s="3632" t="str">
        <f>IF(((COUNTIF($H$5:$H31,"x"))-(COUNTIF($H$5:$H30,"x")))=0,"",COUNTIF($H$5:$H31,"x"))</f>
        <v/>
      </c>
      <c r="I136" s="3632" t="str">
        <f>IF(((COUNTIF($I$5:I31,"x"))-(COUNTIF($I$5:I30,"x")))=0,"",COUNTIF($I$5:I31,"x"))</f>
        <v/>
      </c>
      <c r="J136" s="3632" t="str">
        <f>IF(((COUNTIF($J$5:J31,"x"))-(COUNTIF($J$5:J30,"x")))=0,"",COUNTIF($J$5:J31,"x"))</f>
        <v/>
      </c>
      <c r="K136" s="3632" t="str">
        <f>IF(((COUNTIF($K$5:K31,"x"))-(COUNTIF($K$5:K30,"x")))=0,"",COUNTIF($K$5:K31,"x"))</f>
        <v/>
      </c>
      <c r="L136" s="3632" t="str">
        <f>IF(((COUNTIF($L$5:L31,"x"))-(COUNTIF($L$5:L30,"x")))=0,"",COUNTIF($L$5:L31,"x"))</f>
        <v/>
      </c>
      <c r="M136" s="3632" t="str">
        <f>IF(((COUNTIF($M$5:M31,"x"))-(COUNTIF($M$5:M30,"x")))=0,"",COUNTIF($M$5:M31,"x"))</f>
        <v/>
      </c>
      <c r="N136" s="3632" t="str">
        <f>IF(((COUNTIF($N$5:N31,"x"))-(COUNTIF($N$5:N30,"x")))=0,"",COUNTIF($N$5:N31,"x"))</f>
        <v/>
      </c>
      <c r="O136" s="3632" t="str">
        <f>IF(((COUNTIF($O$5:O31,"x"))-(COUNTIF($O$5:O30,"x")))=0,"",COUNTIF($O$5:O31,"x"))</f>
        <v/>
      </c>
      <c r="P136" s="3632" t="str">
        <f>IF(((COUNTIF($P$5:P31,"x"))-(COUNTIF($P$5:P30,"x")))=0,"",COUNTIF($P$5:P31,"x"))</f>
        <v/>
      </c>
      <c r="Q136" s="3632" t="str">
        <f>IF(((COUNTIF($Q$5:Q31,"x"))-(COUNTIF($Q$5:Q30,"x")))=0,"",COUNTIF($Q$5:Q31,"x"))</f>
        <v/>
      </c>
      <c r="R136" s="3632">
        <f>IF(((COUNTIF($R$5:R31,"x"))-(COUNTIF($R$5:R30,"x")))=0,"",COUNTIF($R$5:R31,"x"))</f>
        <v>3</v>
      </c>
      <c r="S136" s="3632">
        <f>IF(((COUNTIF($S$5:S31,"x"))-(COUNTIF($S$5:S30,"x")))=0,"",COUNTIF($S$5:S31,"x"))</f>
        <v>8</v>
      </c>
      <c r="T136" s="3632" t="str">
        <f>IF(((COUNTIF($T$5:T31,"x"))-(COUNTIF($T$5:T30,"x")))=0,"",COUNTIF($T$5:T31,"x"))</f>
        <v/>
      </c>
      <c r="U136" s="3632" t="str">
        <f>IF(((COUNTIF($U$5:U31,"x"))-(COUNTIF($U$5:U30,"x")))=0,"",COUNTIF($U$5:U31,"x"))</f>
        <v/>
      </c>
      <c r="V136" s="3632" t="str">
        <f>IF(((COUNTIF($V$5:V31,"x"))-(COUNTIF($V$5:V30,"x")))=0,"",COUNTIF($V$5:V31,"x"))</f>
        <v/>
      </c>
      <c r="W136" s="3632" t="str">
        <f>IF(((COUNTIF($W$5:W31,"x"))-(COUNTIF($W$5:W30,"x")))=0,"",COUNTIF($W$5:W31,"x"))</f>
        <v/>
      </c>
      <c r="X136" s="3632" t="str">
        <f>IF(((COUNTIF($X$5:X31,"x"))-(COUNTIF($X$5:X30,"x")))=0,"",COUNTIF($X$5:X31,"x"))</f>
        <v/>
      </c>
      <c r="Y136" s="3632" t="str">
        <f>IF(((COUNTIF($Y$5:Y31,"x"))-(COUNTIF($Y$5:Y30,"x")))=0,"",COUNTIF($Y$5:Y31,"x"))</f>
        <v/>
      </c>
      <c r="Z136" s="3632" t="str">
        <f>IF(((COUNTIF($Z$5:Z31,"x"))-(COUNTIF($Z$5:Z30,"x")))=0,"",COUNTIF($Z$5:Z31,"x"))</f>
        <v/>
      </c>
      <c r="AA136" s="3632" t="str">
        <f>IF(((COUNTIF($AA$5:AA31,"x"))-(COUNTIF($AA$5:AA30,"x")))=0,"",COUNTIF($AA$5:AA31,"x"))</f>
        <v/>
      </c>
      <c r="AB136" s="3632" t="str">
        <f>IF(((COUNTIF($AB$5:AB31,"x"))-(COUNTIF($AB$5:AB30,"x")))=0,"",COUNTIF($AB$5:AB31,"x"))</f>
        <v/>
      </c>
      <c r="AC136" s="3632" t="str">
        <f>IF(((COUNTIF($AC$5:AC31,"x"))-(COUNTIF($AC$5:AC30,"x")))=0,"",COUNTIF($AC$5:AC31,"x"))</f>
        <v/>
      </c>
      <c r="AD136" s="3632">
        <f>IF(((COUNTIF($AD$5:AD31,"x"))-(COUNTIF($AD$5:AD30,"x")))=0,"",COUNTIF($AD$5:AD31,"x"))</f>
        <v>21</v>
      </c>
      <c r="AE136" s="3632" t="str">
        <f>IF(((COUNTIF($AE$5:AE31,"x"))-(COUNTIF($AE$5:AE30,"x")))=0,"",COUNTIF($AE$5:AE31,"x"))</f>
        <v/>
      </c>
      <c r="AF136" s="3633" t="str">
        <f>IF(((COUNTIF($AF$5:AF31,"x"))-(COUNTIF($AF$5:AF30,"x")))=0,"",COUNTIF($AF$5:AF31,"x"))</f>
        <v/>
      </c>
      <c r="AG136" s="1518" t="str">
        <f t="shared" si="14"/>
        <v>Effigo</v>
      </c>
    </row>
    <row r="137" spans="2:33" ht="17.399999999999999" hidden="1">
      <c r="B137" s="1525">
        <f t="shared" si="15"/>
        <v>28</v>
      </c>
      <c r="C137" s="2658" t="s">
        <v>1483</v>
      </c>
      <c r="D137" s="3635"/>
      <c r="E137" s="2695"/>
      <c r="F137" s="3631">
        <f>IF(((COUNTIF($F$5:$F32,"x"))-(COUNTIF($F$5:$F31,"x")))=0,"",COUNTIF($F$5:$F32,"x"))</f>
        <v>11</v>
      </c>
      <c r="G137" s="3632">
        <f>IF(((COUNTIF($G$5:$G32,"x"))-(COUNTIF($G$5:$G31,"x")))=0,"",COUNTIF($G$5:$G32,"x"))</f>
        <v>8</v>
      </c>
      <c r="H137" s="3632">
        <f>IF(((COUNTIF($H$5:$H32,"x"))-(COUNTIF($H$5:$H31,"x")))=0,"",COUNTIF($H$5:$H32,"x"))</f>
        <v>11</v>
      </c>
      <c r="I137" s="3632">
        <f>IF(((COUNTIF($I$5:I32,"x"))-(COUNTIF($I$5:I31,"x")))=0,"",COUNTIF($I$5:I32,"x"))</f>
        <v>10</v>
      </c>
      <c r="J137" s="3632">
        <f>IF(((COUNTIF($J$5:J32,"x"))-(COUNTIF($J$5:J31,"x")))=0,"",COUNTIF($J$5:J32,"x"))</f>
        <v>8</v>
      </c>
      <c r="K137" s="3632">
        <f>IF(((COUNTIF($K$5:K32,"x"))-(COUNTIF($K$5:K31,"x")))=0,"",COUNTIF($K$5:K32,"x"))</f>
        <v>8</v>
      </c>
      <c r="L137" s="3632">
        <f>IF(((COUNTIF($L$5:L32,"x"))-(COUNTIF($L$5:L31,"x")))=0,"",COUNTIF($L$5:L32,"x"))</f>
        <v>8</v>
      </c>
      <c r="M137" s="3632">
        <f>IF(((COUNTIF($M$5:M32,"x"))-(COUNTIF($M$5:M31,"x")))=0,"",COUNTIF($M$5:M32,"x"))</f>
        <v>8</v>
      </c>
      <c r="N137" s="3632" t="str">
        <f>IF(((COUNTIF($N$5:N32,"x"))-(COUNTIF($N$5:N31,"x")))=0,"",COUNTIF($N$5:N32,"x"))</f>
        <v/>
      </c>
      <c r="O137" s="3632" t="str">
        <f>IF(((COUNTIF($O$5:O32,"x"))-(COUNTIF($O$5:O31,"x")))=0,"",COUNTIF($O$5:O32,"x"))</f>
        <v/>
      </c>
      <c r="P137" s="3632" t="str">
        <f>IF(((COUNTIF($P$5:P32,"x"))-(COUNTIF($P$5:P31,"x")))=0,"",COUNTIF($P$5:P32,"x"))</f>
        <v/>
      </c>
      <c r="Q137" s="3632" t="str">
        <f>IF(((COUNTIF($Q$5:Q32,"x"))-(COUNTIF($Q$5:Q31,"x")))=0,"",COUNTIF($Q$5:Q32,"x"))</f>
        <v/>
      </c>
      <c r="R137" s="3632" t="str">
        <f>IF(((COUNTIF($R$5:R32,"x"))-(COUNTIF($R$5:R31,"x")))=0,"",COUNTIF($R$5:R32,"x"))</f>
        <v/>
      </c>
      <c r="S137" s="3632" t="str">
        <f>IF(((COUNTIF($S$5:S32,"x"))-(COUNTIF($S$5:S31,"x")))=0,"",COUNTIF($S$5:S32,"x"))</f>
        <v/>
      </c>
      <c r="T137" s="3632" t="str">
        <f>IF(((COUNTIF($T$5:T32,"x"))-(COUNTIF($T$5:T31,"x")))=0,"",COUNTIF($T$5:T32,"x"))</f>
        <v/>
      </c>
      <c r="U137" s="3632" t="str">
        <f>IF(((COUNTIF($U$5:U32,"x"))-(COUNTIF($U$5:U31,"x")))=0,"",COUNTIF($U$5:U32,"x"))</f>
        <v/>
      </c>
      <c r="V137" s="3632" t="str">
        <f>IF(((COUNTIF($V$5:V32,"x"))-(COUNTIF($V$5:V31,"x")))=0,"",COUNTIF($V$5:V32,"x"))</f>
        <v/>
      </c>
      <c r="W137" s="3632" t="str">
        <f>IF(((COUNTIF($W$5:W32,"x"))-(COUNTIF($W$5:W31,"x")))=0,"",COUNTIF($W$5:W32,"x"))</f>
        <v/>
      </c>
      <c r="X137" s="3632" t="str">
        <f>IF(((COUNTIF($X$5:X32,"x"))-(COUNTIF($X$5:X31,"x")))=0,"",COUNTIF($X$5:X32,"x"))</f>
        <v/>
      </c>
      <c r="Y137" s="3632" t="str">
        <f>IF(((COUNTIF($Y$5:Y32,"x"))-(COUNTIF($Y$5:Y31,"x")))=0,"",COUNTIF($Y$5:Y32,"x"))</f>
        <v/>
      </c>
      <c r="Z137" s="3632" t="str">
        <f>IF(((COUNTIF($Z$5:Z32,"x"))-(COUNTIF($Z$5:Z31,"x")))=0,"",COUNTIF($Z$5:Z32,"x"))</f>
        <v/>
      </c>
      <c r="AA137" s="3632" t="str">
        <f>IF(((COUNTIF($AA$5:AA32,"x"))-(COUNTIF($AA$5:AA31,"x")))=0,"",COUNTIF($AA$5:AA32,"x"))</f>
        <v/>
      </c>
      <c r="AB137" s="3632" t="str">
        <f>IF(((COUNTIF($AB$5:AB32,"x"))-(COUNTIF($AB$5:AB31,"x")))=0,"",COUNTIF($AB$5:AB32,"x"))</f>
        <v/>
      </c>
      <c r="AC137" s="3632" t="str">
        <f>IF(((COUNTIF($AC$5:AC32,"x"))-(COUNTIF($AC$5:AC31,"x")))=0,"",COUNTIF($AC$5:AC32,"x"))</f>
        <v/>
      </c>
      <c r="AD137" s="3632">
        <f>IF(((COUNTIF($AD$5:AD32,"x"))-(COUNTIF($AD$5:AD31,"x")))=0,"",COUNTIF($AD$5:AD32,"x"))</f>
        <v>22</v>
      </c>
      <c r="AE137" s="3632" t="str">
        <f>IF(((COUNTIF($AE$5:AE32,"x"))-(COUNTIF($AE$5:AE31,"x")))=0,"",COUNTIF($AE$5:AE32,"x"))</f>
        <v/>
      </c>
      <c r="AF137" s="3633" t="str">
        <f>IF(((COUNTIF($AF$5:AF32,"x"))-(COUNTIF($AF$5:AF31,"x")))=0,"",COUNTIF($AF$5:AF32,"x"))</f>
        <v/>
      </c>
      <c r="AG137" s="1518" t="str">
        <f t="shared" si="14"/>
        <v>Elatus Era</v>
      </c>
    </row>
    <row r="138" spans="2:33" ht="17.399999999999999" hidden="1">
      <c r="B138" s="1525">
        <f t="shared" si="15"/>
        <v>29</v>
      </c>
      <c r="C138" s="3450"/>
      <c r="D138" s="3635"/>
      <c r="E138" s="2694"/>
      <c r="F138" s="3631" t="str">
        <f>IF(((COUNTIF($F$5:$F33,"x"))-(COUNTIF($F$5:$F32,"x")))=0,"",COUNTIF($F$5:$F33,"x"))</f>
        <v/>
      </c>
      <c r="G138" s="3632" t="str">
        <f>IF(((COUNTIF($G$5:$G33,"x"))-(COUNTIF($G$5:$G32,"x")))=0,"",COUNTIF($G$5:$G33,"x"))</f>
        <v/>
      </c>
      <c r="H138" s="3632" t="str">
        <f>IF(((COUNTIF($H$5:$H33,"x"))-(COUNTIF($H$5:$H32,"x")))=0,"",COUNTIF($H$5:$H33,"x"))</f>
        <v/>
      </c>
      <c r="I138" s="3632" t="str">
        <f>IF(((COUNTIF($I$5:I33,"x"))-(COUNTIF($I$5:I32,"x")))=0,"",COUNTIF($I$5:I33,"x"))</f>
        <v/>
      </c>
      <c r="J138" s="3632" t="str">
        <f>IF(((COUNTIF($J$5:J33,"x"))-(COUNTIF($J$5:J32,"x")))=0,"",COUNTIF($J$5:J33,"x"))</f>
        <v/>
      </c>
      <c r="K138" s="3632" t="str">
        <f>IF(((COUNTIF($K$5:K33,"x"))-(COUNTIF($K$5:K32,"x")))=0,"",COUNTIF($K$5:K33,"x"))</f>
        <v/>
      </c>
      <c r="L138" s="3632" t="str">
        <f>IF(((COUNTIF($L$5:L33,"x"))-(COUNTIF($L$5:L32,"x")))=0,"",COUNTIF($L$5:L33,"x"))</f>
        <v/>
      </c>
      <c r="M138" s="3632" t="str">
        <f>IF(((COUNTIF($M$5:M33,"x"))-(COUNTIF($M$5:M32,"x")))=0,"",COUNTIF($M$5:M33,"x"))</f>
        <v/>
      </c>
      <c r="N138" s="3632" t="str">
        <f>IF(((COUNTIF($N$5:N33,"x"))-(COUNTIF($N$5:N32,"x")))=0,"",COUNTIF($N$5:N33,"x"))</f>
        <v/>
      </c>
      <c r="O138" s="3632" t="str">
        <f>IF(((COUNTIF($O$5:O33,"x"))-(COUNTIF($O$5:O32,"x")))=0,"",COUNTIF($O$5:O33,"x"))</f>
        <v/>
      </c>
      <c r="P138" s="3632" t="str">
        <f>IF(((COUNTIF($P$5:P33,"x"))-(COUNTIF($P$5:P32,"x")))=0,"",COUNTIF($P$5:P33,"x"))</f>
        <v/>
      </c>
      <c r="Q138" s="3632" t="str">
        <f>IF(((COUNTIF($Q$5:Q33,"x"))-(COUNTIF($Q$5:Q32,"x")))=0,"",COUNTIF($Q$5:Q33,"x"))</f>
        <v/>
      </c>
      <c r="R138" s="3632" t="str">
        <f>IF(((COUNTIF($R$5:R33,"x"))-(COUNTIF($R$5:R32,"x")))=0,"",COUNTIF($R$5:R33,"x"))</f>
        <v/>
      </c>
      <c r="S138" s="3632" t="str">
        <f>IF(((COUNTIF($S$5:S33,"x"))-(COUNTIF($S$5:S32,"x")))=0,"",COUNTIF($S$5:S33,"x"))</f>
        <v/>
      </c>
      <c r="T138" s="3632" t="str">
        <f>IF(((COUNTIF($T$5:T33,"x"))-(COUNTIF($T$5:T32,"x")))=0,"",COUNTIF($T$5:T33,"x"))</f>
        <v/>
      </c>
      <c r="U138" s="3632" t="str">
        <f>IF(((COUNTIF($U$5:U33,"x"))-(COUNTIF($U$5:U32,"x")))=0,"",COUNTIF($U$5:U33,"x"))</f>
        <v/>
      </c>
      <c r="V138" s="3632" t="str">
        <f>IF(((COUNTIF($V$5:V33,"x"))-(COUNTIF($V$5:V32,"x")))=0,"",COUNTIF($V$5:V33,"x"))</f>
        <v/>
      </c>
      <c r="W138" s="3632" t="str">
        <f>IF(((COUNTIF($W$5:W33,"x"))-(COUNTIF($W$5:W32,"x")))=0,"",COUNTIF($W$5:W33,"x"))</f>
        <v/>
      </c>
      <c r="X138" s="3632" t="str">
        <f>IF(((COUNTIF($X$5:X33,"x"))-(COUNTIF($X$5:X32,"x")))=0,"",COUNTIF($X$5:X33,"x"))</f>
        <v/>
      </c>
      <c r="Y138" s="3632" t="str">
        <f>IF(((COUNTIF($Y$5:Y33,"x"))-(COUNTIF($Y$5:Y32,"x")))=0,"",COUNTIF($Y$5:Y33,"x"))</f>
        <v/>
      </c>
      <c r="Z138" s="3632" t="str">
        <f>IF(((COUNTIF($Z$5:Z33,"x"))-(COUNTIF($Z$5:Z32,"x")))=0,"",COUNTIF($Z$5:Z33,"x"))</f>
        <v/>
      </c>
      <c r="AA138" s="3632" t="str">
        <f>IF(((COUNTIF($AA$5:AA33,"x"))-(COUNTIF($AA$5:AA32,"x")))=0,"",COUNTIF($AA$5:AA33,"x"))</f>
        <v/>
      </c>
      <c r="AB138" s="3632" t="str">
        <f>IF(((COUNTIF($AB$5:AB33,"x"))-(COUNTIF($AB$5:AB32,"x")))=0,"",COUNTIF($AB$5:AB33,"x"))</f>
        <v/>
      </c>
      <c r="AC138" s="3632" t="str">
        <f>IF(((COUNTIF($AC$5:AC33,"x"))-(COUNTIF($AC$5:AC32,"x")))=0,"",COUNTIF($AC$5:AC33,"x"))</f>
        <v/>
      </c>
      <c r="AD138" s="3632" t="str">
        <f>IF(((COUNTIF($AD$5:AD33,"x"))-(COUNTIF($AD$5:AD32,"x")))=0,"",COUNTIF($AD$5:AD33,"x"))</f>
        <v/>
      </c>
      <c r="AE138" s="3632" t="str">
        <f>IF(((COUNTIF($AE$5:AE33,"x"))-(COUNTIF($AE$5:AE32,"x")))=0,"",COUNTIF($AE$5:AE33,"x"))</f>
        <v/>
      </c>
      <c r="AF138" s="3633" t="str">
        <f>IF(((COUNTIF($AF$5:AF33,"x"))-(COUNTIF($AF$5:AF32,"x")))=0,"",COUNTIF($AF$5:AF33,"x"))</f>
        <v/>
      </c>
      <c r="AG138" s="1518">
        <f t="shared" si="14"/>
        <v>0</v>
      </c>
    </row>
    <row r="139" spans="2:33" ht="17.399999999999999" hidden="1">
      <c r="B139" s="1525">
        <f t="shared" si="15"/>
        <v>30</v>
      </c>
      <c r="C139" s="2658" t="s">
        <v>1731</v>
      </c>
      <c r="D139" s="3635"/>
      <c r="E139" s="2695"/>
      <c r="F139" s="3631" t="str">
        <f>IF(((COUNTIF($F$5:$F34,"x"))-(COUNTIF($F$5:$F33,"x")))=0,"",COUNTIF($F$5:$F34,"x"))</f>
        <v/>
      </c>
      <c r="G139" s="3632" t="str">
        <f>IF(((COUNTIF($G$5:$G34,"x"))-(COUNTIF($G$5:$G33,"x")))=0,"",COUNTIF($G$5:$G34,"x"))</f>
        <v/>
      </c>
      <c r="H139" s="3632" t="str">
        <f>IF(((COUNTIF($H$5:$H34,"x"))-(COUNTIF($H$5:$H33,"x")))=0,"",COUNTIF($H$5:$H34,"x"))</f>
        <v/>
      </c>
      <c r="I139" s="3632" t="str">
        <f>IF(((COUNTIF($I$5:I34,"x"))-(COUNTIF($I$5:I33,"x")))=0,"",COUNTIF($I$5:I34,"x"))</f>
        <v/>
      </c>
      <c r="J139" s="3632" t="str">
        <f>IF(((COUNTIF($J$5:J34,"x"))-(COUNTIF($J$5:J33,"x")))=0,"",COUNTIF($J$5:J34,"x"))</f>
        <v/>
      </c>
      <c r="K139" s="3632" t="str">
        <f>IF(((COUNTIF($K$5:K34,"x"))-(COUNTIF($K$5:K33,"x")))=0,"",COUNTIF($K$5:K34,"x"))</f>
        <v/>
      </c>
      <c r="L139" s="3632" t="str">
        <f>IF(((COUNTIF($L$5:L34,"x"))-(COUNTIF($L$5:L33,"x")))=0,"",COUNTIF($L$5:L34,"x"))</f>
        <v/>
      </c>
      <c r="M139" s="3632" t="str">
        <f>IF(((COUNTIF($M$5:M34,"x"))-(COUNTIF($M$5:M33,"x")))=0,"",COUNTIF($M$5:M34,"x"))</f>
        <v/>
      </c>
      <c r="N139" s="3632" t="str">
        <f>IF(((COUNTIF($N$5:N34,"x"))-(COUNTIF($N$5:N33,"x")))=0,"",COUNTIF($N$5:N34,"x"))</f>
        <v/>
      </c>
      <c r="O139" s="3632" t="str">
        <f>IF(((COUNTIF($O$5:O34,"x"))-(COUNTIF($O$5:O33,"x")))=0,"",COUNTIF($O$5:O34,"x"))</f>
        <v/>
      </c>
      <c r="P139" s="3632" t="str">
        <f>IF(((COUNTIF($P$5:P34,"x"))-(COUNTIF($P$5:P33,"x")))=0,"",COUNTIF($P$5:P34,"x"))</f>
        <v/>
      </c>
      <c r="Q139" s="3632" t="str">
        <f>IF(((COUNTIF($Q$5:Q34,"x"))-(COUNTIF($Q$5:Q33,"x")))=0,"",COUNTIF($Q$5:Q34,"x"))</f>
        <v/>
      </c>
      <c r="R139" s="3632">
        <f>IF(((COUNTIF($R$5:R34,"x"))-(COUNTIF($R$5:R33,"x")))=0,"",COUNTIF($R$5:R34,"x"))</f>
        <v>4</v>
      </c>
      <c r="S139" s="3632" t="str">
        <f>IF(((COUNTIF($S$5:S34,"x"))-(COUNTIF($S$5:S33,"x")))=0,"",COUNTIF($S$5:S34,"x"))</f>
        <v/>
      </c>
      <c r="T139" s="3632" t="str">
        <f>IF(((COUNTIF($T$5:T34,"x"))-(COUNTIF($T$5:T33,"x")))=0,"",COUNTIF($T$5:T34,"x"))</f>
        <v/>
      </c>
      <c r="U139" s="3632" t="str">
        <f>IF(((COUNTIF($U$5:U34,"x"))-(COUNTIF($U$5:U33,"x")))=0,"",COUNTIF($U$5:U34,"x"))</f>
        <v/>
      </c>
      <c r="V139" s="3632" t="str">
        <f>IF(((COUNTIF($V$5:V34,"x"))-(COUNTIF($V$5:V33,"x")))=0,"",COUNTIF($V$5:V34,"x"))</f>
        <v/>
      </c>
      <c r="W139" s="3632" t="str">
        <f>IF(((COUNTIF($W$5:W34,"x"))-(COUNTIF($W$5:W33,"x")))=0,"",COUNTIF($W$5:W34,"x"))</f>
        <v/>
      </c>
      <c r="X139" s="3632" t="str">
        <f>IF(((COUNTIF($X$5:X34,"x"))-(COUNTIF($X$5:X33,"x")))=0,"",COUNTIF($X$5:X34,"x"))</f>
        <v/>
      </c>
      <c r="Y139" s="3632" t="str">
        <f>IF(((COUNTIF($Y$5:Y34,"x"))-(COUNTIF($Y$5:Y33,"x")))=0,"",COUNTIF($Y$5:Y34,"x"))</f>
        <v/>
      </c>
      <c r="Z139" s="3632" t="str">
        <f>IF(((COUNTIF($Z$5:Z34,"x"))-(COUNTIF($Z$5:Z33,"x")))=0,"",COUNTIF($Z$5:Z34,"x"))</f>
        <v/>
      </c>
      <c r="AA139" s="3632" t="str">
        <f>IF(((COUNTIF($AA$5:AA34,"x"))-(COUNTIF($AA$5:AA33,"x")))=0,"",COUNTIF($AA$5:AA34,"x"))</f>
        <v/>
      </c>
      <c r="AB139" s="3632" t="str">
        <f>IF(((COUNTIF($AB$5:AB34,"x"))-(COUNTIF($AB$5:AB33,"x")))=0,"",COUNTIF($AB$5:AB34,"x"))</f>
        <v/>
      </c>
      <c r="AC139" s="3632" t="str">
        <f>IF(((COUNTIF($AC$5:AC34,"x"))-(COUNTIF($AC$5:AC33,"x")))=0,"",COUNTIF($AC$5:AC34,"x"))</f>
        <v/>
      </c>
      <c r="AD139" s="3632">
        <f>IF(((COUNTIF($AD$5:AD34,"x"))-(COUNTIF($AD$5:AD33,"x")))=0,"",COUNTIF($AD$5:AD34,"x"))</f>
        <v>23</v>
      </c>
      <c r="AE139" s="3632" t="str">
        <f>IF(((COUNTIF($AE$5:AE34,"x"))-(COUNTIF($AE$5:AE33,"x")))=0,"",COUNTIF($AE$5:AE34,"x"))</f>
        <v/>
      </c>
      <c r="AF139" s="3633" t="str">
        <f>IF(((COUNTIF($AF$5:AF34,"x"))-(COUNTIF($AF$5:AF33,"x")))=0,"",COUNTIF($AF$5:AF34,"x"))</f>
        <v/>
      </c>
      <c r="AG139" s="1518" t="str">
        <f t="shared" si="14"/>
        <v>Elumis P Pack, Elumis</v>
      </c>
    </row>
    <row r="140" spans="2:33" ht="17.399999999999999" hidden="1">
      <c r="B140" s="1525">
        <f t="shared" si="15"/>
        <v>31</v>
      </c>
      <c r="C140" s="2658" t="s">
        <v>1732</v>
      </c>
      <c r="D140" s="3635"/>
      <c r="E140" s="2695"/>
      <c r="F140" s="3631" t="str">
        <f>IF(((COUNTIF($F$5:$F35,"x"))-(COUNTIF($F$5:$F34,"x")))=0,"",COUNTIF($F$5:$F35,"x"))</f>
        <v/>
      </c>
      <c r="G140" s="3632" t="str">
        <f>IF(((COUNTIF($G$5:$G35,"x"))-(COUNTIF($G$5:$G34,"x")))=0,"",COUNTIF($G$5:$G35,"x"))</f>
        <v/>
      </c>
      <c r="H140" s="3632" t="str">
        <f>IF(((COUNTIF($H$5:$H35,"x"))-(COUNTIF($H$5:$H34,"x")))=0,"",COUNTIF($H$5:$H35,"x"))</f>
        <v/>
      </c>
      <c r="I140" s="3632" t="str">
        <f>IF(((COUNTIF($I$5:I35,"x"))-(COUNTIF($I$5:I34,"x")))=0,"",COUNTIF($I$5:I35,"x"))</f>
        <v/>
      </c>
      <c r="J140" s="3632" t="str">
        <f>IF(((COUNTIF($J$5:J35,"x"))-(COUNTIF($J$5:J34,"x")))=0,"",COUNTIF($J$5:J35,"x"))</f>
        <v/>
      </c>
      <c r="K140" s="3632" t="str">
        <f>IF(((COUNTIF($K$5:K35,"x"))-(COUNTIF($K$5:K34,"x")))=0,"",COUNTIF($K$5:K35,"x"))</f>
        <v/>
      </c>
      <c r="L140" s="3632" t="str">
        <f>IF(((COUNTIF($L$5:L35,"x"))-(COUNTIF($L$5:L34,"x")))=0,"",COUNTIF($L$5:L35,"x"))</f>
        <v/>
      </c>
      <c r="M140" s="3632" t="str">
        <f>IF(((COUNTIF($M$5:M35,"x"))-(COUNTIF($M$5:M34,"x")))=0,"",COUNTIF($M$5:M35,"x"))</f>
        <v/>
      </c>
      <c r="N140" s="3632" t="str">
        <f>IF(((COUNTIF($N$5:N35,"x"))-(COUNTIF($N$5:N34,"x")))=0,"",COUNTIF($N$5:N35,"x"))</f>
        <v/>
      </c>
      <c r="O140" s="3632" t="str">
        <f>IF(((COUNTIF($O$5:O35,"x"))-(COUNTIF($O$5:O34,"x")))=0,"",COUNTIF($O$5:O35,"x"))</f>
        <v/>
      </c>
      <c r="P140" s="3632" t="str">
        <f>IF(((COUNTIF($P$5:P35,"x"))-(COUNTIF($P$5:P34,"x")))=0,"",COUNTIF($P$5:P35,"x"))</f>
        <v/>
      </c>
      <c r="Q140" s="3632" t="str">
        <f>IF(((COUNTIF($Q$5:Q35,"x"))-(COUNTIF($Q$5:Q34,"x")))=0,"",COUNTIF($Q$5:Q35,"x"))</f>
        <v/>
      </c>
      <c r="R140" s="3632">
        <f>IF(((COUNTIF($R$5:R35,"x"))-(COUNTIF($R$5:R34,"x")))=0,"",COUNTIF($R$5:R35,"x"))</f>
        <v>5</v>
      </c>
      <c r="S140" s="3632" t="str">
        <f>IF(((COUNTIF($S$5:S35,"x"))-(COUNTIF($S$5:S34,"x")))=0,"",COUNTIF($S$5:S35,"x"))</f>
        <v/>
      </c>
      <c r="T140" s="3632" t="str">
        <f>IF(((COUNTIF($T$5:T35,"x"))-(COUNTIF($T$5:T34,"x")))=0,"",COUNTIF($T$5:T35,"x"))</f>
        <v/>
      </c>
      <c r="U140" s="3632" t="str">
        <f>IF(((COUNTIF($U$5:U35,"x"))-(COUNTIF($U$5:U34,"x")))=0,"",COUNTIF($U$5:U35,"x"))</f>
        <v/>
      </c>
      <c r="V140" s="3632" t="str">
        <f>IF(((COUNTIF($V$5:V35,"x"))-(COUNTIF($V$5:V34,"x")))=0,"",COUNTIF($V$5:V35,"x"))</f>
        <v/>
      </c>
      <c r="W140" s="3632" t="str">
        <f>IF(((COUNTIF($W$5:W35,"x"))-(COUNTIF($W$5:W34,"x")))=0,"",COUNTIF($W$5:W35,"x"))</f>
        <v/>
      </c>
      <c r="X140" s="3632" t="str">
        <f>IF(((COUNTIF($X$5:X35,"x"))-(COUNTIF($X$5:X34,"x")))=0,"",COUNTIF($X$5:X35,"x"))</f>
        <v/>
      </c>
      <c r="Y140" s="3632" t="str">
        <f>IF(((COUNTIF($Y$5:Y35,"x"))-(COUNTIF($Y$5:Y34,"x")))=0,"",COUNTIF($Y$5:Y35,"x"))</f>
        <v/>
      </c>
      <c r="Z140" s="3632" t="str">
        <f>IF(((COUNTIF($Z$5:Z35,"x"))-(COUNTIF($Z$5:Z34,"x")))=0,"",COUNTIF($Z$5:Z35,"x"))</f>
        <v/>
      </c>
      <c r="AA140" s="3632" t="str">
        <f>IF(((COUNTIF($AA$5:AA35,"x"))-(COUNTIF($AA$5:AA34,"x")))=0,"",COUNTIF($AA$5:AA35,"x"))</f>
        <v/>
      </c>
      <c r="AB140" s="3632" t="str">
        <f>IF(((COUNTIF($AB$5:AB35,"x"))-(COUNTIF($AB$5:AB34,"x")))=0,"",COUNTIF($AB$5:AB35,"x"))</f>
        <v/>
      </c>
      <c r="AC140" s="3632" t="str">
        <f>IF(((COUNTIF($AC$5:AC35,"x"))-(COUNTIF($AC$5:AC34,"x")))=0,"",COUNTIF($AC$5:AC35,"x"))</f>
        <v/>
      </c>
      <c r="AD140" s="3632">
        <f>IF(((COUNTIF($AD$5:AD35,"x"))-(COUNTIF($AD$5:AD34,"x")))=0,"",COUNTIF($AD$5:AD35,"x"))</f>
        <v>24</v>
      </c>
      <c r="AE140" s="3632" t="str">
        <f>IF(((COUNTIF($AE$5:AE35,"x"))-(COUNTIF($AE$5:AE34,"x")))=0,"",COUNTIF($AE$5:AE35,"x"))</f>
        <v/>
      </c>
      <c r="AF140" s="3633" t="str">
        <f>IF(((COUNTIF($AF$5:AF35,"x"))-(COUNTIF($AF$5:AF34,"x")))=0,"",COUNTIF($AF$5:AF35,"x"))</f>
        <v/>
      </c>
      <c r="AG140" s="1518" t="str">
        <f t="shared" si="14"/>
        <v>Elumis P Pack, Peak</v>
      </c>
    </row>
    <row r="141" spans="2:33" ht="17.399999999999999" hidden="1">
      <c r="B141" s="1525">
        <f t="shared" si="15"/>
        <v>32</v>
      </c>
      <c r="C141" s="2658" t="s">
        <v>1476</v>
      </c>
      <c r="D141" s="3635"/>
      <c r="E141" s="2695"/>
      <c r="F141" s="3631">
        <f>IF(((COUNTIF($F$5:$F36,"x"))-(COUNTIF($F$5:$F35,"x")))=0,"",COUNTIF($F$5:$F36,"x"))</f>
        <v>12</v>
      </c>
      <c r="G141" s="3632">
        <f>IF(((COUNTIF($G$5:$G36,"x"))-(COUNTIF($G$5:$G35,"x")))=0,"",COUNTIF($G$5:$G36,"x"))</f>
        <v>9</v>
      </c>
      <c r="H141" s="3632">
        <f>IF(((COUNTIF($H$5:$H36,"x"))-(COUNTIF($H$5:$H35,"x")))=0,"",COUNTIF($H$5:$H36,"x"))</f>
        <v>12</v>
      </c>
      <c r="I141" s="3632">
        <f>IF(((COUNTIF($I$5:I36,"x"))-(COUNTIF($I$5:I35,"x")))=0,"",COUNTIF($I$5:I36,"x"))</f>
        <v>11</v>
      </c>
      <c r="J141" s="3632">
        <f>IF(((COUNTIF($J$5:J36,"x"))-(COUNTIF($J$5:J35,"x")))=0,"",COUNTIF($J$5:J36,"x"))</f>
        <v>9</v>
      </c>
      <c r="K141" s="3632">
        <f>IF(((COUNTIF($K$5:K36,"x"))-(COUNTIF($K$5:K35,"x")))=0,"",COUNTIF($K$5:K36,"x"))</f>
        <v>9</v>
      </c>
      <c r="L141" s="3632">
        <f>IF(((COUNTIF($L$5:L36,"x"))-(COUNTIF($L$5:L35,"x")))=0,"",COUNTIF($L$5:L36,"x"))</f>
        <v>9</v>
      </c>
      <c r="M141" s="3632">
        <f>IF(((COUNTIF($M$5:M36,"x"))-(COUNTIF($M$5:M35,"x")))=0,"",COUNTIF($M$5:M36,"x"))</f>
        <v>9</v>
      </c>
      <c r="N141" s="3632" t="str">
        <f>IF(((COUNTIF($N$5:N36,"x"))-(COUNTIF($N$5:N35,"x")))=0,"",COUNTIF($N$5:N36,"x"))</f>
        <v/>
      </c>
      <c r="O141" s="3632">
        <f>IF(((COUNTIF($O$5:O36,"x"))-(COUNTIF($O$5:O35,"x")))=0,"",COUNTIF($O$5:O36,"x"))</f>
        <v>6</v>
      </c>
      <c r="P141" s="3632" t="str">
        <f>IF(((COUNTIF($P$5:P36,"x"))-(COUNTIF($P$5:P35,"x")))=0,"",COUNTIF($P$5:P36,"x"))</f>
        <v/>
      </c>
      <c r="Q141" s="3632" t="str">
        <f>IF(((COUNTIF($Q$5:Q36,"x"))-(COUNTIF($Q$5:Q35,"x")))=0,"",COUNTIF($Q$5:Q36,"x"))</f>
        <v/>
      </c>
      <c r="R141" s="3632" t="str">
        <f>IF(((COUNTIF($R$5:R36,"x"))-(COUNTIF($R$5:R35,"x")))=0,"",COUNTIF($R$5:R36,"x"))</f>
        <v/>
      </c>
      <c r="S141" s="3632" t="str">
        <f>IF(((COUNTIF($S$5:S36,"x"))-(COUNTIF($S$5:S35,"x")))=0,"",COUNTIF($S$5:S36,"x"))</f>
        <v/>
      </c>
      <c r="T141" s="3632" t="str">
        <f>IF(((COUNTIF($T$5:T36,"x"))-(COUNTIF($T$5:T35,"x")))=0,"",COUNTIF($T$5:T36,"x"))</f>
        <v/>
      </c>
      <c r="U141" s="3632" t="str">
        <f>IF(((COUNTIF($U$5:U36,"x"))-(COUNTIF($U$5:U35,"x")))=0,"",COUNTIF($U$5:U36,"x"))</f>
        <v/>
      </c>
      <c r="V141" s="3632" t="str">
        <f>IF(((COUNTIF($V$5:V36,"x"))-(COUNTIF($V$5:V35,"x")))=0,"",COUNTIF($V$5:V36,"x"))</f>
        <v/>
      </c>
      <c r="W141" s="3632" t="str">
        <f>IF(((COUNTIF($W$5:W36,"x"))-(COUNTIF($W$5:W35,"x")))=0,"",COUNTIF($W$5:W36,"x"))</f>
        <v/>
      </c>
      <c r="X141" s="3632" t="str">
        <f>IF(((COUNTIF($X$5:X36,"x"))-(COUNTIF($X$5:X35,"x")))=0,"",COUNTIF($X$5:X36,"x"))</f>
        <v/>
      </c>
      <c r="Y141" s="3632" t="str">
        <f>IF(((COUNTIF($Y$5:Y36,"x"))-(COUNTIF($Y$5:Y35,"x")))=0,"",COUNTIF($Y$5:Y36,"x"))</f>
        <v/>
      </c>
      <c r="Z141" s="3632" t="str">
        <f>IF(((COUNTIF($Z$5:Z36,"x"))-(COUNTIF($Z$5:Z35,"x")))=0,"",COUNTIF($Z$5:Z36,"x"))</f>
        <v/>
      </c>
      <c r="AA141" s="3632" t="str">
        <f>IF(((COUNTIF($AA$5:AA36,"x"))-(COUNTIF($AA$5:AA35,"x")))=0,"",COUNTIF($AA$5:AA36,"x"))</f>
        <v/>
      </c>
      <c r="AB141" s="3632" t="str">
        <f>IF(((COUNTIF($AB$5:AB36,"x"))-(COUNTIF($AB$5:AB35,"x")))=0,"",COUNTIF($AB$5:AB36,"x"))</f>
        <v/>
      </c>
      <c r="AC141" s="3632" t="str">
        <f>IF(((COUNTIF($AC$5:AC36,"x"))-(COUNTIF($AC$5:AC35,"x")))=0,"",COUNTIF($AC$5:AC36,"x"))</f>
        <v/>
      </c>
      <c r="AD141" s="3632">
        <f>IF(((COUNTIF($AD$5:AD36,"x"))-(COUNTIF($AD$5:AD35,"x")))=0,"",COUNTIF($AD$5:AD36,"x"))</f>
        <v>25</v>
      </c>
      <c r="AE141" s="3632" t="str">
        <f>IF(((COUNTIF($AE$5:AE36,"x"))-(COUNTIF($AE$5:AE35,"x")))=0,"",COUNTIF($AE$5:AE36,"x"))</f>
        <v/>
      </c>
      <c r="AF141" s="3633" t="str">
        <f>IF(((COUNTIF($AF$5:AF36,"x"))-(COUNTIF($AF$5:AF35,"x")))=0,"",COUNTIF($AF$5:AF36,"x"))</f>
        <v/>
      </c>
      <c r="AG141" s="1518" t="str">
        <f t="shared" si="14"/>
        <v>Fandango</v>
      </c>
    </row>
    <row r="142" spans="2:33" ht="17.399999999999999" hidden="1">
      <c r="B142" s="1525">
        <f t="shared" si="15"/>
        <v>33</v>
      </c>
      <c r="C142" s="2658" t="s">
        <v>1478</v>
      </c>
      <c r="D142" s="3635"/>
      <c r="E142" s="2695"/>
      <c r="F142" s="3631" t="str">
        <f>IF(((COUNTIF($F$5:$F37,"x"))-(COUNTIF($F$5:$F36,"x")))=0,"",COUNTIF($F$5:$F37,"x"))</f>
        <v/>
      </c>
      <c r="G142" s="3632" t="str">
        <f>IF(((COUNTIF($G$5:$G37,"x"))-(COUNTIF($G$5:$G36,"x")))=0,"",COUNTIF($G$5:$G37,"x"))</f>
        <v/>
      </c>
      <c r="H142" s="3632" t="str">
        <f>IF(((COUNTIF($H$5:$H37,"x"))-(COUNTIF($H$5:$H36,"x")))=0,"",COUNTIF($H$5:$H37,"x"))</f>
        <v/>
      </c>
      <c r="I142" s="3632" t="str">
        <f>IF(((COUNTIF($I$5:I37,"x"))-(COUNTIF($I$5:I36,"x")))=0,"",COUNTIF($I$5:I37,"x"))</f>
        <v/>
      </c>
      <c r="J142" s="3632" t="str">
        <f>IF(((COUNTIF($J$5:J37,"x"))-(COUNTIF($J$5:J36,"x")))=0,"",COUNTIF($J$5:J37,"x"))</f>
        <v/>
      </c>
      <c r="K142" s="3632" t="str">
        <f>IF(((COUNTIF($K$5:K37,"x"))-(COUNTIF($K$5:K36,"x")))=0,"",COUNTIF($K$5:K37,"x"))</f>
        <v/>
      </c>
      <c r="L142" s="3632" t="str">
        <f>IF(((COUNTIF($L$5:L37,"x"))-(COUNTIF($L$5:L36,"x")))=0,"",COUNTIF($L$5:L37,"x"))</f>
        <v/>
      </c>
      <c r="M142" s="3632" t="str">
        <f>IF(((COUNTIF($M$5:M37,"x"))-(COUNTIF($M$5:M36,"x")))=0,"",COUNTIF($M$5:M37,"x"))</f>
        <v/>
      </c>
      <c r="N142" s="3632" t="str">
        <f>IF(((COUNTIF($N$5:N37,"x"))-(COUNTIF($N$5:N36,"x")))=0,"",COUNTIF($N$5:N37,"x"))</f>
        <v/>
      </c>
      <c r="O142" s="3632" t="str">
        <f>IF(((COUNTIF($O$5:O37,"x"))-(COUNTIF($O$5:O36,"x")))=0,"",COUNTIF($O$5:O37,"x"))</f>
        <v/>
      </c>
      <c r="P142" s="3632" t="str">
        <f>IF(((COUNTIF($P$5:P37,"x"))-(COUNTIF($P$5:P36,"x")))=0,"",COUNTIF($P$5:P37,"x"))</f>
        <v/>
      </c>
      <c r="Q142" s="3632" t="str">
        <f>IF(((COUNTIF($Q$5:Q37,"x"))-(COUNTIF($Q$5:Q36,"x")))=0,"",COUNTIF($Q$5:Q37,"x"))</f>
        <v/>
      </c>
      <c r="R142" s="3632" t="str">
        <f>IF(((COUNTIF($R$5:R37,"x"))-(COUNTIF($R$5:R36,"x")))=0,"",COUNTIF($R$5:R37,"x"))</f>
        <v/>
      </c>
      <c r="S142" s="3632">
        <f>IF(((COUNTIF($S$5:S37,"x"))-(COUNTIF($S$5:S36,"x")))=0,"",COUNTIF($S$5:S37,"x"))</f>
        <v>9</v>
      </c>
      <c r="T142" s="3632">
        <f>IF(((COUNTIF($T$5:T37,"x"))-(COUNTIF($T$5:T36,"x")))=0,"",COUNTIF($T$5:T37,"x"))</f>
        <v>3</v>
      </c>
      <c r="U142" s="3632">
        <f>IF(((COUNTIF($U$5:U37,"x"))-(COUNTIF($U$5:U36,"x")))=0,"",COUNTIF($U$5:U37,"x"))</f>
        <v>5</v>
      </c>
      <c r="V142" s="3632">
        <f>IF(((COUNTIF($V$5:V37,"x"))-(COUNTIF($V$5:V36,"x")))=0,"",COUNTIF($V$5:V37,"x"))</f>
        <v>2</v>
      </c>
      <c r="W142" s="3632">
        <f>IF(((COUNTIF($W$5:W37,"x"))-(COUNTIF($W$5:W36,"x")))=0,"",COUNTIF($W$5:W37,"x"))</f>
        <v>2</v>
      </c>
      <c r="X142" s="3632">
        <f>IF(((COUNTIF($X$5:X37,"x"))-(COUNTIF($X$5:X36,"x")))=0,"",COUNTIF($X$5:X37,"x"))</f>
        <v>5</v>
      </c>
      <c r="Y142" s="3632">
        <f>IF(((COUNTIF($Y$5:Y37,"x"))-(COUNTIF($Y$5:Y36,"x")))=0,"",COUNTIF($Y$5:Y37,"x"))</f>
        <v>5</v>
      </c>
      <c r="Z142" s="3632" t="str">
        <f>IF(((COUNTIF($Z$5:Z37,"x"))-(COUNTIF($Z$5:Z36,"x")))=0,"",COUNTIF($Z$5:Z37,"x"))</f>
        <v/>
      </c>
      <c r="AA142" s="3632">
        <f>IF(((COUNTIF($AA$5:AA37,"x"))-(COUNTIF($AA$5:AA36,"x")))=0,"",COUNTIF($AA$5:AA37,"x"))</f>
        <v>4</v>
      </c>
      <c r="AB142" s="3632">
        <f>IF(((COUNTIF($AB$5:AB37,"x"))-(COUNTIF($AB$5:AB36,"x")))=0,"",COUNTIF($AB$5:AB37,"x"))</f>
        <v>6</v>
      </c>
      <c r="AC142" s="3632" t="str">
        <f>IF(((COUNTIF($AC$5:AC37,"x"))-(COUNTIF($AC$5:AC36,"x")))=0,"",COUNTIF($AC$5:AC37,"x"))</f>
        <v/>
      </c>
      <c r="AD142" s="3632">
        <f>IF(((COUNTIF($AD$5:AD37,"x"))-(COUNTIF($AD$5:AD36,"x")))=0,"",COUNTIF($AD$5:AD37,"x"))</f>
        <v>26</v>
      </c>
      <c r="AE142" s="3632" t="str">
        <f>IF(((COUNTIF($AE$5:AE37,"x"))-(COUNTIF($AE$5:AE36,"x")))=0,"",COUNTIF($AE$5:AE37,"x"))</f>
        <v/>
      </c>
      <c r="AF142" s="3633" t="str">
        <f>IF(((COUNTIF($AF$5:AF37,"x"))-(COUNTIF($AF$5:AF36,"x")))=0,"",COUNTIF($AF$5:AF37,"x"))</f>
        <v/>
      </c>
      <c r="AG142" s="1518" t="str">
        <f t="shared" si="14"/>
        <v>Focus Aktiv Pack, Focus Ultra</v>
      </c>
    </row>
    <row r="143" spans="2:33" ht="17.399999999999999" hidden="1">
      <c r="B143" s="1525">
        <f t="shared" si="15"/>
        <v>34</v>
      </c>
      <c r="C143" s="2658" t="s">
        <v>520</v>
      </c>
      <c r="D143" s="3635"/>
      <c r="E143" s="2695"/>
      <c r="F143" s="3631">
        <f>IF(((COUNTIF($F$5:$F38,"x"))-(COUNTIF($F$5:$F37,"x")))=0,"",COUNTIF($F$5:$F38,"x"))</f>
        <v>13</v>
      </c>
      <c r="G143" s="3632">
        <f>IF(((COUNTIF($G$5:$G38,"x"))-(COUNTIF($G$5:$G37,"x")))=0,"",COUNTIF($G$5:$G38,"x"))</f>
        <v>10</v>
      </c>
      <c r="H143" s="3632">
        <f>IF(((COUNTIF($H$5:$H38,"x"))-(COUNTIF($H$5:$H37,"x")))=0,"",COUNTIF($H$5:$H38,"x"))</f>
        <v>13</v>
      </c>
      <c r="I143" s="3632" t="str">
        <f>IF(((COUNTIF($I$5:I38,"x"))-(COUNTIF($I$5:I37,"x")))=0,"",COUNTIF($I$5:I38,"x"))</f>
        <v/>
      </c>
      <c r="J143" s="3632">
        <f>IF(((COUNTIF($J$5:J38,"x"))-(COUNTIF($J$5:J37,"x")))=0,"",COUNTIF($J$5:J38,"x"))</f>
        <v>10</v>
      </c>
      <c r="K143" s="3632">
        <f>IF(((COUNTIF($K$5:K38,"x"))-(COUNTIF($K$5:K37,"x")))=0,"",COUNTIF($K$5:K38,"x"))</f>
        <v>10</v>
      </c>
      <c r="L143" s="3632">
        <f>IF(((COUNTIF($L$5:L38,"x"))-(COUNTIF($L$5:L37,"x")))=0,"",COUNTIF($L$5:L38,"x"))</f>
        <v>10</v>
      </c>
      <c r="M143" s="3632">
        <f>IF(((COUNTIF($M$5:M38,"x"))-(COUNTIF($M$5:M37,"x")))=0,"",COUNTIF($M$5:M38,"x"))</f>
        <v>10</v>
      </c>
      <c r="N143" s="3632" t="str">
        <f>IF(((COUNTIF($N$5:N38,"x"))-(COUNTIF($N$5:N37,"x")))=0,"",COUNTIF($N$5:N38,"x"))</f>
        <v/>
      </c>
      <c r="O143" s="3632" t="str">
        <f>IF(((COUNTIF($O$5:O38,"x"))-(COUNTIF($O$5:O37,"x")))=0,"",COUNTIF($O$5:O38,"x"))</f>
        <v/>
      </c>
      <c r="P143" s="3632" t="str">
        <f>IF(((COUNTIF($P$5:P38,"x"))-(COUNTIF($P$5:P37,"x")))=0,"",COUNTIF($P$5:P38,"x"))</f>
        <v/>
      </c>
      <c r="Q143" s="3632" t="str">
        <f>IF(((COUNTIF($Q$5:Q38,"x"))-(COUNTIF($Q$5:Q37,"x")))=0,"",COUNTIF($Q$5:Q38,"x"))</f>
        <v/>
      </c>
      <c r="R143" s="3632" t="str">
        <f>IF(((COUNTIF($R$5:R38,"x"))-(COUNTIF($R$5:R37,"x")))=0,"",COUNTIF($R$5:R38,"x"))</f>
        <v/>
      </c>
      <c r="S143" s="3632">
        <f>IF(((COUNTIF($S$5:S38,"x"))-(COUNTIF($S$5:S37,"x")))=0,"",COUNTIF($S$5:S38,"x"))</f>
        <v>10</v>
      </c>
      <c r="T143" s="3632">
        <f>IF(((COUNTIF($T$5:T38,"x"))-(COUNTIF($T$5:T37,"x")))=0,"",COUNTIF($T$5:T38,"x"))</f>
        <v>4</v>
      </c>
      <c r="U143" s="3632" t="str">
        <f>IF(((COUNTIF($U$5:U38,"x"))-(COUNTIF($U$5:U37,"x")))=0,"",COUNTIF($U$5:U38,"x"))</f>
        <v/>
      </c>
      <c r="V143" s="3632" t="str">
        <f>IF(((COUNTIF($V$5:V38,"x"))-(COUNTIF($V$5:V37,"x")))=0,"",COUNTIF($V$5:V38,"x"))</f>
        <v/>
      </c>
      <c r="W143" s="3632" t="str">
        <f>IF(((COUNTIF($W$5:W38,"x"))-(COUNTIF($W$5:W37,"x")))=0,"",COUNTIF($W$5:W38,"x"))</f>
        <v/>
      </c>
      <c r="X143" s="3632" t="str">
        <f>IF(((COUNTIF($X$5:X38,"x"))-(COUNTIF($X$5:X37,"x")))=0,"",COUNTIF($X$5:X38,"x"))</f>
        <v/>
      </c>
      <c r="Y143" s="3632" t="str">
        <f>IF(((COUNTIF($Y$5:Y38,"x"))-(COUNTIF($Y$5:Y37,"x")))=0,"",COUNTIF($Y$5:Y38,"x"))</f>
        <v/>
      </c>
      <c r="Z143" s="3632" t="str">
        <f>IF(((COUNTIF($Z$5:Z38,"x"))-(COUNTIF($Z$5:Z37,"x")))=0,"",COUNTIF($Z$5:Z38,"x"))</f>
        <v/>
      </c>
      <c r="AA143" s="3632" t="str">
        <f>IF(((COUNTIF($AA$5:AA38,"x"))-(COUNTIF($AA$5:AA37,"x")))=0,"",COUNTIF($AA$5:AA38,"x"))</f>
        <v/>
      </c>
      <c r="AB143" s="3632" t="str">
        <f>IF(((COUNTIF($AB$5:AB38,"x"))-(COUNTIF($AB$5:AB37,"x")))=0,"",COUNTIF($AB$5:AB38,"x"))</f>
        <v/>
      </c>
      <c r="AC143" s="3632" t="str">
        <f>IF(((COUNTIF($AC$5:AC38,"x"))-(COUNTIF($AC$5:AC37,"x")))=0,"",COUNTIF($AC$5:AC38,"x"))</f>
        <v/>
      </c>
      <c r="AD143" s="3632">
        <f>IF(((COUNTIF($AD$5:AD38,"x"))-(COUNTIF($AD$5:AD37,"x")))=0,"",COUNTIF($AD$5:AD38,"x"))</f>
        <v>27</v>
      </c>
      <c r="AE143" s="3632" t="str">
        <f>IF(((COUNTIF($AE$5:AE38,"x"))-(COUNTIF($AE$5:AE37,"x")))=0,"",COUNTIF($AE$5:AE38,"x"))</f>
        <v/>
      </c>
      <c r="AF143" s="3633" t="str">
        <f>IF(((COUNTIF($AF$5:AF38,"x"))-(COUNTIF($AF$5:AF37,"x")))=0,"",COUNTIF($AF$5:AF38,"x"))</f>
        <v/>
      </c>
      <c r="AG143" s="1518" t="str">
        <f t="shared" si="14"/>
        <v>Folicur</v>
      </c>
    </row>
    <row r="144" spans="2:33" ht="17.399999999999999" hidden="1">
      <c r="B144" s="1525">
        <f t="shared" si="15"/>
        <v>35</v>
      </c>
      <c r="C144" s="2658" t="s">
        <v>519</v>
      </c>
      <c r="D144" s="3635"/>
      <c r="E144" s="2695"/>
      <c r="F144" s="3631" t="str">
        <f>IF(((COUNTIF($F$5:$F39,"x"))-(COUNTIF($F$5:$F38,"x")))=0,"",COUNTIF($F$5:$F39,"x"))</f>
        <v/>
      </c>
      <c r="G144" s="3632" t="str">
        <f>IF(((COUNTIF($G$5:$G39,"x"))-(COUNTIF($G$5:$G38,"x")))=0,"",COUNTIF($G$5:$G39,"x"))</f>
        <v/>
      </c>
      <c r="H144" s="3632" t="str">
        <f>IF(((COUNTIF($H$5:$H39,"x"))-(COUNTIF($H$5:$H38,"x")))=0,"",COUNTIF($H$5:$H39,"x"))</f>
        <v/>
      </c>
      <c r="I144" s="3632" t="str">
        <f>IF(((COUNTIF($I$5:I39,"x"))-(COUNTIF($I$5:I38,"x")))=0,"",COUNTIF($I$5:I39,"x"))</f>
        <v/>
      </c>
      <c r="J144" s="3632" t="str">
        <f>IF(((COUNTIF($J$5:J39,"x"))-(COUNTIF($J$5:J38,"x")))=0,"",COUNTIF($J$5:J39,"x"))</f>
        <v/>
      </c>
      <c r="K144" s="3632" t="str">
        <f>IF(((COUNTIF($K$5:K39,"x"))-(COUNTIF($K$5:K38,"x")))=0,"",COUNTIF($K$5:K39,"x"))</f>
        <v/>
      </c>
      <c r="L144" s="3632" t="str">
        <f>IF(((COUNTIF($L$5:L39,"x"))-(COUNTIF($L$5:L38,"x")))=0,"",COUNTIF($L$5:L39,"x"))</f>
        <v/>
      </c>
      <c r="M144" s="3632" t="str">
        <f>IF(((COUNTIF($M$5:M39,"x"))-(COUNTIF($M$5:M38,"x")))=0,"",COUNTIF($M$5:M39,"x"))</f>
        <v/>
      </c>
      <c r="N144" s="3632" t="str">
        <f>IF(((COUNTIF($N$5:N39,"x"))-(COUNTIF($N$5:N38,"x")))=0,"",COUNTIF($N$5:N39,"x"))</f>
        <v/>
      </c>
      <c r="O144" s="3632" t="str">
        <f>IF(((COUNTIF($O$5:O39,"x"))-(COUNTIF($O$5:O38,"x")))=0,"",COUNTIF($O$5:O39,"x"))</f>
        <v/>
      </c>
      <c r="P144" s="3632" t="str">
        <f>IF(((COUNTIF($P$5:P39,"x"))-(COUNTIF($P$5:P38,"x")))=0,"",COUNTIF($P$5:P39,"x"))</f>
        <v/>
      </c>
      <c r="Q144" s="3632" t="str">
        <f>IF(((COUNTIF($Q$5:Q39,"x"))-(COUNTIF($Q$5:Q38,"x")))=0,"",COUNTIF($Q$5:Q39,"x"))</f>
        <v/>
      </c>
      <c r="R144" s="3632" t="str">
        <f>IF(((COUNTIF($R$5:R39,"x"))-(COUNTIF($R$5:R38,"x")))=0,"",COUNTIF($R$5:R39,"x"))</f>
        <v/>
      </c>
      <c r="S144" s="3632">
        <f>IF(((COUNTIF($S$5:S39,"x"))-(COUNTIF($S$5:S38,"x")))=0,"",COUNTIF($S$5:S39,"x"))</f>
        <v>11</v>
      </c>
      <c r="T144" s="3632" t="str">
        <f>IF(((COUNTIF($T$5:T39,"x"))-(COUNTIF($T$5:T38,"x")))=0,"",COUNTIF($T$5:T39,"x"))</f>
        <v/>
      </c>
      <c r="U144" s="3632">
        <f>IF(((COUNTIF($U$5:U39,"x"))-(COUNTIF($U$5:U38,"x")))=0,"",COUNTIF($U$5:U39,"x"))</f>
        <v>6</v>
      </c>
      <c r="V144" s="3632">
        <f>IF(((COUNTIF($V$5:V39,"x"))-(COUNTIF($V$5:V38,"x")))=0,"",COUNTIF($V$5:V39,"x"))</f>
        <v>3</v>
      </c>
      <c r="W144" s="3632">
        <f>IF(((COUNTIF($W$5:W39,"x"))-(COUNTIF($W$5:W38,"x")))=0,"",COUNTIF($W$5:W39,"x"))</f>
        <v>3</v>
      </c>
      <c r="X144" s="3632">
        <f>IF(((COUNTIF($X$5:X39,"x"))-(COUNTIF($X$5:X38,"x")))=0,"",COUNTIF($X$5:X39,"x"))</f>
        <v>6</v>
      </c>
      <c r="Y144" s="3632">
        <f>IF(((COUNTIF($Y$5:Y39,"x"))-(COUNTIF($Y$5:Y38,"x")))=0,"",COUNTIF($Y$5:Y39,"x"))</f>
        <v>6</v>
      </c>
      <c r="Z144" s="3632">
        <f>IF(((COUNTIF($Z$5:Z39,"x"))-(COUNTIF($Z$5:Z38,"x")))=0,"",COUNTIF($Z$5:Z39,"x"))</f>
        <v>2</v>
      </c>
      <c r="AA144" s="3632">
        <f>IF(((COUNTIF($AA$5:AA39,"x"))-(COUNTIF($AA$5:AA38,"x")))=0,"",COUNTIF($AA$5:AA39,"x"))</f>
        <v>5</v>
      </c>
      <c r="AB144" s="3632">
        <f>IF(((COUNTIF($AB$5:AB39,"x"))-(COUNTIF($AB$5:AB38,"x")))=0,"",COUNTIF($AB$5:AB39,"x"))</f>
        <v>7</v>
      </c>
      <c r="AC144" s="3632" t="str">
        <f>IF(((COUNTIF($AC$5:AC39,"x"))-(COUNTIF($AC$5:AC38,"x")))=0,"",COUNTIF($AC$5:AC39,"x"))</f>
        <v/>
      </c>
      <c r="AD144" s="3632">
        <f>IF(((COUNTIF($AD$5:AD39,"x"))-(COUNTIF($AD$5:AD38,"x")))=0,"",COUNTIF($AD$5:AD39,"x"))</f>
        <v>28</v>
      </c>
      <c r="AE144" s="3632" t="str">
        <f>IF(((COUNTIF($AE$5:AE39,"x"))-(COUNTIF($AE$5:AE38,"x")))=0,"",COUNTIF($AE$5:AE39,"x"))</f>
        <v/>
      </c>
      <c r="AF144" s="3633" t="str">
        <f>IF(((COUNTIF($AF$5:AF39,"x"))-(COUNTIF($AF$5:AF38,"x")))=0,"",COUNTIF($AF$5:AF39,"x"))</f>
        <v/>
      </c>
      <c r="AG144" s="1518" t="str">
        <f t="shared" si="14"/>
        <v>Fusilade MAX</v>
      </c>
    </row>
    <row r="145" spans="2:33" ht="17.399999999999999" hidden="1">
      <c r="B145" s="1525">
        <f t="shared" si="15"/>
        <v>36</v>
      </c>
      <c r="C145" s="2658" t="s">
        <v>518</v>
      </c>
      <c r="D145" s="3635"/>
      <c r="E145" s="2695"/>
      <c r="F145" s="3631" t="str">
        <f>IF(((COUNTIF($F$5:$F40,"x"))-(COUNTIF($F$5:$F39,"x")))=0,"",COUNTIF($F$5:$F40,"x"))</f>
        <v/>
      </c>
      <c r="G145" s="3632" t="str">
        <f>IF(((COUNTIF($G$5:$G40,"x"))-(COUNTIF($G$5:$G39,"x")))=0,"",COUNTIF($G$5:$G40,"x"))</f>
        <v/>
      </c>
      <c r="H145" s="3632" t="str">
        <f>IF(((COUNTIF($H$5:$H40,"x"))-(COUNTIF($H$5:$H39,"x")))=0,"",COUNTIF($H$5:$H40,"x"))</f>
        <v/>
      </c>
      <c r="I145" s="3632" t="str">
        <f>IF(((COUNTIF($I$5:I40,"x"))-(COUNTIF($I$5:I39,"x")))=0,"",COUNTIF($I$5:I40,"x"))</f>
        <v/>
      </c>
      <c r="J145" s="3632" t="str">
        <f>IF(((COUNTIF($J$5:J40,"x"))-(COUNTIF($J$5:J39,"x")))=0,"",COUNTIF($J$5:J40,"x"))</f>
        <v/>
      </c>
      <c r="K145" s="3632" t="str">
        <f>IF(((COUNTIF($K$5:K40,"x"))-(COUNTIF($K$5:K39,"x")))=0,"",COUNTIF($K$5:K40,"x"))</f>
        <v/>
      </c>
      <c r="L145" s="3632" t="str">
        <f>IF(((COUNTIF($L$5:L40,"x"))-(COUNTIF($L$5:L39,"x")))=0,"",COUNTIF($L$5:L40,"x"))</f>
        <v/>
      </c>
      <c r="M145" s="3632" t="str">
        <f>IF(((COUNTIF($M$5:M40,"x"))-(COUNTIF($M$5:M39,"x")))=0,"",COUNTIF($M$5:M40,"x"))</f>
        <v/>
      </c>
      <c r="N145" s="3632" t="str">
        <f>IF(((COUNTIF($N$5:N40,"x"))-(COUNTIF($N$5:N39,"x")))=0,"",COUNTIF($N$5:N40,"x"))</f>
        <v/>
      </c>
      <c r="O145" s="3632" t="str">
        <f>IF(((COUNTIF($O$5:O40,"x"))-(COUNTIF($O$5:O39,"x")))=0,"",COUNTIF($O$5:O40,"x"))</f>
        <v/>
      </c>
      <c r="P145" s="3632" t="str">
        <f>IF(((COUNTIF($P$5:P40,"x"))-(COUNTIF($P$5:P39,"x")))=0,"",COUNTIF($P$5:P40,"x"))</f>
        <v/>
      </c>
      <c r="Q145" s="3632" t="str">
        <f>IF(((COUNTIF($Q$5:Q40,"x"))-(COUNTIF($Q$5:Q39,"x")))=0,"",COUNTIF($Q$5:Q40,"x"))</f>
        <v/>
      </c>
      <c r="R145" s="3632" t="str">
        <f>IF(((COUNTIF($R$5:R40,"x"))-(COUNTIF($R$5:R39,"x")))=0,"",COUNTIF($R$5:R40,"x"))</f>
        <v/>
      </c>
      <c r="S145" s="3632" t="str">
        <f>IF(((COUNTIF($S$5:S40,"x"))-(COUNTIF($S$5:S39,"x")))=0,"",COUNTIF($S$5:S40,"x"))</f>
        <v/>
      </c>
      <c r="T145" s="3632" t="str">
        <f>IF(((COUNTIF($T$5:T40,"x"))-(COUNTIF($T$5:T39,"x")))=0,"",COUNTIF($T$5:T40,"x"))</f>
        <v/>
      </c>
      <c r="U145" s="3632" t="str">
        <f>IF(((COUNTIF($U$5:U40,"x"))-(COUNTIF($U$5:U39,"x")))=0,"",COUNTIF($U$5:U40,"x"))</f>
        <v/>
      </c>
      <c r="V145" s="3632" t="str">
        <f>IF(((COUNTIF($V$5:V40,"x"))-(COUNTIF($V$5:V39,"x")))=0,"",COUNTIF($V$5:V40,"x"))</f>
        <v/>
      </c>
      <c r="W145" s="3632" t="str">
        <f>IF(((COUNTIF($W$5:W40,"x"))-(COUNTIF($W$5:W39,"x")))=0,"",COUNTIF($W$5:W40,"x"))</f>
        <v/>
      </c>
      <c r="X145" s="3632" t="str">
        <f>IF(((COUNTIF($X$5:X40,"x"))-(COUNTIF($X$5:X39,"x")))=0,"",COUNTIF($X$5:X40,"x"))</f>
        <v/>
      </c>
      <c r="Y145" s="3632" t="str">
        <f>IF(((COUNTIF($Y$5:Y40,"x"))-(COUNTIF($Y$5:Y39,"x")))=0,"",COUNTIF($Y$5:Y40,"x"))</f>
        <v/>
      </c>
      <c r="Z145" s="3632" t="str">
        <f>IF(((COUNTIF($Z$5:Z40,"x"))-(COUNTIF($Z$5:Z39,"x")))=0,"",COUNTIF($Z$5:Z40,"x"))</f>
        <v/>
      </c>
      <c r="AA145" s="3632">
        <f>IF(((COUNTIF($AA$5:AA40,"x"))-(COUNTIF($AA$5:AA39,"x")))=0,"",COUNTIF($AA$5:AA40,"x"))</f>
        <v>6</v>
      </c>
      <c r="AB145" s="3632" t="str">
        <f>IF(((COUNTIF($AB$5:AB40,"x"))-(COUNTIF($AB$5:AB39,"x")))=0,"",COUNTIF($AB$5:AB40,"x"))</f>
        <v/>
      </c>
      <c r="AC145" s="3632" t="str">
        <f>IF(((COUNTIF($AC$5:AC40,"x"))-(COUNTIF($AC$5:AC39,"x")))=0,"",COUNTIF($AC$5:AC40,"x"))</f>
        <v/>
      </c>
      <c r="AD145" s="3632">
        <f>IF(((COUNTIF($AD$5:AD40,"x"))-(COUNTIF($AD$5:AD39,"x")))=0,"",COUNTIF($AD$5:AD40,"x"))</f>
        <v>29</v>
      </c>
      <c r="AE145" s="3632" t="str">
        <f>IF(((COUNTIF($AE$5:AE40,"x"))-(COUNTIF($AE$5:AE39,"x")))=0,"",COUNTIF($AE$5:AE40,"x"))</f>
        <v/>
      </c>
      <c r="AF145" s="3633" t="str">
        <f>IF(((COUNTIF($AF$5:AF40,"x"))-(COUNTIF($AF$5:AF39,"x")))=0,"",COUNTIF($AF$5:AF40,"x"))</f>
        <v/>
      </c>
      <c r="AG145" s="1518" t="str">
        <f t="shared" si="14"/>
        <v>Goltix Gold</v>
      </c>
    </row>
    <row r="146" spans="2:33" ht="17.399999999999999" hidden="1">
      <c r="B146" s="1525">
        <f t="shared" si="15"/>
        <v>37</v>
      </c>
      <c r="C146" s="2658" t="s">
        <v>1485</v>
      </c>
      <c r="D146" s="3635"/>
      <c r="E146" s="2695"/>
      <c r="F146" s="3631" t="str">
        <f>IF(((COUNTIF($F$5:$F41,"x"))-(COUNTIF($F$5:$F40,"x")))=0,"",COUNTIF($F$5:$F41,"x"))</f>
        <v/>
      </c>
      <c r="G146" s="3632" t="str">
        <f>IF(((COUNTIF($G$5:$G41,"x"))-(COUNTIF($G$5:$G40,"x")))=0,"",COUNTIF($G$5:$G41,"x"))</f>
        <v/>
      </c>
      <c r="H146" s="3632" t="str">
        <f>IF(((COUNTIF($H$5:$H41,"x"))-(COUNTIF($H$5:$H40,"x")))=0,"",COUNTIF($H$5:$H41,"x"))</f>
        <v/>
      </c>
      <c r="I146" s="3632" t="str">
        <f>IF(((COUNTIF($I$5:I41,"x"))-(COUNTIF($I$5:I40,"x")))=0,"",COUNTIF($I$5:I41,"x"))</f>
        <v/>
      </c>
      <c r="J146" s="3632" t="str">
        <f>IF(((COUNTIF($J$5:J41,"x"))-(COUNTIF($J$5:J40,"x")))=0,"",COUNTIF($J$5:J41,"x"))</f>
        <v/>
      </c>
      <c r="K146" s="3632" t="str">
        <f>IF(((COUNTIF($K$5:K41,"x"))-(COUNTIF($K$5:K40,"x")))=0,"",COUNTIF($K$5:K41,"x"))</f>
        <v/>
      </c>
      <c r="L146" s="3632" t="str">
        <f>IF(((COUNTIF($L$5:L41,"x"))-(COUNTIF($L$5:L40,"x")))=0,"",COUNTIF($L$5:L41,"x"))</f>
        <v/>
      </c>
      <c r="M146" s="3632" t="str">
        <f>IF(((COUNTIF($M$5:M41,"x"))-(COUNTIF($M$5:M40,"x")))=0,"",COUNTIF($M$5:M41,"x"))</f>
        <v/>
      </c>
      <c r="N146" s="3632" t="str">
        <f>IF(((COUNTIF($N$5:N41,"x"))-(COUNTIF($N$5:N40,"x")))=0,"",COUNTIF($N$5:N41,"x"))</f>
        <v/>
      </c>
      <c r="O146" s="3632" t="str">
        <f>IF(((COUNTIF($O$5:O41,"x"))-(COUNTIF($O$5:O40,"x")))=0,"",COUNTIF($O$5:O41,"x"))</f>
        <v/>
      </c>
      <c r="P146" s="3632">
        <f>IF(((COUNTIF($P$5:P41,"x"))-(COUNTIF($P$5:P40,"x")))=0,"",COUNTIF($P$5:P41,"x"))</f>
        <v>3</v>
      </c>
      <c r="Q146" s="3632" t="str">
        <f>IF(((COUNTIF($Q$5:Q41,"x"))-(COUNTIF($Q$5:Q40,"x")))=0,"",COUNTIF($Q$5:Q41,"x"))</f>
        <v/>
      </c>
      <c r="R146" s="3632" t="str">
        <f>IF(((COUNTIF($R$5:R41,"x"))-(COUNTIF($R$5:R40,"x")))=0,"",COUNTIF($R$5:R41,"x"))</f>
        <v/>
      </c>
      <c r="S146" s="3632" t="str">
        <f>IF(((COUNTIF($S$5:S41,"x"))-(COUNTIF($S$5:S40,"x")))=0,"",COUNTIF($S$5:S41,"x"))</f>
        <v/>
      </c>
      <c r="T146" s="3632" t="str">
        <f>IF(((COUNTIF($T$5:T41,"x"))-(COUNTIF($T$5:T40,"x")))=0,"",COUNTIF($T$5:T41,"x"))</f>
        <v/>
      </c>
      <c r="U146" s="3632" t="str">
        <f>IF(((COUNTIF($U$5:U41,"x"))-(COUNTIF($U$5:U40,"x")))=0,"",COUNTIF($U$5:U41,"x"))</f>
        <v/>
      </c>
      <c r="V146" s="3632" t="str">
        <f>IF(((COUNTIF($V$5:V41,"x"))-(COUNTIF($V$5:V40,"x")))=0,"",COUNTIF($V$5:V41,"x"))</f>
        <v/>
      </c>
      <c r="W146" s="3632" t="str">
        <f>IF(((COUNTIF($W$5:W41,"x"))-(COUNTIF($W$5:W40,"x")))=0,"",COUNTIF($W$5:W41,"x"))</f>
        <v/>
      </c>
      <c r="X146" s="3632" t="str">
        <f>IF(((COUNTIF($X$5:X41,"x"))-(COUNTIF($X$5:X40,"x")))=0,"",COUNTIF($X$5:X41,"x"))</f>
        <v/>
      </c>
      <c r="Y146" s="3632" t="str">
        <f>IF(((COUNTIF($Y$5:Y41,"x"))-(COUNTIF($Y$5:Y40,"x")))=0,"",COUNTIF($Y$5:Y41,"x"))</f>
        <v/>
      </c>
      <c r="Z146" s="3632" t="str">
        <f>IF(((COUNTIF($Z$5:Z41,"x"))-(COUNTIF($Z$5:Z40,"x")))=0,"",COUNTIF($Z$5:Z41,"x"))</f>
        <v/>
      </c>
      <c r="AA146" s="3632">
        <f>IF(((COUNTIF($AA$5:AA41,"x"))-(COUNTIF($AA$5:AA40,"x")))=0,"",COUNTIF($AA$5:AA41,"x"))</f>
        <v>7</v>
      </c>
      <c r="AB146" s="3632" t="str">
        <f>IF(((COUNTIF($AB$5:AB41,"x"))-(COUNTIF($AB$5:AB40,"x")))=0,"",COUNTIF($AB$5:AB41,"x"))</f>
        <v/>
      </c>
      <c r="AC146" s="3632" t="str">
        <f>IF(((COUNTIF($AC$5:AC41,"x"))-(COUNTIF($AC$5:AC40,"x")))=0,"",COUNTIF($AC$5:AC41,"x"))</f>
        <v/>
      </c>
      <c r="AD146" s="3632">
        <f>IF(((COUNTIF($AD$5:AD41,"x"))-(COUNTIF($AD$5:AD40,"x")))=0,"",COUNTIF($AD$5:AD41,"x"))</f>
        <v>30</v>
      </c>
      <c r="AE146" s="3632" t="str">
        <f>IF(((COUNTIF($AE$5:AE41,"x"))-(COUNTIF($AE$5:AE40,"x")))=0,"",COUNTIF($AE$5:AE41,"x"))</f>
        <v/>
      </c>
      <c r="AF146" s="3633" t="str">
        <f>IF(((COUNTIF($AF$5:AF41,"x"))-(COUNTIF($AF$5:AF40,"x")))=0,"",COUNTIF($AF$5:AF41,"x"))</f>
        <v/>
      </c>
      <c r="AG146" s="1518" t="str">
        <f t="shared" si="14"/>
        <v>Goltix Titan</v>
      </c>
    </row>
    <row r="147" spans="2:33" ht="17.399999999999999" hidden="1">
      <c r="B147" s="1525">
        <f t="shared" si="15"/>
        <v>38</v>
      </c>
      <c r="C147" s="2658" t="s">
        <v>517</v>
      </c>
      <c r="D147" s="3635"/>
      <c r="E147" s="2695"/>
      <c r="F147" s="3631" t="str">
        <f>IF(((COUNTIF($F$5:$F42,"x"))-(COUNTIF($F$5:$F41,"x")))=0,"",COUNTIF($F$5:$F42,"x"))</f>
        <v/>
      </c>
      <c r="G147" s="3632" t="str">
        <f>IF(((COUNTIF($G$5:$G42,"x"))-(COUNTIF($G$5:$G41,"x")))=0,"",COUNTIF($G$5:$G42,"x"))</f>
        <v/>
      </c>
      <c r="H147" s="3632" t="str">
        <f>IF(((COUNTIF($H$5:$H42,"x"))-(COUNTIF($H$5:$H41,"x")))=0,"",COUNTIF($H$5:$H42,"x"))</f>
        <v/>
      </c>
      <c r="I147" s="3632" t="str">
        <f>IF(((COUNTIF($I$5:I42,"x"))-(COUNTIF($I$5:I41,"x")))=0,"",COUNTIF($I$5:I42,"x"))</f>
        <v/>
      </c>
      <c r="J147" s="3632" t="str">
        <f>IF(((COUNTIF($J$5:J42,"x"))-(COUNTIF($J$5:J41,"x")))=0,"",COUNTIF($J$5:J42,"x"))</f>
        <v/>
      </c>
      <c r="K147" s="3632" t="str">
        <f>IF(((COUNTIF($K$5:K42,"x"))-(COUNTIF($K$5:K41,"x")))=0,"",COUNTIF($K$5:K42,"x"))</f>
        <v/>
      </c>
      <c r="L147" s="3632" t="str">
        <f>IF(((COUNTIF($L$5:L42,"x"))-(COUNTIF($L$5:L41,"x")))=0,"",COUNTIF($L$5:L42,"x"))</f>
        <v/>
      </c>
      <c r="M147" s="3632" t="str">
        <f>IF(((COUNTIF($M$5:M42,"x"))-(COUNTIF($M$5:M41,"x")))=0,"",COUNTIF($M$5:M42,"x"))</f>
        <v/>
      </c>
      <c r="N147" s="3632" t="str">
        <f>IF(((COUNTIF($N$5:N42,"x"))-(COUNTIF($N$5:N41,"x")))=0,"",COUNTIF($N$5:N42,"x"))</f>
        <v/>
      </c>
      <c r="O147" s="3632" t="str">
        <f>IF(((COUNTIF($O$5:O42,"x"))-(COUNTIF($O$5:O41,"x")))=0,"",COUNTIF($O$5:O42,"x"))</f>
        <v/>
      </c>
      <c r="P147" s="3632" t="str">
        <f>IF(((COUNTIF($P$5:P42,"x"))-(COUNTIF($P$5:P41,"x")))=0,"",COUNTIF($P$5:P42,"x"))</f>
        <v/>
      </c>
      <c r="Q147" s="3632" t="str">
        <f>IF(((COUNTIF($Q$5:Q42,"x"))-(COUNTIF($Q$5:Q41,"x")))=0,"",COUNTIF($Q$5:Q42,"x"))</f>
        <v/>
      </c>
      <c r="R147" s="3632">
        <f>IF(((COUNTIF($R$5:R42,"x"))-(COUNTIF($R$5:R41,"x")))=0,"",COUNTIF($R$5:R42,"x"))</f>
        <v>6</v>
      </c>
      <c r="S147" s="3632" t="str">
        <f>IF(((COUNTIF($S$5:S42,"x"))-(COUNTIF($S$5:S41,"x")))=0,"",COUNTIF($S$5:S42,"x"))</f>
        <v/>
      </c>
      <c r="T147" s="3632" t="str">
        <f>IF(((COUNTIF($T$5:T42,"x"))-(COUNTIF($T$5:T41,"x")))=0,"",COUNTIF($T$5:T42,"x"))</f>
        <v/>
      </c>
      <c r="U147" s="3632" t="str">
        <f>IF(((COUNTIF($U$5:U42,"x"))-(COUNTIF($U$5:U41,"x")))=0,"",COUNTIF($U$5:U42,"x"))</f>
        <v/>
      </c>
      <c r="V147" s="3632">
        <f>IF(((COUNTIF($V$5:V42,"x"))-(COUNTIF($V$5:V41,"x")))=0,"",COUNTIF($V$5:V42,"x"))</f>
        <v>4</v>
      </c>
      <c r="W147" s="3632" t="str">
        <f>IF(((COUNTIF($W$5:W42,"x"))-(COUNTIF($W$5:W41,"x")))=0,"",COUNTIF($W$5:W42,"x"))</f>
        <v/>
      </c>
      <c r="X147" s="3632" t="str">
        <f>IF(((COUNTIF($X$5:X42,"x"))-(COUNTIF($X$5:X41,"x")))=0,"",COUNTIF($X$5:X42,"x"))</f>
        <v/>
      </c>
      <c r="Y147" s="3632" t="str">
        <f>IF(((COUNTIF($Y$5:Y42,"x"))-(COUNTIF($Y$5:Y41,"x")))=0,"",COUNTIF($Y$5:Y42,"x"))</f>
        <v/>
      </c>
      <c r="Z147" s="3632" t="str">
        <f>IF(((COUNTIF($Z$5:Z42,"x"))-(COUNTIF($Z$5:Z41,"x")))=0,"",COUNTIF($Z$5:Z42,"x"))</f>
        <v/>
      </c>
      <c r="AA147" s="3632" t="str">
        <f>IF(((COUNTIF($AA$5:AA42,"x"))-(COUNTIF($AA$5:AA41,"x")))=0,"",COUNTIF($AA$5:AA42,"x"))</f>
        <v/>
      </c>
      <c r="AB147" s="3632" t="str">
        <f>IF(((COUNTIF($AB$5:AB42,"x"))-(COUNTIF($AB$5:AB41,"x")))=0,"",COUNTIF($AB$5:AB42,"x"))</f>
        <v/>
      </c>
      <c r="AC147" s="3632" t="str">
        <f>IF(((COUNTIF($AC$5:AC42,"x"))-(COUNTIF($AC$5:AC41,"x")))=0,"",COUNTIF($AC$5:AC42,"x"))</f>
        <v/>
      </c>
      <c r="AD147" s="3632">
        <f>IF(((COUNTIF($AD$5:AD42,"x"))-(COUNTIF($AD$5:AD41,"x")))=0,"",COUNTIF($AD$5:AD42,"x"))</f>
        <v>31</v>
      </c>
      <c r="AE147" s="3632" t="str">
        <f>IF(((COUNTIF($AE$5:AE42,"x"))-(COUNTIF($AE$5:AE41,"x")))=0,"",COUNTIF($AE$5:AE42,"x"))</f>
        <v/>
      </c>
      <c r="AF147" s="3633" t="str">
        <f>IF(((COUNTIF($AF$5:AF42,"x"))-(COUNTIF($AF$5:AF41,"x")))=0,"",COUNTIF($AF$5:AF42,"x"))</f>
        <v/>
      </c>
      <c r="AG147" s="1518" t="str">
        <f t="shared" si="14"/>
        <v xml:space="preserve">Harmony SX </v>
      </c>
    </row>
    <row r="148" spans="2:33" ht="17.399999999999999" hidden="1">
      <c r="B148" s="1525">
        <f t="shared" si="15"/>
        <v>39</v>
      </c>
      <c r="C148" s="2658" t="s">
        <v>516</v>
      </c>
      <c r="D148" s="3635"/>
      <c r="E148" s="2695"/>
      <c r="F148" s="3631">
        <f>IF(((COUNTIF($F$5:$F43,"x"))-(COUNTIF($F$5:$F42,"x")))=0,"",COUNTIF($F$5:$F43,"x"))</f>
        <v>14</v>
      </c>
      <c r="G148" s="3632">
        <f>IF(((COUNTIF($G$5:$G43,"x"))-(COUNTIF($G$5:$G42,"x")))=0,"",COUNTIF($G$5:$G43,"x"))</f>
        <v>11</v>
      </c>
      <c r="H148" s="3632">
        <f>IF(((COUNTIF($H$5:$H43,"x"))-(COUNTIF($H$5:$H42,"x")))=0,"",COUNTIF($H$5:$H43,"x"))</f>
        <v>14</v>
      </c>
      <c r="I148" s="3632">
        <f>IF(((COUNTIF($I$5:I43,"x"))-(COUNTIF($I$5:I42,"x")))=0,"",COUNTIF($I$5:I43,"x"))</f>
        <v>12</v>
      </c>
      <c r="J148" s="3632">
        <f>IF(((COUNTIF($J$5:J43,"x"))-(COUNTIF($J$5:J42,"x")))=0,"",COUNTIF($J$5:J43,"x"))</f>
        <v>11</v>
      </c>
      <c r="K148" s="3632" t="str">
        <f>IF(((COUNTIF($K$5:K43,"x"))-(COUNTIF($K$5:K42,"x")))=0,"",COUNTIF($K$5:K43,"x"))</f>
        <v/>
      </c>
      <c r="L148" s="3632" t="str">
        <f>IF(((COUNTIF($L$5:L43,"x"))-(COUNTIF($L$5:L42,"x")))=0,"",COUNTIF($L$5:L43,"x"))</f>
        <v/>
      </c>
      <c r="M148" s="3632" t="str">
        <f>IF(((COUNTIF($M$5:M43,"x"))-(COUNTIF($M$5:M42,"x")))=0,"",COUNTIF($M$5:M43,"x"))</f>
        <v/>
      </c>
      <c r="N148" s="3632" t="str">
        <f>IF(((COUNTIF($N$5:N43,"x"))-(COUNTIF($N$5:N42,"x")))=0,"",COUNTIF($N$5:N43,"x"))</f>
        <v/>
      </c>
      <c r="O148" s="3632" t="str">
        <f>IF(((COUNTIF($O$5:O43,"x"))-(COUNTIF($O$5:O42,"x")))=0,"",COUNTIF($O$5:O43,"x"))</f>
        <v/>
      </c>
      <c r="P148" s="3632" t="str">
        <f>IF(((COUNTIF($P$5:P43,"x"))-(COUNTIF($P$5:P42,"x")))=0,"",COUNTIF($P$5:P43,"x"))</f>
        <v/>
      </c>
      <c r="Q148" s="3632" t="str">
        <f>IF(((COUNTIF($Q$5:Q43,"x"))-(COUNTIF($Q$5:Q42,"x")))=0,"",COUNTIF($Q$5:Q43,"x"))</f>
        <v/>
      </c>
      <c r="R148" s="3632" t="str">
        <f>IF(((COUNTIF($R$5:R43,"x"))-(COUNTIF($R$5:R42,"x")))=0,"",COUNTIF($R$5:R43,"x"))</f>
        <v/>
      </c>
      <c r="S148" s="3632" t="str">
        <f>IF(((COUNTIF($S$5:S43,"x"))-(COUNTIF($S$5:S42,"x")))=0,"",COUNTIF($S$5:S43,"x"))</f>
        <v/>
      </c>
      <c r="T148" s="3632" t="str">
        <f>IF(((COUNTIF($T$5:T43,"x"))-(COUNTIF($T$5:T42,"x")))=0,"",COUNTIF($T$5:T43,"x"))</f>
        <v/>
      </c>
      <c r="U148" s="3632" t="str">
        <f>IF(((COUNTIF($U$5:U43,"x"))-(COUNTIF($U$5:U42,"x")))=0,"",COUNTIF($U$5:U43,"x"))</f>
        <v/>
      </c>
      <c r="V148" s="3632" t="str">
        <f>IF(((COUNTIF($V$5:V43,"x"))-(COUNTIF($V$5:V42,"x")))=0,"",COUNTIF($V$5:V43,"x"))</f>
        <v/>
      </c>
      <c r="W148" s="3632" t="str">
        <f>IF(((COUNTIF($W$5:W43,"x"))-(COUNTIF($W$5:W42,"x")))=0,"",COUNTIF($W$5:W43,"x"))</f>
        <v/>
      </c>
      <c r="X148" s="3632" t="str">
        <f>IF(((COUNTIF($X$5:X43,"x"))-(COUNTIF($X$5:X42,"x")))=0,"",COUNTIF($X$5:X43,"x"))</f>
        <v/>
      </c>
      <c r="Y148" s="3632" t="str">
        <f>IF(((COUNTIF($Y$5:Y43,"x"))-(COUNTIF($Y$5:Y42,"x")))=0,"",COUNTIF($Y$5:Y43,"x"))</f>
        <v/>
      </c>
      <c r="Z148" s="3632" t="str">
        <f>IF(((COUNTIF($Z$5:Z43,"x"))-(COUNTIF($Z$5:Z42,"x")))=0,"",COUNTIF($Z$5:Z43,"x"))</f>
        <v/>
      </c>
      <c r="AA148" s="3632" t="str">
        <f>IF(((COUNTIF($AA$5:AA43,"x"))-(COUNTIF($AA$5:AA42,"x")))=0,"",COUNTIF($AA$5:AA43,"x"))</f>
        <v/>
      </c>
      <c r="AB148" s="3632" t="str">
        <f>IF(((COUNTIF($AB$5:AB43,"x"))-(COUNTIF($AB$5:AB42,"x")))=0,"",COUNTIF($AB$5:AB43,"x"))</f>
        <v/>
      </c>
      <c r="AC148" s="3632" t="str">
        <f>IF(((COUNTIF($AC$5:AC43,"x"))-(COUNTIF($AC$5:AC42,"x")))=0,"",COUNTIF($AC$5:AC43,"x"))</f>
        <v/>
      </c>
      <c r="AD148" s="3632">
        <f>IF(((COUNTIF($AD$5:AD43,"x"))-(COUNTIF($AD$5:AD42,"x")))=0,"",COUNTIF($AD$5:AD43,"x"))</f>
        <v>32</v>
      </c>
      <c r="AE148" s="3632" t="str">
        <f>IF(((COUNTIF($AE$5:AE43,"x"))-(COUNTIF($AE$5:AE42,"x")))=0,"",COUNTIF($AE$5:AE43,"x"))</f>
        <v/>
      </c>
      <c r="AF148" s="3633" t="str">
        <f>IF(((COUNTIF($AF$5:AF43,"x"))-(COUNTIF($AF$5:AF42,"x")))=0,"",COUNTIF($AF$5:AF43,"x"))</f>
        <v/>
      </c>
      <c r="AG148" s="1518" t="str">
        <f t="shared" si="14"/>
        <v>Herold SC</v>
      </c>
    </row>
    <row r="149" spans="2:33" ht="17.399999999999999" hidden="1">
      <c r="B149" s="1525">
        <f t="shared" si="15"/>
        <v>40</v>
      </c>
      <c r="C149" s="2658" t="s">
        <v>515</v>
      </c>
      <c r="D149" s="3635"/>
      <c r="E149" s="2695"/>
      <c r="F149" s="3631">
        <f>IF(((COUNTIF($F$5:$F44,"x"))-(COUNTIF($F$5:$F43,"x")))=0,"",COUNTIF($F$5:$F44,"x"))</f>
        <v>15</v>
      </c>
      <c r="G149" s="3632" t="str">
        <f>IF(((COUNTIF($G$5:$G44,"x"))-(COUNTIF($G$5:$G43,"x")))=0,"",COUNTIF($G$5:$G44,"x"))</f>
        <v/>
      </c>
      <c r="H149" s="3632">
        <f>IF(((COUNTIF($H$5:$H44,"x"))-(COUNTIF($H$5:$H43,"x")))=0,"",COUNTIF($H$5:$H44,"x"))</f>
        <v>15</v>
      </c>
      <c r="I149" s="3632">
        <f>IF(((COUNTIF($I$5:I44,"x"))-(COUNTIF($I$5:I43,"x")))=0,"",COUNTIF($I$5:I44,"x"))</f>
        <v>13</v>
      </c>
      <c r="J149" s="3632">
        <f>IF(((COUNTIF($J$5:J44,"x"))-(COUNTIF($J$5:J43,"x")))=0,"",COUNTIF($J$5:J44,"x"))</f>
        <v>12</v>
      </c>
      <c r="K149" s="3632">
        <f>IF(((COUNTIF($K$5:K44,"x"))-(COUNTIF($K$5:K43,"x")))=0,"",COUNTIF($K$5:K44,"x"))</f>
        <v>11</v>
      </c>
      <c r="L149" s="3632">
        <f>IF(((COUNTIF($L$5:L44,"x"))-(COUNTIF($L$5:L43,"x")))=0,"",COUNTIF($L$5:L44,"x"))</f>
        <v>11</v>
      </c>
      <c r="M149" s="3632">
        <f>IF(((COUNTIF($M$5:M44,"x"))-(COUNTIF($M$5:M43,"x")))=0,"",COUNTIF($M$5:M44,"x"))</f>
        <v>11</v>
      </c>
      <c r="N149" s="3632" t="str">
        <f>IF(((COUNTIF($N$5:N44,"x"))-(COUNTIF($N$5:N43,"x")))=0,"",COUNTIF($N$5:N44,"x"))</f>
        <v/>
      </c>
      <c r="O149" s="3632">
        <f>IF(((COUNTIF($O$5:O44,"x"))-(COUNTIF($O$5:O43,"x")))=0,"",COUNTIF($O$5:O44,"x"))</f>
        <v>7</v>
      </c>
      <c r="P149" s="3632">
        <f>IF(((COUNTIF($P$5:P44,"x"))-(COUNTIF($P$5:P43,"x")))=0,"",COUNTIF($P$5:P44,"x"))</f>
        <v>4</v>
      </c>
      <c r="Q149" s="3632" t="str">
        <f>IF(((COUNTIF($Q$5:Q44,"x"))-(COUNTIF($Q$5:Q43,"x")))=0,"",COUNTIF($Q$5:Q44,"x"))</f>
        <v/>
      </c>
      <c r="R149" s="3632" t="str">
        <f>IF(((COUNTIF($R$5:R44,"x"))-(COUNTIF($R$5:R43,"x")))=0,"",COUNTIF($R$5:R44,"x"))</f>
        <v/>
      </c>
      <c r="S149" s="3632" t="str">
        <f>IF(((COUNTIF($S$5:S44,"x"))-(COUNTIF($S$5:S43,"x")))=0,"",COUNTIF($S$5:S44,"x"))</f>
        <v/>
      </c>
      <c r="T149" s="3632" t="str">
        <f>IF(((COUNTIF($T$5:T44,"x"))-(COUNTIF($T$5:T43,"x")))=0,"",COUNTIF($T$5:T44,"x"))</f>
        <v/>
      </c>
      <c r="U149" s="3632" t="str">
        <f>IF(((COUNTIF($U$5:U44,"x"))-(COUNTIF($U$5:U43,"x")))=0,"",COUNTIF($U$5:U44,"x"))</f>
        <v/>
      </c>
      <c r="V149" s="3632" t="str">
        <f>IF(((COUNTIF($V$5:V44,"x"))-(COUNTIF($V$5:V43,"x")))=0,"",COUNTIF($V$5:V44,"x"))</f>
        <v/>
      </c>
      <c r="W149" s="3632" t="str">
        <f>IF(((COUNTIF($W$5:W44,"x"))-(COUNTIF($W$5:W43,"x")))=0,"",COUNTIF($W$5:W44,"x"))</f>
        <v/>
      </c>
      <c r="X149" s="3632" t="str">
        <f>IF(((COUNTIF($X$5:X44,"x"))-(COUNTIF($X$5:X43,"x")))=0,"",COUNTIF($X$5:X44,"x"))</f>
        <v/>
      </c>
      <c r="Y149" s="3632" t="str">
        <f>IF(((COUNTIF($Y$5:Y44,"x"))-(COUNTIF($Y$5:Y43,"x")))=0,"",COUNTIF($Y$5:Y44,"x"))</f>
        <v/>
      </c>
      <c r="Z149" s="3632" t="str">
        <f>IF(((COUNTIF($Z$5:Z44,"x"))-(COUNTIF($Z$5:Z43,"x")))=0,"",COUNTIF($Z$5:Z44,"x"))</f>
        <v/>
      </c>
      <c r="AA149" s="3632" t="str">
        <f>IF(((COUNTIF($AA$5:AA44,"x"))-(COUNTIF($AA$5:AA43,"x")))=0,"",COUNTIF($AA$5:AA44,"x"))</f>
        <v/>
      </c>
      <c r="AB149" s="3632" t="str">
        <f>IF(((COUNTIF($AB$5:AB44,"x"))-(COUNTIF($AB$5:AB43,"x")))=0,"",COUNTIF($AB$5:AB44,"x"))</f>
        <v/>
      </c>
      <c r="AC149" s="3632" t="str">
        <f>IF(((COUNTIF($AC$5:AC44,"x"))-(COUNTIF($AC$5:AC43,"x")))=0,"",COUNTIF($AC$5:AC44,"x"))</f>
        <v/>
      </c>
      <c r="AD149" s="3632">
        <f>IF(((COUNTIF($AD$5:AD44,"x"))-(COUNTIF($AD$5:AD43,"x")))=0,"",COUNTIF($AD$5:AD44,"x"))</f>
        <v>33</v>
      </c>
      <c r="AE149" s="3632" t="str">
        <f>IF(((COUNTIF($AE$5:AE44,"x"))-(COUNTIF($AE$5:AE43,"x")))=0,"",COUNTIF($AE$5:AE44,"x"))</f>
        <v/>
      </c>
      <c r="AF149" s="3633" t="str">
        <f>IF(((COUNTIF($AF$5:AF44,"x"))-(COUNTIF($AF$5:AF43,"x")))=0,"",COUNTIF($AF$5:AF44,"x"))</f>
        <v/>
      </c>
      <c r="AG149" s="1518" t="str">
        <f t="shared" si="14"/>
        <v>Hoestar Super</v>
      </c>
    </row>
    <row r="150" spans="2:33" ht="17.399999999999999" hidden="1">
      <c r="B150" s="1525">
        <f t="shared" si="15"/>
        <v>41</v>
      </c>
      <c r="C150" s="2658" t="s">
        <v>514</v>
      </c>
      <c r="D150" s="3635"/>
      <c r="E150" s="2695"/>
      <c r="F150" s="3631" t="str">
        <f>IF(((COUNTIF($F$5:$F45,"x"))-(COUNTIF($F$5:$F44,"x")))=0,"",COUNTIF($F$5:$F45,"x"))</f>
        <v/>
      </c>
      <c r="G150" s="3632" t="str">
        <f>IF(((COUNTIF($G$5:$G45,"x"))-(COUNTIF($G$5:$G44,"x")))=0,"",COUNTIF($G$5:$G45,"x"))</f>
        <v/>
      </c>
      <c r="H150" s="3632" t="str">
        <f>IF(((COUNTIF($H$5:$H45,"x"))-(COUNTIF($H$5:$H44,"x")))=0,"",COUNTIF($H$5:$H45,"x"))</f>
        <v/>
      </c>
      <c r="I150" s="3632" t="str">
        <f>IF(((COUNTIF($I$5:I45,"x"))-(COUNTIF($I$5:I44,"x")))=0,"",COUNTIF($I$5:I45,"x"))</f>
        <v/>
      </c>
      <c r="J150" s="3632" t="str">
        <f>IF(((COUNTIF($J$5:J45,"x"))-(COUNTIF($J$5:J44,"x")))=0,"",COUNTIF($J$5:J45,"x"))</f>
        <v/>
      </c>
      <c r="K150" s="3632" t="str">
        <f>IF(((COUNTIF($K$5:K45,"x"))-(COUNTIF($K$5:K44,"x")))=0,"",COUNTIF($K$5:K45,"x"))</f>
        <v/>
      </c>
      <c r="L150" s="3632" t="str">
        <f>IF(((COUNTIF($L$5:L45,"x"))-(COUNTIF($L$5:L44,"x")))=0,"",COUNTIF($L$5:L45,"x"))</f>
        <v/>
      </c>
      <c r="M150" s="3632" t="str">
        <f>IF(((COUNTIF($M$5:M45,"x"))-(COUNTIF($M$5:M44,"x")))=0,"",COUNTIF($M$5:M45,"x"))</f>
        <v/>
      </c>
      <c r="N150" s="3632" t="str">
        <f>IF(((COUNTIF($N$5:N45,"x"))-(COUNTIF($N$5:N44,"x")))=0,"",COUNTIF($N$5:N45,"x"))</f>
        <v/>
      </c>
      <c r="O150" s="3632" t="str">
        <f>IF(((COUNTIF($O$5:O45,"x"))-(COUNTIF($O$5:O44,"x")))=0,"",COUNTIF($O$5:O45,"x"))</f>
        <v/>
      </c>
      <c r="P150" s="3632" t="str">
        <f>IF(((COUNTIF($P$5:P45,"x"))-(COUNTIF($P$5:P44,"x")))=0,"",COUNTIF($P$5:P45,"x"))</f>
        <v/>
      </c>
      <c r="Q150" s="3632" t="str">
        <f>IF(((COUNTIF($Q$5:Q45,"x"))-(COUNTIF($Q$5:Q44,"x")))=0,"",COUNTIF($Q$5:Q45,"x"))</f>
        <v/>
      </c>
      <c r="R150" s="3632" t="str">
        <f>IF(((COUNTIF($R$5:R45,"x"))-(COUNTIF($R$5:R44,"x")))=0,"",COUNTIF($R$5:R45,"x"))</f>
        <v/>
      </c>
      <c r="S150" s="3632" t="str">
        <f>IF(((COUNTIF($S$5:S45,"x"))-(COUNTIF($S$5:S44,"x")))=0,"",COUNTIF($S$5:S45,"x"))</f>
        <v/>
      </c>
      <c r="T150" s="3632" t="str">
        <f>IF(((COUNTIF($T$5:T45,"x"))-(COUNTIF($T$5:T44,"x")))=0,"",COUNTIF($T$5:T45,"x"))</f>
        <v/>
      </c>
      <c r="U150" s="3632" t="str">
        <f>IF(((COUNTIF($U$5:U45,"x"))-(COUNTIF($U$5:U44,"x")))=0,"",COUNTIF($U$5:U45,"x"))</f>
        <v/>
      </c>
      <c r="V150" s="3632" t="str">
        <f>IF(((COUNTIF($V$5:V45,"x"))-(COUNTIF($V$5:V44,"x")))=0,"",COUNTIF($V$5:V45,"x"))</f>
        <v/>
      </c>
      <c r="W150" s="3632" t="str">
        <f>IF(((COUNTIF($W$5:W45,"x"))-(COUNTIF($W$5:W44,"x")))=0,"",COUNTIF($W$5:W45,"x"))</f>
        <v/>
      </c>
      <c r="X150" s="3632" t="str">
        <f>IF(((COUNTIF($X$5:X45,"x"))-(COUNTIF($X$5:X44,"x")))=0,"",COUNTIF($X$5:X45,"x"))</f>
        <v/>
      </c>
      <c r="Y150" s="3632" t="str">
        <f>IF(((COUNTIF($Y$5:Y45,"x"))-(COUNTIF($Y$5:Y44,"x")))=0,"",COUNTIF($Y$5:Y45,"x"))</f>
        <v/>
      </c>
      <c r="Z150" s="3632" t="str">
        <f>IF(((COUNTIF($Z$5:Z45,"x"))-(COUNTIF($Z$5:Z44,"x")))=0,"",COUNTIF($Z$5:Z45,"x"))</f>
        <v/>
      </c>
      <c r="AA150" s="3632" t="str">
        <f>IF(((COUNTIF($AA$5:AA45,"x"))-(COUNTIF($AA$5:AA44,"x")))=0,"",COUNTIF($AA$5:AA45,"x"))</f>
        <v/>
      </c>
      <c r="AB150" s="3632">
        <f>IF(((COUNTIF($AB$5:AB45,"x"))-(COUNTIF($AB$5:AB44,"x")))=0,"",COUNTIF($AB$5:AB45,"x"))</f>
        <v>8</v>
      </c>
      <c r="AC150" s="3632" t="str">
        <f>IF(((COUNTIF($AC$5:AC45,"x"))-(COUNTIF($AC$5:AC44,"x")))=0,"",COUNTIF($AC$5:AC45,"x"))</f>
        <v/>
      </c>
      <c r="AD150" s="3632">
        <f>IF(((COUNTIF($AD$5:AD45,"x"))-(COUNTIF($AD$5:AD44,"x")))=0,"",COUNTIF($AD$5:AD45,"x"))</f>
        <v>34</v>
      </c>
      <c r="AE150" s="3632" t="str">
        <f>IF(((COUNTIF($AE$5:AE45,"x"))-(COUNTIF($AE$5:AE44,"x")))=0,"",COUNTIF($AE$5:AE45,"x"))</f>
        <v/>
      </c>
      <c r="AF150" s="3633" t="str">
        <f>IF(((COUNTIF($AF$5:AF45,"x"))-(COUNTIF($AF$5:AF44,"x")))=0,"",COUNTIF($AF$5:AF45,"x"))</f>
        <v/>
      </c>
      <c r="AG150" s="1518" t="str">
        <f t="shared" si="14"/>
        <v>Infinito</v>
      </c>
    </row>
    <row r="151" spans="2:33" ht="17.399999999999999" hidden="1">
      <c r="B151" s="1525">
        <f t="shared" si="15"/>
        <v>42</v>
      </c>
      <c r="C151" s="2658" t="s">
        <v>513</v>
      </c>
      <c r="D151" s="3635"/>
      <c r="E151" s="2695"/>
      <c r="F151" s="3631">
        <f>IF(((COUNTIF($F$5:$F46,"x"))-(COUNTIF($F$5:$F45,"x")))=0,"",COUNTIF($F$5:$F46,"x"))</f>
        <v>16</v>
      </c>
      <c r="G151" s="3632">
        <f>IF(((COUNTIF($G$5:$G46,"x"))-(COUNTIF($G$5:$G45,"x")))=0,"",COUNTIF($G$5:$G46,"x"))</f>
        <v>12</v>
      </c>
      <c r="H151" s="3632">
        <f>IF(((COUNTIF($H$5:$H46,"x"))-(COUNTIF($H$5:$H45,"x")))=0,"",COUNTIF($H$5:$H46,"x"))</f>
        <v>16</v>
      </c>
      <c r="I151" s="3632">
        <f>IF(((COUNTIF($I$5:I46,"x"))-(COUNTIF($I$5:I45,"x")))=0,"",COUNTIF($I$5:I46,"x"))</f>
        <v>14</v>
      </c>
      <c r="J151" s="3632">
        <f>IF(((COUNTIF($J$5:J46,"x"))-(COUNTIF($J$5:J45,"x")))=0,"",COUNTIF($J$5:J46,"x"))</f>
        <v>13</v>
      </c>
      <c r="K151" s="3632">
        <f>IF(((COUNTIF($K$5:K46,"x"))-(COUNTIF($K$5:K45,"x")))=0,"",COUNTIF($K$5:K46,"x"))</f>
        <v>12</v>
      </c>
      <c r="L151" s="3632">
        <f>IF(((COUNTIF($L$5:L46,"x"))-(COUNTIF($L$5:L45,"x")))=0,"",COUNTIF($L$5:L46,"x"))</f>
        <v>12</v>
      </c>
      <c r="M151" s="3632">
        <f>IF(((COUNTIF($M$5:M46,"x"))-(COUNTIF($M$5:M45,"x")))=0,"",COUNTIF($M$5:M46,"x"))</f>
        <v>12</v>
      </c>
      <c r="N151" s="3632" t="str">
        <f>IF(((COUNTIF($N$5:N46,"x"))-(COUNTIF($N$5:N45,"x")))=0,"",COUNTIF($N$5:N46,"x"))</f>
        <v/>
      </c>
      <c r="O151" s="3632">
        <f>IF(((COUNTIF($O$5:O46,"x"))-(COUNTIF($O$5:O45,"x")))=0,"",COUNTIF($O$5:O46,"x"))</f>
        <v>8</v>
      </c>
      <c r="P151" s="3632">
        <f>IF(((COUNTIF($P$5:P46,"x"))-(COUNTIF($P$5:P45,"x")))=0,"",COUNTIF($P$5:P46,"x"))</f>
        <v>5</v>
      </c>
      <c r="Q151" s="3632" t="str">
        <f>IF(((COUNTIF($Q$5:Q46,"x"))-(COUNTIF($Q$5:Q45,"x")))=0,"",COUNTIF($Q$5:Q46,"x"))</f>
        <v/>
      </c>
      <c r="R151" s="3632" t="str">
        <f>IF(((COUNTIF($R$5:R46,"x"))-(COUNTIF($R$5:R45,"x")))=0,"",COUNTIF($R$5:R46,"x"))</f>
        <v/>
      </c>
      <c r="S151" s="3632" t="str">
        <f>IF(((COUNTIF($S$5:S46,"x"))-(COUNTIF($S$5:S45,"x")))=0,"",COUNTIF($S$5:S46,"x"))</f>
        <v/>
      </c>
      <c r="T151" s="3632" t="str">
        <f>IF(((COUNTIF($T$5:T46,"x"))-(COUNTIF($T$5:T45,"x")))=0,"",COUNTIF($T$5:T46,"x"))</f>
        <v/>
      </c>
      <c r="U151" s="3632" t="str">
        <f>IF(((COUNTIF($U$5:U46,"x"))-(COUNTIF($U$5:U45,"x")))=0,"",COUNTIF($U$5:U46,"x"))</f>
        <v/>
      </c>
      <c r="V151" s="3632" t="str">
        <f>IF(((COUNTIF($V$5:V46,"x"))-(COUNTIF($V$5:V45,"x")))=0,"",COUNTIF($V$5:V46,"x"))</f>
        <v/>
      </c>
      <c r="W151" s="3632" t="str">
        <f>IF(((COUNTIF($W$5:W46,"x"))-(COUNTIF($W$5:W45,"x")))=0,"",COUNTIF($W$5:W46,"x"))</f>
        <v/>
      </c>
      <c r="X151" s="3632" t="str">
        <f>IF(((COUNTIF($X$5:X46,"x"))-(COUNTIF($X$5:X45,"x")))=0,"",COUNTIF($X$5:X46,"x"))</f>
        <v/>
      </c>
      <c r="Y151" s="3632" t="str">
        <f>IF(((COUNTIF($Y$5:Y46,"x"))-(COUNTIF($Y$5:Y45,"x")))=0,"",COUNTIF($Y$5:Y46,"x"))</f>
        <v/>
      </c>
      <c r="Z151" s="3632" t="str">
        <f>IF(((COUNTIF($Z$5:Z46,"x"))-(COUNTIF($Z$5:Z45,"x")))=0,"",COUNTIF($Z$5:Z46,"x"))</f>
        <v/>
      </c>
      <c r="AA151" s="3632" t="str">
        <f>IF(((COUNTIF($AA$5:AA46,"x"))-(COUNTIF($AA$5:AA45,"x")))=0,"",COUNTIF($AA$5:AA46,"x"))</f>
        <v/>
      </c>
      <c r="AB151" s="3632" t="str">
        <f>IF(((COUNTIF($AB$5:AB46,"x"))-(COUNTIF($AB$5:AB45,"x")))=0,"",COUNTIF($AB$5:AB46,"x"))</f>
        <v/>
      </c>
      <c r="AC151" s="3632" t="str">
        <f>IF(((COUNTIF($AC$5:AC46,"x"))-(COUNTIF($AC$5:AC45,"x")))=0,"",COUNTIF($AC$5:AC46,"x"))</f>
        <v/>
      </c>
      <c r="AD151" s="3632">
        <f>IF(((COUNTIF($AD$5:AD46,"x"))-(COUNTIF($AD$5:AD45,"x")))=0,"",COUNTIF($AD$5:AD46,"x"))</f>
        <v>35</v>
      </c>
      <c r="AE151" s="3632" t="str">
        <f>IF(((COUNTIF($AE$5:AE46,"x"))-(COUNTIF($AE$5:AE45,"x")))=0,"",COUNTIF($AE$5:AE46,"x"))</f>
        <v/>
      </c>
      <c r="AF151" s="3633" t="str">
        <f>IF(((COUNTIF($AF$5:AF46,"x"))-(COUNTIF($AF$5:AF45,"x")))=0,"",COUNTIF($AF$5:AF46,"x"))</f>
        <v/>
      </c>
      <c r="AG151" s="1518" t="str">
        <f t="shared" si="14"/>
        <v>Input Classic</v>
      </c>
    </row>
    <row r="152" spans="2:33" ht="17.399999999999999" hidden="1">
      <c r="B152" s="1525">
        <f t="shared" si="15"/>
        <v>43</v>
      </c>
      <c r="C152" s="2658" t="s">
        <v>512</v>
      </c>
      <c r="D152" s="3635"/>
      <c r="E152" s="2695"/>
      <c r="F152" s="3631">
        <f>IF(((COUNTIF($F$5:$F47,"x"))-(COUNTIF($F$5:$F46,"x")))=0,"",COUNTIF($F$5:$F47,"x"))</f>
        <v>17</v>
      </c>
      <c r="G152" s="3632">
        <f>IF(((COUNTIF($G$5:$G47,"x"))-(COUNTIF($G$5:$G46,"x")))=0,"",COUNTIF($G$5:$G47,"x"))</f>
        <v>13</v>
      </c>
      <c r="H152" s="3632">
        <f>IF(((COUNTIF($H$5:$H47,"x"))-(COUNTIF($H$5:$H46,"x")))=0,"",COUNTIF($H$5:$H47,"x"))</f>
        <v>17</v>
      </c>
      <c r="I152" s="3632">
        <f>IF(((COUNTIF($I$5:I47,"x"))-(COUNTIF($I$5:I46,"x")))=0,"",COUNTIF($I$5:I47,"x"))</f>
        <v>15</v>
      </c>
      <c r="J152" s="3632">
        <f>IF(((COUNTIF($J$5:J47,"x"))-(COUNTIF($J$5:J46,"x")))=0,"",COUNTIF($J$5:J47,"x"))</f>
        <v>14</v>
      </c>
      <c r="K152" s="3632">
        <f>IF(((COUNTIF($K$5:K47,"x"))-(COUNTIF($K$5:K46,"x")))=0,"",COUNTIF($K$5:K47,"x"))</f>
        <v>13</v>
      </c>
      <c r="L152" s="3632">
        <f>IF(((COUNTIF($L$5:L47,"x"))-(COUNTIF($L$5:L46,"x")))=0,"",COUNTIF($L$5:L47,"x"))</f>
        <v>13</v>
      </c>
      <c r="M152" s="3632">
        <f>IF(((COUNTIF($M$5:M47,"x"))-(COUNTIF($M$5:M46,"x")))=0,"",COUNTIF($M$5:M47,"x"))</f>
        <v>13</v>
      </c>
      <c r="N152" s="3632" t="str">
        <f>IF(((COUNTIF($N$5:N47,"x"))-(COUNTIF($N$5:N46,"x")))=0,"",COUNTIF($N$5:N47,"x"))</f>
        <v/>
      </c>
      <c r="O152" s="3632">
        <f>IF(((COUNTIF($O$5:O47,"x"))-(COUNTIF($O$5:O46,"x")))=0,"",COUNTIF($O$5:O47,"x"))</f>
        <v>9</v>
      </c>
      <c r="P152" s="3632">
        <f>IF(((COUNTIF($P$5:P47,"x"))-(COUNTIF($P$5:P46,"x")))=0,"",COUNTIF($P$5:P47,"x"))</f>
        <v>6</v>
      </c>
      <c r="Q152" s="3632" t="str">
        <f>IF(((COUNTIF($Q$5:Q47,"x"))-(COUNTIF($Q$5:Q46,"x")))=0,"",COUNTIF($Q$5:Q47,"x"))</f>
        <v/>
      </c>
      <c r="R152" s="3632" t="str">
        <f>IF(((COUNTIF($R$5:R47,"x"))-(COUNTIF($R$5:R46,"x")))=0,"",COUNTIF($R$5:R47,"x"))</f>
        <v/>
      </c>
      <c r="S152" s="3632" t="str">
        <f>IF(((COUNTIF($S$5:S47,"x"))-(COUNTIF($S$5:S46,"x")))=0,"",COUNTIF($S$5:S47,"x"))</f>
        <v/>
      </c>
      <c r="T152" s="3632" t="str">
        <f>IF(((COUNTIF($T$5:T47,"x"))-(COUNTIF($T$5:T46,"x")))=0,"",COUNTIF($T$5:T47,"x"))</f>
        <v/>
      </c>
      <c r="U152" s="3632" t="str">
        <f>IF(((COUNTIF($U$5:U47,"x"))-(COUNTIF($U$5:U46,"x")))=0,"",COUNTIF($U$5:U47,"x"))</f>
        <v/>
      </c>
      <c r="V152" s="3632" t="str">
        <f>IF(((COUNTIF($V$5:V47,"x"))-(COUNTIF($V$5:V46,"x")))=0,"",COUNTIF($V$5:V47,"x"))</f>
        <v/>
      </c>
      <c r="W152" s="3632" t="str">
        <f>IF(((COUNTIF($W$5:W47,"x"))-(COUNTIF($W$5:W46,"x")))=0,"",COUNTIF($W$5:W47,"x"))</f>
        <v/>
      </c>
      <c r="X152" s="3632" t="str">
        <f>IF(((COUNTIF($X$5:X47,"x"))-(COUNTIF($X$5:X46,"x")))=0,"",COUNTIF($X$5:X47,"x"))</f>
        <v/>
      </c>
      <c r="Y152" s="3632" t="str">
        <f>IF(((COUNTIF($Y$5:Y47,"x"))-(COUNTIF($Y$5:Y46,"x")))=0,"",COUNTIF($Y$5:Y47,"x"))</f>
        <v/>
      </c>
      <c r="Z152" s="3632" t="str">
        <f>IF(((COUNTIF($Z$5:Z47,"x"))-(COUNTIF($Z$5:Z46,"x")))=0,"",COUNTIF($Z$5:Z47,"x"))</f>
        <v/>
      </c>
      <c r="AA152" s="3632" t="str">
        <f>IF(((COUNTIF($AA$5:AA47,"x"))-(COUNTIF($AA$5:AA46,"x")))=0,"",COUNTIF($AA$5:AA47,"x"))</f>
        <v/>
      </c>
      <c r="AB152" s="3632" t="str">
        <f>IF(((COUNTIF($AB$5:AB47,"x"))-(COUNTIF($AB$5:AB46,"x")))=0,"",COUNTIF($AB$5:AB47,"x"))</f>
        <v/>
      </c>
      <c r="AC152" s="3632" t="str">
        <f>IF(((COUNTIF($AC$5:AC47,"x"))-(COUNTIF($AC$5:AC46,"x")))=0,"",COUNTIF($AC$5:AC47,"x"))</f>
        <v/>
      </c>
      <c r="AD152" s="3632">
        <f>IF(((COUNTIF($AD$5:AD47,"x"))-(COUNTIF($AD$5:AD46,"x")))=0,"",COUNTIF($AD$5:AD47,"x"))</f>
        <v>36</v>
      </c>
      <c r="AE152" s="3632" t="str">
        <f>IF(((COUNTIF($AE$5:AE47,"x"))-(COUNTIF($AE$5:AE46,"x")))=0,"",COUNTIF($AE$5:AE47,"x"))</f>
        <v/>
      </c>
      <c r="AF152" s="3633" t="str">
        <f>IF(((COUNTIF($AF$5:AF47,"x"))-(COUNTIF($AF$5:AF46,"x")))=0,"",COUNTIF($AF$5:AF47,"x"))</f>
        <v/>
      </c>
      <c r="AG152" s="1518" t="str">
        <f t="shared" si="14"/>
        <v>Input Xpro</v>
      </c>
    </row>
    <row r="153" spans="2:33" ht="17.399999999999999" hidden="1">
      <c r="B153" s="1525">
        <f t="shared" si="15"/>
        <v>44</v>
      </c>
      <c r="C153" s="2658" t="s">
        <v>1500</v>
      </c>
      <c r="D153" s="3635"/>
      <c r="E153" s="2695"/>
      <c r="F153" s="3631" t="str">
        <f>IF(((COUNTIF($F$5:$F48,"x"))-(COUNTIF($F$5:$F47,"x")))=0,"",COUNTIF($F$5:$F48,"x"))</f>
        <v/>
      </c>
      <c r="G153" s="3632" t="str">
        <f>IF(((COUNTIF($G$5:$G48,"x"))-(COUNTIF($G$5:$G47,"x")))=0,"",COUNTIF($G$5:$G48,"x"))</f>
        <v/>
      </c>
      <c r="H153" s="3632" t="str">
        <f>IF(((COUNTIF($H$5:$H48,"x"))-(COUNTIF($H$5:$H47,"x")))=0,"",COUNTIF($H$5:$H48,"x"))</f>
        <v/>
      </c>
      <c r="I153" s="3632" t="str">
        <f>IF(((COUNTIF($I$5:I48,"x"))-(COUNTIF($I$5:I47,"x")))=0,"",COUNTIF($I$5:I48,"x"))</f>
        <v/>
      </c>
      <c r="J153" s="3632" t="str">
        <f>IF(((COUNTIF($J$5:J48,"x"))-(COUNTIF($J$5:J47,"x")))=0,"",COUNTIF($J$5:J48,"x"))</f>
        <v/>
      </c>
      <c r="K153" s="3632" t="str">
        <f>IF(((COUNTIF($K$5:K48,"x"))-(COUNTIF($K$5:K47,"x")))=0,"",COUNTIF($K$5:K48,"x"))</f>
        <v/>
      </c>
      <c r="L153" s="3632" t="str">
        <f>IF(((COUNTIF($L$5:L48,"x"))-(COUNTIF($L$5:L47,"x")))=0,"",COUNTIF($L$5:L48,"x"))</f>
        <v/>
      </c>
      <c r="M153" s="3632" t="str">
        <f>IF(((COUNTIF($M$5:M48,"x"))-(COUNTIF($M$5:M47,"x")))=0,"",COUNTIF($M$5:M48,"x"))</f>
        <v/>
      </c>
      <c r="N153" s="3632" t="str">
        <f>IF(((COUNTIF($N$5:N48,"x"))-(COUNTIF($N$5:N47,"x")))=0,"",COUNTIF($N$5:N48,"x"))</f>
        <v/>
      </c>
      <c r="O153" s="3632" t="str">
        <f>IF(((COUNTIF($O$5:O48,"x"))-(COUNTIF($O$5:O47,"x")))=0,"",COUNTIF($O$5:O48,"x"))</f>
        <v/>
      </c>
      <c r="P153" s="3632" t="str">
        <f>IF(((COUNTIF($P$5:P48,"x"))-(COUNTIF($P$5:P47,"x")))=0,"",COUNTIF($P$5:P48,"x"))</f>
        <v/>
      </c>
      <c r="Q153" s="3632" t="str">
        <f>IF(((COUNTIF($Q$5:Q48,"x"))-(COUNTIF($Q$5:Q47,"x")))=0,"",COUNTIF($Q$5:Q48,"x"))</f>
        <v/>
      </c>
      <c r="R153" s="3632" t="str">
        <f>IF(((COUNTIF($R$5:R48,"x"))-(COUNTIF($R$5:R47,"x")))=0,"",COUNTIF($R$5:R48,"x"))</f>
        <v/>
      </c>
      <c r="S153" s="3632" t="str">
        <f>IF(((COUNTIF($S$5:S48,"x"))-(COUNTIF($S$5:S47,"x")))=0,"",COUNTIF($S$5:S48,"x"))</f>
        <v/>
      </c>
      <c r="T153" s="3632" t="str">
        <f>IF(((COUNTIF($T$5:T48,"x"))-(COUNTIF($T$5:T47,"x")))=0,"",COUNTIF($T$5:T48,"x"))</f>
        <v/>
      </c>
      <c r="U153" s="3632" t="str">
        <f>IF(((COUNTIF($U$5:U48,"x"))-(COUNTIF($U$5:U47,"x")))=0,"",COUNTIF($U$5:U48,"x"))</f>
        <v/>
      </c>
      <c r="V153" s="3632" t="str">
        <f>IF(((COUNTIF($V$5:V48,"x"))-(COUNTIF($V$5:V47,"x")))=0,"",COUNTIF($V$5:V48,"x"))</f>
        <v/>
      </c>
      <c r="W153" s="3632" t="str">
        <f>IF(((COUNTIF($W$5:W48,"x"))-(COUNTIF($W$5:W47,"x")))=0,"",COUNTIF($W$5:W48,"x"))</f>
        <v/>
      </c>
      <c r="X153" s="3632" t="str">
        <f>IF(((COUNTIF($X$5:X48,"x"))-(COUNTIF($X$5:X47,"x")))=0,"",COUNTIF($X$5:X48,"x"))</f>
        <v/>
      </c>
      <c r="Y153" s="3632" t="str">
        <f>IF(((COUNTIF($Y$5:Y48,"x"))-(COUNTIF($Y$5:Y47,"x")))=0,"",COUNTIF($Y$5:Y48,"x"))</f>
        <v/>
      </c>
      <c r="Z153" s="3632" t="str">
        <f>IF(((COUNTIF($Z$5:Z48,"x"))-(COUNTIF($Z$5:Z47,"x")))=0,"",COUNTIF($Z$5:Z48,"x"))</f>
        <v/>
      </c>
      <c r="AA153" s="3632">
        <f>IF(((COUNTIF($AA$5:AA48,"x"))-(COUNTIF($AA$5:AA47,"x")))=0,"",COUNTIF($AA$5:AA48,"x"))</f>
        <v>8</v>
      </c>
      <c r="AB153" s="3632" t="str">
        <f>IF(((COUNTIF($AB$5:AB48,"x"))-(COUNTIF($AB$5:AB47,"x")))=0,"",COUNTIF($AB$5:AB48,"x"))</f>
        <v/>
      </c>
      <c r="AC153" s="3632" t="str">
        <f>IF(((COUNTIF($AC$5:AC48,"x"))-(COUNTIF($AC$5:AC47,"x")))=0,"",COUNTIF($AC$5:AC48,"x"))</f>
        <v/>
      </c>
      <c r="AD153" s="3632">
        <f>IF(((COUNTIF($AD$5:AD48,"x"))-(COUNTIF($AD$5:AD47,"x")))=0,"",COUNTIF($AD$5:AD48,"x"))</f>
        <v>37</v>
      </c>
      <c r="AE153" s="3632" t="str">
        <f>IF(((COUNTIF($AE$5:AE48,"x"))-(COUNTIF($AE$5:AE47,"x")))=0,"",COUNTIF($AE$5:AE48,"x"))</f>
        <v/>
      </c>
      <c r="AF153" s="3633" t="str">
        <f>IF(((COUNTIF($AF$5:AF48,"x"))-(COUNTIF($AF$5:AF47,"x")))=0,"",COUNTIF($AF$5:AF48,"x"))</f>
        <v/>
      </c>
      <c r="AG153" s="1518" t="str">
        <f t="shared" si="14"/>
        <v>Metafol SC</v>
      </c>
    </row>
    <row r="154" spans="2:33" ht="17.399999999999999" hidden="1">
      <c r="B154" s="1525">
        <f t="shared" si="15"/>
        <v>45</v>
      </c>
      <c r="C154" s="2658" t="s">
        <v>510</v>
      </c>
      <c r="D154" s="3635"/>
      <c r="E154" s="2695"/>
      <c r="F154" s="3631">
        <f>IF(((COUNTIF($F$5:$F49,"x"))-(COUNTIF($F$5:$F48,"x")))=0,"",COUNTIF($F$5:$F49,"x"))</f>
        <v>18</v>
      </c>
      <c r="G154" s="3632">
        <f>IF(((COUNTIF($G$5:$G49,"x"))-(COUNTIF($G$5:$G48,"x")))=0,"",COUNTIF($G$5:$G49,"x"))</f>
        <v>14</v>
      </c>
      <c r="H154" s="3632">
        <f>IF(((COUNTIF($H$5:$H49,"x"))-(COUNTIF($H$5:$H48,"x")))=0,"",COUNTIF($H$5:$H49,"x"))</f>
        <v>18</v>
      </c>
      <c r="I154" s="3632">
        <f>IF(((COUNTIF($I$5:I49,"x"))-(COUNTIF($I$5:I48,"x")))=0,"",COUNTIF($I$5:I49,"x"))</f>
        <v>16</v>
      </c>
      <c r="J154" s="3632">
        <f>IF(((COUNTIF($J$5:J49,"x"))-(COUNTIF($J$5:J48,"x")))=0,"",COUNTIF($J$5:J49,"x"))</f>
        <v>15</v>
      </c>
      <c r="K154" s="3632">
        <f>IF(((COUNTIF($K$5:K49,"x"))-(COUNTIF($K$5:K48,"x")))=0,"",COUNTIF($K$5:K49,"x"))</f>
        <v>14</v>
      </c>
      <c r="L154" s="3632">
        <f>IF(((COUNTIF($L$5:L49,"x"))-(COUNTIF($L$5:L48,"x")))=0,"",COUNTIF($L$5:L49,"x"))</f>
        <v>14</v>
      </c>
      <c r="M154" s="3632">
        <f>IF(((COUNTIF($M$5:M49,"x"))-(COUNTIF($M$5:M48,"x")))=0,"",COUNTIF($M$5:M49,"x"))</f>
        <v>14</v>
      </c>
      <c r="N154" s="3632">
        <f>IF(((COUNTIF($N$5:N49,"x"))-(COUNTIF($N$5:N48,"x")))=0,"",COUNTIF($N$5:N49,"x"))</f>
        <v>5</v>
      </c>
      <c r="O154" s="3632">
        <f>IF(((COUNTIF($O$5:O49,"x"))-(COUNTIF($O$5:O48,"x")))=0,"",COUNTIF($O$5:O49,"x"))</f>
        <v>10</v>
      </c>
      <c r="P154" s="3632">
        <f>IF(((COUNTIF($P$5:P49,"x"))-(COUNTIF($P$5:P48,"x")))=0,"",COUNTIF($P$5:P49,"x"))</f>
        <v>7</v>
      </c>
      <c r="Q154" s="3632" t="str">
        <f>IF(((COUNTIF($Q$5:Q49,"x"))-(COUNTIF($Q$5:Q48,"x")))=0,"",COUNTIF($Q$5:Q49,"x"))</f>
        <v/>
      </c>
      <c r="R154" s="3632">
        <f>IF(((COUNTIF($R$5:R49,"x"))-(COUNTIF($R$5:R48,"x")))=0,"",COUNTIF($R$5:R49,"x"))</f>
        <v>7</v>
      </c>
      <c r="S154" s="3632">
        <f>IF(((COUNTIF($S$5:S49,"x"))-(COUNTIF($S$5:S48,"x")))=0,"",COUNTIF($S$5:S49,"x"))</f>
        <v>12</v>
      </c>
      <c r="T154" s="3632">
        <f>IF(((COUNTIF($T$5:T49,"x"))-(COUNTIF($T$5:T48,"x")))=0,"",COUNTIF($T$5:T49,"x"))</f>
        <v>5</v>
      </c>
      <c r="U154" s="3632">
        <f>IF(((COUNTIF($U$5:U49,"x"))-(COUNTIF($U$5:U48,"x")))=0,"",COUNTIF($U$5:U49,"x"))</f>
        <v>7</v>
      </c>
      <c r="V154" s="3632" t="str">
        <f>IF(((COUNTIF($V$5:V49,"x"))-(COUNTIF($V$5:V48,"x")))=0,"",COUNTIF($V$5:V49,"x"))</f>
        <v/>
      </c>
      <c r="W154" s="3632" t="str">
        <f>IF(((COUNTIF($W$5:W49,"x"))-(COUNTIF($W$5:W48,"x")))=0,"",COUNTIF($W$5:W49,"x"))</f>
        <v/>
      </c>
      <c r="X154" s="3632">
        <f>IF(((COUNTIF($X$5:X49,"x"))-(COUNTIF($X$5:X48,"x")))=0,"",COUNTIF($X$5:X49,"x"))</f>
        <v>7</v>
      </c>
      <c r="Y154" s="3632">
        <f>IF(((COUNTIF($Y$5:Y49,"x"))-(COUNTIF($Y$5:Y48,"x")))=0,"",COUNTIF($Y$5:Y49,"x"))</f>
        <v>7</v>
      </c>
      <c r="Z154" s="3632" t="str">
        <f>IF(((COUNTIF($Z$5:Z49,"x"))-(COUNTIF($Z$5:Z48,"x")))=0,"",COUNTIF($Z$5:Z49,"x"))</f>
        <v/>
      </c>
      <c r="AA154" s="3632">
        <f>IF(((COUNTIF($AA$5:AA49,"x"))-(COUNTIF($AA$5:AA48,"x")))=0,"",COUNTIF($AA$5:AA49,"x"))</f>
        <v>9</v>
      </c>
      <c r="AB154" s="3632">
        <f>IF(((COUNTIF($AB$5:AB49,"x"))-(COUNTIF($AB$5:AB48,"x")))=0,"",COUNTIF($AB$5:AB49,"x"))</f>
        <v>9</v>
      </c>
      <c r="AC154" s="3632" t="str">
        <f>IF(((COUNTIF($AC$5:AC49,"x"))-(COUNTIF($AC$5:AC48,"x")))=0,"",COUNTIF($AC$5:AC49,"x"))</f>
        <v/>
      </c>
      <c r="AD154" s="3632">
        <f>IF(((COUNTIF($AD$5:AD49,"x"))-(COUNTIF($AD$5:AD48,"x")))=0,"",COUNTIF($AD$5:AD49,"x"))</f>
        <v>38</v>
      </c>
      <c r="AE154" s="3632" t="str">
        <f>IF(((COUNTIF($AE$5:AE49,"x"))-(COUNTIF($AE$5:AE48,"x")))=0,"",COUNTIF($AE$5:AE49,"x"))</f>
        <v/>
      </c>
      <c r="AF154" s="3633" t="str">
        <f>IF(((COUNTIF($AF$5:AF49,"x"))-(COUNTIF($AF$5:AF48,"x")))=0,"",COUNTIF($AF$5:AF49,"x"))</f>
        <v/>
      </c>
      <c r="AG154" s="1518" t="str">
        <f t="shared" si="14"/>
        <v>Karate Zeon</v>
      </c>
    </row>
    <row r="155" spans="2:33" ht="17.399999999999999" hidden="1">
      <c r="B155" s="1525">
        <f t="shared" si="15"/>
        <v>46</v>
      </c>
      <c r="C155" s="2658" t="s">
        <v>509</v>
      </c>
      <c r="D155" s="3635"/>
      <c r="E155" s="2695"/>
      <c r="F155" s="3631" t="str">
        <f>IF(((COUNTIF($F$5:$F50,"x"))-(COUNTIF($F$5:$F49,"x")))=0,"",COUNTIF($F$5:$F50,"x"))</f>
        <v/>
      </c>
      <c r="G155" s="3632" t="str">
        <f>IF(((COUNTIF($G$5:$G50,"x"))-(COUNTIF($G$5:$G49,"x")))=0,"",COUNTIF($G$5:$G50,"x"))</f>
        <v/>
      </c>
      <c r="H155" s="3632" t="str">
        <f>IF(((COUNTIF($H$5:$H50,"x"))-(COUNTIF($H$5:$H49,"x")))=0,"",COUNTIF($H$5:$H50,"x"))</f>
        <v/>
      </c>
      <c r="I155" s="3632" t="str">
        <f>IF(((COUNTIF($I$5:I50,"x"))-(COUNTIF($I$5:I49,"x")))=0,"",COUNTIF($I$5:I50,"x"))</f>
        <v/>
      </c>
      <c r="J155" s="3632" t="str">
        <f>IF(((COUNTIF($J$5:J50,"x"))-(COUNTIF($J$5:J49,"x")))=0,"",COUNTIF($J$5:J50,"x"))</f>
        <v/>
      </c>
      <c r="K155" s="3632" t="str">
        <f>IF(((COUNTIF($K$5:K50,"x"))-(COUNTIF($K$5:K49,"x")))=0,"",COUNTIF($K$5:K50,"x"))</f>
        <v/>
      </c>
      <c r="L155" s="3632" t="str">
        <f>IF(((COUNTIF($L$5:L50,"x"))-(COUNTIF($L$5:L49,"x")))=0,"",COUNTIF($L$5:L50,"x"))</f>
        <v/>
      </c>
      <c r="M155" s="3632" t="str">
        <f>IF(((COUNTIF($M$5:M50,"x"))-(COUNTIF($M$5:M49,"x")))=0,"",COUNTIF($M$5:M50,"x"))</f>
        <v/>
      </c>
      <c r="N155" s="3632" t="str">
        <f>IF(((COUNTIF($N$5:N50,"x"))-(COUNTIF($N$5:N49,"x")))=0,"",COUNTIF($N$5:N50,"x"))</f>
        <v/>
      </c>
      <c r="O155" s="3632" t="str">
        <f>IF(((COUNTIF($O$5:O50,"x"))-(COUNTIF($O$5:O49,"x")))=0,"",COUNTIF($O$5:O50,"x"))</f>
        <v/>
      </c>
      <c r="P155" s="3632" t="str">
        <f>IF(((COUNTIF($P$5:P50,"x"))-(COUNTIF($P$5:P49,"x")))=0,"",COUNTIF($P$5:P50,"x"))</f>
        <v/>
      </c>
      <c r="Q155" s="3632">
        <f>IF(((COUNTIF($Q$5:Q50,"x"))-(COUNTIF($Q$5:Q49,"x")))=0,"",COUNTIF($Q$5:Q50,"x"))</f>
        <v>1</v>
      </c>
      <c r="R155" s="3632">
        <f>IF(((COUNTIF($R$5:R50,"x"))-(COUNTIF($R$5:R49,"x")))=0,"",COUNTIF($R$5:R50,"x"))</f>
        <v>8</v>
      </c>
      <c r="S155" s="3632" t="str">
        <f>IF(((COUNTIF($S$5:S50,"x"))-(COUNTIF($S$5:S49,"x")))=0,"",COUNTIF($S$5:S50,"x"))</f>
        <v/>
      </c>
      <c r="T155" s="3632" t="str">
        <f>IF(((COUNTIF($T$5:T50,"x"))-(COUNTIF($T$5:T49,"x")))=0,"",COUNTIF($T$5:T50,"x"))</f>
        <v/>
      </c>
      <c r="U155" s="3632" t="str">
        <f>IF(((COUNTIF($U$5:U50,"x"))-(COUNTIF($U$5:U49,"x")))=0,"",COUNTIF($U$5:U50,"x"))</f>
        <v/>
      </c>
      <c r="V155" s="3632" t="str">
        <f>IF(((COUNTIF($V$5:V50,"x"))-(COUNTIF($V$5:V49,"x")))=0,"",COUNTIF($V$5:V50,"x"))</f>
        <v/>
      </c>
      <c r="W155" s="3632" t="str">
        <f>IF(((COUNTIF($W$5:W50,"x"))-(COUNTIF($W$5:W49,"x")))=0,"",COUNTIF($W$5:W50,"x"))</f>
        <v/>
      </c>
      <c r="X155" s="3632" t="str">
        <f>IF(((COUNTIF($X$5:X50,"x"))-(COUNTIF($X$5:X49,"x")))=0,"",COUNTIF($X$5:X50,"x"))</f>
        <v/>
      </c>
      <c r="Y155" s="3632" t="str">
        <f>IF(((COUNTIF($Y$5:Y50,"x"))-(COUNTIF($Y$5:Y49,"x")))=0,"",COUNTIF($Y$5:Y50,"x"))</f>
        <v/>
      </c>
      <c r="Z155" s="3632" t="str">
        <f>IF(((COUNTIF($Z$5:Z50,"x"))-(COUNTIF($Z$5:Z49,"x")))=0,"",COUNTIF($Z$5:Z50,"x"))</f>
        <v/>
      </c>
      <c r="AA155" s="3632" t="str">
        <f>IF(((COUNTIF($AA$5:AA50,"x"))-(COUNTIF($AA$5:AA49,"x")))=0,"",COUNTIF($AA$5:AA50,"x"))</f>
        <v/>
      </c>
      <c r="AB155" s="3632" t="str">
        <f>IF(((COUNTIF($AB$5:AB50,"x"))-(COUNTIF($AB$5:AB49,"x")))=0,"",COUNTIF($AB$5:AB50,"x"))</f>
        <v/>
      </c>
      <c r="AC155" s="3632" t="str">
        <f>IF(((COUNTIF($AC$5:AC50,"x"))-(COUNTIF($AC$5:AC49,"x")))=0,"",COUNTIF($AC$5:AC50,"x"))</f>
        <v/>
      </c>
      <c r="AD155" s="3632">
        <f>IF(((COUNTIF($AD$5:AD50,"x"))-(COUNTIF($AD$5:AD49,"x")))=0,"",COUNTIF($AD$5:AD50,"x"))</f>
        <v>39</v>
      </c>
      <c r="AE155" s="3632" t="str">
        <f>IF(((COUNTIF($AE$5:AE50,"x"))-(COUNTIF($AE$5:AE49,"x")))=0,"",COUNTIF($AE$5:AE50,"x"))</f>
        <v/>
      </c>
      <c r="AF155" s="3633" t="str">
        <f>IF(((COUNTIF($AF$5:AF50,"x"))-(COUNTIF($AF$5:AF49,"x")))=0,"",COUNTIF($AF$5:AF50,"x"))</f>
        <v/>
      </c>
      <c r="AG155" s="1518" t="str">
        <f t="shared" si="14"/>
        <v>Mais Banvel WG</v>
      </c>
    </row>
    <row r="156" spans="2:33" ht="17.399999999999999" hidden="1">
      <c r="B156" s="1525">
        <f t="shared" si="15"/>
        <v>47</v>
      </c>
      <c r="C156" s="2658" t="s">
        <v>508</v>
      </c>
      <c r="D156" s="3635"/>
      <c r="E156" s="2694"/>
      <c r="F156" s="3631" t="str">
        <f>IF(((COUNTIF($F$5:$F51,"x"))-(COUNTIF($F$5:$F50,"x")))=0,"",COUNTIF($F$5:$F51,"x"))</f>
        <v/>
      </c>
      <c r="G156" s="3632" t="str">
        <f>IF(((COUNTIF($G$5:$G51,"x"))-(COUNTIF($G$5:$G50,"x")))=0,"",COUNTIF($G$5:$G51,"x"))</f>
        <v/>
      </c>
      <c r="H156" s="3632" t="str">
        <f>IF(((COUNTIF($H$5:$H51,"x"))-(COUNTIF($H$5:$H50,"x")))=0,"",COUNTIF($H$5:$H51,"x"))</f>
        <v/>
      </c>
      <c r="I156" s="3632" t="str">
        <f>IF(((COUNTIF($I$5:I51,"x"))-(COUNTIF($I$5:I50,"x")))=0,"",COUNTIF($I$5:I51,"x"))</f>
        <v/>
      </c>
      <c r="J156" s="3632" t="str">
        <f>IF(((COUNTIF($J$5:J51,"x"))-(COUNTIF($J$5:J50,"x")))=0,"",COUNTIF($J$5:J51,"x"))</f>
        <v/>
      </c>
      <c r="K156" s="3632" t="str">
        <f>IF(((COUNTIF($K$5:K51,"x"))-(COUNTIF($K$5:K50,"x")))=0,"",COUNTIF($K$5:K51,"x"))</f>
        <v/>
      </c>
      <c r="L156" s="3632" t="str">
        <f>IF(((COUNTIF($L$5:L51,"x"))-(COUNTIF($L$5:L50,"x")))=0,"",COUNTIF($L$5:L51,"x"))</f>
        <v/>
      </c>
      <c r="M156" s="3632" t="str">
        <f>IF(((COUNTIF($M$5:M51,"x"))-(COUNTIF($M$5:M50,"x")))=0,"",COUNTIF($M$5:M51,"x"))</f>
        <v/>
      </c>
      <c r="N156" s="3632" t="str">
        <f>IF(((COUNTIF($N$5:N51,"x"))-(COUNTIF($N$5:N50,"x")))=0,"",COUNTIF($N$5:N51,"x"))</f>
        <v/>
      </c>
      <c r="O156" s="3632" t="str">
        <f>IF(((COUNTIF($O$5:O51,"x"))-(COUNTIF($O$5:O50,"x")))=0,"",COUNTIF($O$5:O51,"x"))</f>
        <v/>
      </c>
      <c r="P156" s="3632" t="str">
        <f>IF(((COUNTIF($P$5:P51,"x"))-(COUNTIF($P$5:P50,"x")))=0,"",COUNTIF($P$5:P51,"x"))</f>
        <v/>
      </c>
      <c r="Q156" s="3632" t="str">
        <f>IF(((COUNTIF($Q$5:Q51,"x"))-(COUNTIF($Q$5:Q50,"x")))=0,"",COUNTIF($Q$5:Q51,"x"))</f>
        <v/>
      </c>
      <c r="R156" s="3632">
        <f>IF(((COUNTIF($R$5:R51,"x"))-(COUNTIF($R$5:R50,"x")))=0,"",COUNTIF($R$5:R51,"x"))</f>
        <v>9</v>
      </c>
      <c r="S156" s="3632" t="str">
        <f>IF(((COUNTIF($S$5:S51,"x"))-(COUNTIF($S$5:S50,"x")))=0,"",COUNTIF($S$5:S51,"x"))</f>
        <v/>
      </c>
      <c r="T156" s="3632" t="str">
        <f>IF(((COUNTIF($T$5:T51,"x"))-(COUNTIF($T$5:T50,"x")))=0,"",COUNTIF($T$5:T51,"x"))</f>
        <v/>
      </c>
      <c r="U156" s="3632" t="str">
        <f>IF(((COUNTIF($U$5:U51,"x"))-(COUNTIF($U$5:U50,"x")))=0,"",COUNTIF($U$5:U51,"x"))</f>
        <v/>
      </c>
      <c r="V156" s="3632" t="str">
        <f>IF(((COUNTIF($V$5:V51,"x"))-(COUNTIF($V$5:V50,"x")))=0,"",COUNTIF($V$5:V51,"x"))</f>
        <v/>
      </c>
      <c r="W156" s="3632" t="str">
        <f>IF(((COUNTIF($W$5:W51,"x"))-(COUNTIF($W$5:W50,"x")))=0,"",COUNTIF($W$5:W51,"x"))</f>
        <v/>
      </c>
      <c r="X156" s="3632" t="str">
        <f>IF(((COUNTIF($X$5:X51,"x"))-(COUNTIF($X$5:X50,"x")))=0,"",COUNTIF($X$5:X51,"x"))</f>
        <v/>
      </c>
      <c r="Y156" s="3632" t="str">
        <f>IF(((COUNTIF($Y$5:Y51,"x"))-(COUNTIF($Y$5:Y50,"x")))=0,"",COUNTIF($Y$5:Y51,"x"))</f>
        <v/>
      </c>
      <c r="Z156" s="3632" t="str">
        <f>IF(((COUNTIF($Z$5:Z51,"x"))-(COUNTIF($Z$5:Z50,"x")))=0,"",COUNTIF($Z$5:Z51,"x"))</f>
        <v/>
      </c>
      <c r="AA156" s="3632" t="str">
        <f>IF(((COUNTIF($AA$5:AA51,"x"))-(COUNTIF($AA$5:AA50,"x")))=0,"",COUNTIF($AA$5:AA51,"x"))</f>
        <v/>
      </c>
      <c r="AB156" s="3632" t="str">
        <f>IF(((COUNTIF($AB$5:AB51,"x"))-(COUNTIF($AB$5:AB50,"x")))=0,"",COUNTIF($AB$5:AB51,"x"))</f>
        <v/>
      </c>
      <c r="AC156" s="3632" t="str">
        <f>IF(((COUNTIF($AC$5:AC51,"x"))-(COUNTIF($AC$5:AC50,"x")))=0,"",COUNTIF($AC$5:AC51,"x"))</f>
        <v/>
      </c>
      <c r="AD156" s="3632">
        <f>IF(((COUNTIF($AD$5:AD51,"x"))-(COUNTIF($AD$5:AD50,"x")))=0,"",COUNTIF($AD$5:AD51,"x"))</f>
        <v>40</v>
      </c>
      <c r="AE156" s="3632" t="str">
        <f>IF(((COUNTIF($AE$5:AE51,"x"))-(COUNTIF($AE$5:AE50,"x")))=0,"",COUNTIF($AE$5:AE51,"x"))</f>
        <v/>
      </c>
      <c r="AF156" s="3633" t="str">
        <f>IF(((COUNTIF($AF$5:AF51,"x"))-(COUNTIF($AF$5:AF50,"x")))=0,"",COUNTIF($AF$5:AF51,"x"))</f>
        <v/>
      </c>
      <c r="AG156" s="1518" t="str">
        <f t="shared" si="14"/>
        <v>MaisTer Power</v>
      </c>
    </row>
    <row r="157" spans="2:33" ht="17.399999999999999" hidden="1">
      <c r="B157" s="1525">
        <f t="shared" si="15"/>
        <v>48</v>
      </c>
      <c r="C157" s="2658" t="s">
        <v>507</v>
      </c>
      <c r="D157" s="3635"/>
      <c r="E157" s="2695"/>
      <c r="F157" s="3631">
        <f>IF(((COUNTIF($F$5:$F52,"x"))-(COUNTIF($F$5:$F51,"x")))=0,"",COUNTIF($F$5:$F52,"x"))</f>
        <v>19</v>
      </c>
      <c r="G157" s="3632" t="str">
        <f>IF(((COUNTIF($G$5:$G52,"x"))-(COUNTIF($G$5:$G51,"x")))=0,"",COUNTIF($G$5:$G52,"x"))</f>
        <v/>
      </c>
      <c r="H157" s="3632">
        <f>IF(((COUNTIF($H$5:$H52,"x"))-(COUNTIF($H$5:$H51,"x")))=0,"",COUNTIF($H$5:$H52,"x"))</f>
        <v>19</v>
      </c>
      <c r="I157" s="3632">
        <f>IF(((COUNTIF($I$5:I52,"x"))-(COUNTIF($I$5:I51,"x")))=0,"",COUNTIF($I$5:I52,"x"))</f>
        <v>17</v>
      </c>
      <c r="J157" s="3632">
        <f>IF(((COUNTIF($J$5:J52,"x"))-(COUNTIF($J$5:J51,"x")))=0,"",COUNTIF($J$5:J52,"x"))</f>
        <v>16</v>
      </c>
      <c r="K157" s="3632" t="str">
        <f>IF(((COUNTIF($K$5:K52,"x"))-(COUNTIF($K$5:K51,"x")))=0,"",COUNTIF($K$5:K52,"x"))</f>
        <v/>
      </c>
      <c r="L157" s="3632" t="str">
        <f>IF(((COUNTIF($L$5:L52,"x"))-(COUNTIF($L$5:L51,"x")))=0,"",COUNTIF($L$5:L52,"x"))</f>
        <v/>
      </c>
      <c r="M157" s="3632" t="str">
        <f>IF(((COUNTIF($M$5:M52,"x"))-(COUNTIF($M$5:M51,"x")))=0,"",COUNTIF($M$5:M52,"x"))</f>
        <v/>
      </c>
      <c r="N157" s="3632" t="str">
        <f>IF(((COUNTIF($N$5:N52,"x"))-(COUNTIF($N$5:N51,"x")))=0,"",COUNTIF($N$5:N52,"x"))</f>
        <v/>
      </c>
      <c r="O157" s="3632" t="str">
        <f>IF(((COUNTIF($O$5:O52,"x"))-(COUNTIF($O$5:O51,"x")))=0,"",COUNTIF($O$5:O52,"x"))</f>
        <v/>
      </c>
      <c r="P157" s="3632" t="str">
        <f>IF(((COUNTIF($P$5:P52,"x"))-(COUNTIF($P$5:P51,"x")))=0,"",COUNTIF($P$5:P52,"x"))</f>
        <v/>
      </c>
      <c r="Q157" s="3632" t="str">
        <f>IF(((COUNTIF($Q$5:Q52,"x"))-(COUNTIF($Q$5:Q51,"x")))=0,"",COUNTIF($Q$5:Q52,"x"))</f>
        <v/>
      </c>
      <c r="R157" s="3632" t="str">
        <f>IF(((COUNTIF($R$5:R52,"x"))-(COUNTIF($R$5:R51,"x")))=0,"",COUNTIF($R$5:R52,"x"))</f>
        <v/>
      </c>
      <c r="S157" s="3632" t="str">
        <f>IF(((COUNTIF($S$5:S52,"x"))-(COUNTIF($S$5:S51,"x")))=0,"",COUNTIF($S$5:S52,"x"))</f>
        <v/>
      </c>
      <c r="T157" s="3632" t="str">
        <f>IF(((COUNTIF($T$5:T52,"x"))-(COUNTIF($T$5:T51,"x")))=0,"",COUNTIF($T$5:T52,"x"))</f>
        <v/>
      </c>
      <c r="U157" s="3632" t="str">
        <f>IF(((COUNTIF($U$5:U52,"x"))-(COUNTIF($U$5:U51,"x")))=0,"",COUNTIF($U$5:U52,"x"))</f>
        <v/>
      </c>
      <c r="V157" s="3632" t="str">
        <f>IF(((COUNTIF($V$5:V52,"x"))-(COUNTIF($V$5:V51,"x")))=0,"",COUNTIF($V$5:V52,"x"))</f>
        <v/>
      </c>
      <c r="W157" s="3632" t="str">
        <f>IF(((COUNTIF($W$5:W52,"x"))-(COUNTIF($W$5:W51,"x")))=0,"",COUNTIF($W$5:W52,"x"))</f>
        <v/>
      </c>
      <c r="X157" s="3632" t="str">
        <f>IF(((COUNTIF($X$5:X52,"x"))-(COUNTIF($X$5:X51,"x")))=0,"",COUNTIF($X$5:X52,"x"))</f>
        <v/>
      </c>
      <c r="Y157" s="3632" t="str">
        <f>IF(((COUNTIF($Y$5:Y52,"x"))-(COUNTIF($Y$5:Y51,"x")))=0,"",COUNTIF($Y$5:Y52,"x"))</f>
        <v/>
      </c>
      <c r="Z157" s="3632" t="str">
        <f>IF(((COUNTIF($Z$5:Z52,"x"))-(COUNTIF($Z$5:Z51,"x")))=0,"",COUNTIF($Z$5:Z52,"x"))</f>
        <v/>
      </c>
      <c r="AA157" s="3632" t="str">
        <f>IF(((COUNTIF($AA$5:AA52,"x"))-(COUNTIF($AA$5:AA51,"x")))=0,"",COUNTIF($AA$5:AA52,"x"))</f>
        <v/>
      </c>
      <c r="AB157" s="3632" t="str">
        <f>IF(((COUNTIF($AB$5:AB52,"x"))-(COUNTIF($AB$5:AB51,"x")))=0,"",COUNTIF($AB$5:AB52,"x"))</f>
        <v/>
      </c>
      <c r="AC157" s="3632" t="str">
        <f>IF(((COUNTIF($AC$5:AC52,"x"))-(COUNTIF($AC$5:AC51,"x")))=0,"",COUNTIF($AC$5:AC52,"x"))</f>
        <v/>
      </c>
      <c r="AD157" s="3632">
        <f>IF(((COUNTIF($AD$5:AD52,"x"))-(COUNTIF($AD$5:AD51,"x")))=0,"",COUNTIF($AD$5:AD52,"x"))</f>
        <v>41</v>
      </c>
      <c r="AE157" s="3632" t="str">
        <f>IF(((COUNTIF($AE$5:AE52,"x"))-(COUNTIF($AE$5:AE51,"x")))=0,"",COUNTIF($AE$5:AE52,"x"))</f>
        <v/>
      </c>
      <c r="AF157" s="3633" t="str">
        <f>IF(((COUNTIF($AF$5:AF52,"x"))-(COUNTIF($AF$5:AF51,"x")))=0,"",COUNTIF($AF$5:AF52,"x"))</f>
        <v/>
      </c>
      <c r="AG157" s="1518" t="str">
        <f t="shared" si="14"/>
        <v>Malibu</v>
      </c>
    </row>
    <row r="158" spans="2:33" ht="17.399999999999999" hidden="1">
      <c r="B158" s="1525">
        <f t="shared" si="15"/>
        <v>49</v>
      </c>
      <c r="C158" s="2658" t="s">
        <v>506</v>
      </c>
      <c r="D158" s="3635"/>
      <c r="E158" s="2695"/>
      <c r="F158" s="3631">
        <f>IF(((COUNTIF($F$5:$F53,"x"))-(COUNTIF($F$5:$F52,"x")))=0,"",COUNTIF($F$5:$F53,"x"))</f>
        <v>20</v>
      </c>
      <c r="G158" s="3632">
        <f>IF(((COUNTIF($G$5:$G53,"x"))-(COUNTIF($G$5:$G52,"x")))=0,"",COUNTIF($G$5:$G53,"x"))</f>
        <v>15</v>
      </c>
      <c r="H158" s="3632">
        <f>IF(((COUNTIF($H$5:$H53,"x"))-(COUNTIF($H$5:$H52,"x")))=0,"",COUNTIF($H$5:$H53,"x"))</f>
        <v>20</v>
      </c>
      <c r="I158" s="3632">
        <f>IF(((COUNTIF($I$5:I53,"x"))-(COUNTIF($I$5:I52,"x")))=0,"",COUNTIF($I$5:I53,"x"))</f>
        <v>18</v>
      </c>
      <c r="J158" s="3632">
        <f>IF(((COUNTIF($J$5:J53,"x"))-(COUNTIF($J$5:J52,"x")))=0,"",COUNTIF($J$5:J53,"x"))</f>
        <v>17</v>
      </c>
      <c r="K158" s="3632" t="str">
        <f>IF(((COUNTIF($K$5:K53,"x"))-(COUNTIF($K$5:K52,"x")))=0,"",COUNTIF($K$5:K53,"x"))</f>
        <v/>
      </c>
      <c r="L158" s="3632">
        <f>IF(((COUNTIF($L$5:L53,"x"))-(COUNTIF($L$5:L52,"x")))=0,"",COUNTIF($L$5:L53,"x"))</f>
        <v>15</v>
      </c>
      <c r="M158" s="3632">
        <f>IF(((COUNTIF($M$5:M53,"x"))-(COUNTIF($M$5:M52,"x")))=0,"",COUNTIF($M$5:M53,"x"))</f>
        <v>15</v>
      </c>
      <c r="N158" s="3632">
        <f>IF(((COUNTIF($N$5:N53,"x"))-(COUNTIF($N$5:N52,"x")))=0,"",COUNTIF($N$5:N53,"x"))</f>
        <v>6</v>
      </c>
      <c r="O158" s="3632" t="str">
        <f>IF(((COUNTIF($O$5:O53,"x"))-(COUNTIF($O$5:O52,"x")))=0,"",COUNTIF($O$5:O53,"x"))</f>
        <v/>
      </c>
      <c r="P158" s="3632" t="str">
        <f>IF(((COUNTIF($P$5:P53,"x"))-(COUNTIF($P$5:P52,"x")))=0,"",COUNTIF($P$5:P53,"x"))</f>
        <v/>
      </c>
      <c r="Q158" s="3632" t="str">
        <f>IF(((COUNTIF($Q$5:Q53,"x"))-(COUNTIF($Q$5:Q52,"x")))=0,"",COUNTIF($Q$5:Q53,"x"))</f>
        <v/>
      </c>
      <c r="R158" s="3632" t="str">
        <f>IF(((COUNTIF($R$5:R53,"x"))-(COUNTIF($R$5:R52,"x")))=0,"",COUNTIF($R$5:R53,"x"))</f>
        <v/>
      </c>
      <c r="S158" s="3632" t="str">
        <f>IF(((COUNTIF($S$5:S53,"x"))-(COUNTIF($S$5:S52,"x")))=0,"",COUNTIF($S$5:S53,"x"))</f>
        <v/>
      </c>
      <c r="T158" s="3632" t="str">
        <f>IF(((COUNTIF($T$5:T53,"x"))-(COUNTIF($T$5:T52,"x")))=0,"",COUNTIF($T$5:T53,"x"))</f>
        <v/>
      </c>
      <c r="U158" s="3632" t="str">
        <f>IF(((COUNTIF($U$5:U53,"x"))-(COUNTIF($U$5:U52,"x")))=0,"",COUNTIF($U$5:U53,"x"))</f>
        <v/>
      </c>
      <c r="V158" s="3632" t="str">
        <f>IF(((COUNTIF($V$5:V53,"x"))-(COUNTIF($V$5:V52,"x")))=0,"",COUNTIF($V$5:V53,"x"))</f>
        <v/>
      </c>
      <c r="W158" s="3632" t="str">
        <f>IF(((COUNTIF($W$5:W53,"x"))-(COUNTIF($W$5:W52,"x")))=0,"",COUNTIF($W$5:W53,"x"))</f>
        <v/>
      </c>
      <c r="X158" s="3632" t="str">
        <f>IF(((COUNTIF($X$5:X53,"x"))-(COUNTIF($X$5:X52,"x")))=0,"",COUNTIF($X$5:X53,"x"))</f>
        <v/>
      </c>
      <c r="Y158" s="3632" t="str">
        <f>IF(((COUNTIF($Y$5:Y53,"x"))-(COUNTIF($Y$5:Y52,"x")))=0,"",COUNTIF($Y$5:Y53,"x"))</f>
        <v/>
      </c>
      <c r="Z158" s="3632" t="str">
        <f>IF(((COUNTIF($Z$5:Z53,"x"))-(COUNTIF($Z$5:Z52,"x")))=0,"",COUNTIF($Z$5:Z53,"x"))</f>
        <v/>
      </c>
      <c r="AA158" s="3632" t="str">
        <f>IF(((COUNTIF($AA$5:AA53,"x"))-(COUNTIF($AA$5:AA52,"x")))=0,"",COUNTIF($AA$5:AA53,"x"))</f>
        <v/>
      </c>
      <c r="AB158" s="3632" t="str">
        <f>IF(((COUNTIF($AB$5:AB53,"x"))-(COUNTIF($AB$5:AB52,"x")))=0,"",COUNTIF($AB$5:AB53,"x"))</f>
        <v/>
      </c>
      <c r="AC158" s="3632" t="str">
        <f>IF(((COUNTIF($AC$5:AC53,"x"))-(COUNTIF($AC$5:AC52,"x")))=0,"",COUNTIF($AC$5:AC53,"x"))</f>
        <v/>
      </c>
      <c r="AD158" s="3632">
        <f>IF(((COUNTIF($AD$5:AD53,"x"))-(COUNTIF($AD$5:AD52,"x")))=0,"",COUNTIF($AD$5:AD53,"x"))</f>
        <v>42</v>
      </c>
      <c r="AE158" s="3632" t="str">
        <f>IF(((COUNTIF($AE$5:AE53,"x"))-(COUNTIF($AE$5:AE52,"x")))=0,"",COUNTIF($AE$5:AE53,"x"))</f>
        <v/>
      </c>
      <c r="AF158" s="3633" t="str">
        <f>IF(((COUNTIF($AF$5:AF53,"x"))-(COUNTIF($AF$5:AF52,"x")))=0,"",COUNTIF($AF$5:AF53,"x"))</f>
        <v/>
      </c>
      <c r="AG158" s="1518" t="str">
        <f t="shared" si="14"/>
        <v>Moddus</v>
      </c>
    </row>
    <row r="159" spans="2:33" ht="17.399999999999999" hidden="1">
      <c r="B159" s="1525">
        <f t="shared" si="15"/>
        <v>50</v>
      </c>
      <c r="C159" s="2658" t="s">
        <v>504</v>
      </c>
      <c r="D159" s="3635"/>
      <c r="E159" s="2694"/>
      <c r="F159" s="3631" t="str">
        <f>IF(((COUNTIF($F$5:$F54,"x"))-(COUNTIF($F$5:$F53,"x")))=0,"",COUNTIF($F$5:$F54,"x"))</f>
        <v/>
      </c>
      <c r="G159" s="3632" t="str">
        <f>IF(((COUNTIF($G$5:$G54,"x"))-(COUNTIF($G$5:$G53,"x")))=0,"",COUNTIF($G$5:$G54,"x"))</f>
        <v/>
      </c>
      <c r="H159" s="3632" t="str">
        <f>IF(((COUNTIF($H$5:$H54,"x"))-(COUNTIF($H$5:$H53,"x")))=0,"",COUNTIF($H$5:$H54,"x"))</f>
        <v/>
      </c>
      <c r="I159" s="3632" t="str">
        <f>IF(((COUNTIF($I$5:I54,"x"))-(COUNTIF($I$5:I53,"x")))=0,"",COUNTIF($I$5:I54,"x"))</f>
        <v/>
      </c>
      <c r="J159" s="3632" t="str">
        <f>IF(((COUNTIF($J$5:J54,"x"))-(COUNTIF($J$5:J53,"x")))=0,"",COUNTIF($J$5:J54,"x"))</f>
        <v/>
      </c>
      <c r="K159" s="3632" t="str">
        <f>IF(((COUNTIF($K$5:K54,"x"))-(COUNTIF($K$5:K53,"x")))=0,"",COUNTIF($K$5:K54,"x"))</f>
        <v/>
      </c>
      <c r="L159" s="3632" t="str">
        <f>IF(((COUNTIF($L$5:L54,"x"))-(COUNTIF($L$5:L53,"x")))=0,"",COUNTIF($L$5:L54,"x"))</f>
        <v/>
      </c>
      <c r="M159" s="3632" t="str">
        <f>IF(((COUNTIF($M$5:M54,"x"))-(COUNTIF($M$5:M53,"x")))=0,"",COUNTIF($M$5:M54,"x"))</f>
        <v/>
      </c>
      <c r="N159" s="3632" t="str">
        <f>IF(((COUNTIF($N$5:N54,"x"))-(COUNTIF($N$5:N53,"x")))=0,"",COUNTIF($N$5:N54,"x"))</f>
        <v/>
      </c>
      <c r="O159" s="3632" t="str">
        <f>IF(((COUNTIF($O$5:O54,"x"))-(COUNTIF($O$5:O53,"x")))=0,"",COUNTIF($O$5:O54,"x"))</f>
        <v/>
      </c>
      <c r="P159" s="3632" t="str">
        <f>IF(((COUNTIF($P$5:P54,"x"))-(COUNTIF($P$5:P53,"x")))=0,"",COUNTIF($P$5:P54,"x"))</f>
        <v/>
      </c>
      <c r="Q159" s="3632" t="str">
        <f>IF(((COUNTIF($Q$5:Q54,"x"))-(COUNTIF($Q$5:Q53,"x")))=0,"",COUNTIF($Q$5:Q54,"x"))</f>
        <v/>
      </c>
      <c r="R159" s="3632" t="str">
        <f>IF(((COUNTIF($R$5:R54,"x"))-(COUNTIF($R$5:R53,"x")))=0,"",COUNTIF($R$5:R54,"x"))</f>
        <v/>
      </c>
      <c r="S159" s="3632">
        <f>IF(((COUNTIF($S$5:S54,"x"))-(COUNTIF($S$5:S53,"x")))=0,"",COUNTIF($S$5:S54,"x"))</f>
        <v>13</v>
      </c>
      <c r="T159" s="3632">
        <f>IF(((COUNTIF($T$5:T54,"x"))-(COUNTIF($T$5:T53,"x")))=0,"",COUNTIF($T$5:T54,"x"))</f>
        <v>6</v>
      </c>
      <c r="U159" s="3632" t="str">
        <f>IF(((COUNTIF($U$5:U54,"x"))-(COUNTIF($U$5:U53,"x")))=0,"",COUNTIF($U$5:U54,"x"))</f>
        <v/>
      </c>
      <c r="V159" s="3632" t="str">
        <f>IF(((COUNTIF($V$5:V54,"x"))-(COUNTIF($V$5:V53,"x")))=0,"",COUNTIF($V$5:V54,"x"))</f>
        <v/>
      </c>
      <c r="W159" s="3632" t="str">
        <f>IF(((COUNTIF($W$5:W54,"x"))-(COUNTIF($W$5:W53,"x")))=0,"",COUNTIF($W$5:W54,"x"))</f>
        <v/>
      </c>
      <c r="X159" s="3632" t="str">
        <f>IF(((COUNTIF($X$5:X54,"x"))-(COUNTIF($X$5:X53,"x")))=0,"",COUNTIF($X$5:X54,"x"))</f>
        <v/>
      </c>
      <c r="Y159" s="3632" t="str">
        <f>IF(((COUNTIF($Y$5:Y54,"x"))-(COUNTIF($Y$5:Y53,"x")))=0,"",COUNTIF($Y$5:Y54,"x"))</f>
        <v/>
      </c>
      <c r="Z159" s="3632" t="str">
        <f>IF(((COUNTIF($Z$5:Z54,"x"))-(COUNTIF($Z$5:Z53,"x")))=0,"",COUNTIF($Z$5:Z54,"x"))</f>
        <v/>
      </c>
      <c r="AA159" s="3632">
        <f>IF(((COUNTIF($AA$5:AA54,"x"))-(COUNTIF($AA$5:AA53,"x")))=0,"",COUNTIF($AA$5:AA54,"x"))</f>
        <v>10</v>
      </c>
      <c r="AB159" s="3632">
        <f>IF(((COUNTIF($AB$5:AB54,"x"))-(COUNTIF($AB$5:AB53,"x")))=0,"",COUNTIF($AB$5:AB54,"x"))</f>
        <v>10</v>
      </c>
      <c r="AC159" s="3632" t="str">
        <f>IF(((COUNTIF($AC$5:AC54,"x"))-(COUNTIF($AC$5:AC53,"x")))=0,"",COUNTIF($AC$5:AC54,"x"))</f>
        <v/>
      </c>
      <c r="AD159" s="3632">
        <f>IF(((COUNTIF($AD$5:AD54,"x"))-(COUNTIF($AD$5:AD53,"x")))=0,"",COUNTIF($AD$5:AD54,"x"))</f>
        <v>43</v>
      </c>
      <c r="AE159" s="3632" t="str">
        <f>IF(((COUNTIF($AE$5:AE54,"x"))-(COUNTIF($AE$5:AE53,"x")))=0,"",COUNTIF($AE$5:AE54,"x"))</f>
        <v/>
      </c>
      <c r="AF159" s="3633" t="str">
        <f>IF(((COUNTIF($AF$5:AF54,"x"))-(COUNTIF($AF$5:AF53,"x")))=0,"",COUNTIF($AF$5:AF54,"x"))</f>
        <v/>
      </c>
      <c r="AG159" s="1518" t="str">
        <f t="shared" si="14"/>
        <v>Ortiva</v>
      </c>
    </row>
    <row r="160" spans="2:33" ht="17.399999999999999" hidden="1">
      <c r="B160" s="1525">
        <f t="shared" si="15"/>
        <v>51</v>
      </c>
      <c r="C160" s="2658" t="s">
        <v>1499</v>
      </c>
      <c r="D160" s="3635"/>
      <c r="E160" s="2695"/>
      <c r="F160" s="3631" t="str">
        <f>IF(((COUNTIF($F$5:$F55,"x"))-(COUNTIF($F$5:$F54,"x")))=0,"",COUNTIF($F$5:$F55,"x"))</f>
        <v/>
      </c>
      <c r="G160" s="3632" t="str">
        <f>IF(((COUNTIF($G$5:$G55,"x"))-(COUNTIF($G$5:$G54,"x")))=0,"",COUNTIF($G$5:$G55,"x"))</f>
        <v/>
      </c>
      <c r="H160" s="3632" t="str">
        <f>IF(((COUNTIF($H$5:$H55,"x"))-(COUNTIF($H$5:$H54,"x")))=0,"",COUNTIF($H$5:$H55,"x"))</f>
        <v/>
      </c>
      <c r="I160" s="3632" t="str">
        <f>IF(((COUNTIF($I$5:I55,"x"))-(COUNTIF($I$5:I54,"x")))=0,"",COUNTIF($I$5:I55,"x"))</f>
        <v/>
      </c>
      <c r="J160" s="3632" t="str">
        <f>IF(((COUNTIF($J$5:J55,"x"))-(COUNTIF($J$5:J54,"x")))=0,"",COUNTIF($J$5:J55,"x"))</f>
        <v/>
      </c>
      <c r="K160" s="3632" t="str">
        <f>IF(((COUNTIF($K$5:K55,"x"))-(COUNTIF($K$5:K54,"x")))=0,"",COUNTIF($K$5:K55,"x"))</f>
        <v/>
      </c>
      <c r="L160" s="3632" t="str">
        <f>IF(((COUNTIF($L$5:L55,"x"))-(COUNTIF($L$5:L54,"x")))=0,"",COUNTIF($L$5:L55,"x"))</f>
        <v/>
      </c>
      <c r="M160" s="3632" t="str">
        <f>IF(((COUNTIF($M$5:M55,"x"))-(COUNTIF($M$5:M54,"x")))=0,"",COUNTIF($M$5:M55,"x"))</f>
        <v/>
      </c>
      <c r="N160" s="3632" t="str">
        <f>IF(((COUNTIF($N$5:N55,"x"))-(COUNTIF($N$5:N54,"x")))=0,"",COUNTIF($N$5:N55,"x"))</f>
        <v/>
      </c>
      <c r="O160" s="3632" t="str">
        <f>IF(((COUNTIF($O$5:O55,"x"))-(COUNTIF($O$5:O54,"x")))=0,"",COUNTIF($O$5:O55,"x"))</f>
        <v/>
      </c>
      <c r="P160" s="3632">
        <f>IF(((COUNTIF($P$5:P55,"x"))-(COUNTIF($P$5:P54,"x")))=0,"",COUNTIF($P$5:P55,"x"))</f>
        <v>8</v>
      </c>
      <c r="Q160" s="3632" t="str">
        <f>IF(((COUNTIF($Q$5:Q55,"x"))-(COUNTIF($Q$5:Q54,"x")))=0,"",COUNTIF($Q$5:Q55,"x"))</f>
        <v/>
      </c>
      <c r="R160" s="3632" t="str">
        <f>IF(((COUNTIF($R$5:R55,"x"))-(COUNTIF($R$5:R54,"x")))=0,"",COUNTIF($R$5:R55,"x"))</f>
        <v/>
      </c>
      <c r="S160" s="3632">
        <f>IF(((COUNTIF($S$5:S55,"x"))-(COUNTIF($S$5:S54,"x")))=0,"",COUNTIF($S$5:S55,"x"))</f>
        <v>14</v>
      </c>
      <c r="T160" s="3632">
        <f>IF(((COUNTIF($T$5:T55,"x"))-(COUNTIF($T$5:T54,"x")))=0,"",COUNTIF($T$5:T55,"x"))</f>
        <v>7</v>
      </c>
      <c r="U160" s="3632" t="str">
        <f>IF(((COUNTIF($U$5:U55,"x"))-(COUNTIF($U$5:U54,"x")))=0,"",COUNTIF($U$5:U55,"x"))</f>
        <v/>
      </c>
      <c r="V160" s="3632" t="str">
        <f>IF(((COUNTIF($V$5:V55,"x"))-(COUNTIF($V$5:V54,"x")))=0,"",COUNTIF($V$5:V55,"x"))</f>
        <v/>
      </c>
      <c r="W160" s="3632" t="str">
        <f>IF(((COUNTIF($W$5:W55,"x"))-(COUNTIF($W$5:W54,"x")))=0,"",COUNTIF($W$5:W55,"x"))</f>
        <v/>
      </c>
      <c r="X160" s="3632" t="str">
        <f>IF(((COUNTIF($X$5:X55,"x"))-(COUNTIF($X$5:X54,"x")))=0,"",COUNTIF($X$5:X55,"x"))</f>
        <v/>
      </c>
      <c r="Y160" s="3632" t="str">
        <f>IF(((COUNTIF($Y$5:Y55,"x"))-(COUNTIF($Y$5:Y54,"x")))=0,"",COUNTIF($Y$5:Y55,"x"))</f>
        <v/>
      </c>
      <c r="Z160" s="3632" t="str">
        <f>IF(((COUNTIF($Z$5:Z55,"x"))-(COUNTIF($Z$5:Z54,"x")))=0,"",COUNTIF($Z$5:Z55,"x"))</f>
        <v/>
      </c>
      <c r="AA160" s="3632" t="str">
        <f>IF(((COUNTIF($AA$5:AA55,"x"))-(COUNTIF($AA$5:AA54,"x")))=0,"",COUNTIF($AA$5:AA55,"x"))</f>
        <v/>
      </c>
      <c r="AB160" s="3632" t="str">
        <f>IF(((COUNTIF($AB$5:AB55,"x"))-(COUNTIF($AB$5:AB54,"x")))=0,"",COUNTIF($AB$5:AB55,"x"))</f>
        <v/>
      </c>
      <c r="AC160" s="3632" t="str">
        <f>IF(((COUNTIF($AC$5:AC55,"x"))-(COUNTIF($AC$5:AC54,"x")))=0,"",COUNTIF($AC$5:AC55,"x"))</f>
        <v/>
      </c>
      <c r="AD160" s="3632">
        <f>IF(((COUNTIF($AD$5:AD55,"x"))-(COUNTIF($AD$5:AD54,"x")))=0,"",COUNTIF($AD$5:AD55,"x"))</f>
        <v>44</v>
      </c>
      <c r="AE160" s="3632" t="str">
        <f>IF(((COUNTIF($AE$5:AE55,"x"))-(COUNTIF($AE$5:AE54,"x")))=0,"",COUNTIF($AE$5:AE55,"x"))</f>
        <v/>
      </c>
      <c r="AF160" s="3633" t="str">
        <f>IF(((COUNTIF($AF$5:AF55,"x"))-(COUNTIF($AF$5:AF54,"x")))=0,"",COUNTIF($AF$5:AF55,"x"))</f>
        <v/>
      </c>
      <c r="AG160" s="1518" t="str">
        <f t="shared" si="14"/>
        <v>Mospilan SG</v>
      </c>
    </row>
    <row r="161" spans="2:33" ht="17.399999999999999" hidden="1">
      <c r="B161" s="1525">
        <f t="shared" si="15"/>
        <v>52</v>
      </c>
      <c r="C161" s="2658" t="s">
        <v>502</v>
      </c>
      <c r="D161" s="3636"/>
      <c r="E161" s="2697"/>
      <c r="F161" s="3631">
        <f>IF(((COUNTIF($F$5:$F56,"x"))-(COUNTIF($F$5:$F55,"x")))=0,"",COUNTIF($F$5:$F56,"x"))</f>
        <v>21</v>
      </c>
      <c r="G161" s="3632" t="str">
        <f>IF(((COUNTIF($G$5:$G56,"x"))-(COUNTIF($G$5:$G55,"x")))=0,"",COUNTIF($G$5:$G56,"x"))</f>
        <v/>
      </c>
      <c r="H161" s="3632">
        <f>IF(((COUNTIF($H$5:$H56,"x"))-(COUNTIF($H$5:$H55,"x")))=0,"",COUNTIF($H$5:$H56,"x"))</f>
        <v>21</v>
      </c>
      <c r="I161" s="3632">
        <f>IF(((COUNTIF($I$5:I56,"x"))-(COUNTIF($I$5:I55,"x")))=0,"",COUNTIF($I$5:I56,"x"))</f>
        <v>19</v>
      </c>
      <c r="J161" s="3634">
        <f>IF(((COUNTIF($J$5:J56,"x"))-(COUNTIF($J$5:J55,"x")))=0,"",COUNTIF($J$5:J56,"x"))</f>
        <v>18</v>
      </c>
      <c r="K161" s="3634">
        <f>IF(((COUNTIF($K$5:K56,"x"))-(COUNTIF($K$5:K55,"x")))=0,"",COUNTIF($K$5:K56,"x"))</f>
        <v>15</v>
      </c>
      <c r="L161" s="3634">
        <f>IF(((COUNTIF($L$5:L56,"x"))-(COUNTIF($L$5:L55,"x")))=0,"",COUNTIF($L$5:L56,"x"))</f>
        <v>16</v>
      </c>
      <c r="M161" s="3634">
        <f>IF(((COUNTIF($M$5:M56,"x"))-(COUNTIF($M$5:M55,"x")))=0,"",COUNTIF($M$5:M56,"x"))</f>
        <v>16</v>
      </c>
      <c r="N161" s="3634">
        <f>IF(((COUNTIF($N$5:N56,"x"))-(COUNTIF($N$5:N55,"x")))=0,"",COUNTIF($N$5:N56,"x"))</f>
        <v>7</v>
      </c>
      <c r="O161" s="3634" t="str">
        <f>IF(((COUNTIF($O$5:O56,"x"))-(COUNTIF($O$5:O55,"x")))=0,"",COUNTIF($O$5:O56,"x"))</f>
        <v/>
      </c>
      <c r="P161" s="3632" t="str">
        <f>IF(((COUNTIF($P$5:P56,"x"))-(COUNTIF($P$5:P55,"x")))=0,"",COUNTIF($P$5:P56,"x"))</f>
        <v/>
      </c>
      <c r="Q161" s="3634" t="str">
        <f>IF(((COUNTIF($Q$5:Q56,"x"))-(COUNTIF($Q$5:Q55,"x")))=0,"",COUNTIF($Q$5:Q56,"x"))</f>
        <v/>
      </c>
      <c r="R161" s="3634" t="str">
        <f>IF(((COUNTIF($R$5:R56,"x"))-(COUNTIF($R$5:R55,"x")))=0,"",COUNTIF($R$5:R56,"x"))</f>
        <v/>
      </c>
      <c r="S161" s="3634" t="str">
        <f>IF(((COUNTIF($S$5:S56,"x"))-(COUNTIF($S$5:S55,"x")))=0,"",COUNTIF($S$5:S56,"x"))</f>
        <v/>
      </c>
      <c r="T161" s="3634" t="str">
        <f>IF(((COUNTIF($T$5:T56,"x"))-(COUNTIF($T$5:T55,"x")))=0,"",COUNTIF($T$5:T56,"x"))</f>
        <v/>
      </c>
      <c r="U161" s="3634" t="str">
        <f>IF(((COUNTIF($U$5:U56,"x"))-(COUNTIF($U$5:U55,"x")))=0,"",COUNTIF($U$5:U56,"x"))</f>
        <v/>
      </c>
      <c r="V161" s="3634" t="str">
        <f>IF(((COUNTIF($V$5:V56,"x"))-(COUNTIF($V$5:V55,"x")))=0,"",COUNTIF($V$5:V56,"x"))</f>
        <v/>
      </c>
      <c r="W161" s="3634" t="str">
        <f>IF(((COUNTIF($W$5:W56,"x"))-(COUNTIF($W$5:W55,"x")))=0,"",COUNTIF($W$5:W56,"x"))</f>
        <v/>
      </c>
      <c r="X161" s="3634" t="str">
        <f>IF(((COUNTIF($X$5:X56,"x"))-(COUNTIF($X$5:X55,"x")))=0,"",COUNTIF($X$5:X56,"x"))</f>
        <v/>
      </c>
      <c r="Y161" s="3634" t="str">
        <f>IF(((COUNTIF($Y$5:Y56,"x"))-(COUNTIF($Y$5:Y55,"x")))=0,"",COUNTIF($Y$5:Y56,"x"))</f>
        <v/>
      </c>
      <c r="Z161" s="3634" t="str">
        <f>IF(((COUNTIF($Z$5:Z56,"x"))-(COUNTIF($Z$5:Z55,"x")))=0,"",COUNTIF($Z$5:Z56,"x"))</f>
        <v/>
      </c>
      <c r="AA161" s="3634" t="str">
        <f>IF(((COUNTIF($AA$5:AA56,"x"))-(COUNTIF($AA$5:AA55,"x")))=0,"",COUNTIF($AA$5:AA56,"x"))</f>
        <v/>
      </c>
      <c r="AB161" s="3634" t="str">
        <f>IF(((COUNTIF($AB$5:AB56,"x"))-(COUNTIF($AB$5:AB55,"x")))=0,"",COUNTIF($AB$5:AB56,"x"))</f>
        <v/>
      </c>
      <c r="AC161" s="3634" t="str">
        <f>IF(((COUNTIF($AC$5:AC56,"x"))-(COUNTIF($AC$5:AC55,"x")))=0,"",COUNTIF($AC$5:AC56,"x"))</f>
        <v/>
      </c>
      <c r="AD161" s="3632">
        <f>IF(((COUNTIF($AD$5:AD56,"x"))-(COUNTIF($AD$5:AD55,"x")))=0,"",COUNTIF($AD$5:AD56,"x"))</f>
        <v>45</v>
      </c>
      <c r="AE161" s="3634">
        <f>IF(((COUNTIF($AE$5:AE56,"x"))-(COUNTIF($AE$5:AE55,"x")))=0,"",COUNTIF($AE$5:AE56,"x"))</f>
        <v>1</v>
      </c>
      <c r="AF161" s="3637" t="str">
        <f>IF(((COUNTIF($AF$5:AF56,"x"))-(COUNTIF($AF$5:AF55,"x")))=0,"",COUNTIF($AF$5:AF56,"x"))</f>
        <v/>
      </c>
      <c r="AG161" s="1518" t="str">
        <f t="shared" si="14"/>
        <v>Pointer Plus</v>
      </c>
    </row>
    <row r="162" spans="2:33" ht="17.399999999999999" hidden="1">
      <c r="B162" s="1525">
        <f t="shared" si="15"/>
        <v>53</v>
      </c>
      <c r="C162" s="3450"/>
      <c r="D162" s="3636"/>
      <c r="E162" s="2697"/>
      <c r="F162" s="3631" t="str">
        <f>IF(((COUNTIF($F$5:$F57,"x"))-(COUNTIF($F$5:$F56,"x")))=0,"",COUNTIF($F$5:$F57,"x"))</f>
        <v/>
      </c>
      <c r="G162" s="3632" t="str">
        <f>IF(((COUNTIF($G$5:$G57,"x"))-(COUNTIF($G$5:$G56,"x")))=0,"",COUNTIF($G$5:$G57,"x"))</f>
        <v/>
      </c>
      <c r="H162" s="3632" t="str">
        <f>IF(((COUNTIF($H$5:$H57,"x"))-(COUNTIF($H$5:$H56,"x")))=0,"",COUNTIF($H$5:$H57,"x"))</f>
        <v/>
      </c>
      <c r="I162" s="3632" t="str">
        <f>IF(((COUNTIF($I$5:I57,"x"))-(COUNTIF($I$5:I56,"x")))=0,"",COUNTIF($I$5:I57,"x"))</f>
        <v/>
      </c>
      <c r="J162" s="3634" t="str">
        <f>IF(((COUNTIF($J$5:J57,"x"))-(COUNTIF($J$5:J56,"x")))=0,"",COUNTIF($J$5:J57,"x"))</f>
        <v/>
      </c>
      <c r="K162" s="3634" t="str">
        <f>IF(((COUNTIF($K$5:K57,"x"))-(COUNTIF($K$5:K56,"x")))=0,"",COUNTIF($K$5:K57,"x"))</f>
        <v/>
      </c>
      <c r="L162" s="3634" t="str">
        <f>IF(((COUNTIF($L$5:L57,"x"))-(COUNTIF($L$5:L56,"x")))=0,"",COUNTIF($L$5:L57,"x"))</f>
        <v/>
      </c>
      <c r="M162" s="3634" t="str">
        <f>IF(((COUNTIF($M$5:M57,"x"))-(COUNTIF($M$5:M56,"x")))=0,"",COUNTIF($M$5:M57,"x"))</f>
        <v/>
      </c>
      <c r="N162" s="3634" t="str">
        <f>IF(((COUNTIF($N$5:N57,"x"))-(COUNTIF($N$5:N56,"x")))=0,"",COUNTIF($N$5:N57,"x"))</f>
        <v/>
      </c>
      <c r="O162" s="3634" t="str">
        <f>IF(((COUNTIF($O$5:O57,"x"))-(COUNTIF($O$5:O56,"x")))=0,"",COUNTIF($O$5:O57,"x"))</f>
        <v/>
      </c>
      <c r="P162" s="3632" t="str">
        <f>IF(((COUNTIF($P$5:P57,"x"))-(COUNTIF($P$5:P56,"x")))=0,"",COUNTIF($P$5:P57,"x"))</f>
        <v/>
      </c>
      <c r="Q162" s="3634" t="str">
        <f>IF(((COUNTIF($Q$5:Q57,"x"))-(COUNTIF($Q$5:Q56,"x")))=0,"",COUNTIF($Q$5:Q57,"x"))</f>
        <v/>
      </c>
      <c r="R162" s="3634" t="str">
        <f>IF(((COUNTIF($R$5:R57,"x"))-(COUNTIF($R$5:R56,"x")))=0,"",COUNTIF($R$5:R57,"x"))</f>
        <v/>
      </c>
      <c r="S162" s="3634" t="str">
        <f>IF(((COUNTIF($S$5:S57,"x"))-(COUNTIF($S$5:S56,"x")))=0,"",COUNTIF($S$5:S57,"x"))</f>
        <v/>
      </c>
      <c r="T162" s="3634" t="str">
        <f>IF(((COUNTIF($T$5:T57,"x"))-(COUNTIF($T$5:T56,"x")))=0,"",COUNTIF($T$5:T57,"x"))</f>
        <v/>
      </c>
      <c r="U162" s="3634" t="str">
        <f>IF(((COUNTIF($U$5:U57,"x"))-(COUNTIF($U$5:U56,"x")))=0,"",COUNTIF($U$5:U57,"x"))</f>
        <v/>
      </c>
      <c r="V162" s="3634" t="str">
        <f>IF(((COUNTIF($V$5:V57,"x"))-(COUNTIF($V$5:V56,"x")))=0,"",COUNTIF($V$5:V57,"x"))</f>
        <v/>
      </c>
      <c r="W162" s="3634" t="str">
        <f>IF(((COUNTIF($W$5:W57,"x"))-(COUNTIF($W$5:W56,"x")))=0,"",COUNTIF($W$5:W57,"x"))</f>
        <v/>
      </c>
      <c r="X162" s="3634" t="str">
        <f>IF(((COUNTIF($X$5:X57,"x"))-(COUNTIF($X$5:X56,"x")))=0,"",COUNTIF($X$5:X57,"x"))</f>
        <v/>
      </c>
      <c r="Y162" s="3634" t="str">
        <f>IF(((COUNTIF($Y$5:Y57,"x"))-(COUNTIF($Y$5:Y56,"x")))=0,"",COUNTIF($Y$5:Y57,"x"))</f>
        <v/>
      </c>
      <c r="Z162" s="3634" t="str">
        <f>IF(((COUNTIF($Z$5:Z57,"x"))-(COUNTIF($Z$5:Z56,"x")))=0,"",COUNTIF($Z$5:Z57,"x"))</f>
        <v/>
      </c>
      <c r="AA162" s="3634" t="str">
        <f>IF(((COUNTIF($AA$5:AA57,"x"))-(COUNTIF($AA$5:AA56,"x")))=0,"",COUNTIF($AA$5:AA57,"x"))</f>
        <v/>
      </c>
      <c r="AB162" s="3634" t="str">
        <f>IF(((COUNTIF($AB$5:AB57,"x"))-(COUNTIF($AB$5:AB56,"x")))=0,"",COUNTIF($AB$5:AB57,"x"))</f>
        <v/>
      </c>
      <c r="AC162" s="3634" t="str">
        <f>IF(((COUNTIF($AC$5:AC57,"x"))-(COUNTIF($AC$5:AC56,"x")))=0,"",COUNTIF($AC$5:AC57,"x"))</f>
        <v/>
      </c>
      <c r="AD162" s="3632" t="str">
        <f>IF(((COUNTIF($AD$5:AD57,"x"))-(COUNTIF($AD$5:AD56,"x")))=0,"",COUNTIF($AD$5:AD57,"x"))</f>
        <v/>
      </c>
      <c r="AE162" s="3634" t="str">
        <f>IF(((COUNTIF($AE$5:AE57,"x"))-(COUNTIF($AE$5:AE56,"x")))=0,"",COUNTIF($AE$5:AE57,"x"))</f>
        <v/>
      </c>
      <c r="AF162" s="3637" t="str">
        <f>IF(((COUNTIF($AF$5:AF57,"x"))-(COUNTIF($AF$5:AF56,"x")))=0,"",COUNTIF($AF$5:AF57,"x"))</f>
        <v/>
      </c>
      <c r="AG162" s="1518">
        <f t="shared" si="14"/>
        <v>0</v>
      </c>
    </row>
    <row r="163" spans="2:33" ht="17.399999999999999" hidden="1">
      <c r="B163" s="1525">
        <f t="shared" si="15"/>
        <v>54</v>
      </c>
      <c r="C163" s="2658" t="s">
        <v>500</v>
      </c>
      <c r="D163" s="3636"/>
      <c r="E163" s="2697"/>
      <c r="F163" s="3631">
        <f>IF(((COUNTIF($F$5:$F58,"x"))-(COUNTIF($F$5:$F57,"x")))=0,"",COUNTIF($F$5:$F58,"x"))</f>
        <v>22</v>
      </c>
      <c r="G163" s="3632">
        <f>IF(((COUNTIF($G$5:$G58,"x"))-(COUNTIF($G$5:$G57,"x")))=0,"",COUNTIF($G$5:$G58,"x"))</f>
        <v>16</v>
      </c>
      <c r="H163" s="3632">
        <f>IF(((COUNTIF($H$5:$H58,"x"))-(COUNTIF($H$5:$H57,"x")))=0,"",COUNTIF($H$5:$H58,"x"))</f>
        <v>22</v>
      </c>
      <c r="I163" s="3632">
        <f>IF(((COUNTIF($I$5:I58,"x"))-(COUNTIF($I$5:I57,"x")))=0,"",COUNTIF($I$5:I58,"x"))</f>
        <v>20</v>
      </c>
      <c r="J163" s="3634">
        <f>IF(((COUNTIF($J$5:J58,"x"))-(COUNTIF($J$5:J57,"x")))=0,"",COUNTIF($J$5:J58,"x"))</f>
        <v>19</v>
      </c>
      <c r="K163" s="3634">
        <f>IF(((COUNTIF($K$5:K58,"x"))-(COUNTIF($K$5:K57,"x")))=0,"",COUNTIF($K$5:K58,"x"))</f>
        <v>16</v>
      </c>
      <c r="L163" s="3634">
        <f>IF(((COUNTIF($L$5:L58,"x"))-(COUNTIF($L$5:L57,"x")))=0,"",COUNTIF($L$5:L58,"x"))</f>
        <v>17</v>
      </c>
      <c r="M163" s="3634">
        <f>IF(((COUNTIF($M$5:M58,"x"))-(COUNTIF($M$5:M57,"x")))=0,"",COUNTIF($M$5:M58,"x"))</f>
        <v>17</v>
      </c>
      <c r="N163" s="3634">
        <f>IF(((COUNTIF($N$5:N58,"x"))-(COUNTIF($N$5:N57,"x")))=0,"",COUNTIF($N$5:N58,"x"))</f>
        <v>8</v>
      </c>
      <c r="O163" s="3634">
        <f>IF(((COUNTIF($O$5:O58,"x"))-(COUNTIF($O$5:O57,"x")))=0,"",COUNTIF($O$5:O58,"x"))</f>
        <v>11</v>
      </c>
      <c r="P163" s="3632" t="str">
        <f>IF(((COUNTIF($P$5:P58,"x"))-(COUNTIF($P$5:P57,"x")))=0,"",COUNTIF($P$5:P58,"x"))</f>
        <v/>
      </c>
      <c r="Q163" s="3634" t="str">
        <f>IF(((COUNTIF($Q$5:Q58,"x"))-(COUNTIF($Q$5:Q57,"x")))=0,"",COUNTIF($Q$5:Q58,"x"))</f>
        <v/>
      </c>
      <c r="R163" s="3634" t="str">
        <f>IF(((COUNTIF($R$5:R58,"x"))-(COUNTIF($R$5:R57,"x")))=0,"",COUNTIF($R$5:R58,"x"))</f>
        <v/>
      </c>
      <c r="S163" s="3634" t="str">
        <f>IF(((COUNTIF($S$5:S58,"x"))-(COUNTIF($S$5:S57,"x")))=0,"",COUNTIF($S$5:S58,"x"))</f>
        <v/>
      </c>
      <c r="T163" s="3634" t="str">
        <f>IF(((COUNTIF($T$5:T58,"x"))-(COUNTIF($T$5:T57,"x")))=0,"",COUNTIF($T$5:T58,"x"))</f>
        <v/>
      </c>
      <c r="U163" s="3634" t="str">
        <f>IF(((COUNTIF($U$5:U58,"x"))-(COUNTIF($U$5:U57,"x")))=0,"",COUNTIF($U$5:U58,"x"))</f>
        <v/>
      </c>
      <c r="V163" s="3634" t="str">
        <f>IF(((COUNTIF($V$5:V58,"x"))-(COUNTIF($V$5:V57,"x")))=0,"",COUNTIF($V$5:V58,"x"))</f>
        <v/>
      </c>
      <c r="W163" s="3634" t="str">
        <f>IF(((COUNTIF($W$5:W58,"x"))-(COUNTIF($W$5:W57,"x")))=0,"",COUNTIF($W$5:W58,"x"))</f>
        <v/>
      </c>
      <c r="X163" s="3634" t="str">
        <f>IF(((COUNTIF($X$5:X58,"x"))-(COUNTIF($X$5:X57,"x")))=0,"",COUNTIF($X$5:X58,"x"))</f>
        <v/>
      </c>
      <c r="Y163" s="3634" t="str">
        <f>IF(((COUNTIF($Y$5:Y58,"x"))-(COUNTIF($Y$5:Y57,"x")))=0,"",COUNTIF($Y$5:Y58,"x"))</f>
        <v/>
      </c>
      <c r="Z163" s="3634" t="str">
        <f>IF(((COUNTIF($Z$5:Z58,"x"))-(COUNTIF($Z$5:Z57,"x")))=0,"",COUNTIF($Z$5:Z58,"x"))</f>
        <v/>
      </c>
      <c r="AA163" s="3634" t="str">
        <f>IF(((COUNTIF($AA$5:AA58,"x"))-(COUNTIF($AA$5:AA57,"x")))=0,"",COUNTIF($AA$5:AA58,"x"))</f>
        <v/>
      </c>
      <c r="AB163" s="3634" t="str">
        <f>IF(((COUNTIF($AB$5:AB58,"x"))-(COUNTIF($AB$5:AB57,"x")))=0,"",COUNTIF($AB$5:AB58,"x"))</f>
        <v/>
      </c>
      <c r="AC163" s="3634" t="str">
        <f>IF(((COUNTIF($AC$5:AC58,"x"))-(COUNTIF($AC$5:AC57,"x")))=0,"",COUNTIF($AC$5:AC58,"x"))</f>
        <v/>
      </c>
      <c r="AD163" s="3632">
        <f>IF(((COUNTIF($AD$5:AD58,"x"))-(COUNTIF($AD$5:AD57,"x")))=0,"",COUNTIF($AD$5:AD58,"x"))</f>
        <v>46</v>
      </c>
      <c r="AE163" s="3634" t="str">
        <f>IF(((COUNTIF($AE$5:AE58,"x"))-(COUNTIF($AE$5:AE57,"x")))=0,"",COUNTIF($AE$5:AE58,"x"))</f>
        <v/>
      </c>
      <c r="AF163" s="3637" t="str">
        <f>IF(((COUNTIF($AF$5:AF58,"x"))-(COUNTIF($AF$5:AF57,"x")))=0,"",COUNTIF($AF$5:AF58,"x"))</f>
        <v/>
      </c>
      <c r="AG163" s="1518" t="str">
        <f t="shared" si="14"/>
        <v>Primus Perfect</v>
      </c>
    </row>
    <row r="164" spans="2:33" ht="17.399999999999999" hidden="1">
      <c r="B164" s="1525">
        <f t="shared" si="15"/>
        <v>55</v>
      </c>
      <c r="C164" s="2658" t="s">
        <v>499</v>
      </c>
      <c r="D164" s="3636"/>
      <c r="E164" s="2697"/>
      <c r="F164" s="3631" t="str">
        <f>IF(((COUNTIF($F$5:$F59,"x"))-(COUNTIF($F$5:$F58,"x")))=0,"",COUNTIF($F$5:$F59,"x"))</f>
        <v/>
      </c>
      <c r="G164" s="3632" t="str">
        <f>IF(((COUNTIF($G$5:$G59,"x"))-(COUNTIF($G$5:$G58,"x")))=0,"",COUNTIF($G$5:$G59,"x"))</f>
        <v/>
      </c>
      <c r="H164" s="3632" t="str">
        <f>IF(((COUNTIF($H$5:$H59,"x"))-(COUNTIF($H$5:$H58,"x")))=0,"",COUNTIF($H$5:$H59,"x"))</f>
        <v/>
      </c>
      <c r="I164" s="3632" t="str">
        <f>IF(((COUNTIF($I$5:I59,"x"))-(COUNTIF($I$5:I58,"x")))=0,"",COUNTIF($I$5:I59,"x"))</f>
        <v/>
      </c>
      <c r="J164" s="3634" t="str">
        <f>IF(((COUNTIF($J$5:J59,"x"))-(COUNTIF($J$5:J58,"x")))=0,"",COUNTIF($J$5:J59,"x"))</f>
        <v/>
      </c>
      <c r="K164" s="3634" t="str">
        <f>IF(((COUNTIF($K$5:K59,"x"))-(COUNTIF($K$5:K58,"x")))=0,"",COUNTIF($K$5:K59,"x"))</f>
        <v/>
      </c>
      <c r="L164" s="3634" t="str">
        <f>IF(((COUNTIF($L$5:L59,"x"))-(COUNTIF($L$5:L58,"x")))=0,"",COUNTIF($L$5:L59,"x"))</f>
        <v/>
      </c>
      <c r="M164" s="3634" t="str">
        <f>IF(((COUNTIF($M$5:M59,"x"))-(COUNTIF($M$5:M58,"x")))=0,"",COUNTIF($M$5:M59,"x"))</f>
        <v/>
      </c>
      <c r="N164" s="3634" t="str">
        <f>IF(((COUNTIF($N$5:N59,"x"))-(COUNTIF($N$5:N58,"x")))=0,"",COUNTIF($N$5:N59,"x"))</f>
        <v/>
      </c>
      <c r="O164" s="3634" t="str">
        <f>IF(((COUNTIF($O$5:O59,"x"))-(COUNTIF($O$5:O58,"x")))=0,"",COUNTIF($O$5:O59,"x"))</f>
        <v/>
      </c>
      <c r="P164" s="3632" t="str">
        <f>IF(((COUNTIF($P$5:P59,"x"))-(COUNTIF($P$5:P58,"x")))=0,"",COUNTIF($P$5:P59,"x"))</f>
        <v/>
      </c>
      <c r="Q164" s="3634" t="str">
        <f>IF(((COUNTIF($Q$5:Q59,"x"))-(COUNTIF($Q$5:Q58,"x")))=0,"",COUNTIF($Q$5:Q59,"x"))</f>
        <v/>
      </c>
      <c r="R164" s="3634" t="str">
        <f>IF(((COUNTIF($R$5:R59,"x"))-(COUNTIF($R$5:R58,"x")))=0,"",COUNTIF($R$5:R59,"x"))</f>
        <v/>
      </c>
      <c r="S164" s="3634">
        <f>IF(((COUNTIF($S$5:S59,"x"))-(COUNTIF($S$5:S58,"x")))=0,"",COUNTIF($S$5:S59,"x"))</f>
        <v>15</v>
      </c>
      <c r="T164" s="3634">
        <f>IF(((COUNTIF($T$5:T59,"x"))-(COUNTIF($T$5:T58,"x")))=0,"",COUNTIF($T$5:T59,"x"))</f>
        <v>8</v>
      </c>
      <c r="U164" s="3634" t="str">
        <f>IF(((COUNTIF($U$5:U59,"x"))-(COUNTIF($U$5:U58,"x")))=0,"",COUNTIF($U$5:U59,"x"))</f>
        <v/>
      </c>
      <c r="V164" s="3634" t="str">
        <f>IF(((COUNTIF($V$5:V59,"x"))-(COUNTIF($V$5:V58,"x")))=0,"",COUNTIF($V$5:V59,"x"))</f>
        <v/>
      </c>
      <c r="W164" s="3634" t="str">
        <f>IF(((COUNTIF($W$5:W59,"x"))-(COUNTIF($W$5:W58,"x")))=0,"",COUNTIF($W$5:W59,"x"))</f>
        <v/>
      </c>
      <c r="X164" s="3634" t="str">
        <f>IF(((COUNTIF($X$5:X59,"x"))-(COUNTIF($X$5:X58,"x")))=0,"",COUNTIF($X$5:X59,"x"))</f>
        <v/>
      </c>
      <c r="Y164" s="3634" t="str">
        <f>IF(((COUNTIF($Y$5:Y59,"x"))-(COUNTIF($Y$5:Y58,"x")))=0,"",COUNTIF($Y$5:Y59,"x"))</f>
        <v/>
      </c>
      <c r="Z164" s="3634" t="str">
        <f>IF(((COUNTIF($Z$5:Z59,"x"))-(COUNTIF($Z$5:Z58,"x")))=0,"",COUNTIF($Z$5:Z59,"x"))</f>
        <v/>
      </c>
      <c r="AA164" s="3634" t="str">
        <f>IF(((COUNTIF($AA$5:AA59,"x"))-(COUNTIF($AA$5:AA58,"x")))=0,"",COUNTIF($AA$5:AA59,"x"))</f>
        <v/>
      </c>
      <c r="AB164" s="3634" t="str">
        <f>IF(((COUNTIF($AB$5:AB59,"x"))-(COUNTIF($AB$5:AB58,"x")))=0,"",COUNTIF($AB$5:AB59,"x"))</f>
        <v/>
      </c>
      <c r="AC164" s="3634" t="str">
        <f>IF(((COUNTIF($AC$5:AC59,"x"))-(COUNTIF($AC$5:AC58,"x")))=0,"",COUNTIF($AC$5:AC59,"x"))</f>
        <v/>
      </c>
      <c r="AD164" s="3632">
        <f>IF(((COUNTIF($AD$5:AD59,"x"))-(COUNTIF($AD$5:AD58,"x")))=0,"",COUNTIF($AD$5:AD59,"x"))</f>
        <v>47</v>
      </c>
      <c r="AE164" s="3634" t="str">
        <f>IF(((COUNTIF($AE$5:AE59,"x"))-(COUNTIF($AE$5:AE58,"x")))=0,"",COUNTIF($AE$5:AE59,"x"))</f>
        <v/>
      </c>
      <c r="AF164" s="3637" t="str">
        <f>IF(((COUNTIF($AF$5:AF59,"x"))-(COUNTIF($AF$5:AF58,"x")))=0,"",COUNTIF($AF$5:AF59,"x"))</f>
        <v/>
      </c>
      <c r="AG164" s="1518" t="str">
        <f t="shared" si="14"/>
        <v>Proline</v>
      </c>
    </row>
    <row r="165" spans="2:33" ht="17.399999999999999" hidden="1">
      <c r="B165" s="1525">
        <f t="shared" si="15"/>
        <v>56</v>
      </c>
      <c r="C165" s="2658" t="s">
        <v>498</v>
      </c>
      <c r="D165" s="3636"/>
      <c r="E165" s="2697"/>
      <c r="F165" s="3631" t="str">
        <f>IF(((COUNTIF($F$5:$F60,"x"))-(COUNTIF($F$5:$F59,"x")))=0,"",COUNTIF($F$5:$F60,"x"))</f>
        <v/>
      </c>
      <c r="G165" s="3632" t="str">
        <f>IF(((COUNTIF($G$5:$G60,"x"))-(COUNTIF($G$5:$G59,"x")))=0,"",COUNTIF($G$5:$G60,"x"))</f>
        <v/>
      </c>
      <c r="H165" s="3632" t="str">
        <f>IF(((COUNTIF($H$5:$H60,"x"))-(COUNTIF($H$5:$H59,"x")))=0,"",COUNTIF($H$5:$H60,"x"))</f>
        <v/>
      </c>
      <c r="I165" s="3632" t="str">
        <f>IF(((COUNTIF($I$5:I60,"x"))-(COUNTIF($I$5:I59,"x")))=0,"",COUNTIF($I$5:I60,"x"))</f>
        <v/>
      </c>
      <c r="J165" s="3634" t="str">
        <f>IF(((COUNTIF($J$5:J60,"x"))-(COUNTIF($J$5:J59,"x")))=0,"",COUNTIF($J$5:J60,"x"))</f>
        <v/>
      </c>
      <c r="K165" s="3634" t="str">
        <f>IF(((COUNTIF($K$5:K60,"x"))-(COUNTIF($K$5:K59,"x")))=0,"",COUNTIF($K$5:K60,"x"))</f>
        <v/>
      </c>
      <c r="L165" s="3634" t="str">
        <f>IF(((COUNTIF($L$5:L60,"x"))-(COUNTIF($L$5:L59,"x")))=0,"",COUNTIF($L$5:L60,"x"))</f>
        <v/>
      </c>
      <c r="M165" s="3634" t="str">
        <f>IF(((COUNTIF($M$5:M60,"x"))-(COUNTIF($M$5:M59,"x")))=0,"",COUNTIF($M$5:M60,"x"))</f>
        <v/>
      </c>
      <c r="N165" s="3634" t="str">
        <f>IF(((COUNTIF($N$5:N60,"x"))-(COUNTIF($N$5:N59,"x")))=0,"",COUNTIF($N$5:N60,"x"))</f>
        <v/>
      </c>
      <c r="O165" s="3634" t="str">
        <f>IF(((COUNTIF($O$5:O60,"x"))-(COUNTIF($O$5:O59,"x")))=0,"",COUNTIF($O$5:O60,"x"))</f>
        <v/>
      </c>
      <c r="P165" s="3632" t="str">
        <f>IF(((COUNTIF($P$5:P60,"x"))-(COUNTIF($P$5:P59,"x")))=0,"",COUNTIF($P$5:P60,"x"))</f>
        <v/>
      </c>
      <c r="Q165" s="3634" t="str">
        <f>IF(((COUNTIF($Q$5:Q60,"x"))-(COUNTIF($Q$5:Q59,"x")))=0,"",COUNTIF($Q$5:Q60,"x"))</f>
        <v/>
      </c>
      <c r="R165" s="3634" t="str">
        <f>IF(((COUNTIF($R$5:R60,"x"))-(COUNTIF($R$5:R59,"x")))=0,"",COUNTIF($R$5:R60,"x"))</f>
        <v/>
      </c>
      <c r="S165" s="3634">
        <f>IF(((COUNTIF($S$5:S60,"x"))-(COUNTIF($S$5:S59,"x")))=0,"",COUNTIF($S$5:S60,"x"))</f>
        <v>16</v>
      </c>
      <c r="T165" s="3634">
        <f>IF(((COUNTIF($T$5:T60,"x"))-(COUNTIF($T$5:T59,"x")))=0,"",COUNTIF($T$5:T60,"x"))</f>
        <v>9</v>
      </c>
      <c r="U165" s="3634" t="str">
        <f>IF(((COUNTIF($U$5:U60,"x"))-(COUNTIF($U$5:U59,"x")))=0,"",COUNTIF($U$5:U60,"x"))</f>
        <v/>
      </c>
      <c r="V165" s="3634" t="str">
        <f>IF(((COUNTIF($V$5:V60,"x"))-(COUNTIF($V$5:V59,"x")))=0,"",COUNTIF($V$5:V60,"x"))</f>
        <v/>
      </c>
      <c r="W165" s="3634" t="str">
        <f>IF(((COUNTIF($W$5:W60,"x"))-(COUNTIF($W$5:W59,"x")))=0,"",COUNTIF($W$5:W60,"x"))</f>
        <v/>
      </c>
      <c r="X165" s="3634" t="str">
        <f>IF(((COUNTIF($X$5:X60,"x"))-(COUNTIF($X$5:X59,"x")))=0,"",COUNTIF($X$5:X60,"x"))</f>
        <v/>
      </c>
      <c r="Y165" s="3634" t="str">
        <f>IF(((COUNTIF($Y$5:Y60,"x"))-(COUNTIF($Y$5:Y59,"x")))=0,"",COUNTIF($Y$5:Y60,"x"))</f>
        <v/>
      </c>
      <c r="Z165" s="3634" t="str">
        <f>IF(((COUNTIF($Z$5:Z60,"x"))-(COUNTIF($Z$5:Z59,"x")))=0,"",COUNTIF($Z$5:Z60,"x"))</f>
        <v/>
      </c>
      <c r="AA165" s="3634" t="str">
        <f>IF(((COUNTIF($AA$5:AA60,"x"))-(COUNTIF($AA$5:AA59,"x")))=0,"",COUNTIF($AA$5:AA60,"x"))</f>
        <v/>
      </c>
      <c r="AB165" s="3634">
        <f>IF(((COUNTIF($AB$5:AB60,"x"))-(COUNTIF($AB$5:AB59,"x")))=0,"",COUNTIF($AB$5:AB60,"x"))</f>
        <v>11</v>
      </c>
      <c r="AC165" s="3634" t="str">
        <f>IF(((COUNTIF($AC$5:AC60,"x"))-(COUNTIF($AC$5:AC59,"x")))=0,"",COUNTIF($AC$5:AC60,"x"))</f>
        <v/>
      </c>
      <c r="AD165" s="3632">
        <f>IF(((COUNTIF($AD$5:AD60,"x"))-(COUNTIF($AD$5:AD59,"x")))=0,"",COUNTIF($AD$5:AD60,"x"))</f>
        <v>48</v>
      </c>
      <c r="AE165" s="3634" t="str">
        <f>IF(((COUNTIF($AE$5:AE60,"x"))-(COUNTIF($AE$5:AE59,"x")))=0,"",COUNTIF($AE$5:AE60,"x"))</f>
        <v/>
      </c>
      <c r="AF165" s="3637" t="str">
        <f>IF(((COUNTIF($AF$5:AF60,"x"))-(COUNTIF($AF$5:AF59,"x")))=0,"",COUNTIF($AF$5:AF60,"x"))</f>
        <v/>
      </c>
      <c r="AG165" s="1518" t="str">
        <f t="shared" si="14"/>
        <v>Propulse</v>
      </c>
    </row>
    <row r="166" spans="2:33" ht="17.399999999999999" hidden="1">
      <c r="B166" s="1525">
        <f t="shared" si="15"/>
        <v>57</v>
      </c>
      <c r="C166" s="2658" t="s">
        <v>497</v>
      </c>
      <c r="D166" s="3636"/>
      <c r="E166" s="2697"/>
      <c r="F166" s="3631">
        <f>IF(((COUNTIF($F$5:$F61,"x"))-(COUNTIF($F$5:$F60,"x")))=0,"",COUNTIF($F$5:$F61,"x"))</f>
        <v>23</v>
      </c>
      <c r="G166" s="3632">
        <f>IF(((COUNTIF($G$5:$G61,"x"))-(COUNTIF($G$5:$G60,"x")))=0,"",COUNTIF($G$5:$G61,"x"))</f>
        <v>17</v>
      </c>
      <c r="H166" s="3632">
        <f>IF(((COUNTIF($H$5:$H61,"x"))-(COUNTIF($H$5:$H60,"x")))=0,"",COUNTIF($H$5:$H61,"x"))</f>
        <v>23</v>
      </c>
      <c r="I166" s="3632">
        <f>IF(((COUNTIF($I$5:I61,"x"))-(COUNTIF($I$5:I60,"x")))=0,"",COUNTIF($I$5:I61,"x"))</f>
        <v>21</v>
      </c>
      <c r="J166" s="3634">
        <f>IF(((COUNTIF($J$5:J61,"x"))-(COUNTIF($J$5:J60,"x")))=0,"",COUNTIF($J$5:J61,"x"))</f>
        <v>20</v>
      </c>
      <c r="K166" s="3634">
        <f>IF(((COUNTIF($K$5:K61,"x"))-(COUNTIF($K$5:K60,"x")))=0,"",COUNTIF($K$5:K61,"x"))</f>
        <v>17</v>
      </c>
      <c r="L166" s="3634">
        <f>IF(((COUNTIF($L$5:L61,"x"))-(COUNTIF($L$5:L60,"x")))=0,"",COUNTIF($L$5:L61,"x"))</f>
        <v>18</v>
      </c>
      <c r="M166" s="3634">
        <f>IF(((COUNTIF($M$5:M61,"x"))-(COUNTIF($M$5:M60,"x")))=0,"",COUNTIF($M$5:M61,"x"))</f>
        <v>18</v>
      </c>
      <c r="N166" s="3634" t="str">
        <f>IF(((COUNTIF($N$5:N61,"x"))-(COUNTIF($N$5:N60,"x")))=0,"",COUNTIF($N$5:N61,"x"))</f>
        <v/>
      </c>
      <c r="O166" s="3634">
        <f>IF(((COUNTIF($O$5:O61,"x"))-(COUNTIF($O$5:O60,"x")))=0,"",COUNTIF($O$5:O61,"x"))</f>
        <v>12</v>
      </c>
      <c r="P166" s="3632">
        <f>IF(((COUNTIF($P$5:P61,"x"))-(COUNTIF($P$5:P60,"x")))=0,"",COUNTIF($P$5:P61,"x"))</f>
        <v>9</v>
      </c>
      <c r="Q166" s="3634" t="str">
        <f>IF(((COUNTIF($Q$5:Q61,"x"))-(COUNTIF($Q$5:Q60,"x")))=0,"",COUNTIF($Q$5:Q61,"x"))</f>
        <v/>
      </c>
      <c r="R166" s="3634" t="str">
        <f>IF(((COUNTIF($R$5:R61,"x"))-(COUNTIF($R$5:R60,"x")))=0,"",COUNTIF($R$5:R61,"x"))</f>
        <v/>
      </c>
      <c r="S166" s="3634">
        <f>IF(((COUNTIF($S$5:S61,"x"))-(COUNTIF($S$5:S60,"x")))=0,"",COUNTIF($S$5:S61,"x"))</f>
        <v>17</v>
      </c>
      <c r="T166" s="3634">
        <f>IF(((COUNTIF($T$5:T61,"x"))-(COUNTIF($T$5:T60,"x")))=0,"",COUNTIF($T$5:T61,"x"))</f>
        <v>10</v>
      </c>
      <c r="U166" s="3634" t="str">
        <f>IF(((COUNTIF($U$5:U61,"x"))-(COUNTIF($U$5:U60,"x")))=0,"",COUNTIF($U$5:U61,"x"))</f>
        <v/>
      </c>
      <c r="V166" s="3634" t="str">
        <f>IF(((COUNTIF($V$5:V61,"x"))-(COUNTIF($V$5:V60,"x")))=0,"",COUNTIF($V$5:V61,"x"))</f>
        <v/>
      </c>
      <c r="W166" s="3634" t="str">
        <f>IF(((COUNTIF($W$5:W61,"x"))-(COUNTIF($W$5:W60,"x")))=0,"",COUNTIF($W$5:W61,"x"))</f>
        <v/>
      </c>
      <c r="X166" s="3634" t="str">
        <f>IF(((COUNTIF($X$5:X61,"x"))-(COUNTIF($X$5:X60,"x")))=0,"",COUNTIF($X$5:X61,"x"))</f>
        <v/>
      </c>
      <c r="Y166" s="3634" t="str">
        <f>IF(((COUNTIF($Y$5:Y61,"x"))-(COUNTIF($Y$5:Y60,"x")))=0,"",COUNTIF($Y$5:Y61,"x"))</f>
        <v/>
      </c>
      <c r="Z166" s="3634" t="str">
        <f>IF(((COUNTIF($Z$5:Z61,"x"))-(COUNTIF($Z$5:Z60,"x")))=0,"",COUNTIF($Z$5:Z61,"x"))</f>
        <v/>
      </c>
      <c r="AA166" s="3634" t="str">
        <f>IF(((COUNTIF($AA$5:AA61,"x"))-(COUNTIF($AA$5:AA60,"x")))=0,"",COUNTIF($AA$5:AA61,"x"))</f>
        <v/>
      </c>
      <c r="AB166" s="3634" t="str">
        <f>IF(((COUNTIF($AB$5:AB61,"x"))-(COUNTIF($AB$5:AB60,"x")))=0,"",COUNTIF($AB$5:AB61,"x"))</f>
        <v/>
      </c>
      <c r="AC166" s="3634" t="str">
        <f>IF(((COUNTIF($AC$5:AC61,"x"))-(COUNTIF($AC$5:AC60,"x")))=0,"",COUNTIF($AC$5:AC61,"x"))</f>
        <v/>
      </c>
      <c r="AD166" s="3632">
        <f>IF(((COUNTIF($AD$5:AD61,"x"))-(COUNTIF($AD$5:AD60,"x")))=0,"",COUNTIF($AD$5:AD61,"x"))</f>
        <v>49</v>
      </c>
      <c r="AE166" s="3634" t="str">
        <f>IF(((COUNTIF($AE$5:AE61,"x"))-(COUNTIF($AE$5:AE60,"x")))=0,"",COUNTIF($AE$5:AE61,"x"))</f>
        <v/>
      </c>
      <c r="AF166" s="3637" t="str">
        <f>IF(((COUNTIF($AF$5:AF61,"x"))-(COUNTIF($AF$5:AF60,"x")))=0,"",COUNTIF($AF$5:AF61,"x"))</f>
        <v/>
      </c>
      <c r="AG166" s="1518" t="str">
        <f t="shared" si="14"/>
        <v>Prosaro</v>
      </c>
    </row>
    <row r="167" spans="2:33" ht="17.399999999999999" hidden="1">
      <c r="B167" s="1525">
        <f t="shared" si="15"/>
        <v>58</v>
      </c>
      <c r="C167" s="2658" t="s">
        <v>496</v>
      </c>
      <c r="D167" s="3636"/>
      <c r="E167" s="3638"/>
      <c r="F167" s="3631" t="str">
        <f>IF(((COUNTIF($F$5:$F62,"x"))-(COUNTIF($F$5:$F61,"x")))=0,"",COUNTIF($F$5:$F62,"x"))</f>
        <v/>
      </c>
      <c r="G167" s="3632" t="str">
        <f>IF(((COUNTIF($G$5:$G62,"x"))-(COUNTIF($G$5:$G61,"x")))=0,"",COUNTIF($G$5:$G62,"x"))</f>
        <v/>
      </c>
      <c r="H167" s="3632" t="str">
        <f>IF(((COUNTIF($H$5:$H62,"x"))-(COUNTIF($H$5:$H61,"x")))=0,"",COUNTIF($H$5:$H62,"x"))</f>
        <v/>
      </c>
      <c r="I167" s="3632" t="str">
        <f>IF(((COUNTIF($I$5:I62,"x"))-(COUNTIF($I$5:I61,"x")))=0,"",COUNTIF($I$5:I62,"x"))</f>
        <v/>
      </c>
      <c r="J167" s="3634" t="str">
        <f>IF(((COUNTIF($J$5:J62,"x"))-(COUNTIF($J$5:J61,"x")))=0,"",COUNTIF($J$5:J62,"x"))</f>
        <v/>
      </c>
      <c r="K167" s="3634" t="str">
        <f>IF(((COUNTIF($K$5:K62,"x"))-(COUNTIF($K$5:K61,"x")))=0,"",COUNTIF($K$5:K62,"x"))</f>
        <v/>
      </c>
      <c r="L167" s="3634" t="str">
        <f>IF(((COUNTIF($L$5:L62,"x"))-(COUNTIF($L$5:L61,"x")))=0,"",COUNTIF($L$5:L62,"x"))</f>
        <v/>
      </c>
      <c r="M167" s="3634" t="str">
        <f>IF(((COUNTIF($M$5:M62,"x"))-(COUNTIF($M$5:M61,"x")))=0,"",COUNTIF($M$5:M62,"x"))</f>
        <v/>
      </c>
      <c r="N167" s="3634" t="str">
        <f>IF(((COUNTIF($N$5:N62,"x"))-(COUNTIF($N$5:N61,"x")))=0,"",COUNTIF($N$5:N62,"x"))</f>
        <v/>
      </c>
      <c r="O167" s="3634" t="str">
        <f>IF(((COUNTIF($O$5:O62,"x"))-(COUNTIF($O$5:O61,"x")))=0,"",COUNTIF($O$5:O62,"x"))</f>
        <v/>
      </c>
      <c r="P167" s="3632" t="str">
        <f>IF(((COUNTIF($P$5:P62,"x"))-(COUNTIF($P$5:P61,"x")))=0,"",COUNTIF($P$5:P62,"x"))</f>
        <v/>
      </c>
      <c r="Q167" s="3634" t="str">
        <f>IF(((COUNTIF($Q$5:Q62,"x"))-(COUNTIF($Q$5:Q61,"x")))=0,"",COUNTIF($Q$5:Q62,"x"))</f>
        <v/>
      </c>
      <c r="R167" s="3634" t="str">
        <f>IF(((COUNTIF($R$5:R62,"x"))-(COUNTIF($R$5:R61,"x")))=0,"",COUNTIF($R$5:R62,"x"))</f>
        <v/>
      </c>
      <c r="S167" s="3634" t="str">
        <f>IF(((COUNTIF($S$5:S62,"x"))-(COUNTIF($S$5:S61,"x")))=0,"",COUNTIF($S$5:S62,"x"))</f>
        <v/>
      </c>
      <c r="T167" s="3634" t="str">
        <f>IF(((COUNTIF($T$5:T62,"x"))-(COUNTIF($T$5:T61,"x")))=0,"",COUNTIF($T$5:T62,"x"))</f>
        <v/>
      </c>
      <c r="U167" s="3634" t="str">
        <f>IF(((COUNTIF($U$5:U62,"x"))-(COUNTIF($U$5:U61,"x")))=0,"",COUNTIF($U$5:U62,"x"))</f>
        <v/>
      </c>
      <c r="V167" s="3634" t="str">
        <f>IF(((COUNTIF($V$5:V62,"x"))-(COUNTIF($V$5:V61,"x")))=0,"",COUNTIF($V$5:V62,"x"))</f>
        <v/>
      </c>
      <c r="W167" s="3634" t="str">
        <f>IF(((COUNTIF($W$5:W62,"x"))-(COUNTIF($W$5:W61,"x")))=0,"",COUNTIF($W$5:W62,"x"))</f>
        <v/>
      </c>
      <c r="X167" s="3634" t="str">
        <f>IF(((COUNTIF($X$5:X62,"x"))-(COUNTIF($X$5:X61,"x")))=0,"",COUNTIF($X$5:X62,"x"))</f>
        <v/>
      </c>
      <c r="Y167" s="3634" t="str">
        <f>IF(((COUNTIF($Y$5:Y62,"x"))-(COUNTIF($Y$5:Y61,"x")))=0,"",COUNTIF($Y$5:Y62,"x"))</f>
        <v/>
      </c>
      <c r="Z167" s="3634" t="str">
        <f>IF(((COUNTIF($Z$5:Z62,"x"))-(COUNTIF($Z$5:Z61,"x")))=0,"",COUNTIF($Z$5:Z62,"x"))</f>
        <v/>
      </c>
      <c r="AA167" s="3634" t="str">
        <f>IF(((COUNTIF($AA$5:AA62,"x"))-(COUNTIF($AA$5:AA61,"x")))=0,"",COUNTIF($AA$5:AA62,"x"))</f>
        <v/>
      </c>
      <c r="AB167" s="3634">
        <f>IF(((COUNTIF($AB$5:AB62,"x"))-(COUNTIF($AB$5:AB61,"x")))=0,"",COUNTIF($AB$5:AB62,"x"))</f>
        <v>12</v>
      </c>
      <c r="AC167" s="3634" t="str">
        <f>IF(((COUNTIF($AC$5:AC62,"x"))-(COUNTIF($AC$5:AC61,"x")))=0,"",COUNTIF($AC$5:AC62,"x"))</f>
        <v/>
      </c>
      <c r="AD167" s="3632">
        <f>IF(((COUNTIF($AD$5:AD62,"x"))-(COUNTIF($AD$5:AD61,"x")))=0,"",COUNTIF($AD$5:AD62,"x"))</f>
        <v>50</v>
      </c>
      <c r="AE167" s="3634" t="str">
        <f>IF(((COUNTIF($AE$5:AE62,"x"))-(COUNTIF($AE$5:AE61,"x")))=0,"",COUNTIF($AE$5:AE62,"x"))</f>
        <v/>
      </c>
      <c r="AF167" s="3637" t="str">
        <f>IF(((COUNTIF($AF$5:AF62,"x"))-(COUNTIF($AF$5:AF61,"x")))=0,"",COUNTIF($AF$5:AF62,"x"))</f>
        <v/>
      </c>
      <c r="AG167" s="1518" t="str">
        <f t="shared" si="14"/>
        <v>Ranman Top</v>
      </c>
    </row>
    <row r="168" spans="2:33" ht="17.399999999999999" hidden="1">
      <c r="B168" s="1525">
        <f t="shared" si="15"/>
        <v>59</v>
      </c>
      <c r="C168" s="2658" t="s">
        <v>495</v>
      </c>
      <c r="D168" s="3636"/>
      <c r="E168" s="3638"/>
      <c r="F168" s="3631" t="str">
        <f>IF(((COUNTIF($F$5:$F63,"x"))-(COUNTIF($F$5:$F62,"x")))=0,"",COUNTIF($F$5:$F63,"x"))</f>
        <v/>
      </c>
      <c r="G168" s="3632" t="str">
        <f>IF(((COUNTIF($G$5:$G63,"x"))-(COUNTIF($G$5:$G62,"x")))=0,"",COUNTIF($G$5:$G63,"x"))</f>
        <v/>
      </c>
      <c r="H168" s="3632" t="str">
        <f>IF(((COUNTIF($H$5:$H63,"x"))-(COUNTIF($H$5:$H62,"x")))=0,"",COUNTIF($H$5:$H63,"x"))</f>
        <v/>
      </c>
      <c r="I168" s="3632" t="str">
        <f>IF(((COUNTIF($I$5:I63,"x"))-(COUNTIF($I$5:I62,"x")))=0,"",COUNTIF($I$5:I63,"x"))</f>
        <v/>
      </c>
      <c r="J168" s="3634" t="str">
        <f>IF(((COUNTIF($J$5:J63,"x"))-(COUNTIF($J$5:J62,"x")))=0,"",COUNTIF($J$5:J63,"x"))</f>
        <v/>
      </c>
      <c r="K168" s="3634" t="str">
        <f>IF(((COUNTIF($K$5:K63,"x"))-(COUNTIF($K$5:K62,"x")))=0,"",COUNTIF($K$5:K63,"x"))</f>
        <v/>
      </c>
      <c r="L168" s="3634" t="str">
        <f>IF(((COUNTIF($L$5:L63,"x"))-(COUNTIF($L$5:L62,"x")))=0,"",COUNTIF($L$5:L63,"x"))</f>
        <v/>
      </c>
      <c r="M168" s="3634" t="str">
        <f>IF(((COUNTIF($M$5:M63,"x"))-(COUNTIF($M$5:M62,"x")))=0,"",COUNTIF($M$5:M63,"x"))</f>
        <v/>
      </c>
      <c r="N168" s="3634" t="str">
        <f>IF(((COUNTIF($N$5:N63,"x"))-(COUNTIF($N$5:N62,"x")))=0,"",COUNTIF($N$5:N63,"x"))</f>
        <v/>
      </c>
      <c r="O168" s="3634" t="str">
        <f>IF(((COUNTIF($O$5:O63,"x"))-(COUNTIF($O$5:O62,"x")))=0,"",COUNTIF($O$5:O63,"x"))</f>
        <v/>
      </c>
      <c r="P168" s="3632" t="str">
        <f>IF(((COUNTIF($P$5:P63,"x"))-(COUNTIF($P$5:P62,"x")))=0,"",COUNTIF($P$5:P63,"x"))</f>
        <v/>
      </c>
      <c r="Q168" s="3634" t="str">
        <f>IF(((COUNTIF($Q$5:Q63,"x"))-(COUNTIF($Q$5:Q62,"x")))=0,"",COUNTIF($Q$5:Q63,"x"))</f>
        <v/>
      </c>
      <c r="R168" s="3634" t="str">
        <f>IF(((COUNTIF($R$5:R63,"x"))-(COUNTIF($R$5:R62,"x")))=0,"",COUNTIF($R$5:R63,"x"))</f>
        <v/>
      </c>
      <c r="S168" s="3634" t="str">
        <f>IF(((COUNTIF($S$5:S63,"x"))-(COUNTIF($S$5:S62,"x")))=0,"",COUNTIF($S$5:S63,"x"))</f>
        <v/>
      </c>
      <c r="T168" s="3634" t="str">
        <f>IF(((COUNTIF($T$5:T63,"x"))-(COUNTIF($T$5:T62,"x")))=0,"",COUNTIF($T$5:T63,"x"))</f>
        <v/>
      </c>
      <c r="U168" s="3634" t="str">
        <f>IF(((COUNTIF($U$5:U63,"x"))-(COUNTIF($U$5:U62,"x")))=0,"",COUNTIF($U$5:U63,"x"))</f>
        <v/>
      </c>
      <c r="V168" s="3634" t="str">
        <f>IF(((COUNTIF($V$5:V63,"x"))-(COUNTIF($V$5:V62,"x")))=0,"",COUNTIF($V$5:V63,"x"))</f>
        <v/>
      </c>
      <c r="W168" s="3634" t="str">
        <f>IF(((COUNTIF($W$5:W63,"x"))-(COUNTIF($W$5:W62,"x")))=0,"",COUNTIF($W$5:W63,"x"))</f>
        <v/>
      </c>
      <c r="X168" s="3634" t="str">
        <f>IF(((COUNTIF($X$5:X63,"x"))-(COUNTIF($X$5:X62,"x")))=0,"",COUNTIF($X$5:X63,"x"))</f>
        <v/>
      </c>
      <c r="Y168" s="3634">
        <f>IF(((COUNTIF($Y$5:Y63,"x"))-(COUNTIF($Y$5:Y62,"x")))=0,"",COUNTIF($Y$5:Y63,"x"))</f>
        <v>8</v>
      </c>
      <c r="Z168" s="3634" t="str">
        <f>IF(((COUNTIF($Z$5:Z63,"x"))-(COUNTIF($Z$5:Z62,"x")))=0,"",COUNTIF($Z$5:Z63,"x"))</f>
        <v/>
      </c>
      <c r="AA168" s="3634" t="str">
        <f>IF(((COUNTIF($AA$5:AA63,"x"))-(COUNTIF($AA$5:AA62,"x")))=0,"",COUNTIF($AA$5:AA63,"x"))</f>
        <v/>
      </c>
      <c r="AB168" s="3634">
        <f>IF(((COUNTIF($AB$5:AB63,"x"))-(COUNTIF($AB$5:AB62,"x")))=0,"",COUNTIF($AB$5:AB63,"x"))</f>
        <v>13</v>
      </c>
      <c r="AC168" s="3634" t="str">
        <f>IF(((COUNTIF($AC$5:AC63,"x"))-(COUNTIF($AC$5:AC62,"x")))=0,"",COUNTIF($AC$5:AC63,"x"))</f>
        <v/>
      </c>
      <c r="AD168" s="3632">
        <f>IF(((COUNTIF($AD$5:AD63,"x"))-(COUNTIF($AD$5:AD62,"x")))=0,"",COUNTIF($AD$5:AD63,"x"))</f>
        <v>51</v>
      </c>
      <c r="AE168" s="3634" t="str">
        <f>IF(((COUNTIF($AE$5:AE63,"x"))-(COUNTIF($AE$5:AE62,"x")))=0,"",COUNTIF($AE$5:AE63,"x"))</f>
        <v/>
      </c>
      <c r="AF168" s="3637" t="str">
        <f>IF(((COUNTIF($AF$5:AF63,"x"))-(COUNTIF($AF$5:AF62,"x")))=0,"",COUNTIF($AF$5:AF63,"x"))</f>
        <v/>
      </c>
      <c r="AG168" s="1518" t="str">
        <f t="shared" si="14"/>
        <v>Revus</v>
      </c>
    </row>
    <row r="169" spans="2:33" ht="17.399999999999999" hidden="1">
      <c r="B169" s="1525">
        <f t="shared" si="15"/>
        <v>60</v>
      </c>
      <c r="C169" s="3450"/>
      <c r="D169" s="3636"/>
      <c r="E169" s="3638"/>
      <c r="F169" s="3631" t="str">
        <f>IF(((COUNTIF($F$5:$F64,"x"))-(COUNTIF($F$5:$F63,"x")))=0,"",COUNTIF($F$5:$F64,"x"))</f>
        <v/>
      </c>
      <c r="G169" s="3632" t="str">
        <f>IF(((COUNTIF($G$5:$G64,"x"))-(COUNTIF($G$5:$G63,"x")))=0,"",COUNTIF($G$5:$G64,"x"))</f>
        <v/>
      </c>
      <c r="H169" s="3632" t="str">
        <f>IF(((COUNTIF($H$5:$H64,"x"))-(COUNTIF($H$5:$H63,"x")))=0,"",COUNTIF($H$5:$H64,"x"))</f>
        <v/>
      </c>
      <c r="I169" s="3632" t="str">
        <f>IF(((COUNTIF($I$5:I64,"x"))-(COUNTIF($I$5:I63,"x")))=0,"",COUNTIF($I$5:I64,"x"))</f>
        <v/>
      </c>
      <c r="J169" s="3634" t="str">
        <f>IF(((COUNTIF($J$5:J64,"x"))-(COUNTIF($J$5:J63,"x")))=0,"",COUNTIF($J$5:J64,"x"))</f>
        <v/>
      </c>
      <c r="K169" s="3634" t="str">
        <f>IF(((COUNTIF($K$5:K64,"x"))-(COUNTIF($K$5:K63,"x")))=0,"",COUNTIF($K$5:K64,"x"))</f>
        <v/>
      </c>
      <c r="L169" s="3634" t="str">
        <f>IF(((COUNTIF($L$5:L64,"x"))-(COUNTIF($L$5:L63,"x")))=0,"",COUNTIF($L$5:L64,"x"))</f>
        <v/>
      </c>
      <c r="M169" s="3634" t="str">
        <f>IF(((COUNTIF($M$5:M64,"x"))-(COUNTIF($M$5:M63,"x")))=0,"",COUNTIF($M$5:M64,"x"))</f>
        <v/>
      </c>
      <c r="N169" s="3634" t="str">
        <f>IF(((COUNTIF($N$5:N64,"x"))-(COUNTIF($N$5:N63,"x")))=0,"",COUNTIF($N$5:N64,"x"))</f>
        <v/>
      </c>
      <c r="O169" s="3634" t="str">
        <f>IF(((COUNTIF($O$5:O64,"x"))-(COUNTIF($O$5:O63,"x")))=0,"",COUNTIF($O$5:O64,"x"))</f>
        <v/>
      </c>
      <c r="P169" s="3632" t="str">
        <f>IF(((COUNTIF($P$5:P64,"x"))-(COUNTIF($P$5:P63,"x")))=0,"",COUNTIF($P$5:P64,"x"))</f>
        <v/>
      </c>
      <c r="Q169" s="3634" t="str">
        <f>IF(((COUNTIF($Q$5:Q64,"x"))-(COUNTIF($Q$5:Q63,"x")))=0,"",COUNTIF($Q$5:Q64,"x"))</f>
        <v/>
      </c>
      <c r="R169" s="3634" t="str">
        <f>IF(((COUNTIF($R$5:R64,"x"))-(COUNTIF($R$5:R63,"x")))=0,"",COUNTIF($R$5:R64,"x"))</f>
        <v/>
      </c>
      <c r="S169" s="3634" t="str">
        <f>IF(((COUNTIF($S$5:S64,"x"))-(COUNTIF($S$5:S63,"x")))=0,"",COUNTIF($S$5:S64,"x"))</f>
        <v/>
      </c>
      <c r="T169" s="3634" t="str">
        <f>IF(((COUNTIF($T$5:T64,"x"))-(COUNTIF($T$5:T63,"x")))=0,"",COUNTIF($T$5:T64,"x"))</f>
        <v/>
      </c>
      <c r="U169" s="3634" t="str">
        <f>IF(((COUNTIF($U$5:U64,"x"))-(COUNTIF($U$5:U63,"x")))=0,"",COUNTIF($U$5:U64,"x"))</f>
        <v/>
      </c>
      <c r="V169" s="3634" t="str">
        <f>IF(((COUNTIF($V$5:V64,"x"))-(COUNTIF($V$5:V63,"x")))=0,"",COUNTIF($V$5:V64,"x"))</f>
        <v/>
      </c>
      <c r="W169" s="3634" t="str">
        <f>IF(((COUNTIF($W$5:W64,"x"))-(COUNTIF($W$5:W63,"x")))=0,"",COUNTIF($W$5:W64,"x"))</f>
        <v/>
      </c>
      <c r="X169" s="3634" t="str">
        <f>IF(((COUNTIF($X$5:X64,"x"))-(COUNTIF($X$5:X63,"x")))=0,"",COUNTIF($X$5:X64,"x"))</f>
        <v/>
      </c>
      <c r="Y169" s="3634" t="str">
        <f>IF(((COUNTIF($Y$5:Y64,"x"))-(COUNTIF($Y$5:Y63,"x")))=0,"",COUNTIF($Y$5:Y64,"x"))</f>
        <v/>
      </c>
      <c r="Z169" s="3634" t="str">
        <f>IF(((COUNTIF($Z$5:Z64,"x"))-(COUNTIF($Z$5:Z63,"x")))=0,"",COUNTIF($Z$5:Z64,"x"))</f>
        <v/>
      </c>
      <c r="AA169" s="3634" t="str">
        <f>IF(((COUNTIF($AA$5:AA64,"x"))-(COUNTIF($AA$5:AA63,"x")))=0,"",COUNTIF($AA$5:AA64,"x"))</f>
        <v/>
      </c>
      <c r="AB169" s="3634" t="str">
        <f>IF(((COUNTIF($AB$5:AB64,"x"))-(COUNTIF($AB$5:AB63,"x")))=0,"",COUNTIF($AB$5:AB64,"x"))</f>
        <v/>
      </c>
      <c r="AC169" s="3634" t="str">
        <f>IF(((COUNTIF($AC$5:AC64,"x"))-(COUNTIF($AC$5:AC63,"x")))=0,"",COUNTIF($AC$5:AC64,"x"))</f>
        <v/>
      </c>
      <c r="AD169" s="3632" t="str">
        <f>IF(((COUNTIF($AD$5:AD64,"x"))-(COUNTIF($AD$5:AD63,"x")))=0,"",COUNTIF($AD$5:AD64,"x"))</f>
        <v/>
      </c>
      <c r="AE169" s="3634" t="str">
        <f>IF(((COUNTIF($AE$5:AE64,"x"))-(COUNTIF($AE$5:AE63,"x")))=0,"",COUNTIF($AE$5:AE64,"x"))</f>
        <v/>
      </c>
      <c r="AF169" s="3637" t="str">
        <f>IF(((COUNTIF($AF$5:AF64,"x"))-(COUNTIF($AF$5:AF63,"x")))=0,"",COUNTIF($AF$5:AF64,"x"))</f>
        <v/>
      </c>
      <c r="AG169" s="1518">
        <f t="shared" si="14"/>
        <v>0</v>
      </c>
    </row>
    <row r="170" spans="2:33" ht="17.399999999999999" hidden="1">
      <c r="B170" s="1525">
        <f t="shared" si="15"/>
        <v>61</v>
      </c>
      <c r="C170" s="2658" t="s">
        <v>493</v>
      </c>
      <c r="D170" s="3636"/>
      <c r="E170" s="3638"/>
      <c r="F170" s="3631" t="str">
        <f>IF(((COUNTIF($F$5:$F65,"x"))-(COUNTIF($F$5:$F64,"x")))=0,"",COUNTIF($F$5:$F65,"x"))</f>
        <v/>
      </c>
      <c r="G170" s="3632" t="str">
        <f>IF(((COUNTIF($G$5:$G65,"x"))-(COUNTIF($G$5:$G64,"x")))=0,"",COUNTIF($G$5:$G65,"x"))</f>
        <v/>
      </c>
      <c r="H170" s="3632" t="str">
        <f>IF(((COUNTIF($H$5:$H65,"x"))-(COUNTIF($H$5:$H64,"x")))=0,"",COUNTIF($H$5:$H65,"x"))</f>
        <v/>
      </c>
      <c r="I170" s="3632" t="str">
        <f>IF(((COUNTIF($I$5:I65,"x"))-(COUNTIF($I$5:I64,"x")))=0,"",COUNTIF($I$5:I65,"x"))</f>
        <v/>
      </c>
      <c r="J170" s="3634" t="str">
        <f>IF(((COUNTIF($J$5:J65,"x"))-(COUNTIF($J$5:J64,"x")))=0,"",COUNTIF($J$5:J65,"x"))</f>
        <v/>
      </c>
      <c r="K170" s="3634" t="str">
        <f>IF(((COUNTIF($K$5:K65,"x"))-(COUNTIF($K$5:K64,"x")))=0,"",COUNTIF($K$5:K65,"x"))</f>
        <v/>
      </c>
      <c r="L170" s="3634" t="str">
        <f>IF(((COUNTIF($L$5:L65,"x"))-(COUNTIF($L$5:L64,"x")))=0,"",COUNTIF($L$5:L65,"x"))</f>
        <v/>
      </c>
      <c r="M170" s="3634" t="str">
        <f>IF(((COUNTIF($M$5:M65,"x"))-(COUNTIF($M$5:M64,"x")))=0,"",COUNTIF($M$5:M65,"x"))</f>
        <v/>
      </c>
      <c r="N170" s="3634" t="str">
        <f>IF(((COUNTIF($N$5:N65,"x"))-(COUNTIF($N$5:N64,"x")))=0,"",COUNTIF($N$5:N65,"x"))</f>
        <v/>
      </c>
      <c r="O170" s="3634" t="str">
        <f>IF(((COUNTIF($O$5:O65,"x"))-(COUNTIF($O$5:O64,"x")))=0,"",COUNTIF($O$5:O65,"x"))</f>
        <v/>
      </c>
      <c r="P170" s="3632" t="str">
        <f>IF(((COUNTIF($P$5:P65,"x"))-(COUNTIF($P$5:P64,"x")))=0,"",COUNTIF($P$5:P65,"x"))</f>
        <v/>
      </c>
      <c r="Q170" s="3634" t="str">
        <f>IF(((COUNTIF($Q$5:Q65,"x"))-(COUNTIF($Q$5:Q64,"x")))=0,"",COUNTIF($Q$5:Q65,"x"))</f>
        <v/>
      </c>
      <c r="R170" s="3634" t="str">
        <f>IF(((COUNTIF($R$5:R65,"x"))-(COUNTIF($R$5:R64,"x")))=0,"",COUNTIF($R$5:R65,"x"))</f>
        <v/>
      </c>
      <c r="S170" s="3634" t="str">
        <f>IF(((COUNTIF($S$5:S65,"x"))-(COUNTIF($S$5:S64,"x")))=0,"",COUNTIF($S$5:S65,"x"))</f>
        <v/>
      </c>
      <c r="T170" s="3634" t="str">
        <f>IF(((COUNTIF($T$5:T65,"x"))-(COUNTIF($T$5:T64,"x")))=0,"",COUNTIF($T$5:T65,"x"))</f>
        <v/>
      </c>
      <c r="U170" s="3634" t="str">
        <f>IF(((COUNTIF($U$5:U65,"x"))-(COUNTIF($U$5:U64,"x")))=0,"",COUNTIF($U$5:U65,"x"))</f>
        <v/>
      </c>
      <c r="V170" s="3634" t="str">
        <f>IF(((COUNTIF($V$5:V65,"x"))-(COUNTIF($V$5:V64,"x")))=0,"",COUNTIF($V$5:V65,"x"))</f>
        <v/>
      </c>
      <c r="W170" s="3634" t="str">
        <f>IF(((COUNTIF($W$5:W65,"x"))-(COUNTIF($W$5:W64,"x")))=0,"",COUNTIF($W$5:W65,"x"))</f>
        <v/>
      </c>
      <c r="X170" s="3634" t="str">
        <f>IF(((COUNTIF($X$5:X65,"x"))-(COUNTIF($X$5:X64,"x")))=0,"",COUNTIF($X$5:X65,"x"))</f>
        <v/>
      </c>
      <c r="Y170" s="3634" t="str">
        <f>IF(((COUNTIF($Y$5:Y65,"x"))-(COUNTIF($Y$5:Y64,"x")))=0,"",COUNTIF($Y$5:Y65,"x"))</f>
        <v/>
      </c>
      <c r="Z170" s="3634" t="str">
        <f>IF(((COUNTIF($Z$5:Z65,"x"))-(COUNTIF($Z$5:Z64,"x")))=0,"",COUNTIF($Z$5:Z65,"x"))</f>
        <v/>
      </c>
      <c r="AA170" s="3634" t="str">
        <f>IF(((COUNTIF($AA$5:AA65,"x"))-(COUNTIF($AA$5:AA64,"x")))=0,"",COUNTIF($AA$5:AA65,"x"))</f>
        <v/>
      </c>
      <c r="AB170" s="3634" t="str">
        <f>IF(((COUNTIF($AB$5:AB65,"x"))-(COUNTIF($AB$5:AB64,"x")))=0,"",COUNTIF($AB$5:AB65,"x"))</f>
        <v/>
      </c>
      <c r="AC170" s="3634" t="str">
        <f>IF(((COUNTIF($AC$5:AC65,"x"))-(COUNTIF($AC$5:AC64,"x")))=0,"",COUNTIF($AC$5:AC65,"x"))</f>
        <v/>
      </c>
      <c r="AD170" s="3632">
        <f>IF(((COUNTIF($AD$5:AD65,"x"))-(COUNTIF($AD$5:AD64,"x")))=0,"",COUNTIF($AD$5:AD65,"x"))</f>
        <v>52</v>
      </c>
      <c r="AE170" s="3634" t="str">
        <f>IF(((COUNTIF($AE$5:AE65,"x"))-(COUNTIF($AE$5:AE64,"x")))=0,"",COUNTIF($AE$5:AE65,"x"))</f>
        <v/>
      </c>
      <c r="AF170" s="3637" t="str">
        <f>IF(((COUNTIF($AF$5:AF65,"x"))-(COUNTIF($AF$5:AF64,"x")))=0,"",COUNTIF($AF$5:AF65,"x"))</f>
        <v/>
      </c>
      <c r="AG170" s="1518" t="str">
        <f t="shared" si="14"/>
        <v>Roundup Rekord</v>
      </c>
    </row>
    <row r="171" spans="2:33" ht="17.399999999999999" hidden="1">
      <c r="B171" s="1525">
        <f t="shared" si="15"/>
        <v>62</v>
      </c>
      <c r="C171" s="2658" t="s">
        <v>1497</v>
      </c>
      <c r="D171" s="3636"/>
      <c r="E171" s="3638"/>
      <c r="F171" s="3631">
        <f>IF(((COUNTIF($F$5:$F66,"x"))-(COUNTIF($F$5:$F65,"x")))=0,"",COUNTIF($F$5:$F66,"x"))</f>
        <v>24</v>
      </c>
      <c r="G171" s="3632">
        <f>IF(((COUNTIF($G$5:$G66,"x"))-(COUNTIF($G$5:$G65,"x")))=0,"",COUNTIF($G$5:$G66,"x"))</f>
        <v>18</v>
      </c>
      <c r="H171" s="3632">
        <f>IF(((COUNTIF($H$5:$H66,"x"))-(COUNTIF($H$5:$H65,"x")))=0,"",COUNTIF($H$5:$H66,"x"))</f>
        <v>24</v>
      </c>
      <c r="I171" s="3632">
        <f>IF(((COUNTIF($I$5:I66,"x"))-(COUNTIF($I$5:I65,"x")))=0,"",COUNTIF($I$5:I66,"x"))</f>
        <v>22</v>
      </c>
      <c r="J171" s="3634">
        <f>IF(((COUNTIF($J$5:J66,"x"))-(COUNTIF($J$5:J65,"x")))=0,"",COUNTIF($J$5:J66,"x"))</f>
        <v>21</v>
      </c>
      <c r="K171" s="3634">
        <f>IF(((COUNTIF($K$5:K66,"x"))-(COUNTIF($K$5:K65,"x")))=0,"",COUNTIF($K$5:K66,"x"))</f>
        <v>18</v>
      </c>
      <c r="L171" s="3634">
        <f>IF(((COUNTIF($L$5:L66,"x"))-(COUNTIF($L$5:L65,"x")))=0,"",COUNTIF($L$5:L66,"x"))</f>
        <v>19</v>
      </c>
      <c r="M171" s="3634">
        <f>IF(((COUNTIF($M$5:M66,"x"))-(COUNTIF($M$5:M65,"x")))=0,"",COUNTIF($M$5:M66,"x"))</f>
        <v>19</v>
      </c>
      <c r="N171" s="3634">
        <f>IF(((COUNTIF($N$5:N66,"x"))-(COUNTIF($N$5:N65,"x")))=0,"",COUNTIF($N$5:N66,"x"))</f>
        <v>9</v>
      </c>
      <c r="O171" s="3634">
        <f>IF(((COUNTIF($O$5:O66,"x"))-(COUNTIF($O$5:O65,"x")))=0,"",COUNTIF($O$5:O66,"x"))</f>
        <v>13</v>
      </c>
      <c r="P171" s="3632" t="str">
        <f>IF(((COUNTIF($P$5:P66,"x"))-(COUNTIF($P$5:P65,"x")))=0,"",COUNTIF($P$5:P66,"x"))</f>
        <v/>
      </c>
      <c r="Q171" s="3634" t="str">
        <f>IF(((COUNTIF($Q$5:Q66,"x"))-(COUNTIF($Q$5:Q65,"x")))=0,"",COUNTIF($Q$5:Q66,"x"))</f>
        <v/>
      </c>
      <c r="R171" s="3634" t="str">
        <f>IF(((COUNTIF($R$5:R66,"x"))-(COUNTIF($R$5:R65,"x")))=0,"",COUNTIF($R$5:R66,"x"))</f>
        <v/>
      </c>
      <c r="S171" s="3634" t="str">
        <f>IF(((COUNTIF($S$5:S66,"x"))-(COUNTIF($S$5:S65,"x")))=0,"",COUNTIF($S$5:S66,"x"))</f>
        <v/>
      </c>
      <c r="T171" s="3634" t="str">
        <f>IF(((COUNTIF($T$5:T66,"x"))-(COUNTIF($T$5:T65,"x")))=0,"",COUNTIF($T$5:T66,"x"))</f>
        <v/>
      </c>
      <c r="U171" s="3634" t="str">
        <f>IF(((COUNTIF($U$5:U66,"x"))-(COUNTIF($U$5:U65,"x")))=0,"",COUNTIF($U$5:U66,"x"))</f>
        <v/>
      </c>
      <c r="V171" s="3634" t="str">
        <f>IF(((COUNTIF($V$5:V66,"x"))-(COUNTIF($V$5:V65,"x")))=0,"",COUNTIF($V$5:V66,"x"))</f>
        <v/>
      </c>
      <c r="W171" s="3634" t="str">
        <f>IF(((COUNTIF($W$5:W66,"x"))-(COUNTIF($W$5:W65,"x")))=0,"",COUNTIF($W$5:W66,"x"))</f>
        <v/>
      </c>
      <c r="X171" s="3634" t="str">
        <f>IF(((COUNTIF($X$5:X66,"x"))-(COUNTIF($X$5:X65,"x")))=0,"",COUNTIF($X$5:X66,"x"))</f>
        <v/>
      </c>
      <c r="Y171" s="3634" t="str">
        <f>IF(((COUNTIF($Y$5:Y66,"x"))-(COUNTIF($Y$5:Y65,"x")))=0,"",COUNTIF($Y$5:Y66,"x"))</f>
        <v/>
      </c>
      <c r="Z171" s="3634" t="str">
        <f>IF(((COUNTIF($Z$5:Z66,"x"))-(COUNTIF($Z$5:Z65,"x")))=0,"",COUNTIF($Z$5:Z66,"x"))</f>
        <v/>
      </c>
      <c r="AA171" s="3634" t="str">
        <f>IF(((COUNTIF($AA$5:AA66,"x"))-(COUNTIF($AA$5:AA65,"x")))=0,"",COUNTIF($AA$5:AA66,"x"))</f>
        <v/>
      </c>
      <c r="AB171" s="3634" t="str">
        <f>IF(((COUNTIF($AB$5:AB66,"x"))-(COUNTIF($AB$5:AB65,"x")))=0,"",COUNTIF($AB$5:AB66,"x"))</f>
        <v/>
      </c>
      <c r="AC171" s="3634" t="str">
        <f>IF(((COUNTIF($AC$5:AC66,"x"))-(COUNTIF($AC$5:AC65,"x")))=0,"",COUNTIF($AC$5:AC66,"x"))</f>
        <v/>
      </c>
      <c r="AD171" s="3632">
        <f>IF(((COUNTIF($AD$5:AD66,"x"))-(COUNTIF($AD$5:AD65,"x")))=0,"",COUNTIF($AD$5:AD66,"x"))</f>
        <v>53</v>
      </c>
      <c r="AE171" s="3634" t="str">
        <f>IF(((COUNTIF($AE$5:AE66,"x"))-(COUNTIF($AE$5:AE65,"x")))=0,"",COUNTIF($AE$5:AE66,"x"))</f>
        <v/>
      </c>
      <c r="AF171" s="3637" t="str">
        <f>IF(((COUNTIF($AF$5:AF66,"x"))-(COUNTIF($AF$5:AF65,"x")))=0,"",COUNTIF($AF$5:AF66,"x"))</f>
        <v/>
      </c>
      <c r="AG171" s="1518" t="str">
        <f t="shared" si="14"/>
        <v>Revytrex</v>
      </c>
    </row>
    <row r="172" spans="2:33" ht="17.399999999999999" hidden="1">
      <c r="B172" s="1525">
        <f t="shared" si="15"/>
        <v>63</v>
      </c>
      <c r="C172" s="2658" t="s">
        <v>1498</v>
      </c>
      <c r="D172" s="3636"/>
      <c r="E172" s="3638"/>
      <c r="F172" s="3631">
        <f>IF(((COUNTIF($F$5:$F67,"x"))-(COUNTIF($F$5:$F66,"x")))=0,"",COUNTIF($F$5:$F67,"x"))</f>
        <v>25</v>
      </c>
      <c r="G172" s="3632">
        <f>IF(((COUNTIF($G$5:$G67,"x"))-(COUNTIF($G$5:$G66,"x")))=0,"",COUNTIF($G$5:$G67,"x"))</f>
        <v>19</v>
      </c>
      <c r="H172" s="3632">
        <f>IF(((COUNTIF($H$5:$H67,"x"))-(COUNTIF($H$5:$H66,"x")))=0,"",COUNTIF($H$5:$H67,"x"))</f>
        <v>25</v>
      </c>
      <c r="I172" s="3632">
        <f>IF(((COUNTIF($I$5:I67,"x"))-(COUNTIF($I$5:I66,"x")))=0,"",COUNTIF($I$5:I67,"x"))</f>
        <v>23</v>
      </c>
      <c r="J172" s="3634">
        <f>IF(((COUNTIF($J$5:J67,"x"))-(COUNTIF($J$5:J66,"x")))=0,"",COUNTIF($J$5:J67,"x"))</f>
        <v>22</v>
      </c>
      <c r="K172" s="3634">
        <f>IF(((COUNTIF($K$5:K67,"x"))-(COUNTIF($K$5:K66,"x")))=0,"",COUNTIF($K$5:K67,"x"))</f>
        <v>19</v>
      </c>
      <c r="L172" s="3634">
        <f>IF(((COUNTIF($L$5:L67,"x"))-(COUNTIF($L$5:L66,"x")))=0,"",COUNTIF($L$5:L67,"x"))</f>
        <v>20</v>
      </c>
      <c r="M172" s="3634">
        <f>IF(((COUNTIF($M$5:M67,"x"))-(COUNTIF($M$5:M66,"x")))=0,"",COUNTIF($M$5:M67,"x"))</f>
        <v>20</v>
      </c>
      <c r="N172" s="3634" t="str">
        <f>IF(((COUNTIF($N$5:N67,"x"))-(COUNTIF($N$5:N66,"x")))=0,"",COUNTIF($N$5:N67,"x"))</f>
        <v/>
      </c>
      <c r="O172" s="3634">
        <f>IF(((COUNTIF($O$5:O67,"x"))-(COUNTIF($O$5:O66,"x")))=0,"",COUNTIF($O$5:O67,"x"))</f>
        <v>14</v>
      </c>
      <c r="P172" s="3632" t="str">
        <f>IF(((COUNTIF($P$5:P67,"x"))-(COUNTIF($P$5:P66,"x")))=0,"",COUNTIF($P$5:P67,"x"))</f>
        <v/>
      </c>
      <c r="Q172" s="3634" t="str">
        <f>IF(((COUNTIF($Q$5:Q67,"x"))-(COUNTIF($Q$5:Q66,"x")))=0,"",COUNTIF($Q$5:Q67,"x"))</f>
        <v/>
      </c>
      <c r="R172" s="3634" t="str">
        <f>IF(((COUNTIF($R$5:R67,"x"))-(COUNTIF($R$5:R66,"x")))=0,"",COUNTIF($R$5:R67,"x"))</f>
        <v/>
      </c>
      <c r="S172" s="3634" t="str">
        <f>IF(((COUNTIF($S$5:S67,"x"))-(COUNTIF($S$5:S66,"x")))=0,"",COUNTIF($S$5:S67,"x"))</f>
        <v/>
      </c>
      <c r="T172" s="3634" t="str">
        <f>IF(((COUNTIF($T$5:T67,"x"))-(COUNTIF($T$5:T66,"x")))=0,"",COUNTIF($T$5:T67,"x"))</f>
        <v/>
      </c>
      <c r="U172" s="3634" t="str">
        <f>IF(((COUNTIF($U$5:U67,"x"))-(COUNTIF($U$5:U66,"x")))=0,"",COUNTIF($U$5:U67,"x"))</f>
        <v/>
      </c>
      <c r="V172" s="3634" t="str">
        <f>IF(((COUNTIF($V$5:V67,"x"))-(COUNTIF($V$5:V66,"x")))=0,"",COUNTIF($V$5:V67,"x"))</f>
        <v/>
      </c>
      <c r="W172" s="3634" t="str">
        <f>IF(((COUNTIF($W$5:W67,"x"))-(COUNTIF($W$5:W66,"x")))=0,"",COUNTIF($W$5:W67,"x"))</f>
        <v/>
      </c>
      <c r="X172" s="3634" t="str">
        <f>IF(((COUNTIF($X$5:X67,"x"))-(COUNTIF($X$5:X66,"x")))=0,"",COUNTIF($X$5:X67,"x"))</f>
        <v/>
      </c>
      <c r="Y172" s="3634" t="str">
        <f>IF(((COUNTIF($Y$5:Y67,"x"))-(COUNTIF($Y$5:Y66,"x")))=0,"",COUNTIF($Y$5:Y67,"x"))</f>
        <v/>
      </c>
      <c r="Z172" s="3634" t="str">
        <f>IF(((COUNTIF($Z$5:Z67,"x"))-(COUNTIF($Z$5:Z66,"x")))=0,"",COUNTIF($Z$5:Z67,"x"))</f>
        <v/>
      </c>
      <c r="AA172" s="3634" t="str">
        <f>IF(((COUNTIF($AA$5:AA67,"x"))-(COUNTIF($AA$5:AA66,"x")))=0,"",COUNTIF($AA$5:AA67,"x"))</f>
        <v/>
      </c>
      <c r="AB172" s="3634" t="str">
        <f>IF(((COUNTIF($AB$5:AB67,"x"))-(COUNTIF($AB$5:AB66,"x")))=0,"",COUNTIF($AB$5:AB67,"x"))</f>
        <v/>
      </c>
      <c r="AC172" s="3634" t="str">
        <f>IF(((COUNTIF($AC$5:AC67,"x"))-(COUNTIF($AC$5:AC66,"x")))=0,"",COUNTIF($AC$5:AC67,"x"))</f>
        <v/>
      </c>
      <c r="AD172" s="3632">
        <f>IF(((COUNTIF($AD$5:AD67,"x"))-(COUNTIF($AD$5:AD66,"x")))=0,"",COUNTIF($AD$5:AD67,"x"))</f>
        <v>54</v>
      </c>
      <c r="AE172" s="3634" t="str">
        <f>IF(((COUNTIF($AE$5:AE67,"x"))-(COUNTIF($AE$5:AE66,"x")))=0,"",COUNTIF($AE$5:AE67,"x"))</f>
        <v/>
      </c>
      <c r="AF172" s="3637" t="str">
        <f>IF(((COUNTIF($AF$5:AF67,"x"))-(COUNTIF($AF$5:AF66,"x")))=0,"",COUNTIF($AF$5:AF67,"x"))</f>
        <v/>
      </c>
      <c r="AG172" s="1518" t="str">
        <f t="shared" si="14"/>
        <v>Comet</v>
      </c>
    </row>
    <row r="173" spans="2:33" ht="17.399999999999999" hidden="1">
      <c r="B173" s="1525">
        <f t="shared" si="15"/>
        <v>64</v>
      </c>
      <c r="C173" s="2658" t="s">
        <v>490</v>
      </c>
      <c r="D173" s="3636"/>
      <c r="E173" s="3638"/>
      <c r="F173" s="3631" t="str">
        <f>IF(((COUNTIF($F$5:$F68,"x"))-(COUNTIF($F$5:$F67,"x")))=0,"",COUNTIF($F$5:$F68,"x"))</f>
        <v/>
      </c>
      <c r="G173" s="3632" t="str">
        <f>IF(((COUNTIF($G$5:$G68,"x"))-(COUNTIF($G$5:$G67,"x")))=0,"",COUNTIF($G$5:$G68,"x"))</f>
        <v/>
      </c>
      <c r="H173" s="3632" t="str">
        <f>IF(((COUNTIF($H$5:$H68,"x"))-(COUNTIF($H$5:$H67,"x")))=0,"",COUNTIF($H$5:$H68,"x"))</f>
        <v/>
      </c>
      <c r="I173" s="3632" t="str">
        <f>IF(((COUNTIF($I$5:I68,"x"))-(COUNTIF($I$5:I67,"x")))=0,"",COUNTIF($I$5:I68,"x"))</f>
        <v/>
      </c>
      <c r="J173" s="3634" t="str">
        <f>IF(((COUNTIF($J$5:J68,"x"))-(COUNTIF($J$5:J67,"x")))=0,"",COUNTIF($J$5:J68,"x"))</f>
        <v/>
      </c>
      <c r="K173" s="3634" t="str">
        <f>IF(((COUNTIF($K$5:K68,"x"))-(COUNTIF($K$5:K67,"x")))=0,"",COUNTIF($K$5:K68,"x"))</f>
        <v/>
      </c>
      <c r="L173" s="3634" t="str">
        <f>IF(((COUNTIF($L$5:L68,"x"))-(COUNTIF($L$5:L67,"x")))=0,"",COUNTIF($L$5:L68,"x"))</f>
        <v/>
      </c>
      <c r="M173" s="3634" t="str">
        <f>IF(((COUNTIF($M$5:M68,"x"))-(COUNTIF($M$5:M67,"x")))=0,"",COUNTIF($M$5:M68,"x"))</f>
        <v/>
      </c>
      <c r="N173" s="3634" t="str">
        <f>IF(((COUNTIF($N$5:N68,"x"))-(COUNTIF($N$5:N67,"x")))=0,"",COUNTIF($N$5:N68,"x"))</f>
        <v/>
      </c>
      <c r="O173" s="3634" t="str">
        <f>IF(((COUNTIF($O$5:O68,"x"))-(COUNTIF($O$5:O67,"x")))=0,"",COUNTIF($O$5:O68,"x"))</f>
        <v/>
      </c>
      <c r="P173" s="3632" t="str">
        <f>IF(((COUNTIF($P$5:P68,"x"))-(COUNTIF($P$5:P67,"x")))=0,"",COUNTIF($P$5:P68,"x"))</f>
        <v/>
      </c>
      <c r="Q173" s="3634" t="str">
        <f>IF(((COUNTIF($Q$5:Q68,"x"))-(COUNTIF($Q$5:Q67,"x")))=0,"",COUNTIF($Q$5:Q68,"x"))</f>
        <v/>
      </c>
      <c r="R173" s="3634" t="str">
        <f>IF(((COUNTIF($R$5:R68,"x"))-(COUNTIF($R$5:R67,"x")))=0,"",COUNTIF($R$5:R68,"x"))</f>
        <v/>
      </c>
      <c r="S173" s="3634">
        <f>IF(((COUNTIF($S$5:S68,"x"))-(COUNTIF($S$5:S67,"x")))=0,"",COUNTIF($S$5:S68,"x"))</f>
        <v>18</v>
      </c>
      <c r="T173" s="3634" t="str">
        <f>IF(((COUNTIF($T$5:T68,"x"))-(COUNTIF($T$5:T67,"x")))=0,"",COUNTIF($T$5:T68,"x"))</f>
        <v/>
      </c>
      <c r="U173" s="3634" t="str">
        <f>IF(((COUNTIF($U$5:U68,"x"))-(COUNTIF($U$5:U67,"x")))=0,"",COUNTIF($U$5:U68,"x"))</f>
        <v/>
      </c>
      <c r="V173" s="3634" t="str">
        <f>IF(((COUNTIF($V$5:V68,"x"))-(COUNTIF($V$5:V67,"x")))=0,"",COUNTIF($V$5:V68,"x"))</f>
        <v/>
      </c>
      <c r="W173" s="3634" t="str">
        <f>IF(((COUNTIF($W$5:W68,"x"))-(COUNTIF($W$5:W67,"x")))=0,"",COUNTIF($W$5:W68,"x"))</f>
        <v/>
      </c>
      <c r="X173" s="3634">
        <f>IF(((COUNTIF($X$5:X68,"x"))-(COUNTIF($X$5:X67,"x")))=0,"",COUNTIF($X$5:X68,"x"))</f>
        <v>8</v>
      </c>
      <c r="Y173" s="3634" t="str">
        <f>IF(((COUNTIF($Y$5:Y68,"x"))-(COUNTIF($Y$5:Y67,"x")))=0,"",COUNTIF($Y$5:Y68,"x"))</f>
        <v/>
      </c>
      <c r="Z173" s="3634" t="str">
        <f>IF(((COUNTIF($Z$5:Z68,"x"))-(COUNTIF($Z$5:Z67,"x")))=0,"",COUNTIF($Z$5:Z68,"x"))</f>
        <v/>
      </c>
      <c r="AA173" s="3634" t="str">
        <f>IF(((COUNTIF($AA$5:AA68,"x"))-(COUNTIF($AA$5:AA67,"x")))=0,"",COUNTIF($AA$5:AA68,"x"))</f>
        <v/>
      </c>
      <c r="AB173" s="3634" t="str">
        <f>IF(((COUNTIF($AB$5:AB68,"x"))-(COUNTIF($AB$5:AB67,"x")))=0,"",COUNTIF($AB$5:AB68,"x"))</f>
        <v/>
      </c>
      <c r="AC173" s="3634" t="str">
        <f>IF(((COUNTIF($AC$5:AC68,"x"))-(COUNTIF($AC$5:AC67,"x")))=0,"",COUNTIF($AC$5:AC68,"x"))</f>
        <v/>
      </c>
      <c r="AD173" s="3632">
        <f>IF(((COUNTIF($AD$5:AD68,"x"))-(COUNTIF($AD$5:AD67,"x")))=0,"",COUNTIF($AD$5:AD68,"x"))</f>
        <v>55</v>
      </c>
      <c r="AE173" s="3634" t="str">
        <f>IF(((COUNTIF($AE$5:AE68,"x"))-(COUNTIF($AE$5:AE67,"x")))=0,"",COUNTIF($AE$5:AE68,"x"))</f>
        <v/>
      </c>
      <c r="AF173" s="3637" t="str">
        <f>IF(((COUNTIF($AF$5:AF68,"x"))-(COUNTIF($AF$5:AF67,"x")))=0,"",COUNTIF($AF$5:AF68,"x"))</f>
        <v/>
      </c>
      <c r="AG173" s="1518" t="str">
        <f t="shared" si="14"/>
        <v>Select 240 EC</v>
      </c>
    </row>
    <row r="174" spans="2:33" ht="17.399999999999999" hidden="1">
      <c r="B174" s="1525">
        <f t="shared" si="15"/>
        <v>65</v>
      </c>
      <c r="C174" s="3450"/>
      <c r="D174" s="3636"/>
      <c r="E174" s="3638"/>
      <c r="F174" s="3631" t="str">
        <f>IF(((COUNTIF($F$5:$F69,"x"))-(COUNTIF($F$5:$F68,"x")))=0,"",COUNTIF($F$5:$F69,"x"))</f>
        <v/>
      </c>
      <c r="G174" s="3632" t="str">
        <f>IF(((COUNTIF($G$5:$G69,"x"))-(COUNTIF($G$5:$G68,"x")))=0,"",COUNTIF($G$5:$G69,"x"))</f>
        <v/>
      </c>
      <c r="H174" s="3632" t="str">
        <f>IF(((COUNTIF($H$5:$H69,"x"))-(COUNTIF($H$5:$H68,"x")))=0,"",COUNTIF($H$5:$H69,"x"))</f>
        <v/>
      </c>
      <c r="I174" s="3632" t="str">
        <f>IF(((COUNTIF($I$5:I69,"x"))-(COUNTIF($I$5:I68,"x")))=0,"",COUNTIF($I$5:I69,"x"))</f>
        <v/>
      </c>
      <c r="J174" s="3634" t="str">
        <f>IF(((COUNTIF($J$5:J69,"x"))-(COUNTIF($J$5:J68,"x")))=0,"",COUNTIF($J$5:J69,"x"))</f>
        <v/>
      </c>
      <c r="K174" s="3634" t="str">
        <f>IF(((COUNTIF($K$5:K69,"x"))-(COUNTIF($K$5:K68,"x")))=0,"",COUNTIF($K$5:K69,"x"))</f>
        <v/>
      </c>
      <c r="L174" s="3634" t="str">
        <f>IF(((COUNTIF($L$5:L69,"x"))-(COUNTIF($L$5:L68,"x")))=0,"",COUNTIF($L$5:L69,"x"))</f>
        <v/>
      </c>
      <c r="M174" s="3634" t="str">
        <f>IF(((COUNTIF($M$5:M69,"x"))-(COUNTIF($M$5:M68,"x")))=0,"",COUNTIF($M$5:M69,"x"))</f>
        <v/>
      </c>
      <c r="N174" s="3634" t="str">
        <f>IF(((COUNTIF($N$5:N69,"x"))-(COUNTIF($N$5:N68,"x")))=0,"",COUNTIF($N$5:N69,"x"))</f>
        <v/>
      </c>
      <c r="O174" s="3634" t="str">
        <f>IF(((COUNTIF($O$5:O69,"x"))-(COUNTIF($O$5:O68,"x")))=0,"",COUNTIF($O$5:O69,"x"))</f>
        <v/>
      </c>
      <c r="P174" s="3632" t="str">
        <f>IF(((COUNTIF($P$5:P69,"x"))-(COUNTIF($P$5:P68,"x")))=0,"",COUNTIF($P$5:P69,"x"))</f>
        <v/>
      </c>
      <c r="Q174" s="3634" t="str">
        <f>IF(((COUNTIF($Q$5:Q69,"x"))-(COUNTIF($Q$5:Q68,"x")))=0,"",COUNTIF($Q$5:Q69,"x"))</f>
        <v/>
      </c>
      <c r="R174" s="3634" t="str">
        <f>IF(((COUNTIF($R$5:R69,"x"))-(COUNTIF($R$5:R68,"x")))=0,"",COUNTIF($R$5:R69,"x"))</f>
        <v/>
      </c>
      <c r="S174" s="3634" t="str">
        <f>IF(((COUNTIF($S$5:S69,"x"))-(COUNTIF($S$5:S68,"x")))=0,"",COUNTIF($S$5:S69,"x"))</f>
        <v/>
      </c>
      <c r="T174" s="3634" t="str">
        <f>IF(((COUNTIF($T$5:T69,"x"))-(COUNTIF($T$5:T68,"x")))=0,"",COUNTIF($T$5:T69,"x"))</f>
        <v/>
      </c>
      <c r="U174" s="3634" t="str">
        <f>IF(((COUNTIF($U$5:U69,"x"))-(COUNTIF($U$5:U68,"x")))=0,"",COUNTIF($U$5:U69,"x"))</f>
        <v/>
      </c>
      <c r="V174" s="3634" t="str">
        <f>IF(((COUNTIF($V$5:V69,"x"))-(COUNTIF($V$5:V68,"x")))=0,"",COUNTIF($V$5:V69,"x"))</f>
        <v/>
      </c>
      <c r="W174" s="3634" t="str">
        <f>IF(((COUNTIF($W$5:W69,"x"))-(COUNTIF($W$5:W68,"x")))=0,"",COUNTIF($W$5:W69,"x"))</f>
        <v/>
      </c>
      <c r="X174" s="3634" t="str">
        <f>IF(((COUNTIF($X$5:X69,"x"))-(COUNTIF($X$5:X68,"x")))=0,"",COUNTIF($X$5:X69,"x"))</f>
        <v/>
      </c>
      <c r="Y174" s="3634" t="str">
        <f>IF(((COUNTIF($Y$5:Y69,"x"))-(COUNTIF($Y$5:Y68,"x")))=0,"",COUNTIF($Y$5:Y69,"x"))</f>
        <v/>
      </c>
      <c r="Z174" s="3634" t="str">
        <f>IF(((COUNTIF($Z$5:Z69,"x"))-(COUNTIF($Z$5:Z68,"x")))=0,"",COUNTIF($Z$5:Z69,"x"))</f>
        <v/>
      </c>
      <c r="AA174" s="3634" t="str">
        <f>IF(((COUNTIF($AA$5:AA69,"x"))-(COUNTIF($AA$5:AA68,"x")))=0,"",COUNTIF($AA$5:AA69,"x"))</f>
        <v/>
      </c>
      <c r="AB174" s="3634" t="str">
        <f>IF(((COUNTIF($AB$5:AB69,"x"))-(COUNTIF($AB$5:AB68,"x")))=0,"",COUNTIF($AB$5:AB69,"x"))</f>
        <v/>
      </c>
      <c r="AC174" s="3634" t="str">
        <f>IF(((COUNTIF($AC$5:AC69,"x"))-(COUNTIF($AC$5:AC68,"x")))=0,"",COUNTIF($AC$5:AC69,"x"))</f>
        <v/>
      </c>
      <c r="AD174" s="3632" t="str">
        <f>IF(((COUNTIF($AD$5:AD69,"x"))-(COUNTIF($AD$5:AD68,"x")))=0,"",COUNTIF($AD$5:AD69,"x"))</f>
        <v/>
      </c>
      <c r="AE174" s="3634" t="str">
        <f>IF(((COUNTIF($AE$5:AE69,"x"))-(COUNTIF($AE$5:AE68,"x")))=0,"",COUNTIF($AE$5:AE69,"x"))</f>
        <v/>
      </c>
      <c r="AF174" s="3637" t="str">
        <f>IF(((COUNTIF($AF$5:AF69,"x"))-(COUNTIF($AF$5:AF68,"x")))=0,"",COUNTIF($AF$5:AF69,"x"))</f>
        <v/>
      </c>
      <c r="AG174" s="1518">
        <f t="shared" ref="AG174:AG208" si="16">C174</f>
        <v>0</v>
      </c>
    </row>
    <row r="175" spans="2:33" ht="17.399999999999999" hidden="1">
      <c r="B175" s="1525">
        <f t="shared" ref="B175:B208" si="17">B174+1</f>
        <v>66</v>
      </c>
      <c r="C175" s="2658" t="s">
        <v>488</v>
      </c>
      <c r="D175" s="3636"/>
      <c r="E175" s="3638"/>
      <c r="F175" s="3631" t="str">
        <f>IF(((COUNTIF($F$5:$F70,"x"))-(COUNTIF($F$5:$F69,"x")))=0,"",COUNTIF($F$5:$F70,"x"))</f>
        <v/>
      </c>
      <c r="G175" s="3632" t="str">
        <f>IF(((COUNTIF($G$5:$G70,"x"))-(COUNTIF($G$5:$G69,"x")))=0,"",COUNTIF($G$5:$G70,"x"))</f>
        <v/>
      </c>
      <c r="H175" s="3632" t="str">
        <f>IF(((COUNTIF($H$5:$H70,"x"))-(COUNTIF($H$5:$H69,"x")))=0,"",COUNTIF($H$5:$H70,"x"))</f>
        <v/>
      </c>
      <c r="I175" s="3632" t="str">
        <f>IF(((COUNTIF($I$5:I70,"x"))-(COUNTIF($I$5:I69,"x")))=0,"",COUNTIF($I$5:I70,"x"))</f>
        <v/>
      </c>
      <c r="J175" s="3634" t="str">
        <f>IF(((COUNTIF($J$5:J70,"x"))-(COUNTIF($J$5:J69,"x")))=0,"",COUNTIF($J$5:J70,"x"))</f>
        <v/>
      </c>
      <c r="K175" s="3634" t="str">
        <f>IF(((COUNTIF($K$5:K70,"x"))-(COUNTIF($K$5:K69,"x")))=0,"",COUNTIF($K$5:K70,"x"))</f>
        <v/>
      </c>
      <c r="L175" s="3634" t="str">
        <f>IF(((COUNTIF($L$5:L70,"x"))-(COUNTIF($L$5:L69,"x")))=0,"",COUNTIF($L$5:L70,"x"))</f>
        <v/>
      </c>
      <c r="M175" s="3634" t="str">
        <f>IF(((COUNTIF($M$5:M70,"x"))-(COUNTIF($M$5:M69,"x")))=0,"",COUNTIF($M$5:M70,"x"))</f>
        <v/>
      </c>
      <c r="N175" s="3634" t="str">
        <f>IF(((COUNTIF($N$5:N70,"x"))-(COUNTIF($N$5:N69,"x")))=0,"",COUNTIF($N$5:N70,"x"))</f>
        <v/>
      </c>
      <c r="O175" s="3634" t="str">
        <f>IF(((COUNTIF($O$5:O70,"x"))-(COUNTIF($O$5:O69,"x")))=0,"",COUNTIF($O$5:O70,"x"))</f>
        <v/>
      </c>
      <c r="P175" s="3632" t="str">
        <f>IF(((COUNTIF($P$5:P70,"x"))-(COUNTIF($P$5:P69,"x")))=0,"",COUNTIF($P$5:P70,"x"))</f>
        <v/>
      </c>
      <c r="Q175" s="3634" t="str">
        <f>IF(((COUNTIF($Q$5:Q70,"x"))-(COUNTIF($Q$5:Q69,"x")))=0,"",COUNTIF($Q$5:Q70,"x"))</f>
        <v/>
      </c>
      <c r="R175" s="3634" t="str">
        <f>IF(((COUNTIF($R$5:R70,"x"))-(COUNTIF($R$5:R69,"x")))=0,"",COUNTIF($R$5:R70,"x"))</f>
        <v/>
      </c>
      <c r="S175" s="3634" t="str">
        <f>IF(((COUNTIF($S$5:S70,"x"))-(COUNTIF($S$5:S69,"x")))=0,"",COUNTIF($S$5:S70,"x"))</f>
        <v/>
      </c>
      <c r="T175" s="3634" t="str">
        <f>IF(((COUNTIF($T$5:T70,"x"))-(COUNTIF($T$5:T69,"x")))=0,"",COUNTIF($T$5:T70,"x"))</f>
        <v/>
      </c>
      <c r="U175" s="3634" t="str">
        <f>IF(((COUNTIF($U$5:U70,"x"))-(COUNTIF($U$5:U69,"x")))=0,"",COUNTIF($U$5:U70,"x"))</f>
        <v/>
      </c>
      <c r="V175" s="3634" t="str">
        <f>IF(((COUNTIF($V$5:V70,"x"))-(COUNTIF($V$5:V69,"x")))=0,"",COUNTIF($V$5:V70,"x"))</f>
        <v/>
      </c>
      <c r="W175" s="3634" t="str">
        <f>IF(((COUNTIF($W$5:W70,"x"))-(COUNTIF($W$5:W69,"x")))=0,"",COUNTIF($W$5:W70,"x"))</f>
        <v/>
      </c>
      <c r="X175" s="3634" t="str">
        <f>IF(((COUNTIF($X$5:X70,"x"))-(COUNTIF($X$5:X69,"x")))=0,"",COUNTIF($X$5:X70,"x"))</f>
        <v/>
      </c>
      <c r="Y175" s="3634" t="str">
        <f>IF(((COUNTIF($Y$5:Y70,"x"))-(COUNTIF($Y$5:Y69,"x")))=0,"",COUNTIF($Y$5:Y70,"x"))</f>
        <v/>
      </c>
      <c r="Z175" s="3634" t="str">
        <f>IF(((COUNTIF($Z$5:Z70,"x"))-(COUNTIF($Z$5:Z69,"x")))=0,"",COUNTIF($Z$5:Z70,"x"))</f>
        <v/>
      </c>
      <c r="AA175" s="3634" t="str">
        <f>IF(((COUNTIF($AA$5:AA70,"x"))-(COUNTIF($AA$5:AA69,"x")))=0,"",COUNTIF($AA$5:AA70,"x"))</f>
        <v/>
      </c>
      <c r="AB175" s="3634">
        <f>IF(((COUNTIF($AB$5:AB70,"x"))-(COUNTIF($AB$5:AB69,"x")))=0,"",COUNTIF($AB$5:AB70,"x"))</f>
        <v>14</v>
      </c>
      <c r="AC175" s="3634" t="str">
        <f>IF(((COUNTIF($AC$5:AC70,"x"))-(COUNTIF($AC$5:AC69,"x")))=0,"",COUNTIF($AC$5:AC70,"x"))</f>
        <v/>
      </c>
      <c r="AD175" s="3632">
        <f>IF(((COUNTIF($AD$5:AD70,"x"))-(COUNTIF($AD$5:AD69,"x")))=0,"",COUNTIF($AD$5:AD70,"x"))</f>
        <v>56</v>
      </c>
      <c r="AE175" s="3634" t="str">
        <f>IF(((COUNTIF($AE$5:AE70,"x"))-(COUNTIF($AE$5:AE69,"x")))=0,"",COUNTIF($AE$5:AE70,"x"))</f>
        <v/>
      </c>
      <c r="AF175" s="3637" t="str">
        <f>IF(((COUNTIF($AF$5:AF70,"x"))-(COUNTIF($AF$5:AF69,"x")))=0,"",COUNTIF($AF$5:AF70,"x"))</f>
        <v/>
      </c>
      <c r="AG175" s="1518" t="str">
        <f t="shared" si="16"/>
        <v>Shirlan</v>
      </c>
    </row>
    <row r="176" spans="2:33" ht="17.399999999999999" hidden="1">
      <c r="B176" s="1525">
        <f t="shared" si="17"/>
        <v>67</v>
      </c>
      <c r="C176" s="2658" t="s">
        <v>1481</v>
      </c>
      <c r="D176" s="3636"/>
      <c r="E176" s="3638"/>
      <c r="F176" s="3631" t="str">
        <f>IF(((COUNTIF($F$5:$F71,"x"))-(COUNTIF($F$5:$F70,"x")))=0,"",COUNTIF($F$5:$F71,"x"))</f>
        <v/>
      </c>
      <c r="G176" s="3632" t="str">
        <f>IF(((COUNTIF($G$5:$G71,"x"))-(COUNTIF($G$5:$G70,"x")))=0,"",COUNTIF($G$5:$G71,"x"))</f>
        <v/>
      </c>
      <c r="H176" s="3632" t="str">
        <f>IF(((COUNTIF($H$5:$H71,"x"))-(COUNTIF($H$5:$H70,"x")))=0,"",COUNTIF($H$5:$H71,"x"))</f>
        <v/>
      </c>
      <c r="I176" s="3632" t="str">
        <f>IF(((COUNTIF($I$5:I71,"x"))-(COUNTIF($I$5:I70,"x")))=0,"",COUNTIF($I$5:I71,"x"))</f>
        <v/>
      </c>
      <c r="J176" s="3634" t="str">
        <f>IF(((COUNTIF($J$5:J71,"x"))-(COUNTIF($J$5:J70,"x")))=0,"",COUNTIF($J$5:J71,"x"))</f>
        <v/>
      </c>
      <c r="K176" s="3634" t="str">
        <f>IF(((COUNTIF($K$5:K71,"x"))-(COUNTIF($K$5:K70,"x")))=0,"",COUNTIF($K$5:K71,"x"))</f>
        <v/>
      </c>
      <c r="L176" s="3634" t="str">
        <f>IF(((COUNTIF($L$5:L71,"x"))-(COUNTIF($L$5:L70,"x")))=0,"",COUNTIF($L$5:L71,"x"))</f>
        <v/>
      </c>
      <c r="M176" s="3634" t="str">
        <f>IF(((COUNTIF($M$5:M71,"x"))-(COUNTIF($M$5:M70,"x")))=0,"",COUNTIF($M$5:M71,"x"))</f>
        <v/>
      </c>
      <c r="N176" s="3634" t="str">
        <f>IF(((COUNTIF($N$5:N71,"x"))-(COUNTIF($N$5:N70,"x")))=0,"",COUNTIF($N$5:N71,"x"))</f>
        <v/>
      </c>
      <c r="O176" s="3634" t="str">
        <f>IF(((COUNTIF($O$5:O71,"x"))-(COUNTIF($O$5:O70,"x")))=0,"",COUNTIF($O$5:O71,"x"))</f>
        <v/>
      </c>
      <c r="P176" s="3632" t="str">
        <f>IF(((COUNTIF($P$5:P71,"x"))-(COUNTIF($P$5:P70,"x")))=0,"",COUNTIF($P$5:P71,"x"))</f>
        <v/>
      </c>
      <c r="Q176" s="3634" t="str">
        <f>IF(((COUNTIF($Q$5:Q71,"x"))-(COUNTIF($Q$5:Q70,"x")))=0,"",COUNTIF($Q$5:Q71,"x"))</f>
        <v/>
      </c>
      <c r="R176" s="3634">
        <f>IF(((COUNTIF($R$5:R71,"x"))-(COUNTIF($R$5:R70,"x")))=0,"",COUNTIF($R$5:R71,"x"))</f>
        <v>10</v>
      </c>
      <c r="S176" s="3634" t="str">
        <f>IF(((COUNTIF($S$5:S71,"x"))-(COUNTIF($S$5:S70,"x")))=0,"",COUNTIF($S$5:S71,"x"))</f>
        <v/>
      </c>
      <c r="T176" s="3634" t="str">
        <f>IF(((COUNTIF($T$5:T71,"x"))-(COUNTIF($T$5:T70,"x")))=0,"",COUNTIF($T$5:T71,"x"))</f>
        <v/>
      </c>
      <c r="U176" s="3634">
        <f>IF(((COUNTIF($U$5:U71,"x"))-(COUNTIF($U$5:U70,"x")))=0,"",COUNTIF($U$5:U71,"x"))</f>
        <v>8</v>
      </c>
      <c r="V176" s="3634">
        <f>IF(((COUNTIF($V$5:V71,"x"))-(COUNTIF($V$5:V70,"x")))=0,"",COUNTIF($V$5:V71,"x"))</f>
        <v>5</v>
      </c>
      <c r="W176" s="3634" t="str">
        <f>IF(((COUNTIF($W$5:W71,"x"))-(COUNTIF($W$5:W70,"x")))=0,"",COUNTIF($W$5:W71,"x"))</f>
        <v/>
      </c>
      <c r="X176" s="3634">
        <f>IF(((COUNTIF($X$5:X71,"x"))-(COUNTIF($X$5:X70,"x")))=0,"",COUNTIF($X$5:X71,"x"))</f>
        <v>9</v>
      </c>
      <c r="Y176" s="3634">
        <f>IF(((COUNTIF($Y$5:Y71,"x"))-(COUNTIF($Y$5:Y70,"x")))=0,"",COUNTIF($Y$5:Y71,"x"))</f>
        <v>9</v>
      </c>
      <c r="Z176" s="3634">
        <f>IF(((COUNTIF($Z$5:Z71,"x"))-(COUNTIF($Z$5:Z70,"x")))=0,"",COUNTIF($Z$5:Z71,"x"))</f>
        <v>3</v>
      </c>
      <c r="AA176" s="3634" t="str">
        <f>IF(((COUNTIF($AA$5:AA71,"x"))-(COUNTIF($AA$5:AA70,"x")))=0,"",COUNTIF($AA$5:AA71,"x"))</f>
        <v/>
      </c>
      <c r="AB176" s="3634" t="str">
        <f>IF(((COUNTIF($AB$5:AB71,"x"))-(COUNTIF($AB$5:AB70,"x")))=0,"",COUNTIF($AB$5:AB71,"x"))</f>
        <v/>
      </c>
      <c r="AC176" s="3634" t="str">
        <f>IF(((COUNTIF($AC$5:AC71,"x"))-(COUNTIF($AC$5:AC70,"x")))=0,"",COUNTIF($AC$5:AC71,"x"))</f>
        <v/>
      </c>
      <c r="AD176" s="3632">
        <f>IF(((COUNTIF($AD$5:AD71,"x"))-(COUNTIF($AD$5:AD70,"x")))=0,"",COUNTIF($AD$5:AD71,"x"))</f>
        <v>57</v>
      </c>
      <c r="AE176" s="3634" t="str">
        <f>IF(((COUNTIF($AE$5:AE71,"x"))-(COUNTIF($AE$5:AE70,"x")))=0,"",COUNTIF($AE$5:AE71,"x"))</f>
        <v/>
      </c>
      <c r="AF176" s="3637" t="str">
        <f>IF(((COUNTIF($AF$5:AF71,"x"))-(COUNTIF($AF$5:AF70,"x")))=0,"",COUNTIF($AF$5:AF71,"x"))</f>
        <v/>
      </c>
      <c r="AG176" s="1518" t="str">
        <f t="shared" si="16"/>
        <v>Spectrum Plus</v>
      </c>
    </row>
    <row r="177" spans="2:33" ht="17.399999999999999" hidden="1">
      <c r="B177" s="1525">
        <f t="shared" si="17"/>
        <v>68</v>
      </c>
      <c r="C177" s="2658" t="s">
        <v>487</v>
      </c>
      <c r="D177" s="3636"/>
      <c r="E177" s="3638"/>
      <c r="F177" s="3631">
        <f>IF(((COUNTIF($F$5:$F72,"x"))-(COUNTIF($F$5:$F71,"x")))=0,"",COUNTIF($F$5:$F72,"x"))</f>
        <v>26</v>
      </c>
      <c r="G177" s="3632" t="str">
        <f>IF(((COUNTIF($G$5:$G72,"x"))-(COUNTIF($G$5:$G71,"x")))=0,"",COUNTIF($G$5:$G72,"x"))</f>
        <v/>
      </c>
      <c r="H177" s="3632">
        <f>IF(((COUNTIF($H$5:$H72,"x"))-(COUNTIF($H$5:$H71,"x")))=0,"",COUNTIF($H$5:$H72,"x"))</f>
        <v>26</v>
      </c>
      <c r="I177" s="3632">
        <f>IF(((COUNTIF($I$5:I72,"x"))-(COUNTIF($I$5:I71,"x")))=0,"",COUNTIF($I$5:I72,"x"))</f>
        <v>24</v>
      </c>
      <c r="J177" s="3634">
        <f>IF(((COUNTIF($J$5:J72,"x"))-(COUNTIF($J$5:J71,"x")))=0,"",COUNTIF($J$5:J72,"x"))</f>
        <v>23</v>
      </c>
      <c r="K177" s="3634">
        <f>IF(((COUNTIF($K$5:K72,"x"))-(COUNTIF($K$5:K71,"x")))=0,"",COUNTIF($K$5:K72,"x"))</f>
        <v>20</v>
      </c>
      <c r="L177" s="3634">
        <f>IF(((COUNTIF($L$5:L72,"x"))-(COUNTIF($L$5:L71,"x")))=0,"",COUNTIF($L$5:L72,"x"))</f>
        <v>21</v>
      </c>
      <c r="M177" s="3634">
        <f>IF(((COUNTIF($M$5:M72,"x"))-(COUNTIF($M$5:M71,"x")))=0,"",COUNTIF($M$5:M72,"x"))</f>
        <v>21</v>
      </c>
      <c r="N177" s="3634">
        <f>IF(((COUNTIF($N$5:N72,"x"))-(COUNTIF($N$5:N71,"x")))=0,"",COUNTIF($N$5:N72,"x"))</f>
        <v>10</v>
      </c>
      <c r="O177" s="3634">
        <f>IF(((COUNTIF($O$5:O72,"x"))-(COUNTIF($O$5:O71,"x")))=0,"",COUNTIF($O$5:O72,"x"))</f>
        <v>15</v>
      </c>
      <c r="P177" s="3632">
        <f>IF(((COUNTIF($P$5:P72,"x"))-(COUNTIF($P$5:P71,"x")))=0,"",COUNTIF($P$5:P72,"x"))</f>
        <v>10</v>
      </c>
      <c r="Q177" s="3634" t="str">
        <f>IF(((COUNTIF($Q$5:Q72,"x"))-(COUNTIF($Q$5:Q71,"x")))=0,"",COUNTIF($Q$5:Q72,"x"))</f>
        <v/>
      </c>
      <c r="R177" s="3634" t="str">
        <f>IF(((COUNTIF($R$5:R72,"x"))-(COUNTIF($R$5:R71,"x")))=0,"",COUNTIF($R$5:R72,"x"))</f>
        <v/>
      </c>
      <c r="S177" s="3634" t="str">
        <f>IF(((COUNTIF($S$5:S72,"x"))-(COUNTIF($S$5:S71,"x")))=0,"",COUNTIF($S$5:S72,"x"))</f>
        <v/>
      </c>
      <c r="T177" s="3634" t="str">
        <f>IF(((COUNTIF($T$5:T72,"x"))-(COUNTIF($T$5:T71,"x")))=0,"",COUNTIF($T$5:T72,"x"))</f>
        <v/>
      </c>
      <c r="U177" s="3634" t="str">
        <f>IF(((COUNTIF($U$5:U72,"x"))-(COUNTIF($U$5:U71,"x")))=0,"",COUNTIF($U$5:U72,"x"))</f>
        <v/>
      </c>
      <c r="V177" s="3634" t="str">
        <f>IF(((COUNTIF($V$5:V72,"x"))-(COUNTIF($V$5:V71,"x")))=0,"",COUNTIF($V$5:V72,"x"))</f>
        <v/>
      </c>
      <c r="W177" s="3634" t="str">
        <f>IF(((COUNTIF($W$5:W72,"x"))-(COUNTIF($W$5:W71,"x")))=0,"",COUNTIF($W$5:W72,"x"))</f>
        <v/>
      </c>
      <c r="X177" s="3634" t="str">
        <f>IF(((COUNTIF($X$5:X72,"x"))-(COUNTIF($X$5:X71,"x")))=0,"",COUNTIF($X$5:X72,"x"))</f>
        <v/>
      </c>
      <c r="Y177" s="3634" t="str">
        <f>IF(((COUNTIF($Y$5:Y72,"x"))-(COUNTIF($Y$5:Y71,"x")))=0,"",COUNTIF($Y$5:Y72,"x"))</f>
        <v/>
      </c>
      <c r="Z177" s="3634" t="str">
        <f>IF(((COUNTIF($Z$5:Z72,"x"))-(COUNTIF($Z$5:Z71,"x")))=0,"",COUNTIF($Z$5:Z72,"x"))</f>
        <v/>
      </c>
      <c r="AA177" s="3634" t="str">
        <f>IF(((COUNTIF($AA$5:AA72,"x"))-(COUNTIF($AA$5:AA71,"x")))=0,"",COUNTIF($AA$5:AA72,"x"))</f>
        <v/>
      </c>
      <c r="AB177" s="3634" t="str">
        <f>IF(((COUNTIF($AB$5:AB72,"x"))-(COUNTIF($AB$5:AB71,"x")))=0,"",COUNTIF($AB$5:AB72,"x"))</f>
        <v/>
      </c>
      <c r="AC177" s="3634" t="str">
        <f>IF(((COUNTIF($AC$5:AC72,"x"))-(COUNTIF($AC$5:AC71,"x")))=0,"",COUNTIF($AC$5:AC72,"x"))</f>
        <v/>
      </c>
      <c r="AD177" s="3632">
        <f>IF(((COUNTIF($AD$5:AD72,"x"))-(COUNTIF($AD$5:AD71,"x")))=0,"",COUNTIF($AD$5:AD72,"x"))</f>
        <v>58</v>
      </c>
      <c r="AE177" s="3634" t="str">
        <f>IF(((COUNTIF($AE$5:AE72,"x"))-(COUNTIF($AE$5:AE71,"x")))=0,"",COUNTIF($AE$5:AE72,"x"))</f>
        <v/>
      </c>
      <c r="AF177" s="3637" t="str">
        <f>IF(((COUNTIF($AF$5:AF72,"x"))-(COUNTIF($AF$5:AF71,"x")))=0,"",COUNTIF($AF$5:AF72,"x"))</f>
        <v/>
      </c>
      <c r="AG177" s="1518" t="str">
        <f t="shared" si="16"/>
        <v>Starane XL</v>
      </c>
    </row>
    <row r="178" spans="2:33" ht="17.399999999999999" hidden="1">
      <c r="B178" s="1525">
        <f t="shared" si="17"/>
        <v>69</v>
      </c>
      <c r="C178" s="2658"/>
      <c r="D178" s="3636"/>
      <c r="E178" s="3638"/>
      <c r="F178" s="3631" t="str">
        <f>IF(((COUNTIF($F$5:$F73,"x"))-(COUNTIF($F$5:$F72,"x")))=0,"",COUNTIF($F$5:$F73,"x"))</f>
        <v/>
      </c>
      <c r="G178" s="3632" t="str">
        <f>IF(((COUNTIF($G$5:$G73,"x"))-(COUNTIF($G$5:$G72,"x")))=0,"",COUNTIF($G$5:$G73,"x"))</f>
        <v/>
      </c>
      <c r="H178" s="3632" t="str">
        <f>IF(((COUNTIF($H$5:$H73,"x"))-(COUNTIF($H$5:$H72,"x")))=0,"",COUNTIF($H$5:$H73,"x"))</f>
        <v/>
      </c>
      <c r="I178" s="3632" t="str">
        <f>IF(((COUNTIF($I$5:I73,"x"))-(COUNTIF($I$5:I72,"x")))=0,"",COUNTIF($I$5:I73,"x"))</f>
        <v/>
      </c>
      <c r="J178" s="3634" t="str">
        <f>IF(((COUNTIF($J$5:J73,"x"))-(COUNTIF($J$5:J72,"x")))=0,"",COUNTIF($J$5:J73,"x"))</f>
        <v/>
      </c>
      <c r="K178" s="3634" t="str">
        <f>IF(((COUNTIF($K$5:K73,"x"))-(COUNTIF($K$5:K72,"x")))=0,"",COUNTIF($K$5:K73,"x"))</f>
        <v/>
      </c>
      <c r="L178" s="3634" t="str">
        <f>IF(((COUNTIF($L$5:L73,"x"))-(COUNTIF($L$5:L72,"x")))=0,"",COUNTIF($L$5:L73,"x"))</f>
        <v/>
      </c>
      <c r="M178" s="3634" t="str">
        <f>IF(((COUNTIF($M$5:M73,"x"))-(COUNTIF($M$5:M72,"x")))=0,"",COUNTIF($M$5:M73,"x"))</f>
        <v/>
      </c>
      <c r="N178" s="3634" t="str">
        <f>IF(((COUNTIF($N$5:N73,"x"))-(COUNTIF($N$5:N72,"x")))=0,"",COUNTIF($N$5:N73,"x"))</f>
        <v/>
      </c>
      <c r="O178" s="3634" t="str">
        <f>IF(((COUNTIF($O$5:O73,"x"))-(COUNTIF($O$5:O72,"x")))=0,"",COUNTIF($O$5:O73,"x"))</f>
        <v/>
      </c>
      <c r="P178" s="3632" t="str">
        <f>IF(((COUNTIF($P$5:P73,"x"))-(COUNTIF($P$5:P72,"x")))=0,"",COUNTIF($P$5:P73,"x"))</f>
        <v/>
      </c>
      <c r="Q178" s="3634" t="str">
        <f>IF(((COUNTIF($Q$5:Q73,"x"))-(COUNTIF($Q$5:Q72,"x")))=0,"",COUNTIF($Q$5:Q73,"x"))</f>
        <v/>
      </c>
      <c r="R178" s="3634" t="str">
        <f>IF(((COUNTIF($R$5:R73,"x"))-(COUNTIF($R$5:R72,"x")))=0,"",COUNTIF($R$5:R73,"x"))</f>
        <v/>
      </c>
      <c r="S178" s="3634" t="str">
        <f>IF(((COUNTIF($S$5:S73,"x"))-(COUNTIF($S$5:S72,"x")))=0,"",COUNTIF($S$5:S73,"x"))</f>
        <v/>
      </c>
      <c r="T178" s="3634" t="str">
        <f>IF(((COUNTIF($T$5:T73,"x"))-(COUNTIF($T$5:T72,"x")))=0,"",COUNTIF($T$5:T73,"x"))</f>
        <v/>
      </c>
      <c r="U178" s="3634" t="str">
        <f>IF(((COUNTIF($U$5:U73,"x"))-(COUNTIF($U$5:U72,"x")))=0,"",COUNTIF($U$5:U73,"x"))</f>
        <v/>
      </c>
      <c r="V178" s="3634" t="str">
        <f>IF(((COUNTIF($V$5:V73,"x"))-(COUNTIF($V$5:V72,"x")))=0,"",COUNTIF($V$5:V73,"x"))</f>
        <v/>
      </c>
      <c r="W178" s="3634" t="str">
        <f>IF(((COUNTIF($W$5:W73,"x"))-(COUNTIF($W$5:W72,"x")))=0,"",COUNTIF($W$5:W73,"x"))</f>
        <v/>
      </c>
      <c r="X178" s="3634" t="str">
        <f>IF(((COUNTIF($X$5:X73,"x"))-(COUNTIF($X$5:X72,"x")))=0,"",COUNTIF($X$5:X73,"x"))</f>
        <v/>
      </c>
      <c r="Y178" s="3634" t="str">
        <f>IF(((COUNTIF($Y$5:Y73,"x"))-(COUNTIF($Y$5:Y72,"x")))=0,"",COUNTIF($Y$5:Y73,"x"))</f>
        <v/>
      </c>
      <c r="Z178" s="3634" t="str">
        <f>IF(((COUNTIF($Z$5:Z73,"x"))-(COUNTIF($Z$5:Z72,"x")))=0,"",COUNTIF($Z$5:Z73,"x"))</f>
        <v/>
      </c>
      <c r="AA178" s="3634" t="str">
        <f>IF(((COUNTIF($AA$5:AA73,"x"))-(COUNTIF($AA$5:AA72,"x")))=0,"",COUNTIF($AA$5:AA73,"x"))</f>
        <v/>
      </c>
      <c r="AB178" s="3634" t="str">
        <f>IF(((COUNTIF($AB$5:AB73,"x"))-(COUNTIF($AB$5:AB72,"x")))=0,"",COUNTIF($AB$5:AB73,"x"))</f>
        <v/>
      </c>
      <c r="AC178" s="3634" t="str">
        <f>IF(((COUNTIF($AC$5:AC73,"x"))-(COUNTIF($AC$5:AC72,"x")))=0,"",COUNTIF($AC$5:AC73,"x"))</f>
        <v/>
      </c>
      <c r="AD178" s="3632" t="str">
        <f>IF(((COUNTIF($AD$5:AD73,"x"))-(COUNTIF($AD$5:AD72,"x")))=0,"",COUNTIF($AD$5:AD73,"x"))</f>
        <v/>
      </c>
      <c r="AE178" s="3634" t="str">
        <f>IF(((COUNTIF($AE$5:AE73,"x"))-(COUNTIF($AE$5:AE72,"x")))=0,"",COUNTIF($AE$5:AE73,"x"))</f>
        <v/>
      </c>
      <c r="AF178" s="3637" t="str">
        <f>IF(((COUNTIF($AF$5:AF73,"x"))-(COUNTIF($AF$5:AF72,"x")))=0,"",COUNTIF($AF$5:AF73,"x"))</f>
        <v/>
      </c>
      <c r="AG178" s="1518">
        <f t="shared" si="16"/>
        <v>0</v>
      </c>
    </row>
    <row r="179" spans="2:33" ht="17.399999999999999" hidden="1">
      <c r="B179" s="1525">
        <f t="shared" si="17"/>
        <v>70</v>
      </c>
      <c r="C179" s="2658" t="s">
        <v>485</v>
      </c>
      <c r="D179" s="3636"/>
      <c r="E179" s="3638"/>
      <c r="F179" s="3631">
        <f>IF(((COUNTIF($F$5:$F74,"x"))-(COUNTIF($F$5:$F73,"x")))=0,"",COUNTIF($F$5:$F74,"x"))</f>
        <v>27</v>
      </c>
      <c r="G179" s="3632">
        <f>IF(((COUNTIF($G$5:$G74,"x"))-(COUNTIF($G$5:$G73,"x")))=0,"",COUNTIF($G$5:$G74,"x"))</f>
        <v>20</v>
      </c>
      <c r="H179" s="3632">
        <f>IF(((COUNTIF($H$5:$H74,"x"))-(COUNTIF($H$5:$H73,"x")))=0,"",COUNTIF($H$5:$H74,"x"))</f>
        <v>27</v>
      </c>
      <c r="I179" s="3632">
        <f>IF(((COUNTIF($I$5:I74,"x"))-(COUNTIF($I$5:I73,"x")))=0,"",COUNTIF($I$5:I74,"x"))</f>
        <v>25</v>
      </c>
      <c r="J179" s="3634">
        <f>IF(((COUNTIF($J$5:J74,"x"))-(COUNTIF($J$5:J73,"x")))=0,"",COUNTIF($J$5:J74,"x"))</f>
        <v>24</v>
      </c>
      <c r="K179" s="3634" t="str">
        <f>IF(((COUNTIF($K$5:K74,"x"))-(COUNTIF($K$5:K73,"x")))=0,"",COUNTIF($K$5:K74,"x"))</f>
        <v/>
      </c>
      <c r="L179" s="3634" t="str">
        <f>IF(((COUNTIF($L$5:L74,"x"))-(COUNTIF($L$5:L73,"x")))=0,"",COUNTIF($L$5:L74,"x"))</f>
        <v/>
      </c>
      <c r="M179" s="3634" t="str">
        <f>IF(((COUNTIF($M$5:M74,"x"))-(COUNTIF($M$5:M73,"x")))=0,"",COUNTIF($M$5:M74,"x"))</f>
        <v/>
      </c>
      <c r="N179" s="3634" t="str">
        <f>IF(((COUNTIF($N$5:N74,"x"))-(COUNTIF($N$5:N73,"x")))=0,"",COUNTIF($N$5:N74,"x"))</f>
        <v/>
      </c>
      <c r="O179" s="3634" t="str">
        <f>IF(((COUNTIF($O$5:O74,"x"))-(COUNTIF($O$5:O73,"x")))=0,"",COUNTIF($O$5:O74,"x"))</f>
        <v/>
      </c>
      <c r="P179" s="3632" t="str">
        <f>IF(((COUNTIF($P$5:P74,"x"))-(COUNTIF($P$5:P73,"x")))=0,"",COUNTIF($P$5:P74,"x"))</f>
        <v/>
      </c>
      <c r="Q179" s="3634">
        <f>IF(((COUNTIF($Q$5:Q74,"x"))-(COUNTIF($Q$5:Q73,"x")))=0,"",COUNTIF($Q$5:Q74,"x"))</f>
        <v>2</v>
      </c>
      <c r="R179" s="3634">
        <f>IF(((COUNTIF($R$5:R74,"x"))-(COUNTIF($R$5:R73,"x")))=0,"",COUNTIF($R$5:R74,"x"))</f>
        <v>11</v>
      </c>
      <c r="S179" s="3634">
        <f>IF(((COUNTIF($S$5:S74,"x"))-(COUNTIF($S$5:S73,"x")))=0,"",COUNTIF($S$5:S74,"x"))</f>
        <v>19</v>
      </c>
      <c r="T179" s="3634">
        <f>IF(((COUNTIF($T$5:T74,"x"))-(COUNTIF($T$5:T73,"x")))=0,"",COUNTIF($T$5:T74,"x"))</f>
        <v>11</v>
      </c>
      <c r="U179" s="3634">
        <f>IF(((COUNTIF($U$5:U74,"x"))-(COUNTIF($U$5:U73,"x")))=0,"",COUNTIF($U$5:U74,"x"))</f>
        <v>9</v>
      </c>
      <c r="V179" s="3634">
        <f>IF(((COUNTIF($V$5:V74,"x"))-(COUNTIF($V$5:V73,"x")))=0,"",COUNTIF($V$5:V74,"x"))</f>
        <v>6</v>
      </c>
      <c r="W179" s="3634" t="str">
        <f>IF(((COUNTIF($W$5:W74,"x"))-(COUNTIF($W$5:W73,"x")))=0,"",COUNTIF($W$5:W74,"x"))</f>
        <v/>
      </c>
      <c r="X179" s="3634">
        <f>IF(((COUNTIF($X$5:X74,"x"))-(COUNTIF($X$5:X73,"x")))=0,"",COUNTIF($X$5:X74,"x"))</f>
        <v>10</v>
      </c>
      <c r="Y179" s="3634">
        <f>IF(((COUNTIF($Y$5:Y74,"x"))-(COUNTIF($Y$5:Y73,"x")))=0,"",COUNTIF($Y$5:Y74,"x"))</f>
        <v>10</v>
      </c>
      <c r="Z179" s="3634">
        <f>IF(((COUNTIF($Z$5:Z74,"x"))-(COUNTIF($Z$5:Z73,"x")))=0,"",COUNTIF($Z$5:Z74,"x"))</f>
        <v>4</v>
      </c>
      <c r="AA179" s="3634" t="str">
        <f>IF(((COUNTIF($AA$5:AA74,"x"))-(COUNTIF($AA$5:AA73,"x")))=0,"",COUNTIF($AA$5:AA74,"x"))</f>
        <v/>
      </c>
      <c r="AB179" s="3634" t="str">
        <f>IF(((COUNTIF($AB$5:AB74,"x"))-(COUNTIF($AB$5:AB73,"x")))=0,"",COUNTIF($AB$5:AB74,"x"))</f>
        <v/>
      </c>
      <c r="AC179" s="3634" t="str">
        <f>IF(((COUNTIF($AC$5:AC74,"x"))-(COUNTIF($AC$5:AC73,"x")))=0,"",COUNTIF($AC$5:AC74,"x"))</f>
        <v/>
      </c>
      <c r="AD179" s="3632">
        <f>IF(((COUNTIF($AD$5:AD74,"x"))-(COUNTIF($AD$5:AD73,"x")))=0,"",COUNTIF($AD$5:AD74,"x"))</f>
        <v>59</v>
      </c>
      <c r="AE179" s="3634" t="str">
        <f>IF(((COUNTIF($AE$5:AE74,"x"))-(COUNTIF($AE$5:AE73,"x")))=0,"",COUNTIF($AE$5:AE74,"x"))</f>
        <v/>
      </c>
      <c r="AF179" s="3637" t="str">
        <f>IF(((COUNTIF($AF$5:AF74,"x"))-(COUNTIF($AF$5:AF73,"x")))=0,"",COUNTIF($AF$5:AF74,"x"))</f>
        <v/>
      </c>
      <c r="AG179" s="1518" t="str">
        <f t="shared" si="16"/>
        <v>Stomp Aqua</v>
      </c>
    </row>
    <row r="180" spans="2:33" ht="17.399999999999999" hidden="1">
      <c r="B180" s="1525">
        <f t="shared" si="17"/>
        <v>71</v>
      </c>
      <c r="C180" s="2658" t="s">
        <v>484</v>
      </c>
      <c r="D180" s="3636"/>
      <c r="E180" s="3638"/>
      <c r="F180" s="3631">
        <f>IF(((COUNTIF($F$5:$F75,"x"))-(COUNTIF($F$5:$F74,"x")))=0,"",COUNTIF($F$5:$F75,"x"))</f>
        <v>28</v>
      </c>
      <c r="G180" s="3632" t="str">
        <f>IF(((COUNTIF($G$5:$G75,"x"))-(COUNTIF($G$5:$G74,"x")))=0,"",COUNTIF($G$5:$G75,"x"))</f>
        <v/>
      </c>
      <c r="H180" s="3632" t="str">
        <f>IF(((COUNTIF($H$5:$H75,"x"))-(COUNTIF($H$5:$H74,"x")))=0,"",COUNTIF($H$5:$H75,"x"))</f>
        <v/>
      </c>
      <c r="I180" s="3632" t="str">
        <f>IF(((COUNTIF($I$5:I75,"x"))-(COUNTIF($I$5:I74,"x")))=0,"",COUNTIF($I$5:I75,"x"))</f>
        <v/>
      </c>
      <c r="J180" s="3634" t="str">
        <f>IF(((COUNTIF($J$5:J75,"x"))-(COUNTIF($J$5:J74,"x")))=0,"",COUNTIF($J$5:J75,"x"))</f>
        <v/>
      </c>
      <c r="K180" s="3634" t="str">
        <f>IF(((COUNTIF($K$5:K75,"x"))-(COUNTIF($K$5:K74,"x")))=0,"",COUNTIF($K$5:K75,"x"))</f>
        <v/>
      </c>
      <c r="L180" s="3634" t="str">
        <f>IF(((COUNTIF($L$5:L75,"x"))-(COUNTIF($L$5:L74,"x")))=0,"",COUNTIF($L$5:L75,"x"))</f>
        <v/>
      </c>
      <c r="M180" s="3634" t="str">
        <f>IF(((COUNTIF($M$5:M75,"x"))-(COUNTIF($M$5:M74,"x")))=0,"",COUNTIF($M$5:M75,"x"))</f>
        <v/>
      </c>
      <c r="N180" s="3634" t="str">
        <f>IF(((COUNTIF($N$5:N75,"x"))-(COUNTIF($N$5:N74,"x")))=0,"",COUNTIF($N$5:N75,"x"))</f>
        <v/>
      </c>
      <c r="O180" s="3634" t="str">
        <f>IF(((COUNTIF($O$5:O75,"x"))-(COUNTIF($O$5:O74,"x")))=0,"",COUNTIF($O$5:O75,"x"))</f>
        <v/>
      </c>
      <c r="P180" s="3632" t="str">
        <f>IF(((COUNTIF($P$5:P75,"x"))-(COUNTIF($P$5:P74,"x")))=0,"",COUNTIF($P$5:P75,"x"))</f>
        <v/>
      </c>
      <c r="Q180" s="3634" t="str">
        <f>IF(((COUNTIF($Q$5:Q75,"x"))-(COUNTIF($Q$5:Q74,"x")))=0,"",COUNTIF($Q$5:Q75,"x"))</f>
        <v/>
      </c>
      <c r="R180" s="3634" t="str">
        <f>IF(((COUNTIF($R$5:R75,"x"))-(COUNTIF($R$5:R74,"x")))=0,"",COUNTIF($R$5:R75,"x"))</f>
        <v/>
      </c>
      <c r="S180" s="3634" t="str">
        <f>IF(((COUNTIF($S$5:S75,"x"))-(COUNTIF($S$5:S74,"x")))=0,"",COUNTIF($S$5:S75,"x"))</f>
        <v/>
      </c>
      <c r="T180" s="3634" t="str">
        <f>IF(((COUNTIF($T$5:T75,"x"))-(COUNTIF($T$5:T74,"x")))=0,"",COUNTIF($T$5:T75,"x"))</f>
        <v/>
      </c>
      <c r="U180" s="3634" t="str">
        <f>IF(((COUNTIF($U$5:U75,"x"))-(COUNTIF($U$5:U74,"x")))=0,"",COUNTIF($U$5:U75,"x"))</f>
        <v/>
      </c>
      <c r="V180" s="3634" t="str">
        <f>IF(((COUNTIF($V$5:V75,"x"))-(COUNTIF($V$5:V74,"x")))=0,"",COUNTIF($V$5:V75,"x"))</f>
        <v/>
      </c>
      <c r="W180" s="3634" t="str">
        <f>IF(((COUNTIF($W$5:W75,"x"))-(COUNTIF($W$5:W74,"x")))=0,"",COUNTIF($W$5:W75,"x"))</f>
        <v/>
      </c>
      <c r="X180" s="3634" t="str">
        <f>IF(((COUNTIF($X$5:X75,"x"))-(COUNTIF($X$5:X74,"x")))=0,"",COUNTIF($X$5:X75,"x"))</f>
        <v/>
      </c>
      <c r="Y180" s="3634" t="str">
        <f>IF(((COUNTIF($Y$5:Y75,"x"))-(COUNTIF($Y$5:Y74,"x")))=0,"",COUNTIF($Y$5:Y75,"x"))</f>
        <v/>
      </c>
      <c r="Z180" s="3634" t="str">
        <f>IF(((COUNTIF($Z$5:Z75,"x"))-(COUNTIF($Z$5:Z74,"x")))=0,"",COUNTIF($Z$5:Z75,"x"))</f>
        <v/>
      </c>
      <c r="AA180" s="3634" t="str">
        <f>IF(((COUNTIF($AA$5:AA75,"x"))-(COUNTIF($AA$5:AA74,"x")))=0,"",COUNTIF($AA$5:AA75,"x"))</f>
        <v/>
      </c>
      <c r="AB180" s="3634">
        <f>IF(((COUNTIF($AB$5:AB75,"x"))-(COUNTIF($AB$5:AB74,"x")))=0,"",COUNTIF($AB$5:AB75,"x"))</f>
        <v>15</v>
      </c>
      <c r="AC180" s="3634" t="str">
        <f>IF(((COUNTIF($AC$5:AC75,"x"))-(COUNTIF($AC$5:AC74,"x")))=0,"",COUNTIF($AC$5:AC75,"x"))</f>
        <v/>
      </c>
      <c r="AD180" s="3632">
        <f>IF(((COUNTIF($AD$5:AD75,"x"))-(COUNTIF($AD$5:AD74,"x")))=0,"",COUNTIF($AD$5:AD75,"x"))</f>
        <v>60</v>
      </c>
      <c r="AE180" s="3634" t="str">
        <f>IF(((COUNTIF($AE$5:AE75,"x"))-(COUNTIF($AE$5:AE74,"x")))=0,"",COUNTIF($AE$5:AE75,"x"))</f>
        <v/>
      </c>
      <c r="AF180" s="3637" t="str">
        <f>IF(((COUNTIF($AF$5:AF75,"x"))-(COUNTIF($AF$5:AF74,"x")))=0,"",COUNTIF($AF$5:AF75,"x"))</f>
        <v/>
      </c>
      <c r="AG180" s="1518" t="str">
        <f t="shared" si="16"/>
        <v>Teppeki</v>
      </c>
    </row>
    <row r="181" spans="2:33" ht="17.399999999999999" hidden="1">
      <c r="B181" s="1525">
        <f t="shared" si="17"/>
        <v>72</v>
      </c>
      <c r="C181" s="2658" t="s">
        <v>483</v>
      </c>
      <c r="D181" s="3636"/>
      <c r="E181" s="3638"/>
      <c r="F181" s="3631" t="str">
        <f>IF(((COUNTIF($F$5:$F76,"x"))-(COUNTIF($F$5:$F75,"x")))=0,"",COUNTIF($F$5:$F76,"x"))</f>
        <v/>
      </c>
      <c r="G181" s="3632" t="str">
        <f>IF(((COUNTIF($G$5:$G76,"x"))-(COUNTIF($G$5:$G75,"x")))=0,"",COUNTIF($G$5:$G76,"x"))</f>
        <v/>
      </c>
      <c r="H181" s="3632" t="str">
        <f>IF(((COUNTIF($H$5:$H76,"x"))-(COUNTIF($H$5:$H75,"x")))=0,"",COUNTIF($H$5:$H76,"x"))</f>
        <v/>
      </c>
      <c r="I181" s="3632" t="str">
        <f>IF(((COUNTIF($I$5:I76,"x"))-(COUNTIF($I$5:I75,"x")))=0,"",COUNTIF($I$5:I76,"x"))</f>
        <v/>
      </c>
      <c r="J181" s="3634" t="str">
        <f>IF(((COUNTIF($J$5:J76,"x"))-(COUNTIF($J$5:J75,"x")))=0,"",COUNTIF($J$5:J76,"x"))</f>
        <v/>
      </c>
      <c r="K181" s="3634" t="str">
        <f>IF(((COUNTIF($K$5:K76,"x"))-(COUNTIF($K$5:K75,"x")))=0,"",COUNTIF($K$5:K76,"x"))</f>
        <v/>
      </c>
      <c r="L181" s="3634" t="str">
        <f>IF(((COUNTIF($L$5:L76,"x"))-(COUNTIF($L$5:L75,"x")))=0,"",COUNTIF($L$5:L76,"x"))</f>
        <v/>
      </c>
      <c r="M181" s="3634" t="str">
        <f>IF(((COUNTIF($M$5:M76,"x"))-(COUNTIF($M$5:M75,"x")))=0,"",COUNTIF($M$5:M76,"x"))</f>
        <v/>
      </c>
      <c r="N181" s="3634" t="str">
        <f>IF(((COUNTIF($N$5:N76,"x"))-(COUNTIF($N$5:N75,"x")))=0,"",COUNTIF($N$5:N76,"x"))</f>
        <v/>
      </c>
      <c r="O181" s="3634" t="str">
        <f>IF(((COUNTIF($O$5:O76,"x"))-(COUNTIF($O$5:O75,"x")))=0,"",COUNTIF($O$5:O76,"x"))</f>
        <v/>
      </c>
      <c r="P181" s="3632" t="str">
        <f>IF(((COUNTIF($P$5:P76,"x"))-(COUNTIF($P$5:P75,"x")))=0,"",COUNTIF($P$5:P76,"x"))</f>
        <v/>
      </c>
      <c r="Q181" s="3634" t="str">
        <f>IF(((COUNTIF($Q$5:Q76,"x"))-(COUNTIF($Q$5:Q75,"x")))=0,"",COUNTIF($Q$5:Q76,"x"))</f>
        <v/>
      </c>
      <c r="R181" s="3634" t="str">
        <f>IF(((COUNTIF($R$5:R76,"x"))-(COUNTIF($R$5:R75,"x")))=0,"",COUNTIF($R$5:R76,"x"))</f>
        <v/>
      </c>
      <c r="S181" s="3634">
        <f>IF(((COUNTIF($S$5:S76,"x"))-(COUNTIF($S$5:S75,"x")))=0,"",COUNTIF($S$5:S76,"x"))</f>
        <v>20</v>
      </c>
      <c r="T181" s="3634" t="str">
        <f>IF(((COUNTIF($T$5:T76,"x"))-(COUNTIF($T$5:T75,"x")))=0,"",COUNTIF($T$5:T76,"x"))</f>
        <v/>
      </c>
      <c r="U181" s="3634" t="str">
        <f>IF(((COUNTIF($U$5:U76,"x"))-(COUNTIF($U$5:U75,"x")))=0,"",COUNTIF($U$5:U76,"x"))</f>
        <v/>
      </c>
      <c r="V181" s="3634" t="str">
        <f>IF(((COUNTIF($V$5:V76,"x"))-(COUNTIF($V$5:V75,"x")))=0,"",COUNTIF($V$5:V76,"x"))</f>
        <v/>
      </c>
      <c r="W181" s="3634" t="str">
        <f>IF(((COUNTIF($W$5:W76,"x"))-(COUNTIF($W$5:W75,"x")))=0,"",COUNTIF($W$5:W76,"x"))</f>
        <v/>
      </c>
      <c r="X181" s="3634" t="str">
        <f>IF(((COUNTIF($X$5:X76,"x"))-(COUNTIF($X$5:X75,"x")))=0,"",COUNTIF($X$5:X76,"x"))</f>
        <v/>
      </c>
      <c r="Y181" s="3634" t="str">
        <f>IF(((COUNTIF($Y$5:Y76,"x"))-(COUNTIF($Y$5:Y75,"x")))=0,"",COUNTIF($Y$5:Y76,"x"))</f>
        <v/>
      </c>
      <c r="Z181" s="3634" t="str">
        <f>IF(((COUNTIF($Z$5:Z76,"x"))-(COUNTIF($Z$5:Z75,"x")))=0,"",COUNTIF($Z$5:Z76,"x"))</f>
        <v/>
      </c>
      <c r="AA181" s="3634" t="str">
        <f>IF(((COUNTIF($AA$5:AA76,"x"))-(COUNTIF($AA$5:AA75,"x")))=0,"",COUNTIF($AA$5:AA76,"x"))</f>
        <v/>
      </c>
      <c r="AB181" s="3634" t="str">
        <f>IF(((COUNTIF($AB$5:AB76,"x"))-(COUNTIF($AB$5:AB75,"x")))=0,"",COUNTIF($AB$5:AB76,"x"))</f>
        <v/>
      </c>
      <c r="AC181" s="3634" t="str">
        <f>IF(((COUNTIF($AC$5:AC76,"x"))-(COUNTIF($AC$5:AC75,"x")))=0,"",COUNTIF($AC$5:AC76,"x"))</f>
        <v/>
      </c>
      <c r="AD181" s="3632">
        <f>IF(((COUNTIF($AD$5:AD76,"x"))-(COUNTIF($AD$5:AD75,"x")))=0,"",COUNTIF($AD$5:AD76,"x"))</f>
        <v>61</v>
      </c>
      <c r="AE181" s="3634" t="str">
        <f>IF(((COUNTIF($AE$5:AE76,"x"))-(COUNTIF($AE$5:AE75,"x")))=0,"",COUNTIF($AE$5:AE76,"x"))</f>
        <v/>
      </c>
      <c r="AF181" s="3637" t="str">
        <f>IF(((COUNTIF($AF$5:AF76,"x"))-(COUNTIF($AF$5:AF75,"x")))=0,"",COUNTIF($AF$5:AF76,"x"))</f>
        <v/>
      </c>
      <c r="AG181" s="1518" t="str">
        <f t="shared" si="16"/>
        <v>Tilmor</v>
      </c>
    </row>
    <row r="182" spans="2:33" ht="17.399999999999999" hidden="1">
      <c r="B182" s="1525">
        <f t="shared" si="17"/>
        <v>73</v>
      </c>
      <c r="C182" s="2658" t="s">
        <v>481</v>
      </c>
      <c r="D182" s="3636"/>
      <c r="E182" s="3638"/>
      <c r="F182" s="3631">
        <f>IF(((COUNTIF($F$5:$F77,"x"))-(COUNTIF($F$5:$F76,"x")))=0,"",COUNTIF($F$5:$F77,"x"))</f>
        <v>29</v>
      </c>
      <c r="G182" s="3632" t="str">
        <f>IF(((COUNTIF($G$5:$G77,"x"))-(COUNTIF($G$5:$G76,"x")))=0,"",COUNTIF($G$5:$G77,"x"))</f>
        <v/>
      </c>
      <c r="H182" s="3632">
        <f>IF(((COUNTIF($H$5:$H77,"x"))-(COUNTIF($H$5:$H76,"x")))=0,"",COUNTIF($H$5:$H77,"x"))</f>
        <v>28</v>
      </c>
      <c r="I182" s="3632">
        <f>IF(((COUNTIF($I$5:I77,"x"))-(COUNTIF($I$5:I76,"x")))=0,"",COUNTIF($I$5:I77,"x"))</f>
        <v>26</v>
      </c>
      <c r="J182" s="3634" t="str">
        <f>IF(((COUNTIF($J$5:J77,"x"))-(COUNTIF($J$5:J76,"x")))=0,"",COUNTIF($J$5:J77,"x"))</f>
        <v/>
      </c>
      <c r="K182" s="3634" t="str">
        <f>IF(((COUNTIF($K$5:K77,"x"))-(COUNTIF($K$5:K76,"x")))=0,"",COUNTIF($K$5:K77,"x"))</f>
        <v/>
      </c>
      <c r="L182" s="3634" t="str">
        <f>IF(((COUNTIF($L$5:L77,"x"))-(COUNTIF($L$5:L76,"x")))=0,"",COUNTIF($L$5:L77,"x"))</f>
        <v/>
      </c>
      <c r="M182" s="3634" t="str">
        <f>IF(((COUNTIF($M$5:M77,"x"))-(COUNTIF($M$5:M76,"x")))=0,"",COUNTIF($M$5:M77,"x"))</f>
        <v/>
      </c>
      <c r="N182" s="3634" t="str">
        <f>IF(((COUNTIF($N$5:N77,"x"))-(COUNTIF($N$5:N76,"x")))=0,"",COUNTIF($N$5:N77,"x"))</f>
        <v/>
      </c>
      <c r="O182" s="3634" t="str">
        <f>IF(((COUNTIF($O$5:O77,"x"))-(COUNTIF($O$5:O76,"x")))=0,"",COUNTIF($O$5:O77,"x"))</f>
        <v/>
      </c>
      <c r="P182" s="3632" t="str">
        <f>IF(((COUNTIF($P$5:P77,"x"))-(COUNTIF($P$5:P76,"x")))=0,"",COUNTIF($P$5:P77,"x"))</f>
        <v/>
      </c>
      <c r="Q182" s="3634" t="str">
        <f>IF(((COUNTIF($Q$5:Q77,"x"))-(COUNTIF($Q$5:Q76,"x")))=0,"",COUNTIF($Q$5:Q77,"x"))</f>
        <v/>
      </c>
      <c r="R182" s="3634" t="str">
        <f>IF(((COUNTIF($R$5:R77,"x"))-(COUNTIF($R$5:R76,"x")))=0,"",COUNTIF($R$5:R77,"x"))</f>
        <v/>
      </c>
      <c r="S182" s="3634" t="str">
        <f>IF(((COUNTIF($S$5:S77,"x"))-(COUNTIF($S$5:S76,"x")))=0,"",COUNTIF($S$5:S77,"x"))</f>
        <v/>
      </c>
      <c r="T182" s="3634" t="str">
        <f>IF(((COUNTIF($T$5:T77,"x"))-(COUNTIF($T$5:T76,"x")))=0,"",COUNTIF($T$5:T77,"x"))</f>
        <v/>
      </c>
      <c r="U182" s="3634" t="str">
        <f>IF(((COUNTIF($U$5:U77,"x"))-(COUNTIF($U$5:U76,"x")))=0,"",COUNTIF($U$5:U77,"x"))</f>
        <v/>
      </c>
      <c r="V182" s="3634" t="str">
        <f>IF(((COUNTIF($V$5:V77,"x"))-(COUNTIF($V$5:V76,"x")))=0,"",COUNTIF($V$5:V77,"x"))</f>
        <v/>
      </c>
      <c r="W182" s="3634" t="str">
        <f>IF(((COUNTIF($W$5:W77,"x"))-(COUNTIF($W$5:W76,"x")))=0,"",COUNTIF($W$5:W77,"x"))</f>
        <v/>
      </c>
      <c r="X182" s="3634" t="str">
        <f>IF(((COUNTIF($X$5:X77,"x"))-(COUNTIF($X$5:X76,"x")))=0,"",COUNTIF($X$5:X77,"x"))</f>
        <v/>
      </c>
      <c r="Y182" s="3634" t="str">
        <f>IF(((COUNTIF($Y$5:Y77,"x"))-(COUNTIF($Y$5:Y76,"x")))=0,"",COUNTIF($Y$5:Y77,"x"))</f>
        <v/>
      </c>
      <c r="Z182" s="3634" t="str">
        <f>IF(((COUNTIF($Z$5:Z77,"x"))-(COUNTIF($Z$5:Z76,"x")))=0,"",COUNTIF($Z$5:Z77,"x"))</f>
        <v/>
      </c>
      <c r="AA182" s="3634" t="str">
        <f>IF(((COUNTIF($AA$5:AA77,"x"))-(COUNTIF($AA$5:AA76,"x")))=0,"",COUNTIF($AA$5:AA77,"x"))</f>
        <v/>
      </c>
      <c r="AB182" s="3634" t="str">
        <f>IF(((COUNTIF($AB$5:AB77,"x"))-(COUNTIF($AB$5:AB76,"x")))=0,"",COUNTIF($AB$5:AB77,"x"))</f>
        <v/>
      </c>
      <c r="AC182" s="3634" t="str">
        <f>IF(((COUNTIF($AC$5:AC77,"x"))-(COUNTIF($AC$5:AC76,"x")))=0,"",COUNTIF($AC$5:AC77,"x"))</f>
        <v/>
      </c>
      <c r="AD182" s="3632">
        <f>IF(((COUNTIF($AD$5:AD77,"x"))-(COUNTIF($AD$5:AD76,"x")))=0,"",COUNTIF($AD$5:AD77,"x"))</f>
        <v>62</v>
      </c>
      <c r="AE182" s="3634" t="str">
        <f>IF(((COUNTIF($AE$5:AE77,"x"))-(COUNTIF($AE$5:AE76,"x")))=0,"",COUNTIF($AE$5:AE77,"x"))</f>
        <v/>
      </c>
      <c r="AF182" s="3637" t="str">
        <f>IF(((COUNTIF($AF$5:AF77,"x"))-(COUNTIF($AF$5:AF76,"x")))=0,"",COUNTIF($AF$5:AF77,"x"))</f>
        <v/>
      </c>
      <c r="AG182" s="1518" t="str">
        <f t="shared" si="16"/>
        <v>Traxos</v>
      </c>
    </row>
    <row r="183" spans="2:33" ht="17.399999999999999" hidden="1">
      <c r="B183" s="1525">
        <f t="shared" si="17"/>
        <v>74</v>
      </c>
      <c r="C183" s="2658" t="s">
        <v>479</v>
      </c>
      <c r="D183" s="3636"/>
      <c r="E183" s="3638"/>
      <c r="F183" s="3631" t="str">
        <f>IF(((COUNTIF($F$5:$F78,"x"))-(COUNTIF($F$5:$F77,"x")))=0,"",COUNTIF($F$5:$F78,"x"))</f>
        <v/>
      </c>
      <c r="G183" s="3632" t="str">
        <f>IF(((COUNTIF($G$5:$G78,"x"))-(COUNTIF($G$5:$G77,"x")))=0,"",COUNTIF($G$5:$G78,"x"))</f>
        <v/>
      </c>
      <c r="H183" s="3632" t="str">
        <f>IF(((COUNTIF($H$5:$H78,"x"))-(COUNTIF($H$5:$H77,"x")))=0,"",COUNTIF($H$5:$H78,"x"))</f>
        <v/>
      </c>
      <c r="I183" s="3632" t="str">
        <f>IF(((COUNTIF($I$5:I78,"x"))-(COUNTIF($I$5:I77,"x")))=0,"",COUNTIF($I$5:I78,"x"))</f>
        <v/>
      </c>
      <c r="J183" s="3634" t="str">
        <f>IF(((COUNTIF($J$5:J78,"x"))-(COUNTIF($J$5:J77,"x")))=0,"",COUNTIF($J$5:J78,"x"))</f>
        <v/>
      </c>
      <c r="K183" s="3634" t="str">
        <f>IF(((COUNTIF($K$5:K78,"x"))-(COUNTIF($K$5:K77,"x")))=0,"",COUNTIF($K$5:K78,"x"))</f>
        <v/>
      </c>
      <c r="L183" s="3634" t="str">
        <f>IF(((COUNTIF($L$5:L78,"x"))-(COUNTIF($L$5:L77,"x")))=0,"",COUNTIF($L$5:L78,"x"))</f>
        <v/>
      </c>
      <c r="M183" s="3634" t="str">
        <f>IF(((COUNTIF($M$5:M78,"x"))-(COUNTIF($M$5:M77,"x")))=0,"",COUNTIF($M$5:M78,"x"))</f>
        <v/>
      </c>
      <c r="N183" s="3634" t="str">
        <f>IF(((COUNTIF($N$5:N78,"x"))-(COUNTIF($N$5:N77,"x")))=0,"",COUNTIF($N$5:N78,"x"))</f>
        <v/>
      </c>
      <c r="O183" s="3634" t="str">
        <f>IF(((COUNTIF($O$5:O78,"x"))-(COUNTIF($O$5:O77,"x")))=0,"",COUNTIF($O$5:O78,"x"))</f>
        <v/>
      </c>
      <c r="P183" s="3632" t="str">
        <f>IF(((COUNTIF($P$5:P78,"x"))-(COUNTIF($P$5:P77,"x")))=0,"",COUNTIF($P$5:P78,"x"))</f>
        <v/>
      </c>
      <c r="Q183" s="3634" t="str">
        <f>IF(((COUNTIF($Q$5:Q78,"x"))-(COUNTIF($Q$5:Q77,"x")))=0,"",COUNTIF($Q$5:Q78,"x"))</f>
        <v/>
      </c>
      <c r="R183" s="3634" t="str">
        <f>IF(((COUNTIF($R$5:R78,"x"))-(COUNTIF($R$5:R77,"x")))=0,"",COUNTIF($R$5:R78,"x"))</f>
        <v/>
      </c>
      <c r="S183" s="3634">
        <f>IF(((COUNTIF($S$5:S78,"x"))-(COUNTIF($S$5:S77,"x")))=0,"",COUNTIF($S$5:S78,"x"))</f>
        <v>21</v>
      </c>
      <c r="T183" s="3634">
        <f>IF(((COUNTIF($T$5:T78,"x"))-(COUNTIF($T$5:T77,"x")))=0,"",COUNTIF($T$5:T78,"x"))</f>
        <v>12</v>
      </c>
      <c r="U183" s="3634" t="str">
        <f>IF(((COUNTIF($U$5:U78,"x"))-(COUNTIF($U$5:U77,"x")))=0,"",COUNTIF($U$5:U78,"x"))</f>
        <v/>
      </c>
      <c r="V183" s="3634" t="str">
        <f>IF(((COUNTIF($V$5:V78,"x"))-(COUNTIF($V$5:V77,"x")))=0,"",COUNTIF($V$5:V78,"x"))</f>
        <v/>
      </c>
      <c r="W183" s="3634" t="str">
        <f>IF(((COUNTIF($W$5:W78,"x"))-(COUNTIF($W$5:W77,"x")))=0,"",COUNTIF($W$5:W78,"x"))</f>
        <v/>
      </c>
      <c r="X183" s="3634" t="str">
        <f>IF(((COUNTIF($X$5:X78,"x"))-(COUNTIF($X$5:X77,"x")))=0,"",COUNTIF($X$5:X78,"x"))</f>
        <v/>
      </c>
      <c r="Y183" s="3634" t="str">
        <f>IF(((COUNTIF($Y$5:Y78,"x"))-(COUNTIF($Y$5:Y77,"x")))=0,"",COUNTIF($Y$5:Y78,"x"))</f>
        <v/>
      </c>
      <c r="Z183" s="3634" t="str">
        <f>IF(((COUNTIF($Z$5:Z78,"x"))-(COUNTIF($Z$5:Z77,"x")))=0,"",COUNTIF($Z$5:Z78,"x"))</f>
        <v/>
      </c>
      <c r="AA183" s="3634" t="str">
        <f>IF(((COUNTIF($AA$5:AA78,"x"))-(COUNTIF($AA$5:AA77,"x")))=0,"",COUNTIF($AA$5:AA78,"x"))</f>
        <v/>
      </c>
      <c r="AB183" s="3634" t="str">
        <f>IF(((COUNTIF($AB$5:AB78,"x"))-(COUNTIF($AB$5:AB77,"x")))=0,"",COUNTIF($AB$5:AB78,"x"))</f>
        <v/>
      </c>
      <c r="AC183" s="3634" t="str">
        <f>IF(((COUNTIF($AC$5:AC78,"x"))-(COUNTIF($AC$5:AC77,"x")))=0,"",COUNTIF($AC$5:AC78,"x"))</f>
        <v/>
      </c>
      <c r="AD183" s="3632">
        <f>IF(((COUNTIF($AD$5:AD78,"x"))-(COUNTIF($AD$5:AD77,"x")))=0,"",COUNTIF($AD$5:AD78,"x"))</f>
        <v>63</v>
      </c>
      <c r="AE183" s="3634" t="str">
        <f>IF(((COUNTIF($AE$5:AE78,"x"))-(COUNTIF($AE$5:AE77,"x")))=0,"",COUNTIF($AE$5:AE78,"x"))</f>
        <v/>
      </c>
      <c r="AF183" s="3637" t="str">
        <f>IF(((COUNTIF($AF$5:AF78,"x"))-(COUNTIF($AF$5:AF77,"x")))=0,"",COUNTIF($AF$5:AF78,"x"))</f>
        <v/>
      </c>
      <c r="AG183" s="1518" t="str">
        <f t="shared" si="16"/>
        <v>Trebon 30 EC</v>
      </c>
    </row>
    <row r="184" spans="2:33" ht="17.399999999999999" hidden="1">
      <c r="B184" s="1525">
        <f t="shared" si="17"/>
        <v>75</v>
      </c>
      <c r="C184" s="2658" t="s">
        <v>478</v>
      </c>
      <c r="D184" s="3636"/>
      <c r="E184" s="3638"/>
      <c r="F184" s="3631" t="str">
        <f>IF(((COUNTIF($F$5:$F79,"x"))-(COUNTIF($F$5:$F78,"x")))=0,"",COUNTIF($F$5:$F79,"x"))</f>
        <v/>
      </c>
      <c r="G184" s="3632" t="str">
        <f>IF(((COUNTIF($G$5:$G79,"x"))-(COUNTIF($G$5:$G78,"x")))=0,"",COUNTIF($G$5:$G79,"x"))</f>
        <v/>
      </c>
      <c r="H184" s="3632" t="str">
        <f>IF(((COUNTIF($H$5:$H79,"x"))-(COUNTIF($H$5:$H78,"x")))=0,"",COUNTIF($H$5:$H79,"x"))</f>
        <v/>
      </c>
      <c r="I184" s="3632" t="str">
        <f>IF(((COUNTIF($I$5:I79,"x"))-(COUNTIF($I$5:I78,"x")))=0,"",COUNTIF($I$5:I79,"x"))</f>
        <v/>
      </c>
      <c r="J184" s="3634" t="str">
        <f>IF(((COUNTIF($J$5:J79,"x"))-(COUNTIF($J$5:J78,"x")))=0,"",COUNTIF($J$5:J79,"x"))</f>
        <v/>
      </c>
      <c r="K184" s="3634" t="str">
        <f>IF(((COUNTIF($K$5:K79,"x"))-(COUNTIF($K$5:K78,"x")))=0,"",COUNTIF($K$5:K79,"x"))</f>
        <v/>
      </c>
      <c r="L184" s="3634" t="str">
        <f>IF(((COUNTIF($L$5:L79,"x"))-(COUNTIF($L$5:L78,"x")))=0,"",COUNTIF($L$5:L79,"x"))</f>
        <v/>
      </c>
      <c r="M184" s="3634" t="str">
        <f>IF(((COUNTIF($M$5:M79,"x"))-(COUNTIF($M$5:M78,"x")))=0,"",COUNTIF($M$5:M79,"x"))</f>
        <v/>
      </c>
      <c r="N184" s="3634" t="str">
        <f>IF(((COUNTIF($N$5:N79,"x"))-(COUNTIF($N$5:N78,"x")))=0,"",COUNTIF($N$5:N79,"x"))</f>
        <v/>
      </c>
      <c r="O184" s="3634" t="str">
        <f>IF(((COUNTIF($O$5:O79,"x"))-(COUNTIF($O$5:O78,"x")))=0,"",COUNTIF($O$5:O79,"x"))</f>
        <v/>
      </c>
      <c r="P184" s="3632" t="str">
        <f>IF(((COUNTIF($P$5:P79,"x"))-(COUNTIF($P$5:P78,"x")))=0,"",COUNTIF($P$5:P79,"x"))</f>
        <v/>
      </c>
      <c r="Q184" s="3634" t="str">
        <f>IF(((COUNTIF($Q$5:Q79,"x"))-(COUNTIF($Q$5:Q78,"x")))=0,"",COUNTIF($Q$5:Q79,"x"))</f>
        <v/>
      </c>
      <c r="R184" s="3634">
        <f>IF(((COUNTIF($R$5:R79,"x"))-(COUNTIF($R$5:R78,"x")))=0,"",COUNTIF($R$5:R79,"x"))</f>
        <v>12</v>
      </c>
      <c r="S184" s="3634" t="str">
        <f>IF(((COUNTIF($S$5:S79,"x"))-(COUNTIF($S$5:S78,"x")))=0,"",COUNTIF($S$5:S79,"x"))</f>
        <v/>
      </c>
      <c r="T184" s="3634" t="str">
        <f>IF(((COUNTIF($T$5:T79,"x"))-(COUNTIF($T$5:T78,"x")))=0,"",COUNTIF($T$5:T79,"x"))</f>
        <v/>
      </c>
      <c r="U184" s="3634" t="str">
        <f>IF(((COUNTIF($U$5:U79,"x"))-(COUNTIF($U$5:U78,"x")))=0,"",COUNTIF($U$5:U79,"x"))</f>
        <v/>
      </c>
      <c r="V184" s="3634" t="str">
        <f>IF(((COUNTIF($V$5:V79,"x"))-(COUNTIF($V$5:V78,"x")))=0,"",COUNTIF($V$5:V79,"x"))</f>
        <v/>
      </c>
      <c r="W184" s="3634" t="str">
        <f>IF(((COUNTIF($W$5:W79,"x"))-(COUNTIF($W$5:W78,"x")))=0,"",COUNTIF($W$5:W79,"x"))</f>
        <v/>
      </c>
      <c r="X184" s="3634" t="str">
        <f>IF(((COUNTIF($X$5:X79,"x"))-(COUNTIF($X$5:X78,"x")))=0,"",COUNTIF($X$5:X79,"x"))</f>
        <v/>
      </c>
      <c r="Y184" s="3634" t="str">
        <f>IF(((COUNTIF($Y$5:Y79,"x"))-(COUNTIF($Y$5:Y78,"x")))=0,"",COUNTIF($Y$5:Y79,"x"))</f>
        <v/>
      </c>
      <c r="Z184" s="3634" t="str">
        <f>IF(((COUNTIF($Z$5:Z79,"x"))-(COUNTIF($Z$5:Z78,"x")))=0,"",COUNTIF($Z$5:Z79,"x"))</f>
        <v/>
      </c>
      <c r="AA184" s="3634" t="str">
        <f>IF(((COUNTIF($AA$5:AA79,"x"))-(COUNTIF($AA$5:AA78,"x")))=0,"",COUNTIF($AA$5:AA79,"x"))</f>
        <v/>
      </c>
      <c r="AB184" s="3634" t="str">
        <f>IF(((COUNTIF($AB$5:AB79,"x"))-(COUNTIF($AB$5:AB78,"x")))=0,"",COUNTIF($AB$5:AB79,"x"))</f>
        <v/>
      </c>
      <c r="AC184" s="3634" t="str">
        <f>IF(((COUNTIF($AC$5:AC79,"x"))-(COUNTIF($AC$5:AC78,"x")))=0,"",COUNTIF($AC$5:AC79,"x"))</f>
        <v/>
      </c>
      <c r="AD184" s="3632">
        <f>IF(((COUNTIF($AD$5:AD79,"x"))-(COUNTIF($AD$5:AD78,"x")))=0,"",COUNTIF($AD$5:AD79,"x"))</f>
        <v>64</v>
      </c>
      <c r="AE184" s="3634" t="str">
        <f>IF(((COUNTIF($AE$5:AE79,"x"))-(COUNTIF($AE$5:AE78,"x")))=0,"",COUNTIF($AE$5:AE79,"x"))</f>
        <v/>
      </c>
      <c r="AF184" s="3637" t="str">
        <f>IF(((COUNTIF($AF$5:AF79,"x"))-(COUNTIF($AF$5:AF78,"x")))=0,"",COUNTIF($AF$5:AF79,"x"))</f>
        <v/>
      </c>
      <c r="AG184" s="1518" t="str">
        <f t="shared" si="16"/>
        <v>TRICHOGRAMMA</v>
      </c>
    </row>
    <row r="185" spans="2:33" ht="17.399999999999999" hidden="1">
      <c r="B185" s="1525">
        <f t="shared" si="17"/>
        <v>76</v>
      </c>
      <c r="C185" s="3639" t="s">
        <v>1484</v>
      </c>
      <c r="D185" s="3636"/>
      <c r="E185" s="3638"/>
      <c r="F185" s="3631">
        <f>IF(((COUNTIF($F$5:$F80,"x"))-(COUNTIF($F$5:$F79,"x")))=0,"",COUNTIF($F$5:$F80,"x"))</f>
        <v>30</v>
      </c>
      <c r="G185" s="3632">
        <f>IF(((COUNTIF($G$5:$G80,"x"))-(COUNTIF($G$5:$G79,"x")))=0,"",COUNTIF($G$5:$G80,"x"))</f>
        <v>21</v>
      </c>
      <c r="H185" s="3632">
        <f>IF(((COUNTIF($H$5:$H80,"x"))-(COUNTIF($H$5:$H79,"x")))=0,"",COUNTIF($H$5:$H80,"x"))</f>
        <v>29</v>
      </c>
      <c r="I185" s="3632">
        <f>IF(((COUNTIF($I$5:I80,"x"))-(COUNTIF($I$5:I79,"x")))=0,"",COUNTIF($I$5:I80,"x"))</f>
        <v>27</v>
      </c>
      <c r="J185" s="3634">
        <f>IF(((COUNTIF($J$5:J80,"x"))-(COUNTIF($J$5:J79,"x")))=0,"",COUNTIF($J$5:J80,"x"))</f>
        <v>25</v>
      </c>
      <c r="K185" s="3634">
        <f>IF(((COUNTIF($K$5:K80,"x"))-(COUNTIF($K$5:K79,"x")))=0,"",COUNTIF($K$5:K80,"x"))</f>
        <v>21</v>
      </c>
      <c r="L185" s="3634">
        <f>IF(((COUNTIF($L$5:L80,"x"))-(COUNTIF($L$5:L79,"x")))=0,"",COUNTIF($L$5:L80,"x"))</f>
        <v>22</v>
      </c>
      <c r="M185" s="3634">
        <f>IF(((COUNTIF($M$5:M80,"x"))-(COUNTIF($M$5:M79,"x")))=0,"",COUNTIF($M$5:M80,"x"))</f>
        <v>22</v>
      </c>
      <c r="N185" s="3634" t="str">
        <f>IF(((COUNTIF($N$5:N80,"x"))-(COUNTIF($N$5:N79,"x")))=0,"",COUNTIF($N$5:N80,"x"))</f>
        <v/>
      </c>
      <c r="O185" s="3634">
        <f>IF(((COUNTIF($O$5:O80,"x"))-(COUNTIF($O$5:O79,"x")))=0,"",COUNTIF($O$5:O80,"x"))</f>
        <v>16</v>
      </c>
      <c r="P185" s="3632" t="str">
        <f>IF(((COUNTIF($P$5:P80,"x"))-(COUNTIF($P$5:P79,"x")))=0,"",COUNTIF($P$5:P80,"x"))</f>
        <v/>
      </c>
      <c r="Q185" s="3634" t="str">
        <f>IF(((COUNTIF($Q$5:Q80,"x"))-(COUNTIF($Q$5:Q79,"x")))=0,"",COUNTIF($Q$5:Q80,"x"))</f>
        <v/>
      </c>
      <c r="R185" s="3634" t="str">
        <f>IF(((COUNTIF($R$5:R80,"x"))-(COUNTIF($R$5:R79,"x")))=0,"",COUNTIF($R$5:R80,"x"))</f>
        <v/>
      </c>
      <c r="S185" s="3634" t="str">
        <f>IF(((COUNTIF($S$5:S80,"x"))-(COUNTIF($S$5:S79,"x")))=0,"",COUNTIF($S$5:S80,"x"))</f>
        <v/>
      </c>
      <c r="T185" s="3634" t="str">
        <f>IF(((COUNTIF($T$5:T80,"x"))-(COUNTIF($T$5:T79,"x")))=0,"",COUNTIF($T$5:T80,"x"))</f>
        <v/>
      </c>
      <c r="U185" s="3634" t="str">
        <f>IF(((COUNTIF($U$5:U80,"x"))-(COUNTIF($U$5:U79,"x")))=0,"",COUNTIF($U$5:U80,"x"))</f>
        <v/>
      </c>
      <c r="V185" s="3634" t="str">
        <f>IF(((COUNTIF($V$5:V80,"x"))-(COUNTIF($V$5:V79,"x")))=0,"",COUNTIF($V$5:V80,"x"))</f>
        <v/>
      </c>
      <c r="W185" s="3634" t="str">
        <f>IF(((COUNTIF($W$5:W80,"x"))-(COUNTIF($W$5:W79,"x")))=0,"",COUNTIF($W$5:W80,"x"))</f>
        <v/>
      </c>
      <c r="X185" s="3634" t="str">
        <f>IF(((COUNTIF($X$5:X80,"x"))-(COUNTIF($X$5:X79,"x")))=0,"",COUNTIF($X$5:X80,"x"))</f>
        <v/>
      </c>
      <c r="Y185" s="3634" t="str">
        <f>IF(((COUNTIF($Y$5:Y80,"x"))-(COUNTIF($Y$5:Y79,"x")))=0,"",COUNTIF($Y$5:Y80,"x"))</f>
        <v/>
      </c>
      <c r="Z185" s="3634" t="str">
        <f>IF(((COUNTIF($Z$5:Z80,"x"))-(COUNTIF($Z$5:Z79,"x")))=0,"",COUNTIF($Z$5:Z80,"x"))</f>
        <v/>
      </c>
      <c r="AA185" s="3634" t="str">
        <f>IF(((COUNTIF($AA$5:AA80,"x"))-(COUNTIF($AA$5:AA79,"x")))=0,"",COUNTIF($AA$5:AA80,"x"))</f>
        <v/>
      </c>
      <c r="AB185" s="3634" t="str">
        <f>IF(((COUNTIF($AB$5:AB80,"x"))-(COUNTIF($AB$5:AB79,"x")))=0,"",COUNTIF($AB$5:AB80,"x"))</f>
        <v/>
      </c>
      <c r="AC185" s="3634" t="str">
        <f>IF(((COUNTIF($AC$5:AC80,"x"))-(COUNTIF($AC$5:AC79,"x")))=0,"",COUNTIF($AC$5:AC80,"x"))</f>
        <v/>
      </c>
      <c r="AD185" s="3632">
        <f>IF(((COUNTIF($AD$5:AD80,"x"))-(COUNTIF($AD$5:AD79,"x")))=0,"",COUNTIF($AD$5:AD80,"x"))</f>
        <v>65</v>
      </c>
      <c r="AE185" s="3634" t="str">
        <f>IF(((COUNTIF($AE$5:AE80,"x"))-(COUNTIF($AE$5:AE79,"x")))=0,"",COUNTIF($AE$5:AE80,"x"))</f>
        <v/>
      </c>
      <c r="AF185" s="3637" t="str">
        <f>IF(((COUNTIF($AF$5:AF80,"x"))-(COUNTIF($AF$5:AF79,"x")))=0,"",COUNTIF($AF$5:AF80,"x"))</f>
        <v/>
      </c>
      <c r="AG185" s="1518" t="str">
        <f t="shared" si="16"/>
        <v>Zypar</v>
      </c>
    </row>
    <row r="186" spans="2:33" ht="17.399999999999999" hidden="1">
      <c r="B186" s="1525">
        <f t="shared" si="17"/>
        <v>77</v>
      </c>
      <c r="C186" s="2658" t="s">
        <v>1419</v>
      </c>
      <c r="D186" s="3636"/>
      <c r="E186" s="3638"/>
      <c r="F186" s="3631" t="str">
        <f>IF(((COUNTIF($F$5:$F81,"x"))-(COUNTIF($F$5:$F80,"x")))=0,"",COUNTIF($F$5:$F81,"x"))</f>
        <v/>
      </c>
      <c r="G186" s="3632" t="str">
        <f>IF(((COUNTIF($G$5:$G81,"x"))-(COUNTIF($G$5:$G80,"x")))=0,"",COUNTIF($G$5:$G81,"x"))</f>
        <v/>
      </c>
      <c r="H186" s="3632" t="str">
        <f>IF(((COUNTIF($H$5:$H81,"x"))-(COUNTIF($H$5:$H80,"x")))=0,"",COUNTIF($H$5:$H81,"x"))</f>
        <v/>
      </c>
      <c r="I186" s="3632" t="str">
        <f>IF(((COUNTIF($I$5:I81,"x"))-(COUNTIF($I$5:I80,"x")))=0,"",COUNTIF($I$5:I81,"x"))</f>
        <v/>
      </c>
      <c r="J186" s="3634" t="str">
        <f>IF(((COUNTIF($J$5:J81,"x"))-(COUNTIF($J$5:J80,"x")))=0,"",COUNTIF($J$5:J81,"x"))</f>
        <v/>
      </c>
      <c r="K186" s="3634" t="str">
        <f>IF(((COUNTIF($K$5:K81,"x"))-(COUNTIF($K$5:K80,"x")))=0,"",COUNTIF($K$5:K81,"x"))</f>
        <v/>
      </c>
      <c r="L186" s="3634" t="str">
        <f>IF(((COUNTIF($L$5:L81,"x"))-(COUNTIF($L$5:L80,"x")))=0,"",COUNTIF($L$5:L81,"x"))</f>
        <v/>
      </c>
      <c r="M186" s="3634" t="str">
        <f>IF(((COUNTIF($M$5:M81,"x"))-(COUNTIF($M$5:M80,"x")))=0,"",COUNTIF($M$5:M81,"x"))</f>
        <v/>
      </c>
      <c r="N186" s="3634" t="str">
        <f>IF(((COUNTIF($N$5:N81,"x"))-(COUNTIF($N$5:N80,"x")))=0,"",COUNTIF($N$5:N81,"x"))</f>
        <v/>
      </c>
      <c r="O186" s="3634" t="str">
        <f>IF(((COUNTIF($O$5:O81,"x"))-(COUNTIF($O$5:O80,"x")))=0,"",COUNTIF($O$5:O81,"x"))</f>
        <v/>
      </c>
      <c r="P186" s="3632">
        <f>IF(((COUNTIF($P$5:P81,"x"))-(COUNTIF($P$5:P80,"x")))=0,"",COUNTIF($P$5:P81,"x"))</f>
        <v>11</v>
      </c>
      <c r="Q186" s="3634">
        <f>IF(((COUNTIF($Q$5:Q81,"x"))-(COUNTIF($Q$5:Q80,"x")))=0,"",COUNTIF($Q$5:Q81,"x"))</f>
        <v>3</v>
      </c>
      <c r="R186" s="3634">
        <f>IF(((COUNTIF($R$5:R81,"x"))-(COUNTIF($R$5:R80,"x")))=0,"",COUNTIF($R$5:R81,"x"))</f>
        <v>13</v>
      </c>
      <c r="S186" s="3634" t="str">
        <f>IF(((COUNTIF($S$5:S81,"x"))-(COUNTIF($S$5:S80,"x")))=0,"",COUNTIF($S$5:S81,"x"))</f>
        <v/>
      </c>
      <c r="T186" s="3634" t="str">
        <f>IF(((COUNTIF($T$5:T81,"x"))-(COUNTIF($T$5:T80,"x")))=0,"",COUNTIF($T$5:T81,"x"))</f>
        <v/>
      </c>
      <c r="U186" s="3634" t="str">
        <f>IF(((COUNTIF($U$5:U81,"x"))-(COUNTIF($U$5:U80,"x")))=0,"",COUNTIF($U$5:U81,"x"))</f>
        <v/>
      </c>
      <c r="V186" s="3634">
        <f>IF(((COUNTIF($V$5:V81,"x"))-(COUNTIF($V$5:V80,"x")))=0,"",COUNTIF($V$5:V81,"x"))</f>
        <v>7</v>
      </c>
      <c r="W186" s="3634" t="str">
        <f>IF(((COUNTIF($W$5:W81,"x"))-(COUNTIF($W$5:W80,"x")))=0,"",COUNTIF($W$5:W81,"x"))</f>
        <v/>
      </c>
      <c r="X186" s="3634" t="str">
        <f>IF(((COUNTIF($X$5:X81,"x"))-(COUNTIF($X$5:X80,"x")))=0,"",COUNTIF($X$5:X81,"x"))</f>
        <v/>
      </c>
      <c r="Y186" s="3634" t="str">
        <f>IF(((COUNTIF($Y$5:Y81,"x"))-(COUNTIF($Y$5:Y80,"x")))=0,"",COUNTIF($Y$5:Y81,"x"))</f>
        <v/>
      </c>
      <c r="Z186" s="3634" t="str">
        <f>IF(((COUNTIF($Z$5:Z81,"x"))-(COUNTIF($Z$5:Z80,"x")))=0,"",COUNTIF($Z$5:Z81,"x"))</f>
        <v/>
      </c>
      <c r="AA186" s="3634">
        <f>IF(((COUNTIF($AA$5:AA81,"x"))-(COUNTIF($AA$5:AA80,"x")))=0,"",COUNTIF($AA$5:AA81,"x"))</f>
        <v>11</v>
      </c>
      <c r="AB186" s="3634">
        <f>IF(((COUNTIF($AB$5:AB81,"x"))-(COUNTIF($AB$5:AB80,"x")))=0,"",COUNTIF($AB$5:AB81,"x"))</f>
        <v>16</v>
      </c>
      <c r="AC186" s="3634" t="str">
        <f>IF(((COUNTIF($AC$5:AC81,"x"))-(COUNTIF($AC$5:AC80,"x")))=0,"",COUNTIF($AC$5:AC81,"x"))</f>
        <v/>
      </c>
      <c r="AD186" s="3632">
        <f>IF(((COUNTIF($AD$5:AD81,"x"))-(COUNTIF($AD$5:AD80,"x")))=0,"",COUNTIF($AD$5:AD81,"x"))</f>
        <v>66</v>
      </c>
      <c r="AE186" s="3634" t="str">
        <f>IF(((COUNTIF($AE$5:AE81,"x"))-(COUNTIF($AE$5:AE80,"x")))=0,"",COUNTIF($AE$5:AE81,"x"))</f>
        <v/>
      </c>
      <c r="AF186" s="3637" t="str">
        <f>IF(((COUNTIF($AF$5:AF81,"x"))-(COUNTIF($AF$5:AF80,"x")))=0,"",COUNTIF($AF$5:AF81,"x"))</f>
        <v/>
      </c>
      <c r="AG186" s="1518" t="str">
        <f t="shared" si="16"/>
        <v>Spectrum</v>
      </c>
    </row>
    <row r="187" spans="2:33" ht="17.399999999999999" hidden="1">
      <c r="B187" s="1525">
        <f t="shared" si="17"/>
        <v>78</v>
      </c>
      <c r="C187" s="2658" t="s">
        <v>1733</v>
      </c>
      <c r="D187" s="3636"/>
      <c r="E187" s="3638"/>
      <c r="F187" s="3631" t="str">
        <f>IF(((COUNTIF($F$5:$F82,"x"))-(COUNTIF($F$5:$F81,"x")))=0,"",COUNTIF($F$5:$F82,"x"))</f>
        <v/>
      </c>
      <c r="G187" s="3632" t="str">
        <f>IF(((COUNTIF($G$5:$G82,"x"))-(COUNTIF($G$5:$G81,"x")))=0,"",COUNTIF($G$5:$G82,"x"))</f>
        <v/>
      </c>
      <c r="H187" s="3632" t="str">
        <f>IF(((COUNTIF($H$5:$H82,"x"))-(COUNTIF($H$5:$H81,"x")))=0,"",COUNTIF($H$5:$H82,"x"))</f>
        <v/>
      </c>
      <c r="I187" s="3632" t="str">
        <f>IF(((COUNTIF($I$5:I82,"x"))-(COUNTIF($I$5:I81,"x")))=0,"",COUNTIF($I$5:I82,"x"))</f>
        <v/>
      </c>
      <c r="J187" s="3634" t="str">
        <f>IF(((COUNTIF($J$5:J82,"x"))-(COUNTIF($J$5:J81,"x")))=0,"",COUNTIF($J$5:J82,"x"))</f>
        <v/>
      </c>
      <c r="K187" s="3634" t="str">
        <f>IF(((COUNTIF($K$5:K82,"x"))-(COUNTIF($K$5:K81,"x")))=0,"",COUNTIF($K$5:K82,"x"))</f>
        <v/>
      </c>
      <c r="L187" s="3634" t="str">
        <f>IF(((COUNTIF($L$5:L82,"x"))-(COUNTIF($L$5:L81,"x")))=0,"",COUNTIF($L$5:L82,"x"))</f>
        <v/>
      </c>
      <c r="M187" s="3634" t="str">
        <f>IF(((COUNTIF($M$5:M82,"x"))-(COUNTIF($M$5:M81,"x")))=0,"",COUNTIF($M$5:M82,"x"))</f>
        <v/>
      </c>
      <c r="N187" s="3634" t="str">
        <f>IF(((COUNTIF($N$5:N82,"x"))-(COUNTIF($N$5:N81,"x")))=0,"",COUNTIF($N$5:N82,"x"))</f>
        <v/>
      </c>
      <c r="O187" s="3634" t="str">
        <f>IF(((COUNTIF($O$5:O82,"x"))-(COUNTIF($O$5:O81,"x")))=0,"",COUNTIF($O$5:O82,"x"))</f>
        <v/>
      </c>
      <c r="P187" s="3632" t="str">
        <f>IF(((COUNTIF($P$5:P82,"x"))-(COUNTIF($P$5:P81,"x")))=0,"",COUNTIF($P$5:P82,"x"))</f>
        <v/>
      </c>
      <c r="Q187" s="3634" t="str">
        <f>IF(((COUNTIF($Q$5:Q82,"x"))-(COUNTIF($Q$5:Q81,"x")))=0,"",COUNTIF($Q$5:Q82,"x"))</f>
        <v/>
      </c>
      <c r="R187" s="3634" t="str">
        <f>IF(((COUNTIF($R$5:R82,"x"))-(COUNTIF($R$5:R81,"x")))=0,"",COUNTIF($R$5:R82,"x"))</f>
        <v/>
      </c>
      <c r="S187" s="3634" t="str">
        <f>IF(((COUNTIF($S$5:S82,"x"))-(COUNTIF($S$5:S81,"x")))=0,"",COUNTIF($S$5:S82,"x"))</f>
        <v/>
      </c>
      <c r="T187" s="3634" t="str">
        <f>IF(((COUNTIF($T$5:T82,"x"))-(COUNTIF($T$5:T81,"x")))=0,"",COUNTIF($T$5:T82,"x"))</f>
        <v/>
      </c>
      <c r="U187" s="3634" t="str">
        <f>IF(((COUNTIF($U$5:U82,"x"))-(COUNTIF($U$5:U81,"x")))=0,"",COUNTIF($U$5:U82,"x"))</f>
        <v/>
      </c>
      <c r="V187" s="3634" t="str">
        <f>IF(((COUNTIF($V$5:V82,"x"))-(COUNTIF($V$5:V81,"x")))=0,"",COUNTIF($V$5:V82,"x"))</f>
        <v/>
      </c>
      <c r="W187" s="3634" t="str">
        <f>IF(((COUNTIF($W$5:W82,"x"))-(COUNTIF($W$5:W81,"x")))=0,"",COUNTIF($W$5:W82,"x"))</f>
        <v/>
      </c>
      <c r="X187" s="3634" t="str">
        <f>IF(((COUNTIF($X$5:X82,"x"))-(COUNTIF($X$5:X81,"x")))=0,"",COUNTIF($X$5:X82,"x"))</f>
        <v/>
      </c>
      <c r="Y187" s="3634" t="str">
        <f>IF(((COUNTIF($Y$5:Y82,"x"))-(COUNTIF($Y$5:Y81,"x")))=0,"",COUNTIF($Y$5:Y82,"x"))</f>
        <v/>
      </c>
      <c r="Z187" s="3634" t="str">
        <f>IF(((COUNTIF($Z$5:Z82,"x"))-(COUNTIF($Z$5:Z81,"x")))=0,"",COUNTIF($Z$5:Z82,"x"))</f>
        <v/>
      </c>
      <c r="AA187" s="3634" t="str">
        <f>IF(((COUNTIF($AA$5:AA82,"x"))-(COUNTIF($AA$5:AA81,"x")))=0,"",COUNTIF($AA$5:AA82,"x"))</f>
        <v/>
      </c>
      <c r="AB187" s="3634">
        <f>IF(((COUNTIF($AB$5:AB82,"x"))-(COUNTIF($AB$5:AB81,"x")))=0,"",COUNTIF($AB$5:AB82,"x"))</f>
        <v>17</v>
      </c>
      <c r="AC187" s="3634" t="str">
        <f>IF(((COUNTIF($AC$5:AC82,"x"))-(COUNTIF($AC$5:AC81,"x")))=0,"",COUNTIF($AC$5:AC82,"x"))</f>
        <v/>
      </c>
      <c r="AD187" s="3632" t="str">
        <f>IF(((COUNTIF($AD$5:AD82,"x"))-(COUNTIF($AD$5:AD81,"x")))=0,"",COUNTIF($AD$5:AD82,"x"))</f>
        <v/>
      </c>
      <c r="AE187" s="3634" t="str">
        <f>IF(((COUNTIF($AE$5:AE82,"x"))-(COUNTIF($AE$5:AE81,"x")))=0,"",COUNTIF($AE$5:AE82,"x"))</f>
        <v/>
      </c>
      <c r="AF187" s="3637" t="str">
        <f>IF(((COUNTIF($AF$5:AF82,"x"))-(COUNTIF($AF$5:AF81,"x")))=0,"",COUNTIF($AF$5:AF82,"x"))</f>
        <v/>
      </c>
      <c r="AG187" s="1518" t="str">
        <f t="shared" si="16"/>
        <v>Proman</v>
      </c>
    </row>
    <row r="188" spans="2:33" ht="17.399999999999999" hidden="1">
      <c r="B188" s="1525">
        <f t="shared" si="17"/>
        <v>79</v>
      </c>
      <c r="C188" s="2658" t="s">
        <v>1503</v>
      </c>
      <c r="D188" s="3636"/>
      <c r="E188" s="3638"/>
      <c r="F188" s="3631">
        <f>IF(((COUNTIF($F$5:$F83,"x"))-(COUNTIF($F$5:$F82,"x")))=0,"",COUNTIF($F$5:$F83,"x"))</f>
        <v>31</v>
      </c>
      <c r="G188" s="3632">
        <f>IF(((COUNTIF($G$5:$G83,"x"))-(COUNTIF($G$5:$G82,"x")))=0,"",COUNTIF($G$5:$G83,"x"))</f>
        <v>22</v>
      </c>
      <c r="H188" s="3632">
        <f>IF(((COUNTIF($H$5:$H83,"x"))-(COUNTIF($H$5:$H82,"x")))=0,"",COUNTIF($H$5:$H83,"x"))</f>
        <v>30</v>
      </c>
      <c r="I188" s="3632">
        <f>IF(((COUNTIF($I$5:I83,"x"))-(COUNTIF($I$5:I82,"x")))=0,"",COUNTIF($I$5:I83,"x"))</f>
        <v>28</v>
      </c>
      <c r="J188" s="3634" t="str">
        <f>IF(((COUNTIF($J$5:J83,"x"))-(COUNTIF($J$5:J82,"x")))=0,"",COUNTIF($J$5:J83,"x"))</f>
        <v/>
      </c>
      <c r="K188" s="3634">
        <f>IF(((COUNTIF($K$5:K83,"x"))-(COUNTIF($K$5:K82,"x")))=0,"",COUNTIF($K$5:K83,"x"))</f>
        <v>22</v>
      </c>
      <c r="L188" s="3634" t="str">
        <f>IF(((COUNTIF($L$5:L83,"x"))-(COUNTIF($L$5:L82,"x")))=0,"",COUNTIF($L$5:L83,"x"))</f>
        <v/>
      </c>
      <c r="M188" s="3634" t="str">
        <f>IF(((COUNTIF($M$5:M83,"x"))-(COUNTIF($M$5:M82,"x")))=0,"",COUNTIF($M$5:M83,"x"))</f>
        <v/>
      </c>
      <c r="N188" s="3634" t="str">
        <f>IF(((COUNTIF($N$5:N83,"x"))-(COUNTIF($N$5:N82,"x")))=0,"",COUNTIF($N$5:N83,"x"))</f>
        <v/>
      </c>
      <c r="O188" s="3634" t="str">
        <f>IF(((COUNTIF($O$5:O83,"x"))-(COUNTIF($O$5:O82,"x")))=0,"",COUNTIF($O$5:O83,"x"))</f>
        <v/>
      </c>
      <c r="P188" s="3632">
        <f>IF(((COUNTIF($P$5:P83,"x"))-(COUNTIF($P$5:P82,"x")))=0,"",COUNTIF($P$5:P83,"x"))</f>
        <v>12</v>
      </c>
      <c r="Q188" s="3634" t="str">
        <f>IF(((COUNTIF($Q$5:Q83,"x"))-(COUNTIF($Q$5:Q82,"x")))=0,"",COUNTIF($Q$5:Q83,"x"))</f>
        <v/>
      </c>
      <c r="R188" s="3634" t="str">
        <f>IF(((COUNTIF($R$5:R83,"x"))-(COUNTIF($R$5:R82,"x")))=0,"",COUNTIF($R$5:R83,"x"))</f>
        <v/>
      </c>
      <c r="S188" s="3634" t="str">
        <f>IF(((COUNTIF($S$5:S83,"x"))-(COUNTIF($S$5:S82,"x")))=0,"",COUNTIF($S$5:S83,"x"))</f>
        <v/>
      </c>
      <c r="T188" s="3634" t="str">
        <f>IF(((COUNTIF($T$5:T83,"x"))-(COUNTIF($T$5:T82,"x")))=0,"",COUNTIF($T$5:T83,"x"))</f>
        <v/>
      </c>
      <c r="U188" s="3634" t="str">
        <f>IF(((COUNTIF($U$5:U83,"x"))-(COUNTIF($U$5:U82,"x")))=0,"",COUNTIF($U$5:U83,"x"))</f>
        <v/>
      </c>
      <c r="V188" s="3634" t="str">
        <f>IF(((COUNTIF($V$5:V83,"x"))-(COUNTIF($V$5:V82,"x")))=0,"",COUNTIF($V$5:V83,"x"))</f>
        <v/>
      </c>
      <c r="W188" s="3634" t="str">
        <f>IF(((COUNTIF($W$5:W83,"x"))-(COUNTIF($W$5:W82,"x")))=0,"",COUNTIF($W$5:W83,"x"))</f>
        <v/>
      </c>
      <c r="X188" s="3634" t="str">
        <f>IF(((COUNTIF($X$5:X83,"x"))-(COUNTIF($X$5:X82,"x")))=0,"",COUNTIF($X$5:X83,"x"))</f>
        <v/>
      </c>
      <c r="Y188" s="3634" t="str">
        <f>IF(((COUNTIF($Y$5:Y83,"x"))-(COUNTIF($Y$5:Y82,"x")))=0,"",COUNTIF($Y$5:Y83,"x"))</f>
        <v/>
      </c>
      <c r="Z188" s="3634" t="str">
        <f>IF(((COUNTIF($Z$5:Z83,"x"))-(COUNTIF($Z$5:Z82,"x")))=0,"",COUNTIF($Z$5:Z83,"x"))</f>
        <v/>
      </c>
      <c r="AA188" s="3634" t="str">
        <f>IF(((COUNTIF($AA$5:AA83,"x"))-(COUNTIF($AA$5:AA82,"x")))=0,"",COUNTIF($AA$5:AA83,"x"))</f>
        <v/>
      </c>
      <c r="AB188" s="3634" t="str">
        <f>IF(((COUNTIF($AB$5:AB83,"x"))-(COUNTIF($AB$5:AB82,"x")))=0,"",COUNTIF($AB$5:AB83,"x"))</f>
        <v/>
      </c>
      <c r="AC188" s="3634" t="str">
        <f>IF(((COUNTIF($AC$5:AC83,"x"))-(COUNTIF($AC$5:AC82,"x")))=0,"",COUNTIF($AC$5:AC83,"x"))</f>
        <v/>
      </c>
      <c r="AD188" s="3632">
        <f>IF(((COUNTIF($AD$5:AD83,"x"))-(COUNTIF($AD$5:AD82,"x")))=0,"",COUNTIF($AD$5:AD83,"x"))</f>
        <v>67</v>
      </c>
      <c r="AE188" s="3634" t="str">
        <f>IF(((COUNTIF($AE$5:AE83,"x"))-(COUNTIF($AE$5:AE82,"x")))=0,"",COUNTIF($AE$5:AE83,"x"))</f>
        <v/>
      </c>
      <c r="AF188" s="3637" t="str">
        <f>IF(((COUNTIF($AF$5:AF83,"x"))-(COUNTIF($AF$5:AF82,"x")))=0,"",COUNTIF($AF$5:AF83,"x"))</f>
        <v/>
      </c>
      <c r="AG188" s="1518" t="str">
        <f t="shared" si="16"/>
        <v>Univoq</v>
      </c>
    </row>
    <row r="189" spans="2:33" ht="17.399999999999999" hidden="1">
      <c r="B189" s="1525">
        <f t="shared" si="17"/>
        <v>80</v>
      </c>
      <c r="C189" s="2696">
        <f t="shared" ref="C189:C208" si="18">C84</f>
        <v>0</v>
      </c>
      <c r="D189" s="3636"/>
      <c r="E189" s="3638"/>
      <c r="F189" s="3631" t="str">
        <f>IF(((COUNTIF($F$5:$F84,"x"))-(COUNTIF($F$5:$F83,"x")))=0,"",COUNTIF($F$5:$F84,"x"))</f>
        <v/>
      </c>
      <c r="G189" s="3632" t="str">
        <f>IF(((COUNTIF($G$5:$G84,"x"))-(COUNTIF($G$5:$G83,"x")))=0,"",COUNTIF($G$5:$G84,"x"))</f>
        <v/>
      </c>
      <c r="H189" s="3632" t="str">
        <f>IF(((COUNTIF($H$5:$H84,"x"))-(COUNTIF($H$5:$H83,"x")))=0,"",COUNTIF($H$5:$H84,"x"))</f>
        <v/>
      </c>
      <c r="I189" s="3632" t="str">
        <f>IF(((COUNTIF($I$5:I84,"x"))-(COUNTIF($I$5:I83,"x")))=0,"",COUNTIF($I$5:I84,"x"))</f>
        <v/>
      </c>
      <c r="J189" s="3634" t="str">
        <f>IF(((COUNTIF($J$5:J84,"x"))-(COUNTIF($J$5:J83,"x")))=0,"",COUNTIF($J$5:J84,"x"))</f>
        <v/>
      </c>
      <c r="K189" s="3634" t="str">
        <f>IF(((COUNTIF($K$5:K84,"x"))-(COUNTIF($K$5:K83,"x")))=0,"",COUNTIF($K$5:K84,"x"))</f>
        <v/>
      </c>
      <c r="L189" s="3634" t="str">
        <f>IF(((COUNTIF($L$5:L84,"x"))-(COUNTIF($L$5:L83,"x")))=0,"",COUNTIF($L$5:L84,"x"))</f>
        <v/>
      </c>
      <c r="M189" s="3634" t="str">
        <f>IF(((COUNTIF($M$5:M84,"x"))-(COUNTIF($M$5:M83,"x")))=0,"",COUNTIF($M$5:M84,"x"))</f>
        <v/>
      </c>
      <c r="N189" s="3634" t="str">
        <f>IF(((COUNTIF($N$5:N84,"x"))-(COUNTIF($N$5:N83,"x")))=0,"",COUNTIF($N$5:N84,"x"))</f>
        <v/>
      </c>
      <c r="O189" s="3634" t="str">
        <f>IF(((COUNTIF($O$5:O84,"x"))-(COUNTIF($O$5:O83,"x")))=0,"",COUNTIF($O$5:O84,"x"))</f>
        <v/>
      </c>
      <c r="P189" s="3632" t="str">
        <f>IF(((COUNTIF($P$5:P84,"x"))-(COUNTIF($P$5:P83,"x")))=0,"",COUNTIF($P$5:P84,"x"))</f>
        <v/>
      </c>
      <c r="Q189" s="3634" t="str">
        <f>IF(((COUNTIF($Q$5:Q84,"x"))-(COUNTIF($Q$5:Q83,"x")))=0,"",COUNTIF($Q$5:Q84,"x"))</f>
        <v/>
      </c>
      <c r="R189" s="3634" t="str">
        <f>IF(((COUNTIF($R$5:R84,"x"))-(COUNTIF($R$5:R83,"x")))=0,"",COUNTIF($R$5:R84,"x"))</f>
        <v/>
      </c>
      <c r="S189" s="3634" t="str">
        <f>IF(((COUNTIF($S$5:S84,"x"))-(COUNTIF($S$5:S83,"x")))=0,"",COUNTIF($S$5:S84,"x"))</f>
        <v/>
      </c>
      <c r="T189" s="3634" t="str">
        <f>IF(((COUNTIF($T$5:T84,"x"))-(COUNTIF($T$5:T83,"x")))=0,"",COUNTIF($T$5:T84,"x"))</f>
        <v/>
      </c>
      <c r="U189" s="3634" t="str">
        <f>IF(((COUNTIF($U$5:U84,"x"))-(COUNTIF($U$5:U83,"x")))=0,"",COUNTIF($U$5:U84,"x"))</f>
        <v/>
      </c>
      <c r="V189" s="3634" t="str">
        <f>IF(((COUNTIF($V$5:V84,"x"))-(COUNTIF($V$5:V83,"x")))=0,"",COUNTIF($V$5:V84,"x"))</f>
        <v/>
      </c>
      <c r="W189" s="3634" t="str">
        <f>IF(((COUNTIF($W$5:W84,"x"))-(COUNTIF($W$5:W83,"x")))=0,"",COUNTIF($W$5:W84,"x"))</f>
        <v/>
      </c>
      <c r="X189" s="3634" t="str">
        <f>IF(((COUNTIF($X$5:X84,"x"))-(COUNTIF($X$5:X83,"x")))=0,"",COUNTIF($X$5:X84,"x"))</f>
        <v/>
      </c>
      <c r="Y189" s="3634" t="str">
        <f>IF(((COUNTIF($Y$5:Y84,"x"))-(COUNTIF($Y$5:Y83,"x")))=0,"",COUNTIF($Y$5:Y84,"x"))</f>
        <v/>
      </c>
      <c r="Z189" s="3634" t="str">
        <f>IF(((COUNTIF($Z$5:Z84,"x"))-(COUNTIF($Z$5:Z83,"x")))=0,"",COUNTIF($Z$5:Z84,"x"))</f>
        <v/>
      </c>
      <c r="AA189" s="3634" t="str">
        <f>IF(((COUNTIF($AA$5:AA84,"x"))-(COUNTIF($AA$5:AA83,"x")))=0,"",COUNTIF($AA$5:AA84,"x"))</f>
        <v/>
      </c>
      <c r="AB189" s="3634" t="str">
        <f>IF(((COUNTIF($AB$5:AB84,"x"))-(COUNTIF($AB$5:AB83,"x")))=0,"",COUNTIF($AB$5:AB84,"x"))</f>
        <v/>
      </c>
      <c r="AC189" s="3634" t="str">
        <f>IF(((COUNTIF($AC$5:AC84,"x"))-(COUNTIF($AC$5:AC83,"x")))=0,"",COUNTIF($AC$5:AC84,"x"))</f>
        <v/>
      </c>
      <c r="AD189" s="3632" t="str">
        <f>IF(((COUNTIF($AD$5:AD84,"x"))-(COUNTIF($AD$5:AD83,"x")))=0,"",COUNTIF($AD$5:AD84,"x"))</f>
        <v/>
      </c>
      <c r="AE189" s="3634" t="str">
        <f>IF(((COUNTIF($AE$5:AE84,"x"))-(COUNTIF($AE$5:AE83,"x")))=0,"",COUNTIF($AE$5:AE84,"x"))</f>
        <v/>
      </c>
      <c r="AF189" s="3637" t="str">
        <f>IF(((COUNTIF($AF$5:AF84,"x"))-(COUNTIF($AF$5:AF83,"x")))=0,"",COUNTIF($AF$5:AF84,"x"))</f>
        <v/>
      </c>
      <c r="AG189" s="1518">
        <f t="shared" si="16"/>
        <v>0</v>
      </c>
    </row>
    <row r="190" spans="2:33" ht="17.399999999999999" hidden="1">
      <c r="B190" s="1525">
        <f t="shared" si="17"/>
        <v>81</v>
      </c>
      <c r="C190" s="2696">
        <f t="shared" si="18"/>
        <v>0</v>
      </c>
      <c r="D190" s="3636"/>
      <c r="E190" s="3638"/>
      <c r="F190" s="3631" t="str">
        <f>IF(((COUNTIF($F$5:$F85,"x"))-(COUNTIF($F$5:$F84,"x")))=0,"",COUNTIF($F$5:$F85,"x"))</f>
        <v/>
      </c>
      <c r="G190" s="3632" t="str">
        <f>IF(((COUNTIF($G$5:$G85,"x"))-(COUNTIF($G$5:$G84,"x")))=0,"",COUNTIF($G$5:$G85,"x"))</f>
        <v/>
      </c>
      <c r="H190" s="3632" t="str">
        <f>IF(((COUNTIF($H$5:$H85,"x"))-(COUNTIF($H$5:$H84,"x")))=0,"",COUNTIF($H$5:$H85,"x"))</f>
        <v/>
      </c>
      <c r="I190" s="3632" t="str">
        <f>IF(((COUNTIF($I$5:I85,"x"))-(COUNTIF($I$5:I84,"x")))=0,"",COUNTIF($I$5:I85,"x"))</f>
        <v/>
      </c>
      <c r="J190" s="3634" t="str">
        <f>IF(((COUNTIF($J$5:J85,"x"))-(COUNTIF($J$5:J84,"x")))=0,"",COUNTIF($J$5:J85,"x"))</f>
        <v/>
      </c>
      <c r="K190" s="3634" t="str">
        <f>IF(((COUNTIF($K$5:K85,"x"))-(COUNTIF($K$5:K84,"x")))=0,"",COUNTIF($K$5:K85,"x"))</f>
        <v/>
      </c>
      <c r="L190" s="3634" t="str">
        <f>IF(((COUNTIF($L$5:L85,"x"))-(COUNTIF($L$5:L84,"x")))=0,"",COUNTIF($L$5:L85,"x"))</f>
        <v/>
      </c>
      <c r="M190" s="3634" t="str">
        <f>IF(((COUNTIF($M$5:M85,"x"))-(COUNTIF($M$5:M84,"x")))=0,"",COUNTIF($M$5:M85,"x"))</f>
        <v/>
      </c>
      <c r="N190" s="3634" t="str">
        <f>IF(((COUNTIF($N$5:N85,"x"))-(COUNTIF($N$5:N84,"x")))=0,"",COUNTIF($N$5:N85,"x"))</f>
        <v/>
      </c>
      <c r="O190" s="3634" t="str">
        <f>IF(((COUNTIF($O$5:O85,"x"))-(COUNTIF($O$5:O84,"x")))=0,"",COUNTIF($O$5:O85,"x"))</f>
        <v/>
      </c>
      <c r="P190" s="3632" t="str">
        <f>IF(((COUNTIF($P$5:P85,"x"))-(COUNTIF($P$5:P84,"x")))=0,"",COUNTIF($P$5:P85,"x"))</f>
        <v/>
      </c>
      <c r="Q190" s="3634" t="str">
        <f>IF(((COUNTIF($Q$5:Q85,"x"))-(COUNTIF($Q$5:Q84,"x")))=0,"",COUNTIF($Q$5:Q85,"x"))</f>
        <v/>
      </c>
      <c r="R190" s="3634" t="str">
        <f>IF(((COUNTIF($R$5:R85,"x"))-(COUNTIF($R$5:R84,"x")))=0,"",COUNTIF($R$5:R85,"x"))</f>
        <v/>
      </c>
      <c r="S190" s="3634" t="str">
        <f>IF(((COUNTIF($S$5:S85,"x"))-(COUNTIF($S$5:S84,"x")))=0,"",COUNTIF($S$5:S85,"x"))</f>
        <v/>
      </c>
      <c r="T190" s="3634" t="str">
        <f>IF(((COUNTIF($T$5:T85,"x"))-(COUNTIF($T$5:T84,"x")))=0,"",COUNTIF($T$5:T85,"x"))</f>
        <v/>
      </c>
      <c r="U190" s="3634" t="str">
        <f>IF(((COUNTIF($U$5:U85,"x"))-(COUNTIF($U$5:U84,"x")))=0,"",COUNTIF($U$5:U85,"x"))</f>
        <v/>
      </c>
      <c r="V190" s="3634" t="str">
        <f>IF(((COUNTIF($V$5:V85,"x"))-(COUNTIF($V$5:V84,"x")))=0,"",COUNTIF($V$5:V85,"x"))</f>
        <v/>
      </c>
      <c r="W190" s="3634" t="str">
        <f>IF(((COUNTIF($W$5:W85,"x"))-(COUNTIF($W$5:W84,"x")))=0,"",COUNTIF($W$5:W85,"x"))</f>
        <v/>
      </c>
      <c r="X190" s="3634" t="str">
        <f>IF(((COUNTIF($X$5:X85,"x"))-(COUNTIF($X$5:X84,"x")))=0,"",COUNTIF($X$5:X85,"x"))</f>
        <v/>
      </c>
      <c r="Y190" s="3634" t="str">
        <f>IF(((COUNTIF($Y$5:Y85,"x"))-(COUNTIF($Y$5:Y84,"x")))=0,"",COUNTIF($Y$5:Y85,"x"))</f>
        <v/>
      </c>
      <c r="Z190" s="3634" t="str">
        <f>IF(((COUNTIF($Z$5:Z85,"x"))-(COUNTIF($Z$5:Z84,"x")))=0,"",COUNTIF($Z$5:Z85,"x"))</f>
        <v/>
      </c>
      <c r="AA190" s="3634" t="str">
        <f>IF(((COUNTIF($AA$5:AA85,"x"))-(COUNTIF($AA$5:AA84,"x")))=0,"",COUNTIF($AA$5:AA85,"x"))</f>
        <v/>
      </c>
      <c r="AB190" s="3634" t="str">
        <f>IF(((COUNTIF($AB$5:AB85,"x"))-(COUNTIF($AB$5:AB84,"x")))=0,"",COUNTIF($AB$5:AB85,"x"))</f>
        <v/>
      </c>
      <c r="AC190" s="3634" t="str">
        <f>IF(((COUNTIF($AC$5:AC85,"x"))-(COUNTIF($AC$5:AC84,"x")))=0,"",COUNTIF($AC$5:AC85,"x"))</f>
        <v/>
      </c>
      <c r="AD190" s="3632">
        <f>IF(((COUNTIF($AD$5:AD85,"x"))-(COUNTIF($AD$5:AD84,"x")))=0,"",COUNTIF($AD$5:AD85,"x"))</f>
        <v>68</v>
      </c>
      <c r="AE190" s="3634" t="str">
        <f>IF(((COUNTIF($AE$5:AE85,"x"))-(COUNTIF($AE$5:AE84,"x")))=0,"",COUNTIF($AE$5:AE85,"x"))</f>
        <v/>
      </c>
      <c r="AF190" s="3637" t="str">
        <f>IF(((COUNTIF($AF$5:AF85,"x"))-(COUNTIF($AF$5:AF84,"x")))=0,"",COUNTIF($AF$5:AF85,"x"))</f>
        <v/>
      </c>
      <c r="AG190" s="1518">
        <f t="shared" si="16"/>
        <v>0</v>
      </c>
    </row>
    <row r="191" spans="2:33" ht="17.399999999999999" hidden="1">
      <c r="B191" s="1525">
        <f t="shared" si="17"/>
        <v>82</v>
      </c>
      <c r="C191" s="2696">
        <f t="shared" si="18"/>
        <v>0</v>
      </c>
      <c r="D191" s="3636"/>
      <c r="E191" s="3638"/>
      <c r="F191" s="3631" t="str">
        <f>IF(((COUNTIF($F$5:$F86,"x"))-(COUNTIF($F$5:$F85,"x")))=0,"",COUNTIF($F$5:$F86,"x"))</f>
        <v/>
      </c>
      <c r="G191" s="3632" t="str">
        <f>IF(((COUNTIF($G$5:$G86,"x"))-(COUNTIF($G$5:$G85,"x")))=0,"",COUNTIF($G$5:$G86,"x"))</f>
        <v/>
      </c>
      <c r="H191" s="3632" t="str">
        <f>IF(((COUNTIF($H$5:$H86,"x"))-(COUNTIF($H$5:$H85,"x")))=0,"",COUNTIF($H$5:$H86,"x"))</f>
        <v/>
      </c>
      <c r="I191" s="3632" t="str">
        <f>IF(((COUNTIF($I$5:I86,"x"))-(COUNTIF($I$5:I85,"x")))=0,"",COUNTIF($I$5:I86,"x"))</f>
        <v/>
      </c>
      <c r="J191" s="3634" t="str">
        <f>IF(((COUNTIF($J$5:J86,"x"))-(COUNTIF($J$5:J85,"x")))=0,"",COUNTIF($J$5:J86,"x"))</f>
        <v/>
      </c>
      <c r="K191" s="3634" t="str">
        <f>IF(((COUNTIF($K$5:K86,"x"))-(COUNTIF($K$5:K85,"x")))=0,"",COUNTIF($K$5:K86,"x"))</f>
        <v/>
      </c>
      <c r="L191" s="3634" t="str">
        <f>IF(((COUNTIF($L$5:L86,"x"))-(COUNTIF($L$5:L85,"x")))=0,"",COUNTIF($L$5:L86,"x"))</f>
        <v/>
      </c>
      <c r="M191" s="3634" t="str">
        <f>IF(((COUNTIF($M$5:M86,"x"))-(COUNTIF($M$5:M85,"x")))=0,"",COUNTIF($M$5:M86,"x"))</f>
        <v/>
      </c>
      <c r="N191" s="3634" t="str">
        <f>IF(((COUNTIF($N$5:N86,"x"))-(COUNTIF($N$5:N85,"x")))=0,"",COUNTIF($N$5:N86,"x"))</f>
        <v/>
      </c>
      <c r="O191" s="3634" t="str">
        <f>IF(((COUNTIF($O$5:O86,"x"))-(COUNTIF($O$5:O85,"x")))=0,"",COUNTIF($O$5:O86,"x"))</f>
        <v/>
      </c>
      <c r="P191" s="3632" t="str">
        <f>IF(((COUNTIF($P$5:P86,"x"))-(COUNTIF($P$5:P85,"x")))=0,"",COUNTIF($P$5:P86,"x"))</f>
        <v/>
      </c>
      <c r="Q191" s="3634" t="str">
        <f>IF(((COUNTIF($Q$5:Q86,"x"))-(COUNTIF($Q$5:Q85,"x")))=0,"",COUNTIF($Q$5:Q86,"x"))</f>
        <v/>
      </c>
      <c r="R191" s="3634" t="str">
        <f>IF(((COUNTIF($R$5:R86,"x"))-(COUNTIF($R$5:R85,"x")))=0,"",COUNTIF($R$5:R86,"x"))</f>
        <v/>
      </c>
      <c r="S191" s="3634" t="str">
        <f>IF(((COUNTIF($S$5:S86,"x"))-(COUNTIF($S$5:S85,"x")))=0,"",COUNTIF($S$5:S86,"x"))</f>
        <v/>
      </c>
      <c r="T191" s="3634" t="str">
        <f>IF(((COUNTIF($T$5:T86,"x"))-(COUNTIF($T$5:T85,"x")))=0,"",COUNTIF($T$5:T86,"x"))</f>
        <v/>
      </c>
      <c r="U191" s="3634" t="str">
        <f>IF(((COUNTIF($U$5:U86,"x"))-(COUNTIF($U$5:U85,"x")))=0,"",COUNTIF($U$5:U86,"x"))</f>
        <v/>
      </c>
      <c r="V191" s="3634" t="str">
        <f>IF(((COUNTIF($V$5:V86,"x"))-(COUNTIF($V$5:V85,"x")))=0,"",COUNTIF($V$5:V86,"x"))</f>
        <v/>
      </c>
      <c r="W191" s="3634" t="str">
        <f>IF(((COUNTIF($W$5:W86,"x"))-(COUNTIF($W$5:W85,"x")))=0,"",COUNTIF($W$5:W86,"x"))</f>
        <v/>
      </c>
      <c r="X191" s="3634" t="str">
        <f>IF(((COUNTIF($X$5:X86,"x"))-(COUNTIF($X$5:X85,"x")))=0,"",COUNTIF($X$5:X86,"x"))</f>
        <v/>
      </c>
      <c r="Y191" s="3634" t="str">
        <f>IF(((COUNTIF($Y$5:Y86,"x"))-(COUNTIF($Y$5:Y85,"x")))=0,"",COUNTIF($Y$5:Y86,"x"))</f>
        <v/>
      </c>
      <c r="Z191" s="3634" t="str">
        <f>IF(((COUNTIF($Z$5:Z86,"x"))-(COUNTIF($Z$5:Z85,"x")))=0,"",COUNTIF($Z$5:Z86,"x"))</f>
        <v/>
      </c>
      <c r="AA191" s="3634" t="str">
        <f>IF(((COUNTIF($AA$5:AA86,"x"))-(COUNTIF($AA$5:AA85,"x")))=0,"",COUNTIF($AA$5:AA86,"x"))</f>
        <v/>
      </c>
      <c r="AB191" s="3634" t="str">
        <f>IF(((COUNTIF($AB$5:AB86,"x"))-(COUNTIF($AB$5:AB85,"x")))=0,"",COUNTIF($AB$5:AB86,"x"))</f>
        <v/>
      </c>
      <c r="AC191" s="3634" t="str">
        <f>IF(((COUNTIF($AC$5:AC86,"x"))-(COUNTIF($AC$5:AC85,"x")))=0,"",COUNTIF($AC$5:AC86,"x"))</f>
        <v/>
      </c>
      <c r="AD191" s="3632">
        <f>IF(((COUNTIF($AD$5:AD86,"x"))-(COUNTIF($AD$5:AD85,"x")))=0,"",COUNTIF($AD$5:AD86,"x"))</f>
        <v>69</v>
      </c>
      <c r="AE191" s="3634" t="str">
        <f>IF(((COUNTIF($AE$5:AE86,"x"))-(COUNTIF($AE$5:AE85,"x")))=0,"",COUNTIF($AE$5:AE86,"x"))</f>
        <v/>
      </c>
      <c r="AF191" s="3637" t="str">
        <f>IF(((COUNTIF($AF$5:AF86,"x"))-(COUNTIF($AF$5:AF85,"x")))=0,"",COUNTIF($AF$5:AF86,"x"))</f>
        <v/>
      </c>
      <c r="AG191" s="1518">
        <f t="shared" si="16"/>
        <v>0</v>
      </c>
    </row>
    <row r="192" spans="2:33" ht="17.399999999999999" hidden="1">
      <c r="B192" s="1525">
        <f t="shared" si="17"/>
        <v>83</v>
      </c>
      <c r="C192" s="2696">
        <f t="shared" si="18"/>
        <v>0</v>
      </c>
      <c r="D192" s="3636"/>
      <c r="E192" s="3638"/>
      <c r="F192" s="3631" t="str">
        <f>IF(((COUNTIF($F$5:$F87,"x"))-(COUNTIF($F$5:$F86,"x")))=0,"",COUNTIF($F$5:$F87,"x"))</f>
        <v/>
      </c>
      <c r="G192" s="3632" t="str">
        <f>IF(((COUNTIF($G$5:$G87,"x"))-(COUNTIF($G$5:$G86,"x")))=0,"",COUNTIF($G$5:$G87,"x"))</f>
        <v/>
      </c>
      <c r="H192" s="3632" t="str">
        <f>IF(((COUNTIF($H$5:$H87,"x"))-(COUNTIF($H$5:$H86,"x")))=0,"",COUNTIF($H$5:$H87,"x"))</f>
        <v/>
      </c>
      <c r="I192" s="3632" t="str">
        <f>IF(((COUNTIF($I$5:I87,"x"))-(COUNTIF($I$5:I86,"x")))=0,"",COUNTIF($I$5:I87,"x"))</f>
        <v/>
      </c>
      <c r="J192" s="3634" t="str">
        <f>IF(((COUNTIF($J$5:J87,"x"))-(COUNTIF($J$5:J86,"x")))=0,"",COUNTIF($J$5:J87,"x"))</f>
        <v/>
      </c>
      <c r="K192" s="3634" t="str">
        <f>IF(((COUNTIF($K$5:K87,"x"))-(COUNTIF($K$5:K86,"x")))=0,"",COUNTIF($K$5:K87,"x"))</f>
        <v/>
      </c>
      <c r="L192" s="3634" t="str">
        <f>IF(((COUNTIF($L$5:L87,"x"))-(COUNTIF($L$5:L86,"x")))=0,"",COUNTIF($L$5:L87,"x"))</f>
        <v/>
      </c>
      <c r="M192" s="3634" t="str">
        <f>IF(((COUNTIF($M$5:M87,"x"))-(COUNTIF($M$5:M86,"x")))=0,"",COUNTIF($M$5:M87,"x"))</f>
        <v/>
      </c>
      <c r="N192" s="3634" t="str">
        <f>IF(((COUNTIF($N$5:N87,"x"))-(COUNTIF($N$5:N86,"x")))=0,"",COUNTIF($N$5:N87,"x"))</f>
        <v/>
      </c>
      <c r="O192" s="3634" t="str">
        <f>IF(((COUNTIF($O$5:O87,"x"))-(COUNTIF($O$5:O86,"x")))=0,"",COUNTIF($O$5:O87,"x"))</f>
        <v/>
      </c>
      <c r="P192" s="3632" t="str">
        <f>IF(((COUNTIF($P$5:P87,"x"))-(COUNTIF($P$5:P86,"x")))=0,"",COUNTIF($P$5:P87,"x"))</f>
        <v/>
      </c>
      <c r="Q192" s="3634" t="str">
        <f>IF(((COUNTIF($Q$5:Q87,"x"))-(COUNTIF($Q$5:Q86,"x")))=0,"",COUNTIF($Q$5:Q87,"x"))</f>
        <v/>
      </c>
      <c r="R192" s="3634" t="str">
        <f>IF(((COUNTIF($R$5:R87,"x"))-(COUNTIF($R$5:R86,"x")))=0,"",COUNTIF($R$5:R87,"x"))</f>
        <v/>
      </c>
      <c r="S192" s="3634" t="str">
        <f>IF(((COUNTIF($S$5:S87,"x"))-(COUNTIF($S$5:S86,"x")))=0,"",COUNTIF($S$5:S87,"x"))</f>
        <v/>
      </c>
      <c r="T192" s="3634" t="str">
        <f>IF(((COUNTIF($T$5:T87,"x"))-(COUNTIF($T$5:T86,"x")))=0,"",COUNTIF($T$5:T87,"x"))</f>
        <v/>
      </c>
      <c r="U192" s="3634" t="str">
        <f>IF(((COUNTIF($U$5:U87,"x"))-(COUNTIF($U$5:U86,"x")))=0,"",COUNTIF($U$5:U87,"x"))</f>
        <v/>
      </c>
      <c r="V192" s="3634" t="str">
        <f>IF(((COUNTIF($V$5:V87,"x"))-(COUNTIF($V$5:V86,"x")))=0,"",COUNTIF($V$5:V87,"x"))</f>
        <v/>
      </c>
      <c r="W192" s="3634" t="str">
        <f>IF(((COUNTIF($W$5:W87,"x"))-(COUNTIF($W$5:W86,"x")))=0,"",COUNTIF($W$5:W87,"x"))</f>
        <v/>
      </c>
      <c r="X192" s="3634" t="str">
        <f>IF(((COUNTIF($X$5:X87,"x"))-(COUNTIF($X$5:X86,"x")))=0,"",COUNTIF($X$5:X87,"x"))</f>
        <v/>
      </c>
      <c r="Y192" s="3634" t="str">
        <f>IF(((COUNTIF($Y$5:Y87,"x"))-(COUNTIF($Y$5:Y86,"x")))=0,"",COUNTIF($Y$5:Y87,"x"))</f>
        <v/>
      </c>
      <c r="Z192" s="3634" t="str">
        <f>IF(((COUNTIF($Z$5:Z87,"x"))-(COUNTIF($Z$5:Z86,"x")))=0,"",COUNTIF($Z$5:Z87,"x"))</f>
        <v/>
      </c>
      <c r="AA192" s="3634" t="str">
        <f>IF(((COUNTIF($AA$5:AA87,"x"))-(COUNTIF($AA$5:AA86,"x")))=0,"",COUNTIF($AA$5:AA87,"x"))</f>
        <v/>
      </c>
      <c r="AB192" s="3634" t="str">
        <f>IF(((COUNTIF($AB$5:AB87,"x"))-(COUNTIF($AB$5:AB86,"x")))=0,"",COUNTIF($AB$5:AB87,"x"))</f>
        <v/>
      </c>
      <c r="AC192" s="3634" t="str">
        <f>IF(((COUNTIF($AC$5:AC87,"x"))-(COUNTIF($AC$5:AC86,"x")))=0,"",COUNTIF($AC$5:AC87,"x"))</f>
        <v/>
      </c>
      <c r="AD192" s="3632">
        <f>IF(((COUNTIF($AD$5:AD87,"x"))-(COUNTIF($AD$5:AD86,"x")))=0,"",COUNTIF($AD$5:AD87,"x"))</f>
        <v>70</v>
      </c>
      <c r="AE192" s="3634" t="str">
        <f>IF(((COUNTIF($AE$5:AE87,"x"))-(COUNTIF($AE$5:AE86,"x")))=0,"",COUNTIF($AE$5:AE87,"x"))</f>
        <v/>
      </c>
      <c r="AF192" s="3637" t="str">
        <f>IF(((COUNTIF($AF$5:AF87,"x"))-(COUNTIF($AF$5:AF86,"x")))=0,"",COUNTIF($AF$5:AF87,"x"))</f>
        <v/>
      </c>
      <c r="AG192" s="1518">
        <f t="shared" si="16"/>
        <v>0</v>
      </c>
    </row>
    <row r="193" spans="2:33" ht="17.399999999999999" hidden="1">
      <c r="B193" s="1525">
        <f t="shared" si="17"/>
        <v>84</v>
      </c>
      <c r="C193" s="2696">
        <f t="shared" si="18"/>
        <v>0</v>
      </c>
      <c r="D193" s="3636"/>
      <c r="E193" s="3638"/>
      <c r="F193" s="3631" t="str">
        <f>IF(((COUNTIF($F$5:$F88,"x"))-(COUNTIF($F$5:$F87,"x")))=0,"",COUNTIF($F$5:$F88,"x"))</f>
        <v/>
      </c>
      <c r="G193" s="3632" t="str">
        <f>IF(((COUNTIF($G$5:$G88,"x"))-(COUNTIF($G$5:$G87,"x")))=0,"",COUNTIF($G$5:$G88,"x"))</f>
        <v/>
      </c>
      <c r="H193" s="3632" t="str">
        <f>IF(((COUNTIF($H$5:$H88,"x"))-(COUNTIF($H$5:$H87,"x")))=0,"",COUNTIF($H$5:$H88,"x"))</f>
        <v/>
      </c>
      <c r="I193" s="3632" t="str">
        <f>IF(((COUNTIF($I$5:I88,"x"))-(COUNTIF($I$5:I87,"x")))=0,"",COUNTIF($I$5:I88,"x"))</f>
        <v/>
      </c>
      <c r="J193" s="3634" t="str">
        <f>IF(((COUNTIF($J$5:J88,"x"))-(COUNTIF($J$5:J87,"x")))=0,"",COUNTIF($J$5:J88,"x"))</f>
        <v/>
      </c>
      <c r="K193" s="3634" t="str">
        <f>IF(((COUNTIF($K$5:K88,"x"))-(COUNTIF($K$5:K87,"x")))=0,"",COUNTIF($K$5:K88,"x"))</f>
        <v/>
      </c>
      <c r="L193" s="3634" t="str">
        <f>IF(((COUNTIF($L$5:L88,"x"))-(COUNTIF($L$5:L87,"x")))=0,"",COUNTIF($L$5:L88,"x"))</f>
        <v/>
      </c>
      <c r="M193" s="3634" t="str">
        <f>IF(((COUNTIF($M$5:M88,"x"))-(COUNTIF($M$5:M87,"x")))=0,"",COUNTIF($M$5:M88,"x"))</f>
        <v/>
      </c>
      <c r="N193" s="3634" t="str">
        <f>IF(((COUNTIF($N$5:N88,"x"))-(COUNTIF($N$5:N87,"x")))=0,"",COUNTIF($N$5:N88,"x"))</f>
        <v/>
      </c>
      <c r="O193" s="3634" t="str">
        <f>IF(((COUNTIF($O$5:O88,"x"))-(COUNTIF($O$5:O87,"x")))=0,"",COUNTIF($O$5:O88,"x"))</f>
        <v/>
      </c>
      <c r="P193" s="3632" t="str">
        <f>IF(((COUNTIF($P$5:P88,"x"))-(COUNTIF($P$5:P87,"x")))=0,"",COUNTIF($P$5:P88,"x"))</f>
        <v/>
      </c>
      <c r="Q193" s="3634" t="str">
        <f>IF(((COUNTIF($Q$5:Q88,"x"))-(COUNTIF($Q$5:Q87,"x")))=0,"",COUNTIF($Q$5:Q88,"x"))</f>
        <v/>
      </c>
      <c r="R193" s="3634" t="str">
        <f>IF(((COUNTIF($R$5:R88,"x"))-(COUNTIF($R$5:R87,"x")))=0,"",COUNTIF($R$5:R88,"x"))</f>
        <v/>
      </c>
      <c r="S193" s="3634" t="str">
        <f>IF(((COUNTIF($S$5:S88,"x"))-(COUNTIF($S$5:S87,"x")))=0,"",COUNTIF($S$5:S88,"x"))</f>
        <v/>
      </c>
      <c r="T193" s="3634" t="str">
        <f>IF(((COUNTIF($T$5:T88,"x"))-(COUNTIF($T$5:T87,"x")))=0,"",COUNTIF($T$5:T88,"x"))</f>
        <v/>
      </c>
      <c r="U193" s="3634" t="str">
        <f>IF(((COUNTIF($U$5:U88,"x"))-(COUNTIF($U$5:U87,"x")))=0,"",COUNTIF($U$5:U88,"x"))</f>
        <v/>
      </c>
      <c r="V193" s="3634" t="str">
        <f>IF(((COUNTIF($V$5:V88,"x"))-(COUNTIF($V$5:V87,"x")))=0,"",COUNTIF($V$5:V88,"x"))</f>
        <v/>
      </c>
      <c r="W193" s="3634" t="str">
        <f>IF(((COUNTIF($W$5:W88,"x"))-(COUNTIF($W$5:W87,"x")))=0,"",COUNTIF($W$5:W88,"x"))</f>
        <v/>
      </c>
      <c r="X193" s="3634" t="str">
        <f>IF(((COUNTIF($X$5:X88,"x"))-(COUNTIF($X$5:X87,"x")))=0,"",COUNTIF($X$5:X88,"x"))</f>
        <v/>
      </c>
      <c r="Y193" s="3634" t="str">
        <f>IF(((COUNTIF($Y$5:Y88,"x"))-(COUNTIF($Y$5:Y87,"x")))=0,"",COUNTIF($Y$5:Y88,"x"))</f>
        <v/>
      </c>
      <c r="Z193" s="3634" t="str">
        <f>IF(((COUNTIF($Z$5:Z88,"x"))-(COUNTIF($Z$5:Z87,"x")))=0,"",COUNTIF($Z$5:Z88,"x"))</f>
        <v/>
      </c>
      <c r="AA193" s="3634" t="str">
        <f>IF(((COUNTIF($AA$5:AA88,"x"))-(COUNTIF($AA$5:AA87,"x")))=0,"",COUNTIF($AA$5:AA88,"x"))</f>
        <v/>
      </c>
      <c r="AB193" s="3634" t="str">
        <f>IF(((COUNTIF($AB$5:AB88,"x"))-(COUNTIF($AB$5:AB87,"x")))=0,"",COUNTIF($AB$5:AB88,"x"))</f>
        <v/>
      </c>
      <c r="AC193" s="3634" t="str">
        <f>IF(((COUNTIF($AC$5:AC88,"x"))-(COUNTIF($AC$5:AC87,"x")))=0,"",COUNTIF($AC$5:AC88,"x"))</f>
        <v/>
      </c>
      <c r="AD193" s="3632">
        <f>IF(((COUNTIF($AD$5:AD88,"x"))-(COUNTIF($AD$5:AD87,"x")))=0,"",COUNTIF($AD$5:AD88,"x"))</f>
        <v>71</v>
      </c>
      <c r="AE193" s="3634" t="str">
        <f>IF(((COUNTIF($AE$5:AE88,"x"))-(COUNTIF($AE$5:AE87,"x")))=0,"",COUNTIF($AE$5:AE88,"x"))</f>
        <v/>
      </c>
      <c r="AF193" s="3637" t="str">
        <f>IF(((COUNTIF($AF$5:AF88,"x"))-(COUNTIF($AF$5:AF87,"x")))=0,"",COUNTIF($AF$5:AF88,"x"))</f>
        <v/>
      </c>
      <c r="AG193" s="1518">
        <f t="shared" si="16"/>
        <v>0</v>
      </c>
    </row>
    <row r="194" spans="2:33" ht="17.399999999999999" hidden="1">
      <c r="B194" s="1525">
        <f t="shared" si="17"/>
        <v>85</v>
      </c>
      <c r="C194" s="2696">
        <f t="shared" si="18"/>
        <v>0</v>
      </c>
      <c r="D194" s="3636"/>
      <c r="E194" s="3638"/>
      <c r="F194" s="3631" t="str">
        <f>IF(((COUNTIF($F$5:$F89,"x"))-(COUNTIF($F$5:$F88,"x")))=0,"",COUNTIF($F$5:$F89,"x"))</f>
        <v/>
      </c>
      <c r="G194" s="3632" t="str">
        <f>IF(((COUNTIF($G$5:$G89,"x"))-(COUNTIF($G$5:$G88,"x")))=0,"",COUNTIF($G$5:$G89,"x"))</f>
        <v/>
      </c>
      <c r="H194" s="3632" t="str">
        <f>IF(((COUNTIF($H$5:$H89,"x"))-(COUNTIF($H$5:$H88,"x")))=0,"",COUNTIF($H$5:$H89,"x"))</f>
        <v/>
      </c>
      <c r="I194" s="3632" t="str">
        <f>IF(((COUNTIF($I$5:I89,"x"))-(COUNTIF($I$5:I88,"x")))=0,"",COUNTIF($I$5:I89,"x"))</f>
        <v/>
      </c>
      <c r="J194" s="3634" t="str">
        <f>IF(((COUNTIF($J$5:J89,"x"))-(COUNTIF($J$5:J88,"x")))=0,"",COUNTIF($J$5:J89,"x"))</f>
        <v/>
      </c>
      <c r="K194" s="3634" t="str">
        <f>IF(((COUNTIF($K$5:K89,"x"))-(COUNTIF($K$5:K88,"x")))=0,"",COUNTIF($K$5:K89,"x"))</f>
        <v/>
      </c>
      <c r="L194" s="3634" t="str">
        <f>IF(((COUNTIF($L$5:L89,"x"))-(COUNTIF($L$5:L88,"x")))=0,"",COUNTIF($L$5:L89,"x"))</f>
        <v/>
      </c>
      <c r="M194" s="3634" t="str">
        <f>IF(((COUNTIF($M$5:M89,"x"))-(COUNTIF($M$5:M88,"x")))=0,"",COUNTIF($M$5:M89,"x"))</f>
        <v/>
      </c>
      <c r="N194" s="3634" t="str">
        <f>IF(((COUNTIF($N$5:N89,"x"))-(COUNTIF($N$5:N88,"x")))=0,"",COUNTIF($N$5:N89,"x"))</f>
        <v/>
      </c>
      <c r="O194" s="3634" t="str">
        <f>IF(((COUNTIF($O$5:O89,"x"))-(COUNTIF($O$5:O88,"x")))=0,"",COUNTIF($O$5:O89,"x"))</f>
        <v/>
      </c>
      <c r="P194" s="3632" t="str">
        <f>IF(((COUNTIF($P$5:P89,"x"))-(COUNTIF($P$5:P88,"x")))=0,"",COUNTIF($P$5:P89,"x"))</f>
        <v/>
      </c>
      <c r="Q194" s="3634" t="str">
        <f>IF(((COUNTIF($Q$5:Q89,"x"))-(COUNTIF($Q$5:Q88,"x")))=0,"",COUNTIF($Q$5:Q89,"x"))</f>
        <v/>
      </c>
      <c r="R194" s="3634" t="str">
        <f>IF(((COUNTIF($R$5:R89,"x"))-(COUNTIF($R$5:R88,"x")))=0,"",COUNTIF($R$5:R89,"x"))</f>
        <v/>
      </c>
      <c r="S194" s="3634" t="str">
        <f>IF(((COUNTIF($S$5:S89,"x"))-(COUNTIF($S$5:S88,"x")))=0,"",COUNTIF($S$5:S89,"x"))</f>
        <v/>
      </c>
      <c r="T194" s="3634" t="str">
        <f>IF(((COUNTIF($T$5:T89,"x"))-(COUNTIF($T$5:T88,"x")))=0,"",COUNTIF($T$5:T89,"x"))</f>
        <v/>
      </c>
      <c r="U194" s="3634" t="str">
        <f>IF(((COUNTIF($U$5:U89,"x"))-(COUNTIF($U$5:U88,"x")))=0,"",COUNTIF($U$5:U89,"x"))</f>
        <v/>
      </c>
      <c r="V194" s="3634" t="str">
        <f>IF(((COUNTIF($V$5:V89,"x"))-(COUNTIF($V$5:V88,"x")))=0,"",COUNTIF($V$5:V89,"x"))</f>
        <v/>
      </c>
      <c r="W194" s="3634" t="str">
        <f>IF(((COUNTIF($W$5:W89,"x"))-(COUNTIF($W$5:W88,"x")))=0,"",COUNTIF($W$5:W89,"x"))</f>
        <v/>
      </c>
      <c r="X194" s="3634" t="str">
        <f>IF(((COUNTIF($X$5:X89,"x"))-(COUNTIF($X$5:X88,"x")))=0,"",COUNTIF($X$5:X89,"x"))</f>
        <v/>
      </c>
      <c r="Y194" s="3634" t="str">
        <f>IF(((COUNTIF($Y$5:Y89,"x"))-(COUNTIF($Y$5:Y88,"x")))=0,"",COUNTIF($Y$5:Y89,"x"))</f>
        <v/>
      </c>
      <c r="Z194" s="3634" t="str">
        <f>IF(((COUNTIF($Z$5:Z89,"x"))-(COUNTIF($Z$5:Z88,"x")))=0,"",COUNTIF($Z$5:Z89,"x"))</f>
        <v/>
      </c>
      <c r="AA194" s="3634" t="str">
        <f>IF(((COUNTIF($AA$5:AA89,"x"))-(COUNTIF($AA$5:AA88,"x")))=0,"",COUNTIF($AA$5:AA89,"x"))</f>
        <v/>
      </c>
      <c r="AB194" s="3634" t="str">
        <f>IF(((COUNTIF($AB$5:AB89,"x"))-(COUNTIF($AB$5:AB88,"x")))=0,"",COUNTIF($AB$5:AB89,"x"))</f>
        <v/>
      </c>
      <c r="AC194" s="3634" t="str">
        <f>IF(((COUNTIF($AC$5:AC89,"x"))-(COUNTIF($AC$5:AC88,"x")))=0,"",COUNTIF($AC$5:AC89,"x"))</f>
        <v/>
      </c>
      <c r="AD194" s="3632">
        <f>IF(((COUNTIF($AD$5:AD89,"x"))-(COUNTIF($AD$5:AD88,"x")))=0,"",COUNTIF($AD$5:AD89,"x"))</f>
        <v>72</v>
      </c>
      <c r="AE194" s="3634" t="str">
        <f>IF(((COUNTIF($AE$5:AE89,"x"))-(COUNTIF($AE$5:AE88,"x")))=0,"",COUNTIF($AE$5:AE89,"x"))</f>
        <v/>
      </c>
      <c r="AF194" s="3637" t="str">
        <f>IF(((COUNTIF($AF$5:AF89,"x"))-(COUNTIF($AF$5:AF88,"x")))=0,"",COUNTIF($AF$5:AF89,"x"))</f>
        <v/>
      </c>
      <c r="AG194" s="1518">
        <f t="shared" si="16"/>
        <v>0</v>
      </c>
    </row>
    <row r="195" spans="2:33" ht="17.399999999999999" hidden="1">
      <c r="B195" s="1525">
        <f t="shared" si="17"/>
        <v>86</v>
      </c>
      <c r="C195" s="2696">
        <f t="shared" si="18"/>
        <v>0</v>
      </c>
      <c r="D195" s="3636"/>
      <c r="E195" s="3638"/>
      <c r="F195" s="3631" t="str">
        <f>IF(((COUNTIF($F$5:$F90,"x"))-(COUNTIF($F$5:$F89,"x")))=0,"",COUNTIF($F$5:$F90,"x"))</f>
        <v/>
      </c>
      <c r="G195" s="3632" t="str">
        <f>IF(((COUNTIF($G$5:$G90,"x"))-(COUNTIF($G$5:$G89,"x")))=0,"",COUNTIF($G$5:$G90,"x"))</f>
        <v/>
      </c>
      <c r="H195" s="3632" t="str">
        <f>IF(((COUNTIF($H$5:$H90,"x"))-(COUNTIF($H$5:$H89,"x")))=0,"",COUNTIF($H$5:$H90,"x"))</f>
        <v/>
      </c>
      <c r="I195" s="3632" t="str">
        <f>IF(((COUNTIF($I$5:I90,"x"))-(COUNTIF($I$5:I89,"x")))=0,"",COUNTIF($I$5:I90,"x"))</f>
        <v/>
      </c>
      <c r="J195" s="3634" t="str">
        <f>IF(((COUNTIF($J$5:J90,"x"))-(COUNTIF($J$5:J89,"x")))=0,"",COUNTIF($J$5:J90,"x"))</f>
        <v/>
      </c>
      <c r="K195" s="3634" t="str">
        <f>IF(((COUNTIF($K$5:K90,"x"))-(COUNTIF($K$5:K89,"x")))=0,"",COUNTIF($K$5:K90,"x"))</f>
        <v/>
      </c>
      <c r="L195" s="3634" t="str">
        <f>IF(((COUNTIF($L$5:L90,"x"))-(COUNTIF($L$5:L89,"x")))=0,"",COUNTIF($L$5:L90,"x"))</f>
        <v/>
      </c>
      <c r="M195" s="3634" t="str">
        <f>IF(((COUNTIF($M$5:M90,"x"))-(COUNTIF($M$5:M89,"x")))=0,"",COUNTIF($M$5:M90,"x"))</f>
        <v/>
      </c>
      <c r="N195" s="3634" t="str">
        <f>IF(((COUNTIF($N$5:N90,"x"))-(COUNTIF($N$5:N89,"x")))=0,"",COUNTIF($N$5:N90,"x"))</f>
        <v/>
      </c>
      <c r="O195" s="3634" t="str">
        <f>IF(((COUNTIF($O$5:O90,"x"))-(COUNTIF($O$5:O89,"x")))=0,"",COUNTIF($O$5:O90,"x"))</f>
        <v/>
      </c>
      <c r="P195" s="3632" t="str">
        <f>IF(((COUNTIF($P$5:P90,"x"))-(COUNTIF($P$5:P89,"x")))=0,"",COUNTIF($P$5:P90,"x"))</f>
        <v/>
      </c>
      <c r="Q195" s="3634" t="str">
        <f>IF(((COUNTIF($Q$5:Q90,"x"))-(COUNTIF($Q$5:Q89,"x")))=0,"",COUNTIF($Q$5:Q90,"x"))</f>
        <v/>
      </c>
      <c r="R195" s="3634" t="str">
        <f>IF(((COUNTIF($R$5:R90,"x"))-(COUNTIF($R$5:R89,"x")))=0,"",COUNTIF($R$5:R90,"x"))</f>
        <v/>
      </c>
      <c r="S195" s="3634" t="str">
        <f>IF(((COUNTIF($S$5:S90,"x"))-(COUNTIF($S$5:S89,"x")))=0,"",COUNTIF($S$5:S90,"x"))</f>
        <v/>
      </c>
      <c r="T195" s="3634" t="str">
        <f>IF(((COUNTIF($T$5:T90,"x"))-(COUNTIF($T$5:T89,"x")))=0,"",COUNTIF($T$5:T90,"x"))</f>
        <v/>
      </c>
      <c r="U195" s="3634" t="str">
        <f>IF(((COUNTIF($U$5:U90,"x"))-(COUNTIF($U$5:U89,"x")))=0,"",COUNTIF($U$5:U90,"x"))</f>
        <v/>
      </c>
      <c r="V195" s="3634" t="str">
        <f>IF(((COUNTIF($V$5:V90,"x"))-(COUNTIF($V$5:V89,"x")))=0,"",COUNTIF($V$5:V90,"x"))</f>
        <v/>
      </c>
      <c r="W195" s="3634" t="str">
        <f>IF(((COUNTIF($W$5:W90,"x"))-(COUNTIF($W$5:W89,"x")))=0,"",COUNTIF($W$5:W90,"x"))</f>
        <v/>
      </c>
      <c r="X195" s="3634" t="str">
        <f>IF(((COUNTIF($X$5:X90,"x"))-(COUNTIF($X$5:X89,"x")))=0,"",COUNTIF($X$5:X90,"x"))</f>
        <v/>
      </c>
      <c r="Y195" s="3634" t="str">
        <f>IF(((COUNTIF($Y$5:Y90,"x"))-(COUNTIF($Y$5:Y89,"x")))=0,"",COUNTIF($Y$5:Y90,"x"))</f>
        <v/>
      </c>
      <c r="Z195" s="3634" t="str">
        <f>IF(((COUNTIF($Z$5:Z90,"x"))-(COUNTIF($Z$5:Z89,"x")))=0,"",COUNTIF($Z$5:Z90,"x"))</f>
        <v/>
      </c>
      <c r="AA195" s="3634" t="str">
        <f>IF(((COUNTIF($AA$5:AA90,"x"))-(COUNTIF($AA$5:AA89,"x")))=0,"",COUNTIF($AA$5:AA90,"x"))</f>
        <v/>
      </c>
      <c r="AB195" s="3634" t="str">
        <f>IF(((COUNTIF($AB$5:AB90,"x"))-(COUNTIF($AB$5:AB89,"x")))=0,"",COUNTIF($AB$5:AB90,"x"))</f>
        <v/>
      </c>
      <c r="AC195" s="3634" t="str">
        <f>IF(((COUNTIF($AC$5:AC90,"x"))-(COUNTIF($AC$5:AC89,"x")))=0,"",COUNTIF($AC$5:AC90,"x"))</f>
        <v/>
      </c>
      <c r="AD195" s="3632">
        <f>IF(((COUNTIF($AD$5:AD90,"x"))-(COUNTIF($AD$5:AD89,"x")))=0,"",COUNTIF($AD$5:AD90,"x"))</f>
        <v>73</v>
      </c>
      <c r="AE195" s="3634" t="str">
        <f>IF(((COUNTIF($AE$5:AE90,"x"))-(COUNTIF($AE$5:AE89,"x")))=0,"",COUNTIF($AE$5:AE90,"x"))</f>
        <v/>
      </c>
      <c r="AF195" s="3637" t="str">
        <f>IF(((COUNTIF($AF$5:AF90,"x"))-(COUNTIF($AF$5:AF89,"x")))=0,"",COUNTIF($AF$5:AF90,"x"))</f>
        <v/>
      </c>
      <c r="AG195" s="1518">
        <f t="shared" si="16"/>
        <v>0</v>
      </c>
    </row>
    <row r="196" spans="2:33" ht="17.399999999999999" hidden="1">
      <c r="B196" s="1525">
        <f t="shared" si="17"/>
        <v>87</v>
      </c>
      <c r="C196" s="2696">
        <f t="shared" si="18"/>
        <v>0</v>
      </c>
      <c r="D196" s="3636"/>
      <c r="E196" s="3638"/>
      <c r="F196" s="3631" t="str">
        <f>IF(((COUNTIF($F$5:$F91,"x"))-(COUNTIF($F$5:$F90,"x")))=0,"",COUNTIF($F$5:$F91,"x"))</f>
        <v/>
      </c>
      <c r="G196" s="3632" t="str">
        <f>IF(((COUNTIF($G$5:$G91,"x"))-(COUNTIF($G$5:$G90,"x")))=0,"",COUNTIF($G$5:$G91,"x"))</f>
        <v/>
      </c>
      <c r="H196" s="3632" t="str">
        <f>IF(((COUNTIF($H$5:$H91,"x"))-(COUNTIF($H$5:$H90,"x")))=0,"",COUNTIF($H$5:$H91,"x"))</f>
        <v/>
      </c>
      <c r="I196" s="3632" t="str">
        <f>IF(((COUNTIF($I$5:I91,"x"))-(COUNTIF($I$5:I90,"x")))=0,"",COUNTIF($I$5:I91,"x"))</f>
        <v/>
      </c>
      <c r="J196" s="3634" t="str">
        <f>IF(((COUNTIF($J$5:J91,"x"))-(COUNTIF($J$5:J90,"x")))=0,"",COUNTIF($J$5:J91,"x"))</f>
        <v/>
      </c>
      <c r="K196" s="3634" t="str">
        <f>IF(((COUNTIF($K$5:K91,"x"))-(COUNTIF($K$5:K90,"x")))=0,"",COUNTIF($K$5:K91,"x"))</f>
        <v/>
      </c>
      <c r="L196" s="3634" t="str">
        <f>IF(((COUNTIF($L$5:L91,"x"))-(COUNTIF($L$5:L90,"x")))=0,"",COUNTIF($L$5:L91,"x"))</f>
        <v/>
      </c>
      <c r="M196" s="3634" t="str">
        <f>IF(((COUNTIF($M$5:M91,"x"))-(COUNTIF($M$5:M90,"x")))=0,"",COUNTIF($M$5:M91,"x"))</f>
        <v/>
      </c>
      <c r="N196" s="3634" t="str">
        <f>IF(((COUNTIF($N$5:N91,"x"))-(COUNTIF($N$5:N90,"x")))=0,"",COUNTIF($N$5:N91,"x"))</f>
        <v/>
      </c>
      <c r="O196" s="3634" t="str">
        <f>IF(((COUNTIF($O$5:O91,"x"))-(COUNTIF($O$5:O90,"x")))=0,"",COUNTIF($O$5:O91,"x"))</f>
        <v/>
      </c>
      <c r="P196" s="3632" t="str">
        <f>IF(((COUNTIF($P$5:P91,"x"))-(COUNTIF($P$5:P90,"x")))=0,"",COUNTIF($P$5:P91,"x"))</f>
        <v/>
      </c>
      <c r="Q196" s="3634" t="str">
        <f>IF(((COUNTIF($Q$5:Q91,"x"))-(COUNTIF($Q$5:Q90,"x")))=0,"",COUNTIF($Q$5:Q91,"x"))</f>
        <v/>
      </c>
      <c r="R196" s="3634" t="str">
        <f>IF(((COUNTIF($R$5:R91,"x"))-(COUNTIF($R$5:R90,"x")))=0,"",COUNTIF($R$5:R91,"x"))</f>
        <v/>
      </c>
      <c r="S196" s="3634" t="str">
        <f>IF(((COUNTIF($S$5:S91,"x"))-(COUNTIF($S$5:S90,"x")))=0,"",COUNTIF($S$5:S91,"x"))</f>
        <v/>
      </c>
      <c r="T196" s="3634" t="str">
        <f>IF(((COUNTIF($T$5:T91,"x"))-(COUNTIF($T$5:T90,"x")))=0,"",COUNTIF($T$5:T91,"x"))</f>
        <v/>
      </c>
      <c r="U196" s="3634" t="str">
        <f>IF(((COUNTIF($U$5:U91,"x"))-(COUNTIF($U$5:U90,"x")))=0,"",COUNTIF($U$5:U91,"x"))</f>
        <v/>
      </c>
      <c r="V196" s="3634" t="str">
        <f>IF(((COUNTIF($V$5:V91,"x"))-(COUNTIF($V$5:V90,"x")))=0,"",COUNTIF($V$5:V91,"x"))</f>
        <v/>
      </c>
      <c r="W196" s="3634" t="str">
        <f>IF(((COUNTIF($W$5:W91,"x"))-(COUNTIF($W$5:W90,"x")))=0,"",COUNTIF($W$5:W91,"x"))</f>
        <v/>
      </c>
      <c r="X196" s="3634" t="str">
        <f>IF(((COUNTIF($X$5:X91,"x"))-(COUNTIF($X$5:X90,"x")))=0,"",COUNTIF($X$5:X91,"x"))</f>
        <v/>
      </c>
      <c r="Y196" s="3634" t="str">
        <f>IF(((COUNTIF($Y$5:Y91,"x"))-(COUNTIF($Y$5:Y90,"x")))=0,"",COUNTIF($Y$5:Y91,"x"))</f>
        <v/>
      </c>
      <c r="Z196" s="3634" t="str">
        <f>IF(((COUNTIF($Z$5:Z91,"x"))-(COUNTIF($Z$5:Z90,"x")))=0,"",COUNTIF($Z$5:Z91,"x"))</f>
        <v/>
      </c>
      <c r="AA196" s="3634" t="str">
        <f>IF(((COUNTIF($AA$5:AA91,"x"))-(COUNTIF($AA$5:AA90,"x")))=0,"",COUNTIF($AA$5:AA91,"x"))</f>
        <v/>
      </c>
      <c r="AB196" s="3634" t="str">
        <f>IF(((COUNTIF($AB$5:AB91,"x"))-(COUNTIF($AB$5:AB90,"x")))=0,"",COUNTIF($AB$5:AB91,"x"))</f>
        <v/>
      </c>
      <c r="AC196" s="3634" t="str">
        <f>IF(((COUNTIF($AC$5:AC91,"x"))-(COUNTIF($AC$5:AC90,"x")))=0,"",COUNTIF($AC$5:AC91,"x"))</f>
        <v/>
      </c>
      <c r="AD196" s="3632">
        <f>IF(((COUNTIF($AD$5:AD91,"x"))-(COUNTIF($AD$5:AD90,"x")))=0,"",COUNTIF($AD$5:AD91,"x"))</f>
        <v>74</v>
      </c>
      <c r="AE196" s="3634" t="str">
        <f>IF(((COUNTIF($AE$5:AE91,"x"))-(COUNTIF($AE$5:AE90,"x")))=0,"",COUNTIF($AE$5:AE91,"x"))</f>
        <v/>
      </c>
      <c r="AF196" s="3637" t="str">
        <f>IF(((COUNTIF($AF$5:AF91,"x"))-(COUNTIF($AF$5:AF90,"x")))=0,"",COUNTIF($AF$5:AF91,"x"))</f>
        <v/>
      </c>
      <c r="AG196" s="1518">
        <f t="shared" si="16"/>
        <v>0</v>
      </c>
    </row>
    <row r="197" spans="2:33" ht="17.399999999999999" hidden="1">
      <c r="B197" s="1525">
        <f t="shared" si="17"/>
        <v>88</v>
      </c>
      <c r="C197" s="2696">
        <f t="shared" si="18"/>
        <v>0</v>
      </c>
      <c r="D197" s="3636"/>
      <c r="E197" s="3638"/>
      <c r="F197" s="3631" t="str">
        <f>IF(((COUNTIF($F$5:$F92,"x"))-(COUNTIF($F$5:$F91,"x")))=0,"",COUNTIF($F$5:$F92,"x"))</f>
        <v/>
      </c>
      <c r="G197" s="3632" t="str">
        <f>IF(((COUNTIF($G$5:$G92,"x"))-(COUNTIF($G$5:$G91,"x")))=0,"",COUNTIF($G$5:$G92,"x"))</f>
        <v/>
      </c>
      <c r="H197" s="3632" t="str">
        <f>IF(((COUNTIF($H$5:$H92,"x"))-(COUNTIF($H$5:$H91,"x")))=0,"",COUNTIF($H$5:$H92,"x"))</f>
        <v/>
      </c>
      <c r="I197" s="3632" t="str">
        <f>IF(((COUNTIF($I$5:I92,"x"))-(COUNTIF($I$5:I91,"x")))=0,"",COUNTIF($I$5:I92,"x"))</f>
        <v/>
      </c>
      <c r="J197" s="3634" t="str">
        <f>IF(((COUNTIF($J$5:J92,"x"))-(COUNTIF($J$5:J91,"x")))=0,"",COUNTIF($J$5:J92,"x"))</f>
        <v/>
      </c>
      <c r="K197" s="3634" t="str">
        <f>IF(((COUNTIF($K$5:K92,"x"))-(COUNTIF($K$5:K91,"x")))=0,"",COUNTIF($K$5:K92,"x"))</f>
        <v/>
      </c>
      <c r="L197" s="3634" t="str">
        <f>IF(((COUNTIF($L$5:L92,"x"))-(COUNTIF($L$5:L91,"x")))=0,"",COUNTIF($L$5:L92,"x"))</f>
        <v/>
      </c>
      <c r="M197" s="3634" t="str">
        <f>IF(((COUNTIF($M$5:M92,"x"))-(COUNTIF($M$5:M91,"x")))=0,"",COUNTIF($M$5:M92,"x"))</f>
        <v/>
      </c>
      <c r="N197" s="3634" t="str">
        <f>IF(((COUNTIF($N$5:N92,"x"))-(COUNTIF($N$5:N91,"x")))=0,"",COUNTIF($N$5:N92,"x"))</f>
        <v/>
      </c>
      <c r="O197" s="3634" t="str">
        <f>IF(((COUNTIF($O$5:O92,"x"))-(COUNTIF($O$5:O91,"x")))=0,"",COUNTIF($O$5:O92,"x"))</f>
        <v/>
      </c>
      <c r="P197" s="3632" t="str">
        <f>IF(((COUNTIF($P$5:P92,"x"))-(COUNTIF($P$5:P91,"x")))=0,"",COUNTIF($P$5:P92,"x"))</f>
        <v/>
      </c>
      <c r="Q197" s="3634" t="str">
        <f>IF(((COUNTIF($Q$5:Q92,"x"))-(COUNTIF($Q$5:Q91,"x")))=0,"",COUNTIF($Q$5:Q92,"x"))</f>
        <v/>
      </c>
      <c r="R197" s="3634" t="str">
        <f>IF(((COUNTIF($R$5:R92,"x"))-(COUNTIF($R$5:R91,"x")))=0,"",COUNTIF($R$5:R92,"x"))</f>
        <v/>
      </c>
      <c r="S197" s="3634" t="str">
        <f>IF(((COUNTIF($S$5:S92,"x"))-(COUNTIF($S$5:S91,"x")))=0,"",COUNTIF($S$5:S92,"x"))</f>
        <v/>
      </c>
      <c r="T197" s="3634" t="str">
        <f>IF(((COUNTIF($T$5:T92,"x"))-(COUNTIF($T$5:T91,"x")))=0,"",COUNTIF($T$5:T92,"x"))</f>
        <v/>
      </c>
      <c r="U197" s="3634" t="str">
        <f>IF(((COUNTIF($U$5:U92,"x"))-(COUNTIF($U$5:U91,"x")))=0,"",COUNTIF($U$5:U92,"x"))</f>
        <v/>
      </c>
      <c r="V197" s="3634" t="str">
        <f>IF(((COUNTIF($V$5:V92,"x"))-(COUNTIF($V$5:V91,"x")))=0,"",COUNTIF($V$5:V92,"x"))</f>
        <v/>
      </c>
      <c r="W197" s="3634" t="str">
        <f>IF(((COUNTIF($W$5:W92,"x"))-(COUNTIF($W$5:W91,"x")))=0,"",COUNTIF($W$5:W92,"x"))</f>
        <v/>
      </c>
      <c r="X197" s="3634" t="str">
        <f>IF(((COUNTIF($X$5:X92,"x"))-(COUNTIF($X$5:X91,"x")))=0,"",COUNTIF($X$5:X92,"x"))</f>
        <v/>
      </c>
      <c r="Y197" s="3634" t="str">
        <f>IF(((COUNTIF($Y$5:Y92,"x"))-(COUNTIF($Y$5:Y91,"x")))=0,"",COUNTIF($Y$5:Y92,"x"))</f>
        <v/>
      </c>
      <c r="Z197" s="3634" t="str">
        <f>IF(((COUNTIF($Z$5:Z92,"x"))-(COUNTIF($Z$5:Z91,"x")))=0,"",COUNTIF($Z$5:Z92,"x"))</f>
        <v/>
      </c>
      <c r="AA197" s="3634" t="str">
        <f>IF(((COUNTIF($AA$5:AA92,"x"))-(COUNTIF($AA$5:AA91,"x")))=0,"",COUNTIF($AA$5:AA92,"x"))</f>
        <v/>
      </c>
      <c r="AB197" s="3634" t="str">
        <f>IF(((COUNTIF($AB$5:AB92,"x"))-(COUNTIF($AB$5:AB91,"x")))=0,"",COUNTIF($AB$5:AB92,"x"))</f>
        <v/>
      </c>
      <c r="AC197" s="3634" t="str">
        <f>IF(((COUNTIF($AC$5:AC92,"x"))-(COUNTIF($AC$5:AC91,"x")))=0,"",COUNTIF($AC$5:AC92,"x"))</f>
        <v/>
      </c>
      <c r="AD197" s="3632">
        <f>IF(((COUNTIF($AD$5:AD92,"x"))-(COUNTIF($AD$5:AD91,"x")))=0,"",COUNTIF($AD$5:AD92,"x"))</f>
        <v>75</v>
      </c>
      <c r="AE197" s="3634" t="str">
        <f>IF(((COUNTIF($AE$5:AE92,"x"))-(COUNTIF($AE$5:AE91,"x")))=0,"",COUNTIF($AE$5:AE92,"x"))</f>
        <v/>
      </c>
      <c r="AF197" s="3637" t="str">
        <f>IF(((COUNTIF($AF$5:AF92,"x"))-(COUNTIF($AF$5:AF91,"x")))=0,"",COUNTIF($AF$5:AF92,"x"))</f>
        <v/>
      </c>
      <c r="AG197" s="1518">
        <f t="shared" si="16"/>
        <v>0</v>
      </c>
    </row>
    <row r="198" spans="2:33" ht="17.399999999999999" hidden="1">
      <c r="B198" s="1525">
        <f t="shared" si="17"/>
        <v>89</v>
      </c>
      <c r="C198" s="2696">
        <f t="shared" si="18"/>
        <v>0</v>
      </c>
      <c r="D198" s="3640"/>
      <c r="E198" s="3641"/>
      <c r="F198" s="3631" t="str">
        <f>IF(((COUNTIF($F$5:$F93,"x"))-(COUNTIF($F$5:$F92,"x")))=0,"",COUNTIF($F$5:$F93,"x"))</f>
        <v/>
      </c>
      <c r="G198" s="3632" t="str">
        <f>IF(((COUNTIF($G$5:$G93,"x"))-(COUNTIF($G$5:$G92,"x")))=0,"",COUNTIF($G$5:$G93,"x"))</f>
        <v/>
      </c>
      <c r="H198" s="3632" t="str">
        <f>IF(((COUNTIF($H$5:$H93,"x"))-(COUNTIF($H$5:$H92,"x")))=0,"",COUNTIF($H$5:$H93,"x"))</f>
        <v/>
      </c>
      <c r="I198" s="3632" t="str">
        <f>IF(((COUNTIF($I$5:I93,"x"))-(COUNTIF($I$5:I92,"x")))=0,"",COUNTIF($I$5:I93,"x"))</f>
        <v/>
      </c>
      <c r="J198" s="3634" t="str">
        <f>IF(((COUNTIF($J$5:J93,"x"))-(COUNTIF($J$5:J92,"x")))=0,"",COUNTIF($J$5:J93,"x"))</f>
        <v/>
      </c>
      <c r="K198" s="3634" t="str">
        <f>IF(((COUNTIF($K$5:K93,"x"))-(COUNTIF($K$5:K92,"x")))=0,"",COUNTIF($K$5:K93,"x"))</f>
        <v/>
      </c>
      <c r="L198" s="3634" t="str">
        <f>IF(((COUNTIF($L$5:L93,"x"))-(COUNTIF($L$5:L92,"x")))=0,"",COUNTIF($L$5:L93,"x"))</f>
        <v/>
      </c>
      <c r="M198" s="3634" t="str">
        <f>IF(((COUNTIF($M$5:M93,"x"))-(COUNTIF($M$5:M92,"x")))=0,"",COUNTIF($M$5:M93,"x"))</f>
        <v/>
      </c>
      <c r="N198" s="3634" t="str">
        <f>IF(((COUNTIF($N$5:N93,"x"))-(COUNTIF($N$5:N92,"x")))=0,"",COUNTIF($N$5:N93,"x"))</f>
        <v/>
      </c>
      <c r="O198" s="3634" t="str">
        <f>IF(((COUNTIF($O$5:O93,"x"))-(COUNTIF($O$5:O92,"x")))=0,"",COUNTIF($O$5:O93,"x"))</f>
        <v/>
      </c>
      <c r="P198" s="3632" t="str">
        <f>IF(((COUNTIF($P$5:P93,"x"))-(COUNTIF($P$5:P92,"x")))=0,"",COUNTIF($P$5:P93,"x"))</f>
        <v/>
      </c>
      <c r="Q198" s="3634" t="str">
        <f>IF(((COUNTIF($Q$5:Q93,"x"))-(COUNTIF($Q$5:Q92,"x")))=0,"",COUNTIF($Q$5:Q93,"x"))</f>
        <v/>
      </c>
      <c r="R198" s="3634" t="str">
        <f>IF(((COUNTIF($R$5:R93,"x"))-(COUNTIF($R$5:R92,"x")))=0,"",COUNTIF($R$5:R93,"x"))</f>
        <v/>
      </c>
      <c r="S198" s="3634" t="str">
        <f>IF(((COUNTIF($S$5:S93,"x"))-(COUNTIF($S$5:S92,"x")))=0,"",COUNTIF($S$5:S93,"x"))</f>
        <v/>
      </c>
      <c r="T198" s="3634" t="str">
        <f>IF(((COUNTIF($T$5:T93,"x"))-(COUNTIF($T$5:T92,"x")))=0,"",COUNTIF($T$5:T93,"x"))</f>
        <v/>
      </c>
      <c r="U198" s="3634" t="str">
        <f>IF(((COUNTIF($U$5:U93,"x"))-(COUNTIF($U$5:U92,"x")))=0,"",COUNTIF($U$5:U93,"x"))</f>
        <v/>
      </c>
      <c r="V198" s="3634" t="str">
        <f>IF(((COUNTIF($V$5:V93,"x"))-(COUNTIF($V$5:V92,"x")))=0,"",COUNTIF($V$5:V93,"x"))</f>
        <v/>
      </c>
      <c r="W198" s="3634" t="str">
        <f>IF(((COUNTIF($W$5:W93,"x"))-(COUNTIF($W$5:W92,"x")))=0,"",COUNTIF($W$5:W93,"x"))</f>
        <v/>
      </c>
      <c r="X198" s="3634" t="str">
        <f>IF(((COUNTIF($X$5:X93,"x"))-(COUNTIF($X$5:X92,"x")))=0,"",COUNTIF($X$5:X93,"x"))</f>
        <v/>
      </c>
      <c r="Y198" s="3634" t="str">
        <f>IF(((COUNTIF($Y$5:Y93,"x"))-(COUNTIF($Y$5:Y92,"x")))=0,"",COUNTIF($Y$5:Y93,"x"))</f>
        <v/>
      </c>
      <c r="Z198" s="3634" t="str">
        <f>IF(((COUNTIF($Z$5:Z93,"x"))-(COUNTIF($Z$5:Z92,"x")))=0,"",COUNTIF($Z$5:Z93,"x"))</f>
        <v/>
      </c>
      <c r="AA198" s="3634" t="str">
        <f>IF(((COUNTIF($AA$5:AA93,"x"))-(COUNTIF($AA$5:AA92,"x")))=0,"",COUNTIF($AA$5:AA93,"x"))</f>
        <v/>
      </c>
      <c r="AB198" s="3634" t="str">
        <f>IF(((COUNTIF($AB$5:AB93,"x"))-(COUNTIF($AB$5:AB92,"x")))=0,"",COUNTIF($AB$5:AB93,"x"))</f>
        <v/>
      </c>
      <c r="AC198" s="3634" t="str">
        <f>IF(((COUNTIF($AC$5:AC93,"x"))-(COUNTIF($AC$5:AC92,"x")))=0,"",COUNTIF($AC$5:AC93,"x"))</f>
        <v/>
      </c>
      <c r="AD198" s="3632">
        <f>IF(((COUNTIF($AD$5:AD93,"x"))-(COUNTIF($AD$5:AD92,"x")))=0,"",COUNTIF($AD$5:AD93,"x"))</f>
        <v>76</v>
      </c>
      <c r="AE198" s="3634" t="str">
        <f>IF(((COUNTIF($AE$5:AE93,"x"))-(COUNTIF($AE$5:AE92,"x")))=0,"",COUNTIF($AE$5:AE93,"x"))</f>
        <v/>
      </c>
      <c r="AF198" s="3637" t="str">
        <f>IF(((COUNTIF($AF$5:AF93,"x"))-(COUNTIF($AF$5:AF92,"x")))=0,"",COUNTIF($AF$5:AF93,"x"))</f>
        <v/>
      </c>
      <c r="AG198" s="1518">
        <f t="shared" si="16"/>
        <v>0</v>
      </c>
    </row>
    <row r="199" spans="2:33" ht="17.399999999999999" hidden="1">
      <c r="B199" s="1525">
        <f t="shared" si="17"/>
        <v>90</v>
      </c>
      <c r="C199" s="2696">
        <f t="shared" si="18"/>
        <v>0</v>
      </c>
      <c r="D199" s="3640"/>
      <c r="E199" s="3641"/>
      <c r="F199" s="3631" t="str">
        <f>IF(((COUNTIF($F$5:$F94,"x"))-(COUNTIF($F$5:$F93,"x")))=0,"",COUNTIF($F$5:$F94,"x"))</f>
        <v/>
      </c>
      <c r="G199" s="3632" t="str">
        <f>IF(((COUNTIF($G$5:$G94,"x"))-(COUNTIF($G$5:$G93,"x")))=0,"",COUNTIF($G$5:$G94,"x"))</f>
        <v/>
      </c>
      <c r="H199" s="3632" t="str">
        <f>IF(((COUNTIF($H$5:$H94,"x"))-(COUNTIF($H$5:$H93,"x")))=0,"",COUNTIF($H$5:$H94,"x"))</f>
        <v/>
      </c>
      <c r="I199" s="3632" t="str">
        <f>IF(((COUNTIF($I$5:I94,"x"))-(COUNTIF($I$5:I93,"x")))=0,"",COUNTIF($I$5:I94,"x"))</f>
        <v/>
      </c>
      <c r="J199" s="3634" t="str">
        <f>IF(((COUNTIF($J$5:J94,"x"))-(COUNTIF($J$5:J93,"x")))=0,"",COUNTIF($J$5:J94,"x"))</f>
        <v/>
      </c>
      <c r="K199" s="3634" t="str">
        <f>IF(((COUNTIF($K$5:K94,"x"))-(COUNTIF($K$5:K93,"x")))=0,"",COUNTIF($K$5:K94,"x"))</f>
        <v/>
      </c>
      <c r="L199" s="3634" t="str">
        <f>IF(((COUNTIF($L$5:L94,"x"))-(COUNTIF($L$5:L93,"x")))=0,"",COUNTIF($L$5:L94,"x"))</f>
        <v/>
      </c>
      <c r="M199" s="3634" t="str">
        <f>IF(((COUNTIF($M$5:M94,"x"))-(COUNTIF($M$5:M93,"x")))=0,"",COUNTIF($M$5:M94,"x"))</f>
        <v/>
      </c>
      <c r="N199" s="3634" t="str">
        <f>IF(((COUNTIF($N$5:N94,"x"))-(COUNTIF($N$5:N93,"x")))=0,"",COUNTIF($N$5:N94,"x"))</f>
        <v/>
      </c>
      <c r="O199" s="3634" t="str">
        <f>IF(((COUNTIF($O$5:O94,"x"))-(COUNTIF($O$5:O93,"x")))=0,"",COUNTIF($O$5:O94,"x"))</f>
        <v/>
      </c>
      <c r="P199" s="3632" t="str">
        <f>IF(((COUNTIF($P$5:P94,"x"))-(COUNTIF($P$5:P93,"x")))=0,"",COUNTIF($P$5:P94,"x"))</f>
        <v/>
      </c>
      <c r="Q199" s="3634" t="str">
        <f>IF(((COUNTIF($Q$5:Q94,"x"))-(COUNTIF($Q$5:Q93,"x")))=0,"",COUNTIF($Q$5:Q94,"x"))</f>
        <v/>
      </c>
      <c r="R199" s="3634" t="str">
        <f>IF(((COUNTIF($R$5:R94,"x"))-(COUNTIF($R$5:R93,"x")))=0,"",COUNTIF($R$5:R94,"x"))</f>
        <v/>
      </c>
      <c r="S199" s="3634" t="str">
        <f>IF(((COUNTIF($S$5:S94,"x"))-(COUNTIF($S$5:S93,"x")))=0,"",COUNTIF($S$5:S94,"x"))</f>
        <v/>
      </c>
      <c r="T199" s="3634" t="str">
        <f>IF(((COUNTIF($T$5:T94,"x"))-(COUNTIF($T$5:T93,"x")))=0,"",COUNTIF($T$5:T94,"x"))</f>
        <v/>
      </c>
      <c r="U199" s="3634" t="str">
        <f>IF(((COUNTIF($U$5:U94,"x"))-(COUNTIF($U$5:U93,"x")))=0,"",COUNTIF($U$5:U94,"x"))</f>
        <v/>
      </c>
      <c r="V199" s="3634" t="str">
        <f>IF(((COUNTIF($V$5:V94,"x"))-(COUNTIF($V$5:V93,"x")))=0,"",COUNTIF($V$5:V94,"x"))</f>
        <v/>
      </c>
      <c r="W199" s="3634" t="str">
        <f>IF(((COUNTIF($W$5:W94,"x"))-(COUNTIF($W$5:W93,"x")))=0,"",COUNTIF($W$5:W94,"x"))</f>
        <v/>
      </c>
      <c r="X199" s="3634" t="str">
        <f>IF(((COUNTIF($X$5:X94,"x"))-(COUNTIF($X$5:X93,"x")))=0,"",COUNTIF($X$5:X94,"x"))</f>
        <v/>
      </c>
      <c r="Y199" s="3634" t="str">
        <f>IF(((COUNTIF($Y$5:Y94,"x"))-(COUNTIF($Y$5:Y93,"x")))=0,"",COUNTIF($Y$5:Y94,"x"))</f>
        <v/>
      </c>
      <c r="Z199" s="3634" t="str">
        <f>IF(((COUNTIF($Z$5:Z94,"x"))-(COUNTIF($Z$5:Z93,"x")))=0,"",COUNTIF($Z$5:Z94,"x"))</f>
        <v/>
      </c>
      <c r="AA199" s="3634" t="str">
        <f>IF(((COUNTIF($AA$5:AA94,"x"))-(COUNTIF($AA$5:AA93,"x")))=0,"",COUNTIF($AA$5:AA94,"x"))</f>
        <v/>
      </c>
      <c r="AB199" s="3634" t="str">
        <f>IF(((COUNTIF($AB$5:AB94,"x"))-(COUNTIF($AB$5:AB93,"x")))=0,"",COUNTIF($AB$5:AB94,"x"))</f>
        <v/>
      </c>
      <c r="AC199" s="3634" t="str">
        <f>IF(((COUNTIF($AC$5:AC94,"x"))-(COUNTIF($AC$5:AC93,"x")))=0,"",COUNTIF($AC$5:AC94,"x"))</f>
        <v/>
      </c>
      <c r="AD199" s="3632">
        <f>IF(((COUNTIF($AD$5:AD94,"x"))-(COUNTIF($AD$5:AD93,"x")))=0,"",COUNTIF($AD$5:AD94,"x"))</f>
        <v>77</v>
      </c>
      <c r="AE199" s="3634" t="str">
        <f>IF(((COUNTIF($AE$5:AE94,"x"))-(COUNTIF($AE$5:AE93,"x")))=0,"",COUNTIF($AE$5:AE94,"x"))</f>
        <v/>
      </c>
      <c r="AF199" s="3637" t="str">
        <f>IF(((COUNTIF($AF$5:AF94,"x"))-(COUNTIF($AF$5:AF93,"x")))=0,"",COUNTIF($AF$5:AF94,"x"))</f>
        <v/>
      </c>
      <c r="AG199" s="1518">
        <f t="shared" si="16"/>
        <v>0</v>
      </c>
    </row>
    <row r="200" spans="2:33" ht="17.399999999999999" hidden="1">
      <c r="B200" s="1525">
        <f t="shared" si="17"/>
        <v>91</v>
      </c>
      <c r="C200" s="2696">
        <f t="shared" si="18"/>
        <v>0</v>
      </c>
      <c r="D200" s="3640"/>
      <c r="E200" s="3641"/>
      <c r="F200" s="3631" t="str">
        <f>IF(((COUNTIF($F$5:$F95,"x"))-(COUNTIF($F$5:$F94,"x")))=0,"",COUNTIF($F$5:$F95,"x"))</f>
        <v/>
      </c>
      <c r="G200" s="3632" t="str">
        <f>IF(((COUNTIF($G$5:$G95,"x"))-(COUNTIF($G$5:$G94,"x")))=0,"",COUNTIF($G$5:$G95,"x"))</f>
        <v/>
      </c>
      <c r="H200" s="3632" t="str">
        <f>IF(((COUNTIF($H$5:$H95,"x"))-(COUNTIF($H$5:$H94,"x")))=0,"",COUNTIF($H$5:$H95,"x"))</f>
        <v/>
      </c>
      <c r="I200" s="3632" t="str">
        <f>IF(((COUNTIF($I$5:I95,"x"))-(COUNTIF($I$5:I94,"x")))=0,"",COUNTIF($I$5:I95,"x"))</f>
        <v/>
      </c>
      <c r="J200" s="3634" t="str">
        <f>IF(((COUNTIF($J$5:J95,"x"))-(COUNTIF($J$5:J94,"x")))=0,"",COUNTIF($J$5:J95,"x"))</f>
        <v/>
      </c>
      <c r="K200" s="3634" t="str">
        <f>IF(((COUNTIF($K$5:K95,"x"))-(COUNTIF($K$5:K94,"x")))=0,"",COUNTIF($K$5:K95,"x"))</f>
        <v/>
      </c>
      <c r="L200" s="3634" t="str">
        <f>IF(((COUNTIF($L$5:L95,"x"))-(COUNTIF($L$5:L94,"x")))=0,"",COUNTIF($L$5:L95,"x"))</f>
        <v/>
      </c>
      <c r="M200" s="3634" t="str">
        <f>IF(((COUNTIF($M$5:M95,"x"))-(COUNTIF($M$5:M94,"x")))=0,"",COUNTIF($M$5:M95,"x"))</f>
        <v/>
      </c>
      <c r="N200" s="3634" t="str">
        <f>IF(((COUNTIF($N$5:N95,"x"))-(COUNTIF($N$5:N94,"x")))=0,"",COUNTIF($N$5:N95,"x"))</f>
        <v/>
      </c>
      <c r="O200" s="3634" t="str">
        <f>IF(((COUNTIF($O$5:O95,"x"))-(COUNTIF($O$5:O94,"x")))=0,"",COUNTIF($O$5:O95,"x"))</f>
        <v/>
      </c>
      <c r="P200" s="3632" t="str">
        <f>IF(((COUNTIF($P$5:P95,"x"))-(COUNTIF($P$5:P94,"x")))=0,"",COUNTIF($P$5:P95,"x"))</f>
        <v/>
      </c>
      <c r="Q200" s="3634" t="str">
        <f>IF(((COUNTIF($Q$5:Q95,"x"))-(COUNTIF($Q$5:Q94,"x")))=0,"",COUNTIF($Q$5:Q95,"x"))</f>
        <v/>
      </c>
      <c r="R200" s="3634" t="str">
        <f>IF(((COUNTIF($R$5:R95,"x"))-(COUNTIF($R$5:R94,"x")))=0,"",COUNTIF($R$5:R95,"x"))</f>
        <v/>
      </c>
      <c r="S200" s="3634" t="str">
        <f>IF(((COUNTIF($S$5:S95,"x"))-(COUNTIF($S$5:S94,"x")))=0,"",COUNTIF($S$5:S95,"x"))</f>
        <v/>
      </c>
      <c r="T200" s="3634" t="str">
        <f>IF(((COUNTIF($T$5:T95,"x"))-(COUNTIF($T$5:T94,"x")))=0,"",COUNTIF($T$5:T95,"x"))</f>
        <v/>
      </c>
      <c r="U200" s="3634" t="str">
        <f>IF(((COUNTIF($U$5:U95,"x"))-(COUNTIF($U$5:U94,"x")))=0,"",COUNTIF($U$5:U95,"x"))</f>
        <v/>
      </c>
      <c r="V200" s="3634" t="str">
        <f>IF(((COUNTIF($V$5:V95,"x"))-(COUNTIF($V$5:V94,"x")))=0,"",COUNTIF($V$5:V95,"x"))</f>
        <v/>
      </c>
      <c r="W200" s="3634" t="str">
        <f>IF(((COUNTIF($W$5:W95,"x"))-(COUNTIF($W$5:W94,"x")))=0,"",COUNTIF($W$5:W95,"x"))</f>
        <v/>
      </c>
      <c r="X200" s="3634" t="str">
        <f>IF(((COUNTIF($X$5:X95,"x"))-(COUNTIF($X$5:X94,"x")))=0,"",COUNTIF($X$5:X95,"x"))</f>
        <v/>
      </c>
      <c r="Y200" s="3634" t="str">
        <f>IF(((COUNTIF($Y$5:Y95,"x"))-(COUNTIF($Y$5:Y94,"x")))=0,"",COUNTIF($Y$5:Y95,"x"))</f>
        <v/>
      </c>
      <c r="Z200" s="3634" t="str">
        <f>IF(((COUNTIF($Z$5:Z95,"x"))-(COUNTIF($Z$5:Z94,"x")))=0,"",COUNTIF($Z$5:Z95,"x"))</f>
        <v/>
      </c>
      <c r="AA200" s="3634" t="str">
        <f>IF(((COUNTIF($AA$5:AA95,"x"))-(COUNTIF($AA$5:AA94,"x")))=0,"",COUNTIF($AA$5:AA95,"x"))</f>
        <v/>
      </c>
      <c r="AB200" s="3634" t="str">
        <f>IF(((COUNTIF($AB$5:AB95,"x"))-(COUNTIF($AB$5:AB94,"x")))=0,"",COUNTIF($AB$5:AB95,"x"))</f>
        <v/>
      </c>
      <c r="AC200" s="3634" t="str">
        <f>IF(((COUNTIF($AC$5:AC95,"x"))-(COUNTIF($AC$5:AC94,"x")))=0,"",COUNTIF($AC$5:AC95,"x"))</f>
        <v/>
      </c>
      <c r="AD200" s="3632">
        <f>IF(((COUNTIF($AD$5:AD95,"x"))-(COUNTIF($AD$5:AD94,"x")))=0,"",COUNTIF($AD$5:AD95,"x"))</f>
        <v>78</v>
      </c>
      <c r="AE200" s="3634" t="str">
        <f>IF(((COUNTIF($AE$5:AE95,"x"))-(COUNTIF($AE$5:AE94,"x")))=0,"",COUNTIF($AE$5:AE95,"x"))</f>
        <v/>
      </c>
      <c r="AF200" s="3637" t="str">
        <f>IF(((COUNTIF($AF$5:AF95,"x"))-(COUNTIF($AF$5:AF94,"x")))=0,"",COUNTIF($AF$5:AF95,"x"))</f>
        <v/>
      </c>
      <c r="AG200" s="1518">
        <f t="shared" si="16"/>
        <v>0</v>
      </c>
    </row>
    <row r="201" spans="2:33" ht="17.399999999999999" hidden="1">
      <c r="B201" s="1525">
        <f t="shared" si="17"/>
        <v>92</v>
      </c>
      <c r="C201" s="2696">
        <f t="shared" si="18"/>
        <v>0</v>
      </c>
      <c r="D201" s="3640"/>
      <c r="E201" s="3641"/>
      <c r="F201" s="3631" t="str">
        <f>IF(((COUNTIF($F$5:$F96,"x"))-(COUNTIF($F$5:$F95,"x")))=0,"",COUNTIF($F$5:$F96,"x"))</f>
        <v/>
      </c>
      <c r="G201" s="3632" t="str">
        <f>IF(((COUNTIF($G$5:$G96,"x"))-(COUNTIF($G$5:$G95,"x")))=0,"",COUNTIF($G$5:$G96,"x"))</f>
        <v/>
      </c>
      <c r="H201" s="3632" t="str">
        <f>IF(((COUNTIF($H$5:$H96,"x"))-(COUNTIF($H$5:$H95,"x")))=0,"",COUNTIF($H$5:$H96,"x"))</f>
        <v/>
      </c>
      <c r="I201" s="3632" t="str">
        <f>IF(((COUNTIF($I$5:I96,"x"))-(COUNTIF($I$5:I95,"x")))=0,"",COUNTIF($I$5:I96,"x"))</f>
        <v/>
      </c>
      <c r="J201" s="3634" t="str">
        <f>IF(((COUNTIF($J$5:J96,"x"))-(COUNTIF($J$5:J95,"x")))=0,"",COUNTIF($J$5:J96,"x"))</f>
        <v/>
      </c>
      <c r="K201" s="3634" t="str">
        <f>IF(((COUNTIF($K$5:K96,"x"))-(COUNTIF($K$5:K95,"x")))=0,"",COUNTIF($K$5:K96,"x"))</f>
        <v/>
      </c>
      <c r="L201" s="3634" t="str">
        <f>IF(((COUNTIF($L$5:L96,"x"))-(COUNTIF($L$5:L95,"x")))=0,"",COUNTIF($L$5:L96,"x"))</f>
        <v/>
      </c>
      <c r="M201" s="3634" t="str">
        <f>IF(((COUNTIF($M$5:M96,"x"))-(COUNTIF($M$5:M95,"x")))=0,"",COUNTIF($M$5:M96,"x"))</f>
        <v/>
      </c>
      <c r="N201" s="3634" t="str">
        <f>IF(((COUNTIF($N$5:N96,"x"))-(COUNTIF($N$5:N95,"x")))=0,"",COUNTIF($N$5:N96,"x"))</f>
        <v/>
      </c>
      <c r="O201" s="3634" t="str">
        <f>IF(((COUNTIF($O$5:O96,"x"))-(COUNTIF($O$5:O95,"x")))=0,"",COUNTIF($O$5:O96,"x"))</f>
        <v/>
      </c>
      <c r="P201" s="3632" t="str">
        <f>IF(((COUNTIF($P$5:P96,"x"))-(COUNTIF($P$5:P95,"x")))=0,"",COUNTIF($P$5:P96,"x"))</f>
        <v/>
      </c>
      <c r="Q201" s="3634" t="str">
        <f>IF(((COUNTIF($Q$5:Q96,"x"))-(COUNTIF($Q$5:Q95,"x")))=0,"",COUNTIF($Q$5:Q96,"x"))</f>
        <v/>
      </c>
      <c r="R201" s="3634" t="str">
        <f>IF(((COUNTIF($R$5:R96,"x"))-(COUNTIF($R$5:R95,"x")))=0,"",COUNTIF($R$5:R96,"x"))</f>
        <v/>
      </c>
      <c r="S201" s="3634" t="str">
        <f>IF(((COUNTIF($S$5:S96,"x"))-(COUNTIF($S$5:S95,"x")))=0,"",COUNTIF($S$5:S96,"x"))</f>
        <v/>
      </c>
      <c r="T201" s="3634" t="str">
        <f>IF(((COUNTIF($T$5:T96,"x"))-(COUNTIF($T$5:T95,"x")))=0,"",COUNTIF($T$5:T96,"x"))</f>
        <v/>
      </c>
      <c r="U201" s="3634" t="str">
        <f>IF(((COUNTIF($U$5:U96,"x"))-(COUNTIF($U$5:U95,"x")))=0,"",COUNTIF($U$5:U96,"x"))</f>
        <v/>
      </c>
      <c r="V201" s="3634" t="str">
        <f>IF(((COUNTIF($V$5:V96,"x"))-(COUNTIF($V$5:V95,"x")))=0,"",COUNTIF($V$5:V96,"x"))</f>
        <v/>
      </c>
      <c r="W201" s="3634" t="str">
        <f>IF(((COUNTIF($W$5:W96,"x"))-(COUNTIF($W$5:W95,"x")))=0,"",COUNTIF($W$5:W96,"x"))</f>
        <v/>
      </c>
      <c r="X201" s="3634" t="str">
        <f>IF(((COUNTIF($X$5:X96,"x"))-(COUNTIF($X$5:X95,"x")))=0,"",COUNTIF($X$5:X96,"x"))</f>
        <v/>
      </c>
      <c r="Y201" s="3634" t="str">
        <f>IF(((COUNTIF($Y$5:Y96,"x"))-(COUNTIF($Y$5:Y95,"x")))=0,"",COUNTIF($Y$5:Y96,"x"))</f>
        <v/>
      </c>
      <c r="Z201" s="3634" t="str">
        <f>IF(((COUNTIF($Z$5:Z96,"x"))-(COUNTIF($Z$5:Z95,"x")))=0,"",COUNTIF($Z$5:Z96,"x"))</f>
        <v/>
      </c>
      <c r="AA201" s="3634" t="str">
        <f>IF(((COUNTIF($AA$5:AA96,"x"))-(COUNTIF($AA$5:AA95,"x")))=0,"",COUNTIF($AA$5:AA96,"x"))</f>
        <v/>
      </c>
      <c r="AB201" s="3634" t="str">
        <f>IF(((COUNTIF($AB$5:AB96,"x"))-(COUNTIF($AB$5:AB95,"x")))=0,"",COUNTIF($AB$5:AB96,"x"))</f>
        <v/>
      </c>
      <c r="AC201" s="3634" t="str">
        <f>IF(((COUNTIF($AC$5:AC96,"x"))-(COUNTIF($AC$5:AC95,"x")))=0,"",COUNTIF($AC$5:AC96,"x"))</f>
        <v/>
      </c>
      <c r="AD201" s="3632">
        <f>IF(((COUNTIF($AD$5:AD96,"x"))-(COUNTIF($AD$5:AD95,"x")))=0,"",COUNTIF($AD$5:AD96,"x"))</f>
        <v>79</v>
      </c>
      <c r="AE201" s="3634" t="str">
        <f>IF(((COUNTIF($AE$5:AE96,"x"))-(COUNTIF($AE$5:AE95,"x")))=0,"",COUNTIF($AE$5:AE96,"x"))</f>
        <v/>
      </c>
      <c r="AF201" s="3637" t="str">
        <f>IF(((COUNTIF($AF$5:AF96,"x"))-(COUNTIF($AF$5:AF95,"x")))=0,"",COUNTIF($AF$5:AF96,"x"))</f>
        <v/>
      </c>
      <c r="AG201" s="1518">
        <f t="shared" si="16"/>
        <v>0</v>
      </c>
    </row>
    <row r="202" spans="2:33" ht="17.399999999999999" hidden="1">
      <c r="B202" s="1525">
        <f t="shared" si="17"/>
        <v>93</v>
      </c>
      <c r="C202" s="2696">
        <f t="shared" si="18"/>
        <v>0</v>
      </c>
      <c r="D202" s="3640"/>
      <c r="E202" s="3641"/>
      <c r="F202" s="3631" t="str">
        <f>IF(((COUNTIF($F$5:$F97,"x"))-(COUNTIF($F$5:$F96,"x")))=0,"",COUNTIF($F$5:$F97,"x"))</f>
        <v/>
      </c>
      <c r="G202" s="3632" t="str">
        <f>IF(((COUNTIF($G$5:$G97,"x"))-(COUNTIF($G$5:$G96,"x")))=0,"",COUNTIF($G$5:$G97,"x"))</f>
        <v/>
      </c>
      <c r="H202" s="3632" t="str">
        <f>IF(((COUNTIF($H$5:$H97,"x"))-(COUNTIF($H$5:$H96,"x")))=0,"",COUNTIF($H$5:$H97,"x"))</f>
        <v/>
      </c>
      <c r="I202" s="3632" t="str">
        <f>IF(((COUNTIF($I$5:I97,"x"))-(COUNTIF($I$5:I96,"x")))=0,"",COUNTIF($I$5:I97,"x"))</f>
        <v/>
      </c>
      <c r="J202" s="3634" t="str">
        <f>IF(((COUNTIF($J$5:J97,"x"))-(COUNTIF($J$5:J96,"x")))=0,"",COUNTIF($J$5:J97,"x"))</f>
        <v/>
      </c>
      <c r="K202" s="3634" t="str">
        <f>IF(((COUNTIF($K$5:K97,"x"))-(COUNTIF($K$5:K96,"x")))=0,"",COUNTIF($K$5:K97,"x"))</f>
        <v/>
      </c>
      <c r="L202" s="3634" t="str">
        <f>IF(((COUNTIF($L$5:L97,"x"))-(COUNTIF($L$5:L96,"x")))=0,"",COUNTIF($L$5:L97,"x"))</f>
        <v/>
      </c>
      <c r="M202" s="3634" t="str">
        <f>IF(((COUNTIF($M$5:M97,"x"))-(COUNTIF($M$5:M96,"x")))=0,"",COUNTIF($M$5:M97,"x"))</f>
        <v/>
      </c>
      <c r="N202" s="3634" t="str">
        <f>IF(((COUNTIF($N$5:N97,"x"))-(COUNTIF($N$5:N96,"x")))=0,"",COUNTIF($N$5:N97,"x"))</f>
        <v/>
      </c>
      <c r="O202" s="3634" t="str">
        <f>IF(((COUNTIF($O$5:O97,"x"))-(COUNTIF($O$5:O96,"x")))=0,"",COUNTIF($O$5:O97,"x"))</f>
        <v/>
      </c>
      <c r="P202" s="3632" t="str">
        <f>IF(((COUNTIF($P$5:P97,"x"))-(COUNTIF($P$5:P96,"x")))=0,"",COUNTIF($P$5:P97,"x"))</f>
        <v/>
      </c>
      <c r="Q202" s="3634" t="str">
        <f>IF(((COUNTIF($Q$5:Q97,"x"))-(COUNTIF($Q$5:Q96,"x")))=0,"",COUNTIF($Q$5:Q97,"x"))</f>
        <v/>
      </c>
      <c r="R202" s="3634" t="str">
        <f>IF(((COUNTIF($R$5:R97,"x"))-(COUNTIF($R$5:R96,"x")))=0,"",COUNTIF($R$5:R97,"x"))</f>
        <v/>
      </c>
      <c r="S202" s="3634" t="str">
        <f>IF(((COUNTIF($S$5:S97,"x"))-(COUNTIF($S$5:S96,"x")))=0,"",COUNTIF($S$5:S97,"x"))</f>
        <v/>
      </c>
      <c r="T202" s="3634" t="str">
        <f>IF(((COUNTIF($T$5:T97,"x"))-(COUNTIF($T$5:T96,"x")))=0,"",COUNTIF($T$5:T97,"x"))</f>
        <v/>
      </c>
      <c r="U202" s="3634" t="str">
        <f>IF(((COUNTIF($U$5:U97,"x"))-(COUNTIF($U$5:U96,"x")))=0,"",COUNTIF($U$5:U97,"x"))</f>
        <v/>
      </c>
      <c r="V202" s="3634" t="str">
        <f>IF(((COUNTIF($V$5:V97,"x"))-(COUNTIF($V$5:V96,"x")))=0,"",COUNTIF($V$5:V97,"x"))</f>
        <v/>
      </c>
      <c r="W202" s="3634" t="str">
        <f>IF(((COUNTIF($W$5:W97,"x"))-(COUNTIF($W$5:W96,"x")))=0,"",COUNTIF($W$5:W97,"x"))</f>
        <v/>
      </c>
      <c r="X202" s="3634" t="str">
        <f>IF(((COUNTIF($X$5:X97,"x"))-(COUNTIF($X$5:X96,"x")))=0,"",COUNTIF($X$5:X97,"x"))</f>
        <v/>
      </c>
      <c r="Y202" s="3634" t="str">
        <f>IF(((COUNTIF($Y$5:Y97,"x"))-(COUNTIF($Y$5:Y96,"x")))=0,"",COUNTIF($Y$5:Y97,"x"))</f>
        <v/>
      </c>
      <c r="Z202" s="3634" t="str">
        <f>IF(((COUNTIF($Z$5:Z97,"x"))-(COUNTIF($Z$5:Z96,"x")))=0,"",COUNTIF($Z$5:Z97,"x"))</f>
        <v/>
      </c>
      <c r="AA202" s="3634" t="str">
        <f>IF(((COUNTIF($AA$5:AA97,"x"))-(COUNTIF($AA$5:AA96,"x")))=0,"",COUNTIF($AA$5:AA97,"x"))</f>
        <v/>
      </c>
      <c r="AB202" s="3634" t="str">
        <f>IF(((COUNTIF($AB$5:AB97,"x"))-(COUNTIF($AB$5:AB96,"x")))=0,"",COUNTIF($AB$5:AB97,"x"))</f>
        <v/>
      </c>
      <c r="AC202" s="3634" t="str">
        <f>IF(((COUNTIF($AC$5:AC97,"x"))-(COUNTIF($AC$5:AC96,"x")))=0,"",COUNTIF($AC$5:AC97,"x"))</f>
        <v/>
      </c>
      <c r="AD202" s="3632">
        <f>IF(((COUNTIF($AD$5:AD97,"x"))-(COUNTIF($AD$5:AD96,"x")))=0,"",COUNTIF($AD$5:AD97,"x"))</f>
        <v>80</v>
      </c>
      <c r="AE202" s="3634" t="str">
        <f>IF(((COUNTIF($AE$5:AE97,"x"))-(COUNTIF($AE$5:AE96,"x")))=0,"",COUNTIF($AE$5:AE97,"x"))</f>
        <v/>
      </c>
      <c r="AF202" s="3637" t="str">
        <f>IF(((COUNTIF($AF$5:AF97,"x"))-(COUNTIF($AF$5:AF96,"x")))=0,"",COUNTIF($AF$5:AF97,"x"))</f>
        <v/>
      </c>
      <c r="AG202" s="1518">
        <f t="shared" si="16"/>
        <v>0</v>
      </c>
    </row>
    <row r="203" spans="2:33" ht="17.399999999999999" hidden="1">
      <c r="B203" s="1525">
        <f t="shared" si="17"/>
        <v>94</v>
      </c>
      <c r="C203" s="2696">
        <f t="shared" si="18"/>
        <v>0</v>
      </c>
      <c r="D203" s="3640"/>
      <c r="E203" s="3641"/>
      <c r="F203" s="3631" t="str">
        <f>IF(((COUNTIF($F$5:$F98,"x"))-(COUNTIF($F$5:$F97,"x")))=0,"",COUNTIF($F$5:$F98,"x"))</f>
        <v/>
      </c>
      <c r="G203" s="3632" t="str">
        <f>IF(((COUNTIF($G$5:$G98,"x"))-(COUNTIF($G$5:$G97,"x")))=0,"",COUNTIF($G$5:$G98,"x"))</f>
        <v/>
      </c>
      <c r="H203" s="3632" t="str">
        <f>IF(((COUNTIF($H$5:$H98,"x"))-(COUNTIF($H$5:$H97,"x")))=0,"",COUNTIF($H$5:$H98,"x"))</f>
        <v/>
      </c>
      <c r="I203" s="3632" t="str">
        <f>IF(((COUNTIF($I$5:I98,"x"))-(COUNTIF($I$5:I97,"x")))=0,"",COUNTIF($I$5:I98,"x"))</f>
        <v/>
      </c>
      <c r="J203" s="3634" t="str">
        <f>IF(((COUNTIF($J$5:J98,"x"))-(COUNTIF($J$5:J97,"x")))=0,"",COUNTIF($J$5:J98,"x"))</f>
        <v/>
      </c>
      <c r="K203" s="3634" t="str">
        <f>IF(((COUNTIF($K$5:K98,"x"))-(COUNTIF($K$5:K97,"x")))=0,"",COUNTIF($K$5:K98,"x"))</f>
        <v/>
      </c>
      <c r="L203" s="3634" t="str">
        <f>IF(((COUNTIF($L$5:L98,"x"))-(COUNTIF($L$5:L97,"x")))=0,"",COUNTIF($L$5:L98,"x"))</f>
        <v/>
      </c>
      <c r="M203" s="3634" t="str">
        <f>IF(((COUNTIF($M$5:M98,"x"))-(COUNTIF($M$5:M97,"x")))=0,"",COUNTIF($M$5:M98,"x"))</f>
        <v/>
      </c>
      <c r="N203" s="3634" t="str">
        <f>IF(((COUNTIF($N$5:N98,"x"))-(COUNTIF($N$5:N97,"x")))=0,"",COUNTIF($N$5:N98,"x"))</f>
        <v/>
      </c>
      <c r="O203" s="3634" t="str">
        <f>IF(((COUNTIF($O$5:O98,"x"))-(COUNTIF($O$5:O97,"x")))=0,"",COUNTIF($O$5:O98,"x"))</f>
        <v/>
      </c>
      <c r="P203" s="3632" t="str">
        <f>IF(((COUNTIF($P$5:P98,"x"))-(COUNTIF($P$5:P97,"x")))=0,"",COUNTIF($P$5:P98,"x"))</f>
        <v/>
      </c>
      <c r="Q203" s="3634" t="str">
        <f>IF(((COUNTIF($Q$5:Q98,"x"))-(COUNTIF($Q$5:Q97,"x")))=0,"",COUNTIF($Q$5:Q98,"x"))</f>
        <v/>
      </c>
      <c r="R203" s="3634" t="str">
        <f>IF(((COUNTIF($R$5:R98,"x"))-(COUNTIF($R$5:R97,"x")))=0,"",COUNTIF($R$5:R98,"x"))</f>
        <v/>
      </c>
      <c r="S203" s="3634" t="str">
        <f>IF(((COUNTIF($S$5:S98,"x"))-(COUNTIF($S$5:S97,"x")))=0,"",COUNTIF($S$5:S98,"x"))</f>
        <v/>
      </c>
      <c r="T203" s="3634" t="str">
        <f>IF(((COUNTIF($T$5:T98,"x"))-(COUNTIF($T$5:T97,"x")))=0,"",COUNTIF($T$5:T98,"x"))</f>
        <v/>
      </c>
      <c r="U203" s="3634" t="str">
        <f>IF(((COUNTIF($U$5:U98,"x"))-(COUNTIF($U$5:U97,"x")))=0,"",COUNTIF($U$5:U98,"x"))</f>
        <v/>
      </c>
      <c r="V203" s="3634" t="str">
        <f>IF(((COUNTIF($V$5:V98,"x"))-(COUNTIF($V$5:V97,"x")))=0,"",COUNTIF($V$5:V98,"x"))</f>
        <v/>
      </c>
      <c r="W203" s="3634" t="str">
        <f>IF(((COUNTIF($W$5:W98,"x"))-(COUNTIF($W$5:W97,"x")))=0,"",COUNTIF($W$5:W98,"x"))</f>
        <v/>
      </c>
      <c r="X203" s="3634" t="str">
        <f>IF(((COUNTIF($X$5:X98,"x"))-(COUNTIF($X$5:X97,"x")))=0,"",COUNTIF($X$5:X98,"x"))</f>
        <v/>
      </c>
      <c r="Y203" s="3634" t="str">
        <f>IF(((COUNTIF($Y$5:Y98,"x"))-(COUNTIF($Y$5:Y97,"x")))=0,"",COUNTIF($Y$5:Y98,"x"))</f>
        <v/>
      </c>
      <c r="Z203" s="3634" t="str">
        <f>IF(((COUNTIF($Z$5:Z98,"x"))-(COUNTIF($Z$5:Z97,"x")))=0,"",COUNTIF($Z$5:Z98,"x"))</f>
        <v/>
      </c>
      <c r="AA203" s="3634" t="str">
        <f>IF(((COUNTIF($AA$5:AA98,"x"))-(COUNTIF($AA$5:AA97,"x")))=0,"",COUNTIF($AA$5:AA98,"x"))</f>
        <v/>
      </c>
      <c r="AB203" s="3634" t="str">
        <f>IF(((COUNTIF($AB$5:AB98,"x"))-(COUNTIF($AB$5:AB97,"x")))=0,"",COUNTIF($AB$5:AB98,"x"))</f>
        <v/>
      </c>
      <c r="AC203" s="3634" t="str">
        <f>IF(((COUNTIF($AC$5:AC98,"x"))-(COUNTIF($AC$5:AC97,"x")))=0,"",COUNTIF($AC$5:AC98,"x"))</f>
        <v/>
      </c>
      <c r="AD203" s="3632">
        <f>IF(((COUNTIF($AD$5:AD98,"x"))-(COUNTIF($AD$5:AD97,"x")))=0,"",COUNTIF($AD$5:AD98,"x"))</f>
        <v>81</v>
      </c>
      <c r="AE203" s="3634" t="str">
        <f>IF(((COUNTIF($AE$5:AE98,"x"))-(COUNTIF($AE$5:AE97,"x")))=0,"",COUNTIF($AE$5:AE98,"x"))</f>
        <v/>
      </c>
      <c r="AF203" s="3637" t="str">
        <f>IF(((COUNTIF($AF$5:AF98,"x"))-(COUNTIF($AF$5:AF97,"x")))=0,"",COUNTIF($AF$5:AF98,"x"))</f>
        <v/>
      </c>
      <c r="AG203" s="1518">
        <f t="shared" si="16"/>
        <v>0</v>
      </c>
    </row>
    <row r="204" spans="2:33" ht="17.399999999999999" hidden="1">
      <c r="B204" s="1525">
        <f t="shared" si="17"/>
        <v>95</v>
      </c>
      <c r="C204" s="2696">
        <f t="shared" si="18"/>
        <v>0</v>
      </c>
      <c r="D204" s="3640"/>
      <c r="E204" s="3641"/>
      <c r="F204" s="3631" t="str">
        <f>IF(((COUNTIF($F$5:$F99,"x"))-(COUNTIF($F$5:$F98,"x")))=0,"",COUNTIF($F$5:$F99,"x"))</f>
        <v/>
      </c>
      <c r="G204" s="3632" t="str">
        <f>IF(((COUNTIF($G$5:$G99,"x"))-(COUNTIF($G$5:$G98,"x")))=0,"",COUNTIF($G$5:$G99,"x"))</f>
        <v/>
      </c>
      <c r="H204" s="3632" t="str">
        <f>IF(((COUNTIF($H$5:$H99,"x"))-(COUNTIF($H$5:$H98,"x")))=0,"",COUNTIF($H$5:$H99,"x"))</f>
        <v/>
      </c>
      <c r="I204" s="3632" t="str">
        <f>IF(((COUNTIF($I$5:I99,"x"))-(COUNTIF($I$5:I98,"x")))=0,"",COUNTIF($I$5:I99,"x"))</f>
        <v/>
      </c>
      <c r="J204" s="3634" t="str">
        <f>IF(((COUNTIF($J$5:J99,"x"))-(COUNTIF($J$5:J98,"x")))=0,"",COUNTIF($J$5:J99,"x"))</f>
        <v/>
      </c>
      <c r="K204" s="3634" t="str">
        <f>IF(((COUNTIF($K$5:K99,"x"))-(COUNTIF($K$5:K98,"x")))=0,"",COUNTIF($K$5:K99,"x"))</f>
        <v/>
      </c>
      <c r="L204" s="3634" t="str">
        <f>IF(((COUNTIF($L$5:L99,"x"))-(COUNTIF($L$5:L98,"x")))=0,"",COUNTIF($L$5:L99,"x"))</f>
        <v/>
      </c>
      <c r="M204" s="3634" t="str">
        <f>IF(((COUNTIF($M$5:M99,"x"))-(COUNTIF($M$5:M98,"x")))=0,"",COUNTIF($M$5:M99,"x"))</f>
        <v/>
      </c>
      <c r="N204" s="3634" t="str">
        <f>IF(((COUNTIF($N$5:N99,"x"))-(COUNTIF($N$5:N98,"x")))=0,"",COUNTIF($N$5:N99,"x"))</f>
        <v/>
      </c>
      <c r="O204" s="3634" t="str">
        <f>IF(((COUNTIF($O$5:O99,"x"))-(COUNTIF($O$5:O98,"x")))=0,"",COUNTIF($O$5:O99,"x"))</f>
        <v/>
      </c>
      <c r="P204" s="3632" t="str">
        <f>IF(((COUNTIF($P$5:P99,"x"))-(COUNTIF($P$5:P98,"x")))=0,"",COUNTIF($P$5:P99,"x"))</f>
        <v/>
      </c>
      <c r="Q204" s="3634" t="str">
        <f>IF(((COUNTIF($Q$5:Q99,"x"))-(COUNTIF($Q$5:Q98,"x")))=0,"",COUNTIF($Q$5:Q99,"x"))</f>
        <v/>
      </c>
      <c r="R204" s="3634" t="str">
        <f>IF(((COUNTIF($R$5:R99,"x"))-(COUNTIF($R$5:R98,"x")))=0,"",COUNTIF($R$5:R99,"x"))</f>
        <v/>
      </c>
      <c r="S204" s="3634" t="str">
        <f>IF(((COUNTIF($S$5:S99,"x"))-(COUNTIF($S$5:S98,"x")))=0,"",COUNTIF($S$5:S99,"x"))</f>
        <v/>
      </c>
      <c r="T204" s="3634" t="str">
        <f>IF(((COUNTIF($T$5:T99,"x"))-(COUNTIF($T$5:T98,"x")))=0,"",COUNTIF($T$5:T99,"x"))</f>
        <v/>
      </c>
      <c r="U204" s="3634" t="str">
        <f>IF(((COUNTIF($U$5:U99,"x"))-(COUNTIF($U$5:U98,"x")))=0,"",COUNTIF($U$5:U99,"x"))</f>
        <v/>
      </c>
      <c r="V204" s="3634" t="str">
        <f>IF(((COUNTIF($V$5:V99,"x"))-(COUNTIF($V$5:V98,"x")))=0,"",COUNTIF($V$5:V99,"x"))</f>
        <v/>
      </c>
      <c r="W204" s="3634" t="str">
        <f>IF(((COUNTIF($W$5:W99,"x"))-(COUNTIF($W$5:W98,"x")))=0,"",COUNTIF($W$5:W99,"x"))</f>
        <v/>
      </c>
      <c r="X204" s="3634" t="str">
        <f>IF(((COUNTIF($X$5:X99,"x"))-(COUNTIF($X$5:X98,"x")))=0,"",COUNTIF($X$5:X99,"x"))</f>
        <v/>
      </c>
      <c r="Y204" s="3634" t="str">
        <f>IF(((COUNTIF($Y$5:Y99,"x"))-(COUNTIF($Y$5:Y98,"x")))=0,"",COUNTIF($Y$5:Y99,"x"))</f>
        <v/>
      </c>
      <c r="Z204" s="3634" t="str">
        <f>IF(((COUNTIF($Z$5:Z99,"x"))-(COUNTIF($Z$5:Z98,"x")))=0,"",COUNTIF($Z$5:Z99,"x"))</f>
        <v/>
      </c>
      <c r="AA204" s="3634" t="str">
        <f>IF(((COUNTIF($AA$5:AA99,"x"))-(COUNTIF($AA$5:AA98,"x")))=0,"",COUNTIF($AA$5:AA99,"x"))</f>
        <v/>
      </c>
      <c r="AB204" s="3634" t="str">
        <f>IF(((COUNTIF($AB$5:AB99,"x"))-(COUNTIF($AB$5:AB98,"x")))=0,"",COUNTIF($AB$5:AB99,"x"))</f>
        <v/>
      </c>
      <c r="AC204" s="3634" t="str">
        <f>IF(((COUNTIF($AC$5:AC99,"x"))-(COUNTIF($AC$5:AC98,"x")))=0,"",COUNTIF($AC$5:AC99,"x"))</f>
        <v/>
      </c>
      <c r="AD204" s="3632">
        <f>IF(((COUNTIF($AD$5:AD99,"x"))-(COUNTIF($AD$5:AD98,"x")))=0,"",COUNTIF($AD$5:AD99,"x"))</f>
        <v>82</v>
      </c>
      <c r="AE204" s="3634" t="str">
        <f>IF(((COUNTIF($AE$5:AE99,"x"))-(COUNTIF($AE$5:AE98,"x")))=0,"",COUNTIF($AE$5:AE99,"x"))</f>
        <v/>
      </c>
      <c r="AF204" s="3637" t="str">
        <f>IF(((COUNTIF($AF$5:AF99,"x"))-(COUNTIF($AF$5:AF98,"x")))=0,"",COUNTIF($AF$5:AF99,"x"))</f>
        <v/>
      </c>
      <c r="AG204" s="1518">
        <f t="shared" si="16"/>
        <v>0</v>
      </c>
    </row>
    <row r="205" spans="2:33" ht="17.399999999999999" hidden="1">
      <c r="B205" s="1525">
        <f t="shared" si="17"/>
        <v>96</v>
      </c>
      <c r="C205" s="2696">
        <f t="shared" si="18"/>
        <v>0</v>
      </c>
      <c r="D205" s="3640"/>
      <c r="E205" s="3641"/>
      <c r="F205" s="3631" t="str">
        <f>IF(((COUNTIF($F$5:$F100,"x"))-(COUNTIF($F$5:$F99,"x")))=0,"",COUNTIF($F$5:$F100,"x"))</f>
        <v/>
      </c>
      <c r="G205" s="3632" t="str">
        <f>IF(((COUNTIF($G$5:$G100,"x"))-(COUNTIF($G$5:$G99,"x")))=0,"",COUNTIF($G$5:$G100,"x"))</f>
        <v/>
      </c>
      <c r="H205" s="3632" t="str">
        <f>IF(((COUNTIF($H$5:$H100,"x"))-(COUNTIF($H$5:$H99,"x")))=0,"",COUNTIF($H$5:$H100,"x"))</f>
        <v/>
      </c>
      <c r="I205" s="3632" t="str">
        <f>IF(((COUNTIF($I$5:I100,"x"))-(COUNTIF($I$5:I99,"x")))=0,"",COUNTIF($I$5:I100,"x"))</f>
        <v/>
      </c>
      <c r="J205" s="3634" t="str">
        <f>IF(((COUNTIF($J$5:J100,"x"))-(COUNTIF($J$5:J99,"x")))=0,"",COUNTIF($J$5:J100,"x"))</f>
        <v/>
      </c>
      <c r="K205" s="3634" t="str">
        <f>IF(((COUNTIF($K$5:K100,"x"))-(COUNTIF($K$5:K99,"x")))=0,"",COUNTIF($K$5:K100,"x"))</f>
        <v/>
      </c>
      <c r="L205" s="3634" t="str">
        <f>IF(((COUNTIF($L$5:L100,"x"))-(COUNTIF($L$5:L99,"x")))=0,"",COUNTIF($L$5:L100,"x"))</f>
        <v/>
      </c>
      <c r="M205" s="3634" t="str">
        <f>IF(((COUNTIF($M$5:M100,"x"))-(COUNTIF($M$5:M99,"x")))=0,"",COUNTIF($M$5:M100,"x"))</f>
        <v/>
      </c>
      <c r="N205" s="3634" t="str">
        <f>IF(((COUNTIF($N$5:N100,"x"))-(COUNTIF($N$5:N99,"x")))=0,"",COUNTIF($N$5:N100,"x"))</f>
        <v/>
      </c>
      <c r="O205" s="3634" t="str">
        <f>IF(((COUNTIF($O$5:O100,"x"))-(COUNTIF($O$5:O99,"x")))=0,"",COUNTIF($O$5:O100,"x"))</f>
        <v/>
      </c>
      <c r="P205" s="3632" t="str">
        <f>IF(((COUNTIF($P$5:P100,"x"))-(COUNTIF($P$5:P99,"x")))=0,"",COUNTIF($P$5:P100,"x"))</f>
        <v/>
      </c>
      <c r="Q205" s="3634" t="str">
        <f>IF(((COUNTIF($Q$5:Q100,"x"))-(COUNTIF($Q$5:Q99,"x")))=0,"",COUNTIF($Q$5:Q100,"x"))</f>
        <v/>
      </c>
      <c r="R205" s="3634" t="str">
        <f>IF(((COUNTIF($R$5:R100,"x"))-(COUNTIF($R$5:R99,"x")))=0,"",COUNTIF($R$5:R100,"x"))</f>
        <v/>
      </c>
      <c r="S205" s="3634" t="str">
        <f>IF(((COUNTIF($S$5:S100,"x"))-(COUNTIF($S$5:S99,"x")))=0,"",COUNTIF($S$5:S100,"x"))</f>
        <v/>
      </c>
      <c r="T205" s="3634" t="str">
        <f>IF(((COUNTIF($T$5:T100,"x"))-(COUNTIF($T$5:T99,"x")))=0,"",COUNTIF($T$5:T100,"x"))</f>
        <v/>
      </c>
      <c r="U205" s="3634" t="str">
        <f>IF(((COUNTIF($U$5:U100,"x"))-(COUNTIF($U$5:U99,"x")))=0,"",COUNTIF($U$5:U100,"x"))</f>
        <v/>
      </c>
      <c r="V205" s="3634" t="str">
        <f>IF(((COUNTIF($V$5:V100,"x"))-(COUNTIF($V$5:V99,"x")))=0,"",COUNTIF($V$5:V100,"x"))</f>
        <v/>
      </c>
      <c r="W205" s="3634" t="str">
        <f>IF(((COUNTIF($W$5:W100,"x"))-(COUNTIF($W$5:W99,"x")))=0,"",COUNTIF($W$5:W100,"x"))</f>
        <v/>
      </c>
      <c r="X205" s="3634" t="str">
        <f>IF(((COUNTIF($X$5:X100,"x"))-(COUNTIF($X$5:X99,"x")))=0,"",COUNTIF($X$5:X100,"x"))</f>
        <v/>
      </c>
      <c r="Y205" s="3634" t="str">
        <f>IF(((COUNTIF($Y$5:Y100,"x"))-(COUNTIF($Y$5:Y99,"x")))=0,"",COUNTIF($Y$5:Y100,"x"))</f>
        <v/>
      </c>
      <c r="Z205" s="3634" t="str">
        <f>IF(((COUNTIF($Z$5:Z100,"x"))-(COUNTIF($Z$5:Z99,"x")))=0,"",COUNTIF($Z$5:Z100,"x"))</f>
        <v/>
      </c>
      <c r="AA205" s="3634" t="str">
        <f>IF(((COUNTIF($AA$5:AA100,"x"))-(COUNTIF($AA$5:AA99,"x")))=0,"",COUNTIF($AA$5:AA100,"x"))</f>
        <v/>
      </c>
      <c r="AB205" s="3634" t="str">
        <f>IF(((COUNTIF($AB$5:AB100,"x"))-(COUNTIF($AB$5:AB99,"x")))=0,"",COUNTIF($AB$5:AB100,"x"))</f>
        <v/>
      </c>
      <c r="AC205" s="3634" t="str">
        <f>IF(((COUNTIF($AC$5:AC100,"x"))-(COUNTIF($AC$5:AC99,"x")))=0,"",COUNTIF($AC$5:AC100,"x"))</f>
        <v/>
      </c>
      <c r="AD205" s="3632">
        <f>IF(((COUNTIF($AD$5:AD100,"x"))-(COUNTIF($AD$5:AD99,"x")))=0,"",COUNTIF($AD$5:AD100,"x"))</f>
        <v>83</v>
      </c>
      <c r="AE205" s="3634" t="str">
        <f>IF(((COUNTIF($AE$5:AE100,"x"))-(COUNTIF($AE$5:AE99,"x")))=0,"",COUNTIF($AE$5:AE100,"x"))</f>
        <v/>
      </c>
      <c r="AF205" s="3637" t="str">
        <f>IF(((COUNTIF($AF$5:AF100,"x"))-(COUNTIF($AF$5:AF99,"x")))=0,"",COUNTIF($AF$5:AF100,"x"))</f>
        <v/>
      </c>
      <c r="AG205" s="1518">
        <f t="shared" si="16"/>
        <v>0</v>
      </c>
    </row>
    <row r="206" spans="2:33" ht="17.399999999999999" hidden="1">
      <c r="B206" s="1525">
        <f t="shared" si="17"/>
        <v>97</v>
      </c>
      <c r="C206" s="2696">
        <f t="shared" si="18"/>
        <v>0</v>
      </c>
      <c r="D206" s="3640"/>
      <c r="E206" s="3641"/>
      <c r="F206" s="3631" t="str">
        <f>IF(((COUNTIF($F$5:$F101,"x"))-(COUNTIF($F$5:$F100,"x")))=0,"",COUNTIF($F$5:$F101,"x"))</f>
        <v/>
      </c>
      <c r="G206" s="3632" t="str">
        <f>IF(((COUNTIF($G$5:$G101,"x"))-(COUNTIF($G$5:$G100,"x")))=0,"",COUNTIF($G$5:$G101,"x"))</f>
        <v/>
      </c>
      <c r="H206" s="3632" t="str">
        <f>IF(((COUNTIF($H$5:$H101,"x"))-(COUNTIF($H$5:$H100,"x")))=0,"",COUNTIF($H$5:$H101,"x"))</f>
        <v/>
      </c>
      <c r="I206" s="3632" t="str">
        <f>IF(((COUNTIF($I$5:I101,"x"))-(COUNTIF($I$5:I100,"x")))=0,"",COUNTIF($I$5:I101,"x"))</f>
        <v/>
      </c>
      <c r="J206" s="3634" t="str">
        <f>IF(((COUNTIF($J$5:J101,"x"))-(COUNTIF($J$5:J100,"x")))=0,"",COUNTIF($J$5:J101,"x"))</f>
        <v/>
      </c>
      <c r="K206" s="3634" t="str">
        <f>IF(((COUNTIF($K$5:K101,"x"))-(COUNTIF($K$5:K100,"x")))=0,"",COUNTIF($K$5:K101,"x"))</f>
        <v/>
      </c>
      <c r="L206" s="3634" t="str">
        <f>IF(((COUNTIF($L$5:L101,"x"))-(COUNTIF($L$5:L100,"x")))=0,"",COUNTIF($L$5:L101,"x"))</f>
        <v/>
      </c>
      <c r="M206" s="3634" t="str">
        <f>IF(((COUNTIF($M$5:M101,"x"))-(COUNTIF($M$5:M100,"x")))=0,"",COUNTIF($M$5:M101,"x"))</f>
        <v/>
      </c>
      <c r="N206" s="3634" t="str">
        <f>IF(((COUNTIF($N$5:N101,"x"))-(COUNTIF($N$5:N100,"x")))=0,"",COUNTIF($N$5:N101,"x"))</f>
        <v/>
      </c>
      <c r="O206" s="3634" t="str">
        <f>IF(((COUNTIF($O$5:O101,"x"))-(COUNTIF($O$5:O100,"x")))=0,"",COUNTIF($O$5:O101,"x"))</f>
        <v/>
      </c>
      <c r="P206" s="3632" t="str">
        <f>IF(((COUNTIF($P$5:P101,"x"))-(COUNTIF($P$5:P100,"x")))=0,"",COUNTIF($P$5:P101,"x"))</f>
        <v/>
      </c>
      <c r="Q206" s="3634" t="str">
        <f>IF(((COUNTIF($Q$5:Q101,"x"))-(COUNTIF($Q$5:Q100,"x")))=0,"",COUNTIF($Q$5:Q101,"x"))</f>
        <v/>
      </c>
      <c r="R206" s="3634" t="str">
        <f>IF(((COUNTIF($R$5:R101,"x"))-(COUNTIF($R$5:R100,"x")))=0,"",COUNTIF($R$5:R101,"x"))</f>
        <v/>
      </c>
      <c r="S206" s="3634" t="str">
        <f>IF(((COUNTIF($S$5:S101,"x"))-(COUNTIF($S$5:S100,"x")))=0,"",COUNTIF($S$5:S101,"x"))</f>
        <v/>
      </c>
      <c r="T206" s="3634" t="str">
        <f>IF(((COUNTIF($T$5:T101,"x"))-(COUNTIF($T$5:T100,"x")))=0,"",COUNTIF($T$5:T101,"x"))</f>
        <v/>
      </c>
      <c r="U206" s="3634" t="str">
        <f>IF(((COUNTIF($U$5:U101,"x"))-(COUNTIF($U$5:U100,"x")))=0,"",COUNTIF($U$5:U101,"x"))</f>
        <v/>
      </c>
      <c r="V206" s="3634" t="str">
        <f>IF(((COUNTIF($V$5:V101,"x"))-(COUNTIF($V$5:V100,"x")))=0,"",COUNTIF($V$5:V101,"x"))</f>
        <v/>
      </c>
      <c r="W206" s="3634" t="str">
        <f>IF(((COUNTIF($W$5:W101,"x"))-(COUNTIF($W$5:W100,"x")))=0,"",COUNTIF($W$5:W101,"x"))</f>
        <v/>
      </c>
      <c r="X206" s="3634" t="str">
        <f>IF(((COUNTIF($X$5:X101,"x"))-(COUNTIF($X$5:X100,"x")))=0,"",COUNTIF($X$5:X101,"x"))</f>
        <v/>
      </c>
      <c r="Y206" s="3634" t="str">
        <f>IF(((COUNTIF($Y$5:Y101,"x"))-(COUNTIF($Y$5:Y100,"x")))=0,"",COUNTIF($Y$5:Y101,"x"))</f>
        <v/>
      </c>
      <c r="Z206" s="3634" t="str">
        <f>IF(((COUNTIF($Z$5:Z101,"x"))-(COUNTIF($Z$5:Z100,"x")))=0,"",COUNTIF($Z$5:Z101,"x"))</f>
        <v/>
      </c>
      <c r="AA206" s="3634" t="str">
        <f>IF(((COUNTIF($AA$5:AA101,"x"))-(COUNTIF($AA$5:AA100,"x")))=0,"",COUNTIF($AA$5:AA101,"x"))</f>
        <v/>
      </c>
      <c r="AB206" s="3634" t="str">
        <f>IF(((COUNTIF($AB$5:AB101,"x"))-(COUNTIF($AB$5:AB100,"x")))=0,"",COUNTIF($AB$5:AB101,"x"))</f>
        <v/>
      </c>
      <c r="AC206" s="3634" t="str">
        <f>IF(((COUNTIF($AC$5:AC101,"x"))-(COUNTIF($AC$5:AC100,"x")))=0,"",COUNTIF($AC$5:AC101,"x"))</f>
        <v/>
      </c>
      <c r="AD206" s="3632">
        <f>IF(((COUNTIF($AD$5:AD101,"x"))-(COUNTIF($AD$5:AD100,"x")))=0,"",COUNTIF($AD$5:AD101,"x"))</f>
        <v>84</v>
      </c>
      <c r="AE206" s="3634" t="str">
        <f>IF(((COUNTIF($AE$5:AE101,"x"))-(COUNTIF($AE$5:AE100,"x")))=0,"",COUNTIF($AE$5:AE101,"x"))</f>
        <v/>
      </c>
      <c r="AF206" s="3637" t="str">
        <f>IF(((COUNTIF($AF$5:AF101,"x"))-(COUNTIF($AF$5:AF100,"x")))=0,"",COUNTIF($AF$5:AF101,"x"))</f>
        <v/>
      </c>
      <c r="AG206" s="1518">
        <f t="shared" si="16"/>
        <v>0</v>
      </c>
    </row>
    <row r="207" spans="2:33" ht="17.399999999999999" hidden="1">
      <c r="B207" s="1525">
        <f t="shared" si="17"/>
        <v>98</v>
      </c>
      <c r="C207" s="2696">
        <f t="shared" si="18"/>
        <v>0</v>
      </c>
      <c r="D207" s="3640"/>
      <c r="E207" s="3641"/>
      <c r="F207" s="3631" t="str">
        <f>IF(((COUNTIF($F$5:$F102,"x"))-(COUNTIF($F$5:$F101,"x")))=0,"",COUNTIF($F$5:$F102,"x"))</f>
        <v/>
      </c>
      <c r="G207" s="3632" t="str">
        <f>IF(((COUNTIF($G$5:$G102,"x"))-(COUNTIF($G$5:$G101,"x")))=0,"",COUNTIF($G$5:$G102,"x"))</f>
        <v/>
      </c>
      <c r="H207" s="3632" t="str">
        <f>IF(((COUNTIF($H$5:$H102,"x"))-(COUNTIF($H$5:$H101,"x")))=0,"",COUNTIF($H$5:$H102,"x"))</f>
        <v/>
      </c>
      <c r="I207" s="3632" t="str">
        <f>IF(((COUNTIF($I$5:I102,"x"))-(COUNTIF($I$5:I101,"x")))=0,"",COUNTIF($I$5:I102,"x"))</f>
        <v/>
      </c>
      <c r="J207" s="3634" t="str">
        <f>IF(((COUNTIF($J$5:J102,"x"))-(COUNTIF($J$5:J101,"x")))=0,"",COUNTIF($J$5:J102,"x"))</f>
        <v/>
      </c>
      <c r="K207" s="3634" t="str">
        <f>IF(((COUNTIF($K$5:K102,"x"))-(COUNTIF($K$5:K101,"x")))=0,"",COUNTIF($K$5:K102,"x"))</f>
        <v/>
      </c>
      <c r="L207" s="3634" t="str">
        <f>IF(((COUNTIF($L$5:L102,"x"))-(COUNTIF($L$5:L101,"x")))=0,"",COUNTIF($L$5:L102,"x"))</f>
        <v/>
      </c>
      <c r="M207" s="3634" t="str">
        <f>IF(((COUNTIF($M$5:M102,"x"))-(COUNTIF($M$5:M101,"x")))=0,"",COUNTIF($M$5:M102,"x"))</f>
        <v/>
      </c>
      <c r="N207" s="3634" t="str">
        <f>IF(((COUNTIF($N$5:N102,"x"))-(COUNTIF($N$5:N101,"x")))=0,"",COUNTIF($N$5:N102,"x"))</f>
        <v/>
      </c>
      <c r="O207" s="3634" t="str">
        <f>IF(((COUNTIF($O$5:O102,"x"))-(COUNTIF($O$5:O101,"x")))=0,"",COUNTIF($O$5:O102,"x"))</f>
        <v/>
      </c>
      <c r="P207" s="3632" t="str">
        <f>IF(((COUNTIF($P$5:P102,"x"))-(COUNTIF($P$5:P101,"x")))=0,"",COUNTIF($P$5:P102,"x"))</f>
        <v/>
      </c>
      <c r="Q207" s="3634" t="str">
        <f>IF(((COUNTIF($Q$5:Q102,"x"))-(COUNTIF($Q$5:Q101,"x")))=0,"",COUNTIF($Q$5:Q102,"x"))</f>
        <v/>
      </c>
      <c r="R207" s="3634" t="str">
        <f>IF(((COUNTIF($R$5:R102,"x"))-(COUNTIF($R$5:R101,"x")))=0,"",COUNTIF($R$5:R102,"x"))</f>
        <v/>
      </c>
      <c r="S207" s="3634" t="str">
        <f>IF(((COUNTIF($S$5:S102,"x"))-(COUNTIF($S$5:S101,"x")))=0,"",COUNTIF($S$5:S102,"x"))</f>
        <v/>
      </c>
      <c r="T207" s="3634" t="str">
        <f>IF(((COUNTIF($T$5:T102,"x"))-(COUNTIF($T$5:T101,"x")))=0,"",COUNTIF($T$5:T102,"x"))</f>
        <v/>
      </c>
      <c r="U207" s="3634" t="str">
        <f>IF(((COUNTIF($U$5:U102,"x"))-(COUNTIF($U$5:U101,"x")))=0,"",COUNTIF($U$5:U102,"x"))</f>
        <v/>
      </c>
      <c r="V207" s="3634" t="str">
        <f>IF(((COUNTIF($V$5:V102,"x"))-(COUNTIF($V$5:V101,"x")))=0,"",COUNTIF($V$5:V102,"x"))</f>
        <v/>
      </c>
      <c r="W207" s="3634" t="str">
        <f>IF(((COUNTIF($W$5:W102,"x"))-(COUNTIF($W$5:W101,"x")))=0,"",COUNTIF($W$5:W102,"x"))</f>
        <v/>
      </c>
      <c r="X207" s="3634" t="str">
        <f>IF(((COUNTIF($X$5:X102,"x"))-(COUNTIF($X$5:X101,"x")))=0,"",COUNTIF($X$5:X102,"x"))</f>
        <v/>
      </c>
      <c r="Y207" s="3634" t="str">
        <f>IF(((COUNTIF($Y$5:Y102,"x"))-(COUNTIF($Y$5:Y101,"x")))=0,"",COUNTIF($Y$5:Y102,"x"))</f>
        <v/>
      </c>
      <c r="Z207" s="3634" t="str">
        <f>IF(((COUNTIF($Z$5:Z102,"x"))-(COUNTIF($Z$5:Z101,"x")))=0,"",COUNTIF($Z$5:Z102,"x"))</f>
        <v/>
      </c>
      <c r="AA207" s="3634" t="str">
        <f>IF(((COUNTIF($AA$5:AA102,"x"))-(COUNTIF($AA$5:AA101,"x")))=0,"",COUNTIF($AA$5:AA102,"x"))</f>
        <v/>
      </c>
      <c r="AB207" s="3634" t="str">
        <f>IF(((COUNTIF($AB$5:AB102,"x"))-(COUNTIF($AB$5:AB101,"x")))=0,"",COUNTIF($AB$5:AB102,"x"))</f>
        <v/>
      </c>
      <c r="AC207" s="3634" t="str">
        <f>IF(((COUNTIF($AC$5:AC102,"x"))-(COUNTIF($AC$5:AC101,"x")))=0,"",COUNTIF($AC$5:AC102,"x"))</f>
        <v/>
      </c>
      <c r="AD207" s="3632">
        <f>IF(((COUNTIF($AD$5:AD102,"x"))-(COUNTIF($AD$5:AD101,"x")))=0,"",COUNTIF($AD$5:AD102,"x"))</f>
        <v>85</v>
      </c>
      <c r="AE207" s="3634" t="str">
        <f>IF(((COUNTIF($AE$5:AE102,"x"))-(COUNTIF($AE$5:AE101,"x")))=0,"",COUNTIF($AE$5:AE102,"x"))</f>
        <v/>
      </c>
      <c r="AF207" s="3637" t="str">
        <f>IF(((COUNTIF($AF$5:AF102,"x"))-(COUNTIF($AF$5:AF101,"x")))=0,"",COUNTIF($AF$5:AF102,"x"))</f>
        <v/>
      </c>
      <c r="AG207" s="1518">
        <f t="shared" si="16"/>
        <v>0</v>
      </c>
    </row>
    <row r="208" spans="2:33" ht="18" hidden="1" thickBot="1">
      <c r="B208" s="1522">
        <f t="shared" si="17"/>
        <v>99</v>
      </c>
      <c r="C208" s="2698">
        <f t="shared" si="18"/>
        <v>0</v>
      </c>
      <c r="D208" s="3642"/>
      <c r="E208" s="3643"/>
      <c r="F208" s="3644" t="str">
        <f>IF(((COUNTIF($F$5:$F103,"x"))-(COUNTIF($F$5:$F102,"x")))=0,"",COUNTIF($F$5:$F103,"x"))</f>
        <v/>
      </c>
      <c r="G208" s="3645" t="str">
        <f>IF(((COUNTIF($G$5:$G103,"x"))-(COUNTIF($G$5:$G102,"x")))=0,"",COUNTIF($G$5:$G103,"x"))</f>
        <v/>
      </c>
      <c r="H208" s="3645" t="str">
        <f>IF(((COUNTIF($H$5:$H103,"x"))-(COUNTIF($H$5:$H102,"x")))=0,"",COUNTIF($H$5:$H103,"x"))</f>
        <v/>
      </c>
      <c r="I208" s="3645" t="str">
        <f>IF(((COUNTIF($I$5:I103,"x"))-(COUNTIF($I$5:I102,"x")))=0,"",COUNTIF($I$5:I103,"x"))</f>
        <v/>
      </c>
      <c r="J208" s="3646" t="str">
        <f>IF(((COUNTIF($J$5:J103,"x"))-(COUNTIF($J$5:J102,"x")))=0,"",COUNTIF($J$5:J103,"x"))</f>
        <v/>
      </c>
      <c r="K208" s="3646" t="str">
        <f>IF(((COUNTIF($K$5:K103,"x"))-(COUNTIF($K$5:K102,"x")))=0,"",COUNTIF($K$5:K103,"x"))</f>
        <v/>
      </c>
      <c r="L208" s="3646" t="str">
        <f>IF(((COUNTIF($L$5:L103,"x"))-(COUNTIF($L$5:L102,"x")))=0,"",COUNTIF($L$5:L103,"x"))</f>
        <v/>
      </c>
      <c r="M208" s="3646" t="str">
        <f>IF(((COUNTIF($M$5:M103,"x"))-(COUNTIF($M$5:M102,"x")))=0,"",COUNTIF($M$5:M103,"x"))</f>
        <v/>
      </c>
      <c r="N208" s="3646" t="str">
        <f>IF(((COUNTIF($N$5:N103,"x"))-(COUNTIF($N$5:N102,"x")))=0,"",COUNTIF($N$5:N103,"x"))</f>
        <v/>
      </c>
      <c r="O208" s="3646" t="str">
        <f>IF(((COUNTIF($O$5:O103,"x"))-(COUNTIF($O$5:O102,"x")))=0,"",COUNTIF($O$5:O103,"x"))</f>
        <v/>
      </c>
      <c r="P208" s="3645" t="str">
        <f>IF(((COUNTIF($P$5:P103,"x"))-(COUNTIF($P$5:P102,"x")))=0,"",COUNTIF($P$5:P103,"x"))</f>
        <v/>
      </c>
      <c r="Q208" s="3646" t="str">
        <f>IF(((COUNTIF($Q$5:Q103,"x"))-(COUNTIF($Q$5:Q102,"x")))=0,"",COUNTIF($Q$5:Q103,"x"))</f>
        <v/>
      </c>
      <c r="R208" s="3646" t="str">
        <f>IF(((COUNTIF($R$5:R103,"x"))-(COUNTIF($R$5:R102,"x")))=0,"",COUNTIF($R$5:R103,"x"))</f>
        <v/>
      </c>
      <c r="S208" s="3646" t="str">
        <f>IF(((COUNTIF($S$5:S103,"x"))-(COUNTIF($S$5:S102,"x")))=0,"",COUNTIF($S$5:S103,"x"))</f>
        <v/>
      </c>
      <c r="T208" s="3646" t="str">
        <f>IF(((COUNTIF($T$5:T103,"x"))-(COUNTIF($T$5:T102,"x")))=0,"",COUNTIF($T$5:T103,"x"))</f>
        <v/>
      </c>
      <c r="U208" s="3646" t="str">
        <f>IF(((COUNTIF($U$5:U103,"x"))-(COUNTIF($U$5:U102,"x")))=0,"",COUNTIF($U$5:U103,"x"))</f>
        <v/>
      </c>
      <c r="V208" s="3646" t="str">
        <f>IF(((COUNTIF($V$5:V103,"x"))-(COUNTIF($V$5:V102,"x")))=0,"",COUNTIF($V$5:V103,"x"))</f>
        <v/>
      </c>
      <c r="W208" s="3646" t="str">
        <f>IF(((COUNTIF($W$5:W103,"x"))-(COUNTIF($W$5:W102,"x")))=0,"",COUNTIF($W$5:W103,"x"))</f>
        <v/>
      </c>
      <c r="X208" s="3646" t="str">
        <f>IF(((COUNTIF($X$5:X103,"x"))-(COUNTIF($X$5:X102,"x")))=0,"",COUNTIF($X$5:X103,"x"))</f>
        <v/>
      </c>
      <c r="Y208" s="3646" t="str">
        <f>IF(((COUNTIF($Y$5:Y103,"x"))-(COUNTIF($Y$5:Y102,"x")))=0,"",COUNTIF($Y$5:Y103,"x"))</f>
        <v/>
      </c>
      <c r="Z208" s="3646" t="str">
        <f>IF(((COUNTIF($Z$5:Z103,"x"))-(COUNTIF($Z$5:Z102,"x")))=0,"",COUNTIF($Z$5:Z103,"x"))</f>
        <v/>
      </c>
      <c r="AA208" s="3646" t="str">
        <f>IF(((COUNTIF($AA$5:AA103,"x"))-(COUNTIF($AA$5:AA102,"x")))=0,"",COUNTIF($AA$5:AA103,"x"))</f>
        <v/>
      </c>
      <c r="AB208" s="3646" t="str">
        <f>IF(((COUNTIF($AB$5:AB103,"x"))-(COUNTIF($AB$5:AB102,"x")))=0,"",COUNTIF($AB$5:AB103,"x"))</f>
        <v/>
      </c>
      <c r="AC208" s="3646" t="str">
        <f>IF(((COUNTIF($AC$5:AC103,"x"))-(COUNTIF($AC$5:AC102,"x")))=0,"",COUNTIF($AC$5:AC103,"x"))</f>
        <v/>
      </c>
      <c r="AD208" s="3645">
        <f>IF(((COUNTIF($AD$5:AD103,"x"))-(COUNTIF($AD$5:AD102,"x")))=0,"",COUNTIF($AD$5:AD103,"x"))</f>
        <v>86</v>
      </c>
      <c r="AE208" s="3646" t="str">
        <f>IF(((COUNTIF($AE$5:AE103,"x"))-(COUNTIF($AE$5:AE102,"x")))=0,"",COUNTIF($AE$5:AE103,"x"))</f>
        <v/>
      </c>
      <c r="AF208" s="3647" t="str">
        <f>IF(((COUNTIF($AF$5:AF103,"x"))-(COUNTIF($AF$5:AF102,"x")))=0,"",COUNTIF($AF$5:AF103,"x"))</f>
        <v/>
      </c>
      <c r="AG208" s="1518">
        <f t="shared" si="16"/>
        <v>0</v>
      </c>
    </row>
    <row r="209" spans="2:32" hidden="1"/>
    <row r="210" spans="2:32" hidden="1"/>
    <row r="211" spans="2:32" hidden="1"/>
    <row r="212" spans="2:32" ht="15.6" hidden="1" thickBot="1"/>
    <row r="213" spans="2:32" ht="16.2" hidden="1" thickBot="1">
      <c r="F213" s="2653" t="s">
        <v>472</v>
      </c>
      <c r="G213" s="2654" t="s">
        <v>83</v>
      </c>
      <c r="H213" s="2654" t="s">
        <v>471</v>
      </c>
      <c r="I213" s="2654" t="s">
        <v>470</v>
      </c>
      <c r="J213" s="2654" t="s">
        <v>469</v>
      </c>
      <c r="K213" s="2654" t="s">
        <v>468</v>
      </c>
      <c r="L213" s="2654" t="s">
        <v>467</v>
      </c>
      <c r="M213" s="2654" t="s">
        <v>466</v>
      </c>
      <c r="N213" s="2654" t="s">
        <v>74</v>
      </c>
      <c r="O213" s="2654" t="s">
        <v>72</v>
      </c>
      <c r="P213" s="2654" t="s">
        <v>465</v>
      </c>
      <c r="Q213" s="2654" t="s">
        <v>464</v>
      </c>
      <c r="R213" s="2654" t="s">
        <v>463</v>
      </c>
      <c r="S213" s="2654" t="s">
        <v>462</v>
      </c>
      <c r="T213" s="2654" t="s">
        <v>461</v>
      </c>
      <c r="U213" s="2654" t="s">
        <v>460</v>
      </c>
      <c r="V213" s="2654" t="s">
        <v>57</v>
      </c>
      <c r="W213" s="2654" t="s">
        <v>56</v>
      </c>
      <c r="X213" s="2654" t="s">
        <v>459</v>
      </c>
      <c r="Y213" s="2654" t="s">
        <v>458</v>
      </c>
      <c r="Z213" s="2654" t="s">
        <v>49</v>
      </c>
      <c r="AA213" s="2654" t="s">
        <v>457</v>
      </c>
      <c r="AB213" s="2654" t="s">
        <v>456</v>
      </c>
      <c r="AC213" s="2654" t="s">
        <v>455</v>
      </c>
      <c r="AD213" s="2654" t="s">
        <v>454</v>
      </c>
      <c r="AE213" s="2654" t="s">
        <v>453</v>
      </c>
      <c r="AF213" s="2655" t="s">
        <v>452</v>
      </c>
    </row>
    <row r="214" spans="2:32" hidden="1">
      <c r="B214" s="1525">
        <v>0</v>
      </c>
      <c r="F214" s="1518" t="str">
        <f>IFERROR(VLOOKUP($B214,F$109:$AG$208,F$107,FALSE),"")</f>
        <v/>
      </c>
      <c r="G214" s="1518" t="str">
        <f>IFERROR(VLOOKUP($B214,G$109:$AG$208,G$107,FALSE),"")</f>
        <v/>
      </c>
      <c r="H214" s="1518" t="str">
        <f>IFERROR(VLOOKUP($B214,H$109:$AG$208,H$107,FALSE),"")</f>
        <v/>
      </c>
      <c r="I214" s="1518" t="str">
        <f>IFERROR(VLOOKUP($B214,I$109:$AG$208,I$107,FALSE),"")</f>
        <v/>
      </c>
      <c r="J214" s="1518" t="str">
        <f>IFERROR(VLOOKUP($B214,J$109:$AG$208,J$107,FALSE),"")</f>
        <v/>
      </c>
      <c r="K214" s="1518" t="str">
        <f>IFERROR(VLOOKUP($B214,K$109:$AG$208,K$107,FALSE),"")</f>
        <v/>
      </c>
      <c r="L214" s="1518" t="str">
        <f>IFERROR(VLOOKUP($B214,L$109:$AG$208,L$107,FALSE),"")</f>
        <v/>
      </c>
      <c r="M214" s="1518" t="str">
        <f>IFERROR(VLOOKUP($B214,M$109:$AG$208,M$107,FALSE),"")</f>
        <v/>
      </c>
      <c r="N214" s="1518" t="str">
        <f>IFERROR(VLOOKUP($B214,N$109:$AG$208,N$107,FALSE),"")</f>
        <v/>
      </c>
      <c r="O214" s="1518" t="str">
        <f>IFERROR(VLOOKUP($B214,O$109:$AG$208,O$107,FALSE),"")</f>
        <v/>
      </c>
      <c r="P214" s="1518" t="str">
        <f>IFERROR(VLOOKUP($B214,P$109:$AG$208,P$107,FALSE),"")</f>
        <v/>
      </c>
      <c r="Q214" s="1518" t="str">
        <f>IFERROR(VLOOKUP($B214,Q$109:$AG$208,Q$107,FALSE),"")</f>
        <v/>
      </c>
      <c r="R214" s="1518" t="str">
        <f>IFERROR(VLOOKUP($B214,R$109:$AG$208,R$107,FALSE),"")</f>
        <v/>
      </c>
      <c r="S214" s="1518" t="str">
        <f>IFERROR(VLOOKUP($B214,S$109:$AG$208,S$107,FALSE),"")</f>
        <v/>
      </c>
      <c r="T214" s="1518" t="str">
        <f>IFERROR(VLOOKUP($B214,T$109:$AG$208,T$107,FALSE),"")</f>
        <v/>
      </c>
      <c r="U214" s="1518" t="str">
        <f>IFERROR(VLOOKUP($B214,U$109:$AG$208,U$107,FALSE),"")</f>
        <v/>
      </c>
      <c r="V214" s="1518" t="str">
        <f>IFERROR(VLOOKUP($B214,V$109:$AG$208,V$107,FALSE),"")</f>
        <v/>
      </c>
      <c r="W214" s="1518" t="str">
        <f>IFERROR(VLOOKUP($B214,W$109:$AG$208,W$107,FALSE),"")</f>
        <v/>
      </c>
      <c r="X214" s="1518" t="str">
        <f>IFERROR(VLOOKUP($B214,X$109:$AG$208,X$107,FALSE),"")</f>
        <v/>
      </c>
      <c r="Y214" s="1518" t="str">
        <f>IFERROR(VLOOKUP($B214,Y$109:$AG$208,Y$107,FALSE),"")</f>
        <v/>
      </c>
      <c r="Z214" s="1518" t="str">
        <f>IFERROR(VLOOKUP($B214,Z$109:$AG$208,Z$107,FALSE),"")</f>
        <v/>
      </c>
      <c r="AA214" s="1518" t="str">
        <f>IFERROR(VLOOKUP($B214,AA$109:$AG$208,AA$107,FALSE),"")</f>
        <v/>
      </c>
      <c r="AB214" s="1518" t="str">
        <f>IFERROR(VLOOKUP($B214,AB$109:$AG$208,AB$107,FALSE),"")</f>
        <v/>
      </c>
      <c r="AC214" s="1518" t="str">
        <f>IFERROR(VLOOKUP($B214,AC$109:$AG$208,AC$107,FALSE),"")</f>
        <v/>
      </c>
      <c r="AD214" s="1518" t="str">
        <f>IFERROR(VLOOKUP($B214,AD$109:$AG$208,AD$107,FALSE),"")</f>
        <v/>
      </c>
      <c r="AE214" s="1518" t="str">
        <f>IFERROR(VLOOKUP($B214,AE$109:$AG$208,AE$107,FALSE),"")</f>
        <v/>
      </c>
      <c r="AF214" s="1518" t="str">
        <f>IFERROR(VLOOKUP($B214,AF$109:$AG$208,AF$107,FALSE),"")</f>
        <v/>
      </c>
    </row>
    <row r="215" spans="2:32" hidden="1">
      <c r="B215" s="1525">
        <f t="shared" ref="B215:B278" si="19">B214+1</f>
        <v>1</v>
      </c>
      <c r="F215" s="1518" t="str">
        <f>IFERROR(VLOOKUP($B215,F$109:$AG$208,F$107,FALSE),"")</f>
        <v>Ariane C</v>
      </c>
      <c r="G215" s="1518" t="str">
        <f>IFERROR(VLOOKUP($B215,G$109:$AG$208,G$107,FALSE),"")</f>
        <v>Ariane C</v>
      </c>
      <c r="H215" s="1518" t="str">
        <f>IFERROR(VLOOKUP($B215,H$109:$AG$208,H$107,FALSE),"")</f>
        <v>Ariane C</v>
      </c>
      <c r="I215" s="1518" t="str">
        <f>IFERROR(VLOOKUP($B215,I$109:$AG$208,I$107,FALSE),"")</f>
        <v>Ariane C</v>
      </c>
      <c r="J215" s="1518" t="str">
        <f>IFERROR(VLOOKUP($B215,J$109:$AG$208,J$107,FALSE),"")</f>
        <v>Ariane C</v>
      </c>
      <c r="K215" s="1518" t="str">
        <f>IFERROR(VLOOKUP($B215,K$109:$AG$208,K$107,FALSE),"")</f>
        <v>Ariane C</v>
      </c>
      <c r="L215" s="1518" t="str">
        <f>IFERROR(VLOOKUP($B215,L$109:$AG$208,L$107,FALSE),"")</f>
        <v>Ariane C</v>
      </c>
      <c r="M215" s="1518" t="str">
        <f>IFERROR(VLOOKUP($B215,M$109:$AG$208,M$107,FALSE),"")</f>
        <v>Ariane C</v>
      </c>
      <c r="N215" s="1518" t="str">
        <f>IFERROR(VLOOKUP($B215,N$109:$AG$208,N$107,FALSE),"")</f>
        <v>Ariane C</v>
      </c>
      <c r="O215" s="1518" t="str">
        <f>IFERROR(VLOOKUP($B215,O$109:$AG$208,O$107,FALSE),"")</f>
        <v>Ascra Xpro</v>
      </c>
      <c r="P215" s="1518" t="str">
        <f>IFERROR(VLOOKUP($B215,P$109:$AG$208,P$107,FALSE),"")</f>
        <v>Amistar Gold</v>
      </c>
      <c r="Q215" s="1518" t="str">
        <f>IFERROR(VLOOKUP($B215,Q$109:$AG$208,Q$107,FALSE),"")</f>
        <v>Mais Banvel WG</v>
      </c>
      <c r="R215" s="1518" t="str">
        <f>IFERROR(VLOOKUP($B215,R$109:$AG$208,R$107,FALSE),"")</f>
        <v>Callisto</v>
      </c>
      <c r="S215" s="1518" t="str">
        <f>IFERROR(VLOOKUP($B215,S$109:$AG$208,S$107,FALSE),"")</f>
        <v>Agil-S</v>
      </c>
      <c r="T215" s="1518" t="str">
        <f>IFERROR(VLOOKUP($B215,T$109:$AG$208,T$107,FALSE),"")</f>
        <v>Butisan Gold</v>
      </c>
      <c r="U215" s="1518" t="str">
        <f>IFERROR(VLOOKUP($B215,U$109:$AG$208,U$107,FALSE),"")</f>
        <v>Agil-S</v>
      </c>
      <c r="V215" s="1518" t="str">
        <f>IFERROR(VLOOKUP($B215,V$109:$AG$208,V$107,FALSE),"")</f>
        <v>Centium 36 CS</v>
      </c>
      <c r="W215" s="1518" t="str">
        <f>IFERROR(VLOOKUP($B215,W$109:$AG$208,W$107,FALSE),"")</f>
        <v>Callisto</v>
      </c>
      <c r="X215" s="1518" t="str">
        <f>IFERROR(VLOOKUP($B215,X$109:$AG$208,X$107,FALSE),"")</f>
        <v>Agil-S</v>
      </c>
      <c r="Y215" s="1518" t="str">
        <f>IFERROR(VLOOKUP($B215,Y$109:$AG$208,Y$107,FALSE),"")</f>
        <v>Agil-S</v>
      </c>
      <c r="Z215" s="1518" t="str">
        <f>IFERROR(VLOOKUP($B215,Z$109:$AG$208,Z$107,FALSE),"")</f>
        <v>Boxer</v>
      </c>
      <c r="AA215" s="1518" t="str">
        <f>IFERROR(VLOOKUP($B215,AA$109:$AG$208,AA$107,FALSE),"")</f>
        <v>Agil-S</v>
      </c>
      <c r="AB215" s="1518" t="str">
        <f>IFERROR(VLOOKUP($B215,AB$109:$AG$208,AB$107,FALSE),"")</f>
        <v>Agil-S</v>
      </c>
      <c r="AC215" s="1518" t="str">
        <f>IFERROR(VLOOKUP($B215,AC$109:$AG$208,AC$107,FALSE),"")</f>
        <v/>
      </c>
      <c r="AD215" s="1518" t="str">
        <f>IFERROR(VLOOKUP($B215,AD$109:$AG$208,AD$107,FALSE),"")</f>
        <v>Agil-S</v>
      </c>
      <c r="AE215" s="1518" t="str">
        <f>IFERROR(VLOOKUP($B215,AE$109:$AG$208,AE$107,FALSE),"")</f>
        <v>Pointer Plus</v>
      </c>
      <c r="AF215" s="1518" t="str">
        <f>IFERROR(VLOOKUP($B215,AF$109:$AG$208,AF$107,FALSE),"")</f>
        <v/>
      </c>
    </row>
    <row r="216" spans="2:32" hidden="1">
      <c r="B216" s="1525">
        <f t="shared" si="19"/>
        <v>2</v>
      </c>
      <c r="F216" s="1518" t="str">
        <f>IFERROR(VLOOKUP($B216,F$109:$AG$208,F$107,FALSE),"")</f>
        <v>Artus</v>
      </c>
      <c r="G216" s="1518" t="str">
        <f>IFERROR(VLOOKUP($B216,G$109:$AG$208,G$107,FALSE),"")</f>
        <v>Ascra Xpro</v>
      </c>
      <c r="H216" s="1518" t="str">
        <f>IFERROR(VLOOKUP($B216,H$109:$AG$208,H$107,FALSE),"")</f>
        <v>Artus</v>
      </c>
      <c r="I216" s="1518" t="str">
        <f>IFERROR(VLOOKUP($B216,I$109:$AG$208,I$107,FALSE),"")</f>
        <v>Artus</v>
      </c>
      <c r="J216" s="1518" t="str">
        <f>IFERROR(VLOOKUP($B216,J$109:$AG$208,J$107,FALSE),"")</f>
        <v>Artus</v>
      </c>
      <c r="K216" s="1518" t="str">
        <f>IFERROR(VLOOKUP($B216,K$109:$AG$208,K$107,FALSE),"")</f>
        <v>Artus</v>
      </c>
      <c r="L216" s="1518" t="str">
        <f>IFERROR(VLOOKUP($B216,L$109:$AG$208,L$107,FALSE),"")</f>
        <v>Artus</v>
      </c>
      <c r="M216" s="1518" t="str">
        <f>IFERROR(VLOOKUP($B216,M$109:$AG$208,M$107,FALSE),"")</f>
        <v>Artus</v>
      </c>
      <c r="N216" s="1518" t="str">
        <f>IFERROR(VLOOKUP($B216,N$109:$AG$208,N$107,FALSE),"")</f>
        <v>Artus</v>
      </c>
      <c r="O216" s="1518" t="str">
        <f>IFERROR(VLOOKUP($B216,O$109:$AG$208,O$107,FALSE),"")</f>
        <v>Atlantis Flex + Biopower</v>
      </c>
      <c r="P216" s="1518" t="str">
        <f>IFERROR(VLOOKUP($B216,P$109:$AG$208,P$107,FALSE),"")</f>
        <v>Broadway</v>
      </c>
      <c r="Q216" s="1518" t="str">
        <f>IFERROR(VLOOKUP($B216,Q$109:$AG$208,Q$107,FALSE),"")</f>
        <v>Stomp Aqua</v>
      </c>
      <c r="R216" s="1518" t="str">
        <f>IFERROR(VLOOKUP($B216,R$109:$AG$208,R$107,FALSE),"")</f>
        <v>Coragen</v>
      </c>
      <c r="S216" s="1518" t="str">
        <f>IFERROR(VLOOKUP($B216,S$109:$AG$208,S$107,FALSE),"")</f>
        <v>Amistar Gold</v>
      </c>
      <c r="T216" s="1518" t="str">
        <f>IFERROR(VLOOKUP($B216,T$109:$AG$208,T$107,FALSE),"")</f>
        <v>Carax</v>
      </c>
      <c r="U216" s="1518" t="str">
        <f>IFERROR(VLOOKUP($B216,U$109:$AG$208,U$107,FALSE),"")</f>
        <v>Bandur</v>
      </c>
      <c r="V216" s="1518" t="str">
        <f>IFERROR(VLOOKUP($B216,V$109:$AG$208,V$107,FALSE),"")</f>
        <v>Focus Aktiv Pack, Focus Ultra</v>
      </c>
      <c r="W216" s="1518" t="str">
        <f>IFERROR(VLOOKUP($B216,W$109:$AG$208,W$107,FALSE),"")</f>
        <v>Focus Aktiv Pack, Focus Ultra</v>
      </c>
      <c r="X216" s="1518" t="str">
        <f>IFERROR(VLOOKUP($B216,X$109:$AG$208,X$107,FALSE),"")</f>
        <v>Bandur</v>
      </c>
      <c r="Y216" s="1518" t="str">
        <f>IFERROR(VLOOKUP($B216,Y$109:$AG$208,Y$107,FALSE),"")</f>
        <v>Bandur</v>
      </c>
      <c r="Z216" s="1518" t="str">
        <f>IFERROR(VLOOKUP($B216,Z$109:$AG$208,Z$107,FALSE),"")</f>
        <v>Fusilade MAX</v>
      </c>
      <c r="AA216" s="1518" t="str">
        <f>IFERROR(VLOOKUP($B216,AA$109:$AG$208,AA$107,FALSE),"")</f>
        <v>Betanal Tandem + Mero</v>
      </c>
      <c r="AB216" s="1518" t="str">
        <f>IFERROR(VLOOKUP($B216,AB$109:$AG$208,AB$107,FALSE),"")</f>
        <v>Bandur</v>
      </c>
      <c r="AC216" s="1518" t="str">
        <f>IFERROR(VLOOKUP($B216,AC$109:$AG$208,AC$107,FALSE),"")</f>
        <v/>
      </c>
      <c r="AD216" s="1518" t="str">
        <f>IFERROR(VLOOKUP($B216,AD$109:$AG$208,AD$107,FALSE),"")</f>
        <v>Ariane C</v>
      </c>
      <c r="AE216" s="1518" t="str">
        <f>IFERROR(VLOOKUP($B216,AE$109:$AG$208,AE$107,FALSE),"")</f>
        <v/>
      </c>
      <c r="AF216" s="1518" t="str">
        <f>IFERROR(VLOOKUP($B216,AF$109:$AG$208,AF$107,FALSE),"")</f>
        <v/>
      </c>
    </row>
    <row r="217" spans="2:32" hidden="1">
      <c r="B217" s="1525">
        <f t="shared" si="19"/>
        <v>3</v>
      </c>
      <c r="F217" s="1518" t="str">
        <f>IFERROR(VLOOKUP($B217,F$109:$AG$208,F$107,FALSE),"")</f>
        <v>Ascra Xpro</v>
      </c>
      <c r="G217" s="1518" t="str">
        <f>IFERROR(VLOOKUP($B217,G$109:$AG$208,G$107,FALSE),"")</f>
        <v>Atlantis Flex + Biopower</v>
      </c>
      <c r="H217" s="1518" t="str">
        <f>IFERROR(VLOOKUP($B217,H$109:$AG$208,H$107,FALSE),"")</f>
        <v>Ascra Xpro</v>
      </c>
      <c r="I217" s="1518" t="str">
        <f>IFERROR(VLOOKUP($B217,I$109:$AG$208,I$107,FALSE),"")</f>
        <v>Ascra Xpro</v>
      </c>
      <c r="J217" s="1518" t="str">
        <f>IFERROR(VLOOKUP($B217,J$109:$AG$208,J$107,FALSE),"")</f>
        <v>Ascra Xpro</v>
      </c>
      <c r="K217" s="1518" t="str">
        <f>IFERROR(VLOOKUP($B217,K$109:$AG$208,K$107,FALSE),"")</f>
        <v>Ascra Xpro</v>
      </c>
      <c r="L217" s="1518" t="str">
        <f>IFERROR(VLOOKUP($B217,L$109:$AG$208,L$107,FALSE),"")</f>
        <v>Ascra Xpro</v>
      </c>
      <c r="M217" s="1518" t="str">
        <f>IFERROR(VLOOKUP($B217,M$109:$AG$208,M$107,FALSE),"")</f>
        <v>Ascra Xpro</v>
      </c>
      <c r="N217" s="1518" t="str">
        <f>IFERROR(VLOOKUP($B217,N$109:$AG$208,N$107,FALSE),"")</f>
        <v>Ascra Xpro</v>
      </c>
      <c r="O217" s="1518" t="str">
        <f>IFERROR(VLOOKUP($B217,O$109:$AG$208,O$107,FALSE),"")</f>
        <v>Aviator Xpro</v>
      </c>
      <c r="P217" s="1518" t="str">
        <f>IFERROR(VLOOKUP($B217,P$109:$AG$208,P$107,FALSE),"")</f>
        <v>Goltix Titan</v>
      </c>
      <c r="Q217" s="1518" t="str">
        <f>IFERROR(VLOOKUP($B217,Q$109:$AG$208,Q$107,FALSE),"")</f>
        <v>Spectrum</v>
      </c>
      <c r="R217" s="1518" t="str">
        <f>IFERROR(VLOOKUP($B217,R$109:$AG$208,R$107,FALSE),"")</f>
        <v>Effigo</v>
      </c>
      <c r="S217" s="1518" t="str">
        <f>IFERROR(VLOOKUP($B217,S$109:$AG$208,S$107,FALSE),"")</f>
        <v>Butisan Gold</v>
      </c>
      <c r="T217" s="1518" t="str">
        <f>IFERROR(VLOOKUP($B217,T$109:$AG$208,T$107,FALSE),"")</f>
        <v>Focus Aktiv Pack, Focus Ultra</v>
      </c>
      <c r="U217" s="1518" t="str">
        <f>IFERROR(VLOOKUP($B217,U$109:$AG$208,U$107,FALSE),"")</f>
        <v>Boxer</v>
      </c>
      <c r="V217" s="1518" t="str">
        <f>IFERROR(VLOOKUP($B217,V$109:$AG$208,V$107,FALSE),"")</f>
        <v>Fusilade MAX</v>
      </c>
      <c r="W217" s="1518" t="str">
        <f>IFERROR(VLOOKUP($B217,W$109:$AG$208,W$107,FALSE),"")</f>
        <v>Fusilade MAX</v>
      </c>
      <c r="X217" s="1518" t="str">
        <f>IFERROR(VLOOKUP($B217,X$109:$AG$208,X$107,FALSE),"")</f>
        <v>Boxer</v>
      </c>
      <c r="Y217" s="1518" t="str">
        <f>IFERROR(VLOOKUP($B217,Y$109:$AG$208,Y$107,FALSE),"")</f>
        <v>Boxer</v>
      </c>
      <c r="Z217" s="1518" t="str">
        <f>IFERROR(VLOOKUP($B217,Z$109:$AG$208,Z$107,FALSE),"")</f>
        <v>Spectrum Plus</v>
      </c>
      <c r="AA217" s="1518" t="str">
        <f>IFERROR(VLOOKUP($B217,AA$109:$AG$208,AA$107,FALSE),"")</f>
        <v>Amistar Gold</v>
      </c>
      <c r="AB217" s="1518" t="str">
        <f>IFERROR(VLOOKUP($B217,AB$109:$AG$208,AB$107,FALSE),"")</f>
        <v>Boxer</v>
      </c>
      <c r="AC217" s="1518" t="str">
        <f>IFERROR(VLOOKUP($B217,AC$109:$AG$208,AC$107,FALSE),"")</f>
        <v/>
      </c>
      <c r="AD217" s="1518" t="str">
        <f>IFERROR(VLOOKUP($B217,AD$109:$AG$208,AD$107,FALSE),"")</f>
        <v>Artus</v>
      </c>
      <c r="AE217" s="1518" t="str">
        <f>IFERROR(VLOOKUP($B217,AE$109:$AG$208,AE$107,FALSE),"")</f>
        <v/>
      </c>
      <c r="AF217" s="1518" t="str">
        <f>IFERROR(VLOOKUP($B217,AF$109:$AG$208,AF$107,FALSE),"")</f>
        <v/>
      </c>
    </row>
    <row r="218" spans="2:32" hidden="1">
      <c r="B218" s="1525">
        <f t="shared" si="19"/>
        <v>4</v>
      </c>
      <c r="F218" s="1518" t="str">
        <f>IFERROR(VLOOKUP($B218,F$109:$AG$208,F$107,FALSE),"")</f>
        <v>Atlantis Flex + Biopower</v>
      </c>
      <c r="G218" s="1518" t="str">
        <f>IFERROR(VLOOKUP($B218,G$109:$AG$208,G$107,FALSE),"")</f>
        <v>Aviator Xpro</v>
      </c>
      <c r="H218" s="1518" t="str">
        <f>IFERROR(VLOOKUP($B218,H$109:$AG$208,H$107,FALSE),"")</f>
        <v>Atlantis Flex + Biopower</v>
      </c>
      <c r="I218" s="1518" t="str">
        <f>IFERROR(VLOOKUP($B218,I$109:$AG$208,I$107,FALSE),"")</f>
        <v>Atlantis Flex + Biopower</v>
      </c>
      <c r="J218" s="1518" t="str">
        <f>IFERROR(VLOOKUP($B218,J$109:$AG$208,J$107,FALSE),"")</f>
        <v>Aviator Xpro</v>
      </c>
      <c r="K218" s="1518" t="str">
        <f>IFERROR(VLOOKUP($B218,K$109:$AG$208,K$107,FALSE),"")</f>
        <v>Aviator Xpro</v>
      </c>
      <c r="L218" s="1518" t="str">
        <f>IFERROR(VLOOKUP($B218,L$109:$AG$208,L$107,FALSE),"")</f>
        <v>Aviator Xpro</v>
      </c>
      <c r="M218" s="1518" t="str">
        <f>IFERROR(VLOOKUP($B218,M$109:$AG$208,M$107,FALSE),"")</f>
        <v>Aviator Xpro</v>
      </c>
      <c r="N218" s="1518" t="str">
        <f>IFERROR(VLOOKUP($B218,N$109:$AG$208,N$107,FALSE),"")</f>
        <v>CCC 720</v>
      </c>
      <c r="O218" s="1518" t="str">
        <f>IFERROR(VLOOKUP($B218,O$109:$AG$208,O$107,FALSE),"")</f>
        <v>Axial 50</v>
      </c>
      <c r="P218" s="1518" t="str">
        <f>IFERROR(VLOOKUP($B218,P$109:$AG$208,P$107,FALSE),"")</f>
        <v>Hoestar Super</v>
      </c>
      <c r="Q218" s="1518" t="str">
        <f>IFERROR(VLOOKUP($B218,Q$109:$AG$208,Q$107,FALSE),"")</f>
        <v/>
      </c>
      <c r="R218" s="1518" t="str">
        <f>IFERROR(VLOOKUP($B218,R$109:$AG$208,R$107,FALSE),"")</f>
        <v>Elumis P Pack, Elumis</v>
      </c>
      <c r="S218" s="1518" t="str">
        <f>IFERROR(VLOOKUP($B218,S$109:$AG$208,S$107,FALSE),"")</f>
        <v>Cantus Ultra</v>
      </c>
      <c r="T218" s="1518" t="str">
        <f>IFERROR(VLOOKUP($B218,T$109:$AG$208,T$107,FALSE),"")</f>
        <v>Folicur</v>
      </c>
      <c r="U218" s="1518" t="str">
        <f>IFERROR(VLOOKUP($B218,U$109:$AG$208,U$107,FALSE),"")</f>
        <v>Cantus Ultra</v>
      </c>
      <c r="V218" s="1518" t="str">
        <f>IFERROR(VLOOKUP($B218,V$109:$AG$208,V$107,FALSE),"")</f>
        <v xml:space="preserve">Harmony SX </v>
      </c>
      <c r="W218" s="1518" t="str">
        <f>IFERROR(VLOOKUP($B218,W$109:$AG$208,W$107,FALSE),"")</f>
        <v/>
      </c>
      <c r="X218" s="1518" t="str">
        <f>IFERROR(VLOOKUP($B218,X$109:$AG$208,X$107,FALSE),"")</f>
        <v>Centium 36 CS</v>
      </c>
      <c r="Y218" s="1518" t="str">
        <f>IFERROR(VLOOKUP($B218,Y$109:$AG$208,Y$107,FALSE),"")</f>
        <v>Centium 36 CS</v>
      </c>
      <c r="Z218" s="1518" t="str">
        <f>IFERROR(VLOOKUP($B218,Z$109:$AG$208,Z$107,FALSE),"")</f>
        <v>Stomp Aqua</v>
      </c>
      <c r="AA218" s="1518" t="str">
        <f>IFERROR(VLOOKUP($B218,AA$109:$AG$208,AA$107,FALSE),"")</f>
        <v>Focus Aktiv Pack, Focus Ultra</v>
      </c>
      <c r="AB218" s="1518" t="str">
        <f>IFERROR(VLOOKUP($B218,AB$109:$AG$208,AB$107,FALSE),"")</f>
        <v>Centium 36 CS</v>
      </c>
      <c r="AC218" s="1518" t="str">
        <f>IFERROR(VLOOKUP($B218,AC$109:$AG$208,AC$107,FALSE),"")</f>
        <v/>
      </c>
      <c r="AD218" s="1518" t="str">
        <f>IFERROR(VLOOKUP($B218,AD$109:$AG$208,AD$107,FALSE),"")</f>
        <v>Ascra Xpro</v>
      </c>
      <c r="AE218" s="1518" t="str">
        <f>IFERROR(VLOOKUP($B218,AE$109:$AG$208,AE$107,FALSE),"")</f>
        <v/>
      </c>
      <c r="AF218" s="1518" t="str">
        <f>IFERROR(VLOOKUP($B218,AF$109:$AG$208,AF$107,FALSE),"")</f>
        <v/>
      </c>
    </row>
    <row r="219" spans="2:32" hidden="1">
      <c r="B219" s="1525">
        <f t="shared" si="19"/>
        <v>5</v>
      </c>
      <c r="F219" s="1518" t="str">
        <f>IFERROR(VLOOKUP($B219,F$109:$AG$208,F$107,FALSE),"")</f>
        <v>Aviator Xpro</v>
      </c>
      <c r="G219" s="1518" t="str">
        <f>IFERROR(VLOOKUP($B219,G$109:$AG$208,G$107,FALSE),"")</f>
        <v>Axial 50</v>
      </c>
      <c r="H219" s="1518" t="str">
        <f>IFERROR(VLOOKUP($B219,H$109:$AG$208,H$107,FALSE),"")</f>
        <v>Aviator Xpro</v>
      </c>
      <c r="I219" s="1518" t="str">
        <f>IFERROR(VLOOKUP($B219,I$109:$AG$208,I$107,FALSE),"")</f>
        <v>Aviator Xpro</v>
      </c>
      <c r="J219" s="1518" t="str">
        <f>IFERROR(VLOOKUP($B219,J$109:$AG$208,J$107,FALSE),"")</f>
        <v>Axial 50</v>
      </c>
      <c r="K219" s="1518" t="str">
        <f>IFERROR(VLOOKUP($B219,K$109:$AG$208,K$107,FALSE),"")</f>
        <v>Axial 50</v>
      </c>
      <c r="L219" s="1518" t="str">
        <f>IFERROR(VLOOKUP($B219,L$109:$AG$208,L$107,FALSE),"")</f>
        <v>Axial 50</v>
      </c>
      <c r="M219" s="1518" t="str">
        <f>IFERROR(VLOOKUP($B219,M$109:$AG$208,M$107,FALSE),"")</f>
        <v>Axial 50</v>
      </c>
      <c r="N219" s="1518" t="str">
        <f>IFERROR(VLOOKUP($B219,N$109:$AG$208,N$107,FALSE),"")</f>
        <v>Karate Zeon</v>
      </c>
      <c r="O219" s="1518" t="str">
        <f>IFERROR(VLOOKUP($B219,O$109:$AG$208,O$107,FALSE),"")</f>
        <v>Broadway</v>
      </c>
      <c r="P219" s="1518" t="str">
        <f>IFERROR(VLOOKUP($B219,P$109:$AG$208,P$107,FALSE),"")</f>
        <v>Input Classic</v>
      </c>
      <c r="Q219" s="1518" t="str">
        <f>IFERROR(VLOOKUP($B219,Q$109:$AG$208,Q$107,FALSE),"")</f>
        <v/>
      </c>
      <c r="R219" s="1518" t="str">
        <f>IFERROR(VLOOKUP($B219,R$109:$AG$208,R$107,FALSE),"")</f>
        <v>Elumis P Pack, Peak</v>
      </c>
      <c r="S219" s="1518" t="str">
        <f>IFERROR(VLOOKUP($B219,S$109:$AG$208,S$107,FALSE),"")</f>
        <v>Carax</v>
      </c>
      <c r="T219" s="1518" t="str">
        <f>IFERROR(VLOOKUP($B219,T$109:$AG$208,T$107,FALSE),"")</f>
        <v>Karate Zeon</v>
      </c>
      <c r="U219" s="1518" t="str">
        <f>IFERROR(VLOOKUP($B219,U$109:$AG$208,U$107,FALSE),"")</f>
        <v>Focus Aktiv Pack, Focus Ultra</v>
      </c>
      <c r="V219" s="1518" t="str">
        <f>IFERROR(VLOOKUP($B219,V$109:$AG$208,V$107,FALSE),"")</f>
        <v>Spectrum Plus</v>
      </c>
      <c r="W219" s="1518" t="str">
        <f>IFERROR(VLOOKUP($B219,W$109:$AG$208,W$107,FALSE),"")</f>
        <v/>
      </c>
      <c r="X219" s="1518" t="str">
        <f>IFERROR(VLOOKUP($B219,X$109:$AG$208,X$107,FALSE),"")</f>
        <v>Focus Aktiv Pack, Focus Ultra</v>
      </c>
      <c r="Y219" s="1518" t="str">
        <f>IFERROR(VLOOKUP($B219,Y$109:$AG$208,Y$107,FALSE),"")</f>
        <v>Focus Aktiv Pack, Focus Ultra</v>
      </c>
      <c r="Z219" s="1518" t="str">
        <f>IFERROR(VLOOKUP($B219,Z$109:$AG$208,Z$107,FALSE),"")</f>
        <v/>
      </c>
      <c r="AA219" s="1518" t="str">
        <f>IFERROR(VLOOKUP($B219,AA$109:$AG$208,AA$107,FALSE),"")</f>
        <v>Fusilade MAX</v>
      </c>
      <c r="AB219" s="1518" t="str">
        <f>IFERROR(VLOOKUP($B219,AB$109:$AG$208,AB$107,FALSE),"")</f>
        <v>Coragen</v>
      </c>
      <c r="AC219" s="1518" t="str">
        <f>IFERROR(VLOOKUP($B219,AC$109:$AG$208,AC$107,FALSE),"")</f>
        <v/>
      </c>
      <c r="AD219" s="1518" t="str">
        <f>IFERROR(VLOOKUP($B219,AD$109:$AG$208,AD$107,FALSE),"")</f>
        <v>Atlantis Flex + Biopower</v>
      </c>
      <c r="AE219" s="1518" t="str">
        <f>IFERROR(VLOOKUP($B219,AE$109:$AG$208,AE$107,FALSE),"")</f>
        <v/>
      </c>
      <c r="AF219" s="1518" t="str">
        <f>IFERROR(VLOOKUP($B219,AF$109:$AG$208,AF$107,FALSE),"")</f>
        <v/>
      </c>
    </row>
    <row r="220" spans="2:32" hidden="1">
      <c r="B220" s="1525">
        <f t="shared" si="19"/>
        <v>6</v>
      </c>
      <c r="F220" s="1518" t="str">
        <f>IFERROR(VLOOKUP($B220,F$109:$AG$208,F$107,FALSE),"")</f>
        <v>Axial 50</v>
      </c>
      <c r="G220" s="1518" t="str">
        <f>IFERROR(VLOOKUP($B220,G$109:$AG$208,G$107,FALSE),"")</f>
        <v>Boxer</v>
      </c>
      <c r="H220" s="1518" t="str">
        <f>IFERROR(VLOOKUP($B220,H$109:$AG$208,H$107,FALSE),"")</f>
        <v>Axial 50</v>
      </c>
      <c r="I220" s="1518" t="str">
        <f>IFERROR(VLOOKUP($B220,I$109:$AG$208,I$107,FALSE),"")</f>
        <v>Axial 50</v>
      </c>
      <c r="J220" s="1518" t="str">
        <f>IFERROR(VLOOKUP($B220,J$109:$AG$208,J$107,FALSE),"")</f>
        <v>Boxer</v>
      </c>
      <c r="K220" s="1518" t="str">
        <f>IFERROR(VLOOKUP($B220,K$109:$AG$208,K$107,FALSE),"")</f>
        <v>CCC 720</v>
      </c>
      <c r="L220" s="1518" t="str">
        <f>IFERROR(VLOOKUP($B220,L$109:$AG$208,L$107,FALSE),"")</f>
        <v>Boxer</v>
      </c>
      <c r="M220" s="1518" t="str">
        <f>IFERROR(VLOOKUP($B220,M$109:$AG$208,M$107,FALSE),"")</f>
        <v>Boxer</v>
      </c>
      <c r="N220" s="1518" t="str">
        <f>IFERROR(VLOOKUP($B220,N$109:$AG$208,N$107,FALSE),"")</f>
        <v>Moddus</v>
      </c>
      <c r="O220" s="1518" t="str">
        <f>IFERROR(VLOOKUP($B220,O$109:$AG$208,O$107,FALSE),"")</f>
        <v>Fandango</v>
      </c>
      <c r="P220" s="1518" t="str">
        <f>IFERROR(VLOOKUP($B220,P$109:$AG$208,P$107,FALSE),"")</f>
        <v>Input Xpro</v>
      </c>
      <c r="Q220" s="1518" t="str">
        <f>IFERROR(VLOOKUP($B220,Q$109:$AG$208,Q$107,FALSE),"")</f>
        <v/>
      </c>
      <c r="R220" s="1518" t="str">
        <f>IFERROR(VLOOKUP($B220,R$109:$AG$208,R$107,FALSE),"")</f>
        <v xml:space="preserve">Harmony SX </v>
      </c>
      <c r="S220" s="1518" t="str">
        <f>IFERROR(VLOOKUP($B220,S$109:$AG$208,S$107,FALSE),"")</f>
        <v>Centium 36 CS</v>
      </c>
      <c r="T220" s="1518" t="str">
        <f>IFERROR(VLOOKUP($B220,T$109:$AG$208,T$107,FALSE),"")</f>
        <v>Ortiva</v>
      </c>
      <c r="U220" s="1518" t="str">
        <f>IFERROR(VLOOKUP($B220,U$109:$AG$208,U$107,FALSE),"")</f>
        <v>Fusilade MAX</v>
      </c>
      <c r="V220" s="1518" t="str">
        <f>IFERROR(VLOOKUP($B220,V$109:$AG$208,V$107,FALSE),"")</f>
        <v>Stomp Aqua</v>
      </c>
      <c r="W220" s="1518" t="str">
        <f>IFERROR(VLOOKUP($B220,W$109:$AG$208,W$107,FALSE),"")</f>
        <v/>
      </c>
      <c r="X220" s="1518" t="str">
        <f>IFERROR(VLOOKUP($B220,X$109:$AG$208,X$107,FALSE),"")</f>
        <v>Fusilade MAX</v>
      </c>
      <c r="Y220" s="1518" t="str">
        <f>IFERROR(VLOOKUP($B220,Y$109:$AG$208,Y$107,FALSE),"")</f>
        <v>Fusilade MAX</v>
      </c>
      <c r="Z220" s="1518" t="str">
        <f>IFERROR(VLOOKUP($B220,Z$109:$AG$208,Z$107,FALSE),"")</f>
        <v/>
      </c>
      <c r="AA220" s="1518" t="str">
        <f>IFERROR(VLOOKUP($B220,AA$109:$AG$208,AA$107,FALSE),"")</f>
        <v>Goltix Gold</v>
      </c>
      <c r="AB220" s="1518" t="str">
        <f>IFERROR(VLOOKUP($B220,AB$109:$AG$208,AB$107,FALSE),"")</f>
        <v>Focus Aktiv Pack, Focus Ultra</v>
      </c>
      <c r="AC220" s="1518" t="str">
        <f>IFERROR(VLOOKUP($B220,AC$109:$AG$208,AC$107,FALSE),"")</f>
        <v/>
      </c>
      <c r="AD220" s="1518" t="str">
        <f>IFERROR(VLOOKUP($B220,AD$109:$AG$208,AD$107,FALSE),"")</f>
        <v>Aviator Xpro</v>
      </c>
      <c r="AE220" s="1518" t="str">
        <f>IFERROR(VLOOKUP($B220,AE$109:$AG$208,AE$107,FALSE),"")</f>
        <v/>
      </c>
      <c r="AF220" s="1518" t="str">
        <f>IFERROR(VLOOKUP($B220,AF$109:$AG$208,AF$107,FALSE),"")</f>
        <v/>
      </c>
    </row>
    <row r="221" spans="2:32" hidden="1">
      <c r="B221" s="1525">
        <f t="shared" si="19"/>
        <v>7</v>
      </c>
      <c r="F221" s="1518" t="str">
        <f>IFERROR(VLOOKUP($B221,F$109:$AG$208,F$107,FALSE),"")</f>
        <v>Boxer</v>
      </c>
      <c r="G221" s="1518" t="str">
        <f>IFERROR(VLOOKUP($B221,G$109:$AG$208,G$107,FALSE),"")</f>
        <v>Broadway</v>
      </c>
      <c r="H221" s="1518" t="str">
        <f>IFERROR(VLOOKUP($B221,H$109:$AG$208,H$107,FALSE),"")</f>
        <v>Boxer</v>
      </c>
      <c r="I221" s="1518" t="str">
        <f>IFERROR(VLOOKUP($B221,I$109:$AG$208,I$107,FALSE),"")</f>
        <v>Broadway</v>
      </c>
      <c r="J221" s="1518" t="str">
        <f>IFERROR(VLOOKUP($B221,J$109:$AG$208,J$107,FALSE),"")</f>
        <v>Cerone 660</v>
      </c>
      <c r="K221" s="1518" t="str">
        <f>IFERROR(VLOOKUP($B221,K$109:$AG$208,K$107,FALSE),"")</f>
        <v>Cerone 660</v>
      </c>
      <c r="L221" s="1518" t="str">
        <f>IFERROR(VLOOKUP($B221,L$109:$AG$208,L$107,FALSE),"")</f>
        <v>Cerone 660</v>
      </c>
      <c r="M221" s="1518" t="str">
        <f>IFERROR(VLOOKUP($B221,M$109:$AG$208,M$107,FALSE),"")</f>
        <v>Cerone 660</v>
      </c>
      <c r="N221" s="1518" t="str">
        <f>IFERROR(VLOOKUP($B221,N$109:$AG$208,N$107,FALSE),"")</f>
        <v>Pointer Plus</v>
      </c>
      <c r="O221" s="1518" t="str">
        <f>IFERROR(VLOOKUP($B221,O$109:$AG$208,O$107,FALSE),"")</f>
        <v>Hoestar Super</v>
      </c>
      <c r="P221" s="1518" t="str">
        <f>IFERROR(VLOOKUP($B221,P$109:$AG$208,P$107,FALSE),"")</f>
        <v>Karate Zeon</v>
      </c>
      <c r="Q221" s="1518" t="str">
        <f>IFERROR(VLOOKUP($B221,Q$109:$AG$208,Q$107,FALSE),"")</f>
        <v/>
      </c>
      <c r="R221" s="1518" t="str">
        <f>IFERROR(VLOOKUP($B221,R$109:$AG$208,R$107,FALSE),"")</f>
        <v>Karate Zeon</v>
      </c>
      <c r="S221" s="1518" t="str">
        <f>IFERROR(VLOOKUP($B221,S$109:$AG$208,S$107,FALSE),"")</f>
        <v>Fuego Top</v>
      </c>
      <c r="T221" s="1518" t="str">
        <f>IFERROR(VLOOKUP($B221,T$109:$AG$208,T$107,FALSE),"")</f>
        <v>Mospilan SG</v>
      </c>
      <c r="U221" s="1518" t="str">
        <f>IFERROR(VLOOKUP($B221,U$109:$AG$208,U$107,FALSE),"")</f>
        <v>Karate Zeon</v>
      </c>
      <c r="V221" s="1518" t="str">
        <f>IFERROR(VLOOKUP($B221,V$109:$AG$208,V$107,FALSE),"")</f>
        <v>Spectrum</v>
      </c>
      <c r="W221" s="1518" t="str">
        <f>IFERROR(VLOOKUP($B221,W$109:$AG$208,W$107,FALSE),"")</f>
        <v/>
      </c>
      <c r="X221" s="1518" t="str">
        <f>IFERROR(VLOOKUP($B221,X$109:$AG$208,X$107,FALSE),"")</f>
        <v>Karate Zeon</v>
      </c>
      <c r="Y221" s="1518" t="str">
        <f>IFERROR(VLOOKUP($B221,Y$109:$AG$208,Y$107,FALSE),"")</f>
        <v>Karate Zeon</v>
      </c>
      <c r="Z221" s="1518" t="str">
        <f>IFERROR(VLOOKUP($B221,Z$109:$AG$208,Z$107,FALSE),"")</f>
        <v/>
      </c>
      <c r="AA221" s="1518" t="str">
        <f>IFERROR(VLOOKUP($B221,AA$109:$AG$208,AA$107,FALSE),"")</f>
        <v>Goltix Titan</v>
      </c>
      <c r="AB221" s="1518" t="str">
        <f>IFERROR(VLOOKUP($B221,AB$109:$AG$208,AB$107,FALSE),"")</f>
        <v>Fusilade MAX</v>
      </c>
      <c r="AC221" s="1518" t="str">
        <f>IFERROR(VLOOKUP($B221,AC$109:$AG$208,AC$107,FALSE),"")</f>
        <v/>
      </c>
      <c r="AD221" s="1518" t="str">
        <f>IFERROR(VLOOKUP($B221,AD$109:$AG$208,AD$107,FALSE),"")</f>
        <v>Axial 50</v>
      </c>
      <c r="AE221" s="1518" t="str">
        <f>IFERROR(VLOOKUP($B221,AE$109:$AG$208,AE$107,FALSE),"")</f>
        <v/>
      </c>
      <c r="AF221" s="1518" t="str">
        <f>IFERROR(VLOOKUP($B221,AF$109:$AG$208,AF$107,FALSE),"")</f>
        <v/>
      </c>
    </row>
    <row r="222" spans="2:32" hidden="1">
      <c r="B222" s="1525">
        <f t="shared" si="19"/>
        <v>8</v>
      </c>
      <c r="F222" s="1518" t="str">
        <f>IFERROR(VLOOKUP($B222,F$109:$AG$208,F$107,FALSE),"")</f>
        <v>Broadway</v>
      </c>
      <c r="G222" s="1518" t="str">
        <f>IFERROR(VLOOKUP($B222,G$109:$AG$208,G$107,FALSE),"")</f>
        <v>Elatus Era</v>
      </c>
      <c r="H222" s="1518" t="str">
        <f>IFERROR(VLOOKUP($B222,H$109:$AG$208,H$107,FALSE),"")</f>
        <v>Broadway</v>
      </c>
      <c r="I222" s="1518" t="str">
        <f>IFERROR(VLOOKUP($B222,I$109:$AG$208,I$107,FALSE),"")</f>
        <v>CCC 720</v>
      </c>
      <c r="J222" s="1518" t="str">
        <f>IFERROR(VLOOKUP($B222,J$109:$AG$208,J$107,FALSE),"")</f>
        <v>Elatus Era</v>
      </c>
      <c r="K222" s="1518" t="str">
        <f>IFERROR(VLOOKUP($B222,K$109:$AG$208,K$107,FALSE),"")</f>
        <v>Elatus Era</v>
      </c>
      <c r="L222" s="1518" t="str">
        <f>IFERROR(VLOOKUP($B222,L$109:$AG$208,L$107,FALSE),"")</f>
        <v>Elatus Era</v>
      </c>
      <c r="M222" s="1518" t="str">
        <f>IFERROR(VLOOKUP($B222,M$109:$AG$208,M$107,FALSE),"")</f>
        <v>Elatus Era</v>
      </c>
      <c r="N222" s="1518" t="str">
        <f>IFERROR(VLOOKUP($B222,N$109:$AG$208,N$107,FALSE),"")</f>
        <v>Primus Perfect</v>
      </c>
      <c r="O222" s="1518" t="str">
        <f>IFERROR(VLOOKUP($B222,O$109:$AG$208,O$107,FALSE),"")</f>
        <v>Input Classic</v>
      </c>
      <c r="P222" s="1518" t="str">
        <f>IFERROR(VLOOKUP($B222,P$109:$AG$208,P$107,FALSE),"")</f>
        <v>Mospilan SG</v>
      </c>
      <c r="Q222" s="1518" t="str">
        <f>IFERROR(VLOOKUP($B222,Q$109:$AG$208,Q$107,FALSE),"")</f>
        <v/>
      </c>
      <c r="R222" s="1518" t="str">
        <f>IFERROR(VLOOKUP($B222,R$109:$AG$208,R$107,FALSE),"")</f>
        <v>Mais Banvel WG</v>
      </c>
      <c r="S222" s="1518" t="str">
        <f>IFERROR(VLOOKUP($B222,S$109:$AG$208,S$107,FALSE),"")</f>
        <v>Effigo</v>
      </c>
      <c r="T222" s="1518" t="str">
        <f>IFERROR(VLOOKUP($B222,T$109:$AG$208,T$107,FALSE),"")</f>
        <v>Proline</v>
      </c>
      <c r="U222" s="1518" t="str">
        <f>IFERROR(VLOOKUP($B222,U$109:$AG$208,U$107,FALSE),"")</f>
        <v>Spectrum Plus</v>
      </c>
      <c r="V222" s="1518" t="str">
        <f>IFERROR(VLOOKUP($B222,V$109:$AG$208,V$107,FALSE),"")</f>
        <v/>
      </c>
      <c r="W222" s="1518" t="str">
        <f>IFERROR(VLOOKUP($B222,W$109:$AG$208,W$107,FALSE),"")</f>
        <v/>
      </c>
      <c r="X222" s="1518" t="str">
        <f>IFERROR(VLOOKUP($B222,X$109:$AG$208,X$107,FALSE),"")</f>
        <v>Select 240 EC</v>
      </c>
      <c r="Y222" s="1518" t="str">
        <f>IFERROR(VLOOKUP($B222,Y$109:$AG$208,Y$107,FALSE),"")</f>
        <v>Revus</v>
      </c>
      <c r="Z222" s="1518" t="str">
        <f>IFERROR(VLOOKUP($B222,Z$109:$AG$208,Z$107,FALSE),"")</f>
        <v/>
      </c>
      <c r="AA222" s="1518" t="str">
        <f>IFERROR(VLOOKUP($B222,AA$109:$AG$208,AA$107,FALSE),"")</f>
        <v>Metafol SC</v>
      </c>
      <c r="AB222" s="1518" t="str">
        <f>IFERROR(VLOOKUP($B222,AB$109:$AG$208,AB$107,FALSE),"")</f>
        <v>Infinito</v>
      </c>
      <c r="AC222" s="1518" t="str">
        <f>IFERROR(VLOOKUP($B222,AC$109:$AG$208,AC$107,FALSE),"")</f>
        <v/>
      </c>
      <c r="AD222" s="1518" t="str">
        <f>IFERROR(VLOOKUP($B222,AD$109:$AG$208,AD$107,FALSE),"")</f>
        <v>Bandur</v>
      </c>
      <c r="AE222" s="1518" t="str">
        <f>IFERROR(VLOOKUP($B222,AE$109:$AG$208,AE$107,FALSE),"")</f>
        <v/>
      </c>
      <c r="AF222" s="1518" t="str">
        <f>IFERROR(VLOOKUP($B222,AF$109:$AG$208,AF$107,FALSE),"")</f>
        <v/>
      </c>
    </row>
    <row r="223" spans="2:32" hidden="1">
      <c r="B223" s="1525">
        <f t="shared" si="19"/>
        <v>9</v>
      </c>
      <c r="F223" s="1518" t="str">
        <f>IFERROR(VLOOKUP($B223,F$109:$AG$208,F$107,FALSE),"")</f>
        <v>CCC 720</v>
      </c>
      <c r="G223" s="1518" t="str">
        <f>IFERROR(VLOOKUP($B223,G$109:$AG$208,G$107,FALSE),"")</f>
        <v>Fandango</v>
      </c>
      <c r="H223" s="1518" t="str">
        <f>IFERROR(VLOOKUP($B223,H$109:$AG$208,H$107,FALSE),"")</f>
        <v>CCC 720</v>
      </c>
      <c r="I223" s="1518" t="str">
        <f>IFERROR(VLOOKUP($B223,I$109:$AG$208,I$107,FALSE),"")</f>
        <v>Cerone 660</v>
      </c>
      <c r="J223" s="1518" t="str">
        <f>IFERROR(VLOOKUP($B223,J$109:$AG$208,J$107,FALSE),"")</f>
        <v>Fandango</v>
      </c>
      <c r="K223" s="1518" t="str">
        <f>IFERROR(VLOOKUP($B223,K$109:$AG$208,K$107,FALSE),"")</f>
        <v>Fandango</v>
      </c>
      <c r="L223" s="1518" t="str">
        <f>IFERROR(VLOOKUP($B223,L$109:$AG$208,L$107,FALSE),"")</f>
        <v>Fandango</v>
      </c>
      <c r="M223" s="1518" t="str">
        <f>IFERROR(VLOOKUP($B223,M$109:$AG$208,M$107,FALSE),"")</f>
        <v>Fandango</v>
      </c>
      <c r="N223" s="1518" t="str">
        <f>IFERROR(VLOOKUP($B223,N$109:$AG$208,N$107,FALSE),"")</f>
        <v>Revytrex</v>
      </c>
      <c r="O223" s="1518" t="str">
        <f>IFERROR(VLOOKUP($B223,O$109:$AG$208,O$107,FALSE),"")</f>
        <v>Input Xpro</v>
      </c>
      <c r="P223" s="1518" t="str">
        <f>IFERROR(VLOOKUP($B223,P$109:$AG$208,P$107,FALSE),"")</f>
        <v>Prosaro</v>
      </c>
      <c r="Q223" s="1518" t="str">
        <f>IFERROR(VLOOKUP($B223,Q$109:$AG$208,Q$107,FALSE),"")</f>
        <v/>
      </c>
      <c r="R223" s="1518" t="str">
        <f>IFERROR(VLOOKUP($B223,R$109:$AG$208,R$107,FALSE),"")</f>
        <v>MaisTer Power</v>
      </c>
      <c r="S223" s="1518" t="str">
        <f>IFERROR(VLOOKUP($B223,S$109:$AG$208,S$107,FALSE),"")</f>
        <v>Focus Aktiv Pack, Focus Ultra</v>
      </c>
      <c r="T223" s="1518" t="str">
        <f>IFERROR(VLOOKUP($B223,T$109:$AG$208,T$107,FALSE),"")</f>
        <v>Propulse</v>
      </c>
      <c r="U223" s="1518" t="str">
        <f>IFERROR(VLOOKUP($B223,U$109:$AG$208,U$107,FALSE),"")</f>
        <v>Stomp Aqua</v>
      </c>
      <c r="V223" s="1518" t="str">
        <f>IFERROR(VLOOKUP($B223,V$109:$AG$208,V$107,FALSE),"")</f>
        <v/>
      </c>
      <c r="W223" s="1518" t="str">
        <f>IFERROR(VLOOKUP($B223,W$109:$AG$208,W$107,FALSE),"")</f>
        <v/>
      </c>
      <c r="X223" s="1518" t="str">
        <f>IFERROR(VLOOKUP($B223,X$109:$AG$208,X$107,FALSE),"")</f>
        <v>Spectrum Plus</v>
      </c>
      <c r="Y223" s="1518" t="str">
        <f>IFERROR(VLOOKUP($B223,Y$109:$AG$208,Y$107,FALSE),"")</f>
        <v>Spectrum Plus</v>
      </c>
      <c r="Z223" s="1518" t="str">
        <f>IFERROR(VLOOKUP($B223,Z$109:$AG$208,Z$107,FALSE),"")</f>
        <v/>
      </c>
      <c r="AA223" s="1518" t="str">
        <f>IFERROR(VLOOKUP($B223,AA$109:$AG$208,AA$107,FALSE),"")</f>
        <v>Karate Zeon</v>
      </c>
      <c r="AB223" s="1518" t="str">
        <f>IFERROR(VLOOKUP($B223,AB$109:$AG$208,AB$107,FALSE),"")</f>
        <v>Karate Zeon</v>
      </c>
      <c r="AC223" s="1518" t="str">
        <f>IFERROR(VLOOKUP($B223,AC$109:$AG$208,AC$107,FALSE),"")</f>
        <v/>
      </c>
      <c r="AD223" s="1518" t="str">
        <f>IFERROR(VLOOKUP($B223,AD$109:$AG$208,AD$107,FALSE),"")</f>
        <v>Betanal Tandem + Mero</v>
      </c>
      <c r="AE223" s="1518" t="str">
        <f>IFERROR(VLOOKUP($B223,AE$109:$AG$208,AE$107,FALSE),"")</f>
        <v/>
      </c>
      <c r="AF223" s="1518" t="str">
        <f>IFERROR(VLOOKUP($B223,AF$109:$AG$208,AF$107,FALSE),"")</f>
        <v/>
      </c>
    </row>
    <row r="224" spans="2:32" hidden="1">
      <c r="B224" s="1525">
        <f t="shared" si="19"/>
        <v>10</v>
      </c>
      <c r="F224" s="1518" t="str">
        <f>IFERROR(VLOOKUP($B224,F$109:$AG$208,F$107,FALSE),"")</f>
        <v>Cerone 660</v>
      </c>
      <c r="G224" s="1518" t="str">
        <f>IFERROR(VLOOKUP($B224,G$109:$AG$208,G$107,FALSE),"")</f>
        <v>Folicur</v>
      </c>
      <c r="H224" s="1518" t="str">
        <f>IFERROR(VLOOKUP($B224,H$109:$AG$208,H$107,FALSE),"")</f>
        <v>Cerone 660</v>
      </c>
      <c r="I224" s="1518" t="str">
        <f>IFERROR(VLOOKUP($B224,I$109:$AG$208,I$107,FALSE),"")</f>
        <v>Elatus Era</v>
      </c>
      <c r="J224" s="1518" t="str">
        <f>IFERROR(VLOOKUP($B224,J$109:$AG$208,J$107,FALSE),"")</f>
        <v>Folicur</v>
      </c>
      <c r="K224" s="1518" t="str">
        <f>IFERROR(VLOOKUP($B224,K$109:$AG$208,K$107,FALSE),"")</f>
        <v>Folicur</v>
      </c>
      <c r="L224" s="1518" t="str">
        <f>IFERROR(VLOOKUP($B224,L$109:$AG$208,L$107,FALSE),"")</f>
        <v>Folicur</v>
      </c>
      <c r="M224" s="1518" t="str">
        <f>IFERROR(VLOOKUP($B224,M$109:$AG$208,M$107,FALSE),"")</f>
        <v>Folicur</v>
      </c>
      <c r="N224" s="1518" t="str">
        <f>IFERROR(VLOOKUP($B224,N$109:$AG$208,N$107,FALSE),"")</f>
        <v>Starane XL</v>
      </c>
      <c r="O224" s="1518" t="str">
        <f>IFERROR(VLOOKUP($B224,O$109:$AG$208,O$107,FALSE),"")</f>
        <v>Karate Zeon</v>
      </c>
      <c r="P224" s="1518" t="str">
        <f>IFERROR(VLOOKUP($B224,P$109:$AG$208,P$107,FALSE),"")</f>
        <v>Starane XL</v>
      </c>
      <c r="Q224" s="1518" t="str">
        <f>IFERROR(VLOOKUP($B224,Q$109:$AG$208,Q$107,FALSE),"")</f>
        <v/>
      </c>
      <c r="R224" s="1518" t="str">
        <f>IFERROR(VLOOKUP($B224,R$109:$AG$208,R$107,FALSE),"")</f>
        <v>Spectrum Plus</v>
      </c>
      <c r="S224" s="1518" t="str">
        <f>IFERROR(VLOOKUP($B224,S$109:$AG$208,S$107,FALSE),"")</f>
        <v>Folicur</v>
      </c>
      <c r="T224" s="1518" t="str">
        <f>IFERROR(VLOOKUP($B224,T$109:$AG$208,T$107,FALSE),"")</f>
        <v>Prosaro</v>
      </c>
      <c r="U224" s="1518" t="str">
        <f>IFERROR(VLOOKUP($B224,U$109:$AG$208,U$107,FALSE),"")</f>
        <v/>
      </c>
      <c r="V224" s="1518" t="str">
        <f>IFERROR(VLOOKUP($B224,V$109:$AG$208,V$107,FALSE),"")</f>
        <v/>
      </c>
      <c r="W224" s="1518" t="str">
        <f>IFERROR(VLOOKUP($B224,W$109:$AG$208,W$107,FALSE),"")</f>
        <v/>
      </c>
      <c r="X224" s="1518" t="str">
        <f>IFERROR(VLOOKUP($B224,X$109:$AG$208,X$107,FALSE),"")</f>
        <v>Stomp Aqua</v>
      </c>
      <c r="Y224" s="1518" t="str">
        <f>IFERROR(VLOOKUP($B224,Y$109:$AG$208,Y$107,FALSE),"")</f>
        <v>Stomp Aqua</v>
      </c>
      <c r="Z224" s="1518" t="str">
        <f>IFERROR(VLOOKUP($B224,Z$109:$AG$208,Z$107,FALSE),"")</f>
        <v/>
      </c>
      <c r="AA224" s="1518" t="str">
        <f>IFERROR(VLOOKUP($B224,AA$109:$AG$208,AA$107,FALSE),"")</f>
        <v>Ortiva</v>
      </c>
      <c r="AB224" s="1518" t="str">
        <f>IFERROR(VLOOKUP($B224,AB$109:$AG$208,AB$107,FALSE),"")</f>
        <v>Ortiva</v>
      </c>
      <c r="AC224" s="1518" t="str">
        <f>IFERROR(VLOOKUP($B224,AC$109:$AG$208,AC$107,FALSE),"")</f>
        <v/>
      </c>
      <c r="AD224" s="1518" t="str">
        <f>IFERROR(VLOOKUP($B224,AD$109:$AG$208,AD$107,FALSE),"")</f>
        <v>Amistar Gold</v>
      </c>
      <c r="AE224" s="1518" t="str">
        <f>IFERROR(VLOOKUP($B224,AE$109:$AG$208,AE$107,FALSE),"")</f>
        <v/>
      </c>
      <c r="AF224" s="1518" t="str">
        <f>IFERROR(VLOOKUP($B224,AF$109:$AG$208,AF$107,FALSE),"")</f>
        <v/>
      </c>
    </row>
    <row r="225" spans="2:32" hidden="1">
      <c r="B225" s="1525">
        <f t="shared" si="19"/>
        <v>11</v>
      </c>
      <c r="F225" s="1518" t="str">
        <f>IFERROR(VLOOKUP($B225,F$109:$AG$208,F$107,FALSE),"")</f>
        <v>Elatus Era</v>
      </c>
      <c r="G225" s="1518" t="str">
        <f>IFERROR(VLOOKUP($B225,G$109:$AG$208,G$107,FALSE),"")</f>
        <v>Herold SC</v>
      </c>
      <c r="H225" s="1518" t="str">
        <f>IFERROR(VLOOKUP($B225,H$109:$AG$208,H$107,FALSE),"")</f>
        <v>Elatus Era</v>
      </c>
      <c r="I225" s="1518" t="str">
        <f>IFERROR(VLOOKUP($B225,I$109:$AG$208,I$107,FALSE),"")</f>
        <v>Fandango</v>
      </c>
      <c r="J225" s="1518" t="str">
        <f>IFERROR(VLOOKUP($B225,J$109:$AG$208,J$107,FALSE),"")</f>
        <v>Herold SC</v>
      </c>
      <c r="K225" s="1518" t="str">
        <f>IFERROR(VLOOKUP($B225,K$109:$AG$208,K$107,FALSE),"")</f>
        <v>Hoestar Super</v>
      </c>
      <c r="L225" s="1518" t="str">
        <f>IFERROR(VLOOKUP($B225,L$109:$AG$208,L$107,FALSE),"")</f>
        <v>Hoestar Super</v>
      </c>
      <c r="M225" s="1518" t="str">
        <f>IFERROR(VLOOKUP($B225,M$109:$AG$208,M$107,FALSE),"")</f>
        <v>Hoestar Super</v>
      </c>
      <c r="N225" s="1518" t="str">
        <f>IFERROR(VLOOKUP($B225,N$109:$AG$208,N$107,FALSE),"")</f>
        <v/>
      </c>
      <c r="O225" s="1518" t="str">
        <f>IFERROR(VLOOKUP($B225,O$109:$AG$208,O$107,FALSE),"")</f>
        <v>Primus Perfect</v>
      </c>
      <c r="P225" s="1518" t="str">
        <f>IFERROR(VLOOKUP($B225,P$109:$AG$208,P$107,FALSE),"")</f>
        <v>Spectrum</v>
      </c>
      <c r="Q225" s="1518" t="str">
        <f>IFERROR(VLOOKUP($B225,Q$109:$AG$208,Q$107,FALSE),"")</f>
        <v/>
      </c>
      <c r="R225" s="1518" t="str">
        <f>IFERROR(VLOOKUP($B225,R$109:$AG$208,R$107,FALSE),"")</f>
        <v>Stomp Aqua</v>
      </c>
      <c r="S225" s="1518" t="str">
        <f>IFERROR(VLOOKUP($B225,S$109:$AG$208,S$107,FALSE),"")</f>
        <v>Fusilade MAX</v>
      </c>
      <c r="T225" s="1518" t="str">
        <f>IFERROR(VLOOKUP($B225,T$109:$AG$208,T$107,FALSE),"")</f>
        <v>Stomp Aqua</v>
      </c>
      <c r="U225" s="1518" t="str">
        <f>IFERROR(VLOOKUP($B225,U$109:$AG$208,U$107,FALSE),"")</f>
        <v/>
      </c>
      <c r="V225" s="1518" t="str">
        <f>IFERROR(VLOOKUP($B225,V$109:$AG$208,V$107,FALSE),"")</f>
        <v/>
      </c>
      <c r="W225" s="1518" t="str">
        <f>IFERROR(VLOOKUP($B225,W$109:$AG$208,W$107,FALSE),"")</f>
        <v/>
      </c>
      <c r="X225" s="1518" t="str">
        <f>IFERROR(VLOOKUP($B225,X$109:$AG$208,X$107,FALSE),"")</f>
        <v/>
      </c>
      <c r="Y225" s="1518" t="str">
        <f>IFERROR(VLOOKUP($B225,Y$109:$AG$208,Y$107,FALSE),"")</f>
        <v/>
      </c>
      <c r="Z225" s="1518" t="str">
        <f>IFERROR(VLOOKUP($B225,Z$109:$AG$208,Z$107,FALSE),"")</f>
        <v/>
      </c>
      <c r="AA225" s="1518" t="str">
        <f>IFERROR(VLOOKUP($B225,AA$109:$AG$208,AA$107,FALSE),"")</f>
        <v>Spectrum</v>
      </c>
      <c r="AB225" s="1518" t="str">
        <f>IFERROR(VLOOKUP($B225,AB$109:$AG$208,AB$107,FALSE),"")</f>
        <v>Propulse</v>
      </c>
      <c r="AC225" s="1518" t="str">
        <f>IFERROR(VLOOKUP($B225,AC$109:$AG$208,AC$107,FALSE),"")</f>
        <v/>
      </c>
      <c r="AD225" s="1518" t="str">
        <f>IFERROR(VLOOKUP($B225,AD$109:$AG$208,AD$107,FALSE),"")</f>
        <v>Boxer</v>
      </c>
      <c r="AE225" s="1518" t="str">
        <f>IFERROR(VLOOKUP($B225,AE$109:$AG$208,AE$107,FALSE),"")</f>
        <v/>
      </c>
      <c r="AF225" s="1518" t="str">
        <f>IFERROR(VLOOKUP($B225,AF$109:$AG$208,AF$107,FALSE),"")</f>
        <v/>
      </c>
    </row>
    <row r="226" spans="2:32" hidden="1">
      <c r="B226" s="1525">
        <f t="shared" si="19"/>
        <v>12</v>
      </c>
      <c r="F226" s="1518" t="str">
        <f>IFERROR(VLOOKUP($B226,F$109:$AG$208,F$107,FALSE),"")</f>
        <v>Fandango</v>
      </c>
      <c r="G226" s="1518" t="str">
        <f>IFERROR(VLOOKUP($B226,G$109:$AG$208,G$107,FALSE),"")</f>
        <v>Input Classic</v>
      </c>
      <c r="H226" s="1518" t="str">
        <f>IFERROR(VLOOKUP($B226,H$109:$AG$208,H$107,FALSE),"")</f>
        <v>Fandango</v>
      </c>
      <c r="I226" s="1518" t="str">
        <f>IFERROR(VLOOKUP($B226,I$109:$AG$208,I$107,FALSE),"")</f>
        <v>Herold SC</v>
      </c>
      <c r="J226" s="1518" t="str">
        <f>IFERROR(VLOOKUP($B226,J$109:$AG$208,J$107,FALSE),"")</f>
        <v>Hoestar Super</v>
      </c>
      <c r="K226" s="1518" t="str">
        <f>IFERROR(VLOOKUP($B226,K$109:$AG$208,K$107,FALSE),"")</f>
        <v>Input Classic</v>
      </c>
      <c r="L226" s="1518" t="str">
        <f>IFERROR(VLOOKUP($B226,L$109:$AG$208,L$107,FALSE),"")</f>
        <v>Input Classic</v>
      </c>
      <c r="M226" s="1518" t="str">
        <f>IFERROR(VLOOKUP($B226,M$109:$AG$208,M$107,FALSE),"")</f>
        <v>Input Classic</v>
      </c>
      <c r="N226" s="1518" t="str">
        <f>IFERROR(VLOOKUP($B226,N$109:$AG$208,N$107,FALSE),"")</f>
        <v/>
      </c>
      <c r="O226" s="1518" t="str">
        <f>IFERROR(VLOOKUP($B226,O$109:$AG$208,O$107,FALSE),"")</f>
        <v>Prosaro</v>
      </c>
      <c r="P226" s="1518" t="str">
        <f>IFERROR(VLOOKUP($B226,P$109:$AG$208,P$107,FALSE),"")</f>
        <v>Univoq</v>
      </c>
      <c r="Q226" s="1518" t="str">
        <f>IFERROR(VLOOKUP($B226,Q$109:$AG$208,Q$107,FALSE),"")</f>
        <v/>
      </c>
      <c r="R226" s="1518" t="str">
        <f>IFERROR(VLOOKUP($B226,R$109:$AG$208,R$107,FALSE),"")</f>
        <v>TRICHOGRAMMA</v>
      </c>
      <c r="S226" s="1518" t="str">
        <f>IFERROR(VLOOKUP($B226,S$109:$AG$208,S$107,FALSE),"")</f>
        <v>Karate Zeon</v>
      </c>
      <c r="T226" s="1518" t="str">
        <f>IFERROR(VLOOKUP($B226,T$109:$AG$208,T$107,FALSE),"")</f>
        <v>Trebon 30 EC</v>
      </c>
      <c r="U226" s="1518" t="str">
        <f>IFERROR(VLOOKUP($B226,U$109:$AG$208,U$107,FALSE),"")</f>
        <v/>
      </c>
      <c r="V226" s="1518" t="str">
        <f>IFERROR(VLOOKUP($B226,V$109:$AG$208,V$107,FALSE),"")</f>
        <v/>
      </c>
      <c r="W226" s="1518" t="str">
        <f>IFERROR(VLOOKUP($B226,W$109:$AG$208,W$107,FALSE),"")</f>
        <v/>
      </c>
      <c r="X226" s="1518" t="str">
        <f>IFERROR(VLOOKUP($B226,X$109:$AG$208,X$107,FALSE),"")</f>
        <v/>
      </c>
      <c r="Y226" s="1518" t="str">
        <f>IFERROR(VLOOKUP($B226,Y$109:$AG$208,Y$107,FALSE),"")</f>
        <v/>
      </c>
      <c r="Z226" s="1518" t="str">
        <f>IFERROR(VLOOKUP($B226,Z$109:$AG$208,Z$107,FALSE),"")</f>
        <v/>
      </c>
      <c r="AA226" s="1518" t="str">
        <f>IFERROR(VLOOKUP($B226,AA$109:$AG$208,AA$107,FALSE),"")</f>
        <v/>
      </c>
      <c r="AB226" s="1518" t="str">
        <f>IFERROR(VLOOKUP($B226,AB$109:$AG$208,AB$107,FALSE),"")</f>
        <v>Ranman Top</v>
      </c>
      <c r="AC226" s="1518" t="str">
        <f>IFERROR(VLOOKUP($B226,AC$109:$AG$208,AC$107,FALSE),"")</f>
        <v/>
      </c>
      <c r="AD226" s="1518" t="str">
        <f>IFERROR(VLOOKUP($B226,AD$109:$AG$208,AD$107,FALSE),"")</f>
        <v>Broadway</v>
      </c>
      <c r="AE226" s="1518" t="str">
        <f>IFERROR(VLOOKUP($B226,AE$109:$AG$208,AE$107,FALSE),"")</f>
        <v/>
      </c>
      <c r="AF226" s="1518" t="str">
        <f>IFERROR(VLOOKUP($B226,AF$109:$AG$208,AF$107,FALSE),"")</f>
        <v/>
      </c>
    </row>
    <row r="227" spans="2:32" hidden="1">
      <c r="B227" s="1525">
        <f t="shared" si="19"/>
        <v>13</v>
      </c>
      <c r="F227" s="1518" t="str">
        <f>IFERROR(VLOOKUP($B227,F$109:$AG$208,F$107,FALSE),"")</f>
        <v>Folicur</v>
      </c>
      <c r="G227" s="1518" t="str">
        <f>IFERROR(VLOOKUP($B227,G$109:$AG$208,G$107,FALSE),"")</f>
        <v>Input Xpro</v>
      </c>
      <c r="H227" s="1518" t="str">
        <f>IFERROR(VLOOKUP($B227,H$109:$AG$208,H$107,FALSE),"")</f>
        <v>Folicur</v>
      </c>
      <c r="I227" s="1518" t="str">
        <f>IFERROR(VLOOKUP($B227,I$109:$AG$208,I$107,FALSE),"")</f>
        <v>Hoestar Super</v>
      </c>
      <c r="J227" s="1518" t="str">
        <f>IFERROR(VLOOKUP($B227,J$109:$AG$208,J$107,FALSE),"")</f>
        <v>Input Classic</v>
      </c>
      <c r="K227" s="1518" t="str">
        <f>IFERROR(VLOOKUP($B227,K$109:$AG$208,K$107,FALSE),"")</f>
        <v>Input Xpro</v>
      </c>
      <c r="L227" s="1518" t="str">
        <f>IFERROR(VLOOKUP($B227,L$109:$AG$208,L$107,FALSE),"")</f>
        <v>Input Xpro</v>
      </c>
      <c r="M227" s="1518" t="str">
        <f>IFERROR(VLOOKUP($B227,M$109:$AG$208,M$107,FALSE),"")</f>
        <v>Input Xpro</v>
      </c>
      <c r="N227" s="1518" t="str">
        <f>IFERROR(VLOOKUP($B227,N$109:$AG$208,N$107,FALSE),"")</f>
        <v/>
      </c>
      <c r="O227" s="1518" t="str">
        <f>IFERROR(VLOOKUP($B227,O$109:$AG$208,O$107,FALSE),"")</f>
        <v>Revytrex</v>
      </c>
      <c r="P227" s="1518" t="str">
        <f>IFERROR(VLOOKUP($B227,P$109:$AG$208,P$107,FALSE),"")</f>
        <v/>
      </c>
      <c r="Q227" s="1518" t="str">
        <f>IFERROR(VLOOKUP($B227,Q$109:$AG$208,Q$107,FALSE),"")</f>
        <v/>
      </c>
      <c r="R227" s="1518" t="str">
        <f>IFERROR(VLOOKUP($B227,R$109:$AG$208,R$107,FALSE),"")</f>
        <v>Spectrum</v>
      </c>
      <c r="S227" s="1518" t="str">
        <f>IFERROR(VLOOKUP($B227,S$109:$AG$208,S$107,FALSE),"")</f>
        <v>Ortiva</v>
      </c>
      <c r="T227" s="1518" t="str">
        <f>IFERROR(VLOOKUP($B227,T$109:$AG$208,T$107,FALSE),"")</f>
        <v/>
      </c>
      <c r="U227" s="1518" t="str">
        <f>IFERROR(VLOOKUP($B227,U$109:$AG$208,U$107,FALSE),"")</f>
        <v/>
      </c>
      <c r="V227" s="1518" t="str">
        <f>IFERROR(VLOOKUP($B227,V$109:$AG$208,V$107,FALSE),"")</f>
        <v/>
      </c>
      <c r="W227" s="1518" t="str">
        <f>IFERROR(VLOOKUP($B227,W$109:$AG$208,W$107,FALSE),"")</f>
        <v/>
      </c>
      <c r="X227" s="1518" t="str">
        <f>IFERROR(VLOOKUP($B227,X$109:$AG$208,X$107,FALSE),"")</f>
        <v/>
      </c>
      <c r="Y227" s="1518" t="str">
        <f>IFERROR(VLOOKUP($B227,Y$109:$AG$208,Y$107,FALSE),"")</f>
        <v/>
      </c>
      <c r="Z227" s="1518" t="str">
        <f>IFERROR(VLOOKUP($B227,Z$109:$AG$208,Z$107,FALSE),"")</f>
        <v/>
      </c>
      <c r="AA227" s="1518" t="str">
        <f>IFERROR(VLOOKUP($B227,AA$109:$AG$208,AA$107,FALSE),"")</f>
        <v/>
      </c>
      <c r="AB227" s="1518" t="str">
        <f>IFERROR(VLOOKUP($B227,AB$109:$AG$208,AB$107,FALSE),"")</f>
        <v>Revus</v>
      </c>
      <c r="AC227" s="1518" t="str">
        <f>IFERROR(VLOOKUP($B227,AC$109:$AG$208,AC$107,FALSE),"")</f>
        <v/>
      </c>
      <c r="AD227" s="1518" t="str">
        <f>IFERROR(VLOOKUP($B227,AD$109:$AG$208,AD$107,FALSE),"")</f>
        <v>Butisan Gold</v>
      </c>
      <c r="AE227" s="1518" t="str">
        <f>IFERROR(VLOOKUP($B227,AE$109:$AG$208,AE$107,FALSE),"")</f>
        <v/>
      </c>
      <c r="AF227" s="1518" t="str">
        <f>IFERROR(VLOOKUP($B227,AF$109:$AG$208,AF$107,FALSE),"")</f>
        <v/>
      </c>
    </row>
    <row r="228" spans="2:32" hidden="1">
      <c r="B228" s="1525">
        <f t="shared" si="19"/>
        <v>14</v>
      </c>
      <c r="F228" s="1518" t="str">
        <f>IFERROR(VLOOKUP($B228,F$109:$AG$208,F$107,FALSE),"")</f>
        <v>Herold SC</v>
      </c>
      <c r="G228" s="1518" t="str">
        <f>IFERROR(VLOOKUP($B228,G$109:$AG$208,G$107,FALSE),"")</f>
        <v>Karate Zeon</v>
      </c>
      <c r="H228" s="1518" t="str">
        <f>IFERROR(VLOOKUP($B228,H$109:$AG$208,H$107,FALSE),"")</f>
        <v>Herold SC</v>
      </c>
      <c r="I228" s="1518" t="str">
        <f>IFERROR(VLOOKUP($B228,I$109:$AG$208,I$107,FALSE),"")</f>
        <v>Input Classic</v>
      </c>
      <c r="J228" s="1518" t="str">
        <f>IFERROR(VLOOKUP($B228,J$109:$AG$208,J$107,FALSE),"")</f>
        <v>Input Xpro</v>
      </c>
      <c r="K228" s="1518" t="str">
        <f>IFERROR(VLOOKUP($B228,K$109:$AG$208,K$107,FALSE),"")</f>
        <v>Karate Zeon</v>
      </c>
      <c r="L228" s="1518" t="str">
        <f>IFERROR(VLOOKUP($B228,L$109:$AG$208,L$107,FALSE),"")</f>
        <v>Karate Zeon</v>
      </c>
      <c r="M228" s="1518" t="str">
        <f>IFERROR(VLOOKUP($B228,M$109:$AG$208,M$107,FALSE),"")</f>
        <v>Karate Zeon</v>
      </c>
      <c r="N228" s="1518" t="str">
        <f>IFERROR(VLOOKUP($B228,N$109:$AG$208,N$107,FALSE),"")</f>
        <v/>
      </c>
      <c r="O228" s="1518" t="str">
        <f>IFERROR(VLOOKUP($B228,O$109:$AG$208,O$107,FALSE),"")</f>
        <v>Comet</v>
      </c>
      <c r="P228" s="1518" t="str">
        <f>IFERROR(VLOOKUP($B228,P$109:$AG$208,P$107,FALSE),"")</f>
        <v/>
      </c>
      <c r="Q228" s="1518" t="str">
        <f>IFERROR(VLOOKUP($B228,Q$109:$AG$208,Q$107,FALSE),"")</f>
        <v/>
      </c>
      <c r="R228" s="1518" t="str">
        <f>IFERROR(VLOOKUP($B228,R$109:$AG$208,R$107,FALSE),"")</f>
        <v/>
      </c>
      <c r="S228" s="1518" t="str">
        <f>IFERROR(VLOOKUP($B228,S$109:$AG$208,S$107,FALSE),"")</f>
        <v>Mospilan SG</v>
      </c>
      <c r="T228" s="1518" t="str">
        <f>IFERROR(VLOOKUP($B228,T$109:$AG$208,T$107,FALSE),"")</f>
        <v/>
      </c>
      <c r="U228" s="1518" t="str">
        <f>IFERROR(VLOOKUP($B228,U$109:$AG$208,U$107,FALSE),"")</f>
        <v/>
      </c>
      <c r="V228" s="1518" t="str">
        <f>IFERROR(VLOOKUP($B228,V$109:$AG$208,V$107,FALSE),"")</f>
        <v/>
      </c>
      <c r="W228" s="1518" t="str">
        <f>IFERROR(VLOOKUP($B228,W$109:$AG$208,W$107,FALSE),"")</f>
        <v/>
      </c>
      <c r="X228" s="1518" t="str">
        <f>IFERROR(VLOOKUP($B228,X$109:$AG$208,X$107,FALSE),"")</f>
        <v/>
      </c>
      <c r="Y228" s="1518" t="str">
        <f>IFERROR(VLOOKUP($B228,Y$109:$AG$208,Y$107,FALSE),"")</f>
        <v/>
      </c>
      <c r="Z228" s="1518" t="str">
        <f>IFERROR(VLOOKUP($B228,Z$109:$AG$208,Z$107,FALSE),"")</f>
        <v/>
      </c>
      <c r="AA228" s="1518" t="str">
        <f>IFERROR(VLOOKUP($B228,AA$109:$AG$208,AA$107,FALSE),"")</f>
        <v/>
      </c>
      <c r="AB228" s="1518" t="str">
        <f>IFERROR(VLOOKUP($B228,AB$109:$AG$208,AB$107,FALSE),"")</f>
        <v>Shirlan</v>
      </c>
      <c r="AC228" s="1518" t="str">
        <f>IFERROR(VLOOKUP($B228,AC$109:$AG$208,AC$107,FALSE),"")</f>
        <v/>
      </c>
      <c r="AD228" s="1518" t="str">
        <f>IFERROR(VLOOKUP($B228,AD$109:$AG$208,AD$107,FALSE),"")</f>
        <v>Callisto</v>
      </c>
      <c r="AE228" s="1518" t="str">
        <f>IFERROR(VLOOKUP($B228,AE$109:$AG$208,AE$107,FALSE),"")</f>
        <v/>
      </c>
      <c r="AF228" s="1518" t="str">
        <f>IFERROR(VLOOKUP($B228,AF$109:$AG$208,AF$107,FALSE),"")</f>
        <v/>
      </c>
    </row>
    <row r="229" spans="2:32" hidden="1">
      <c r="B229" s="1525">
        <f t="shared" si="19"/>
        <v>15</v>
      </c>
      <c r="F229" s="1518" t="str">
        <f>IFERROR(VLOOKUP($B229,F$109:$AG$208,F$107,FALSE),"")</f>
        <v>Hoestar Super</v>
      </c>
      <c r="G229" s="1518" t="str">
        <f>IFERROR(VLOOKUP($B229,G$109:$AG$208,G$107,FALSE),"")</f>
        <v>Moddus</v>
      </c>
      <c r="H229" s="1518" t="str">
        <f>IFERROR(VLOOKUP($B229,H$109:$AG$208,H$107,FALSE),"")</f>
        <v>Hoestar Super</v>
      </c>
      <c r="I229" s="1518" t="str">
        <f>IFERROR(VLOOKUP($B229,I$109:$AG$208,I$107,FALSE),"")</f>
        <v>Input Xpro</v>
      </c>
      <c r="J229" s="1518" t="str">
        <f>IFERROR(VLOOKUP($B229,J$109:$AG$208,J$107,FALSE),"")</f>
        <v>Karate Zeon</v>
      </c>
      <c r="K229" s="1518" t="str">
        <f>IFERROR(VLOOKUP($B229,K$109:$AG$208,K$107,FALSE),"")</f>
        <v>Pointer Plus</v>
      </c>
      <c r="L229" s="1518" t="str">
        <f>IFERROR(VLOOKUP($B229,L$109:$AG$208,L$107,FALSE),"")</f>
        <v>Moddus</v>
      </c>
      <c r="M229" s="1518" t="str">
        <f>IFERROR(VLOOKUP($B229,M$109:$AG$208,M$107,FALSE),"")</f>
        <v>Moddus</v>
      </c>
      <c r="N229" s="1518" t="str">
        <f>IFERROR(VLOOKUP($B229,N$109:$AG$208,N$107,FALSE),"")</f>
        <v/>
      </c>
      <c r="O229" s="1518" t="str">
        <f>IFERROR(VLOOKUP($B229,O$109:$AG$208,O$107,FALSE),"")</f>
        <v>Starane XL</v>
      </c>
      <c r="P229" s="1518" t="str">
        <f>IFERROR(VLOOKUP($B229,P$109:$AG$208,P$107,FALSE),"")</f>
        <v/>
      </c>
      <c r="Q229" s="1518" t="str">
        <f>IFERROR(VLOOKUP($B229,Q$109:$AG$208,Q$107,FALSE),"")</f>
        <v/>
      </c>
      <c r="R229" s="1518" t="str">
        <f>IFERROR(VLOOKUP($B229,R$109:$AG$208,R$107,FALSE),"")</f>
        <v/>
      </c>
      <c r="S229" s="1518" t="str">
        <f>IFERROR(VLOOKUP($B229,S$109:$AG$208,S$107,FALSE),"")</f>
        <v>Proline</v>
      </c>
      <c r="T229" s="1518" t="str">
        <f>IFERROR(VLOOKUP($B229,T$109:$AG$208,T$107,FALSE),"")</f>
        <v/>
      </c>
      <c r="U229" s="1518" t="str">
        <f>IFERROR(VLOOKUP($B229,U$109:$AG$208,U$107,FALSE),"")</f>
        <v/>
      </c>
      <c r="V229" s="1518" t="str">
        <f>IFERROR(VLOOKUP($B229,V$109:$AG$208,V$107,FALSE),"")</f>
        <v/>
      </c>
      <c r="W229" s="1518" t="str">
        <f>IFERROR(VLOOKUP($B229,W$109:$AG$208,W$107,FALSE),"")</f>
        <v/>
      </c>
      <c r="X229" s="1518" t="str">
        <f>IFERROR(VLOOKUP($B229,X$109:$AG$208,X$107,FALSE),"")</f>
        <v/>
      </c>
      <c r="Y229" s="1518" t="str">
        <f>IFERROR(VLOOKUP($B229,Y$109:$AG$208,Y$107,FALSE),"")</f>
        <v/>
      </c>
      <c r="Z229" s="1518" t="str">
        <f>IFERROR(VLOOKUP($B229,Z$109:$AG$208,Z$107,FALSE),"")</f>
        <v/>
      </c>
      <c r="AA229" s="1518" t="str">
        <f>IFERROR(VLOOKUP($B229,AA$109:$AG$208,AA$107,FALSE),"")</f>
        <v/>
      </c>
      <c r="AB229" s="1518" t="str">
        <f>IFERROR(VLOOKUP($B229,AB$109:$AG$208,AB$107,FALSE),"")</f>
        <v>Teppeki</v>
      </c>
      <c r="AC229" s="1518" t="str">
        <f>IFERROR(VLOOKUP($B229,AC$109:$AG$208,AC$107,FALSE),"")</f>
        <v/>
      </c>
      <c r="AD229" s="1518" t="str">
        <f>IFERROR(VLOOKUP($B229,AD$109:$AG$208,AD$107,FALSE),"")</f>
        <v>Cantus Ultra</v>
      </c>
      <c r="AE229" s="1518" t="str">
        <f>IFERROR(VLOOKUP($B229,AE$109:$AG$208,AE$107,FALSE),"")</f>
        <v/>
      </c>
      <c r="AF229" s="1518" t="str">
        <f>IFERROR(VLOOKUP($B229,AF$109:$AG$208,AF$107,FALSE),"")</f>
        <v/>
      </c>
    </row>
    <row r="230" spans="2:32" hidden="1">
      <c r="B230" s="1525">
        <f t="shared" si="19"/>
        <v>16</v>
      </c>
      <c r="F230" s="1518" t="str">
        <f>IFERROR(VLOOKUP($B230,F$109:$AG$208,F$107,FALSE),"")</f>
        <v>Input Classic</v>
      </c>
      <c r="G230" s="1518" t="str">
        <f>IFERROR(VLOOKUP($B230,G$109:$AG$208,G$107,FALSE),"")</f>
        <v>Primus Perfect</v>
      </c>
      <c r="H230" s="1518" t="str">
        <f>IFERROR(VLOOKUP($B230,H$109:$AG$208,H$107,FALSE),"")</f>
        <v>Input Classic</v>
      </c>
      <c r="I230" s="1518" t="str">
        <f>IFERROR(VLOOKUP($B230,I$109:$AG$208,I$107,FALSE),"")</f>
        <v>Karate Zeon</v>
      </c>
      <c r="J230" s="1518" t="str">
        <f>IFERROR(VLOOKUP($B230,J$109:$AG$208,J$107,FALSE),"")</f>
        <v>Malibu</v>
      </c>
      <c r="K230" s="1518" t="str">
        <f>IFERROR(VLOOKUP($B230,K$109:$AG$208,K$107,FALSE),"")</f>
        <v>Primus Perfect</v>
      </c>
      <c r="L230" s="1518" t="str">
        <f>IFERROR(VLOOKUP($B230,L$109:$AG$208,L$107,FALSE),"")</f>
        <v>Pointer Plus</v>
      </c>
      <c r="M230" s="1518" t="str">
        <f>IFERROR(VLOOKUP($B230,M$109:$AG$208,M$107,FALSE),"")</f>
        <v>Pointer Plus</v>
      </c>
      <c r="N230" s="1518" t="str">
        <f>IFERROR(VLOOKUP($B230,N$109:$AG$208,N$107,FALSE),"")</f>
        <v/>
      </c>
      <c r="O230" s="1518" t="str">
        <f>IFERROR(VLOOKUP($B230,O$109:$AG$208,O$107,FALSE),"")</f>
        <v>Zypar</v>
      </c>
      <c r="P230" s="1518" t="str">
        <f>IFERROR(VLOOKUP($B230,P$109:$AG$208,P$107,FALSE),"")</f>
        <v/>
      </c>
      <c r="Q230" s="1518" t="str">
        <f>IFERROR(VLOOKUP($B230,Q$109:$AG$208,Q$107,FALSE),"")</f>
        <v/>
      </c>
      <c r="R230" s="1518" t="str">
        <f>IFERROR(VLOOKUP($B230,R$109:$AG$208,R$107,FALSE),"")</f>
        <v/>
      </c>
      <c r="S230" s="1518" t="str">
        <f>IFERROR(VLOOKUP($B230,S$109:$AG$208,S$107,FALSE),"")</f>
        <v>Propulse</v>
      </c>
      <c r="T230" s="1518" t="str">
        <f>IFERROR(VLOOKUP($B230,T$109:$AG$208,T$107,FALSE),"")</f>
        <v/>
      </c>
      <c r="U230" s="1518" t="str">
        <f>IFERROR(VLOOKUP($B230,U$109:$AG$208,U$107,FALSE),"")</f>
        <v/>
      </c>
      <c r="V230" s="1518" t="str">
        <f>IFERROR(VLOOKUP($B230,V$109:$AG$208,V$107,FALSE),"")</f>
        <v/>
      </c>
      <c r="W230" s="1518" t="str">
        <f>IFERROR(VLOOKUP($B230,W$109:$AG$208,W$107,FALSE),"")</f>
        <v/>
      </c>
      <c r="X230" s="1518" t="str">
        <f>IFERROR(VLOOKUP($B230,X$109:$AG$208,X$107,FALSE),"")</f>
        <v/>
      </c>
      <c r="Y230" s="1518" t="str">
        <f>IFERROR(VLOOKUP($B230,Y$109:$AG$208,Y$107,FALSE),"")</f>
        <v/>
      </c>
      <c r="Z230" s="1518" t="str">
        <f>IFERROR(VLOOKUP($B230,Z$109:$AG$208,Z$107,FALSE),"")</f>
        <v/>
      </c>
      <c r="AA230" s="1518" t="str">
        <f>IFERROR(VLOOKUP($B230,AA$109:$AG$208,AA$107,FALSE),"")</f>
        <v/>
      </c>
      <c r="AB230" s="1518" t="str">
        <f>IFERROR(VLOOKUP($B230,AB$109:$AG$208,AB$107,FALSE),"")</f>
        <v>Spectrum</v>
      </c>
      <c r="AC230" s="1518" t="str">
        <f>IFERROR(VLOOKUP($B230,AC$109:$AG$208,AC$107,FALSE),"")</f>
        <v/>
      </c>
      <c r="AD230" s="1518" t="str">
        <f>IFERROR(VLOOKUP($B230,AD$109:$AG$208,AD$107,FALSE),"")</f>
        <v>Carax</v>
      </c>
      <c r="AE230" s="1518" t="str">
        <f>IFERROR(VLOOKUP($B230,AE$109:$AG$208,AE$107,FALSE),"")</f>
        <v/>
      </c>
      <c r="AF230" s="1518" t="str">
        <f>IFERROR(VLOOKUP($B230,AF$109:$AG$208,AF$107,FALSE),"")</f>
        <v/>
      </c>
    </row>
    <row r="231" spans="2:32" hidden="1">
      <c r="B231" s="1525">
        <f t="shared" si="19"/>
        <v>17</v>
      </c>
      <c r="F231" s="1518" t="str">
        <f>IFERROR(VLOOKUP($B231,F$109:$AG$208,F$107,FALSE),"")</f>
        <v>Input Xpro</v>
      </c>
      <c r="G231" s="1518" t="str">
        <f>IFERROR(VLOOKUP($B231,G$109:$AG$208,G$107,FALSE),"")</f>
        <v>Prosaro</v>
      </c>
      <c r="H231" s="1518" t="str">
        <f>IFERROR(VLOOKUP($B231,H$109:$AG$208,H$107,FALSE),"")</f>
        <v>Input Xpro</v>
      </c>
      <c r="I231" s="1518" t="str">
        <f>IFERROR(VLOOKUP($B231,I$109:$AG$208,I$107,FALSE),"")</f>
        <v>Malibu</v>
      </c>
      <c r="J231" s="1518" t="str">
        <f>IFERROR(VLOOKUP($B231,J$109:$AG$208,J$107,FALSE),"")</f>
        <v>Moddus</v>
      </c>
      <c r="K231" s="1518" t="str">
        <f>IFERROR(VLOOKUP($B231,K$109:$AG$208,K$107,FALSE),"")</f>
        <v>Prosaro</v>
      </c>
      <c r="L231" s="1518" t="str">
        <f>IFERROR(VLOOKUP($B231,L$109:$AG$208,L$107,FALSE),"")</f>
        <v>Primus Perfect</v>
      </c>
      <c r="M231" s="1518" t="str">
        <f>IFERROR(VLOOKUP($B231,M$109:$AG$208,M$107,FALSE),"")</f>
        <v>Primus Perfect</v>
      </c>
      <c r="N231" s="1518" t="str">
        <f>IFERROR(VLOOKUP($B231,N$109:$AG$208,N$107,FALSE),"")</f>
        <v/>
      </c>
      <c r="O231" s="1518" t="str">
        <f>IFERROR(VLOOKUP($B231,O$109:$AG$208,O$107,FALSE),"")</f>
        <v/>
      </c>
      <c r="P231" s="1518" t="str">
        <f>IFERROR(VLOOKUP($B231,P$109:$AG$208,P$107,FALSE),"")</f>
        <v/>
      </c>
      <c r="Q231" s="1518" t="str">
        <f>IFERROR(VLOOKUP($B231,Q$109:$AG$208,Q$107,FALSE),"")</f>
        <v/>
      </c>
      <c r="R231" s="1518" t="str">
        <f>IFERROR(VLOOKUP($B231,R$109:$AG$208,R$107,FALSE),"")</f>
        <v/>
      </c>
      <c r="S231" s="1518" t="str">
        <f>IFERROR(VLOOKUP($B231,S$109:$AG$208,S$107,FALSE),"")</f>
        <v>Prosaro</v>
      </c>
      <c r="T231" s="1518" t="str">
        <f>IFERROR(VLOOKUP($B231,T$109:$AG$208,T$107,FALSE),"")</f>
        <v/>
      </c>
      <c r="U231" s="1518" t="str">
        <f>IFERROR(VLOOKUP($B231,U$109:$AG$208,U$107,FALSE),"")</f>
        <v/>
      </c>
      <c r="V231" s="1518" t="str">
        <f>IFERROR(VLOOKUP($B231,V$109:$AG$208,V$107,FALSE),"")</f>
        <v/>
      </c>
      <c r="W231" s="1518" t="str">
        <f>IFERROR(VLOOKUP($B231,W$109:$AG$208,W$107,FALSE),"")</f>
        <v/>
      </c>
      <c r="X231" s="1518" t="str">
        <f>IFERROR(VLOOKUP($B231,X$109:$AG$208,X$107,FALSE),"")</f>
        <v/>
      </c>
      <c r="Y231" s="1518" t="str">
        <f>IFERROR(VLOOKUP($B231,Y$109:$AG$208,Y$107,FALSE),"")</f>
        <v/>
      </c>
      <c r="Z231" s="1518" t="str">
        <f>IFERROR(VLOOKUP($B231,Z$109:$AG$208,Z$107,FALSE),"")</f>
        <v/>
      </c>
      <c r="AA231" s="1518" t="str">
        <f>IFERROR(VLOOKUP($B231,AA$109:$AG$208,AA$107,FALSE),"")</f>
        <v/>
      </c>
      <c r="AB231" s="1518" t="str">
        <f>IFERROR(VLOOKUP($B231,AB$109:$AG$208,AB$107,FALSE),"")</f>
        <v>Proman</v>
      </c>
      <c r="AC231" s="1518" t="str">
        <f>IFERROR(VLOOKUP($B231,AC$109:$AG$208,AC$107,FALSE),"")</f>
        <v/>
      </c>
      <c r="AD231" s="1518" t="str">
        <f>IFERROR(VLOOKUP($B231,AD$109:$AG$208,AD$107,FALSE),"")</f>
        <v>CCC 720</v>
      </c>
      <c r="AE231" s="1518" t="str">
        <f>IFERROR(VLOOKUP($B231,AE$109:$AG$208,AE$107,FALSE),"")</f>
        <v/>
      </c>
      <c r="AF231" s="1518" t="str">
        <f>IFERROR(VLOOKUP($B231,AF$109:$AG$208,AF$107,FALSE),"")</f>
        <v/>
      </c>
    </row>
    <row r="232" spans="2:32" hidden="1">
      <c r="B232" s="1525">
        <f t="shared" si="19"/>
        <v>18</v>
      </c>
      <c r="F232" s="1518" t="str">
        <f>IFERROR(VLOOKUP($B232,F$109:$AG$208,F$107,FALSE),"")</f>
        <v>Karate Zeon</v>
      </c>
      <c r="G232" s="1518" t="str">
        <f>IFERROR(VLOOKUP($B232,G$109:$AG$208,G$107,FALSE),"")</f>
        <v>Revytrex</v>
      </c>
      <c r="H232" s="1518" t="str">
        <f>IFERROR(VLOOKUP($B232,H$109:$AG$208,H$107,FALSE),"")</f>
        <v>Karate Zeon</v>
      </c>
      <c r="I232" s="1518" t="str">
        <f>IFERROR(VLOOKUP($B232,I$109:$AG$208,I$107,FALSE),"")</f>
        <v>Moddus</v>
      </c>
      <c r="J232" s="1518" t="str">
        <f>IFERROR(VLOOKUP($B232,J$109:$AG$208,J$107,FALSE),"")</f>
        <v>Pointer Plus</v>
      </c>
      <c r="K232" s="1518" t="str">
        <f>IFERROR(VLOOKUP($B232,K$109:$AG$208,K$107,FALSE),"")</f>
        <v>Revytrex</v>
      </c>
      <c r="L232" s="1518" t="str">
        <f>IFERROR(VLOOKUP($B232,L$109:$AG$208,L$107,FALSE),"")</f>
        <v>Prosaro</v>
      </c>
      <c r="M232" s="1518" t="str">
        <f>IFERROR(VLOOKUP($B232,M$109:$AG$208,M$107,FALSE),"")</f>
        <v>Prosaro</v>
      </c>
      <c r="N232" s="1518" t="str">
        <f>IFERROR(VLOOKUP($B232,N$109:$AG$208,N$107,FALSE),"")</f>
        <v/>
      </c>
      <c r="O232" s="1518" t="str">
        <f>IFERROR(VLOOKUP($B232,O$109:$AG$208,O$107,FALSE),"")</f>
        <v/>
      </c>
      <c r="P232" s="1518" t="str">
        <f>IFERROR(VLOOKUP($B232,P$109:$AG$208,P$107,FALSE),"")</f>
        <v/>
      </c>
      <c r="Q232" s="1518" t="str">
        <f>IFERROR(VLOOKUP($B232,Q$109:$AG$208,Q$107,FALSE),"")</f>
        <v/>
      </c>
      <c r="R232" s="1518" t="str">
        <f>IFERROR(VLOOKUP($B232,R$109:$AG$208,R$107,FALSE),"")</f>
        <v/>
      </c>
      <c r="S232" s="1518" t="str">
        <f>IFERROR(VLOOKUP($B232,S$109:$AG$208,S$107,FALSE),"")</f>
        <v>Select 240 EC</v>
      </c>
      <c r="T232" s="1518" t="str">
        <f>IFERROR(VLOOKUP($B232,T$109:$AG$208,T$107,FALSE),"")</f>
        <v/>
      </c>
      <c r="U232" s="1518" t="str">
        <f>IFERROR(VLOOKUP($B232,U$109:$AG$208,U$107,FALSE),"")</f>
        <v/>
      </c>
      <c r="V232" s="1518" t="str">
        <f>IFERROR(VLOOKUP($B232,V$109:$AG$208,V$107,FALSE),"")</f>
        <v/>
      </c>
      <c r="W232" s="1518" t="str">
        <f>IFERROR(VLOOKUP($B232,W$109:$AG$208,W$107,FALSE),"")</f>
        <v/>
      </c>
      <c r="X232" s="1518" t="str">
        <f>IFERROR(VLOOKUP($B232,X$109:$AG$208,X$107,FALSE),"")</f>
        <v/>
      </c>
      <c r="Y232" s="1518" t="str">
        <f>IFERROR(VLOOKUP($B232,Y$109:$AG$208,Y$107,FALSE),"")</f>
        <v/>
      </c>
      <c r="Z232" s="1518" t="str">
        <f>IFERROR(VLOOKUP($B232,Z$109:$AG$208,Z$107,FALSE),"")</f>
        <v/>
      </c>
      <c r="AA232" s="1518" t="str">
        <f>IFERROR(VLOOKUP($B232,AA$109:$AG$208,AA$107,FALSE),"")</f>
        <v/>
      </c>
      <c r="AB232" s="1518" t="str">
        <f>IFERROR(VLOOKUP($B232,AB$109:$AG$208,AB$107,FALSE),"")</f>
        <v/>
      </c>
      <c r="AC232" s="1518" t="str">
        <f>IFERROR(VLOOKUP($B232,AC$109:$AG$208,AC$107,FALSE),"")</f>
        <v/>
      </c>
      <c r="AD232" s="1518" t="str">
        <f>IFERROR(VLOOKUP($B232,AD$109:$AG$208,AD$107,FALSE),"")</f>
        <v>Centium 36 CS</v>
      </c>
      <c r="AE232" s="1518" t="str">
        <f>IFERROR(VLOOKUP($B232,AE$109:$AG$208,AE$107,FALSE),"")</f>
        <v/>
      </c>
      <c r="AF232" s="1518" t="str">
        <f>IFERROR(VLOOKUP($B232,AF$109:$AG$208,AF$107,FALSE),"")</f>
        <v/>
      </c>
    </row>
    <row r="233" spans="2:32" hidden="1">
      <c r="B233" s="1525">
        <f t="shared" si="19"/>
        <v>19</v>
      </c>
      <c r="F233" s="1518" t="str">
        <f>IFERROR(VLOOKUP($B233,F$109:$AG$208,F$107,FALSE),"")</f>
        <v>Malibu</v>
      </c>
      <c r="G233" s="1518" t="str">
        <f>IFERROR(VLOOKUP($B233,G$109:$AG$208,G$107,FALSE),"")</f>
        <v>Comet</v>
      </c>
      <c r="H233" s="1518" t="str">
        <f>IFERROR(VLOOKUP($B233,H$109:$AG$208,H$107,FALSE),"")</f>
        <v>Malibu</v>
      </c>
      <c r="I233" s="1518" t="str">
        <f>IFERROR(VLOOKUP($B233,I$109:$AG$208,I$107,FALSE),"")</f>
        <v>Pointer Plus</v>
      </c>
      <c r="J233" s="1518" t="str">
        <f>IFERROR(VLOOKUP($B233,J$109:$AG$208,J$107,FALSE),"")</f>
        <v>Primus Perfect</v>
      </c>
      <c r="K233" s="1518" t="str">
        <f>IFERROR(VLOOKUP($B233,K$109:$AG$208,K$107,FALSE),"")</f>
        <v>Comet</v>
      </c>
      <c r="L233" s="1518" t="str">
        <f>IFERROR(VLOOKUP($B233,L$109:$AG$208,L$107,FALSE),"")</f>
        <v>Revytrex</v>
      </c>
      <c r="M233" s="1518" t="str">
        <f>IFERROR(VLOOKUP($B233,M$109:$AG$208,M$107,FALSE),"")</f>
        <v>Revytrex</v>
      </c>
      <c r="N233" s="1518" t="str">
        <f>IFERROR(VLOOKUP($B233,N$109:$AG$208,N$107,FALSE),"")</f>
        <v/>
      </c>
      <c r="O233" s="1518" t="str">
        <f>IFERROR(VLOOKUP($B233,O$109:$AG$208,O$107,FALSE),"")</f>
        <v/>
      </c>
      <c r="P233" s="1518" t="str">
        <f>IFERROR(VLOOKUP($B233,P$109:$AG$208,P$107,FALSE),"")</f>
        <v/>
      </c>
      <c r="Q233" s="1518" t="str">
        <f>IFERROR(VLOOKUP($B233,Q$109:$AG$208,Q$107,FALSE),"")</f>
        <v/>
      </c>
      <c r="R233" s="1518" t="str">
        <f>IFERROR(VLOOKUP($B233,R$109:$AG$208,R$107,FALSE),"")</f>
        <v/>
      </c>
      <c r="S233" s="1518" t="str">
        <f>IFERROR(VLOOKUP($B233,S$109:$AG$208,S$107,FALSE),"")</f>
        <v>Stomp Aqua</v>
      </c>
      <c r="T233" s="1518" t="str">
        <f>IFERROR(VLOOKUP($B233,T$109:$AG$208,T$107,FALSE),"")</f>
        <v/>
      </c>
      <c r="U233" s="1518" t="str">
        <f>IFERROR(VLOOKUP($B233,U$109:$AG$208,U$107,FALSE),"")</f>
        <v/>
      </c>
      <c r="V233" s="1518" t="str">
        <f>IFERROR(VLOOKUP($B233,V$109:$AG$208,V$107,FALSE),"")</f>
        <v/>
      </c>
      <c r="W233" s="1518" t="str">
        <f>IFERROR(VLOOKUP($B233,W$109:$AG$208,W$107,FALSE),"")</f>
        <v/>
      </c>
      <c r="X233" s="1518" t="str">
        <f>IFERROR(VLOOKUP($B233,X$109:$AG$208,X$107,FALSE),"")</f>
        <v/>
      </c>
      <c r="Y233" s="1518" t="str">
        <f>IFERROR(VLOOKUP($B233,Y$109:$AG$208,Y$107,FALSE),"")</f>
        <v/>
      </c>
      <c r="Z233" s="1518" t="str">
        <f>IFERROR(VLOOKUP($B233,Z$109:$AG$208,Z$107,FALSE),"")</f>
        <v/>
      </c>
      <c r="AA233" s="1518" t="str">
        <f>IFERROR(VLOOKUP($B233,AA$109:$AG$208,AA$107,FALSE),"")</f>
        <v/>
      </c>
      <c r="AB233" s="1518" t="str">
        <f>IFERROR(VLOOKUP($B233,AB$109:$AG$208,AB$107,FALSE),"")</f>
        <v/>
      </c>
      <c r="AC233" s="1518" t="str">
        <f>IFERROR(VLOOKUP($B233,AC$109:$AG$208,AC$107,FALSE),"")</f>
        <v/>
      </c>
      <c r="AD233" s="1518" t="str">
        <f>IFERROR(VLOOKUP($B233,AD$109:$AG$208,AD$107,FALSE),"")</f>
        <v>Cerone 660</v>
      </c>
      <c r="AE233" s="1518" t="str">
        <f>IFERROR(VLOOKUP($B233,AE$109:$AG$208,AE$107,FALSE),"")</f>
        <v/>
      </c>
      <c r="AF233" s="1518" t="str">
        <f>IFERROR(VLOOKUP($B233,AF$109:$AG$208,AF$107,FALSE),"")</f>
        <v/>
      </c>
    </row>
    <row r="234" spans="2:32" hidden="1">
      <c r="B234" s="1525">
        <f t="shared" si="19"/>
        <v>20</v>
      </c>
      <c r="F234" s="1518" t="str">
        <f>IFERROR(VLOOKUP($B234,F$109:$AG$208,F$107,FALSE),"")</f>
        <v>Moddus</v>
      </c>
      <c r="G234" s="1518" t="str">
        <f>IFERROR(VLOOKUP($B234,G$109:$AG$208,G$107,FALSE),"")</f>
        <v>Stomp Aqua</v>
      </c>
      <c r="H234" s="1518" t="str">
        <f>IFERROR(VLOOKUP($B234,H$109:$AG$208,H$107,FALSE),"")</f>
        <v>Moddus</v>
      </c>
      <c r="I234" s="1518" t="str">
        <f>IFERROR(VLOOKUP($B234,I$109:$AG$208,I$107,FALSE),"")</f>
        <v>Primus Perfect</v>
      </c>
      <c r="J234" s="1518" t="str">
        <f>IFERROR(VLOOKUP($B234,J$109:$AG$208,J$107,FALSE),"")</f>
        <v>Prosaro</v>
      </c>
      <c r="K234" s="1518" t="str">
        <f>IFERROR(VLOOKUP($B234,K$109:$AG$208,K$107,FALSE),"")</f>
        <v>Starane XL</v>
      </c>
      <c r="L234" s="1518" t="str">
        <f>IFERROR(VLOOKUP($B234,L$109:$AG$208,L$107,FALSE),"")</f>
        <v>Comet</v>
      </c>
      <c r="M234" s="1518" t="str">
        <f>IFERROR(VLOOKUP($B234,M$109:$AG$208,M$107,FALSE),"")</f>
        <v>Comet</v>
      </c>
      <c r="N234" s="1518" t="str">
        <f>IFERROR(VLOOKUP($B234,N$109:$AG$208,N$107,FALSE),"")</f>
        <v/>
      </c>
      <c r="O234" s="1518" t="str">
        <f>IFERROR(VLOOKUP($B234,O$109:$AG$208,O$107,FALSE),"")</f>
        <v/>
      </c>
      <c r="P234" s="1518" t="str">
        <f>IFERROR(VLOOKUP($B234,P$109:$AG$208,P$107,FALSE),"")</f>
        <v/>
      </c>
      <c r="Q234" s="1518" t="str">
        <f>IFERROR(VLOOKUP($B234,Q$109:$AG$208,Q$107,FALSE),"")</f>
        <v/>
      </c>
      <c r="R234" s="1518" t="str">
        <f>IFERROR(VLOOKUP($B234,R$109:$AG$208,R$107,FALSE),"")</f>
        <v/>
      </c>
      <c r="S234" s="1518" t="str">
        <f>IFERROR(VLOOKUP($B234,S$109:$AG$208,S$107,FALSE),"")</f>
        <v>Tilmor</v>
      </c>
      <c r="T234" s="1518" t="str">
        <f>IFERROR(VLOOKUP($B234,T$109:$AG$208,T$107,FALSE),"")</f>
        <v/>
      </c>
      <c r="U234" s="1518" t="str">
        <f>IFERROR(VLOOKUP($B234,U$109:$AG$208,U$107,FALSE),"")</f>
        <v/>
      </c>
      <c r="V234" s="1518" t="str">
        <f>IFERROR(VLOOKUP($B234,V$109:$AG$208,V$107,FALSE),"")</f>
        <v/>
      </c>
      <c r="W234" s="1518" t="str">
        <f>IFERROR(VLOOKUP($B234,W$109:$AG$208,W$107,FALSE),"")</f>
        <v/>
      </c>
      <c r="X234" s="1518" t="str">
        <f>IFERROR(VLOOKUP($B234,X$109:$AG$208,X$107,FALSE),"")</f>
        <v/>
      </c>
      <c r="Y234" s="1518" t="str">
        <f>IFERROR(VLOOKUP($B234,Y$109:$AG$208,Y$107,FALSE),"")</f>
        <v/>
      </c>
      <c r="Z234" s="1518" t="str">
        <f>IFERROR(VLOOKUP($B234,Z$109:$AG$208,Z$107,FALSE),"")</f>
        <v/>
      </c>
      <c r="AA234" s="1518" t="str">
        <f>IFERROR(VLOOKUP($B234,AA$109:$AG$208,AA$107,FALSE),"")</f>
        <v/>
      </c>
      <c r="AB234" s="1518" t="str">
        <f>IFERROR(VLOOKUP($B234,AB$109:$AG$208,AB$107,FALSE),"")</f>
        <v/>
      </c>
      <c r="AC234" s="1518" t="str">
        <f>IFERROR(VLOOKUP($B234,AC$109:$AG$208,AC$107,FALSE),"")</f>
        <v/>
      </c>
      <c r="AD234" s="1518" t="str">
        <f>IFERROR(VLOOKUP($B234,AD$109:$AG$208,AD$107,FALSE),"")</f>
        <v>Coragen</v>
      </c>
      <c r="AE234" s="1518" t="str">
        <f>IFERROR(VLOOKUP($B234,AE$109:$AG$208,AE$107,FALSE),"")</f>
        <v/>
      </c>
      <c r="AF234" s="1518" t="str">
        <f>IFERROR(VLOOKUP($B234,AF$109:$AG$208,AF$107,FALSE),"")</f>
        <v/>
      </c>
    </row>
    <row r="235" spans="2:32" hidden="1">
      <c r="B235" s="1525">
        <f t="shared" si="19"/>
        <v>21</v>
      </c>
      <c r="F235" s="1518" t="str">
        <f>IFERROR(VLOOKUP($B235,F$109:$AG$208,F$107,FALSE),"")</f>
        <v>Pointer Plus</v>
      </c>
      <c r="G235" s="1518" t="str">
        <f>IFERROR(VLOOKUP($B235,G$109:$AG$208,G$107,FALSE),"")</f>
        <v>Zypar</v>
      </c>
      <c r="H235" s="1518" t="str">
        <f>IFERROR(VLOOKUP($B235,H$109:$AG$208,H$107,FALSE),"")</f>
        <v>Pointer Plus</v>
      </c>
      <c r="I235" s="1518" t="str">
        <f>IFERROR(VLOOKUP($B235,I$109:$AG$208,I$107,FALSE),"")</f>
        <v>Prosaro</v>
      </c>
      <c r="J235" s="1518" t="str">
        <f>IFERROR(VLOOKUP($B235,J$109:$AG$208,J$107,FALSE),"")</f>
        <v>Revytrex</v>
      </c>
      <c r="K235" s="1518" t="str">
        <f>IFERROR(VLOOKUP($B235,K$109:$AG$208,K$107,FALSE),"")</f>
        <v>Zypar</v>
      </c>
      <c r="L235" s="1518" t="str">
        <f>IFERROR(VLOOKUP($B235,L$109:$AG$208,L$107,FALSE),"")</f>
        <v>Starane XL</v>
      </c>
      <c r="M235" s="1518" t="str">
        <f>IFERROR(VLOOKUP($B235,M$109:$AG$208,M$107,FALSE),"")</f>
        <v>Starane XL</v>
      </c>
      <c r="N235" s="1518" t="str">
        <f>IFERROR(VLOOKUP($B235,N$109:$AG$208,N$107,FALSE),"")</f>
        <v/>
      </c>
      <c r="O235" s="1518" t="str">
        <f>IFERROR(VLOOKUP($B235,O$109:$AG$208,O$107,FALSE),"")</f>
        <v/>
      </c>
      <c r="P235" s="1518" t="str">
        <f>IFERROR(VLOOKUP($B235,P$109:$AG$208,P$107,FALSE),"")</f>
        <v/>
      </c>
      <c r="Q235" s="1518" t="str">
        <f>IFERROR(VLOOKUP($B235,Q$109:$AG$208,Q$107,FALSE),"")</f>
        <v/>
      </c>
      <c r="R235" s="1518" t="str">
        <f>IFERROR(VLOOKUP($B235,R$109:$AG$208,R$107,FALSE),"")</f>
        <v/>
      </c>
      <c r="S235" s="1518" t="str">
        <f>IFERROR(VLOOKUP($B235,S$109:$AG$208,S$107,FALSE),"")</f>
        <v>Trebon 30 EC</v>
      </c>
      <c r="T235" s="1518" t="str">
        <f>IFERROR(VLOOKUP($B235,T$109:$AG$208,T$107,FALSE),"")</f>
        <v/>
      </c>
      <c r="U235" s="1518" t="str">
        <f>IFERROR(VLOOKUP($B235,U$109:$AG$208,U$107,FALSE),"")</f>
        <v/>
      </c>
      <c r="V235" s="1518" t="str">
        <f>IFERROR(VLOOKUP($B235,V$109:$AG$208,V$107,FALSE),"")</f>
        <v/>
      </c>
      <c r="W235" s="1518" t="str">
        <f>IFERROR(VLOOKUP($B235,W$109:$AG$208,W$107,FALSE),"")</f>
        <v/>
      </c>
      <c r="X235" s="1518" t="str">
        <f>IFERROR(VLOOKUP($B235,X$109:$AG$208,X$107,FALSE),"")</f>
        <v/>
      </c>
      <c r="Y235" s="1518" t="str">
        <f>IFERROR(VLOOKUP($B235,Y$109:$AG$208,Y$107,FALSE),"")</f>
        <v/>
      </c>
      <c r="Z235" s="1518" t="str">
        <f>IFERROR(VLOOKUP($B235,Z$109:$AG$208,Z$107,FALSE),"")</f>
        <v/>
      </c>
      <c r="AA235" s="1518" t="str">
        <f>IFERROR(VLOOKUP($B235,AA$109:$AG$208,AA$107,FALSE),"")</f>
        <v/>
      </c>
      <c r="AB235" s="1518" t="str">
        <f>IFERROR(VLOOKUP($B235,AB$109:$AG$208,AB$107,FALSE),"")</f>
        <v/>
      </c>
      <c r="AC235" s="1518" t="str">
        <f>IFERROR(VLOOKUP($B235,AC$109:$AG$208,AC$107,FALSE),"")</f>
        <v/>
      </c>
      <c r="AD235" s="1518" t="str">
        <f>IFERROR(VLOOKUP($B235,AD$109:$AG$208,AD$107,FALSE),"")</f>
        <v>Effigo</v>
      </c>
      <c r="AE235" s="1518" t="str">
        <f>IFERROR(VLOOKUP($B235,AE$109:$AG$208,AE$107,FALSE),"")</f>
        <v/>
      </c>
      <c r="AF235" s="1518" t="str">
        <f>IFERROR(VLOOKUP($B235,AF$109:$AG$208,AF$107,FALSE),"")</f>
        <v/>
      </c>
    </row>
    <row r="236" spans="2:32" hidden="1">
      <c r="B236" s="1525">
        <f t="shared" si="19"/>
        <v>22</v>
      </c>
      <c r="F236" s="1518" t="str">
        <f>IFERROR(VLOOKUP($B236,F$109:$AG$208,F$107,FALSE),"")</f>
        <v>Primus Perfect</v>
      </c>
      <c r="G236" s="1518" t="str">
        <f>IFERROR(VLOOKUP($B236,G$109:$AG$208,G$107,FALSE),"")</f>
        <v>Univoq</v>
      </c>
      <c r="H236" s="1518" t="str">
        <f>IFERROR(VLOOKUP($B236,H$109:$AG$208,H$107,FALSE),"")</f>
        <v>Primus Perfect</v>
      </c>
      <c r="I236" s="1518" t="str">
        <f>IFERROR(VLOOKUP($B236,I$109:$AG$208,I$107,FALSE),"")</f>
        <v>Revytrex</v>
      </c>
      <c r="J236" s="1518" t="str">
        <f>IFERROR(VLOOKUP($B236,J$109:$AG$208,J$107,FALSE),"")</f>
        <v>Comet</v>
      </c>
      <c r="K236" s="1518" t="str">
        <f>IFERROR(VLOOKUP($B236,K$109:$AG$208,K$107,FALSE),"")</f>
        <v>Univoq</v>
      </c>
      <c r="L236" s="1518" t="str">
        <f>IFERROR(VLOOKUP($B236,L$109:$AG$208,L$107,FALSE),"")</f>
        <v>Zypar</v>
      </c>
      <c r="M236" s="1518" t="str">
        <f>IFERROR(VLOOKUP($B236,M$109:$AG$208,M$107,FALSE),"")</f>
        <v>Zypar</v>
      </c>
      <c r="N236" s="1518" t="str">
        <f>IFERROR(VLOOKUP($B236,N$109:$AG$208,N$107,FALSE),"")</f>
        <v/>
      </c>
      <c r="O236" s="1518" t="str">
        <f>IFERROR(VLOOKUP($B236,O$109:$AG$208,O$107,FALSE),"")</f>
        <v/>
      </c>
      <c r="P236" s="1518" t="str">
        <f>IFERROR(VLOOKUP($B236,P$109:$AG$208,P$107,FALSE),"")</f>
        <v/>
      </c>
      <c r="Q236" s="1518" t="str">
        <f>IFERROR(VLOOKUP($B236,Q$109:$AG$208,Q$107,FALSE),"")</f>
        <v/>
      </c>
      <c r="R236" s="1518" t="str">
        <f>IFERROR(VLOOKUP($B236,R$109:$AG$208,R$107,FALSE),"")</f>
        <v/>
      </c>
      <c r="S236" s="1518" t="str">
        <f>IFERROR(VLOOKUP($B236,S$109:$AG$208,S$107,FALSE),"")</f>
        <v/>
      </c>
      <c r="T236" s="1518" t="str">
        <f>IFERROR(VLOOKUP($B236,T$109:$AG$208,T$107,FALSE),"")</f>
        <v/>
      </c>
      <c r="U236" s="1518" t="str">
        <f>IFERROR(VLOOKUP($B236,U$109:$AG$208,U$107,FALSE),"")</f>
        <v/>
      </c>
      <c r="V236" s="1518" t="str">
        <f>IFERROR(VLOOKUP($B236,V$109:$AG$208,V$107,FALSE),"")</f>
        <v/>
      </c>
      <c r="W236" s="1518" t="str">
        <f>IFERROR(VLOOKUP($B236,W$109:$AG$208,W$107,FALSE),"")</f>
        <v/>
      </c>
      <c r="X236" s="1518" t="str">
        <f>IFERROR(VLOOKUP($B236,X$109:$AG$208,X$107,FALSE),"")</f>
        <v/>
      </c>
      <c r="Y236" s="1518" t="str">
        <f>IFERROR(VLOOKUP($B236,Y$109:$AG$208,Y$107,FALSE),"")</f>
        <v/>
      </c>
      <c r="Z236" s="1518" t="str">
        <f>IFERROR(VLOOKUP($B236,Z$109:$AG$208,Z$107,FALSE),"")</f>
        <v/>
      </c>
      <c r="AA236" s="1518" t="str">
        <f>IFERROR(VLOOKUP($B236,AA$109:$AG$208,AA$107,FALSE),"")</f>
        <v/>
      </c>
      <c r="AB236" s="1518" t="str">
        <f>IFERROR(VLOOKUP($B236,AB$109:$AG$208,AB$107,FALSE),"")</f>
        <v/>
      </c>
      <c r="AC236" s="1518" t="str">
        <f>IFERROR(VLOOKUP($B236,AC$109:$AG$208,AC$107,FALSE),"")</f>
        <v/>
      </c>
      <c r="AD236" s="1518" t="str">
        <f>IFERROR(VLOOKUP($B236,AD$109:$AG$208,AD$107,FALSE),"")</f>
        <v>Elatus Era</v>
      </c>
      <c r="AE236" s="1518" t="str">
        <f>IFERROR(VLOOKUP($B236,AE$109:$AG$208,AE$107,FALSE),"")</f>
        <v/>
      </c>
      <c r="AF236" s="1518" t="str">
        <f>IFERROR(VLOOKUP($B236,AF$109:$AG$208,AF$107,FALSE),"")</f>
        <v/>
      </c>
    </row>
    <row r="237" spans="2:32" hidden="1">
      <c r="B237" s="1525">
        <f t="shared" si="19"/>
        <v>23</v>
      </c>
      <c r="F237" s="1518" t="str">
        <f>IFERROR(VLOOKUP($B237,F$109:$AG$208,F$107,FALSE),"")</f>
        <v>Prosaro</v>
      </c>
      <c r="G237" s="1518" t="str">
        <f>IFERROR(VLOOKUP($B237,G$109:$AG$208,G$107,FALSE),"")</f>
        <v/>
      </c>
      <c r="H237" s="1518" t="str">
        <f>IFERROR(VLOOKUP($B237,H$109:$AG$208,H$107,FALSE),"")</f>
        <v>Prosaro</v>
      </c>
      <c r="I237" s="1518" t="str">
        <f>IFERROR(VLOOKUP($B237,I$109:$AG$208,I$107,FALSE),"")</f>
        <v>Comet</v>
      </c>
      <c r="J237" s="1518" t="str">
        <f>IFERROR(VLOOKUP($B237,J$109:$AG$208,J$107,FALSE),"")</f>
        <v>Starane XL</v>
      </c>
      <c r="K237" s="1518" t="str">
        <f>IFERROR(VLOOKUP($B237,K$109:$AG$208,K$107,FALSE),"")</f>
        <v/>
      </c>
      <c r="L237" s="1518" t="str">
        <f>IFERROR(VLOOKUP($B237,L$109:$AG$208,L$107,FALSE),"")</f>
        <v/>
      </c>
      <c r="M237" s="1518" t="str">
        <f>IFERROR(VLOOKUP($B237,M$109:$AG$208,M$107,FALSE),"")</f>
        <v/>
      </c>
      <c r="N237" s="1518" t="str">
        <f>IFERROR(VLOOKUP($B237,N$109:$AG$208,N$107,FALSE),"")</f>
        <v/>
      </c>
      <c r="O237" s="1518" t="str">
        <f>IFERROR(VLOOKUP($B237,O$109:$AG$208,O$107,FALSE),"")</f>
        <v/>
      </c>
      <c r="P237" s="1518" t="str">
        <f>IFERROR(VLOOKUP($B237,P$109:$AG$208,P$107,FALSE),"")</f>
        <v/>
      </c>
      <c r="Q237" s="1518" t="str">
        <f>IFERROR(VLOOKUP($B237,Q$109:$AG$208,Q$107,FALSE),"")</f>
        <v/>
      </c>
      <c r="R237" s="1518" t="str">
        <f>IFERROR(VLOOKUP($B237,R$109:$AG$208,R$107,FALSE),"")</f>
        <v/>
      </c>
      <c r="S237" s="1518" t="str">
        <f>IFERROR(VLOOKUP($B237,S$109:$AG$208,S$107,FALSE),"")</f>
        <v/>
      </c>
      <c r="T237" s="1518" t="str">
        <f>IFERROR(VLOOKUP($B237,T$109:$AG$208,T$107,FALSE),"")</f>
        <v/>
      </c>
      <c r="U237" s="1518" t="str">
        <f>IFERROR(VLOOKUP($B237,U$109:$AG$208,U$107,FALSE),"")</f>
        <v/>
      </c>
      <c r="V237" s="1518" t="str">
        <f>IFERROR(VLOOKUP($B237,V$109:$AG$208,V$107,FALSE),"")</f>
        <v/>
      </c>
      <c r="W237" s="1518" t="str">
        <f>IFERROR(VLOOKUP($B237,W$109:$AG$208,W$107,FALSE),"")</f>
        <v/>
      </c>
      <c r="X237" s="1518" t="str">
        <f>IFERROR(VLOOKUP($B237,X$109:$AG$208,X$107,FALSE),"")</f>
        <v/>
      </c>
      <c r="Y237" s="1518" t="str">
        <f>IFERROR(VLOOKUP($B237,Y$109:$AG$208,Y$107,FALSE),"")</f>
        <v/>
      </c>
      <c r="Z237" s="1518" t="str">
        <f>IFERROR(VLOOKUP($B237,Z$109:$AG$208,Z$107,FALSE),"")</f>
        <v/>
      </c>
      <c r="AA237" s="1518" t="str">
        <f>IFERROR(VLOOKUP($B237,AA$109:$AG$208,AA$107,FALSE),"")</f>
        <v/>
      </c>
      <c r="AB237" s="1518" t="str">
        <f>IFERROR(VLOOKUP($B237,AB$109:$AG$208,AB$107,FALSE),"")</f>
        <v/>
      </c>
      <c r="AC237" s="1518" t="str">
        <f>IFERROR(VLOOKUP($B237,AC$109:$AG$208,AC$107,FALSE),"")</f>
        <v/>
      </c>
      <c r="AD237" s="1518" t="str">
        <f>IFERROR(VLOOKUP($B237,AD$109:$AG$208,AD$107,FALSE),"")</f>
        <v>Elumis P Pack, Elumis</v>
      </c>
      <c r="AE237" s="1518" t="str">
        <f>IFERROR(VLOOKUP($B237,AE$109:$AG$208,AE$107,FALSE),"")</f>
        <v/>
      </c>
      <c r="AF237" s="1518" t="str">
        <f>IFERROR(VLOOKUP($B237,AF$109:$AG$208,AF$107,FALSE),"")</f>
        <v/>
      </c>
    </row>
    <row r="238" spans="2:32" hidden="1">
      <c r="B238" s="1525">
        <f t="shared" si="19"/>
        <v>24</v>
      </c>
      <c r="F238" s="1518" t="str">
        <f>IFERROR(VLOOKUP($B238,F$109:$AG$208,F$107,FALSE),"")</f>
        <v>Revytrex</v>
      </c>
      <c r="G238" s="1518" t="str">
        <f>IFERROR(VLOOKUP($B238,G$109:$AG$208,G$107,FALSE),"")</f>
        <v/>
      </c>
      <c r="H238" s="1518" t="str">
        <f>IFERROR(VLOOKUP($B238,H$109:$AG$208,H$107,FALSE),"")</f>
        <v>Revytrex</v>
      </c>
      <c r="I238" s="1518" t="str">
        <f>IFERROR(VLOOKUP($B238,I$109:$AG$208,I$107,FALSE),"")</f>
        <v>Starane XL</v>
      </c>
      <c r="J238" s="1518" t="str">
        <f>IFERROR(VLOOKUP($B238,J$109:$AG$208,J$107,FALSE),"")</f>
        <v>Stomp Aqua</v>
      </c>
      <c r="K238" s="1518" t="str">
        <f>IFERROR(VLOOKUP($B238,K$109:$AG$208,K$107,FALSE),"")</f>
        <v/>
      </c>
      <c r="L238" s="1518" t="str">
        <f>IFERROR(VLOOKUP($B238,L$109:$AG$208,L$107,FALSE),"")</f>
        <v/>
      </c>
      <c r="M238" s="1518" t="str">
        <f>IFERROR(VLOOKUP($B238,M$109:$AG$208,M$107,FALSE),"")</f>
        <v/>
      </c>
      <c r="N238" s="1518" t="str">
        <f>IFERROR(VLOOKUP($B238,N$109:$AG$208,N$107,FALSE),"")</f>
        <v/>
      </c>
      <c r="O238" s="1518" t="str">
        <f>IFERROR(VLOOKUP($B238,O$109:$AG$208,O$107,FALSE),"")</f>
        <v/>
      </c>
      <c r="P238" s="1518" t="str">
        <f>IFERROR(VLOOKUP($B238,P$109:$AG$208,P$107,FALSE),"")</f>
        <v/>
      </c>
      <c r="Q238" s="1518" t="str">
        <f>IFERROR(VLOOKUP($B238,Q$109:$AG$208,Q$107,FALSE),"")</f>
        <v/>
      </c>
      <c r="R238" s="1518" t="str">
        <f>IFERROR(VLOOKUP($B238,R$109:$AG$208,R$107,FALSE),"")</f>
        <v/>
      </c>
      <c r="S238" s="1518" t="str">
        <f>IFERROR(VLOOKUP($B238,S$109:$AG$208,S$107,FALSE),"")</f>
        <v/>
      </c>
      <c r="T238" s="1518" t="str">
        <f>IFERROR(VLOOKUP($B238,T$109:$AG$208,T$107,FALSE),"")</f>
        <v/>
      </c>
      <c r="U238" s="1518" t="str">
        <f>IFERROR(VLOOKUP($B238,U$109:$AG$208,U$107,FALSE),"")</f>
        <v/>
      </c>
      <c r="V238" s="1518" t="str">
        <f>IFERROR(VLOOKUP($B238,V$109:$AG$208,V$107,FALSE),"")</f>
        <v/>
      </c>
      <c r="W238" s="1518" t="str">
        <f>IFERROR(VLOOKUP($B238,W$109:$AG$208,W$107,FALSE),"")</f>
        <v/>
      </c>
      <c r="X238" s="1518" t="str">
        <f>IFERROR(VLOOKUP($B238,X$109:$AG$208,X$107,FALSE),"")</f>
        <v/>
      </c>
      <c r="Y238" s="1518" t="str">
        <f>IFERROR(VLOOKUP($B238,Y$109:$AG$208,Y$107,FALSE),"")</f>
        <v/>
      </c>
      <c r="Z238" s="1518" t="str">
        <f>IFERROR(VLOOKUP($B238,Z$109:$AG$208,Z$107,FALSE),"")</f>
        <v/>
      </c>
      <c r="AA238" s="1518" t="str">
        <f>IFERROR(VLOOKUP($B238,AA$109:$AG$208,AA$107,FALSE),"")</f>
        <v/>
      </c>
      <c r="AB238" s="1518" t="str">
        <f>IFERROR(VLOOKUP($B238,AB$109:$AG$208,AB$107,FALSE),"")</f>
        <v/>
      </c>
      <c r="AC238" s="1518" t="str">
        <f>IFERROR(VLOOKUP($B238,AC$109:$AG$208,AC$107,FALSE),"")</f>
        <v/>
      </c>
      <c r="AD238" s="1518" t="str">
        <f>IFERROR(VLOOKUP($B238,AD$109:$AG$208,AD$107,FALSE),"")</f>
        <v>Elumis P Pack, Peak</v>
      </c>
      <c r="AE238" s="1518" t="str">
        <f>IFERROR(VLOOKUP($B238,AE$109:$AG$208,AE$107,FALSE),"")</f>
        <v/>
      </c>
      <c r="AF238" s="1518" t="str">
        <f>IFERROR(VLOOKUP($B238,AF$109:$AG$208,AF$107,FALSE),"")</f>
        <v/>
      </c>
    </row>
    <row r="239" spans="2:32" hidden="1">
      <c r="B239" s="1525">
        <f t="shared" si="19"/>
        <v>25</v>
      </c>
      <c r="F239" s="1518" t="str">
        <f>IFERROR(VLOOKUP($B239,F$109:$AG$208,F$107,FALSE),"")</f>
        <v>Comet</v>
      </c>
      <c r="G239" s="1518" t="str">
        <f>IFERROR(VLOOKUP($B239,G$109:$AG$208,G$107,FALSE),"")</f>
        <v/>
      </c>
      <c r="H239" s="1518" t="str">
        <f>IFERROR(VLOOKUP($B239,H$109:$AG$208,H$107,FALSE),"")</f>
        <v>Comet</v>
      </c>
      <c r="I239" s="1518" t="str">
        <f>IFERROR(VLOOKUP($B239,I$109:$AG$208,I$107,FALSE),"")</f>
        <v>Stomp Aqua</v>
      </c>
      <c r="J239" s="1518" t="str">
        <f>IFERROR(VLOOKUP($B239,J$109:$AG$208,J$107,FALSE),"")</f>
        <v>Zypar</v>
      </c>
      <c r="K239" s="1518" t="str">
        <f>IFERROR(VLOOKUP($B239,K$109:$AG$208,K$107,FALSE),"")</f>
        <v/>
      </c>
      <c r="L239" s="1518" t="str">
        <f>IFERROR(VLOOKUP($B239,L$109:$AG$208,L$107,FALSE),"")</f>
        <v/>
      </c>
      <c r="M239" s="1518" t="str">
        <f>IFERROR(VLOOKUP($B239,M$109:$AG$208,M$107,FALSE),"")</f>
        <v/>
      </c>
      <c r="N239" s="1518" t="str">
        <f>IFERROR(VLOOKUP($B239,N$109:$AG$208,N$107,FALSE),"")</f>
        <v/>
      </c>
      <c r="O239" s="1518" t="str">
        <f>IFERROR(VLOOKUP($B239,O$109:$AG$208,O$107,FALSE),"")</f>
        <v/>
      </c>
      <c r="P239" s="1518" t="str">
        <f>IFERROR(VLOOKUP($B239,P$109:$AG$208,P$107,FALSE),"")</f>
        <v/>
      </c>
      <c r="Q239" s="1518" t="str">
        <f>IFERROR(VLOOKUP($B239,Q$109:$AG$208,Q$107,FALSE),"")</f>
        <v/>
      </c>
      <c r="R239" s="1518" t="str">
        <f>IFERROR(VLOOKUP($B239,R$109:$AG$208,R$107,FALSE),"")</f>
        <v/>
      </c>
      <c r="S239" s="1518" t="str">
        <f>IFERROR(VLOOKUP($B239,S$109:$AG$208,S$107,FALSE),"")</f>
        <v/>
      </c>
      <c r="T239" s="1518" t="str">
        <f>IFERROR(VLOOKUP($B239,T$109:$AG$208,T$107,FALSE),"")</f>
        <v/>
      </c>
      <c r="U239" s="1518" t="str">
        <f>IFERROR(VLOOKUP($B239,U$109:$AG$208,U$107,FALSE),"")</f>
        <v/>
      </c>
      <c r="V239" s="1518" t="str">
        <f>IFERROR(VLOOKUP($B239,V$109:$AG$208,V$107,FALSE),"")</f>
        <v/>
      </c>
      <c r="W239" s="1518" t="str">
        <f>IFERROR(VLOOKUP($B239,W$109:$AG$208,W$107,FALSE),"")</f>
        <v/>
      </c>
      <c r="X239" s="1518" t="str">
        <f>IFERROR(VLOOKUP($B239,X$109:$AG$208,X$107,FALSE),"")</f>
        <v/>
      </c>
      <c r="Y239" s="1518" t="str">
        <f>IFERROR(VLOOKUP($B239,Y$109:$AG$208,Y$107,FALSE),"")</f>
        <v/>
      </c>
      <c r="Z239" s="1518" t="str">
        <f>IFERROR(VLOOKUP($B239,Z$109:$AG$208,Z$107,FALSE),"")</f>
        <v/>
      </c>
      <c r="AA239" s="1518" t="str">
        <f>IFERROR(VLOOKUP($B239,AA$109:$AG$208,AA$107,FALSE),"")</f>
        <v/>
      </c>
      <c r="AB239" s="1518" t="str">
        <f>IFERROR(VLOOKUP($B239,AB$109:$AG$208,AB$107,FALSE),"")</f>
        <v/>
      </c>
      <c r="AC239" s="1518" t="str">
        <f>IFERROR(VLOOKUP($B239,AC$109:$AG$208,AC$107,FALSE),"")</f>
        <v/>
      </c>
      <c r="AD239" s="1518" t="str">
        <f>IFERROR(VLOOKUP($B239,AD$109:$AG$208,AD$107,FALSE),"")</f>
        <v>Fandango</v>
      </c>
      <c r="AE239" s="1518" t="str">
        <f>IFERROR(VLOOKUP($B239,AE$109:$AG$208,AE$107,FALSE),"")</f>
        <v/>
      </c>
      <c r="AF239" s="1518" t="str">
        <f>IFERROR(VLOOKUP($B239,AF$109:$AG$208,AF$107,FALSE),"")</f>
        <v/>
      </c>
    </row>
    <row r="240" spans="2:32" hidden="1">
      <c r="B240" s="1525">
        <f t="shared" si="19"/>
        <v>26</v>
      </c>
      <c r="F240" s="1518" t="str">
        <f>IFERROR(VLOOKUP($B240,F$109:$AG$208,F$107,FALSE),"")</f>
        <v>Starane XL</v>
      </c>
      <c r="G240" s="1518" t="str">
        <f>IFERROR(VLOOKUP($B240,G$109:$AG$208,G$107,FALSE),"")</f>
        <v/>
      </c>
      <c r="H240" s="1518" t="str">
        <f>IFERROR(VLOOKUP($B240,H$109:$AG$208,H$107,FALSE),"")</f>
        <v>Starane XL</v>
      </c>
      <c r="I240" s="1518" t="str">
        <f>IFERROR(VLOOKUP($B240,I$109:$AG$208,I$107,FALSE),"")</f>
        <v>Traxos</v>
      </c>
      <c r="J240" s="1518" t="str">
        <f>IFERROR(VLOOKUP($B240,J$109:$AG$208,J$107,FALSE),"")</f>
        <v/>
      </c>
      <c r="K240" s="1518" t="str">
        <f>IFERROR(VLOOKUP($B240,K$109:$AG$208,K$107,FALSE),"")</f>
        <v/>
      </c>
      <c r="L240" s="1518" t="str">
        <f>IFERROR(VLOOKUP($B240,L$109:$AG$208,L$107,FALSE),"")</f>
        <v/>
      </c>
      <c r="M240" s="1518" t="str">
        <f>IFERROR(VLOOKUP($B240,M$109:$AG$208,M$107,FALSE),"")</f>
        <v/>
      </c>
      <c r="N240" s="1518" t="str">
        <f>IFERROR(VLOOKUP($B240,N$109:$AG$208,N$107,FALSE),"")</f>
        <v/>
      </c>
      <c r="O240" s="1518" t="str">
        <f>IFERROR(VLOOKUP($B240,O$109:$AG$208,O$107,FALSE),"")</f>
        <v/>
      </c>
      <c r="P240" s="1518" t="str">
        <f>IFERROR(VLOOKUP($B240,P$109:$AG$208,P$107,FALSE),"")</f>
        <v/>
      </c>
      <c r="Q240" s="1518" t="str">
        <f>IFERROR(VLOOKUP($B240,Q$109:$AG$208,Q$107,FALSE),"")</f>
        <v/>
      </c>
      <c r="R240" s="1518" t="str">
        <f>IFERROR(VLOOKUP($B240,R$109:$AG$208,R$107,FALSE),"")</f>
        <v/>
      </c>
      <c r="S240" s="1518" t="str">
        <f>IFERROR(VLOOKUP($B240,S$109:$AG$208,S$107,FALSE),"")</f>
        <v/>
      </c>
      <c r="T240" s="1518" t="str">
        <f>IFERROR(VLOOKUP($B240,T$109:$AG$208,T$107,FALSE),"")</f>
        <v/>
      </c>
      <c r="U240" s="1518" t="str">
        <f>IFERROR(VLOOKUP($B240,U$109:$AG$208,U$107,FALSE),"")</f>
        <v/>
      </c>
      <c r="V240" s="1518" t="str">
        <f>IFERROR(VLOOKUP($B240,V$109:$AG$208,V$107,FALSE),"")</f>
        <v/>
      </c>
      <c r="W240" s="1518" t="str">
        <f>IFERROR(VLOOKUP($B240,W$109:$AG$208,W$107,FALSE),"")</f>
        <v/>
      </c>
      <c r="X240" s="1518" t="str">
        <f>IFERROR(VLOOKUP($B240,X$109:$AG$208,X$107,FALSE),"")</f>
        <v/>
      </c>
      <c r="Y240" s="1518" t="str">
        <f>IFERROR(VLOOKUP($B240,Y$109:$AG$208,Y$107,FALSE),"")</f>
        <v/>
      </c>
      <c r="Z240" s="1518" t="str">
        <f>IFERROR(VLOOKUP($B240,Z$109:$AG$208,Z$107,FALSE),"")</f>
        <v/>
      </c>
      <c r="AA240" s="1518" t="str">
        <f>IFERROR(VLOOKUP($B240,AA$109:$AG$208,AA$107,FALSE),"")</f>
        <v/>
      </c>
      <c r="AB240" s="1518" t="str">
        <f>IFERROR(VLOOKUP($B240,AB$109:$AG$208,AB$107,FALSE),"")</f>
        <v/>
      </c>
      <c r="AC240" s="1518" t="str">
        <f>IFERROR(VLOOKUP($B240,AC$109:$AG$208,AC$107,FALSE),"")</f>
        <v/>
      </c>
      <c r="AD240" s="1518" t="str">
        <f>IFERROR(VLOOKUP($B240,AD$109:$AG$208,AD$107,FALSE),"")</f>
        <v>Focus Aktiv Pack, Focus Ultra</v>
      </c>
      <c r="AE240" s="1518" t="str">
        <f>IFERROR(VLOOKUP($B240,AE$109:$AG$208,AE$107,FALSE),"")</f>
        <v/>
      </c>
      <c r="AF240" s="1518" t="str">
        <f>IFERROR(VLOOKUP($B240,AF$109:$AG$208,AF$107,FALSE),"")</f>
        <v/>
      </c>
    </row>
    <row r="241" spans="2:32" hidden="1">
      <c r="B241" s="1525">
        <f t="shared" si="19"/>
        <v>27</v>
      </c>
      <c r="F241" s="1518" t="str">
        <f>IFERROR(VLOOKUP($B241,F$109:$AG$208,F$107,FALSE),"")</f>
        <v>Stomp Aqua</v>
      </c>
      <c r="G241" s="1518" t="str">
        <f>IFERROR(VLOOKUP($B241,G$109:$AG$208,G$107,FALSE),"")</f>
        <v/>
      </c>
      <c r="H241" s="1518" t="str">
        <f>IFERROR(VLOOKUP($B241,H$109:$AG$208,H$107,FALSE),"")</f>
        <v>Stomp Aqua</v>
      </c>
      <c r="I241" s="1518" t="str">
        <f>IFERROR(VLOOKUP($B241,I$109:$AG$208,I$107,FALSE),"")</f>
        <v>Zypar</v>
      </c>
      <c r="J241" s="1518" t="str">
        <f>IFERROR(VLOOKUP($B241,J$109:$AG$208,J$107,FALSE),"")</f>
        <v/>
      </c>
      <c r="K241" s="1518" t="str">
        <f>IFERROR(VLOOKUP($B241,K$109:$AG$208,K$107,FALSE),"")</f>
        <v/>
      </c>
      <c r="L241" s="1518" t="str">
        <f>IFERROR(VLOOKUP($B241,L$109:$AG$208,L$107,FALSE),"")</f>
        <v/>
      </c>
      <c r="M241" s="1518" t="str">
        <f>IFERROR(VLOOKUP($B241,M$109:$AG$208,M$107,FALSE),"")</f>
        <v/>
      </c>
      <c r="N241" s="1518" t="str">
        <f>IFERROR(VLOOKUP($B241,N$109:$AG$208,N$107,FALSE),"")</f>
        <v/>
      </c>
      <c r="O241" s="1518" t="str">
        <f>IFERROR(VLOOKUP($B241,O$109:$AG$208,O$107,FALSE),"")</f>
        <v/>
      </c>
      <c r="P241" s="1518" t="str">
        <f>IFERROR(VLOOKUP($B241,P$109:$AG$208,P$107,FALSE),"")</f>
        <v/>
      </c>
      <c r="Q241" s="1518" t="str">
        <f>IFERROR(VLOOKUP($B241,Q$109:$AG$208,Q$107,FALSE),"")</f>
        <v/>
      </c>
      <c r="R241" s="1518" t="str">
        <f>IFERROR(VLOOKUP($B241,R$109:$AG$208,R$107,FALSE),"")</f>
        <v/>
      </c>
      <c r="S241" s="1518" t="str">
        <f>IFERROR(VLOOKUP($B241,S$109:$AG$208,S$107,FALSE),"")</f>
        <v/>
      </c>
      <c r="T241" s="1518" t="str">
        <f>IFERROR(VLOOKUP($B241,T$109:$AG$208,T$107,FALSE),"")</f>
        <v/>
      </c>
      <c r="U241" s="1518" t="str">
        <f>IFERROR(VLOOKUP($B241,U$109:$AG$208,U$107,FALSE),"")</f>
        <v/>
      </c>
      <c r="V241" s="1518" t="str">
        <f>IFERROR(VLOOKUP($B241,V$109:$AG$208,V$107,FALSE),"")</f>
        <v/>
      </c>
      <c r="W241" s="1518" t="str">
        <f>IFERROR(VLOOKUP($B241,W$109:$AG$208,W$107,FALSE),"")</f>
        <v/>
      </c>
      <c r="X241" s="1518" t="str">
        <f>IFERROR(VLOOKUP($B241,X$109:$AG$208,X$107,FALSE),"")</f>
        <v/>
      </c>
      <c r="Y241" s="1518" t="str">
        <f>IFERROR(VLOOKUP($B241,Y$109:$AG$208,Y$107,FALSE),"")</f>
        <v/>
      </c>
      <c r="Z241" s="1518" t="str">
        <f>IFERROR(VLOOKUP($B241,Z$109:$AG$208,Z$107,FALSE),"")</f>
        <v/>
      </c>
      <c r="AA241" s="1518" t="str">
        <f>IFERROR(VLOOKUP($B241,AA$109:$AG$208,AA$107,FALSE),"")</f>
        <v/>
      </c>
      <c r="AB241" s="1518" t="str">
        <f>IFERROR(VLOOKUP($B241,AB$109:$AG$208,AB$107,FALSE),"")</f>
        <v/>
      </c>
      <c r="AC241" s="1518" t="str">
        <f>IFERROR(VLOOKUP($B241,AC$109:$AG$208,AC$107,FALSE),"")</f>
        <v/>
      </c>
      <c r="AD241" s="1518" t="str">
        <f>IFERROR(VLOOKUP($B241,AD$109:$AG$208,AD$107,FALSE),"")</f>
        <v>Folicur</v>
      </c>
      <c r="AE241" s="1518" t="str">
        <f>IFERROR(VLOOKUP($B241,AE$109:$AG$208,AE$107,FALSE),"")</f>
        <v/>
      </c>
      <c r="AF241" s="1518" t="str">
        <f>IFERROR(VLOOKUP($B241,AF$109:$AG$208,AF$107,FALSE),"")</f>
        <v/>
      </c>
    </row>
    <row r="242" spans="2:32" hidden="1">
      <c r="B242" s="1525">
        <f t="shared" si="19"/>
        <v>28</v>
      </c>
      <c r="F242" s="1518" t="str">
        <f>IFERROR(VLOOKUP($B242,F$109:$AG$208,F$107,FALSE),"")</f>
        <v>Teppeki</v>
      </c>
      <c r="G242" s="1518" t="str">
        <f>IFERROR(VLOOKUP($B242,G$109:$AG$208,G$107,FALSE),"")</f>
        <v/>
      </c>
      <c r="H242" s="1518" t="str">
        <f>IFERROR(VLOOKUP($B242,H$109:$AG$208,H$107,FALSE),"")</f>
        <v>Traxos</v>
      </c>
      <c r="I242" s="1518" t="str">
        <f>IFERROR(VLOOKUP($B242,I$109:$AG$208,I$107,FALSE),"")</f>
        <v>Univoq</v>
      </c>
      <c r="J242" s="1518" t="str">
        <f>IFERROR(VLOOKUP($B242,J$109:$AG$208,J$107,FALSE),"")</f>
        <v/>
      </c>
      <c r="K242" s="1518" t="str">
        <f>IFERROR(VLOOKUP($B242,K$109:$AG$208,K$107,FALSE),"")</f>
        <v/>
      </c>
      <c r="L242" s="1518" t="str">
        <f>IFERROR(VLOOKUP($B242,L$109:$AG$208,L$107,FALSE),"")</f>
        <v/>
      </c>
      <c r="M242" s="1518" t="str">
        <f>IFERROR(VLOOKUP($B242,M$109:$AG$208,M$107,FALSE),"")</f>
        <v/>
      </c>
      <c r="N242" s="1518" t="str">
        <f>IFERROR(VLOOKUP($B242,N$109:$AG$208,N$107,FALSE),"")</f>
        <v/>
      </c>
      <c r="O242" s="1518" t="str">
        <f>IFERROR(VLOOKUP($B242,O$109:$AG$208,O$107,FALSE),"")</f>
        <v/>
      </c>
      <c r="P242" s="1518" t="str">
        <f>IFERROR(VLOOKUP($B242,P$109:$AG$208,P$107,FALSE),"")</f>
        <v/>
      </c>
      <c r="Q242" s="1518" t="str">
        <f>IFERROR(VLOOKUP($B242,Q$109:$AG$208,Q$107,FALSE),"")</f>
        <v/>
      </c>
      <c r="R242" s="1518" t="str">
        <f>IFERROR(VLOOKUP($B242,R$109:$AG$208,R$107,FALSE),"")</f>
        <v/>
      </c>
      <c r="S242" s="1518" t="str">
        <f>IFERROR(VLOOKUP($B242,S$109:$AG$208,S$107,FALSE),"")</f>
        <v/>
      </c>
      <c r="T242" s="1518" t="str">
        <f>IFERROR(VLOOKUP($B242,T$109:$AG$208,T$107,FALSE),"")</f>
        <v/>
      </c>
      <c r="U242" s="1518" t="str">
        <f>IFERROR(VLOOKUP($B242,U$109:$AG$208,U$107,FALSE),"")</f>
        <v/>
      </c>
      <c r="V242" s="1518" t="str">
        <f>IFERROR(VLOOKUP($B242,V$109:$AG$208,V$107,FALSE),"")</f>
        <v/>
      </c>
      <c r="W242" s="1518" t="str">
        <f>IFERROR(VLOOKUP($B242,W$109:$AG$208,W$107,FALSE),"")</f>
        <v/>
      </c>
      <c r="X242" s="1518" t="str">
        <f>IFERROR(VLOOKUP($B242,X$109:$AG$208,X$107,FALSE),"")</f>
        <v/>
      </c>
      <c r="Y242" s="1518" t="str">
        <f>IFERROR(VLOOKUP($B242,Y$109:$AG$208,Y$107,FALSE),"")</f>
        <v/>
      </c>
      <c r="Z242" s="1518" t="str">
        <f>IFERROR(VLOOKUP($B242,Z$109:$AG$208,Z$107,FALSE),"")</f>
        <v/>
      </c>
      <c r="AA242" s="1518" t="str">
        <f>IFERROR(VLOOKUP($B242,AA$109:$AG$208,AA$107,FALSE),"")</f>
        <v/>
      </c>
      <c r="AB242" s="1518" t="str">
        <f>IFERROR(VLOOKUP($B242,AB$109:$AG$208,AB$107,FALSE),"")</f>
        <v/>
      </c>
      <c r="AC242" s="1518" t="str">
        <f>IFERROR(VLOOKUP($B242,AC$109:$AG$208,AC$107,FALSE),"")</f>
        <v/>
      </c>
      <c r="AD242" s="1518" t="str">
        <f>IFERROR(VLOOKUP($B242,AD$109:$AG$208,AD$107,FALSE),"")</f>
        <v>Fusilade MAX</v>
      </c>
      <c r="AE242" s="1518" t="str">
        <f>IFERROR(VLOOKUP($B242,AE$109:$AG$208,AE$107,FALSE),"")</f>
        <v/>
      </c>
      <c r="AF242" s="1518" t="str">
        <f>IFERROR(VLOOKUP($B242,AF$109:$AG$208,AF$107,FALSE),"")</f>
        <v/>
      </c>
    </row>
    <row r="243" spans="2:32" hidden="1">
      <c r="B243" s="1525">
        <f t="shared" si="19"/>
        <v>29</v>
      </c>
      <c r="F243" s="1518" t="str">
        <f>IFERROR(VLOOKUP($B243,F$109:$AG$208,F$107,FALSE),"")</f>
        <v>Traxos</v>
      </c>
      <c r="G243" s="1518" t="str">
        <f>IFERROR(VLOOKUP($B243,G$109:$AG$208,G$107,FALSE),"")</f>
        <v/>
      </c>
      <c r="H243" s="1518" t="str">
        <f>IFERROR(VLOOKUP($B243,H$109:$AG$208,H$107,FALSE),"")</f>
        <v>Zypar</v>
      </c>
      <c r="I243" s="1518" t="str">
        <f>IFERROR(VLOOKUP($B243,I$109:$AG$208,I$107,FALSE),"")</f>
        <v/>
      </c>
      <c r="J243" s="1518" t="str">
        <f>IFERROR(VLOOKUP($B243,J$109:$AG$208,J$107,FALSE),"")</f>
        <v/>
      </c>
      <c r="K243" s="1518" t="str">
        <f>IFERROR(VLOOKUP($B243,K$109:$AG$208,K$107,FALSE),"")</f>
        <v/>
      </c>
      <c r="L243" s="1518" t="str">
        <f>IFERROR(VLOOKUP($B243,L$109:$AG$208,L$107,FALSE),"")</f>
        <v/>
      </c>
      <c r="M243" s="1518" t="str">
        <f>IFERROR(VLOOKUP($B243,M$109:$AG$208,M$107,FALSE),"")</f>
        <v/>
      </c>
      <c r="N243" s="1518" t="str">
        <f>IFERROR(VLOOKUP($B243,N$109:$AG$208,N$107,FALSE),"")</f>
        <v/>
      </c>
      <c r="O243" s="1518" t="str">
        <f>IFERROR(VLOOKUP($B243,O$109:$AG$208,O$107,FALSE),"")</f>
        <v/>
      </c>
      <c r="P243" s="1518" t="str">
        <f>IFERROR(VLOOKUP($B243,P$109:$AG$208,P$107,FALSE),"")</f>
        <v/>
      </c>
      <c r="Q243" s="1518" t="str">
        <f>IFERROR(VLOOKUP($B243,Q$109:$AG$208,Q$107,FALSE),"")</f>
        <v/>
      </c>
      <c r="R243" s="1518" t="str">
        <f>IFERROR(VLOOKUP($B243,R$109:$AG$208,R$107,FALSE),"")</f>
        <v/>
      </c>
      <c r="S243" s="1518" t="str">
        <f>IFERROR(VLOOKUP($B243,S$109:$AG$208,S$107,FALSE),"")</f>
        <v/>
      </c>
      <c r="T243" s="1518" t="str">
        <f>IFERROR(VLOOKUP($B243,T$109:$AG$208,T$107,FALSE),"")</f>
        <v/>
      </c>
      <c r="U243" s="1518" t="str">
        <f>IFERROR(VLOOKUP($B243,U$109:$AG$208,U$107,FALSE),"")</f>
        <v/>
      </c>
      <c r="V243" s="1518" t="str">
        <f>IFERROR(VLOOKUP($B243,V$109:$AG$208,V$107,FALSE),"")</f>
        <v/>
      </c>
      <c r="W243" s="1518" t="str">
        <f>IFERROR(VLOOKUP($B243,W$109:$AG$208,W$107,FALSE),"")</f>
        <v/>
      </c>
      <c r="X243" s="1518" t="str">
        <f>IFERROR(VLOOKUP($B243,X$109:$AG$208,X$107,FALSE),"")</f>
        <v/>
      </c>
      <c r="Y243" s="1518" t="str">
        <f>IFERROR(VLOOKUP($B243,Y$109:$AG$208,Y$107,FALSE),"")</f>
        <v/>
      </c>
      <c r="Z243" s="1518" t="str">
        <f>IFERROR(VLOOKUP($B243,Z$109:$AG$208,Z$107,FALSE),"")</f>
        <v/>
      </c>
      <c r="AA243" s="1518" t="str">
        <f>IFERROR(VLOOKUP($B243,AA$109:$AG$208,AA$107,FALSE),"")</f>
        <v/>
      </c>
      <c r="AB243" s="1518" t="str">
        <f>IFERROR(VLOOKUP($B243,AB$109:$AG$208,AB$107,FALSE),"")</f>
        <v/>
      </c>
      <c r="AC243" s="1518" t="str">
        <f>IFERROR(VLOOKUP($B243,AC$109:$AG$208,AC$107,FALSE),"")</f>
        <v/>
      </c>
      <c r="AD243" s="1518" t="str">
        <f>IFERROR(VLOOKUP($B243,AD$109:$AG$208,AD$107,FALSE),"")</f>
        <v>Goltix Gold</v>
      </c>
      <c r="AE243" s="1518" t="str">
        <f>IFERROR(VLOOKUP($B243,AE$109:$AG$208,AE$107,FALSE),"")</f>
        <v/>
      </c>
      <c r="AF243" s="1518" t="str">
        <f>IFERROR(VLOOKUP($B243,AF$109:$AG$208,AF$107,FALSE),"")</f>
        <v/>
      </c>
    </row>
    <row r="244" spans="2:32" hidden="1">
      <c r="B244" s="1525">
        <f t="shared" si="19"/>
        <v>30</v>
      </c>
      <c r="F244" s="1518" t="str">
        <f>IFERROR(VLOOKUP($B244,F$109:$AG$208,F$107,FALSE),"")</f>
        <v>Zypar</v>
      </c>
      <c r="G244" s="1518" t="str">
        <f>IFERROR(VLOOKUP($B244,G$109:$AG$208,G$107,FALSE),"")</f>
        <v/>
      </c>
      <c r="H244" s="1518" t="str">
        <f>IFERROR(VLOOKUP($B244,H$109:$AG$208,H$107,FALSE),"")</f>
        <v>Univoq</v>
      </c>
      <c r="I244" s="1518" t="str">
        <f>IFERROR(VLOOKUP($B244,I$109:$AG$208,I$107,FALSE),"")</f>
        <v/>
      </c>
      <c r="J244" s="1518" t="str">
        <f>IFERROR(VLOOKUP($B244,J$109:$AG$208,J$107,FALSE),"")</f>
        <v/>
      </c>
      <c r="K244" s="1518" t="str">
        <f>IFERROR(VLOOKUP($B244,K$109:$AG$208,K$107,FALSE),"")</f>
        <v/>
      </c>
      <c r="L244" s="1518" t="str">
        <f>IFERROR(VLOOKUP($B244,L$109:$AG$208,L$107,FALSE),"")</f>
        <v/>
      </c>
      <c r="M244" s="1518" t="str">
        <f>IFERROR(VLOOKUP($B244,M$109:$AG$208,M$107,FALSE),"")</f>
        <v/>
      </c>
      <c r="N244" s="1518" t="str">
        <f>IFERROR(VLOOKUP($B244,N$109:$AG$208,N$107,FALSE),"")</f>
        <v/>
      </c>
      <c r="O244" s="1518" t="str">
        <f>IFERROR(VLOOKUP($B244,O$109:$AG$208,O$107,FALSE),"")</f>
        <v/>
      </c>
      <c r="P244" s="1518" t="str">
        <f>IFERROR(VLOOKUP($B244,P$109:$AG$208,P$107,FALSE),"")</f>
        <v/>
      </c>
      <c r="Q244" s="1518" t="str">
        <f>IFERROR(VLOOKUP($B244,Q$109:$AG$208,Q$107,FALSE),"")</f>
        <v/>
      </c>
      <c r="R244" s="1518" t="str">
        <f>IFERROR(VLOOKUP($B244,R$109:$AG$208,R$107,FALSE),"")</f>
        <v/>
      </c>
      <c r="S244" s="1518" t="str">
        <f>IFERROR(VLOOKUP($B244,S$109:$AG$208,S$107,FALSE),"")</f>
        <v/>
      </c>
      <c r="T244" s="1518" t="str">
        <f>IFERROR(VLOOKUP($B244,T$109:$AG$208,T$107,FALSE),"")</f>
        <v/>
      </c>
      <c r="U244" s="1518" t="str">
        <f>IFERROR(VLOOKUP($B244,U$109:$AG$208,U$107,FALSE),"")</f>
        <v/>
      </c>
      <c r="V244" s="1518" t="str">
        <f>IFERROR(VLOOKUP($B244,V$109:$AG$208,V$107,FALSE),"")</f>
        <v/>
      </c>
      <c r="W244" s="1518" t="str">
        <f>IFERROR(VLOOKUP($B244,W$109:$AG$208,W$107,FALSE),"")</f>
        <v/>
      </c>
      <c r="X244" s="1518" t="str">
        <f>IFERROR(VLOOKUP($B244,X$109:$AG$208,X$107,FALSE),"")</f>
        <v/>
      </c>
      <c r="Y244" s="1518" t="str">
        <f>IFERROR(VLOOKUP($B244,Y$109:$AG$208,Y$107,FALSE),"")</f>
        <v/>
      </c>
      <c r="Z244" s="1518" t="str">
        <f>IFERROR(VLOOKUP($B244,Z$109:$AG$208,Z$107,FALSE),"")</f>
        <v/>
      </c>
      <c r="AA244" s="1518" t="str">
        <f>IFERROR(VLOOKUP($B244,AA$109:$AG$208,AA$107,FALSE),"")</f>
        <v/>
      </c>
      <c r="AB244" s="1518" t="str">
        <f>IFERROR(VLOOKUP($B244,AB$109:$AG$208,AB$107,FALSE),"")</f>
        <v/>
      </c>
      <c r="AC244" s="1518" t="str">
        <f>IFERROR(VLOOKUP($B244,AC$109:$AG$208,AC$107,FALSE),"")</f>
        <v/>
      </c>
      <c r="AD244" s="1518" t="str">
        <f>IFERROR(VLOOKUP($B244,AD$109:$AG$208,AD$107,FALSE),"")</f>
        <v>Goltix Titan</v>
      </c>
      <c r="AE244" s="1518" t="str">
        <f>IFERROR(VLOOKUP($B244,AE$109:$AG$208,AE$107,FALSE),"")</f>
        <v/>
      </c>
      <c r="AF244" s="1518" t="str">
        <f>IFERROR(VLOOKUP($B244,AF$109:$AG$208,AF$107,FALSE),"")</f>
        <v/>
      </c>
    </row>
    <row r="245" spans="2:32" hidden="1">
      <c r="B245" s="1525">
        <f t="shared" si="19"/>
        <v>31</v>
      </c>
      <c r="F245" s="1518" t="str">
        <f>IFERROR(VLOOKUP($B245,F$109:$AG$208,F$107,FALSE),"")</f>
        <v>Univoq</v>
      </c>
      <c r="G245" s="1518" t="str">
        <f>IFERROR(VLOOKUP($B245,G$109:$AG$208,G$107,FALSE),"")</f>
        <v/>
      </c>
      <c r="H245" s="1518" t="str">
        <f>IFERROR(VLOOKUP($B245,H$109:$AG$208,H$107,FALSE),"")</f>
        <v/>
      </c>
      <c r="I245" s="1518" t="str">
        <f>IFERROR(VLOOKUP($B245,I$109:$AG$208,I$107,FALSE),"")</f>
        <v/>
      </c>
      <c r="J245" s="1518" t="str">
        <f>IFERROR(VLOOKUP($B245,J$109:$AG$208,J$107,FALSE),"")</f>
        <v/>
      </c>
      <c r="K245" s="1518" t="str">
        <f>IFERROR(VLOOKUP($B245,K$109:$AG$208,K$107,FALSE),"")</f>
        <v/>
      </c>
      <c r="L245" s="1518" t="str">
        <f>IFERROR(VLOOKUP($B245,L$109:$AG$208,L$107,FALSE),"")</f>
        <v/>
      </c>
      <c r="M245" s="1518" t="str">
        <f>IFERROR(VLOOKUP($B245,M$109:$AG$208,M$107,FALSE),"")</f>
        <v/>
      </c>
      <c r="N245" s="1518" t="str">
        <f>IFERROR(VLOOKUP($B245,N$109:$AG$208,N$107,FALSE),"")</f>
        <v/>
      </c>
      <c r="O245" s="1518" t="str">
        <f>IFERROR(VLOOKUP($B245,O$109:$AG$208,O$107,FALSE),"")</f>
        <v/>
      </c>
      <c r="P245" s="1518" t="str">
        <f>IFERROR(VLOOKUP($B245,P$109:$AG$208,P$107,FALSE),"")</f>
        <v/>
      </c>
      <c r="Q245" s="1518" t="str">
        <f>IFERROR(VLOOKUP($B245,Q$109:$AG$208,Q$107,FALSE),"")</f>
        <v/>
      </c>
      <c r="R245" s="1518" t="str">
        <f>IFERROR(VLOOKUP($B245,R$109:$AG$208,R$107,FALSE),"")</f>
        <v/>
      </c>
      <c r="S245" s="1518" t="str">
        <f>IFERROR(VLOOKUP($B245,S$109:$AG$208,S$107,FALSE),"")</f>
        <v/>
      </c>
      <c r="T245" s="1518" t="str">
        <f>IFERROR(VLOOKUP($B245,T$109:$AG$208,T$107,FALSE),"")</f>
        <v/>
      </c>
      <c r="U245" s="1518" t="str">
        <f>IFERROR(VLOOKUP($B245,U$109:$AG$208,U$107,FALSE),"")</f>
        <v/>
      </c>
      <c r="V245" s="1518" t="str">
        <f>IFERROR(VLOOKUP($B245,V$109:$AG$208,V$107,FALSE),"")</f>
        <v/>
      </c>
      <c r="W245" s="1518" t="str">
        <f>IFERROR(VLOOKUP($B245,W$109:$AG$208,W$107,FALSE),"")</f>
        <v/>
      </c>
      <c r="X245" s="1518" t="str">
        <f>IFERROR(VLOOKUP($B245,X$109:$AG$208,X$107,FALSE),"")</f>
        <v/>
      </c>
      <c r="Y245" s="1518" t="str">
        <f>IFERROR(VLOOKUP($B245,Y$109:$AG$208,Y$107,FALSE),"")</f>
        <v/>
      </c>
      <c r="Z245" s="1518" t="str">
        <f>IFERROR(VLOOKUP($B245,Z$109:$AG$208,Z$107,FALSE),"")</f>
        <v/>
      </c>
      <c r="AA245" s="1518" t="str">
        <f>IFERROR(VLOOKUP($B245,AA$109:$AG$208,AA$107,FALSE),"")</f>
        <v/>
      </c>
      <c r="AB245" s="1518" t="str">
        <f>IFERROR(VLOOKUP($B245,AB$109:$AG$208,AB$107,FALSE),"")</f>
        <v/>
      </c>
      <c r="AC245" s="1518" t="str">
        <f>IFERROR(VLOOKUP($B245,AC$109:$AG$208,AC$107,FALSE),"")</f>
        <v/>
      </c>
      <c r="AD245" s="1518" t="str">
        <f>IFERROR(VLOOKUP($B245,AD$109:$AG$208,AD$107,FALSE),"")</f>
        <v xml:space="preserve">Harmony SX </v>
      </c>
      <c r="AE245" s="1518" t="str">
        <f>IFERROR(VLOOKUP($B245,AE$109:$AG$208,AE$107,FALSE),"")</f>
        <v/>
      </c>
      <c r="AF245" s="1518" t="str">
        <f>IFERROR(VLOOKUP($B245,AF$109:$AG$208,AF$107,FALSE),"")</f>
        <v/>
      </c>
    </row>
    <row r="246" spans="2:32" hidden="1">
      <c r="B246" s="1525">
        <f t="shared" si="19"/>
        <v>32</v>
      </c>
      <c r="F246" s="1518" t="str">
        <f>IFERROR(VLOOKUP($B246,F$109:$AG$208,F$107,FALSE),"")</f>
        <v/>
      </c>
      <c r="G246" s="1518" t="str">
        <f>IFERROR(VLOOKUP($B246,G$109:$AG$208,G$107,FALSE),"")</f>
        <v/>
      </c>
      <c r="H246" s="1518" t="str">
        <f>IFERROR(VLOOKUP($B246,H$109:$AG$208,H$107,FALSE),"")</f>
        <v/>
      </c>
      <c r="I246" s="1518" t="str">
        <f>IFERROR(VLOOKUP($B246,I$109:$AG$208,I$107,FALSE),"")</f>
        <v/>
      </c>
      <c r="J246" s="1518" t="str">
        <f>IFERROR(VLOOKUP($B246,J$109:$AG$208,J$107,FALSE),"")</f>
        <v/>
      </c>
      <c r="K246" s="1518" t="str">
        <f>IFERROR(VLOOKUP($B246,K$109:$AG$208,K$107,FALSE),"")</f>
        <v/>
      </c>
      <c r="L246" s="1518" t="str">
        <f>IFERROR(VLOOKUP($B246,L$109:$AG$208,L$107,FALSE),"")</f>
        <v/>
      </c>
      <c r="M246" s="1518" t="str">
        <f>IFERROR(VLOOKUP($B246,M$109:$AG$208,M$107,FALSE),"")</f>
        <v/>
      </c>
      <c r="N246" s="1518" t="str">
        <f>IFERROR(VLOOKUP($B246,N$109:$AG$208,N$107,FALSE),"")</f>
        <v/>
      </c>
      <c r="O246" s="1518" t="str">
        <f>IFERROR(VLOOKUP($B246,O$109:$AG$208,O$107,FALSE),"")</f>
        <v/>
      </c>
      <c r="P246" s="1518" t="str">
        <f>IFERROR(VLOOKUP($B246,P$109:$AG$208,P$107,FALSE),"")</f>
        <v/>
      </c>
      <c r="Q246" s="1518" t="str">
        <f>IFERROR(VLOOKUP($B246,Q$109:$AG$208,Q$107,FALSE),"")</f>
        <v/>
      </c>
      <c r="R246" s="1518" t="str">
        <f>IFERROR(VLOOKUP($B246,R$109:$AG$208,R$107,FALSE),"")</f>
        <v/>
      </c>
      <c r="S246" s="1518" t="str">
        <f>IFERROR(VLOOKUP($B246,S$109:$AG$208,S$107,FALSE),"")</f>
        <v/>
      </c>
      <c r="T246" s="1518" t="str">
        <f>IFERROR(VLOOKUP($B246,T$109:$AG$208,T$107,FALSE),"")</f>
        <v/>
      </c>
      <c r="U246" s="1518" t="str">
        <f>IFERROR(VLOOKUP($B246,U$109:$AG$208,U$107,FALSE),"")</f>
        <v/>
      </c>
      <c r="V246" s="1518" t="str">
        <f>IFERROR(VLOOKUP($B246,V$109:$AG$208,V$107,FALSE),"")</f>
        <v/>
      </c>
      <c r="W246" s="1518" t="str">
        <f>IFERROR(VLOOKUP($B246,W$109:$AG$208,W$107,FALSE),"")</f>
        <v/>
      </c>
      <c r="X246" s="1518" t="str">
        <f>IFERROR(VLOOKUP($B246,X$109:$AG$208,X$107,FALSE),"")</f>
        <v/>
      </c>
      <c r="Y246" s="1518" t="str">
        <f>IFERROR(VLOOKUP($B246,Y$109:$AG$208,Y$107,FALSE),"")</f>
        <v/>
      </c>
      <c r="Z246" s="1518" t="str">
        <f>IFERROR(VLOOKUP($B246,Z$109:$AG$208,Z$107,FALSE),"")</f>
        <v/>
      </c>
      <c r="AA246" s="1518" t="str">
        <f>IFERROR(VLOOKUP($B246,AA$109:$AG$208,AA$107,FALSE),"")</f>
        <v/>
      </c>
      <c r="AB246" s="1518" t="str">
        <f>IFERROR(VLOOKUP($B246,AB$109:$AG$208,AB$107,FALSE),"")</f>
        <v/>
      </c>
      <c r="AC246" s="1518" t="str">
        <f>IFERROR(VLOOKUP($B246,AC$109:$AG$208,AC$107,FALSE),"")</f>
        <v/>
      </c>
      <c r="AD246" s="1518" t="str">
        <f>IFERROR(VLOOKUP($B246,AD$109:$AG$208,AD$107,FALSE),"")</f>
        <v>Herold SC</v>
      </c>
      <c r="AE246" s="1518" t="str">
        <f>IFERROR(VLOOKUP($B246,AE$109:$AG$208,AE$107,FALSE),"")</f>
        <v/>
      </c>
      <c r="AF246" s="1518" t="str">
        <f>IFERROR(VLOOKUP($B246,AF$109:$AG$208,AF$107,FALSE),"")</f>
        <v/>
      </c>
    </row>
    <row r="247" spans="2:32" hidden="1">
      <c r="B247" s="1525">
        <f t="shared" si="19"/>
        <v>33</v>
      </c>
      <c r="F247" s="1518" t="str">
        <f>IFERROR(VLOOKUP($B247,F$109:$AG$208,F$107,FALSE),"")</f>
        <v/>
      </c>
      <c r="G247" s="1518" t="str">
        <f>IFERROR(VLOOKUP($B247,G$109:$AG$208,G$107,FALSE),"")</f>
        <v/>
      </c>
      <c r="H247" s="1518" t="str">
        <f>IFERROR(VLOOKUP($B247,H$109:$AG$208,H$107,FALSE),"")</f>
        <v/>
      </c>
      <c r="I247" s="1518" t="str">
        <f>IFERROR(VLOOKUP($B247,I$109:$AG$208,I$107,FALSE),"")</f>
        <v/>
      </c>
      <c r="J247" s="1518" t="str">
        <f>IFERROR(VLOOKUP($B247,J$109:$AG$208,J$107,FALSE),"")</f>
        <v/>
      </c>
      <c r="K247" s="1518" t="str">
        <f>IFERROR(VLOOKUP($B247,K$109:$AG$208,K$107,FALSE),"")</f>
        <v/>
      </c>
      <c r="L247" s="1518" t="str">
        <f>IFERROR(VLOOKUP($B247,L$109:$AG$208,L$107,FALSE),"")</f>
        <v/>
      </c>
      <c r="M247" s="1518" t="str">
        <f>IFERROR(VLOOKUP($B247,M$109:$AG$208,M$107,FALSE),"")</f>
        <v/>
      </c>
      <c r="N247" s="1518" t="str">
        <f>IFERROR(VLOOKUP($B247,N$109:$AG$208,N$107,FALSE),"")</f>
        <v/>
      </c>
      <c r="O247" s="1518" t="str">
        <f>IFERROR(VLOOKUP($B247,O$109:$AG$208,O$107,FALSE),"")</f>
        <v/>
      </c>
      <c r="P247" s="1518" t="str">
        <f>IFERROR(VLOOKUP($B247,P$109:$AG$208,P$107,FALSE),"")</f>
        <v/>
      </c>
      <c r="Q247" s="1518" t="str">
        <f>IFERROR(VLOOKUP($B247,Q$109:$AG$208,Q$107,FALSE),"")</f>
        <v/>
      </c>
      <c r="R247" s="1518" t="str">
        <f>IFERROR(VLOOKUP($B247,R$109:$AG$208,R$107,FALSE),"")</f>
        <v/>
      </c>
      <c r="S247" s="1518" t="str">
        <f>IFERROR(VLOOKUP($B247,S$109:$AG$208,S$107,FALSE),"")</f>
        <v/>
      </c>
      <c r="T247" s="1518" t="str">
        <f>IFERROR(VLOOKUP($B247,T$109:$AG$208,T$107,FALSE),"")</f>
        <v/>
      </c>
      <c r="U247" s="1518" t="str">
        <f>IFERROR(VLOOKUP($B247,U$109:$AG$208,U$107,FALSE),"")</f>
        <v/>
      </c>
      <c r="V247" s="1518" t="str">
        <f>IFERROR(VLOOKUP($B247,V$109:$AG$208,V$107,FALSE),"")</f>
        <v/>
      </c>
      <c r="W247" s="1518" t="str">
        <f>IFERROR(VLOOKUP($B247,W$109:$AG$208,W$107,FALSE),"")</f>
        <v/>
      </c>
      <c r="X247" s="1518" t="str">
        <f>IFERROR(VLOOKUP($B247,X$109:$AG$208,X$107,FALSE),"")</f>
        <v/>
      </c>
      <c r="Y247" s="1518" t="str">
        <f>IFERROR(VLOOKUP($B247,Y$109:$AG$208,Y$107,FALSE),"")</f>
        <v/>
      </c>
      <c r="Z247" s="1518" t="str">
        <f>IFERROR(VLOOKUP($B247,Z$109:$AG$208,Z$107,FALSE),"")</f>
        <v/>
      </c>
      <c r="AA247" s="1518" t="str">
        <f>IFERROR(VLOOKUP($B247,AA$109:$AG$208,AA$107,FALSE),"")</f>
        <v/>
      </c>
      <c r="AB247" s="1518" t="str">
        <f>IFERROR(VLOOKUP($B247,AB$109:$AG$208,AB$107,FALSE),"")</f>
        <v/>
      </c>
      <c r="AC247" s="1518" t="str">
        <f>IFERROR(VLOOKUP($B247,AC$109:$AG$208,AC$107,FALSE),"")</f>
        <v/>
      </c>
      <c r="AD247" s="1518" t="str">
        <f>IFERROR(VLOOKUP($B247,AD$109:$AG$208,AD$107,FALSE),"")</f>
        <v>Hoestar Super</v>
      </c>
      <c r="AE247" s="1518" t="str">
        <f>IFERROR(VLOOKUP($B247,AE$109:$AG$208,AE$107,FALSE),"")</f>
        <v/>
      </c>
      <c r="AF247" s="1518" t="str">
        <f>IFERROR(VLOOKUP($B247,AF$109:$AG$208,AF$107,FALSE),"")</f>
        <v/>
      </c>
    </row>
    <row r="248" spans="2:32" hidden="1">
      <c r="B248" s="1525">
        <f t="shared" si="19"/>
        <v>34</v>
      </c>
      <c r="F248" s="1518" t="str">
        <f>IFERROR(VLOOKUP($B248,F$109:$AG$208,F$107,FALSE),"")</f>
        <v/>
      </c>
      <c r="G248" s="1518" t="str">
        <f>IFERROR(VLOOKUP($B248,G$109:$AG$208,G$107,FALSE),"")</f>
        <v/>
      </c>
      <c r="H248" s="1518" t="str">
        <f>IFERROR(VLOOKUP($B248,H$109:$AG$208,H$107,FALSE),"")</f>
        <v/>
      </c>
      <c r="I248" s="1518" t="str">
        <f>IFERROR(VLOOKUP($B248,I$109:$AG$208,I$107,FALSE),"")</f>
        <v/>
      </c>
      <c r="J248" s="1518" t="str">
        <f>IFERROR(VLOOKUP($B248,J$109:$AG$208,J$107,FALSE),"")</f>
        <v/>
      </c>
      <c r="K248" s="1518" t="str">
        <f>IFERROR(VLOOKUP($B248,K$109:$AG$208,K$107,FALSE),"")</f>
        <v/>
      </c>
      <c r="L248" s="1518" t="str">
        <f>IFERROR(VLOOKUP($B248,L$109:$AG$208,L$107,FALSE),"")</f>
        <v/>
      </c>
      <c r="M248" s="1518" t="str">
        <f>IFERROR(VLOOKUP($B248,M$109:$AG$208,M$107,FALSE),"")</f>
        <v/>
      </c>
      <c r="N248" s="1518" t="str">
        <f>IFERROR(VLOOKUP($B248,N$109:$AG$208,N$107,FALSE),"")</f>
        <v/>
      </c>
      <c r="O248" s="1518" t="str">
        <f>IFERROR(VLOOKUP($B248,O$109:$AG$208,O$107,FALSE),"")</f>
        <v/>
      </c>
      <c r="P248" s="1518" t="str">
        <f>IFERROR(VLOOKUP($B248,P$109:$AG$208,P$107,FALSE),"")</f>
        <v/>
      </c>
      <c r="Q248" s="1518" t="str">
        <f>IFERROR(VLOOKUP($B248,Q$109:$AG$208,Q$107,FALSE),"")</f>
        <v/>
      </c>
      <c r="R248" s="1518" t="str">
        <f>IFERROR(VLOOKUP($B248,R$109:$AG$208,R$107,FALSE),"")</f>
        <v/>
      </c>
      <c r="S248" s="1518" t="str">
        <f>IFERROR(VLOOKUP($B248,S$109:$AG$208,S$107,FALSE),"")</f>
        <v/>
      </c>
      <c r="T248" s="1518" t="str">
        <f>IFERROR(VLOOKUP($B248,T$109:$AG$208,T$107,FALSE),"")</f>
        <v/>
      </c>
      <c r="U248" s="1518" t="str">
        <f>IFERROR(VLOOKUP($B248,U$109:$AG$208,U$107,FALSE),"")</f>
        <v/>
      </c>
      <c r="V248" s="1518" t="str">
        <f>IFERROR(VLOOKUP($B248,V$109:$AG$208,V$107,FALSE),"")</f>
        <v/>
      </c>
      <c r="W248" s="1518" t="str">
        <f>IFERROR(VLOOKUP($B248,W$109:$AG$208,W$107,FALSE),"")</f>
        <v/>
      </c>
      <c r="X248" s="1518" t="str">
        <f>IFERROR(VLOOKUP($B248,X$109:$AG$208,X$107,FALSE),"")</f>
        <v/>
      </c>
      <c r="Y248" s="1518" t="str">
        <f>IFERROR(VLOOKUP($B248,Y$109:$AG$208,Y$107,FALSE),"")</f>
        <v/>
      </c>
      <c r="Z248" s="1518" t="str">
        <f>IFERROR(VLOOKUP($B248,Z$109:$AG$208,Z$107,FALSE),"")</f>
        <v/>
      </c>
      <c r="AA248" s="1518" t="str">
        <f>IFERROR(VLOOKUP($B248,AA$109:$AG$208,AA$107,FALSE),"")</f>
        <v/>
      </c>
      <c r="AB248" s="1518" t="str">
        <f>IFERROR(VLOOKUP($B248,AB$109:$AG$208,AB$107,FALSE),"")</f>
        <v/>
      </c>
      <c r="AC248" s="1518" t="str">
        <f>IFERROR(VLOOKUP($B248,AC$109:$AG$208,AC$107,FALSE),"")</f>
        <v/>
      </c>
      <c r="AD248" s="1518" t="str">
        <f>IFERROR(VLOOKUP($B248,AD$109:$AG$208,AD$107,FALSE),"")</f>
        <v>Infinito</v>
      </c>
      <c r="AE248" s="1518" t="str">
        <f>IFERROR(VLOOKUP($B248,AE$109:$AG$208,AE$107,FALSE),"")</f>
        <v/>
      </c>
      <c r="AF248" s="1518" t="str">
        <f>IFERROR(VLOOKUP($B248,AF$109:$AG$208,AF$107,FALSE),"")</f>
        <v/>
      </c>
    </row>
    <row r="249" spans="2:32" hidden="1">
      <c r="B249" s="1525">
        <f t="shared" si="19"/>
        <v>35</v>
      </c>
      <c r="F249" s="1518" t="str">
        <f>IFERROR(VLOOKUP($B249,F$109:$AG$208,F$107,FALSE),"")</f>
        <v/>
      </c>
      <c r="G249" s="1518" t="str">
        <f>IFERROR(VLOOKUP($B249,G$109:$AG$208,G$107,FALSE),"")</f>
        <v/>
      </c>
      <c r="H249" s="1518" t="str">
        <f>IFERROR(VLOOKUP($B249,H$109:$AG$208,H$107,FALSE),"")</f>
        <v/>
      </c>
      <c r="I249" s="1518" t="str">
        <f>IFERROR(VLOOKUP($B249,I$109:$AG$208,I$107,FALSE),"")</f>
        <v/>
      </c>
      <c r="J249" s="1518" t="str">
        <f>IFERROR(VLOOKUP($B249,J$109:$AG$208,J$107,FALSE),"")</f>
        <v/>
      </c>
      <c r="K249" s="1518" t="str">
        <f>IFERROR(VLOOKUP($B249,K$109:$AG$208,K$107,FALSE),"")</f>
        <v/>
      </c>
      <c r="L249" s="1518" t="str">
        <f>IFERROR(VLOOKUP($B249,L$109:$AG$208,L$107,FALSE),"")</f>
        <v/>
      </c>
      <c r="M249" s="1518" t="str">
        <f>IFERROR(VLOOKUP($B249,M$109:$AG$208,M$107,FALSE),"")</f>
        <v/>
      </c>
      <c r="N249" s="1518" t="str">
        <f>IFERROR(VLOOKUP($B249,N$109:$AG$208,N$107,FALSE),"")</f>
        <v/>
      </c>
      <c r="O249" s="1518" t="str">
        <f>IFERROR(VLOOKUP($B249,O$109:$AG$208,O$107,FALSE),"")</f>
        <v/>
      </c>
      <c r="P249" s="1518" t="str">
        <f>IFERROR(VLOOKUP($B249,P$109:$AG$208,P$107,FALSE),"")</f>
        <v/>
      </c>
      <c r="Q249" s="1518" t="str">
        <f>IFERROR(VLOOKUP($B249,Q$109:$AG$208,Q$107,FALSE),"")</f>
        <v/>
      </c>
      <c r="R249" s="1518" t="str">
        <f>IFERROR(VLOOKUP($B249,R$109:$AG$208,R$107,FALSE),"")</f>
        <v/>
      </c>
      <c r="S249" s="1518" t="str">
        <f>IFERROR(VLOOKUP($B249,S$109:$AG$208,S$107,FALSE),"")</f>
        <v/>
      </c>
      <c r="T249" s="1518" t="str">
        <f>IFERROR(VLOOKUP($B249,T$109:$AG$208,T$107,FALSE),"")</f>
        <v/>
      </c>
      <c r="U249" s="1518" t="str">
        <f>IFERROR(VLOOKUP($B249,U$109:$AG$208,U$107,FALSE),"")</f>
        <v/>
      </c>
      <c r="V249" s="1518" t="str">
        <f>IFERROR(VLOOKUP($B249,V$109:$AG$208,V$107,FALSE),"")</f>
        <v/>
      </c>
      <c r="W249" s="1518" t="str">
        <f>IFERROR(VLOOKUP($B249,W$109:$AG$208,W$107,FALSE),"")</f>
        <v/>
      </c>
      <c r="X249" s="1518" t="str">
        <f>IFERROR(VLOOKUP($B249,X$109:$AG$208,X$107,FALSE),"")</f>
        <v/>
      </c>
      <c r="Y249" s="1518" t="str">
        <f>IFERROR(VLOOKUP($B249,Y$109:$AG$208,Y$107,FALSE),"")</f>
        <v/>
      </c>
      <c r="Z249" s="1518" t="str">
        <f>IFERROR(VLOOKUP($B249,Z$109:$AG$208,Z$107,FALSE),"")</f>
        <v/>
      </c>
      <c r="AA249" s="1518" t="str">
        <f>IFERROR(VLOOKUP($B249,AA$109:$AG$208,AA$107,FALSE),"")</f>
        <v/>
      </c>
      <c r="AB249" s="1518" t="str">
        <f>IFERROR(VLOOKUP($B249,AB$109:$AG$208,AB$107,FALSE),"")</f>
        <v/>
      </c>
      <c r="AC249" s="1518" t="str">
        <f>IFERROR(VLOOKUP($B249,AC$109:$AG$208,AC$107,FALSE),"")</f>
        <v/>
      </c>
      <c r="AD249" s="1518" t="str">
        <f>IFERROR(VLOOKUP($B249,AD$109:$AG$208,AD$107,FALSE),"")</f>
        <v>Input Classic</v>
      </c>
      <c r="AE249" s="1518" t="str">
        <f>IFERROR(VLOOKUP($B249,AE$109:$AG$208,AE$107,FALSE),"")</f>
        <v/>
      </c>
      <c r="AF249" s="1518" t="str">
        <f>IFERROR(VLOOKUP($B249,AF$109:$AG$208,AF$107,FALSE),"")</f>
        <v/>
      </c>
    </row>
    <row r="250" spans="2:32" hidden="1">
      <c r="B250" s="1525">
        <f t="shared" si="19"/>
        <v>36</v>
      </c>
      <c r="F250" s="1518" t="str">
        <f>IFERROR(VLOOKUP($B250,F$109:$AG$208,F$107,FALSE),"")</f>
        <v/>
      </c>
      <c r="G250" s="1518" t="str">
        <f>IFERROR(VLOOKUP($B250,G$109:$AG$208,G$107,FALSE),"")</f>
        <v/>
      </c>
      <c r="H250" s="1518" t="str">
        <f>IFERROR(VLOOKUP($B250,H$109:$AG$208,H$107,FALSE),"")</f>
        <v/>
      </c>
      <c r="I250" s="1518" t="str">
        <f>IFERROR(VLOOKUP($B250,I$109:$AG$208,I$107,FALSE),"")</f>
        <v/>
      </c>
      <c r="J250" s="1518" t="str">
        <f>IFERROR(VLOOKUP($B250,J$109:$AG$208,J$107,FALSE),"")</f>
        <v/>
      </c>
      <c r="K250" s="1518" t="str">
        <f>IFERROR(VLOOKUP($B250,K$109:$AG$208,K$107,FALSE),"")</f>
        <v/>
      </c>
      <c r="L250" s="1518" t="str">
        <f>IFERROR(VLOOKUP($B250,L$109:$AG$208,L$107,FALSE),"")</f>
        <v/>
      </c>
      <c r="M250" s="1518" t="str">
        <f>IFERROR(VLOOKUP($B250,M$109:$AG$208,M$107,FALSE),"")</f>
        <v/>
      </c>
      <c r="N250" s="1518" t="str">
        <f>IFERROR(VLOOKUP($B250,N$109:$AG$208,N$107,FALSE),"")</f>
        <v/>
      </c>
      <c r="O250" s="1518" t="str">
        <f>IFERROR(VLOOKUP($B250,O$109:$AG$208,O$107,FALSE),"")</f>
        <v/>
      </c>
      <c r="P250" s="1518" t="str">
        <f>IFERROR(VLOOKUP($B250,P$109:$AG$208,P$107,FALSE),"")</f>
        <v/>
      </c>
      <c r="Q250" s="1518" t="str">
        <f>IFERROR(VLOOKUP($B250,Q$109:$AG$208,Q$107,FALSE),"")</f>
        <v/>
      </c>
      <c r="R250" s="1518" t="str">
        <f>IFERROR(VLOOKUP($B250,R$109:$AG$208,R$107,FALSE),"")</f>
        <v/>
      </c>
      <c r="S250" s="1518" t="str">
        <f>IFERROR(VLOOKUP($B250,S$109:$AG$208,S$107,FALSE),"")</f>
        <v/>
      </c>
      <c r="T250" s="1518" t="str">
        <f>IFERROR(VLOOKUP($B250,T$109:$AG$208,T$107,FALSE),"")</f>
        <v/>
      </c>
      <c r="U250" s="1518" t="str">
        <f>IFERROR(VLOOKUP($B250,U$109:$AG$208,U$107,FALSE),"")</f>
        <v/>
      </c>
      <c r="V250" s="1518" t="str">
        <f>IFERROR(VLOOKUP($B250,V$109:$AG$208,V$107,FALSE),"")</f>
        <v/>
      </c>
      <c r="W250" s="1518" t="str">
        <f>IFERROR(VLOOKUP($B250,W$109:$AG$208,W$107,FALSE),"")</f>
        <v/>
      </c>
      <c r="X250" s="1518" t="str">
        <f>IFERROR(VLOOKUP($B250,X$109:$AG$208,X$107,FALSE),"")</f>
        <v/>
      </c>
      <c r="Y250" s="1518" t="str">
        <f>IFERROR(VLOOKUP($B250,Y$109:$AG$208,Y$107,FALSE),"")</f>
        <v/>
      </c>
      <c r="Z250" s="1518" t="str">
        <f>IFERROR(VLOOKUP($B250,Z$109:$AG$208,Z$107,FALSE),"")</f>
        <v/>
      </c>
      <c r="AA250" s="1518" t="str">
        <f>IFERROR(VLOOKUP($B250,AA$109:$AG$208,AA$107,FALSE),"")</f>
        <v/>
      </c>
      <c r="AB250" s="1518" t="str">
        <f>IFERROR(VLOOKUP($B250,AB$109:$AG$208,AB$107,FALSE),"")</f>
        <v/>
      </c>
      <c r="AC250" s="1518" t="str">
        <f>IFERROR(VLOOKUP($B250,AC$109:$AG$208,AC$107,FALSE),"")</f>
        <v/>
      </c>
      <c r="AD250" s="1518" t="str">
        <f>IFERROR(VLOOKUP($B250,AD$109:$AG$208,AD$107,FALSE),"")</f>
        <v>Input Xpro</v>
      </c>
      <c r="AE250" s="1518" t="str">
        <f>IFERROR(VLOOKUP($B250,AE$109:$AG$208,AE$107,FALSE),"")</f>
        <v/>
      </c>
      <c r="AF250" s="1518" t="str">
        <f>IFERROR(VLOOKUP($B250,AF$109:$AG$208,AF$107,FALSE),"")</f>
        <v/>
      </c>
    </row>
    <row r="251" spans="2:32" hidden="1">
      <c r="B251" s="1525">
        <f t="shared" si="19"/>
        <v>37</v>
      </c>
      <c r="F251" s="1518" t="str">
        <f>IFERROR(VLOOKUP($B251,F$109:$AG$208,F$107,FALSE),"")</f>
        <v/>
      </c>
      <c r="G251" s="1518" t="str">
        <f>IFERROR(VLOOKUP($B251,G$109:$AG$208,G$107,FALSE),"")</f>
        <v/>
      </c>
      <c r="H251" s="1518" t="str">
        <f>IFERROR(VLOOKUP($B251,H$109:$AG$208,H$107,FALSE),"")</f>
        <v/>
      </c>
      <c r="I251" s="1518" t="str">
        <f>IFERROR(VLOOKUP($B251,I$109:$AG$208,I$107,FALSE),"")</f>
        <v/>
      </c>
      <c r="J251" s="1518" t="str">
        <f>IFERROR(VLOOKUP($B251,J$109:$AG$208,J$107,FALSE),"")</f>
        <v/>
      </c>
      <c r="K251" s="1518" t="str">
        <f>IFERROR(VLOOKUP($B251,K$109:$AG$208,K$107,FALSE),"")</f>
        <v/>
      </c>
      <c r="L251" s="1518" t="str">
        <f>IFERROR(VLOOKUP($B251,L$109:$AG$208,L$107,FALSE),"")</f>
        <v/>
      </c>
      <c r="M251" s="1518" t="str">
        <f>IFERROR(VLOOKUP($B251,M$109:$AG$208,M$107,FALSE),"")</f>
        <v/>
      </c>
      <c r="N251" s="1518" t="str">
        <f>IFERROR(VLOOKUP($B251,N$109:$AG$208,N$107,FALSE),"")</f>
        <v/>
      </c>
      <c r="O251" s="1518" t="str">
        <f>IFERROR(VLOOKUP($B251,O$109:$AG$208,O$107,FALSE),"")</f>
        <v/>
      </c>
      <c r="P251" s="1518" t="str">
        <f>IFERROR(VLOOKUP($B251,P$109:$AG$208,P$107,FALSE),"")</f>
        <v/>
      </c>
      <c r="Q251" s="1518" t="str">
        <f>IFERROR(VLOOKUP($B251,Q$109:$AG$208,Q$107,FALSE),"")</f>
        <v/>
      </c>
      <c r="R251" s="1518" t="str">
        <f>IFERROR(VLOOKUP($B251,R$109:$AG$208,R$107,FALSE),"")</f>
        <v/>
      </c>
      <c r="S251" s="1518" t="str">
        <f>IFERROR(VLOOKUP($B251,S$109:$AG$208,S$107,FALSE),"")</f>
        <v/>
      </c>
      <c r="T251" s="1518" t="str">
        <f>IFERROR(VLOOKUP($B251,T$109:$AG$208,T$107,FALSE),"")</f>
        <v/>
      </c>
      <c r="U251" s="1518" t="str">
        <f>IFERROR(VLOOKUP($B251,U$109:$AG$208,U$107,FALSE),"")</f>
        <v/>
      </c>
      <c r="V251" s="1518" t="str">
        <f>IFERROR(VLOOKUP($B251,V$109:$AG$208,V$107,FALSE),"")</f>
        <v/>
      </c>
      <c r="W251" s="1518" t="str">
        <f>IFERROR(VLOOKUP($B251,W$109:$AG$208,W$107,FALSE),"")</f>
        <v/>
      </c>
      <c r="X251" s="1518" t="str">
        <f>IFERROR(VLOOKUP($B251,X$109:$AG$208,X$107,FALSE),"")</f>
        <v/>
      </c>
      <c r="Y251" s="1518" t="str">
        <f>IFERROR(VLOOKUP($B251,Y$109:$AG$208,Y$107,FALSE),"")</f>
        <v/>
      </c>
      <c r="Z251" s="1518" t="str">
        <f>IFERROR(VLOOKUP($B251,Z$109:$AG$208,Z$107,FALSE),"")</f>
        <v/>
      </c>
      <c r="AA251" s="1518" t="str">
        <f>IFERROR(VLOOKUP($B251,AA$109:$AG$208,AA$107,FALSE),"")</f>
        <v/>
      </c>
      <c r="AB251" s="1518" t="str">
        <f>IFERROR(VLOOKUP($B251,AB$109:$AG$208,AB$107,FALSE),"")</f>
        <v/>
      </c>
      <c r="AC251" s="1518" t="str">
        <f>IFERROR(VLOOKUP($B251,AC$109:$AG$208,AC$107,FALSE),"")</f>
        <v/>
      </c>
      <c r="AD251" s="1518" t="str">
        <f>IFERROR(VLOOKUP($B251,AD$109:$AG$208,AD$107,FALSE),"")</f>
        <v>Metafol SC</v>
      </c>
      <c r="AE251" s="1518" t="str">
        <f>IFERROR(VLOOKUP($B251,AE$109:$AG$208,AE$107,FALSE),"")</f>
        <v/>
      </c>
      <c r="AF251" s="1518" t="str">
        <f>IFERROR(VLOOKUP($B251,AF$109:$AG$208,AF$107,FALSE),"")</f>
        <v/>
      </c>
    </row>
    <row r="252" spans="2:32" hidden="1">
      <c r="B252" s="1525">
        <f t="shared" si="19"/>
        <v>38</v>
      </c>
      <c r="F252" s="1518" t="str">
        <f>IFERROR(VLOOKUP($B252,F$109:$AG$208,F$107,FALSE),"")</f>
        <v/>
      </c>
      <c r="G252" s="1518" t="str">
        <f>IFERROR(VLOOKUP($B252,G$109:$AG$208,G$107,FALSE),"")</f>
        <v/>
      </c>
      <c r="H252" s="1518" t="str">
        <f>IFERROR(VLOOKUP($B252,H$109:$AG$208,H$107,FALSE),"")</f>
        <v/>
      </c>
      <c r="I252" s="1518" t="str">
        <f>IFERROR(VLOOKUP($B252,I$109:$AG$208,I$107,FALSE),"")</f>
        <v/>
      </c>
      <c r="J252" s="1518" t="str">
        <f>IFERROR(VLOOKUP($B252,J$109:$AG$208,J$107,FALSE),"")</f>
        <v/>
      </c>
      <c r="K252" s="1518" t="str">
        <f>IFERROR(VLOOKUP($B252,K$109:$AG$208,K$107,FALSE),"")</f>
        <v/>
      </c>
      <c r="L252" s="1518" t="str">
        <f>IFERROR(VLOOKUP($B252,L$109:$AG$208,L$107,FALSE),"")</f>
        <v/>
      </c>
      <c r="M252" s="1518" t="str">
        <f>IFERROR(VLOOKUP($B252,M$109:$AG$208,M$107,FALSE),"")</f>
        <v/>
      </c>
      <c r="N252" s="1518" t="str">
        <f>IFERROR(VLOOKUP($B252,N$109:$AG$208,N$107,FALSE),"")</f>
        <v/>
      </c>
      <c r="O252" s="1518" t="str">
        <f>IFERROR(VLOOKUP($B252,O$109:$AG$208,O$107,FALSE),"")</f>
        <v/>
      </c>
      <c r="P252" s="1518" t="str">
        <f>IFERROR(VLOOKUP($B252,P$109:$AG$208,P$107,FALSE),"")</f>
        <v/>
      </c>
      <c r="Q252" s="1518" t="str">
        <f>IFERROR(VLOOKUP($B252,Q$109:$AG$208,Q$107,FALSE),"")</f>
        <v/>
      </c>
      <c r="R252" s="1518" t="str">
        <f>IFERROR(VLOOKUP($B252,R$109:$AG$208,R$107,FALSE),"")</f>
        <v/>
      </c>
      <c r="S252" s="1518" t="str">
        <f>IFERROR(VLOOKUP($B252,S$109:$AG$208,S$107,FALSE),"")</f>
        <v/>
      </c>
      <c r="T252" s="1518" t="str">
        <f>IFERROR(VLOOKUP($B252,T$109:$AG$208,T$107,FALSE),"")</f>
        <v/>
      </c>
      <c r="U252" s="1518" t="str">
        <f>IFERROR(VLOOKUP($B252,U$109:$AG$208,U$107,FALSE),"")</f>
        <v/>
      </c>
      <c r="V252" s="1518" t="str">
        <f>IFERROR(VLOOKUP($B252,V$109:$AG$208,V$107,FALSE),"")</f>
        <v/>
      </c>
      <c r="W252" s="1518" t="str">
        <f>IFERROR(VLOOKUP($B252,W$109:$AG$208,W$107,FALSE),"")</f>
        <v/>
      </c>
      <c r="X252" s="1518" t="str">
        <f>IFERROR(VLOOKUP($B252,X$109:$AG$208,X$107,FALSE),"")</f>
        <v/>
      </c>
      <c r="Y252" s="1518" t="str">
        <f>IFERROR(VLOOKUP($B252,Y$109:$AG$208,Y$107,FALSE),"")</f>
        <v/>
      </c>
      <c r="Z252" s="1518" t="str">
        <f>IFERROR(VLOOKUP($B252,Z$109:$AG$208,Z$107,FALSE),"")</f>
        <v/>
      </c>
      <c r="AA252" s="1518" t="str">
        <f>IFERROR(VLOOKUP($B252,AA$109:$AG$208,AA$107,FALSE),"")</f>
        <v/>
      </c>
      <c r="AB252" s="1518" t="str">
        <f>IFERROR(VLOOKUP($B252,AB$109:$AG$208,AB$107,FALSE),"")</f>
        <v/>
      </c>
      <c r="AC252" s="1518" t="str">
        <f>IFERROR(VLOOKUP($B252,AC$109:$AG$208,AC$107,FALSE),"")</f>
        <v/>
      </c>
      <c r="AD252" s="1518" t="str">
        <f>IFERROR(VLOOKUP($B252,AD$109:$AG$208,AD$107,FALSE),"")</f>
        <v>Karate Zeon</v>
      </c>
      <c r="AE252" s="1518" t="str">
        <f>IFERROR(VLOOKUP($B252,AE$109:$AG$208,AE$107,FALSE),"")</f>
        <v/>
      </c>
      <c r="AF252" s="1518" t="str">
        <f>IFERROR(VLOOKUP($B252,AF$109:$AG$208,AF$107,FALSE),"")</f>
        <v/>
      </c>
    </row>
    <row r="253" spans="2:32" hidden="1">
      <c r="B253" s="1525">
        <f t="shared" si="19"/>
        <v>39</v>
      </c>
      <c r="F253" s="1518" t="str">
        <f>IFERROR(VLOOKUP($B253,F$109:$AG$208,F$107,FALSE),"")</f>
        <v/>
      </c>
      <c r="G253" s="1518" t="str">
        <f>IFERROR(VLOOKUP($B253,G$109:$AG$208,G$107,FALSE),"")</f>
        <v/>
      </c>
      <c r="H253" s="1518" t="str">
        <f>IFERROR(VLOOKUP($B253,H$109:$AG$208,H$107,FALSE),"")</f>
        <v/>
      </c>
      <c r="I253" s="1518" t="str">
        <f>IFERROR(VLOOKUP($B253,I$109:$AG$208,I$107,FALSE),"")</f>
        <v/>
      </c>
      <c r="J253" s="1518" t="str">
        <f>IFERROR(VLOOKUP($B253,J$109:$AG$208,J$107,FALSE),"")</f>
        <v/>
      </c>
      <c r="K253" s="1518" t="str">
        <f>IFERROR(VLOOKUP($B253,K$109:$AG$208,K$107,FALSE),"")</f>
        <v/>
      </c>
      <c r="L253" s="1518" t="str">
        <f>IFERROR(VLOOKUP($B253,L$109:$AG$208,L$107,FALSE),"")</f>
        <v/>
      </c>
      <c r="M253" s="1518" t="str">
        <f>IFERROR(VLOOKUP($B253,M$109:$AG$208,M$107,FALSE),"")</f>
        <v/>
      </c>
      <c r="N253" s="1518" t="str">
        <f>IFERROR(VLOOKUP($B253,N$109:$AG$208,N$107,FALSE),"")</f>
        <v/>
      </c>
      <c r="O253" s="1518" t="str">
        <f>IFERROR(VLOOKUP($B253,O$109:$AG$208,O$107,FALSE),"")</f>
        <v/>
      </c>
      <c r="P253" s="1518" t="str">
        <f>IFERROR(VLOOKUP($B253,P$109:$AG$208,P$107,FALSE),"")</f>
        <v/>
      </c>
      <c r="Q253" s="1518" t="str">
        <f>IFERROR(VLOOKUP($B253,Q$109:$AG$208,Q$107,FALSE),"")</f>
        <v/>
      </c>
      <c r="R253" s="1518" t="str">
        <f>IFERROR(VLOOKUP($B253,R$109:$AG$208,R$107,FALSE),"")</f>
        <v/>
      </c>
      <c r="S253" s="1518" t="str">
        <f>IFERROR(VLOOKUP($B253,S$109:$AG$208,S$107,FALSE),"")</f>
        <v/>
      </c>
      <c r="T253" s="1518" t="str">
        <f>IFERROR(VLOOKUP($B253,T$109:$AG$208,T$107,FALSE),"")</f>
        <v/>
      </c>
      <c r="U253" s="1518" t="str">
        <f>IFERROR(VLOOKUP($B253,U$109:$AG$208,U$107,FALSE),"")</f>
        <v/>
      </c>
      <c r="V253" s="1518" t="str">
        <f>IFERROR(VLOOKUP($B253,V$109:$AG$208,V$107,FALSE),"")</f>
        <v/>
      </c>
      <c r="W253" s="1518" t="str">
        <f>IFERROR(VLOOKUP($B253,W$109:$AG$208,W$107,FALSE),"")</f>
        <v/>
      </c>
      <c r="X253" s="1518" t="str">
        <f>IFERROR(VLOOKUP($B253,X$109:$AG$208,X$107,FALSE),"")</f>
        <v/>
      </c>
      <c r="Y253" s="1518" t="str">
        <f>IFERROR(VLOOKUP($B253,Y$109:$AG$208,Y$107,FALSE),"")</f>
        <v/>
      </c>
      <c r="Z253" s="1518" t="str">
        <f>IFERROR(VLOOKUP($B253,Z$109:$AG$208,Z$107,FALSE),"")</f>
        <v/>
      </c>
      <c r="AA253" s="1518" t="str">
        <f>IFERROR(VLOOKUP($B253,AA$109:$AG$208,AA$107,FALSE),"")</f>
        <v/>
      </c>
      <c r="AB253" s="1518" t="str">
        <f>IFERROR(VLOOKUP($B253,AB$109:$AG$208,AB$107,FALSE),"")</f>
        <v/>
      </c>
      <c r="AC253" s="1518" t="str">
        <f>IFERROR(VLOOKUP($B253,AC$109:$AG$208,AC$107,FALSE),"")</f>
        <v/>
      </c>
      <c r="AD253" s="1518" t="str">
        <f>IFERROR(VLOOKUP($B253,AD$109:$AG$208,AD$107,FALSE),"")</f>
        <v>Mais Banvel WG</v>
      </c>
      <c r="AE253" s="1518" t="str">
        <f>IFERROR(VLOOKUP($B253,AE$109:$AG$208,AE$107,FALSE),"")</f>
        <v/>
      </c>
      <c r="AF253" s="1518" t="str">
        <f>IFERROR(VLOOKUP($B253,AF$109:$AG$208,AF$107,FALSE),"")</f>
        <v/>
      </c>
    </row>
    <row r="254" spans="2:32" hidden="1">
      <c r="B254" s="1525">
        <f t="shared" si="19"/>
        <v>40</v>
      </c>
      <c r="F254" s="1518" t="str">
        <f>IFERROR(VLOOKUP($B254,F$109:$AG$208,F$107,FALSE),"")</f>
        <v/>
      </c>
      <c r="G254" s="1518" t="str">
        <f>IFERROR(VLOOKUP($B254,G$109:$AG$208,G$107,FALSE),"")</f>
        <v/>
      </c>
      <c r="H254" s="1518" t="str">
        <f>IFERROR(VLOOKUP($B254,H$109:$AG$208,H$107,FALSE),"")</f>
        <v/>
      </c>
      <c r="I254" s="1518" t="str">
        <f>IFERROR(VLOOKUP($B254,I$109:$AG$208,I$107,FALSE),"")</f>
        <v/>
      </c>
      <c r="J254" s="1518" t="str">
        <f>IFERROR(VLOOKUP($B254,J$109:$AG$208,J$107,FALSE),"")</f>
        <v/>
      </c>
      <c r="K254" s="1518" t="str">
        <f>IFERROR(VLOOKUP($B254,K$109:$AG$208,K$107,FALSE),"")</f>
        <v/>
      </c>
      <c r="L254" s="1518" t="str">
        <f>IFERROR(VLOOKUP($B254,L$109:$AG$208,L$107,FALSE),"")</f>
        <v/>
      </c>
      <c r="M254" s="1518" t="str">
        <f>IFERROR(VLOOKUP($B254,M$109:$AG$208,M$107,FALSE),"")</f>
        <v/>
      </c>
      <c r="N254" s="1518" t="str">
        <f>IFERROR(VLOOKUP($B254,N$109:$AG$208,N$107,FALSE),"")</f>
        <v/>
      </c>
      <c r="O254" s="1518" t="str">
        <f>IFERROR(VLOOKUP($B254,O$109:$AG$208,O$107,FALSE),"")</f>
        <v/>
      </c>
      <c r="P254" s="1518" t="str">
        <f>IFERROR(VLOOKUP($B254,P$109:$AG$208,P$107,FALSE),"")</f>
        <v/>
      </c>
      <c r="Q254" s="1518" t="str">
        <f>IFERROR(VLOOKUP($B254,Q$109:$AG$208,Q$107,FALSE),"")</f>
        <v/>
      </c>
      <c r="R254" s="1518" t="str">
        <f>IFERROR(VLOOKUP($B254,R$109:$AG$208,R$107,FALSE),"")</f>
        <v/>
      </c>
      <c r="S254" s="1518" t="str">
        <f>IFERROR(VLOOKUP($B254,S$109:$AG$208,S$107,FALSE),"")</f>
        <v/>
      </c>
      <c r="T254" s="1518" t="str">
        <f>IFERROR(VLOOKUP($B254,T$109:$AG$208,T$107,FALSE),"")</f>
        <v/>
      </c>
      <c r="U254" s="1518" t="str">
        <f>IFERROR(VLOOKUP($B254,U$109:$AG$208,U$107,FALSE),"")</f>
        <v/>
      </c>
      <c r="V254" s="1518" t="str">
        <f>IFERROR(VLOOKUP($B254,V$109:$AG$208,V$107,FALSE),"")</f>
        <v/>
      </c>
      <c r="W254" s="1518" t="str">
        <f>IFERROR(VLOOKUP($B254,W$109:$AG$208,W$107,FALSE),"")</f>
        <v/>
      </c>
      <c r="X254" s="1518" t="str">
        <f>IFERROR(VLOOKUP($B254,X$109:$AG$208,X$107,FALSE),"")</f>
        <v/>
      </c>
      <c r="Y254" s="1518" t="str">
        <f>IFERROR(VLOOKUP($B254,Y$109:$AG$208,Y$107,FALSE),"")</f>
        <v/>
      </c>
      <c r="Z254" s="1518" t="str">
        <f>IFERROR(VLOOKUP($B254,Z$109:$AG$208,Z$107,FALSE),"")</f>
        <v/>
      </c>
      <c r="AA254" s="1518" t="str">
        <f>IFERROR(VLOOKUP($B254,AA$109:$AG$208,AA$107,FALSE),"")</f>
        <v/>
      </c>
      <c r="AB254" s="1518" t="str">
        <f>IFERROR(VLOOKUP($B254,AB$109:$AG$208,AB$107,FALSE),"")</f>
        <v/>
      </c>
      <c r="AC254" s="1518" t="str">
        <f>IFERROR(VLOOKUP($B254,AC$109:$AG$208,AC$107,FALSE),"")</f>
        <v/>
      </c>
      <c r="AD254" s="1518" t="str">
        <f>IFERROR(VLOOKUP($B254,AD$109:$AG$208,AD$107,FALSE),"")</f>
        <v>MaisTer Power</v>
      </c>
      <c r="AE254" s="1518" t="str">
        <f>IFERROR(VLOOKUP($B254,AE$109:$AG$208,AE$107,FALSE),"")</f>
        <v/>
      </c>
      <c r="AF254" s="1518" t="str">
        <f>IFERROR(VLOOKUP($B254,AF$109:$AG$208,AF$107,FALSE),"")</f>
        <v/>
      </c>
    </row>
    <row r="255" spans="2:32" hidden="1">
      <c r="B255" s="1525">
        <f t="shared" si="19"/>
        <v>41</v>
      </c>
      <c r="F255" s="1518" t="str">
        <f>IFERROR(VLOOKUP($B255,F$109:$AG$208,F$107,FALSE),"")</f>
        <v/>
      </c>
      <c r="G255" s="1518" t="str">
        <f>IFERROR(VLOOKUP($B255,G$109:$AG$208,G$107,FALSE),"")</f>
        <v/>
      </c>
      <c r="H255" s="1518" t="str">
        <f>IFERROR(VLOOKUP($B255,H$109:$AG$208,H$107,FALSE),"")</f>
        <v/>
      </c>
      <c r="I255" s="1518" t="str">
        <f>IFERROR(VLOOKUP($B255,I$109:$AG$208,I$107,FALSE),"")</f>
        <v/>
      </c>
      <c r="J255" s="1518" t="str">
        <f>IFERROR(VLOOKUP($B255,J$109:$AG$208,J$107,FALSE),"")</f>
        <v/>
      </c>
      <c r="K255" s="1518" t="str">
        <f>IFERROR(VLOOKUP($B255,K$109:$AG$208,K$107,FALSE),"")</f>
        <v/>
      </c>
      <c r="L255" s="1518" t="str">
        <f>IFERROR(VLOOKUP($B255,L$109:$AG$208,L$107,FALSE),"")</f>
        <v/>
      </c>
      <c r="M255" s="1518" t="str">
        <f>IFERROR(VLOOKUP($B255,M$109:$AG$208,M$107,FALSE),"")</f>
        <v/>
      </c>
      <c r="N255" s="1518" t="str">
        <f>IFERROR(VLOOKUP($B255,N$109:$AG$208,N$107,FALSE),"")</f>
        <v/>
      </c>
      <c r="O255" s="1518" t="str">
        <f>IFERROR(VLOOKUP($B255,O$109:$AG$208,O$107,FALSE),"")</f>
        <v/>
      </c>
      <c r="P255" s="1518" t="str">
        <f>IFERROR(VLOOKUP($B255,P$109:$AG$208,P$107,FALSE),"")</f>
        <v/>
      </c>
      <c r="Q255" s="1518" t="str">
        <f>IFERROR(VLOOKUP($B255,Q$109:$AG$208,Q$107,FALSE),"")</f>
        <v/>
      </c>
      <c r="R255" s="1518" t="str">
        <f>IFERROR(VLOOKUP($B255,R$109:$AG$208,R$107,FALSE),"")</f>
        <v/>
      </c>
      <c r="S255" s="1518" t="str">
        <f>IFERROR(VLOOKUP($B255,S$109:$AG$208,S$107,FALSE),"")</f>
        <v/>
      </c>
      <c r="T255" s="1518" t="str">
        <f>IFERROR(VLOOKUP($B255,T$109:$AG$208,T$107,FALSE),"")</f>
        <v/>
      </c>
      <c r="U255" s="1518" t="str">
        <f>IFERROR(VLOOKUP($B255,U$109:$AG$208,U$107,FALSE),"")</f>
        <v/>
      </c>
      <c r="V255" s="1518" t="str">
        <f>IFERROR(VLOOKUP($B255,V$109:$AG$208,V$107,FALSE),"")</f>
        <v/>
      </c>
      <c r="W255" s="1518" t="str">
        <f>IFERROR(VLOOKUP($B255,W$109:$AG$208,W$107,FALSE),"")</f>
        <v/>
      </c>
      <c r="X255" s="1518" t="str">
        <f>IFERROR(VLOOKUP($B255,X$109:$AG$208,X$107,FALSE),"")</f>
        <v/>
      </c>
      <c r="Y255" s="1518" t="str">
        <f>IFERROR(VLOOKUP($B255,Y$109:$AG$208,Y$107,FALSE),"")</f>
        <v/>
      </c>
      <c r="Z255" s="1518" t="str">
        <f>IFERROR(VLOOKUP($B255,Z$109:$AG$208,Z$107,FALSE),"")</f>
        <v/>
      </c>
      <c r="AA255" s="1518" t="str">
        <f>IFERROR(VLOOKUP($B255,AA$109:$AG$208,AA$107,FALSE),"")</f>
        <v/>
      </c>
      <c r="AB255" s="1518" t="str">
        <f>IFERROR(VLOOKUP($B255,AB$109:$AG$208,AB$107,FALSE),"")</f>
        <v/>
      </c>
      <c r="AC255" s="1518" t="str">
        <f>IFERROR(VLOOKUP($B255,AC$109:$AG$208,AC$107,FALSE),"")</f>
        <v/>
      </c>
      <c r="AD255" s="1518" t="str">
        <f>IFERROR(VLOOKUP($B255,AD$109:$AG$208,AD$107,FALSE),"")</f>
        <v>Malibu</v>
      </c>
      <c r="AE255" s="1518" t="str">
        <f>IFERROR(VLOOKUP($B255,AE$109:$AG$208,AE$107,FALSE),"")</f>
        <v/>
      </c>
      <c r="AF255" s="1518" t="str">
        <f>IFERROR(VLOOKUP($B255,AF$109:$AG$208,AF$107,FALSE),"")</f>
        <v/>
      </c>
    </row>
    <row r="256" spans="2:32" hidden="1">
      <c r="B256" s="1525">
        <f t="shared" si="19"/>
        <v>42</v>
      </c>
      <c r="F256" s="1518" t="str">
        <f>IFERROR(VLOOKUP($B256,F$109:$AG$208,F$107,FALSE),"")</f>
        <v/>
      </c>
      <c r="G256" s="1518" t="str">
        <f>IFERROR(VLOOKUP($B256,G$109:$AG$208,G$107,FALSE),"")</f>
        <v/>
      </c>
      <c r="H256" s="1518" t="str">
        <f>IFERROR(VLOOKUP($B256,H$109:$AG$208,H$107,FALSE),"")</f>
        <v/>
      </c>
      <c r="I256" s="1518" t="str">
        <f>IFERROR(VLOOKUP($B256,I$109:$AG$208,I$107,FALSE),"")</f>
        <v/>
      </c>
      <c r="J256" s="1518" t="str">
        <f>IFERROR(VLOOKUP($B256,J$109:$AG$208,J$107,FALSE),"")</f>
        <v/>
      </c>
      <c r="K256" s="1518" t="str">
        <f>IFERROR(VLOOKUP($B256,K$109:$AG$208,K$107,FALSE),"")</f>
        <v/>
      </c>
      <c r="L256" s="1518" t="str">
        <f>IFERROR(VLOOKUP($B256,L$109:$AG$208,L$107,FALSE),"")</f>
        <v/>
      </c>
      <c r="M256" s="1518" t="str">
        <f>IFERROR(VLOOKUP($B256,M$109:$AG$208,M$107,FALSE),"")</f>
        <v/>
      </c>
      <c r="N256" s="1518" t="str">
        <f>IFERROR(VLOOKUP($B256,N$109:$AG$208,N$107,FALSE),"")</f>
        <v/>
      </c>
      <c r="O256" s="1518" t="str">
        <f>IFERROR(VLOOKUP($B256,O$109:$AG$208,O$107,FALSE),"")</f>
        <v/>
      </c>
      <c r="P256" s="1518" t="str">
        <f>IFERROR(VLOOKUP($B256,P$109:$AG$208,P$107,FALSE),"")</f>
        <v/>
      </c>
      <c r="Q256" s="1518" t="str">
        <f>IFERROR(VLOOKUP($B256,Q$109:$AG$208,Q$107,FALSE),"")</f>
        <v/>
      </c>
      <c r="R256" s="1518" t="str">
        <f>IFERROR(VLOOKUP($B256,R$109:$AG$208,R$107,FALSE),"")</f>
        <v/>
      </c>
      <c r="S256" s="1518" t="str">
        <f>IFERROR(VLOOKUP($B256,S$109:$AG$208,S$107,FALSE),"")</f>
        <v/>
      </c>
      <c r="T256" s="1518" t="str">
        <f>IFERROR(VLOOKUP($B256,T$109:$AG$208,T$107,FALSE),"")</f>
        <v/>
      </c>
      <c r="U256" s="1518" t="str">
        <f>IFERROR(VLOOKUP($B256,U$109:$AG$208,U$107,FALSE),"")</f>
        <v/>
      </c>
      <c r="V256" s="1518" t="str">
        <f>IFERROR(VLOOKUP($B256,V$109:$AG$208,V$107,FALSE),"")</f>
        <v/>
      </c>
      <c r="W256" s="1518" t="str">
        <f>IFERROR(VLOOKUP($B256,W$109:$AG$208,W$107,FALSE),"")</f>
        <v/>
      </c>
      <c r="X256" s="1518" t="str">
        <f>IFERROR(VLOOKUP($B256,X$109:$AG$208,X$107,FALSE),"")</f>
        <v/>
      </c>
      <c r="Y256" s="1518" t="str">
        <f>IFERROR(VLOOKUP($B256,Y$109:$AG$208,Y$107,FALSE),"")</f>
        <v/>
      </c>
      <c r="Z256" s="1518" t="str">
        <f>IFERROR(VLOOKUP($B256,Z$109:$AG$208,Z$107,FALSE),"")</f>
        <v/>
      </c>
      <c r="AA256" s="1518" t="str">
        <f>IFERROR(VLOOKUP($B256,AA$109:$AG$208,AA$107,FALSE),"")</f>
        <v/>
      </c>
      <c r="AB256" s="1518" t="str">
        <f>IFERROR(VLOOKUP($B256,AB$109:$AG$208,AB$107,FALSE),"")</f>
        <v/>
      </c>
      <c r="AC256" s="1518" t="str">
        <f>IFERROR(VLOOKUP($B256,AC$109:$AG$208,AC$107,FALSE),"")</f>
        <v/>
      </c>
      <c r="AD256" s="1518" t="str">
        <f>IFERROR(VLOOKUP($B256,AD$109:$AG$208,AD$107,FALSE),"")</f>
        <v>Moddus</v>
      </c>
      <c r="AE256" s="1518" t="str">
        <f>IFERROR(VLOOKUP($B256,AE$109:$AG$208,AE$107,FALSE),"")</f>
        <v/>
      </c>
      <c r="AF256" s="1518" t="str">
        <f>IFERROR(VLOOKUP($B256,AF$109:$AG$208,AF$107,FALSE),"")</f>
        <v/>
      </c>
    </row>
    <row r="257" spans="2:32" hidden="1">
      <c r="B257" s="1525">
        <f t="shared" si="19"/>
        <v>43</v>
      </c>
      <c r="F257" s="1518" t="str">
        <f>IFERROR(VLOOKUP($B257,F$109:$AG$208,F$107,FALSE),"")</f>
        <v/>
      </c>
      <c r="G257" s="1518" t="str">
        <f>IFERROR(VLOOKUP($B257,G$109:$AG$208,G$107,FALSE),"")</f>
        <v/>
      </c>
      <c r="H257" s="1518" t="str">
        <f>IFERROR(VLOOKUP($B257,H$109:$AG$208,H$107,FALSE),"")</f>
        <v/>
      </c>
      <c r="I257" s="1518" t="str">
        <f>IFERROR(VLOOKUP($B257,I$109:$AG$208,I$107,FALSE),"")</f>
        <v/>
      </c>
      <c r="J257" s="1518" t="str">
        <f>IFERROR(VLOOKUP($B257,J$109:$AG$208,J$107,FALSE),"")</f>
        <v/>
      </c>
      <c r="K257" s="1518" t="str">
        <f>IFERROR(VLOOKUP($B257,K$109:$AG$208,K$107,FALSE),"")</f>
        <v/>
      </c>
      <c r="L257" s="1518" t="str">
        <f>IFERROR(VLOOKUP($B257,L$109:$AG$208,L$107,FALSE),"")</f>
        <v/>
      </c>
      <c r="M257" s="1518" t="str">
        <f>IFERROR(VLOOKUP($B257,M$109:$AG$208,M$107,FALSE),"")</f>
        <v/>
      </c>
      <c r="N257" s="1518" t="str">
        <f>IFERROR(VLOOKUP($B257,N$109:$AG$208,N$107,FALSE),"")</f>
        <v/>
      </c>
      <c r="O257" s="1518" t="str">
        <f>IFERROR(VLOOKUP($B257,O$109:$AG$208,O$107,FALSE),"")</f>
        <v/>
      </c>
      <c r="P257" s="1518" t="str">
        <f>IFERROR(VLOOKUP($B257,P$109:$AG$208,P$107,FALSE),"")</f>
        <v/>
      </c>
      <c r="Q257" s="1518" t="str">
        <f>IFERROR(VLOOKUP($B257,Q$109:$AG$208,Q$107,FALSE),"")</f>
        <v/>
      </c>
      <c r="R257" s="1518" t="str">
        <f>IFERROR(VLOOKUP($B257,R$109:$AG$208,R$107,FALSE),"")</f>
        <v/>
      </c>
      <c r="S257" s="1518" t="str">
        <f>IFERROR(VLOOKUP($B257,S$109:$AG$208,S$107,FALSE),"")</f>
        <v/>
      </c>
      <c r="T257" s="1518" t="str">
        <f>IFERROR(VLOOKUP($B257,T$109:$AG$208,T$107,FALSE),"")</f>
        <v/>
      </c>
      <c r="U257" s="1518" t="str">
        <f>IFERROR(VLOOKUP($B257,U$109:$AG$208,U$107,FALSE),"")</f>
        <v/>
      </c>
      <c r="V257" s="1518" t="str">
        <f>IFERROR(VLOOKUP($B257,V$109:$AG$208,V$107,FALSE),"")</f>
        <v/>
      </c>
      <c r="W257" s="1518" t="str">
        <f>IFERROR(VLOOKUP($B257,W$109:$AG$208,W$107,FALSE),"")</f>
        <v/>
      </c>
      <c r="X257" s="1518" t="str">
        <f>IFERROR(VLOOKUP($B257,X$109:$AG$208,X$107,FALSE),"")</f>
        <v/>
      </c>
      <c r="Y257" s="1518" t="str">
        <f>IFERROR(VLOOKUP($B257,Y$109:$AG$208,Y$107,FALSE),"")</f>
        <v/>
      </c>
      <c r="Z257" s="1518" t="str">
        <f>IFERROR(VLOOKUP($B257,Z$109:$AG$208,Z$107,FALSE),"")</f>
        <v/>
      </c>
      <c r="AA257" s="1518" t="str">
        <f>IFERROR(VLOOKUP($B257,AA$109:$AG$208,AA$107,FALSE),"")</f>
        <v/>
      </c>
      <c r="AB257" s="1518" t="str">
        <f>IFERROR(VLOOKUP($B257,AB$109:$AG$208,AB$107,FALSE),"")</f>
        <v/>
      </c>
      <c r="AC257" s="1518" t="str">
        <f>IFERROR(VLOOKUP($B257,AC$109:$AG$208,AC$107,FALSE),"")</f>
        <v/>
      </c>
      <c r="AD257" s="1518" t="str">
        <f>IFERROR(VLOOKUP($B257,AD$109:$AG$208,AD$107,FALSE),"")</f>
        <v>Ortiva</v>
      </c>
      <c r="AE257" s="1518" t="str">
        <f>IFERROR(VLOOKUP($B257,AE$109:$AG$208,AE$107,FALSE),"")</f>
        <v/>
      </c>
      <c r="AF257" s="1518" t="str">
        <f>IFERROR(VLOOKUP($B257,AF$109:$AG$208,AF$107,FALSE),"")</f>
        <v/>
      </c>
    </row>
    <row r="258" spans="2:32" hidden="1">
      <c r="B258" s="1525">
        <f t="shared" si="19"/>
        <v>44</v>
      </c>
      <c r="F258" s="1518" t="str">
        <f>IFERROR(VLOOKUP($B258,F$109:$AG$208,F$107,FALSE),"")</f>
        <v/>
      </c>
      <c r="G258" s="1518" t="str">
        <f>IFERROR(VLOOKUP($B258,G$109:$AG$208,G$107,FALSE),"")</f>
        <v/>
      </c>
      <c r="H258" s="1518" t="str">
        <f>IFERROR(VLOOKUP($B258,H$109:$AG$208,H$107,FALSE),"")</f>
        <v/>
      </c>
      <c r="I258" s="1518" t="str">
        <f>IFERROR(VLOOKUP($B258,I$109:$AG$208,I$107,FALSE),"")</f>
        <v/>
      </c>
      <c r="J258" s="1518" t="str">
        <f>IFERROR(VLOOKUP($B258,J$109:$AG$208,J$107,FALSE),"")</f>
        <v/>
      </c>
      <c r="K258" s="1518" t="str">
        <f>IFERROR(VLOOKUP($B258,K$109:$AG$208,K$107,FALSE),"")</f>
        <v/>
      </c>
      <c r="L258" s="1518" t="str">
        <f>IFERROR(VLOOKUP($B258,L$109:$AG$208,L$107,FALSE),"")</f>
        <v/>
      </c>
      <c r="M258" s="1518" t="str">
        <f>IFERROR(VLOOKUP($B258,M$109:$AG$208,M$107,FALSE),"")</f>
        <v/>
      </c>
      <c r="N258" s="1518" t="str">
        <f>IFERROR(VLOOKUP($B258,N$109:$AG$208,N$107,FALSE),"")</f>
        <v/>
      </c>
      <c r="O258" s="1518" t="str">
        <f>IFERROR(VLOOKUP($B258,O$109:$AG$208,O$107,FALSE),"")</f>
        <v/>
      </c>
      <c r="P258" s="1518" t="str">
        <f>IFERROR(VLOOKUP($B258,P$109:$AG$208,P$107,FALSE),"")</f>
        <v/>
      </c>
      <c r="Q258" s="1518" t="str">
        <f>IFERROR(VLOOKUP($B258,Q$109:$AG$208,Q$107,FALSE),"")</f>
        <v/>
      </c>
      <c r="R258" s="1518" t="str">
        <f>IFERROR(VLOOKUP($B258,R$109:$AG$208,R$107,FALSE),"")</f>
        <v/>
      </c>
      <c r="S258" s="1518" t="str">
        <f>IFERROR(VLOOKUP($B258,S$109:$AG$208,S$107,FALSE),"")</f>
        <v/>
      </c>
      <c r="T258" s="1518" t="str">
        <f>IFERROR(VLOOKUP($B258,T$109:$AG$208,T$107,FALSE),"")</f>
        <v/>
      </c>
      <c r="U258" s="1518" t="str">
        <f>IFERROR(VLOOKUP($B258,U$109:$AG$208,U$107,FALSE),"")</f>
        <v/>
      </c>
      <c r="V258" s="1518" t="str">
        <f>IFERROR(VLOOKUP($B258,V$109:$AG$208,V$107,FALSE),"")</f>
        <v/>
      </c>
      <c r="W258" s="1518" t="str">
        <f>IFERROR(VLOOKUP($B258,W$109:$AG$208,W$107,FALSE),"")</f>
        <v/>
      </c>
      <c r="X258" s="1518" t="str">
        <f>IFERROR(VLOOKUP($B258,X$109:$AG$208,X$107,FALSE),"")</f>
        <v/>
      </c>
      <c r="Y258" s="1518" t="str">
        <f>IFERROR(VLOOKUP($B258,Y$109:$AG$208,Y$107,FALSE),"")</f>
        <v/>
      </c>
      <c r="Z258" s="1518" t="str">
        <f>IFERROR(VLOOKUP($B258,Z$109:$AG$208,Z$107,FALSE),"")</f>
        <v/>
      </c>
      <c r="AA258" s="1518" t="str">
        <f>IFERROR(VLOOKUP($B258,AA$109:$AG$208,AA$107,FALSE),"")</f>
        <v/>
      </c>
      <c r="AB258" s="1518" t="str">
        <f>IFERROR(VLOOKUP($B258,AB$109:$AG$208,AB$107,FALSE),"")</f>
        <v/>
      </c>
      <c r="AC258" s="1518" t="str">
        <f>IFERROR(VLOOKUP($B258,AC$109:$AG$208,AC$107,FALSE),"")</f>
        <v/>
      </c>
      <c r="AD258" s="1518" t="str">
        <f>IFERROR(VLOOKUP($B258,AD$109:$AG$208,AD$107,FALSE),"")</f>
        <v>Mospilan SG</v>
      </c>
      <c r="AE258" s="1518" t="str">
        <f>IFERROR(VLOOKUP($B258,AE$109:$AG$208,AE$107,FALSE),"")</f>
        <v/>
      </c>
      <c r="AF258" s="1518" t="str">
        <f>IFERROR(VLOOKUP($B258,AF$109:$AG$208,AF$107,FALSE),"")</f>
        <v/>
      </c>
    </row>
    <row r="259" spans="2:32" hidden="1">
      <c r="B259" s="1525">
        <f t="shared" si="19"/>
        <v>45</v>
      </c>
      <c r="F259" s="1518" t="str">
        <f>IFERROR(VLOOKUP($B259,F$109:$AG$208,F$107,FALSE),"")</f>
        <v/>
      </c>
      <c r="G259" s="1518" t="str">
        <f>IFERROR(VLOOKUP($B259,G$109:$AG$208,G$107,FALSE),"")</f>
        <v/>
      </c>
      <c r="H259" s="1518" t="str">
        <f>IFERROR(VLOOKUP($B259,H$109:$AG$208,H$107,FALSE),"")</f>
        <v/>
      </c>
      <c r="I259" s="1518" t="str">
        <f>IFERROR(VLOOKUP($B259,I$109:$AG$208,I$107,FALSE),"")</f>
        <v/>
      </c>
      <c r="J259" s="1518" t="str">
        <f>IFERROR(VLOOKUP($B259,J$109:$AG$208,J$107,FALSE),"")</f>
        <v/>
      </c>
      <c r="K259" s="1518" t="str">
        <f>IFERROR(VLOOKUP($B259,K$109:$AG$208,K$107,FALSE),"")</f>
        <v/>
      </c>
      <c r="L259" s="1518" t="str">
        <f>IFERROR(VLOOKUP($B259,L$109:$AG$208,L$107,FALSE),"")</f>
        <v/>
      </c>
      <c r="M259" s="1518" t="str">
        <f>IFERROR(VLOOKUP($B259,M$109:$AG$208,M$107,FALSE),"")</f>
        <v/>
      </c>
      <c r="N259" s="1518" t="str">
        <f>IFERROR(VLOOKUP($B259,N$109:$AG$208,N$107,FALSE),"")</f>
        <v/>
      </c>
      <c r="O259" s="1518" t="str">
        <f>IFERROR(VLOOKUP($B259,O$109:$AG$208,O$107,FALSE),"")</f>
        <v/>
      </c>
      <c r="P259" s="1518" t="str">
        <f>IFERROR(VLOOKUP($B259,P$109:$AG$208,P$107,FALSE),"")</f>
        <v/>
      </c>
      <c r="Q259" s="1518" t="str">
        <f>IFERROR(VLOOKUP($B259,Q$109:$AG$208,Q$107,FALSE),"")</f>
        <v/>
      </c>
      <c r="R259" s="1518" t="str">
        <f>IFERROR(VLOOKUP($B259,R$109:$AG$208,R$107,FALSE),"")</f>
        <v/>
      </c>
      <c r="S259" s="1518" t="str">
        <f>IFERROR(VLOOKUP($B259,S$109:$AG$208,S$107,FALSE),"")</f>
        <v/>
      </c>
      <c r="T259" s="1518" t="str">
        <f>IFERROR(VLOOKUP($B259,T$109:$AG$208,T$107,FALSE),"")</f>
        <v/>
      </c>
      <c r="U259" s="1518" t="str">
        <f>IFERROR(VLOOKUP($B259,U$109:$AG$208,U$107,FALSE),"")</f>
        <v/>
      </c>
      <c r="V259" s="1518" t="str">
        <f>IFERROR(VLOOKUP($B259,V$109:$AG$208,V$107,FALSE),"")</f>
        <v/>
      </c>
      <c r="W259" s="1518" t="str">
        <f>IFERROR(VLOOKUP($B259,W$109:$AG$208,W$107,FALSE),"")</f>
        <v/>
      </c>
      <c r="X259" s="1518" t="str">
        <f>IFERROR(VLOOKUP($B259,X$109:$AG$208,X$107,FALSE),"")</f>
        <v/>
      </c>
      <c r="Y259" s="1518" t="str">
        <f>IFERROR(VLOOKUP($B259,Y$109:$AG$208,Y$107,FALSE),"")</f>
        <v/>
      </c>
      <c r="Z259" s="1518" t="str">
        <f>IFERROR(VLOOKUP($B259,Z$109:$AG$208,Z$107,FALSE),"")</f>
        <v/>
      </c>
      <c r="AA259" s="1518" t="str">
        <f>IFERROR(VLOOKUP($B259,AA$109:$AG$208,AA$107,FALSE),"")</f>
        <v/>
      </c>
      <c r="AB259" s="1518" t="str">
        <f>IFERROR(VLOOKUP($B259,AB$109:$AG$208,AB$107,FALSE),"")</f>
        <v/>
      </c>
      <c r="AC259" s="1518" t="str">
        <f>IFERROR(VLOOKUP($B259,AC$109:$AG$208,AC$107,FALSE),"")</f>
        <v/>
      </c>
      <c r="AD259" s="1518" t="str">
        <f>IFERROR(VLOOKUP($B259,AD$109:$AG$208,AD$107,FALSE),"")</f>
        <v>Pointer Plus</v>
      </c>
      <c r="AE259" s="1518" t="str">
        <f>IFERROR(VLOOKUP($B259,AE$109:$AG$208,AE$107,FALSE),"")</f>
        <v/>
      </c>
      <c r="AF259" s="1518" t="str">
        <f>IFERROR(VLOOKUP($B259,AF$109:$AG$208,AF$107,FALSE),"")</f>
        <v/>
      </c>
    </row>
    <row r="260" spans="2:32" hidden="1">
      <c r="B260" s="1525">
        <f t="shared" si="19"/>
        <v>46</v>
      </c>
      <c r="F260" s="1518" t="str">
        <f>IFERROR(VLOOKUP($B260,F$109:$AG$208,F$107,FALSE),"")</f>
        <v/>
      </c>
      <c r="G260" s="1518" t="str">
        <f>IFERROR(VLOOKUP($B260,G$109:$AG$208,G$107,FALSE),"")</f>
        <v/>
      </c>
      <c r="H260" s="1518" t="str">
        <f>IFERROR(VLOOKUP($B260,H$109:$AG$208,H$107,FALSE),"")</f>
        <v/>
      </c>
      <c r="I260" s="1518" t="str">
        <f>IFERROR(VLOOKUP($B260,I$109:$AG$208,I$107,FALSE),"")</f>
        <v/>
      </c>
      <c r="J260" s="1518" t="str">
        <f>IFERROR(VLOOKUP($B260,J$109:$AG$208,J$107,FALSE),"")</f>
        <v/>
      </c>
      <c r="K260" s="1518" t="str">
        <f>IFERROR(VLOOKUP($B260,K$109:$AG$208,K$107,FALSE),"")</f>
        <v/>
      </c>
      <c r="L260" s="1518" t="str">
        <f>IFERROR(VLOOKUP($B260,L$109:$AG$208,L$107,FALSE),"")</f>
        <v/>
      </c>
      <c r="M260" s="1518" t="str">
        <f>IFERROR(VLOOKUP($B260,M$109:$AG$208,M$107,FALSE),"")</f>
        <v/>
      </c>
      <c r="N260" s="1518" t="str">
        <f>IFERROR(VLOOKUP($B260,N$109:$AG$208,N$107,FALSE),"")</f>
        <v/>
      </c>
      <c r="O260" s="1518" t="str">
        <f>IFERROR(VLOOKUP($B260,O$109:$AG$208,O$107,FALSE),"")</f>
        <v/>
      </c>
      <c r="P260" s="1518" t="str">
        <f>IFERROR(VLOOKUP($B260,P$109:$AG$208,P$107,FALSE),"")</f>
        <v/>
      </c>
      <c r="Q260" s="1518" t="str">
        <f>IFERROR(VLOOKUP($B260,Q$109:$AG$208,Q$107,FALSE),"")</f>
        <v/>
      </c>
      <c r="R260" s="1518" t="str">
        <f>IFERROR(VLOOKUP($B260,R$109:$AG$208,R$107,FALSE),"")</f>
        <v/>
      </c>
      <c r="S260" s="1518" t="str">
        <f>IFERROR(VLOOKUP($B260,S$109:$AG$208,S$107,FALSE),"")</f>
        <v/>
      </c>
      <c r="T260" s="1518" t="str">
        <f>IFERROR(VLOOKUP($B260,T$109:$AG$208,T$107,FALSE),"")</f>
        <v/>
      </c>
      <c r="U260" s="1518" t="str">
        <f>IFERROR(VLOOKUP($B260,U$109:$AG$208,U$107,FALSE),"")</f>
        <v/>
      </c>
      <c r="V260" s="1518" t="str">
        <f>IFERROR(VLOOKUP($B260,V$109:$AG$208,V$107,FALSE),"")</f>
        <v/>
      </c>
      <c r="W260" s="1518" t="str">
        <f>IFERROR(VLOOKUP($B260,W$109:$AG$208,W$107,FALSE),"")</f>
        <v/>
      </c>
      <c r="X260" s="1518" t="str">
        <f>IFERROR(VLOOKUP($B260,X$109:$AG$208,X$107,FALSE),"")</f>
        <v/>
      </c>
      <c r="Y260" s="1518" t="str">
        <f>IFERROR(VLOOKUP($B260,Y$109:$AG$208,Y$107,FALSE),"")</f>
        <v/>
      </c>
      <c r="Z260" s="1518" t="str">
        <f>IFERROR(VLOOKUP($B260,Z$109:$AG$208,Z$107,FALSE),"")</f>
        <v/>
      </c>
      <c r="AA260" s="1518" t="str">
        <f>IFERROR(VLOOKUP($B260,AA$109:$AG$208,AA$107,FALSE),"")</f>
        <v/>
      </c>
      <c r="AB260" s="1518" t="str">
        <f>IFERROR(VLOOKUP($B260,AB$109:$AG$208,AB$107,FALSE),"")</f>
        <v/>
      </c>
      <c r="AC260" s="1518" t="str">
        <f>IFERROR(VLOOKUP($B260,AC$109:$AG$208,AC$107,FALSE),"")</f>
        <v/>
      </c>
      <c r="AD260" s="1518" t="str">
        <f>IFERROR(VLOOKUP($B260,AD$109:$AG$208,AD$107,FALSE),"")</f>
        <v>Primus Perfect</v>
      </c>
      <c r="AE260" s="1518" t="str">
        <f>IFERROR(VLOOKUP($B260,AE$109:$AG$208,AE$107,FALSE),"")</f>
        <v/>
      </c>
      <c r="AF260" s="1518" t="str">
        <f>IFERROR(VLOOKUP($B260,AF$109:$AG$208,AF$107,FALSE),"")</f>
        <v/>
      </c>
    </row>
    <row r="261" spans="2:32" hidden="1">
      <c r="B261" s="1525">
        <f t="shared" si="19"/>
        <v>47</v>
      </c>
      <c r="F261" s="1518" t="str">
        <f>IFERROR(VLOOKUP($B261,F$109:$AG$208,F$107,FALSE),"")</f>
        <v/>
      </c>
      <c r="G261" s="1518" t="str">
        <f>IFERROR(VLOOKUP($B261,G$109:$AG$208,G$107,FALSE),"")</f>
        <v/>
      </c>
      <c r="H261" s="1518" t="str">
        <f>IFERROR(VLOOKUP($B261,H$109:$AG$208,H$107,FALSE),"")</f>
        <v/>
      </c>
      <c r="I261" s="1518" t="str">
        <f>IFERROR(VLOOKUP($B261,I$109:$AG$208,I$107,FALSE),"")</f>
        <v/>
      </c>
      <c r="J261" s="1518" t="str">
        <f>IFERROR(VLOOKUP($B261,J$109:$AG$208,J$107,FALSE),"")</f>
        <v/>
      </c>
      <c r="K261" s="1518" t="str">
        <f>IFERROR(VLOOKUP($B261,K$109:$AG$208,K$107,FALSE),"")</f>
        <v/>
      </c>
      <c r="L261" s="1518" t="str">
        <f>IFERROR(VLOOKUP($B261,L$109:$AG$208,L$107,FALSE),"")</f>
        <v/>
      </c>
      <c r="M261" s="1518" t="str">
        <f>IFERROR(VLOOKUP($B261,M$109:$AG$208,M$107,FALSE),"")</f>
        <v/>
      </c>
      <c r="N261" s="1518" t="str">
        <f>IFERROR(VLOOKUP($B261,N$109:$AG$208,N$107,FALSE),"")</f>
        <v/>
      </c>
      <c r="O261" s="1518" t="str">
        <f>IFERROR(VLOOKUP($B261,O$109:$AG$208,O$107,FALSE),"")</f>
        <v/>
      </c>
      <c r="P261" s="1518" t="str">
        <f>IFERROR(VLOOKUP($B261,P$109:$AG$208,P$107,FALSE),"")</f>
        <v/>
      </c>
      <c r="Q261" s="1518" t="str">
        <f>IFERROR(VLOOKUP($B261,Q$109:$AG$208,Q$107,FALSE),"")</f>
        <v/>
      </c>
      <c r="R261" s="1518" t="str">
        <f>IFERROR(VLOOKUP($B261,R$109:$AG$208,R$107,FALSE),"")</f>
        <v/>
      </c>
      <c r="S261" s="1518" t="str">
        <f>IFERROR(VLOOKUP($B261,S$109:$AG$208,S$107,FALSE),"")</f>
        <v/>
      </c>
      <c r="T261" s="1518" t="str">
        <f>IFERROR(VLOOKUP($B261,T$109:$AG$208,T$107,FALSE),"")</f>
        <v/>
      </c>
      <c r="U261" s="1518" t="str">
        <f>IFERROR(VLOOKUP($B261,U$109:$AG$208,U$107,FALSE),"")</f>
        <v/>
      </c>
      <c r="V261" s="1518" t="str">
        <f>IFERROR(VLOOKUP($B261,V$109:$AG$208,V$107,FALSE),"")</f>
        <v/>
      </c>
      <c r="W261" s="1518" t="str">
        <f>IFERROR(VLOOKUP($B261,W$109:$AG$208,W$107,FALSE),"")</f>
        <v/>
      </c>
      <c r="X261" s="1518" t="str">
        <f>IFERROR(VLOOKUP($B261,X$109:$AG$208,X$107,FALSE),"")</f>
        <v/>
      </c>
      <c r="Y261" s="1518" t="str">
        <f>IFERROR(VLOOKUP($B261,Y$109:$AG$208,Y$107,FALSE),"")</f>
        <v/>
      </c>
      <c r="Z261" s="1518" t="str">
        <f>IFERROR(VLOOKUP($B261,Z$109:$AG$208,Z$107,FALSE),"")</f>
        <v/>
      </c>
      <c r="AA261" s="1518" t="str">
        <f>IFERROR(VLOOKUP($B261,AA$109:$AG$208,AA$107,FALSE),"")</f>
        <v/>
      </c>
      <c r="AB261" s="1518" t="str">
        <f>IFERROR(VLOOKUP($B261,AB$109:$AG$208,AB$107,FALSE),"")</f>
        <v/>
      </c>
      <c r="AC261" s="1518" t="str">
        <f>IFERROR(VLOOKUP($B261,AC$109:$AG$208,AC$107,FALSE),"")</f>
        <v/>
      </c>
      <c r="AD261" s="1518" t="str">
        <f>IFERROR(VLOOKUP($B261,AD$109:$AG$208,AD$107,FALSE),"")</f>
        <v>Proline</v>
      </c>
      <c r="AE261" s="1518" t="str">
        <f>IFERROR(VLOOKUP($B261,AE$109:$AG$208,AE$107,FALSE),"")</f>
        <v/>
      </c>
      <c r="AF261" s="1518" t="str">
        <f>IFERROR(VLOOKUP($B261,AF$109:$AG$208,AF$107,FALSE),"")</f>
        <v/>
      </c>
    </row>
    <row r="262" spans="2:32" hidden="1">
      <c r="B262" s="1525">
        <f t="shared" si="19"/>
        <v>48</v>
      </c>
      <c r="F262" s="1518" t="str">
        <f>IFERROR(VLOOKUP($B262,F$109:$AG$208,F$107,FALSE),"")</f>
        <v/>
      </c>
      <c r="G262" s="1518" t="str">
        <f>IFERROR(VLOOKUP($B262,G$109:$AG$208,G$107,FALSE),"")</f>
        <v/>
      </c>
      <c r="H262" s="1518" t="str">
        <f>IFERROR(VLOOKUP($B262,H$109:$AG$208,H$107,FALSE),"")</f>
        <v/>
      </c>
      <c r="I262" s="1518" t="str">
        <f>IFERROR(VLOOKUP($B262,I$109:$AG$208,I$107,FALSE),"")</f>
        <v/>
      </c>
      <c r="J262" s="1518" t="str">
        <f>IFERROR(VLOOKUP($B262,J$109:$AG$208,J$107,FALSE),"")</f>
        <v/>
      </c>
      <c r="K262" s="1518" t="str">
        <f>IFERROR(VLOOKUP($B262,K$109:$AG$208,K$107,FALSE),"")</f>
        <v/>
      </c>
      <c r="L262" s="1518" t="str">
        <f>IFERROR(VLOOKUP($B262,L$109:$AG$208,L$107,FALSE),"")</f>
        <v/>
      </c>
      <c r="M262" s="1518" t="str">
        <f>IFERROR(VLOOKUP($B262,M$109:$AG$208,M$107,FALSE),"")</f>
        <v/>
      </c>
      <c r="N262" s="1518" t="str">
        <f>IFERROR(VLOOKUP($B262,N$109:$AG$208,N$107,FALSE),"")</f>
        <v/>
      </c>
      <c r="O262" s="1518" t="str">
        <f>IFERROR(VLOOKUP($B262,O$109:$AG$208,O$107,FALSE),"")</f>
        <v/>
      </c>
      <c r="P262" s="1518" t="str">
        <f>IFERROR(VLOOKUP($B262,P$109:$AG$208,P$107,FALSE),"")</f>
        <v/>
      </c>
      <c r="Q262" s="1518" t="str">
        <f>IFERROR(VLOOKUP($B262,Q$109:$AG$208,Q$107,FALSE),"")</f>
        <v/>
      </c>
      <c r="R262" s="1518" t="str">
        <f>IFERROR(VLOOKUP($B262,R$109:$AG$208,R$107,FALSE),"")</f>
        <v/>
      </c>
      <c r="S262" s="1518" t="str">
        <f>IFERROR(VLOOKUP($B262,S$109:$AG$208,S$107,FALSE),"")</f>
        <v/>
      </c>
      <c r="T262" s="1518" t="str">
        <f>IFERROR(VLOOKUP($B262,T$109:$AG$208,T$107,FALSE),"")</f>
        <v/>
      </c>
      <c r="U262" s="1518" t="str">
        <f>IFERROR(VLOOKUP($B262,U$109:$AG$208,U$107,FALSE),"")</f>
        <v/>
      </c>
      <c r="V262" s="1518" t="str">
        <f>IFERROR(VLOOKUP($B262,V$109:$AG$208,V$107,FALSE),"")</f>
        <v/>
      </c>
      <c r="W262" s="1518" t="str">
        <f>IFERROR(VLOOKUP($B262,W$109:$AG$208,W$107,FALSE),"")</f>
        <v/>
      </c>
      <c r="X262" s="1518" t="str">
        <f>IFERROR(VLOOKUP($B262,X$109:$AG$208,X$107,FALSE),"")</f>
        <v/>
      </c>
      <c r="Y262" s="1518" t="str">
        <f>IFERROR(VLOOKUP($B262,Y$109:$AG$208,Y$107,FALSE),"")</f>
        <v/>
      </c>
      <c r="Z262" s="1518" t="str">
        <f>IFERROR(VLOOKUP($B262,Z$109:$AG$208,Z$107,FALSE),"")</f>
        <v/>
      </c>
      <c r="AA262" s="1518" t="str">
        <f>IFERROR(VLOOKUP($B262,AA$109:$AG$208,AA$107,FALSE),"")</f>
        <v/>
      </c>
      <c r="AB262" s="1518" t="str">
        <f>IFERROR(VLOOKUP($B262,AB$109:$AG$208,AB$107,FALSE),"")</f>
        <v/>
      </c>
      <c r="AC262" s="1518" t="str">
        <f>IFERROR(VLOOKUP($B262,AC$109:$AG$208,AC$107,FALSE),"")</f>
        <v/>
      </c>
      <c r="AD262" s="1518" t="str">
        <f>IFERROR(VLOOKUP($B262,AD$109:$AG$208,AD$107,FALSE),"")</f>
        <v>Propulse</v>
      </c>
      <c r="AE262" s="1518" t="str">
        <f>IFERROR(VLOOKUP($B262,AE$109:$AG$208,AE$107,FALSE),"")</f>
        <v/>
      </c>
      <c r="AF262" s="1518" t="str">
        <f>IFERROR(VLOOKUP($B262,AF$109:$AG$208,AF$107,FALSE),"")</f>
        <v/>
      </c>
    </row>
    <row r="263" spans="2:32" hidden="1">
      <c r="B263" s="1525">
        <f t="shared" si="19"/>
        <v>49</v>
      </c>
      <c r="F263" s="1518" t="str">
        <f>IFERROR(VLOOKUP($B263,F$109:$AG$208,F$107,FALSE),"")</f>
        <v/>
      </c>
      <c r="G263" s="1518" t="str">
        <f>IFERROR(VLOOKUP($B263,G$109:$AG$208,G$107,FALSE),"")</f>
        <v/>
      </c>
      <c r="H263" s="1518" t="str">
        <f>IFERROR(VLOOKUP($B263,H$109:$AG$208,H$107,FALSE),"")</f>
        <v/>
      </c>
      <c r="I263" s="1518" t="str">
        <f>IFERROR(VLOOKUP($B263,I$109:$AG$208,I$107,FALSE),"")</f>
        <v/>
      </c>
      <c r="J263" s="1518" t="str">
        <f>IFERROR(VLOOKUP($B263,J$109:$AG$208,J$107,FALSE),"")</f>
        <v/>
      </c>
      <c r="K263" s="1518" t="str">
        <f>IFERROR(VLOOKUP($B263,K$109:$AG$208,K$107,FALSE),"")</f>
        <v/>
      </c>
      <c r="L263" s="1518" t="str">
        <f>IFERROR(VLOOKUP($B263,L$109:$AG$208,L$107,FALSE),"")</f>
        <v/>
      </c>
      <c r="M263" s="1518" t="str">
        <f>IFERROR(VLOOKUP($B263,M$109:$AG$208,M$107,FALSE),"")</f>
        <v/>
      </c>
      <c r="N263" s="1518" t="str">
        <f>IFERROR(VLOOKUP($B263,N$109:$AG$208,N$107,FALSE),"")</f>
        <v/>
      </c>
      <c r="O263" s="1518" t="str">
        <f>IFERROR(VLOOKUP($B263,O$109:$AG$208,O$107,FALSE),"")</f>
        <v/>
      </c>
      <c r="P263" s="1518" t="str">
        <f>IFERROR(VLOOKUP($B263,P$109:$AG$208,P$107,FALSE),"")</f>
        <v/>
      </c>
      <c r="Q263" s="1518" t="str">
        <f>IFERROR(VLOOKUP($B263,Q$109:$AG$208,Q$107,FALSE),"")</f>
        <v/>
      </c>
      <c r="R263" s="1518" t="str">
        <f>IFERROR(VLOOKUP($B263,R$109:$AG$208,R$107,FALSE),"")</f>
        <v/>
      </c>
      <c r="S263" s="1518" t="str">
        <f>IFERROR(VLOOKUP($B263,S$109:$AG$208,S$107,FALSE),"")</f>
        <v/>
      </c>
      <c r="T263" s="1518" t="str">
        <f>IFERROR(VLOOKUP($B263,T$109:$AG$208,T$107,FALSE),"")</f>
        <v/>
      </c>
      <c r="U263" s="1518" t="str">
        <f>IFERROR(VLOOKUP($B263,U$109:$AG$208,U$107,FALSE),"")</f>
        <v/>
      </c>
      <c r="V263" s="1518" t="str">
        <f>IFERROR(VLOOKUP($B263,V$109:$AG$208,V$107,FALSE),"")</f>
        <v/>
      </c>
      <c r="W263" s="1518" t="str">
        <f>IFERROR(VLOOKUP($B263,W$109:$AG$208,W$107,FALSE),"")</f>
        <v/>
      </c>
      <c r="X263" s="1518" t="str">
        <f>IFERROR(VLOOKUP($B263,X$109:$AG$208,X$107,FALSE),"")</f>
        <v/>
      </c>
      <c r="Y263" s="1518" t="str">
        <f>IFERROR(VLOOKUP($B263,Y$109:$AG$208,Y$107,FALSE),"")</f>
        <v/>
      </c>
      <c r="Z263" s="1518" t="str">
        <f>IFERROR(VLOOKUP($B263,Z$109:$AG$208,Z$107,FALSE),"")</f>
        <v/>
      </c>
      <c r="AA263" s="1518" t="str">
        <f>IFERROR(VLOOKUP($B263,AA$109:$AG$208,AA$107,FALSE),"")</f>
        <v/>
      </c>
      <c r="AB263" s="1518" t="str">
        <f>IFERROR(VLOOKUP($B263,AB$109:$AG$208,AB$107,FALSE),"")</f>
        <v/>
      </c>
      <c r="AC263" s="1518" t="str">
        <f>IFERROR(VLOOKUP($B263,AC$109:$AG$208,AC$107,FALSE),"")</f>
        <v/>
      </c>
      <c r="AD263" s="1518" t="str">
        <f>IFERROR(VLOOKUP($B263,AD$109:$AG$208,AD$107,FALSE),"")</f>
        <v>Prosaro</v>
      </c>
      <c r="AE263" s="1518" t="str">
        <f>IFERROR(VLOOKUP($B263,AE$109:$AG$208,AE$107,FALSE),"")</f>
        <v/>
      </c>
      <c r="AF263" s="1518" t="str">
        <f>IFERROR(VLOOKUP($B263,AF$109:$AG$208,AF$107,FALSE),"")</f>
        <v/>
      </c>
    </row>
    <row r="264" spans="2:32" hidden="1">
      <c r="B264" s="1525">
        <f t="shared" si="19"/>
        <v>50</v>
      </c>
      <c r="F264" s="1518" t="str">
        <f>IFERROR(VLOOKUP($B264,F$109:$AG$208,F$107,FALSE),"")</f>
        <v/>
      </c>
      <c r="G264" s="1518" t="str">
        <f>IFERROR(VLOOKUP($B264,G$109:$AG$208,G$107,FALSE),"")</f>
        <v/>
      </c>
      <c r="H264" s="1518" t="str">
        <f>IFERROR(VLOOKUP($B264,H$109:$AG$208,H$107,FALSE),"")</f>
        <v/>
      </c>
      <c r="I264" s="1518" t="str">
        <f>IFERROR(VLOOKUP($B264,I$109:$AG$208,I$107,FALSE),"")</f>
        <v/>
      </c>
      <c r="J264" s="1518" t="str">
        <f>IFERROR(VLOOKUP($B264,J$109:$AG$208,J$107,FALSE),"")</f>
        <v/>
      </c>
      <c r="K264" s="1518" t="str">
        <f>IFERROR(VLOOKUP($B264,K$109:$AG$208,K$107,FALSE),"")</f>
        <v/>
      </c>
      <c r="L264" s="1518" t="str">
        <f>IFERROR(VLOOKUP($B264,L$109:$AG$208,L$107,FALSE),"")</f>
        <v/>
      </c>
      <c r="M264" s="1518" t="str">
        <f>IFERROR(VLOOKUP($B264,M$109:$AG$208,M$107,FALSE),"")</f>
        <v/>
      </c>
      <c r="N264" s="1518" t="str">
        <f>IFERROR(VLOOKUP($B264,N$109:$AG$208,N$107,FALSE),"")</f>
        <v/>
      </c>
      <c r="O264" s="1518" t="str">
        <f>IFERROR(VLOOKUP($B264,O$109:$AG$208,O$107,FALSE),"")</f>
        <v/>
      </c>
      <c r="P264" s="1518" t="str">
        <f>IFERROR(VLOOKUP($B264,P$109:$AG$208,P$107,FALSE),"")</f>
        <v/>
      </c>
      <c r="Q264" s="1518" t="str">
        <f>IFERROR(VLOOKUP($B264,Q$109:$AG$208,Q$107,FALSE),"")</f>
        <v/>
      </c>
      <c r="R264" s="1518" t="str">
        <f>IFERROR(VLOOKUP($B264,R$109:$AG$208,R$107,FALSE),"")</f>
        <v/>
      </c>
      <c r="S264" s="1518" t="str">
        <f>IFERROR(VLOOKUP($B264,S$109:$AG$208,S$107,FALSE),"")</f>
        <v/>
      </c>
      <c r="T264" s="1518" t="str">
        <f>IFERROR(VLOOKUP($B264,T$109:$AG$208,T$107,FALSE),"")</f>
        <v/>
      </c>
      <c r="U264" s="1518" t="str">
        <f>IFERROR(VLOOKUP($B264,U$109:$AG$208,U$107,FALSE),"")</f>
        <v/>
      </c>
      <c r="V264" s="1518" t="str">
        <f>IFERROR(VLOOKUP($B264,V$109:$AG$208,V$107,FALSE),"")</f>
        <v/>
      </c>
      <c r="W264" s="1518" t="str">
        <f>IFERROR(VLOOKUP($B264,W$109:$AG$208,W$107,FALSE),"")</f>
        <v/>
      </c>
      <c r="X264" s="1518" t="str">
        <f>IFERROR(VLOOKUP($B264,X$109:$AG$208,X$107,FALSE),"")</f>
        <v/>
      </c>
      <c r="Y264" s="1518" t="str">
        <f>IFERROR(VLOOKUP($B264,Y$109:$AG$208,Y$107,FALSE),"")</f>
        <v/>
      </c>
      <c r="Z264" s="1518" t="str">
        <f>IFERROR(VLOOKUP($B264,Z$109:$AG$208,Z$107,FALSE),"")</f>
        <v/>
      </c>
      <c r="AA264" s="1518" t="str">
        <f>IFERROR(VLOOKUP($B264,AA$109:$AG$208,AA$107,FALSE),"")</f>
        <v/>
      </c>
      <c r="AB264" s="1518" t="str">
        <f>IFERROR(VLOOKUP($B264,AB$109:$AG$208,AB$107,FALSE),"")</f>
        <v/>
      </c>
      <c r="AC264" s="1518" t="str">
        <f>IFERROR(VLOOKUP($B264,AC$109:$AG$208,AC$107,FALSE),"")</f>
        <v/>
      </c>
      <c r="AD264" s="1518" t="str">
        <f>IFERROR(VLOOKUP($B264,AD$109:$AG$208,AD$107,FALSE),"")</f>
        <v>Ranman Top</v>
      </c>
      <c r="AE264" s="1518" t="str">
        <f>IFERROR(VLOOKUP($B264,AE$109:$AG$208,AE$107,FALSE),"")</f>
        <v/>
      </c>
      <c r="AF264" s="1518" t="str">
        <f>IFERROR(VLOOKUP($B264,AF$109:$AG$208,AF$107,FALSE),"")</f>
        <v/>
      </c>
    </row>
    <row r="265" spans="2:32" hidden="1">
      <c r="B265" s="1525">
        <f t="shared" si="19"/>
        <v>51</v>
      </c>
      <c r="F265" s="1518" t="str">
        <f>IFERROR(VLOOKUP($B265,F$109:$AG$208,F$107,FALSE),"")</f>
        <v/>
      </c>
      <c r="G265" s="1518" t="str">
        <f>IFERROR(VLOOKUP($B265,G$109:$AG$208,G$107,FALSE),"")</f>
        <v/>
      </c>
      <c r="H265" s="1518" t="str">
        <f>IFERROR(VLOOKUP($B265,H$109:$AG$208,H$107,FALSE),"")</f>
        <v/>
      </c>
      <c r="I265" s="1518" t="str">
        <f>IFERROR(VLOOKUP($B265,I$109:$AG$208,I$107,FALSE),"")</f>
        <v/>
      </c>
      <c r="J265" s="1518" t="str">
        <f>IFERROR(VLOOKUP($B265,J$109:$AG$208,J$107,FALSE),"")</f>
        <v/>
      </c>
      <c r="K265" s="1518" t="str">
        <f>IFERROR(VLOOKUP($B265,K$109:$AG$208,K$107,FALSE),"")</f>
        <v/>
      </c>
      <c r="L265" s="1518" t="str">
        <f>IFERROR(VLOOKUP($B265,L$109:$AG$208,L$107,FALSE),"")</f>
        <v/>
      </c>
      <c r="M265" s="1518" t="str">
        <f>IFERROR(VLOOKUP($B265,M$109:$AG$208,M$107,FALSE),"")</f>
        <v/>
      </c>
      <c r="N265" s="1518" t="str">
        <f>IFERROR(VLOOKUP($B265,N$109:$AG$208,N$107,FALSE),"")</f>
        <v/>
      </c>
      <c r="O265" s="1518" t="str">
        <f>IFERROR(VLOOKUP($B265,O$109:$AG$208,O$107,FALSE),"")</f>
        <v/>
      </c>
      <c r="P265" s="1518" t="str">
        <f>IFERROR(VLOOKUP($B265,P$109:$AG$208,P$107,FALSE),"")</f>
        <v/>
      </c>
      <c r="Q265" s="1518" t="str">
        <f>IFERROR(VLOOKUP($B265,Q$109:$AG$208,Q$107,FALSE),"")</f>
        <v/>
      </c>
      <c r="R265" s="1518" t="str">
        <f>IFERROR(VLOOKUP($B265,R$109:$AG$208,R$107,FALSE),"")</f>
        <v/>
      </c>
      <c r="S265" s="1518" t="str">
        <f>IFERROR(VLOOKUP($B265,S$109:$AG$208,S$107,FALSE),"")</f>
        <v/>
      </c>
      <c r="T265" s="1518" t="str">
        <f>IFERROR(VLOOKUP($B265,T$109:$AG$208,T$107,FALSE),"")</f>
        <v/>
      </c>
      <c r="U265" s="1518" t="str">
        <f>IFERROR(VLOOKUP($B265,U$109:$AG$208,U$107,FALSE),"")</f>
        <v/>
      </c>
      <c r="V265" s="1518" t="str">
        <f>IFERROR(VLOOKUP($B265,V$109:$AG$208,V$107,FALSE),"")</f>
        <v/>
      </c>
      <c r="W265" s="1518" t="str">
        <f>IFERROR(VLOOKUP($B265,W$109:$AG$208,W$107,FALSE),"")</f>
        <v/>
      </c>
      <c r="X265" s="1518" t="str">
        <f>IFERROR(VLOOKUP($B265,X$109:$AG$208,X$107,FALSE),"")</f>
        <v/>
      </c>
      <c r="Y265" s="1518" t="str">
        <f>IFERROR(VLOOKUP($B265,Y$109:$AG$208,Y$107,FALSE),"")</f>
        <v/>
      </c>
      <c r="Z265" s="1518" t="str">
        <f>IFERROR(VLOOKUP($B265,Z$109:$AG$208,Z$107,FALSE),"")</f>
        <v/>
      </c>
      <c r="AA265" s="1518" t="str">
        <f>IFERROR(VLOOKUP($B265,AA$109:$AG$208,AA$107,FALSE),"")</f>
        <v/>
      </c>
      <c r="AB265" s="1518" t="str">
        <f>IFERROR(VLOOKUP($B265,AB$109:$AG$208,AB$107,FALSE),"")</f>
        <v/>
      </c>
      <c r="AC265" s="1518" t="str">
        <f>IFERROR(VLOOKUP($B265,AC$109:$AG$208,AC$107,FALSE),"")</f>
        <v/>
      </c>
      <c r="AD265" s="1518" t="str">
        <f>IFERROR(VLOOKUP($B265,AD$109:$AG$208,AD$107,FALSE),"")</f>
        <v>Revus</v>
      </c>
      <c r="AE265" s="1518" t="str">
        <f>IFERROR(VLOOKUP($B265,AE$109:$AG$208,AE$107,FALSE),"")</f>
        <v/>
      </c>
      <c r="AF265" s="1518" t="str">
        <f>IFERROR(VLOOKUP($B265,AF$109:$AG$208,AF$107,FALSE),"")</f>
        <v/>
      </c>
    </row>
    <row r="266" spans="2:32" hidden="1">
      <c r="B266" s="1525">
        <f t="shared" si="19"/>
        <v>52</v>
      </c>
      <c r="F266" s="1518" t="str">
        <f>IFERROR(VLOOKUP($B266,F$109:$AG$208,F$107,FALSE),"")</f>
        <v/>
      </c>
      <c r="G266" s="1518" t="str">
        <f>IFERROR(VLOOKUP($B266,G$109:$AG$208,G$107,FALSE),"")</f>
        <v/>
      </c>
      <c r="H266" s="1518" t="str">
        <f>IFERROR(VLOOKUP($B266,H$109:$AG$208,H$107,FALSE),"")</f>
        <v/>
      </c>
      <c r="I266" s="1518" t="str">
        <f>IFERROR(VLOOKUP($B266,I$109:$AG$208,I$107,FALSE),"")</f>
        <v/>
      </c>
      <c r="J266" s="1518" t="str">
        <f>IFERROR(VLOOKUP($B266,J$109:$AG$208,J$107,FALSE),"")</f>
        <v/>
      </c>
      <c r="K266" s="1518" t="str">
        <f>IFERROR(VLOOKUP($B266,K$109:$AG$208,K$107,FALSE),"")</f>
        <v/>
      </c>
      <c r="L266" s="1518" t="str">
        <f>IFERROR(VLOOKUP($B266,L$109:$AG$208,L$107,FALSE),"")</f>
        <v/>
      </c>
      <c r="M266" s="1518" t="str">
        <f>IFERROR(VLOOKUP($B266,M$109:$AG$208,M$107,FALSE),"")</f>
        <v/>
      </c>
      <c r="N266" s="1518" t="str">
        <f>IFERROR(VLOOKUP($B266,N$109:$AG$208,N$107,FALSE),"")</f>
        <v/>
      </c>
      <c r="O266" s="1518" t="str">
        <f>IFERROR(VLOOKUP($B266,O$109:$AG$208,O$107,FALSE),"")</f>
        <v/>
      </c>
      <c r="P266" s="1518" t="str">
        <f>IFERROR(VLOOKUP($B266,P$109:$AG$208,P$107,FALSE),"")</f>
        <v/>
      </c>
      <c r="Q266" s="1518" t="str">
        <f>IFERROR(VLOOKUP($B266,Q$109:$AG$208,Q$107,FALSE),"")</f>
        <v/>
      </c>
      <c r="R266" s="1518" t="str">
        <f>IFERROR(VLOOKUP($B266,R$109:$AG$208,R$107,FALSE),"")</f>
        <v/>
      </c>
      <c r="S266" s="1518" t="str">
        <f>IFERROR(VLOOKUP($B266,S$109:$AG$208,S$107,FALSE),"")</f>
        <v/>
      </c>
      <c r="T266" s="1518" t="str">
        <f>IFERROR(VLOOKUP($B266,T$109:$AG$208,T$107,FALSE),"")</f>
        <v/>
      </c>
      <c r="U266" s="1518" t="str">
        <f>IFERROR(VLOOKUP($B266,U$109:$AG$208,U$107,FALSE),"")</f>
        <v/>
      </c>
      <c r="V266" s="1518" t="str">
        <f>IFERROR(VLOOKUP($B266,V$109:$AG$208,V$107,FALSE),"")</f>
        <v/>
      </c>
      <c r="W266" s="1518" t="str">
        <f>IFERROR(VLOOKUP($B266,W$109:$AG$208,W$107,FALSE),"")</f>
        <v/>
      </c>
      <c r="X266" s="1518" t="str">
        <f>IFERROR(VLOOKUP($B266,X$109:$AG$208,X$107,FALSE),"")</f>
        <v/>
      </c>
      <c r="Y266" s="1518" t="str">
        <f>IFERROR(VLOOKUP($B266,Y$109:$AG$208,Y$107,FALSE),"")</f>
        <v/>
      </c>
      <c r="Z266" s="1518" t="str">
        <f>IFERROR(VLOOKUP($B266,Z$109:$AG$208,Z$107,FALSE),"")</f>
        <v/>
      </c>
      <c r="AA266" s="1518" t="str">
        <f>IFERROR(VLOOKUP($B266,AA$109:$AG$208,AA$107,FALSE),"")</f>
        <v/>
      </c>
      <c r="AB266" s="1518" t="str">
        <f>IFERROR(VLOOKUP($B266,AB$109:$AG$208,AB$107,FALSE),"")</f>
        <v/>
      </c>
      <c r="AC266" s="1518" t="str">
        <f>IFERROR(VLOOKUP($B266,AC$109:$AG$208,AC$107,FALSE),"")</f>
        <v/>
      </c>
      <c r="AD266" s="1518" t="str">
        <f>IFERROR(VLOOKUP($B266,AD$109:$AG$208,AD$107,FALSE),"")</f>
        <v>Roundup Rekord</v>
      </c>
      <c r="AE266" s="1518" t="str">
        <f>IFERROR(VLOOKUP($B266,AE$109:$AG$208,AE$107,FALSE),"")</f>
        <v/>
      </c>
      <c r="AF266" s="1518" t="str">
        <f>IFERROR(VLOOKUP($B266,AF$109:$AG$208,AF$107,FALSE),"")</f>
        <v/>
      </c>
    </row>
    <row r="267" spans="2:32" hidden="1">
      <c r="B267" s="1525">
        <f t="shared" si="19"/>
        <v>53</v>
      </c>
      <c r="F267" s="1518" t="str">
        <f>IFERROR(VLOOKUP($B267,F$109:$AG$208,F$107,FALSE),"")</f>
        <v/>
      </c>
      <c r="G267" s="1518" t="str">
        <f>IFERROR(VLOOKUP($B267,G$109:$AG$208,G$107,FALSE),"")</f>
        <v/>
      </c>
      <c r="H267" s="1518" t="str">
        <f>IFERROR(VLOOKUP($B267,H$109:$AG$208,H$107,FALSE),"")</f>
        <v/>
      </c>
      <c r="I267" s="1518" t="str">
        <f>IFERROR(VLOOKUP($B267,I$109:$AG$208,I$107,FALSE),"")</f>
        <v/>
      </c>
      <c r="J267" s="1518" t="str">
        <f>IFERROR(VLOOKUP($B267,J$109:$AG$208,J$107,FALSE),"")</f>
        <v/>
      </c>
      <c r="K267" s="1518" t="str">
        <f>IFERROR(VLOOKUP($B267,K$109:$AG$208,K$107,FALSE),"")</f>
        <v/>
      </c>
      <c r="L267" s="1518" t="str">
        <f>IFERROR(VLOOKUP($B267,L$109:$AG$208,L$107,FALSE),"")</f>
        <v/>
      </c>
      <c r="M267" s="1518" t="str">
        <f>IFERROR(VLOOKUP($B267,M$109:$AG$208,M$107,FALSE),"")</f>
        <v/>
      </c>
      <c r="N267" s="1518" t="str">
        <f>IFERROR(VLOOKUP($B267,N$109:$AG$208,N$107,FALSE),"")</f>
        <v/>
      </c>
      <c r="O267" s="1518" t="str">
        <f>IFERROR(VLOOKUP($B267,O$109:$AG$208,O$107,FALSE),"")</f>
        <v/>
      </c>
      <c r="P267" s="1518" t="str">
        <f>IFERROR(VLOOKUP($B267,P$109:$AG$208,P$107,FALSE),"")</f>
        <v/>
      </c>
      <c r="Q267" s="1518" t="str">
        <f>IFERROR(VLOOKUP($B267,Q$109:$AG$208,Q$107,FALSE),"")</f>
        <v/>
      </c>
      <c r="R267" s="1518" t="str">
        <f>IFERROR(VLOOKUP($B267,R$109:$AG$208,R$107,FALSE),"")</f>
        <v/>
      </c>
      <c r="S267" s="1518" t="str">
        <f>IFERROR(VLOOKUP($B267,S$109:$AG$208,S$107,FALSE),"")</f>
        <v/>
      </c>
      <c r="T267" s="1518" t="str">
        <f>IFERROR(VLOOKUP($B267,T$109:$AG$208,T$107,FALSE),"")</f>
        <v/>
      </c>
      <c r="U267" s="1518" t="str">
        <f>IFERROR(VLOOKUP($B267,U$109:$AG$208,U$107,FALSE),"")</f>
        <v/>
      </c>
      <c r="V267" s="1518" t="str">
        <f>IFERROR(VLOOKUP($B267,V$109:$AG$208,V$107,FALSE),"")</f>
        <v/>
      </c>
      <c r="W267" s="1518" t="str">
        <f>IFERROR(VLOOKUP($B267,W$109:$AG$208,W$107,FALSE),"")</f>
        <v/>
      </c>
      <c r="X267" s="1518" t="str">
        <f>IFERROR(VLOOKUP($B267,X$109:$AG$208,X$107,FALSE),"")</f>
        <v/>
      </c>
      <c r="Y267" s="1518" t="str">
        <f>IFERROR(VLOOKUP($B267,Y$109:$AG$208,Y$107,FALSE),"")</f>
        <v/>
      </c>
      <c r="Z267" s="1518" t="str">
        <f>IFERROR(VLOOKUP($B267,Z$109:$AG$208,Z$107,FALSE),"")</f>
        <v/>
      </c>
      <c r="AA267" s="1518" t="str">
        <f>IFERROR(VLOOKUP($B267,AA$109:$AG$208,AA$107,FALSE),"")</f>
        <v/>
      </c>
      <c r="AB267" s="1518" t="str">
        <f>IFERROR(VLOOKUP($B267,AB$109:$AG$208,AB$107,FALSE),"")</f>
        <v/>
      </c>
      <c r="AC267" s="1518" t="str">
        <f>IFERROR(VLOOKUP($B267,AC$109:$AG$208,AC$107,FALSE),"")</f>
        <v/>
      </c>
      <c r="AD267" s="1518" t="str">
        <f>IFERROR(VLOOKUP($B267,AD$109:$AG$208,AD$107,FALSE),"")</f>
        <v>Revytrex</v>
      </c>
      <c r="AE267" s="1518" t="str">
        <f>IFERROR(VLOOKUP($B267,AE$109:$AG$208,AE$107,FALSE),"")</f>
        <v/>
      </c>
      <c r="AF267" s="1518" t="str">
        <f>IFERROR(VLOOKUP($B267,AF$109:$AG$208,AF$107,FALSE),"")</f>
        <v/>
      </c>
    </row>
    <row r="268" spans="2:32" hidden="1">
      <c r="B268" s="1525">
        <f t="shared" si="19"/>
        <v>54</v>
      </c>
      <c r="F268" s="1518" t="str">
        <f>IFERROR(VLOOKUP($B268,F$109:$AG$208,F$107,FALSE),"")</f>
        <v/>
      </c>
      <c r="G268" s="1518" t="str">
        <f>IFERROR(VLOOKUP($B268,G$109:$AG$208,G$107,FALSE),"")</f>
        <v/>
      </c>
      <c r="H268" s="1518" t="str">
        <f>IFERROR(VLOOKUP($B268,H$109:$AG$208,H$107,FALSE),"")</f>
        <v/>
      </c>
      <c r="I268" s="1518" t="str">
        <f>IFERROR(VLOOKUP($B268,I$109:$AG$208,I$107,FALSE),"")</f>
        <v/>
      </c>
      <c r="J268" s="1518" t="str">
        <f>IFERROR(VLOOKUP($B268,J$109:$AG$208,J$107,FALSE),"")</f>
        <v/>
      </c>
      <c r="K268" s="1518" t="str">
        <f>IFERROR(VLOOKUP($B268,K$109:$AG$208,K$107,FALSE),"")</f>
        <v/>
      </c>
      <c r="L268" s="1518" t="str">
        <f>IFERROR(VLOOKUP($B268,L$109:$AG$208,L$107,FALSE),"")</f>
        <v/>
      </c>
      <c r="M268" s="1518" t="str">
        <f>IFERROR(VLOOKUP($B268,M$109:$AG$208,M$107,FALSE),"")</f>
        <v/>
      </c>
      <c r="N268" s="1518" t="str">
        <f>IFERROR(VLOOKUP($B268,N$109:$AG$208,N$107,FALSE),"")</f>
        <v/>
      </c>
      <c r="O268" s="1518" t="str">
        <f>IFERROR(VLOOKUP($B268,O$109:$AG$208,O$107,FALSE),"")</f>
        <v/>
      </c>
      <c r="P268" s="1518" t="str">
        <f>IFERROR(VLOOKUP($B268,P$109:$AG$208,P$107,FALSE),"")</f>
        <v/>
      </c>
      <c r="Q268" s="1518" t="str">
        <f>IFERROR(VLOOKUP($B268,Q$109:$AG$208,Q$107,FALSE),"")</f>
        <v/>
      </c>
      <c r="R268" s="1518" t="str">
        <f>IFERROR(VLOOKUP($B268,R$109:$AG$208,R$107,FALSE),"")</f>
        <v/>
      </c>
      <c r="S268" s="1518" t="str">
        <f>IFERROR(VLOOKUP($B268,S$109:$AG$208,S$107,FALSE),"")</f>
        <v/>
      </c>
      <c r="T268" s="1518" t="str">
        <f>IFERROR(VLOOKUP($B268,T$109:$AG$208,T$107,FALSE),"")</f>
        <v/>
      </c>
      <c r="U268" s="1518" t="str">
        <f>IFERROR(VLOOKUP($B268,U$109:$AG$208,U$107,FALSE),"")</f>
        <v/>
      </c>
      <c r="V268" s="1518" t="str">
        <f>IFERROR(VLOOKUP($B268,V$109:$AG$208,V$107,FALSE),"")</f>
        <v/>
      </c>
      <c r="W268" s="1518" t="str">
        <f>IFERROR(VLOOKUP($B268,W$109:$AG$208,W$107,FALSE),"")</f>
        <v/>
      </c>
      <c r="X268" s="1518" t="str">
        <f>IFERROR(VLOOKUP($B268,X$109:$AG$208,X$107,FALSE),"")</f>
        <v/>
      </c>
      <c r="Y268" s="1518" t="str">
        <f>IFERROR(VLOOKUP($B268,Y$109:$AG$208,Y$107,FALSE),"")</f>
        <v/>
      </c>
      <c r="Z268" s="1518" t="str">
        <f>IFERROR(VLOOKUP($B268,Z$109:$AG$208,Z$107,FALSE),"")</f>
        <v/>
      </c>
      <c r="AA268" s="1518" t="str">
        <f>IFERROR(VLOOKUP($B268,AA$109:$AG$208,AA$107,FALSE),"")</f>
        <v/>
      </c>
      <c r="AB268" s="1518" t="str">
        <f>IFERROR(VLOOKUP($B268,AB$109:$AG$208,AB$107,FALSE),"")</f>
        <v/>
      </c>
      <c r="AC268" s="1518" t="str">
        <f>IFERROR(VLOOKUP($B268,AC$109:$AG$208,AC$107,FALSE),"")</f>
        <v/>
      </c>
      <c r="AD268" s="1518" t="str">
        <f>IFERROR(VLOOKUP($B268,AD$109:$AG$208,AD$107,FALSE),"")</f>
        <v>Comet</v>
      </c>
      <c r="AE268" s="1518" t="str">
        <f>IFERROR(VLOOKUP($B268,AE$109:$AG$208,AE$107,FALSE),"")</f>
        <v/>
      </c>
      <c r="AF268" s="1518" t="str">
        <f>IFERROR(VLOOKUP($B268,AF$109:$AG$208,AF$107,FALSE),"")</f>
        <v/>
      </c>
    </row>
    <row r="269" spans="2:32" hidden="1">
      <c r="B269" s="1525">
        <f t="shared" si="19"/>
        <v>55</v>
      </c>
      <c r="F269" s="1518" t="str">
        <f>IFERROR(VLOOKUP($B269,F$109:$AG$208,F$107,FALSE),"")</f>
        <v/>
      </c>
      <c r="G269" s="1518" t="str">
        <f>IFERROR(VLOOKUP($B269,G$109:$AG$208,G$107,FALSE),"")</f>
        <v/>
      </c>
      <c r="H269" s="1518" t="str">
        <f>IFERROR(VLOOKUP($B269,H$109:$AG$208,H$107,FALSE),"")</f>
        <v/>
      </c>
      <c r="I269" s="1518" t="str">
        <f>IFERROR(VLOOKUP($B269,I$109:$AG$208,I$107,FALSE),"")</f>
        <v/>
      </c>
      <c r="J269" s="1518" t="str">
        <f>IFERROR(VLOOKUP($B269,J$109:$AG$208,J$107,FALSE),"")</f>
        <v/>
      </c>
      <c r="K269" s="1518" t="str">
        <f>IFERROR(VLOOKUP($B269,K$109:$AG$208,K$107,FALSE),"")</f>
        <v/>
      </c>
      <c r="L269" s="1518" t="str">
        <f>IFERROR(VLOOKUP($B269,L$109:$AG$208,L$107,FALSE),"")</f>
        <v/>
      </c>
      <c r="M269" s="1518" t="str">
        <f>IFERROR(VLOOKUP($B269,M$109:$AG$208,M$107,FALSE),"")</f>
        <v/>
      </c>
      <c r="N269" s="1518" t="str">
        <f>IFERROR(VLOOKUP($B269,N$109:$AG$208,N$107,FALSE),"")</f>
        <v/>
      </c>
      <c r="O269" s="1518" t="str">
        <f>IFERROR(VLOOKUP($B269,O$109:$AG$208,O$107,FALSE),"")</f>
        <v/>
      </c>
      <c r="P269" s="1518" t="str">
        <f>IFERROR(VLOOKUP($B269,P$109:$AG$208,P$107,FALSE),"")</f>
        <v/>
      </c>
      <c r="Q269" s="1518" t="str">
        <f>IFERROR(VLOOKUP($B269,Q$109:$AG$208,Q$107,FALSE),"")</f>
        <v/>
      </c>
      <c r="R269" s="1518" t="str">
        <f>IFERROR(VLOOKUP($B269,R$109:$AG$208,R$107,FALSE),"")</f>
        <v/>
      </c>
      <c r="S269" s="1518" t="str">
        <f>IFERROR(VLOOKUP($B269,S$109:$AG$208,S$107,FALSE),"")</f>
        <v/>
      </c>
      <c r="T269" s="1518" t="str">
        <f>IFERROR(VLOOKUP($B269,T$109:$AG$208,T$107,FALSE),"")</f>
        <v/>
      </c>
      <c r="U269" s="1518" t="str">
        <f>IFERROR(VLOOKUP($B269,U$109:$AG$208,U$107,FALSE),"")</f>
        <v/>
      </c>
      <c r="V269" s="1518" t="str">
        <f>IFERROR(VLOOKUP($B269,V$109:$AG$208,V$107,FALSE),"")</f>
        <v/>
      </c>
      <c r="W269" s="1518" t="str">
        <f>IFERROR(VLOOKUP($B269,W$109:$AG$208,W$107,FALSE),"")</f>
        <v/>
      </c>
      <c r="X269" s="1518" t="str">
        <f>IFERROR(VLOOKUP($B269,X$109:$AG$208,X$107,FALSE),"")</f>
        <v/>
      </c>
      <c r="Y269" s="1518" t="str">
        <f>IFERROR(VLOOKUP($B269,Y$109:$AG$208,Y$107,FALSE),"")</f>
        <v/>
      </c>
      <c r="Z269" s="1518" t="str">
        <f>IFERROR(VLOOKUP($B269,Z$109:$AG$208,Z$107,FALSE),"")</f>
        <v/>
      </c>
      <c r="AA269" s="1518" t="str">
        <f>IFERROR(VLOOKUP($B269,AA$109:$AG$208,AA$107,FALSE),"")</f>
        <v/>
      </c>
      <c r="AB269" s="1518" t="str">
        <f>IFERROR(VLOOKUP($B269,AB$109:$AG$208,AB$107,FALSE),"")</f>
        <v/>
      </c>
      <c r="AC269" s="1518" t="str">
        <f>IFERROR(VLOOKUP($B269,AC$109:$AG$208,AC$107,FALSE),"")</f>
        <v/>
      </c>
      <c r="AD269" s="1518" t="str">
        <f>IFERROR(VLOOKUP($B269,AD$109:$AG$208,AD$107,FALSE),"")</f>
        <v>Select 240 EC</v>
      </c>
      <c r="AE269" s="1518" t="str">
        <f>IFERROR(VLOOKUP($B269,AE$109:$AG$208,AE$107,FALSE),"")</f>
        <v/>
      </c>
      <c r="AF269" s="1518" t="str">
        <f>IFERROR(VLOOKUP($B269,AF$109:$AG$208,AF$107,FALSE),"")</f>
        <v/>
      </c>
    </row>
    <row r="270" spans="2:32" hidden="1">
      <c r="B270" s="1525">
        <f t="shared" si="19"/>
        <v>56</v>
      </c>
      <c r="F270" s="1518" t="str">
        <f>IFERROR(VLOOKUP($B270,F$109:$AG$208,F$107,FALSE),"")</f>
        <v/>
      </c>
      <c r="G270" s="1518" t="str">
        <f>IFERROR(VLOOKUP($B270,G$109:$AG$208,G$107,FALSE),"")</f>
        <v/>
      </c>
      <c r="H270" s="1518" t="str">
        <f>IFERROR(VLOOKUP($B270,H$109:$AG$208,H$107,FALSE),"")</f>
        <v/>
      </c>
      <c r="I270" s="1518" t="str">
        <f>IFERROR(VLOOKUP($B270,I$109:$AG$208,I$107,FALSE),"")</f>
        <v/>
      </c>
      <c r="J270" s="1518" t="str">
        <f>IFERROR(VLOOKUP($B270,J$109:$AG$208,J$107,FALSE),"")</f>
        <v/>
      </c>
      <c r="K270" s="1518" t="str">
        <f>IFERROR(VLOOKUP($B270,K$109:$AG$208,K$107,FALSE),"")</f>
        <v/>
      </c>
      <c r="L270" s="1518" t="str">
        <f>IFERROR(VLOOKUP($B270,L$109:$AG$208,L$107,FALSE),"")</f>
        <v/>
      </c>
      <c r="M270" s="1518" t="str">
        <f>IFERROR(VLOOKUP($B270,M$109:$AG$208,M$107,FALSE),"")</f>
        <v/>
      </c>
      <c r="N270" s="1518" t="str">
        <f>IFERROR(VLOOKUP($B270,N$109:$AG$208,N$107,FALSE),"")</f>
        <v/>
      </c>
      <c r="O270" s="1518" t="str">
        <f>IFERROR(VLOOKUP($B270,O$109:$AG$208,O$107,FALSE),"")</f>
        <v/>
      </c>
      <c r="P270" s="1518" t="str">
        <f>IFERROR(VLOOKUP($B270,P$109:$AG$208,P$107,FALSE),"")</f>
        <v/>
      </c>
      <c r="Q270" s="1518" t="str">
        <f>IFERROR(VLOOKUP($B270,Q$109:$AG$208,Q$107,FALSE),"")</f>
        <v/>
      </c>
      <c r="R270" s="1518" t="str">
        <f>IFERROR(VLOOKUP($B270,R$109:$AG$208,R$107,FALSE),"")</f>
        <v/>
      </c>
      <c r="S270" s="1518" t="str">
        <f>IFERROR(VLOOKUP($B270,S$109:$AG$208,S$107,FALSE),"")</f>
        <v/>
      </c>
      <c r="T270" s="1518" t="str">
        <f>IFERROR(VLOOKUP($B270,T$109:$AG$208,T$107,FALSE),"")</f>
        <v/>
      </c>
      <c r="U270" s="1518" t="str">
        <f>IFERROR(VLOOKUP($B270,U$109:$AG$208,U$107,FALSE),"")</f>
        <v/>
      </c>
      <c r="V270" s="1518" t="str">
        <f>IFERROR(VLOOKUP($B270,V$109:$AG$208,V$107,FALSE),"")</f>
        <v/>
      </c>
      <c r="W270" s="1518" t="str">
        <f>IFERROR(VLOOKUP($B270,W$109:$AG$208,W$107,FALSE),"")</f>
        <v/>
      </c>
      <c r="X270" s="1518" t="str">
        <f>IFERROR(VLOOKUP($B270,X$109:$AG$208,X$107,FALSE),"")</f>
        <v/>
      </c>
      <c r="Y270" s="1518" t="str">
        <f>IFERROR(VLOOKUP($B270,Y$109:$AG$208,Y$107,FALSE),"")</f>
        <v/>
      </c>
      <c r="Z270" s="1518" t="str">
        <f>IFERROR(VLOOKUP($B270,Z$109:$AG$208,Z$107,FALSE),"")</f>
        <v/>
      </c>
      <c r="AA270" s="1518" t="str">
        <f>IFERROR(VLOOKUP($B270,AA$109:$AG$208,AA$107,FALSE),"")</f>
        <v/>
      </c>
      <c r="AB270" s="1518" t="str">
        <f>IFERROR(VLOOKUP($B270,AB$109:$AG$208,AB$107,FALSE),"")</f>
        <v/>
      </c>
      <c r="AC270" s="1518" t="str">
        <f>IFERROR(VLOOKUP($B270,AC$109:$AG$208,AC$107,FALSE),"")</f>
        <v/>
      </c>
      <c r="AD270" s="1518" t="str">
        <f>IFERROR(VLOOKUP($B270,AD$109:$AG$208,AD$107,FALSE),"")</f>
        <v>Shirlan</v>
      </c>
      <c r="AE270" s="1518" t="str">
        <f>IFERROR(VLOOKUP($B270,AE$109:$AG$208,AE$107,FALSE),"")</f>
        <v/>
      </c>
      <c r="AF270" s="1518" t="str">
        <f>IFERROR(VLOOKUP($B270,AF$109:$AG$208,AF$107,FALSE),"")</f>
        <v/>
      </c>
    </row>
    <row r="271" spans="2:32" hidden="1">
      <c r="B271" s="1525">
        <f t="shared" si="19"/>
        <v>57</v>
      </c>
      <c r="F271" s="1518" t="str">
        <f>IFERROR(VLOOKUP($B271,F$109:$AG$208,F$107,FALSE),"")</f>
        <v/>
      </c>
      <c r="G271" s="1518" t="str">
        <f>IFERROR(VLOOKUP($B271,G$109:$AG$208,G$107,FALSE),"")</f>
        <v/>
      </c>
      <c r="H271" s="1518" t="str">
        <f>IFERROR(VLOOKUP($B271,H$109:$AG$208,H$107,FALSE),"")</f>
        <v/>
      </c>
      <c r="I271" s="1518" t="str">
        <f>IFERROR(VLOOKUP($B271,I$109:$AG$208,I$107,FALSE),"")</f>
        <v/>
      </c>
      <c r="J271" s="1518" t="str">
        <f>IFERROR(VLOOKUP($B271,J$109:$AG$208,J$107,FALSE),"")</f>
        <v/>
      </c>
      <c r="K271" s="1518" t="str">
        <f>IFERROR(VLOOKUP($B271,K$109:$AG$208,K$107,FALSE),"")</f>
        <v/>
      </c>
      <c r="L271" s="1518" t="str">
        <f>IFERROR(VLOOKUP($B271,L$109:$AG$208,L$107,FALSE),"")</f>
        <v/>
      </c>
      <c r="M271" s="1518" t="str">
        <f>IFERROR(VLOOKUP($B271,M$109:$AG$208,M$107,FALSE),"")</f>
        <v/>
      </c>
      <c r="N271" s="1518" t="str">
        <f>IFERROR(VLOOKUP($B271,N$109:$AG$208,N$107,FALSE),"")</f>
        <v/>
      </c>
      <c r="O271" s="1518" t="str">
        <f>IFERROR(VLOOKUP($B271,O$109:$AG$208,O$107,FALSE),"")</f>
        <v/>
      </c>
      <c r="P271" s="1518" t="str">
        <f>IFERROR(VLOOKUP($B271,P$109:$AG$208,P$107,FALSE),"")</f>
        <v/>
      </c>
      <c r="Q271" s="1518" t="str">
        <f>IFERROR(VLOOKUP($B271,Q$109:$AG$208,Q$107,FALSE),"")</f>
        <v/>
      </c>
      <c r="R271" s="1518" t="str">
        <f>IFERROR(VLOOKUP($B271,R$109:$AG$208,R$107,FALSE),"")</f>
        <v/>
      </c>
      <c r="S271" s="1518" t="str">
        <f>IFERROR(VLOOKUP($B271,S$109:$AG$208,S$107,FALSE),"")</f>
        <v/>
      </c>
      <c r="T271" s="1518" t="str">
        <f>IFERROR(VLOOKUP($B271,T$109:$AG$208,T$107,FALSE),"")</f>
        <v/>
      </c>
      <c r="U271" s="1518" t="str">
        <f>IFERROR(VLOOKUP($B271,U$109:$AG$208,U$107,FALSE),"")</f>
        <v/>
      </c>
      <c r="V271" s="1518" t="str">
        <f>IFERROR(VLOOKUP($B271,V$109:$AG$208,V$107,FALSE),"")</f>
        <v/>
      </c>
      <c r="W271" s="1518" t="str">
        <f>IFERROR(VLOOKUP($B271,W$109:$AG$208,W$107,FALSE),"")</f>
        <v/>
      </c>
      <c r="X271" s="1518" t="str">
        <f>IFERROR(VLOOKUP($B271,X$109:$AG$208,X$107,FALSE),"")</f>
        <v/>
      </c>
      <c r="Y271" s="1518" t="str">
        <f>IFERROR(VLOOKUP($B271,Y$109:$AG$208,Y$107,FALSE),"")</f>
        <v/>
      </c>
      <c r="Z271" s="1518" t="str">
        <f>IFERROR(VLOOKUP($B271,Z$109:$AG$208,Z$107,FALSE),"")</f>
        <v/>
      </c>
      <c r="AA271" s="1518" t="str">
        <f>IFERROR(VLOOKUP($B271,AA$109:$AG$208,AA$107,FALSE),"")</f>
        <v/>
      </c>
      <c r="AB271" s="1518" t="str">
        <f>IFERROR(VLOOKUP($B271,AB$109:$AG$208,AB$107,FALSE),"")</f>
        <v/>
      </c>
      <c r="AC271" s="1518" t="str">
        <f>IFERROR(VLOOKUP($B271,AC$109:$AG$208,AC$107,FALSE),"")</f>
        <v/>
      </c>
      <c r="AD271" s="1518" t="str">
        <f>IFERROR(VLOOKUP($B271,AD$109:$AG$208,AD$107,FALSE),"")</f>
        <v>Spectrum Plus</v>
      </c>
      <c r="AE271" s="1518" t="str">
        <f>IFERROR(VLOOKUP($B271,AE$109:$AG$208,AE$107,FALSE),"")</f>
        <v/>
      </c>
      <c r="AF271" s="1518" t="str">
        <f>IFERROR(VLOOKUP($B271,AF$109:$AG$208,AF$107,FALSE),"")</f>
        <v/>
      </c>
    </row>
    <row r="272" spans="2:32" hidden="1">
      <c r="B272" s="1525">
        <f t="shared" si="19"/>
        <v>58</v>
      </c>
      <c r="F272" s="1518" t="str">
        <f>IFERROR(VLOOKUP($B272,F$109:$AG$208,F$107,FALSE),"")</f>
        <v/>
      </c>
      <c r="G272" s="1518" t="str">
        <f>IFERROR(VLOOKUP($B272,G$109:$AG$208,G$107,FALSE),"")</f>
        <v/>
      </c>
      <c r="H272" s="1518" t="str">
        <f>IFERROR(VLOOKUP($B272,H$109:$AG$208,H$107,FALSE),"")</f>
        <v/>
      </c>
      <c r="I272" s="1518" t="str">
        <f>IFERROR(VLOOKUP($B272,I$109:$AG$208,I$107,FALSE),"")</f>
        <v/>
      </c>
      <c r="J272" s="1518" t="str">
        <f>IFERROR(VLOOKUP($B272,J$109:$AG$208,J$107,FALSE),"")</f>
        <v/>
      </c>
      <c r="K272" s="1518" t="str">
        <f>IFERROR(VLOOKUP($B272,K$109:$AG$208,K$107,FALSE),"")</f>
        <v/>
      </c>
      <c r="L272" s="1518" t="str">
        <f>IFERROR(VLOOKUP($B272,L$109:$AG$208,L$107,FALSE),"")</f>
        <v/>
      </c>
      <c r="M272" s="1518" t="str">
        <f>IFERROR(VLOOKUP($B272,M$109:$AG$208,M$107,FALSE),"")</f>
        <v/>
      </c>
      <c r="N272" s="1518" t="str">
        <f>IFERROR(VLOOKUP($B272,N$109:$AG$208,N$107,FALSE),"")</f>
        <v/>
      </c>
      <c r="O272" s="1518" t="str">
        <f>IFERROR(VLOOKUP($B272,O$109:$AG$208,O$107,FALSE),"")</f>
        <v/>
      </c>
      <c r="P272" s="1518" t="str">
        <f>IFERROR(VLOOKUP($B272,P$109:$AG$208,P$107,FALSE),"")</f>
        <v/>
      </c>
      <c r="Q272" s="1518" t="str">
        <f>IFERROR(VLOOKUP($B272,Q$109:$AG$208,Q$107,FALSE),"")</f>
        <v/>
      </c>
      <c r="R272" s="1518" t="str">
        <f>IFERROR(VLOOKUP($B272,R$109:$AG$208,R$107,FALSE),"")</f>
        <v/>
      </c>
      <c r="S272" s="1518" t="str">
        <f>IFERROR(VLOOKUP($B272,S$109:$AG$208,S$107,FALSE),"")</f>
        <v/>
      </c>
      <c r="T272" s="1518" t="str">
        <f>IFERROR(VLOOKUP($B272,T$109:$AG$208,T$107,FALSE),"")</f>
        <v/>
      </c>
      <c r="U272" s="1518" t="str">
        <f>IFERROR(VLOOKUP($B272,U$109:$AG$208,U$107,FALSE),"")</f>
        <v/>
      </c>
      <c r="V272" s="1518" t="str">
        <f>IFERROR(VLOOKUP($B272,V$109:$AG$208,V$107,FALSE),"")</f>
        <v/>
      </c>
      <c r="W272" s="1518" t="str">
        <f>IFERROR(VLOOKUP($B272,W$109:$AG$208,W$107,FALSE),"")</f>
        <v/>
      </c>
      <c r="X272" s="1518" t="str">
        <f>IFERROR(VLOOKUP($B272,X$109:$AG$208,X$107,FALSE),"")</f>
        <v/>
      </c>
      <c r="Y272" s="1518" t="str">
        <f>IFERROR(VLOOKUP($B272,Y$109:$AG$208,Y$107,FALSE),"")</f>
        <v/>
      </c>
      <c r="Z272" s="1518" t="str">
        <f>IFERROR(VLOOKUP($B272,Z$109:$AG$208,Z$107,FALSE),"")</f>
        <v/>
      </c>
      <c r="AA272" s="1518" t="str">
        <f>IFERROR(VLOOKUP($B272,AA$109:$AG$208,AA$107,FALSE),"")</f>
        <v/>
      </c>
      <c r="AB272" s="1518" t="str">
        <f>IFERROR(VLOOKUP($B272,AB$109:$AG$208,AB$107,FALSE),"")</f>
        <v/>
      </c>
      <c r="AC272" s="1518" t="str">
        <f>IFERROR(VLOOKUP($B272,AC$109:$AG$208,AC$107,FALSE),"")</f>
        <v/>
      </c>
      <c r="AD272" s="1518" t="str">
        <f>IFERROR(VLOOKUP($B272,AD$109:$AG$208,AD$107,FALSE),"")</f>
        <v>Starane XL</v>
      </c>
      <c r="AE272" s="1518" t="str">
        <f>IFERROR(VLOOKUP($B272,AE$109:$AG$208,AE$107,FALSE),"")</f>
        <v/>
      </c>
      <c r="AF272" s="1518" t="str">
        <f>IFERROR(VLOOKUP($B272,AF$109:$AG$208,AF$107,FALSE),"")</f>
        <v/>
      </c>
    </row>
    <row r="273" spans="2:32" hidden="1">
      <c r="B273" s="1525">
        <f t="shared" si="19"/>
        <v>59</v>
      </c>
      <c r="F273" s="1518" t="str">
        <f>IFERROR(VLOOKUP($B273,F$109:$AG$208,F$107,FALSE),"")</f>
        <v/>
      </c>
      <c r="G273" s="1518" t="str">
        <f>IFERROR(VLOOKUP($B273,G$109:$AG$208,G$107,FALSE),"")</f>
        <v/>
      </c>
      <c r="H273" s="1518" t="str">
        <f>IFERROR(VLOOKUP($B273,H$109:$AG$208,H$107,FALSE),"")</f>
        <v/>
      </c>
      <c r="I273" s="1518" t="str">
        <f>IFERROR(VLOOKUP($B273,I$109:$AG$208,I$107,FALSE),"")</f>
        <v/>
      </c>
      <c r="J273" s="1518" t="str">
        <f>IFERROR(VLOOKUP($B273,J$109:$AG$208,J$107,FALSE),"")</f>
        <v/>
      </c>
      <c r="K273" s="1518" t="str">
        <f>IFERROR(VLOOKUP($B273,K$109:$AG$208,K$107,FALSE),"")</f>
        <v/>
      </c>
      <c r="L273" s="1518" t="str">
        <f>IFERROR(VLOOKUP($B273,L$109:$AG$208,L$107,FALSE),"")</f>
        <v/>
      </c>
      <c r="M273" s="1518" t="str">
        <f>IFERROR(VLOOKUP($B273,M$109:$AG$208,M$107,FALSE),"")</f>
        <v/>
      </c>
      <c r="N273" s="1518" t="str">
        <f>IFERROR(VLOOKUP($B273,N$109:$AG$208,N$107,FALSE),"")</f>
        <v/>
      </c>
      <c r="O273" s="1518" t="str">
        <f>IFERROR(VLOOKUP($B273,O$109:$AG$208,O$107,FALSE),"")</f>
        <v/>
      </c>
      <c r="P273" s="1518" t="str">
        <f>IFERROR(VLOOKUP($B273,P$109:$AG$208,P$107,FALSE),"")</f>
        <v/>
      </c>
      <c r="Q273" s="1518" t="str">
        <f>IFERROR(VLOOKUP($B273,Q$109:$AG$208,Q$107,FALSE),"")</f>
        <v/>
      </c>
      <c r="R273" s="1518" t="str">
        <f>IFERROR(VLOOKUP($B273,R$109:$AG$208,R$107,FALSE),"")</f>
        <v/>
      </c>
      <c r="S273" s="1518" t="str">
        <f>IFERROR(VLOOKUP($B273,S$109:$AG$208,S$107,FALSE),"")</f>
        <v/>
      </c>
      <c r="T273" s="1518" t="str">
        <f>IFERROR(VLOOKUP($B273,T$109:$AG$208,T$107,FALSE),"")</f>
        <v/>
      </c>
      <c r="U273" s="1518" t="str">
        <f>IFERROR(VLOOKUP($B273,U$109:$AG$208,U$107,FALSE),"")</f>
        <v/>
      </c>
      <c r="V273" s="1518" t="str">
        <f>IFERROR(VLOOKUP($B273,V$109:$AG$208,V$107,FALSE),"")</f>
        <v/>
      </c>
      <c r="W273" s="1518" t="str">
        <f>IFERROR(VLOOKUP($B273,W$109:$AG$208,W$107,FALSE),"")</f>
        <v/>
      </c>
      <c r="X273" s="1518" t="str">
        <f>IFERROR(VLOOKUP($B273,X$109:$AG$208,X$107,FALSE),"")</f>
        <v/>
      </c>
      <c r="Y273" s="1518" t="str">
        <f>IFERROR(VLOOKUP($B273,Y$109:$AG$208,Y$107,FALSE),"")</f>
        <v/>
      </c>
      <c r="Z273" s="1518" t="str">
        <f>IFERROR(VLOOKUP($B273,Z$109:$AG$208,Z$107,FALSE),"")</f>
        <v/>
      </c>
      <c r="AA273" s="1518" t="str">
        <f>IFERROR(VLOOKUP($B273,AA$109:$AG$208,AA$107,FALSE),"")</f>
        <v/>
      </c>
      <c r="AB273" s="1518" t="str">
        <f>IFERROR(VLOOKUP($B273,AB$109:$AG$208,AB$107,FALSE),"")</f>
        <v/>
      </c>
      <c r="AC273" s="1518" t="str">
        <f>IFERROR(VLOOKUP($B273,AC$109:$AG$208,AC$107,FALSE),"")</f>
        <v/>
      </c>
      <c r="AD273" s="1518" t="str">
        <f>IFERROR(VLOOKUP($B273,AD$109:$AG$208,AD$107,FALSE),"")</f>
        <v>Stomp Aqua</v>
      </c>
      <c r="AE273" s="1518" t="str">
        <f>IFERROR(VLOOKUP($B273,AE$109:$AG$208,AE$107,FALSE),"")</f>
        <v/>
      </c>
      <c r="AF273" s="1518" t="str">
        <f>IFERROR(VLOOKUP($B273,AF$109:$AG$208,AF$107,FALSE),"")</f>
        <v/>
      </c>
    </row>
    <row r="274" spans="2:32" hidden="1">
      <c r="B274" s="1525">
        <f t="shared" si="19"/>
        <v>60</v>
      </c>
      <c r="F274" s="1518" t="str">
        <f>IFERROR(VLOOKUP($B274,F$109:$AG$208,F$107,FALSE),"")</f>
        <v/>
      </c>
      <c r="G274" s="1518" t="str">
        <f>IFERROR(VLOOKUP($B274,G$109:$AG$208,G$107,FALSE),"")</f>
        <v/>
      </c>
      <c r="H274" s="1518" t="str">
        <f>IFERROR(VLOOKUP($B274,H$109:$AG$208,H$107,FALSE),"")</f>
        <v/>
      </c>
      <c r="I274" s="1518" t="str">
        <f>IFERROR(VLOOKUP($B274,I$109:$AG$208,I$107,FALSE),"")</f>
        <v/>
      </c>
      <c r="J274" s="1518" t="str">
        <f>IFERROR(VLOOKUP($B274,J$109:$AG$208,J$107,FALSE),"")</f>
        <v/>
      </c>
      <c r="K274" s="1518" t="str">
        <f>IFERROR(VLOOKUP($B274,K$109:$AG$208,K$107,FALSE),"")</f>
        <v/>
      </c>
      <c r="L274" s="1518" t="str">
        <f>IFERROR(VLOOKUP($B274,L$109:$AG$208,L$107,FALSE),"")</f>
        <v/>
      </c>
      <c r="M274" s="1518" t="str">
        <f>IFERROR(VLOOKUP($B274,M$109:$AG$208,M$107,FALSE),"")</f>
        <v/>
      </c>
      <c r="N274" s="1518" t="str">
        <f>IFERROR(VLOOKUP($B274,N$109:$AG$208,N$107,FALSE),"")</f>
        <v/>
      </c>
      <c r="O274" s="1518" t="str">
        <f>IFERROR(VLOOKUP($B274,O$109:$AG$208,O$107,FALSE),"")</f>
        <v/>
      </c>
      <c r="P274" s="1518" t="str">
        <f>IFERROR(VLOOKUP($B274,P$109:$AG$208,P$107,FALSE),"")</f>
        <v/>
      </c>
      <c r="Q274" s="1518" t="str">
        <f>IFERROR(VLOOKUP($B274,Q$109:$AG$208,Q$107,FALSE),"")</f>
        <v/>
      </c>
      <c r="R274" s="1518" t="str">
        <f>IFERROR(VLOOKUP($B274,R$109:$AG$208,R$107,FALSE),"")</f>
        <v/>
      </c>
      <c r="S274" s="1518" t="str">
        <f>IFERROR(VLOOKUP($B274,S$109:$AG$208,S$107,FALSE),"")</f>
        <v/>
      </c>
      <c r="T274" s="1518" t="str">
        <f>IFERROR(VLOOKUP($B274,T$109:$AG$208,T$107,FALSE),"")</f>
        <v/>
      </c>
      <c r="U274" s="1518" t="str">
        <f>IFERROR(VLOOKUP($B274,U$109:$AG$208,U$107,FALSE),"")</f>
        <v/>
      </c>
      <c r="V274" s="1518" t="str">
        <f>IFERROR(VLOOKUP($B274,V$109:$AG$208,V$107,FALSE),"")</f>
        <v/>
      </c>
      <c r="W274" s="1518" t="str">
        <f>IFERROR(VLOOKUP($B274,W$109:$AG$208,W$107,FALSE),"")</f>
        <v/>
      </c>
      <c r="X274" s="1518" t="str">
        <f>IFERROR(VLOOKUP($B274,X$109:$AG$208,X$107,FALSE),"")</f>
        <v/>
      </c>
      <c r="Y274" s="1518" t="str">
        <f>IFERROR(VLOOKUP($B274,Y$109:$AG$208,Y$107,FALSE),"")</f>
        <v/>
      </c>
      <c r="Z274" s="1518" t="str">
        <f>IFERROR(VLOOKUP($B274,Z$109:$AG$208,Z$107,FALSE),"")</f>
        <v/>
      </c>
      <c r="AA274" s="1518" t="str">
        <f>IFERROR(VLOOKUP($B274,AA$109:$AG$208,AA$107,FALSE),"")</f>
        <v/>
      </c>
      <c r="AB274" s="1518" t="str">
        <f>IFERROR(VLOOKUP($B274,AB$109:$AG$208,AB$107,FALSE),"")</f>
        <v/>
      </c>
      <c r="AC274" s="1518" t="str">
        <f>IFERROR(VLOOKUP($B274,AC$109:$AG$208,AC$107,FALSE),"")</f>
        <v/>
      </c>
      <c r="AD274" s="1518" t="str">
        <f>IFERROR(VLOOKUP($B274,AD$109:$AG$208,AD$107,FALSE),"")</f>
        <v>Teppeki</v>
      </c>
      <c r="AE274" s="1518" t="str">
        <f>IFERROR(VLOOKUP($B274,AE$109:$AG$208,AE$107,FALSE),"")</f>
        <v/>
      </c>
      <c r="AF274" s="1518" t="str">
        <f>IFERROR(VLOOKUP($B274,AF$109:$AG$208,AF$107,FALSE),"")</f>
        <v/>
      </c>
    </row>
    <row r="275" spans="2:32" hidden="1">
      <c r="B275" s="1525">
        <f t="shared" si="19"/>
        <v>61</v>
      </c>
      <c r="F275" s="1518" t="str">
        <f>IFERROR(VLOOKUP($B275,F$109:$AG$208,F$107,FALSE),"")</f>
        <v/>
      </c>
      <c r="G275" s="1518" t="str">
        <f>IFERROR(VLOOKUP($B275,G$109:$AG$208,G$107,FALSE),"")</f>
        <v/>
      </c>
      <c r="H275" s="1518" t="str">
        <f>IFERROR(VLOOKUP($B275,H$109:$AG$208,H$107,FALSE),"")</f>
        <v/>
      </c>
      <c r="I275" s="1518" t="str">
        <f>IFERROR(VLOOKUP($B275,I$109:$AG$208,I$107,FALSE),"")</f>
        <v/>
      </c>
      <c r="J275" s="1518" t="str">
        <f>IFERROR(VLOOKUP($B275,J$109:$AG$208,J$107,FALSE),"")</f>
        <v/>
      </c>
      <c r="K275" s="1518" t="str">
        <f>IFERROR(VLOOKUP($B275,K$109:$AG$208,K$107,FALSE),"")</f>
        <v/>
      </c>
      <c r="L275" s="1518" t="str">
        <f>IFERROR(VLOOKUP($B275,L$109:$AG$208,L$107,FALSE),"")</f>
        <v/>
      </c>
      <c r="M275" s="1518" t="str">
        <f>IFERROR(VLOOKUP($B275,M$109:$AG$208,M$107,FALSE),"")</f>
        <v/>
      </c>
      <c r="N275" s="1518" t="str">
        <f>IFERROR(VLOOKUP($B275,N$109:$AG$208,N$107,FALSE),"")</f>
        <v/>
      </c>
      <c r="O275" s="1518" t="str">
        <f>IFERROR(VLOOKUP($B275,O$109:$AG$208,O$107,FALSE),"")</f>
        <v/>
      </c>
      <c r="P275" s="1518" t="str">
        <f>IFERROR(VLOOKUP($B275,P$109:$AG$208,P$107,FALSE),"")</f>
        <v/>
      </c>
      <c r="Q275" s="1518" t="str">
        <f>IFERROR(VLOOKUP($B275,Q$109:$AG$208,Q$107,FALSE),"")</f>
        <v/>
      </c>
      <c r="R275" s="1518" t="str">
        <f>IFERROR(VLOOKUP($B275,R$109:$AG$208,R$107,FALSE),"")</f>
        <v/>
      </c>
      <c r="S275" s="1518" t="str">
        <f>IFERROR(VLOOKUP($B275,S$109:$AG$208,S$107,FALSE),"")</f>
        <v/>
      </c>
      <c r="T275" s="1518" t="str">
        <f>IFERROR(VLOOKUP($B275,T$109:$AG$208,T$107,FALSE),"")</f>
        <v/>
      </c>
      <c r="U275" s="1518" t="str">
        <f>IFERROR(VLOOKUP($B275,U$109:$AG$208,U$107,FALSE),"")</f>
        <v/>
      </c>
      <c r="V275" s="1518" t="str">
        <f>IFERROR(VLOOKUP($B275,V$109:$AG$208,V$107,FALSE),"")</f>
        <v/>
      </c>
      <c r="W275" s="1518" t="str">
        <f>IFERROR(VLOOKUP($B275,W$109:$AG$208,W$107,FALSE),"")</f>
        <v/>
      </c>
      <c r="X275" s="1518" t="str">
        <f>IFERROR(VLOOKUP($B275,X$109:$AG$208,X$107,FALSE),"")</f>
        <v/>
      </c>
      <c r="Y275" s="1518" t="str">
        <f>IFERROR(VLOOKUP($B275,Y$109:$AG$208,Y$107,FALSE),"")</f>
        <v/>
      </c>
      <c r="Z275" s="1518" t="str">
        <f>IFERROR(VLOOKUP($B275,Z$109:$AG$208,Z$107,FALSE),"")</f>
        <v/>
      </c>
      <c r="AA275" s="1518" t="str">
        <f>IFERROR(VLOOKUP($B275,AA$109:$AG$208,AA$107,FALSE),"")</f>
        <v/>
      </c>
      <c r="AB275" s="1518" t="str">
        <f>IFERROR(VLOOKUP($B275,AB$109:$AG$208,AB$107,FALSE),"")</f>
        <v/>
      </c>
      <c r="AC275" s="1518" t="str">
        <f>IFERROR(VLOOKUP($B275,AC$109:$AG$208,AC$107,FALSE),"")</f>
        <v/>
      </c>
      <c r="AD275" s="1518" t="str">
        <f>IFERROR(VLOOKUP($B275,AD$109:$AG$208,AD$107,FALSE),"")</f>
        <v>Tilmor</v>
      </c>
      <c r="AE275" s="1518" t="str">
        <f>IFERROR(VLOOKUP($B275,AE$109:$AG$208,AE$107,FALSE),"")</f>
        <v/>
      </c>
      <c r="AF275" s="1518" t="str">
        <f>IFERROR(VLOOKUP($B275,AF$109:$AG$208,AF$107,FALSE),"")</f>
        <v/>
      </c>
    </row>
    <row r="276" spans="2:32" hidden="1">
      <c r="B276" s="1525">
        <f t="shared" si="19"/>
        <v>62</v>
      </c>
      <c r="F276" s="1518" t="str">
        <f>IFERROR(VLOOKUP($B276,F$109:$AG$208,F$107,FALSE),"")</f>
        <v/>
      </c>
      <c r="G276" s="1518" t="str">
        <f>IFERROR(VLOOKUP($B276,G$109:$AG$208,G$107,FALSE),"")</f>
        <v/>
      </c>
      <c r="H276" s="1518" t="str">
        <f>IFERROR(VLOOKUP($B276,H$109:$AG$208,H$107,FALSE),"")</f>
        <v/>
      </c>
      <c r="I276" s="1518" t="str">
        <f>IFERROR(VLOOKUP($B276,I$109:$AG$208,I$107,FALSE),"")</f>
        <v/>
      </c>
      <c r="J276" s="1518" t="str">
        <f>IFERROR(VLOOKUP($B276,J$109:$AG$208,J$107,FALSE),"")</f>
        <v/>
      </c>
      <c r="K276" s="1518" t="str">
        <f>IFERROR(VLOOKUP($B276,K$109:$AG$208,K$107,FALSE),"")</f>
        <v/>
      </c>
      <c r="L276" s="1518" t="str">
        <f>IFERROR(VLOOKUP($B276,L$109:$AG$208,L$107,FALSE),"")</f>
        <v/>
      </c>
      <c r="M276" s="1518" t="str">
        <f>IFERROR(VLOOKUP($B276,M$109:$AG$208,M$107,FALSE),"")</f>
        <v/>
      </c>
      <c r="N276" s="1518" t="str">
        <f>IFERROR(VLOOKUP($B276,N$109:$AG$208,N$107,FALSE),"")</f>
        <v/>
      </c>
      <c r="O276" s="1518" t="str">
        <f>IFERROR(VLOOKUP($B276,O$109:$AG$208,O$107,FALSE),"")</f>
        <v/>
      </c>
      <c r="P276" s="1518" t="str">
        <f>IFERROR(VLOOKUP($B276,P$109:$AG$208,P$107,FALSE),"")</f>
        <v/>
      </c>
      <c r="Q276" s="1518" t="str">
        <f>IFERROR(VLOOKUP($B276,Q$109:$AG$208,Q$107,FALSE),"")</f>
        <v/>
      </c>
      <c r="R276" s="1518" t="str">
        <f>IFERROR(VLOOKUP($B276,R$109:$AG$208,R$107,FALSE),"")</f>
        <v/>
      </c>
      <c r="S276" s="1518" t="str">
        <f>IFERROR(VLOOKUP($B276,S$109:$AG$208,S$107,FALSE),"")</f>
        <v/>
      </c>
      <c r="T276" s="1518" t="str">
        <f>IFERROR(VLOOKUP($B276,T$109:$AG$208,T$107,FALSE),"")</f>
        <v/>
      </c>
      <c r="U276" s="1518" t="str">
        <f>IFERROR(VLOOKUP($B276,U$109:$AG$208,U$107,FALSE),"")</f>
        <v/>
      </c>
      <c r="V276" s="1518" t="str">
        <f>IFERROR(VLOOKUP($B276,V$109:$AG$208,V$107,FALSE),"")</f>
        <v/>
      </c>
      <c r="W276" s="1518" t="str">
        <f>IFERROR(VLOOKUP($B276,W$109:$AG$208,W$107,FALSE),"")</f>
        <v/>
      </c>
      <c r="X276" s="1518" t="str">
        <f>IFERROR(VLOOKUP($B276,X$109:$AG$208,X$107,FALSE),"")</f>
        <v/>
      </c>
      <c r="Y276" s="1518" t="str">
        <f>IFERROR(VLOOKUP($B276,Y$109:$AG$208,Y$107,FALSE),"")</f>
        <v/>
      </c>
      <c r="Z276" s="1518" t="str">
        <f>IFERROR(VLOOKUP($B276,Z$109:$AG$208,Z$107,FALSE),"")</f>
        <v/>
      </c>
      <c r="AA276" s="1518" t="str">
        <f>IFERROR(VLOOKUP($B276,AA$109:$AG$208,AA$107,FALSE),"")</f>
        <v/>
      </c>
      <c r="AB276" s="1518" t="str">
        <f>IFERROR(VLOOKUP($B276,AB$109:$AG$208,AB$107,FALSE),"")</f>
        <v/>
      </c>
      <c r="AC276" s="1518" t="str">
        <f>IFERROR(VLOOKUP($B276,AC$109:$AG$208,AC$107,FALSE),"")</f>
        <v/>
      </c>
      <c r="AD276" s="1518" t="str">
        <f>IFERROR(VLOOKUP($B276,AD$109:$AG$208,AD$107,FALSE),"")</f>
        <v>Traxos</v>
      </c>
      <c r="AE276" s="1518" t="str">
        <f>IFERROR(VLOOKUP($B276,AE$109:$AG$208,AE$107,FALSE),"")</f>
        <v/>
      </c>
      <c r="AF276" s="1518" t="str">
        <f>IFERROR(VLOOKUP($B276,AF$109:$AG$208,AF$107,FALSE),"")</f>
        <v/>
      </c>
    </row>
    <row r="277" spans="2:32" hidden="1">
      <c r="B277" s="1525">
        <f t="shared" si="19"/>
        <v>63</v>
      </c>
      <c r="F277" s="1518" t="str">
        <f>IFERROR(VLOOKUP($B277,F$109:$AG$208,F$107,FALSE),"")</f>
        <v/>
      </c>
      <c r="G277" s="1518" t="str">
        <f>IFERROR(VLOOKUP($B277,G$109:$AG$208,G$107,FALSE),"")</f>
        <v/>
      </c>
      <c r="H277" s="1518" t="str">
        <f>IFERROR(VLOOKUP($B277,H$109:$AG$208,H$107,FALSE),"")</f>
        <v/>
      </c>
      <c r="I277" s="1518" t="str">
        <f>IFERROR(VLOOKUP($B277,I$109:$AG$208,I$107,FALSE),"")</f>
        <v/>
      </c>
      <c r="J277" s="1518" t="str">
        <f>IFERROR(VLOOKUP($B277,J$109:$AG$208,J$107,FALSE),"")</f>
        <v/>
      </c>
      <c r="K277" s="1518" t="str">
        <f>IFERROR(VLOOKUP($B277,K$109:$AG$208,K$107,FALSE),"")</f>
        <v/>
      </c>
      <c r="L277" s="1518" t="str">
        <f>IFERROR(VLOOKUP($B277,L$109:$AG$208,L$107,FALSE),"")</f>
        <v/>
      </c>
      <c r="M277" s="1518" t="str">
        <f>IFERROR(VLOOKUP($B277,M$109:$AG$208,M$107,FALSE),"")</f>
        <v/>
      </c>
      <c r="N277" s="1518" t="str">
        <f>IFERROR(VLOOKUP($B277,N$109:$AG$208,N$107,FALSE),"")</f>
        <v/>
      </c>
      <c r="O277" s="1518" t="str">
        <f>IFERROR(VLOOKUP($B277,O$109:$AG$208,O$107,FALSE),"")</f>
        <v/>
      </c>
      <c r="P277" s="1518" t="str">
        <f>IFERROR(VLOOKUP($B277,P$109:$AG$208,P$107,FALSE),"")</f>
        <v/>
      </c>
      <c r="Q277" s="1518" t="str">
        <f>IFERROR(VLOOKUP($B277,Q$109:$AG$208,Q$107,FALSE),"")</f>
        <v/>
      </c>
      <c r="R277" s="1518" t="str">
        <f>IFERROR(VLOOKUP($B277,R$109:$AG$208,R$107,FALSE),"")</f>
        <v/>
      </c>
      <c r="S277" s="1518" t="str">
        <f>IFERROR(VLOOKUP($B277,S$109:$AG$208,S$107,FALSE),"")</f>
        <v/>
      </c>
      <c r="T277" s="1518" t="str">
        <f>IFERROR(VLOOKUP($B277,T$109:$AG$208,T$107,FALSE),"")</f>
        <v/>
      </c>
      <c r="U277" s="1518" t="str">
        <f>IFERROR(VLOOKUP($B277,U$109:$AG$208,U$107,FALSE),"")</f>
        <v/>
      </c>
      <c r="V277" s="1518" t="str">
        <f>IFERROR(VLOOKUP($B277,V$109:$AG$208,V$107,FALSE),"")</f>
        <v/>
      </c>
      <c r="W277" s="1518" t="str">
        <f>IFERROR(VLOOKUP($B277,W$109:$AG$208,W$107,FALSE),"")</f>
        <v/>
      </c>
      <c r="X277" s="1518" t="str">
        <f>IFERROR(VLOOKUP($B277,X$109:$AG$208,X$107,FALSE),"")</f>
        <v/>
      </c>
      <c r="Y277" s="1518" t="str">
        <f>IFERROR(VLOOKUP($B277,Y$109:$AG$208,Y$107,FALSE),"")</f>
        <v/>
      </c>
      <c r="Z277" s="1518" t="str">
        <f>IFERROR(VLOOKUP($B277,Z$109:$AG$208,Z$107,FALSE),"")</f>
        <v/>
      </c>
      <c r="AA277" s="1518" t="str">
        <f>IFERROR(VLOOKUP($B277,AA$109:$AG$208,AA$107,FALSE),"")</f>
        <v/>
      </c>
      <c r="AB277" s="1518" t="str">
        <f>IFERROR(VLOOKUP($B277,AB$109:$AG$208,AB$107,FALSE),"")</f>
        <v/>
      </c>
      <c r="AC277" s="1518" t="str">
        <f>IFERROR(VLOOKUP($B277,AC$109:$AG$208,AC$107,FALSE),"")</f>
        <v/>
      </c>
      <c r="AD277" s="1518" t="str">
        <f>IFERROR(VLOOKUP($B277,AD$109:$AG$208,AD$107,FALSE),"")</f>
        <v>Trebon 30 EC</v>
      </c>
      <c r="AE277" s="1518" t="str">
        <f>IFERROR(VLOOKUP($B277,AE$109:$AG$208,AE$107,FALSE),"")</f>
        <v/>
      </c>
      <c r="AF277" s="1518" t="str">
        <f>IFERROR(VLOOKUP($B277,AF$109:$AG$208,AF$107,FALSE),"")</f>
        <v/>
      </c>
    </row>
    <row r="278" spans="2:32" hidden="1">
      <c r="B278" s="1525">
        <f t="shared" si="19"/>
        <v>64</v>
      </c>
      <c r="F278" s="1518" t="str">
        <f>IFERROR(VLOOKUP($B278,F$109:$AG$208,F$107,FALSE),"")</f>
        <v/>
      </c>
      <c r="G278" s="1518" t="str">
        <f>IFERROR(VLOOKUP($B278,G$109:$AG$208,G$107,FALSE),"")</f>
        <v/>
      </c>
      <c r="H278" s="1518" t="str">
        <f>IFERROR(VLOOKUP($B278,H$109:$AG$208,H$107,FALSE),"")</f>
        <v/>
      </c>
      <c r="I278" s="1518" t="str">
        <f>IFERROR(VLOOKUP($B278,I$109:$AG$208,I$107,FALSE),"")</f>
        <v/>
      </c>
      <c r="J278" s="1518" t="str">
        <f>IFERROR(VLOOKUP($B278,J$109:$AG$208,J$107,FALSE),"")</f>
        <v/>
      </c>
      <c r="K278" s="1518" t="str">
        <f>IFERROR(VLOOKUP($B278,K$109:$AG$208,K$107,FALSE),"")</f>
        <v/>
      </c>
      <c r="L278" s="1518" t="str">
        <f>IFERROR(VLOOKUP($B278,L$109:$AG$208,L$107,FALSE),"")</f>
        <v/>
      </c>
      <c r="M278" s="1518" t="str">
        <f>IFERROR(VLOOKUP($B278,M$109:$AG$208,M$107,FALSE),"")</f>
        <v/>
      </c>
      <c r="N278" s="1518" t="str">
        <f>IFERROR(VLOOKUP($B278,N$109:$AG$208,N$107,FALSE),"")</f>
        <v/>
      </c>
      <c r="O278" s="1518" t="str">
        <f>IFERROR(VLOOKUP($B278,O$109:$AG$208,O$107,FALSE),"")</f>
        <v/>
      </c>
      <c r="P278" s="1518" t="str">
        <f>IFERROR(VLOOKUP($B278,P$109:$AG$208,P$107,FALSE),"")</f>
        <v/>
      </c>
      <c r="Q278" s="1518" t="str">
        <f>IFERROR(VLOOKUP($B278,Q$109:$AG$208,Q$107,FALSE),"")</f>
        <v/>
      </c>
      <c r="R278" s="1518" t="str">
        <f>IFERROR(VLOOKUP($B278,R$109:$AG$208,R$107,FALSE),"")</f>
        <v/>
      </c>
      <c r="S278" s="1518" t="str">
        <f>IFERROR(VLOOKUP($B278,S$109:$AG$208,S$107,FALSE),"")</f>
        <v/>
      </c>
      <c r="T278" s="1518" t="str">
        <f>IFERROR(VLOOKUP($B278,T$109:$AG$208,T$107,FALSE),"")</f>
        <v/>
      </c>
      <c r="U278" s="1518" t="str">
        <f>IFERROR(VLOOKUP($B278,U$109:$AG$208,U$107,FALSE),"")</f>
        <v/>
      </c>
      <c r="V278" s="1518" t="str">
        <f>IFERROR(VLOOKUP($B278,V$109:$AG$208,V$107,FALSE),"")</f>
        <v/>
      </c>
      <c r="W278" s="1518" t="str">
        <f>IFERROR(VLOOKUP($B278,W$109:$AG$208,W$107,FALSE),"")</f>
        <v/>
      </c>
      <c r="X278" s="1518" t="str">
        <f>IFERROR(VLOOKUP($B278,X$109:$AG$208,X$107,FALSE),"")</f>
        <v/>
      </c>
      <c r="Y278" s="1518" t="str">
        <f>IFERROR(VLOOKUP($B278,Y$109:$AG$208,Y$107,FALSE),"")</f>
        <v/>
      </c>
      <c r="Z278" s="1518" t="str">
        <f>IFERROR(VLOOKUP($B278,Z$109:$AG$208,Z$107,FALSE),"")</f>
        <v/>
      </c>
      <c r="AA278" s="1518" t="str">
        <f>IFERROR(VLOOKUP($B278,AA$109:$AG$208,AA$107,FALSE),"")</f>
        <v/>
      </c>
      <c r="AB278" s="1518" t="str">
        <f>IFERROR(VLOOKUP($B278,AB$109:$AG$208,AB$107,FALSE),"")</f>
        <v/>
      </c>
      <c r="AC278" s="1518" t="str">
        <f>IFERROR(VLOOKUP($B278,AC$109:$AG$208,AC$107,FALSE),"")</f>
        <v/>
      </c>
      <c r="AD278" s="1518" t="str">
        <f>IFERROR(VLOOKUP($B278,AD$109:$AG$208,AD$107,FALSE),"")</f>
        <v>TRICHOGRAMMA</v>
      </c>
      <c r="AE278" s="1518" t="str">
        <f>IFERROR(VLOOKUP($B278,AE$109:$AG$208,AE$107,FALSE),"")</f>
        <v/>
      </c>
      <c r="AF278" s="1518" t="str">
        <f>IFERROR(VLOOKUP($B278,AF$109:$AG$208,AF$107,FALSE),"")</f>
        <v/>
      </c>
    </row>
    <row r="279" spans="2:32" hidden="1">
      <c r="B279" s="1525">
        <f t="shared" ref="B279:B313" si="20">B278+1</f>
        <v>65</v>
      </c>
      <c r="F279" s="1518" t="str">
        <f>IFERROR(VLOOKUP($B279,F$109:$AG$208,F$107,FALSE),"")</f>
        <v/>
      </c>
      <c r="G279" s="1518" t="str">
        <f>IFERROR(VLOOKUP($B279,G$109:$AG$208,G$107,FALSE),"")</f>
        <v/>
      </c>
      <c r="H279" s="1518" t="str">
        <f>IFERROR(VLOOKUP($B279,H$109:$AG$208,H$107,FALSE),"")</f>
        <v/>
      </c>
      <c r="I279" s="1518" t="str">
        <f>IFERROR(VLOOKUP($B279,I$109:$AG$208,I$107,FALSE),"")</f>
        <v/>
      </c>
      <c r="J279" s="1518" t="str">
        <f>IFERROR(VLOOKUP($B279,J$109:$AG$208,J$107,FALSE),"")</f>
        <v/>
      </c>
      <c r="K279" s="1518" t="str">
        <f>IFERROR(VLOOKUP($B279,K$109:$AG$208,K$107,FALSE),"")</f>
        <v/>
      </c>
      <c r="L279" s="1518" t="str">
        <f>IFERROR(VLOOKUP($B279,L$109:$AG$208,L$107,FALSE),"")</f>
        <v/>
      </c>
      <c r="M279" s="1518" t="str">
        <f>IFERROR(VLOOKUP($B279,M$109:$AG$208,M$107,FALSE),"")</f>
        <v/>
      </c>
      <c r="N279" s="1518" t="str">
        <f>IFERROR(VLOOKUP($B279,N$109:$AG$208,N$107,FALSE),"")</f>
        <v/>
      </c>
      <c r="O279" s="1518" t="str">
        <f>IFERROR(VLOOKUP($B279,O$109:$AG$208,O$107,FALSE),"")</f>
        <v/>
      </c>
      <c r="P279" s="1518" t="str">
        <f>IFERROR(VLOOKUP($B279,P$109:$AG$208,P$107,FALSE),"")</f>
        <v/>
      </c>
      <c r="Q279" s="1518" t="str">
        <f>IFERROR(VLOOKUP($B279,Q$109:$AG$208,Q$107,FALSE),"")</f>
        <v/>
      </c>
      <c r="R279" s="1518" t="str">
        <f>IFERROR(VLOOKUP($B279,R$109:$AG$208,R$107,FALSE),"")</f>
        <v/>
      </c>
      <c r="S279" s="1518" t="str">
        <f>IFERROR(VLOOKUP($B279,S$109:$AG$208,S$107,FALSE),"")</f>
        <v/>
      </c>
      <c r="T279" s="1518" t="str">
        <f>IFERROR(VLOOKUP($B279,T$109:$AG$208,T$107,FALSE),"")</f>
        <v/>
      </c>
      <c r="U279" s="1518" t="str">
        <f>IFERROR(VLOOKUP($B279,U$109:$AG$208,U$107,FALSE),"")</f>
        <v/>
      </c>
      <c r="V279" s="1518" t="str">
        <f>IFERROR(VLOOKUP($B279,V$109:$AG$208,V$107,FALSE),"")</f>
        <v/>
      </c>
      <c r="W279" s="1518" t="str">
        <f>IFERROR(VLOOKUP($B279,W$109:$AG$208,W$107,FALSE),"")</f>
        <v/>
      </c>
      <c r="X279" s="1518" t="str">
        <f>IFERROR(VLOOKUP($B279,X$109:$AG$208,X$107,FALSE),"")</f>
        <v/>
      </c>
      <c r="Y279" s="1518" t="str">
        <f>IFERROR(VLOOKUP($B279,Y$109:$AG$208,Y$107,FALSE),"")</f>
        <v/>
      </c>
      <c r="Z279" s="1518" t="str">
        <f>IFERROR(VLOOKUP($B279,Z$109:$AG$208,Z$107,FALSE),"")</f>
        <v/>
      </c>
      <c r="AA279" s="1518" t="str">
        <f>IFERROR(VLOOKUP($B279,AA$109:$AG$208,AA$107,FALSE),"")</f>
        <v/>
      </c>
      <c r="AB279" s="1518" t="str">
        <f>IFERROR(VLOOKUP($B279,AB$109:$AG$208,AB$107,FALSE),"")</f>
        <v/>
      </c>
      <c r="AC279" s="1518" t="str">
        <f>IFERROR(VLOOKUP($B279,AC$109:$AG$208,AC$107,FALSE),"")</f>
        <v/>
      </c>
      <c r="AD279" s="1518" t="str">
        <f>IFERROR(VLOOKUP($B279,AD$109:$AG$208,AD$107,FALSE),"")</f>
        <v>Zypar</v>
      </c>
      <c r="AE279" s="1518" t="str">
        <f>IFERROR(VLOOKUP($B279,AE$109:$AG$208,AE$107,FALSE),"")</f>
        <v/>
      </c>
      <c r="AF279" s="1518" t="str">
        <f>IFERROR(VLOOKUP($B279,AF$109:$AG$208,AF$107,FALSE),"")</f>
        <v/>
      </c>
    </row>
    <row r="280" spans="2:32" hidden="1">
      <c r="B280" s="1525">
        <f t="shared" si="20"/>
        <v>66</v>
      </c>
      <c r="F280" s="1518" t="str">
        <f>IFERROR(VLOOKUP($B280,F$109:$AG$208,F$107,FALSE),"")</f>
        <v/>
      </c>
      <c r="G280" s="1518" t="str">
        <f>IFERROR(VLOOKUP($B280,G$109:$AG$208,G$107,FALSE),"")</f>
        <v/>
      </c>
      <c r="H280" s="1518" t="str">
        <f>IFERROR(VLOOKUP($B280,H$109:$AG$208,H$107,FALSE),"")</f>
        <v/>
      </c>
      <c r="I280" s="1518" t="str">
        <f>IFERROR(VLOOKUP($B280,I$109:$AG$208,I$107,FALSE),"")</f>
        <v/>
      </c>
      <c r="J280" s="1518" t="str">
        <f>IFERROR(VLOOKUP($B280,J$109:$AG$208,J$107,FALSE),"")</f>
        <v/>
      </c>
      <c r="K280" s="1518" t="str">
        <f>IFERROR(VLOOKUP($B280,K$109:$AG$208,K$107,FALSE),"")</f>
        <v/>
      </c>
      <c r="L280" s="1518" t="str">
        <f>IFERROR(VLOOKUP($B280,L$109:$AG$208,L$107,FALSE),"")</f>
        <v/>
      </c>
      <c r="M280" s="1518" t="str">
        <f>IFERROR(VLOOKUP($B280,M$109:$AG$208,M$107,FALSE),"")</f>
        <v/>
      </c>
      <c r="N280" s="1518" t="str">
        <f>IFERROR(VLOOKUP($B280,N$109:$AG$208,N$107,FALSE),"")</f>
        <v/>
      </c>
      <c r="O280" s="1518" t="str">
        <f>IFERROR(VLOOKUP($B280,O$109:$AG$208,O$107,FALSE),"")</f>
        <v/>
      </c>
      <c r="P280" s="1518" t="str">
        <f>IFERROR(VLOOKUP($B280,P$109:$AG$208,P$107,FALSE),"")</f>
        <v/>
      </c>
      <c r="Q280" s="1518" t="str">
        <f>IFERROR(VLOOKUP($B280,Q$109:$AG$208,Q$107,FALSE),"")</f>
        <v/>
      </c>
      <c r="R280" s="1518" t="str">
        <f>IFERROR(VLOOKUP($B280,R$109:$AG$208,R$107,FALSE),"")</f>
        <v/>
      </c>
      <c r="S280" s="1518" t="str">
        <f>IFERROR(VLOOKUP($B280,S$109:$AG$208,S$107,FALSE),"")</f>
        <v/>
      </c>
      <c r="T280" s="1518" t="str">
        <f>IFERROR(VLOOKUP($B280,T$109:$AG$208,T$107,FALSE),"")</f>
        <v/>
      </c>
      <c r="U280" s="1518" t="str">
        <f>IFERROR(VLOOKUP($B280,U$109:$AG$208,U$107,FALSE),"")</f>
        <v/>
      </c>
      <c r="V280" s="1518" t="str">
        <f>IFERROR(VLOOKUP($B280,V$109:$AG$208,V$107,FALSE),"")</f>
        <v/>
      </c>
      <c r="W280" s="1518" t="str">
        <f>IFERROR(VLOOKUP($B280,W$109:$AG$208,W$107,FALSE),"")</f>
        <v/>
      </c>
      <c r="X280" s="1518" t="str">
        <f>IFERROR(VLOOKUP($B280,X$109:$AG$208,X$107,FALSE),"")</f>
        <v/>
      </c>
      <c r="Y280" s="1518" t="str">
        <f>IFERROR(VLOOKUP($B280,Y$109:$AG$208,Y$107,FALSE),"")</f>
        <v/>
      </c>
      <c r="Z280" s="1518" t="str">
        <f>IFERROR(VLOOKUP($B280,Z$109:$AG$208,Z$107,FALSE),"")</f>
        <v/>
      </c>
      <c r="AA280" s="1518" t="str">
        <f>IFERROR(VLOOKUP($B280,AA$109:$AG$208,AA$107,FALSE),"")</f>
        <v/>
      </c>
      <c r="AB280" s="1518" t="str">
        <f>IFERROR(VLOOKUP($B280,AB$109:$AG$208,AB$107,FALSE),"")</f>
        <v/>
      </c>
      <c r="AC280" s="1518" t="str">
        <f>IFERROR(VLOOKUP($B280,AC$109:$AG$208,AC$107,FALSE),"")</f>
        <v/>
      </c>
      <c r="AD280" s="1518" t="str">
        <f>IFERROR(VLOOKUP($B280,AD$109:$AG$208,AD$107,FALSE),"")</f>
        <v>Spectrum</v>
      </c>
      <c r="AE280" s="1518" t="str">
        <f>IFERROR(VLOOKUP($B280,AE$109:$AG$208,AE$107,FALSE),"")</f>
        <v/>
      </c>
      <c r="AF280" s="1518" t="str">
        <f>IFERROR(VLOOKUP($B280,AF$109:$AG$208,AF$107,FALSE),"")</f>
        <v/>
      </c>
    </row>
    <row r="281" spans="2:32" hidden="1">
      <c r="B281" s="1525">
        <f t="shared" si="20"/>
        <v>67</v>
      </c>
      <c r="F281" s="1518" t="str">
        <f>IFERROR(VLOOKUP($B281,F$109:$AG$208,F$107,FALSE),"")</f>
        <v/>
      </c>
      <c r="G281" s="1518" t="str">
        <f>IFERROR(VLOOKUP($B281,G$109:$AG$208,G$107,FALSE),"")</f>
        <v/>
      </c>
      <c r="H281" s="1518" t="str">
        <f>IFERROR(VLOOKUP($B281,H$109:$AG$208,H$107,FALSE),"")</f>
        <v/>
      </c>
      <c r="I281" s="1518" t="str">
        <f>IFERROR(VLOOKUP($B281,I$109:$AG$208,I$107,FALSE),"")</f>
        <v/>
      </c>
      <c r="J281" s="1518" t="str">
        <f>IFERROR(VLOOKUP($B281,J$109:$AG$208,J$107,FALSE),"")</f>
        <v/>
      </c>
      <c r="K281" s="1518" t="str">
        <f>IFERROR(VLOOKUP($B281,K$109:$AG$208,K$107,FALSE),"")</f>
        <v/>
      </c>
      <c r="L281" s="1518" t="str">
        <f>IFERROR(VLOOKUP($B281,L$109:$AG$208,L$107,FALSE),"")</f>
        <v/>
      </c>
      <c r="M281" s="1518" t="str">
        <f>IFERROR(VLOOKUP($B281,M$109:$AG$208,M$107,FALSE),"")</f>
        <v/>
      </c>
      <c r="N281" s="1518" t="str">
        <f>IFERROR(VLOOKUP($B281,N$109:$AG$208,N$107,FALSE),"")</f>
        <v/>
      </c>
      <c r="O281" s="1518" t="str">
        <f>IFERROR(VLOOKUP($B281,O$109:$AG$208,O$107,FALSE),"")</f>
        <v/>
      </c>
      <c r="P281" s="1518" t="str">
        <f>IFERROR(VLOOKUP($B281,P$109:$AG$208,P$107,FALSE),"")</f>
        <v/>
      </c>
      <c r="Q281" s="1518" t="str">
        <f>IFERROR(VLOOKUP($B281,Q$109:$AG$208,Q$107,FALSE),"")</f>
        <v/>
      </c>
      <c r="R281" s="1518" t="str">
        <f>IFERROR(VLOOKUP($B281,R$109:$AG$208,R$107,FALSE),"")</f>
        <v/>
      </c>
      <c r="S281" s="1518" t="str">
        <f>IFERROR(VLOOKUP($B281,S$109:$AG$208,S$107,FALSE),"")</f>
        <v/>
      </c>
      <c r="T281" s="1518" t="str">
        <f>IFERROR(VLOOKUP($B281,T$109:$AG$208,T$107,FALSE),"")</f>
        <v/>
      </c>
      <c r="U281" s="1518" t="str">
        <f>IFERROR(VLOOKUP($B281,U$109:$AG$208,U$107,FALSE),"")</f>
        <v/>
      </c>
      <c r="V281" s="1518" t="str">
        <f>IFERROR(VLOOKUP($B281,V$109:$AG$208,V$107,FALSE),"")</f>
        <v/>
      </c>
      <c r="W281" s="1518" t="str">
        <f>IFERROR(VLOOKUP($B281,W$109:$AG$208,W$107,FALSE),"")</f>
        <v/>
      </c>
      <c r="X281" s="1518" t="str">
        <f>IFERROR(VLOOKUP($B281,X$109:$AG$208,X$107,FALSE),"")</f>
        <v/>
      </c>
      <c r="Y281" s="1518" t="str">
        <f>IFERROR(VLOOKUP($B281,Y$109:$AG$208,Y$107,FALSE),"")</f>
        <v/>
      </c>
      <c r="Z281" s="1518" t="str">
        <f>IFERROR(VLOOKUP($B281,Z$109:$AG$208,Z$107,FALSE),"")</f>
        <v/>
      </c>
      <c r="AA281" s="1518" t="str">
        <f>IFERROR(VLOOKUP($B281,AA$109:$AG$208,AA$107,FALSE),"")</f>
        <v/>
      </c>
      <c r="AB281" s="1518" t="str">
        <f>IFERROR(VLOOKUP($B281,AB$109:$AG$208,AB$107,FALSE),"")</f>
        <v/>
      </c>
      <c r="AC281" s="1518" t="str">
        <f>IFERROR(VLOOKUP($B281,AC$109:$AG$208,AC$107,FALSE),"")</f>
        <v/>
      </c>
      <c r="AD281" s="1518" t="str">
        <f>IFERROR(VLOOKUP($B281,AD$109:$AG$208,AD$107,FALSE),"")</f>
        <v>Univoq</v>
      </c>
      <c r="AE281" s="1518" t="str">
        <f>IFERROR(VLOOKUP($B281,AE$109:$AG$208,AE$107,FALSE),"")</f>
        <v/>
      </c>
      <c r="AF281" s="1518" t="str">
        <f>IFERROR(VLOOKUP($B281,AF$109:$AG$208,AF$107,FALSE),"")</f>
        <v/>
      </c>
    </row>
    <row r="282" spans="2:32" hidden="1">
      <c r="B282" s="1525">
        <f t="shared" si="20"/>
        <v>68</v>
      </c>
      <c r="F282" s="1518" t="str">
        <f>IFERROR(VLOOKUP($B282,F$109:$AG$208,F$107,FALSE),"")</f>
        <v/>
      </c>
      <c r="G282" s="1518" t="str">
        <f>IFERROR(VLOOKUP($B282,G$109:$AG$208,G$107,FALSE),"")</f>
        <v/>
      </c>
      <c r="H282" s="1518" t="str">
        <f>IFERROR(VLOOKUP($B282,H$109:$AG$208,H$107,FALSE),"")</f>
        <v/>
      </c>
      <c r="I282" s="1518" t="str">
        <f>IFERROR(VLOOKUP($B282,I$109:$AG$208,I$107,FALSE),"")</f>
        <v/>
      </c>
      <c r="J282" s="1518" t="str">
        <f>IFERROR(VLOOKUP($B282,J$109:$AG$208,J$107,FALSE),"")</f>
        <v/>
      </c>
      <c r="K282" s="1518" t="str">
        <f>IFERROR(VLOOKUP($B282,K$109:$AG$208,K$107,FALSE),"")</f>
        <v/>
      </c>
      <c r="L282" s="1518" t="str">
        <f>IFERROR(VLOOKUP($B282,L$109:$AG$208,L$107,FALSE),"")</f>
        <v/>
      </c>
      <c r="M282" s="1518" t="str">
        <f>IFERROR(VLOOKUP($B282,M$109:$AG$208,M$107,FALSE),"")</f>
        <v/>
      </c>
      <c r="N282" s="1518" t="str">
        <f>IFERROR(VLOOKUP($B282,N$109:$AG$208,N$107,FALSE),"")</f>
        <v/>
      </c>
      <c r="O282" s="1518" t="str">
        <f>IFERROR(VLOOKUP($B282,O$109:$AG$208,O$107,FALSE),"")</f>
        <v/>
      </c>
      <c r="P282" s="1518" t="str">
        <f>IFERROR(VLOOKUP($B282,P$109:$AG$208,P$107,FALSE),"")</f>
        <v/>
      </c>
      <c r="Q282" s="1518" t="str">
        <f>IFERROR(VLOOKUP($B282,Q$109:$AG$208,Q$107,FALSE),"")</f>
        <v/>
      </c>
      <c r="R282" s="1518" t="str">
        <f>IFERROR(VLOOKUP($B282,R$109:$AG$208,R$107,FALSE),"")</f>
        <v/>
      </c>
      <c r="S282" s="1518" t="str">
        <f>IFERROR(VLOOKUP($B282,S$109:$AG$208,S$107,FALSE),"")</f>
        <v/>
      </c>
      <c r="T282" s="1518" t="str">
        <f>IFERROR(VLOOKUP($B282,T$109:$AG$208,T$107,FALSE),"")</f>
        <v/>
      </c>
      <c r="U282" s="1518" t="str">
        <f>IFERROR(VLOOKUP($B282,U$109:$AG$208,U$107,FALSE),"")</f>
        <v/>
      </c>
      <c r="V282" s="1518" t="str">
        <f>IFERROR(VLOOKUP($B282,V$109:$AG$208,V$107,FALSE),"")</f>
        <v/>
      </c>
      <c r="W282" s="1518" t="str">
        <f>IFERROR(VLOOKUP($B282,W$109:$AG$208,W$107,FALSE),"")</f>
        <v/>
      </c>
      <c r="X282" s="1518" t="str">
        <f>IFERROR(VLOOKUP($B282,X$109:$AG$208,X$107,FALSE),"")</f>
        <v/>
      </c>
      <c r="Y282" s="1518" t="str">
        <f>IFERROR(VLOOKUP($B282,Y$109:$AG$208,Y$107,FALSE),"")</f>
        <v/>
      </c>
      <c r="Z282" s="1518" t="str">
        <f>IFERROR(VLOOKUP($B282,Z$109:$AG$208,Z$107,FALSE),"")</f>
        <v/>
      </c>
      <c r="AA282" s="1518" t="str">
        <f>IFERROR(VLOOKUP($B282,AA$109:$AG$208,AA$107,FALSE),"")</f>
        <v/>
      </c>
      <c r="AB282" s="1518" t="str">
        <f>IFERROR(VLOOKUP($B282,AB$109:$AG$208,AB$107,FALSE),"")</f>
        <v/>
      </c>
      <c r="AC282" s="1518" t="str">
        <f>IFERROR(VLOOKUP($B282,AC$109:$AG$208,AC$107,FALSE),"")</f>
        <v/>
      </c>
      <c r="AD282" s="1518">
        <f>IFERROR(VLOOKUP($B282,AD$109:$AG$208,AD$107,FALSE),"")</f>
        <v>0</v>
      </c>
      <c r="AE282" s="1518" t="str">
        <f>IFERROR(VLOOKUP($B282,AE$109:$AG$208,AE$107,FALSE),"")</f>
        <v/>
      </c>
      <c r="AF282" s="1518" t="str">
        <f>IFERROR(VLOOKUP($B282,AF$109:$AG$208,AF$107,FALSE),"")</f>
        <v/>
      </c>
    </row>
    <row r="283" spans="2:32" hidden="1">
      <c r="B283" s="1525">
        <f t="shared" si="20"/>
        <v>69</v>
      </c>
      <c r="F283" s="1518" t="str">
        <f>IFERROR(VLOOKUP($B283,F$109:$AG$208,F$107,FALSE),"")</f>
        <v/>
      </c>
      <c r="G283" s="1518" t="str">
        <f>IFERROR(VLOOKUP($B283,G$109:$AG$208,G$107,FALSE),"")</f>
        <v/>
      </c>
      <c r="H283" s="1518" t="str">
        <f>IFERROR(VLOOKUP($B283,H$109:$AG$208,H$107,FALSE),"")</f>
        <v/>
      </c>
      <c r="I283" s="1518" t="str">
        <f>IFERROR(VLOOKUP($B283,I$109:$AG$208,I$107,FALSE),"")</f>
        <v/>
      </c>
      <c r="J283" s="1518" t="str">
        <f>IFERROR(VLOOKUP($B283,J$109:$AG$208,J$107,FALSE),"")</f>
        <v/>
      </c>
      <c r="K283" s="1518" t="str">
        <f>IFERROR(VLOOKUP($B283,K$109:$AG$208,K$107,FALSE),"")</f>
        <v/>
      </c>
      <c r="L283" s="1518" t="str">
        <f>IFERROR(VLOOKUP($B283,L$109:$AG$208,L$107,FALSE),"")</f>
        <v/>
      </c>
      <c r="M283" s="1518" t="str">
        <f>IFERROR(VLOOKUP($B283,M$109:$AG$208,M$107,FALSE),"")</f>
        <v/>
      </c>
      <c r="N283" s="1518" t="str">
        <f>IFERROR(VLOOKUP($B283,N$109:$AG$208,N$107,FALSE),"")</f>
        <v/>
      </c>
      <c r="O283" s="1518" t="str">
        <f>IFERROR(VLOOKUP($B283,O$109:$AG$208,O$107,FALSE),"")</f>
        <v/>
      </c>
      <c r="P283" s="1518" t="str">
        <f>IFERROR(VLOOKUP($B283,P$109:$AG$208,P$107,FALSE),"")</f>
        <v/>
      </c>
      <c r="Q283" s="1518" t="str">
        <f>IFERROR(VLOOKUP($B283,Q$109:$AG$208,Q$107,FALSE),"")</f>
        <v/>
      </c>
      <c r="R283" s="1518" t="str">
        <f>IFERROR(VLOOKUP($B283,R$109:$AG$208,R$107,FALSE),"")</f>
        <v/>
      </c>
      <c r="S283" s="1518" t="str">
        <f>IFERROR(VLOOKUP($B283,S$109:$AG$208,S$107,FALSE),"")</f>
        <v/>
      </c>
      <c r="T283" s="1518" t="str">
        <f>IFERROR(VLOOKUP($B283,T$109:$AG$208,T$107,FALSE),"")</f>
        <v/>
      </c>
      <c r="U283" s="1518" t="str">
        <f>IFERROR(VLOOKUP($B283,U$109:$AG$208,U$107,FALSE),"")</f>
        <v/>
      </c>
      <c r="V283" s="1518" t="str">
        <f>IFERROR(VLOOKUP($B283,V$109:$AG$208,V$107,FALSE),"")</f>
        <v/>
      </c>
      <c r="W283" s="1518" t="str">
        <f>IFERROR(VLOOKUP($B283,W$109:$AG$208,W$107,FALSE),"")</f>
        <v/>
      </c>
      <c r="X283" s="1518" t="str">
        <f>IFERROR(VLOOKUP($B283,X$109:$AG$208,X$107,FALSE),"")</f>
        <v/>
      </c>
      <c r="Y283" s="1518" t="str">
        <f>IFERROR(VLOOKUP($B283,Y$109:$AG$208,Y$107,FALSE),"")</f>
        <v/>
      </c>
      <c r="Z283" s="1518" t="str">
        <f>IFERROR(VLOOKUP($B283,Z$109:$AG$208,Z$107,FALSE),"")</f>
        <v/>
      </c>
      <c r="AA283" s="1518" t="str">
        <f>IFERROR(VLOOKUP($B283,AA$109:$AG$208,AA$107,FALSE),"")</f>
        <v/>
      </c>
      <c r="AB283" s="1518" t="str">
        <f>IFERROR(VLOOKUP($B283,AB$109:$AG$208,AB$107,FALSE),"")</f>
        <v/>
      </c>
      <c r="AC283" s="1518" t="str">
        <f>IFERROR(VLOOKUP($B283,AC$109:$AG$208,AC$107,FALSE),"")</f>
        <v/>
      </c>
      <c r="AD283" s="1518">
        <f>IFERROR(VLOOKUP($B283,AD$109:$AG$208,AD$107,FALSE),"")</f>
        <v>0</v>
      </c>
      <c r="AE283" s="1518" t="str">
        <f>IFERROR(VLOOKUP($B283,AE$109:$AG$208,AE$107,FALSE),"")</f>
        <v/>
      </c>
      <c r="AF283" s="1518" t="str">
        <f>IFERROR(VLOOKUP($B283,AF$109:$AG$208,AF$107,FALSE),"")</f>
        <v/>
      </c>
    </row>
    <row r="284" spans="2:32" hidden="1">
      <c r="B284" s="1525">
        <f t="shared" si="20"/>
        <v>70</v>
      </c>
      <c r="F284" s="1518" t="str">
        <f>IFERROR(VLOOKUP($B284,F$109:$AG$208,F$107,FALSE),"")</f>
        <v/>
      </c>
      <c r="G284" s="1518" t="str">
        <f>IFERROR(VLOOKUP($B284,G$109:$AG$208,G$107,FALSE),"")</f>
        <v/>
      </c>
      <c r="H284" s="1518" t="str">
        <f>IFERROR(VLOOKUP($B284,H$109:$AG$208,H$107,FALSE),"")</f>
        <v/>
      </c>
      <c r="I284" s="1518" t="str">
        <f>IFERROR(VLOOKUP($B284,I$109:$AG$208,I$107,FALSE),"")</f>
        <v/>
      </c>
      <c r="J284" s="1518" t="str">
        <f>IFERROR(VLOOKUP($B284,J$109:$AG$208,J$107,FALSE),"")</f>
        <v/>
      </c>
      <c r="K284" s="1518" t="str">
        <f>IFERROR(VLOOKUP($B284,K$109:$AG$208,K$107,FALSE),"")</f>
        <v/>
      </c>
      <c r="L284" s="1518" t="str">
        <f>IFERROR(VLOOKUP($B284,L$109:$AG$208,L$107,FALSE),"")</f>
        <v/>
      </c>
      <c r="M284" s="1518" t="str">
        <f>IFERROR(VLOOKUP($B284,M$109:$AG$208,M$107,FALSE),"")</f>
        <v/>
      </c>
      <c r="N284" s="1518" t="str">
        <f>IFERROR(VLOOKUP($B284,N$109:$AG$208,N$107,FALSE),"")</f>
        <v/>
      </c>
      <c r="O284" s="1518" t="str">
        <f>IFERROR(VLOOKUP($B284,O$109:$AG$208,O$107,FALSE),"")</f>
        <v/>
      </c>
      <c r="P284" s="1518" t="str">
        <f>IFERROR(VLOOKUP($B284,P$109:$AG$208,P$107,FALSE),"")</f>
        <v/>
      </c>
      <c r="Q284" s="1518" t="str">
        <f>IFERROR(VLOOKUP($B284,Q$109:$AG$208,Q$107,FALSE),"")</f>
        <v/>
      </c>
      <c r="R284" s="1518" t="str">
        <f>IFERROR(VLOOKUP($B284,R$109:$AG$208,R$107,FALSE),"")</f>
        <v/>
      </c>
      <c r="S284" s="1518" t="str">
        <f>IFERROR(VLOOKUP($B284,S$109:$AG$208,S$107,FALSE),"")</f>
        <v/>
      </c>
      <c r="T284" s="1518" t="str">
        <f>IFERROR(VLOOKUP($B284,T$109:$AG$208,T$107,FALSE),"")</f>
        <v/>
      </c>
      <c r="U284" s="1518" t="str">
        <f>IFERROR(VLOOKUP($B284,U$109:$AG$208,U$107,FALSE),"")</f>
        <v/>
      </c>
      <c r="V284" s="1518" t="str">
        <f>IFERROR(VLOOKUP($B284,V$109:$AG$208,V$107,FALSE),"")</f>
        <v/>
      </c>
      <c r="W284" s="1518" t="str">
        <f>IFERROR(VLOOKUP($B284,W$109:$AG$208,W$107,FALSE),"")</f>
        <v/>
      </c>
      <c r="X284" s="1518" t="str">
        <f>IFERROR(VLOOKUP($B284,X$109:$AG$208,X$107,FALSE),"")</f>
        <v/>
      </c>
      <c r="Y284" s="1518" t="str">
        <f>IFERROR(VLOOKUP($B284,Y$109:$AG$208,Y$107,FALSE),"")</f>
        <v/>
      </c>
      <c r="Z284" s="1518" t="str">
        <f>IFERROR(VLOOKUP($B284,Z$109:$AG$208,Z$107,FALSE),"")</f>
        <v/>
      </c>
      <c r="AA284" s="1518" t="str">
        <f>IFERROR(VLOOKUP($B284,AA$109:$AG$208,AA$107,FALSE),"")</f>
        <v/>
      </c>
      <c r="AB284" s="1518" t="str">
        <f>IFERROR(VLOOKUP($B284,AB$109:$AG$208,AB$107,FALSE),"")</f>
        <v/>
      </c>
      <c r="AC284" s="1518" t="str">
        <f>IFERROR(VLOOKUP($B284,AC$109:$AG$208,AC$107,FALSE),"")</f>
        <v/>
      </c>
      <c r="AD284" s="1518">
        <f>IFERROR(VLOOKUP($B284,AD$109:$AG$208,AD$107,FALSE),"")</f>
        <v>0</v>
      </c>
      <c r="AE284" s="1518" t="str">
        <f>IFERROR(VLOOKUP($B284,AE$109:$AG$208,AE$107,FALSE),"")</f>
        <v/>
      </c>
      <c r="AF284" s="1518" t="str">
        <f>IFERROR(VLOOKUP($B284,AF$109:$AG$208,AF$107,FALSE),"")</f>
        <v/>
      </c>
    </row>
    <row r="285" spans="2:32" hidden="1">
      <c r="B285" s="1525">
        <f t="shared" si="20"/>
        <v>71</v>
      </c>
      <c r="F285" s="1518" t="str">
        <f>IFERROR(VLOOKUP($B285,F$109:$AG$208,F$107,FALSE),"")</f>
        <v/>
      </c>
      <c r="G285" s="1518" t="str">
        <f>IFERROR(VLOOKUP($B285,G$109:$AG$208,G$107,FALSE),"")</f>
        <v/>
      </c>
      <c r="H285" s="1518" t="str">
        <f>IFERROR(VLOOKUP($B285,H$109:$AG$208,H$107,FALSE),"")</f>
        <v/>
      </c>
      <c r="I285" s="1518" t="str">
        <f>IFERROR(VLOOKUP($B285,I$109:$AG$208,I$107,FALSE),"")</f>
        <v/>
      </c>
      <c r="J285" s="1518" t="str">
        <f>IFERROR(VLOOKUP($B285,J$109:$AG$208,J$107,FALSE),"")</f>
        <v/>
      </c>
      <c r="K285" s="1518" t="str">
        <f>IFERROR(VLOOKUP($B285,K$109:$AG$208,K$107,FALSE),"")</f>
        <v/>
      </c>
      <c r="L285" s="1518" t="str">
        <f>IFERROR(VLOOKUP($B285,L$109:$AG$208,L$107,FALSE),"")</f>
        <v/>
      </c>
      <c r="M285" s="1518" t="str">
        <f>IFERROR(VLOOKUP($B285,M$109:$AG$208,M$107,FALSE),"")</f>
        <v/>
      </c>
      <c r="N285" s="1518" t="str">
        <f>IFERROR(VLOOKUP($B285,N$109:$AG$208,N$107,FALSE),"")</f>
        <v/>
      </c>
      <c r="O285" s="1518" t="str">
        <f>IFERROR(VLOOKUP($B285,O$109:$AG$208,O$107,FALSE),"")</f>
        <v/>
      </c>
      <c r="P285" s="1518" t="str">
        <f>IFERROR(VLOOKUP($B285,P$109:$AG$208,P$107,FALSE),"")</f>
        <v/>
      </c>
      <c r="Q285" s="1518" t="str">
        <f>IFERROR(VLOOKUP($B285,Q$109:$AG$208,Q$107,FALSE),"")</f>
        <v/>
      </c>
      <c r="R285" s="1518" t="str">
        <f>IFERROR(VLOOKUP($B285,R$109:$AG$208,R$107,FALSE),"")</f>
        <v/>
      </c>
      <c r="S285" s="1518" t="str">
        <f>IFERROR(VLOOKUP($B285,S$109:$AG$208,S$107,FALSE),"")</f>
        <v/>
      </c>
      <c r="T285" s="1518" t="str">
        <f>IFERROR(VLOOKUP($B285,T$109:$AG$208,T$107,FALSE),"")</f>
        <v/>
      </c>
      <c r="U285" s="1518" t="str">
        <f>IFERROR(VLOOKUP($B285,U$109:$AG$208,U$107,FALSE),"")</f>
        <v/>
      </c>
      <c r="V285" s="1518" t="str">
        <f>IFERROR(VLOOKUP($B285,V$109:$AG$208,V$107,FALSE),"")</f>
        <v/>
      </c>
      <c r="W285" s="1518" t="str">
        <f>IFERROR(VLOOKUP($B285,W$109:$AG$208,W$107,FALSE),"")</f>
        <v/>
      </c>
      <c r="X285" s="1518" t="str">
        <f>IFERROR(VLOOKUP($B285,X$109:$AG$208,X$107,FALSE),"")</f>
        <v/>
      </c>
      <c r="Y285" s="1518" t="str">
        <f>IFERROR(VLOOKUP($B285,Y$109:$AG$208,Y$107,FALSE),"")</f>
        <v/>
      </c>
      <c r="Z285" s="1518" t="str">
        <f>IFERROR(VLOOKUP($B285,Z$109:$AG$208,Z$107,FALSE),"")</f>
        <v/>
      </c>
      <c r="AA285" s="1518" t="str">
        <f>IFERROR(VLOOKUP($B285,AA$109:$AG$208,AA$107,FALSE),"")</f>
        <v/>
      </c>
      <c r="AB285" s="1518" t="str">
        <f>IFERROR(VLOOKUP($B285,AB$109:$AG$208,AB$107,FALSE),"")</f>
        <v/>
      </c>
      <c r="AC285" s="1518" t="str">
        <f>IFERROR(VLOOKUP($B285,AC$109:$AG$208,AC$107,FALSE),"")</f>
        <v/>
      </c>
      <c r="AD285" s="1518">
        <f>IFERROR(VLOOKUP($B285,AD$109:$AG$208,AD$107,FALSE),"")</f>
        <v>0</v>
      </c>
      <c r="AE285" s="1518" t="str">
        <f>IFERROR(VLOOKUP($B285,AE$109:$AG$208,AE$107,FALSE),"")</f>
        <v/>
      </c>
      <c r="AF285" s="1518" t="str">
        <f>IFERROR(VLOOKUP($B285,AF$109:$AG$208,AF$107,FALSE),"")</f>
        <v/>
      </c>
    </row>
    <row r="286" spans="2:32" hidden="1">
      <c r="B286" s="1525">
        <f t="shared" si="20"/>
        <v>72</v>
      </c>
      <c r="F286" s="1518" t="str">
        <f>IFERROR(VLOOKUP($B286,F$109:$AG$208,F$107,FALSE),"")</f>
        <v/>
      </c>
      <c r="G286" s="1518" t="str">
        <f>IFERROR(VLOOKUP($B286,G$109:$AG$208,G$107,FALSE),"")</f>
        <v/>
      </c>
      <c r="H286" s="1518" t="str">
        <f>IFERROR(VLOOKUP($B286,H$109:$AG$208,H$107,FALSE),"")</f>
        <v/>
      </c>
      <c r="I286" s="1518" t="str">
        <f>IFERROR(VLOOKUP($B286,I$109:$AG$208,I$107,FALSE),"")</f>
        <v/>
      </c>
      <c r="J286" s="1518" t="str">
        <f>IFERROR(VLOOKUP($B286,J$109:$AG$208,J$107,FALSE),"")</f>
        <v/>
      </c>
      <c r="K286" s="1518" t="str">
        <f>IFERROR(VLOOKUP($B286,K$109:$AG$208,K$107,FALSE),"")</f>
        <v/>
      </c>
      <c r="L286" s="1518" t="str">
        <f>IFERROR(VLOOKUP($B286,L$109:$AG$208,L$107,FALSE),"")</f>
        <v/>
      </c>
      <c r="M286" s="1518" t="str">
        <f>IFERROR(VLOOKUP($B286,M$109:$AG$208,M$107,FALSE),"")</f>
        <v/>
      </c>
      <c r="N286" s="1518" t="str">
        <f>IFERROR(VLOOKUP($B286,N$109:$AG$208,N$107,FALSE),"")</f>
        <v/>
      </c>
      <c r="O286" s="1518" t="str">
        <f>IFERROR(VLOOKUP($B286,O$109:$AG$208,O$107,FALSE),"")</f>
        <v/>
      </c>
      <c r="P286" s="1518" t="str">
        <f>IFERROR(VLOOKUP($B286,P$109:$AG$208,P$107,FALSE),"")</f>
        <v/>
      </c>
      <c r="Q286" s="1518" t="str">
        <f>IFERROR(VLOOKUP($B286,Q$109:$AG$208,Q$107,FALSE),"")</f>
        <v/>
      </c>
      <c r="R286" s="1518" t="str">
        <f>IFERROR(VLOOKUP($B286,R$109:$AG$208,R$107,FALSE),"")</f>
        <v/>
      </c>
      <c r="S286" s="1518" t="str">
        <f>IFERROR(VLOOKUP($B286,S$109:$AG$208,S$107,FALSE),"")</f>
        <v/>
      </c>
      <c r="T286" s="1518" t="str">
        <f>IFERROR(VLOOKUP($B286,T$109:$AG$208,T$107,FALSE),"")</f>
        <v/>
      </c>
      <c r="U286" s="1518" t="str">
        <f>IFERROR(VLOOKUP($B286,U$109:$AG$208,U$107,FALSE),"")</f>
        <v/>
      </c>
      <c r="V286" s="1518" t="str">
        <f>IFERROR(VLOOKUP($B286,V$109:$AG$208,V$107,FALSE),"")</f>
        <v/>
      </c>
      <c r="W286" s="1518" t="str">
        <f>IFERROR(VLOOKUP($B286,W$109:$AG$208,W$107,FALSE),"")</f>
        <v/>
      </c>
      <c r="X286" s="1518" t="str">
        <f>IFERROR(VLOOKUP($B286,X$109:$AG$208,X$107,FALSE),"")</f>
        <v/>
      </c>
      <c r="Y286" s="1518" t="str">
        <f>IFERROR(VLOOKUP($B286,Y$109:$AG$208,Y$107,FALSE),"")</f>
        <v/>
      </c>
      <c r="Z286" s="1518" t="str">
        <f>IFERROR(VLOOKUP($B286,Z$109:$AG$208,Z$107,FALSE),"")</f>
        <v/>
      </c>
      <c r="AA286" s="1518" t="str">
        <f>IFERROR(VLOOKUP($B286,AA$109:$AG$208,AA$107,FALSE),"")</f>
        <v/>
      </c>
      <c r="AB286" s="1518" t="str">
        <f>IFERROR(VLOOKUP($B286,AB$109:$AG$208,AB$107,FALSE),"")</f>
        <v/>
      </c>
      <c r="AC286" s="1518" t="str">
        <f>IFERROR(VLOOKUP($B286,AC$109:$AG$208,AC$107,FALSE),"")</f>
        <v/>
      </c>
      <c r="AD286" s="1518">
        <f>IFERROR(VLOOKUP($B286,AD$109:$AG$208,AD$107,FALSE),"")</f>
        <v>0</v>
      </c>
      <c r="AE286" s="1518" t="str">
        <f>IFERROR(VLOOKUP($B286,AE$109:$AG$208,AE$107,FALSE),"")</f>
        <v/>
      </c>
      <c r="AF286" s="1518" t="str">
        <f>IFERROR(VLOOKUP($B286,AF$109:$AG$208,AF$107,FALSE),"")</f>
        <v/>
      </c>
    </row>
    <row r="287" spans="2:32" hidden="1">
      <c r="B287" s="1525">
        <f t="shared" si="20"/>
        <v>73</v>
      </c>
      <c r="F287" s="1518" t="str">
        <f>IFERROR(VLOOKUP($B287,F$109:$AG$208,F$107,FALSE),"")</f>
        <v/>
      </c>
      <c r="G287" s="1518" t="str">
        <f>IFERROR(VLOOKUP($B287,G$109:$AG$208,G$107,FALSE),"")</f>
        <v/>
      </c>
      <c r="H287" s="1518" t="str">
        <f>IFERROR(VLOOKUP($B287,H$109:$AG$208,H$107,FALSE),"")</f>
        <v/>
      </c>
      <c r="I287" s="1518" t="str">
        <f>IFERROR(VLOOKUP($B287,I$109:$AG$208,I$107,FALSE),"")</f>
        <v/>
      </c>
      <c r="J287" s="1518" t="str">
        <f>IFERROR(VLOOKUP($B287,J$109:$AG$208,J$107,FALSE),"")</f>
        <v/>
      </c>
      <c r="K287" s="1518" t="str">
        <f>IFERROR(VLOOKUP($B287,K$109:$AG$208,K$107,FALSE),"")</f>
        <v/>
      </c>
      <c r="L287" s="1518" t="str">
        <f>IFERROR(VLOOKUP($B287,L$109:$AG$208,L$107,FALSE),"")</f>
        <v/>
      </c>
      <c r="M287" s="1518" t="str">
        <f>IFERROR(VLOOKUP($B287,M$109:$AG$208,M$107,FALSE),"")</f>
        <v/>
      </c>
      <c r="N287" s="1518" t="str">
        <f>IFERROR(VLOOKUP($B287,N$109:$AG$208,N$107,FALSE),"")</f>
        <v/>
      </c>
      <c r="O287" s="1518" t="str">
        <f>IFERROR(VLOOKUP($B287,O$109:$AG$208,O$107,FALSE),"")</f>
        <v/>
      </c>
      <c r="P287" s="1518" t="str">
        <f>IFERROR(VLOOKUP($B287,P$109:$AG$208,P$107,FALSE),"")</f>
        <v/>
      </c>
      <c r="Q287" s="1518" t="str">
        <f>IFERROR(VLOOKUP($B287,Q$109:$AG$208,Q$107,FALSE),"")</f>
        <v/>
      </c>
      <c r="R287" s="1518" t="str">
        <f>IFERROR(VLOOKUP($B287,R$109:$AG$208,R$107,FALSE),"")</f>
        <v/>
      </c>
      <c r="S287" s="1518" t="str">
        <f>IFERROR(VLOOKUP($B287,S$109:$AG$208,S$107,FALSE),"")</f>
        <v/>
      </c>
      <c r="T287" s="1518" t="str">
        <f>IFERROR(VLOOKUP($B287,T$109:$AG$208,T$107,FALSE),"")</f>
        <v/>
      </c>
      <c r="U287" s="1518" t="str">
        <f>IFERROR(VLOOKUP($B287,U$109:$AG$208,U$107,FALSE),"")</f>
        <v/>
      </c>
      <c r="V287" s="1518" t="str">
        <f>IFERROR(VLOOKUP($B287,V$109:$AG$208,V$107,FALSE),"")</f>
        <v/>
      </c>
      <c r="W287" s="1518" t="str">
        <f>IFERROR(VLOOKUP($B287,W$109:$AG$208,W$107,FALSE),"")</f>
        <v/>
      </c>
      <c r="X287" s="1518" t="str">
        <f>IFERROR(VLOOKUP($B287,X$109:$AG$208,X$107,FALSE),"")</f>
        <v/>
      </c>
      <c r="Y287" s="1518" t="str">
        <f>IFERROR(VLOOKUP($B287,Y$109:$AG$208,Y$107,FALSE),"")</f>
        <v/>
      </c>
      <c r="Z287" s="1518" t="str">
        <f>IFERROR(VLOOKUP($B287,Z$109:$AG$208,Z$107,FALSE),"")</f>
        <v/>
      </c>
      <c r="AA287" s="1518" t="str">
        <f>IFERROR(VLOOKUP($B287,AA$109:$AG$208,AA$107,FALSE),"")</f>
        <v/>
      </c>
      <c r="AB287" s="1518" t="str">
        <f>IFERROR(VLOOKUP($B287,AB$109:$AG$208,AB$107,FALSE),"")</f>
        <v/>
      </c>
      <c r="AC287" s="1518" t="str">
        <f>IFERROR(VLOOKUP($B287,AC$109:$AG$208,AC$107,FALSE),"")</f>
        <v/>
      </c>
      <c r="AD287" s="1518">
        <f>IFERROR(VLOOKUP($B287,AD$109:$AG$208,AD$107,FALSE),"")</f>
        <v>0</v>
      </c>
      <c r="AE287" s="1518" t="str">
        <f>IFERROR(VLOOKUP($B287,AE$109:$AG$208,AE$107,FALSE),"")</f>
        <v/>
      </c>
      <c r="AF287" s="1518" t="str">
        <f>IFERROR(VLOOKUP($B287,AF$109:$AG$208,AF$107,FALSE),"")</f>
        <v/>
      </c>
    </row>
    <row r="288" spans="2:32" hidden="1">
      <c r="B288" s="1525">
        <f t="shared" si="20"/>
        <v>74</v>
      </c>
      <c r="F288" s="1518" t="str">
        <f>IFERROR(VLOOKUP($B288,F$109:$AG$208,F$107,FALSE),"")</f>
        <v/>
      </c>
      <c r="G288" s="1518" t="str">
        <f>IFERROR(VLOOKUP($B288,G$109:$AG$208,G$107,FALSE),"")</f>
        <v/>
      </c>
      <c r="H288" s="1518" t="str">
        <f>IFERROR(VLOOKUP($B288,H$109:$AG$208,H$107,FALSE),"")</f>
        <v/>
      </c>
      <c r="I288" s="1518" t="str">
        <f>IFERROR(VLOOKUP($B288,I$109:$AG$208,I$107,FALSE),"")</f>
        <v/>
      </c>
      <c r="J288" s="1518" t="str">
        <f>IFERROR(VLOOKUP($B288,J$109:$AG$208,J$107,FALSE),"")</f>
        <v/>
      </c>
      <c r="K288" s="1518" t="str">
        <f>IFERROR(VLOOKUP($B288,K$109:$AG$208,K$107,FALSE),"")</f>
        <v/>
      </c>
      <c r="L288" s="1518" t="str">
        <f>IFERROR(VLOOKUP($B288,L$109:$AG$208,L$107,FALSE),"")</f>
        <v/>
      </c>
      <c r="M288" s="1518" t="str">
        <f>IFERROR(VLOOKUP($B288,M$109:$AG$208,M$107,FALSE),"")</f>
        <v/>
      </c>
      <c r="N288" s="1518" t="str">
        <f>IFERROR(VLOOKUP($B288,N$109:$AG$208,N$107,FALSE),"")</f>
        <v/>
      </c>
      <c r="O288" s="1518" t="str">
        <f>IFERROR(VLOOKUP($B288,O$109:$AG$208,O$107,FALSE),"")</f>
        <v/>
      </c>
      <c r="P288" s="1518" t="str">
        <f>IFERROR(VLOOKUP($B288,P$109:$AG$208,P$107,FALSE),"")</f>
        <v/>
      </c>
      <c r="Q288" s="1518" t="str">
        <f>IFERROR(VLOOKUP($B288,Q$109:$AG$208,Q$107,FALSE),"")</f>
        <v/>
      </c>
      <c r="R288" s="1518" t="str">
        <f>IFERROR(VLOOKUP($B288,R$109:$AG$208,R$107,FALSE),"")</f>
        <v/>
      </c>
      <c r="S288" s="1518" t="str">
        <f>IFERROR(VLOOKUP($B288,S$109:$AG$208,S$107,FALSE),"")</f>
        <v/>
      </c>
      <c r="T288" s="1518" t="str">
        <f>IFERROR(VLOOKUP($B288,T$109:$AG$208,T$107,FALSE),"")</f>
        <v/>
      </c>
      <c r="U288" s="1518" t="str">
        <f>IFERROR(VLOOKUP($B288,U$109:$AG$208,U$107,FALSE),"")</f>
        <v/>
      </c>
      <c r="V288" s="1518" t="str">
        <f>IFERROR(VLOOKUP($B288,V$109:$AG$208,V$107,FALSE),"")</f>
        <v/>
      </c>
      <c r="W288" s="1518" t="str">
        <f>IFERROR(VLOOKUP($B288,W$109:$AG$208,W$107,FALSE),"")</f>
        <v/>
      </c>
      <c r="X288" s="1518" t="str">
        <f>IFERROR(VLOOKUP($B288,X$109:$AG$208,X$107,FALSE),"")</f>
        <v/>
      </c>
      <c r="Y288" s="1518" t="str">
        <f>IFERROR(VLOOKUP($B288,Y$109:$AG$208,Y$107,FALSE),"")</f>
        <v/>
      </c>
      <c r="Z288" s="1518" t="str">
        <f>IFERROR(VLOOKUP($B288,Z$109:$AG$208,Z$107,FALSE),"")</f>
        <v/>
      </c>
      <c r="AA288" s="1518" t="str">
        <f>IFERROR(VLOOKUP($B288,AA$109:$AG$208,AA$107,FALSE),"")</f>
        <v/>
      </c>
      <c r="AB288" s="1518" t="str">
        <f>IFERROR(VLOOKUP($B288,AB$109:$AG$208,AB$107,FALSE),"")</f>
        <v/>
      </c>
      <c r="AC288" s="1518" t="str">
        <f>IFERROR(VLOOKUP($B288,AC$109:$AG$208,AC$107,FALSE),"")</f>
        <v/>
      </c>
      <c r="AD288" s="1518">
        <f>IFERROR(VLOOKUP($B288,AD$109:$AG$208,AD$107,FALSE),"")</f>
        <v>0</v>
      </c>
      <c r="AE288" s="1518" t="str">
        <f>IFERROR(VLOOKUP($B288,AE$109:$AG$208,AE$107,FALSE),"")</f>
        <v/>
      </c>
      <c r="AF288" s="1518" t="str">
        <f>IFERROR(VLOOKUP($B288,AF$109:$AG$208,AF$107,FALSE),"")</f>
        <v/>
      </c>
    </row>
    <row r="289" spans="2:32" hidden="1">
      <c r="B289" s="1525">
        <f t="shared" si="20"/>
        <v>75</v>
      </c>
      <c r="F289" s="1518" t="str">
        <f>IFERROR(VLOOKUP($B289,F$109:$AG$208,F$107,FALSE),"")</f>
        <v/>
      </c>
      <c r="G289" s="1518" t="str">
        <f>IFERROR(VLOOKUP($B289,G$109:$AG$208,G$107,FALSE),"")</f>
        <v/>
      </c>
      <c r="H289" s="1518" t="str">
        <f>IFERROR(VLOOKUP($B289,H$109:$AG$208,H$107,FALSE),"")</f>
        <v/>
      </c>
      <c r="I289" s="1518" t="str">
        <f>IFERROR(VLOOKUP($B289,I$109:$AG$208,I$107,FALSE),"")</f>
        <v/>
      </c>
      <c r="J289" s="1518" t="str">
        <f>IFERROR(VLOOKUP($B289,J$109:$AG$208,J$107,FALSE),"")</f>
        <v/>
      </c>
      <c r="K289" s="1518" t="str">
        <f>IFERROR(VLOOKUP($B289,K$109:$AG$208,K$107,FALSE),"")</f>
        <v/>
      </c>
      <c r="L289" s="1518" t="str">
        <f>IFERROR(VLOOKUP($B289,L$109:$AG$208,L$107,FALSE),"")</f>
        <v/>
      </c>
      <c r="M289" s="1518" t="str">
        <f>IFERROR(VLOOKUP($B289,M$109:$AG$208,M$107,FALSE),"")</f>
        <v/>
      </c>
      <c r="N289" s="1518" t="str">
        <f>IFERROR(VLOOKUP($B289,N$109:$AG$208,N$107,FALSE),"")</f>
        <v/>
      </c>
      <c r="O289" s="1518" t="str">
        <f>IFERROR(VLOOKUP($B289,O$109:$AG$208,O$107,FALSE),"")</f>
        <v/>
      </c>
      <c r="P289" s="1518" t="str">
        <f>IFERROR(VLOOKUP($B289,P$109:$AG$208,P$107,FALSE),"")</f>
        <v/>
      </c>
      <c r="Q289" s="1518" t="str">
        <f>IFERROR(VLOOKUP($B289,Q$109:$AG$208,Q$107,FALSE),"")</f>
        <v/>
      </c>
      <c r="R289" s="1518" t="str">
        <f>IFERROR(VLOOKUP($B289,R$109:$AG$208,R$107,FALSE),"")</f>
        <v/>
      </c>
      <c r="S289" s="1518" t="str">
        <f>IFERROR(VLOOKUP($B289,S$109:$AG$208,S$107,FALSE),"")</f>
        <v/>
      </c>
      <c r="T289" s="1518" t="str">
        <f>IFERROR(VLOOKUP($B289,T$109:$AG$208,T$107,FALSE),"")</f>
        <v/>
      </c>
      <c r="U289" s="1518" t="str">
        <f>IFERROR(VLOOKUP($B289,U$109:$AG$208,U$107,FALSE),"")</f>
        <v/>
      </c>
      <c r="V289" s="1518" t="str">
        <f>IFERROR(VLOOKUP($B289,V$109:$AG$208,V$107,FALSE),"")</f>
        <v/>
      </c>
      <c r="W289" s="1518" t="str">
        <f>IFERROR(VLOOKUP($B289,W$109:$AG$208,W$107,FALSE),"")</f>
        <v/>
      </c>
      <c r="X289" s="1518" t="str">
        <f>IFERROR(VLOOKUP($B289,X$109:$AG$208,X$107,FALSE),"")</f>
        <v/>
      </c>
      <c r="Y289" s="1518" t="str">
        <f>IFERROR(VLOOKUP($B289,Y$109:$AG$208,Y$107,FALSE),"")</f>
        <v/>
      </c>
      <c r="Z289" s="1518" t="str">
        <f>IFERROR(VLOOKUP($B289,Z$109:$AG$208,Z$107,FALSE),"")</f>
        <v/>
      </c>
      <c r="AA289" s="1518" t="str">
        <f>IFERROR(VLOOKUP($B289,AA$109:$AG$208,AA$107,FALSE),"")</f>
        <v/>
      </c>
      <c r="AB289" s="1518" t="str">
        <f>IFERROR(VLOOKUP($B289,AB$109:$AG$208,AB$107,FALSE),"")</f>
        <v/>
      </c>
      <c r="AC289" s="1518" t="str">
        <f>IFERROR(VLOOKUP($B289,AC$109:$AG$208,AC$107,FALSE),"")</f>
        <v/>
      </c>
      <c r="AD289" s="1518">
        <f>IFERROR(VLOOKUP($B289,AD$109:$AG$208,AD$107,FALSE),"")</f>
        <v>0</v>
      </c>
      <c r="AE289" s="1518" t="str">
        <f>IFERROR(VLOOKUP($B289,AE$109:$AG$208,AE$107,FALSE),"")</f>
        <v/>
      </c>
      <c r="AF289" s="1518" t="str">
        <f>IFERROR(VLOOKUP($B289,AF$109:$AG$208,AF$107,FALSE),"")</f>
        <v/>
      </c>
    </row>
    <row r="290" spans="2:32" hidden="1">
      <c r="B290" s="1525">
        <f t="shared" si="20"/>
        <v>76</v>
      </c>
      <c r="F290" s="1518" t="str">
        <f>IFERROR(VLOOKUP($B290,F$109:$AG$208,F$107,FALSE),"")</f>
        <v/>
      </c>
      <c r="G290" s="1518" t="str">
        <f>IFERROR(VLOOKUP($B290,G$109:$AG$208,G$107,FALSE),"")</f>
        <v/>
      </c>
      <c r="H290" s="1518" t="str">
        <f>IFERROR(VLOOKUP($B290,H$109:$AG$208,H$107,FALSE),"")</f>
        <v/>
      </c>
      <c r="I290" s="1518" t="str">
        <f>IFERROR(VLOOKUP($B290,I$109:$AG$208,I$107,FALSE),"")</f>
        <v/>
      </c>
      <c r="J290" s="1518" t="str">
        <f>IFERROR(VLOOKUP($B290,J$109:$AG$208,J$107,FALSE),"")</f>
        <v/>
      </c>
      <c r="K290" s="1518" t="str">
        <f>IFERROR(VLOOKUP($B290,K$109:$AG$208,K$107,FALSE),"")</f>
        <v/>
      </c>
      <c r="L290" s="1518" t="str">
        <f>IFERROR(VLOOKUP($B290,L$109:$AG$208,L$107,FALSE),"")</f>
        <v/>
      </c>
      <c r="M290" s="1518" t="str">
        <f>IFERROR(VLOOKUP($B290,M$109:$AG$208,M$107,FALSE),"")</f>
        <v/>
      </c>
      <c r="N290" s="1518" t="str">
        <f>IFERROR(VLOOKUP($B290,N$109:$AG$208,N$107,FALSE),"")</f>
        <v/>
      </c>
      <c r="O290" s="1518" t="str">
        <f>IFERROR(VLOOKUP($B290,O$109:$AG$208,O$107,FALSE),"")</f>
        <v/>
      </c>
      <c r="P290" s="1518" t="str">
        <f>IFERROR(VLOOKUP($B290,P$109:$AG$208,P$107,FALSE),"")</f>
        <v/>
      </c>
      <c r="Q290" s="1518" t="str">
        <f>IFERROR(VLOOKUP($B290,Q$109:$AG$208,Q$107,FALSE),"")</f>
        <v/>
      </c>
      <c r="R290" s="1518" t="str">
        <f>IFERROR(VLOOKUP($B290,R$109:$AG$208,R$107,FALSE),"")</f>
        <v/>
      </c>
      <c r="S290" s="1518" t="str">
        <f>IFERROR(VLOOKUP($B290,S$109:$AG$208,S$107,FALSE),"")</f>
        <v/>
      </c>
      <c r="T290" s="1518" t="str">
        <f>IFERROR(VLOOKUP($B290,T$109:$AG$208,T$107,FALSE),"")</f>
        <v/>
      </c>
      <c r="U290" s="1518" t="str">
        <f>IFERROR(VLOOKUP($B290,U$109:$AG$208,U$107,FALSE),"")</f>
        <v/>
      </c>
      <c r="V290" s="1518" t="str">
        <f>IFERROR(VLOOKUP($B290,V$109:$AG$208,V$107,FALSE),"")</f>
        <v/>
      </c>
      <c r="W290" s="1518" t="str">
        <f>IFERROR(VLOOKUP($B290,W$109:$AG$208,W$107,FALSE),"")</f>
        <v/>
      </c>
      <c r="X290" s="1518" t="str">
        <f>IFERROR(VLOOKUP($B290,X$109:$AG$208,X$107,FALSE),"")</f>
        <v/>
      </c>
      <c r="Y290" s="1518" t="str">
        <f>IFERROR(VLOOKUP($B290,Y$109:$AG$208,Y$107,FALSE),"")</f>
        <v/>
      </c>
      <c r="Z290" s="1518" t="str">
        <f>IFERROR(VLOOKUP($B290,Z$109:$AG$208,Z$107,FALSE),"")</f>
        <v/>
      </c>
      <c r="AA290" s="1518" t="str">
        <f>IFERROR(VLOOKUP($B290,AA$109:$AG$208,AA$107,FALSE),"")</f>
        <v/>
      </c>
      <c r="AB290" s="1518" t="str">
        <f>IFERROR(VLOOKUP($B290,AB$109:$AG$208,AB$107,FALSE),"")</f>
        <v/>
      </c>
      <c r="AC290" s="1518" t="str">
        <f>IFERROR(VLOOKUP($B290,AC$109:$AG$208,AC$107,FALSE),"")</f>
        <v/>
      </c>
      <c r="AD290" s="1518">
        <f>IFERROR(VLOOKUP($B290,AD$109:$AG$208,AD$107,FALSE),"")</f>
        <v>0</v>
      </c>
      <c r="AE290" s="1518" t="str">
        <f>IFERROR(VLOOKUP($B290,AE$109:$AG$208,AE$107,FALSE),"")</f>
        <v/>
      </c>
      <c r="AF290" s="1518" t="str">
        <f>IFERROR(VLOOKUP($B290,AF$109:$AG$208,AF$107,FALSE),"")</f>
        <v/>
      </c>
    </row>
    <row r="291" spans="2:32" hidden="1">
      <c r="B291" s="1525">
        <f t="shared" si="20"/>
        <v>77</v>
      </c>
      <c r="F291" s="1518" t="str">
        <f>IFERROR(VLOOKUP($B291,F$109:$AG$208,F$107,FALSE),"")</f>
        <v/>
      </c>
      <c r="G291" s="1518" t="str">
        <f>IFERROR(VLOOKUP($B291,G$109:$AG$208,G$107,FALSE),"")</f>
        <v/>
      </c>
      <c r="H291" s="1518" t="str">
        <f>IFERROR(VLOOKUP($B291,H$109:$AG$208,H$107,FALSE),"")</f>
        <v/>
      </c>
      <c r="I291" s="1518" t="str">
        <f>IFERROR(VLOOKUP($B291,I$109:$AG$208,I$107,FALSE),"")</f>
        <v/>
      </c>
      <c r="J291" s="1518" t="str">
        <f>IFERROR(VLOOKUP($B291,J$109:$AG$208,J$107,FALSE),"")</f>
        <v/>
      </c>
      <c r="K291" s="1518" t="str">
        <f>IFERROR(VLOOKUP($B291,K$109:$AG$208,K$107,FALSE),"")</f>
        <v/>
      </c>
      <c r="L291" s="1518" t="str">
        <f>IFERROR(VLOOKUP($B291,L$109:$AG$208,L$107,FALSE),"")</f>
        <v/>
      </c>
      <c r="M291" s="1518" t="str">
        <f>IFERROR(VLOOKUP($B291,M$109:$AG$208,M$107,FALSE),"")</f>
        <v/>
      </c>
      <c r="N291" s="1518" t="str">
        <f>IFERROR(VLOOKUP($B291,N$109:$AG$208,N$107,FALSE),"")</f>
        <v/>
      </c>
      <c r="O291" s="1518" t="str">
        <f>IFERROR(VLOOKUP($B291,O$109:$AG$208,O$107,FALSE),"")</f>
        <v/>
      </c>
      <c r="P291" s="1518" t="str">
        <f>IFERROR(VLOOKUP($B291,P$109:$AG$208,P$107,FALSE),"")</f>
        <v/>
      </c>
      <c r="Q291" s="1518" t="str">
        <f>IFERROR(VLOOKUP($B291,Q$109:$AG$208,Q$107,FALSE),"")</f>
        <v/>
      </c>
      <c r="R291" s="1518" t="str">
        <f>IFERROR(VLOOKUP($B291,R$109:$AG$208,R$107,FALSE),"")</f>
        <v/>
      </c>
      <c r="S291" s="1518" t="str">
        <f>IFERROR(VLOOKUP($B291,S$109:$AG$208,S$107,FALSE),"")</f>
        <v/>
      </c>
      <c r="T291" s="1518" t="str">
        <f>IFERROR(VLOOKUP($B291,T$109:$AG$208,T$107,FALSE),"")</f>
        <v/>
      </c>
      <c r="U291" s="1518" t="str">
        <f>IFERROR(VLOOKUP($B291,U$109:$AG$208,U$107,FALSE),"")</f>
        <v/>
      </c>
      <c r="V291" s="1518" t="str">
        <f>IFERROR(VLOOKUP($B291,V$109:$AG$208,V$107,FALSE),"")</f>
        <v/>
      </c>
      <c r="W291" s="1518" t="str">
        <f>IFERROR(VLOOKUP($B291,W$109:$AG$208,W$107,FALSE),"")</f>
        <v/>
      </c>
      <c r="X291" s="1518" t="str">
        <f>IFERROR(VLOOKUP($B291,X$109:$AG$208,X$107,FALSE),"")</f>
        <v/>
      </c>
      <c r="Y291" s="1518" t="str">
        <f>IFERROR(VLOOKUP($B291,Y$109:$AG$208,Y$107,FALSE),"")</f>
        <v/>
      </c>
      <c r="Z291" s="1518" t="str">
        <f>IFERROR(VLOOKUP($B291,Z$109:$AG$208,Z$107,FALSE),"")</f>
        <v/>
      </c>
      <c r="AA291" s="1518" t="str">
        <f>IFERROR(VLOOKUP($B291,AA$109:$AG$208,AA$107,FALSE),"")</f>
        <v/>
      </c>
      <c r="AB291" s="1518" t="str">
        <f>IFERROR(VLOOKUP($B291,AB$109:$AG$208,AB$107,FALSE),"")</f>
        <v/>
      </c>
      <c r="AC291" s="1518" t="str">
        <f>IFERROR(VLOOKUP($B291,AC$109:$AG$208,AC$107,FALSE),"")</f>
        <v/>
      </c>
      <c r="AD291" s="1518">
        <f>IFERROR(VLOOKUP($B291,AD$109:$AG$208,AD$107,FALSE),"")</f>
        <v>0</v>
      </c>
      <c r="AE291" s="1518" t="str">
        <f>IFERROR(VLOOKUP($B291,AE$109:$AG$208,AE$107,FALSE),"")</f>
        <v/>
      </c>
      <c r="AF291" s="1518" t="str">
        <f>IFERROR(VLOOKUP($B291,AF$109:$AG$208,AF$107,FALSE),"")</f>
        <v/>
      </c>
    </row>
    <row r="292" spans="2:32" hidden="1">
      <c r="B292" s="1525">
        <f t="shared" si="20"/>
        <v>78</v>
      </c>
      <c r="F292" s="1518" t="str">
        <f>IFERROR(VLOOKUP($B292,F$109:$AG$208,F$107,FALSE),"")</f>
        <v/>
      </c>
      <c r="G292" s="1518" t="str">
        <f>IFERROR(VLOOKUP($B292,G$109:$AG$208,G$107,FALSE),"")</f>
        <v/>
      </c>
      <c r="H292" s="1518" t="str">
        <f>IFERROR(VLOOKUP($B292,H$109:$AG$208,H$107,FALSE),"")</f>
        <v/>
      </c>
      <c r="I292" s="1518" t="str">
        <f>IFERROR(VLOOKUP($B292,I$109:$AG$208,I$107,FALSE),"")</f>
        <v/>
      </c>
      <c r="J292" s="1518" t="str">
        <f>IFERROR(VLOOKUP($B292,J$109:$AG$208,J$107,FALSE),"")</f>
        <v/>
      </c>
      <c r="K292" s="1518" t="str">
        <f>IFERROR(VLOOKUP($B292,K$109:$AG$208,K$107,FALSE),"")</f>
        <v/>
      </c>
      <c r="L292" s="1518" t="str">
        <f>IFERROR(VLOOKUP($B292,L$109:$AG$208,L$107,FALSE),"")</f>
        <v/>
      </c>
      <c r="M292" s="1518" t="str">
        <f>IFERROR(VLOOKUP($B292,M$109:$AG$208,M$107,FALSE),"")</f>
        <v/>
      </c>
      <c r="N292" s="1518" t="str">
        <f>IFERROR(VLOOKUP($B292,N$109:$AG$208,N$107,FALSE),"")</f>
        <v/>
      </c>
      <c r="O292" s="1518" t="str">
        <f>IFERROR(VLOOKUP($B292,O$109:$AG$208,O$107,FALSE),"")</f>
        <v/>
      </c>
      <c r="P292" s="1518" t="str">
        <f>IFERROR(VLOOKUP($B292,P$109:$AG$208,P$107,FALSE),"")</f>
        <v/>
      </c>
      <c r="Q292" s="1518" t="str">
        <f>IFERROR(VLOOKUP($B292,Q$109:$AG$208,Q$107,FALSE),"")</f>
        <v/>
      </c>
      <c r="R292" s="1518" t="str">
        <f>IFERROR(VLOOKUP($B292,R$109:$AG$208,R$107,FALSE),"")</f>
        <v/>
      </c>
      <c r="S292" s="1518" t="str">
        <f>IFERROR(VLOOKUP($B292,S$109:$AG$208,S$107,FALSE),"")</f>
        <v/>
      </c>
      <c r="T292" s="1518" t="str">
        <f>IFERROR(VLOOKUP($B292,T$109:$AG$208,T$107,FALSE),"")</f>
        <v/>
      </c>
      <c r="U292" s="1518" t="str">
        <f>IFERROR(VLOOKUP($B292,U$109:$AG$208,U$107,FALSE),"")</f>
        <v/>
      </c>
      <c r="V292" s="1518" t="str">
        <f>IFERROR(VLOOKUP($B292,V$109:$AG$208,V$107,FALSE),"")</f>
        <v/>
      </c>
      <c r="W292" s="1518" t="str">
        <f>IFERROR(VLOOKUP($B292,W$109:$AG$208,W$107,FALSE),"")</f>
        <v/>
      </c>
      <c r="X292" s="1518" t="str">
        <f>IFERROR(VLOOKUP($B292,X$109:$AG$208,X$107,FALSE),"")</f>
        <v/>
      </c>
      <c r="Y292" s="1518" t="str">
        <f>IFERROR(VLOOKUP($B292,Y$109:$AG$208,Y$107,FALSE),"")</f>
        <v/>
      </c>
      <c r="Z292" s="1518" t="str">
        <f>IFERROR(VLOOKUP($B292,Z$109:$AG$208,Z$107,FALSE),"")</f>
        <v/>
      </c>
      <c r="AA292" s="1518" t="str">
        <f>IFERROR(VLOOKUP($B292,AA$109:$AG$208,AA$107,FALSE),"")</f>
        <v/>
      </c>
      <c r="AB292" s="1518" t="str">
        <f>IFERROR(VLOOKUP($B292,AB$109:$AG$208,AB$107,FALSE),"")</f>
        <v/>
      </c>
      <c r="AC292" s="1518" t="str">
        <f>IFERROR(VLOOKUP($B292,AC$109:$AG$208,AC$107,FALSE),"")</f>
        <v/>
      </c>
      <c r="AD292" s="1518">
        <f>IFERROR(VLOOKUP($B292,AD$109:$AG$208,AD$107,FALSE),"")</f>
        <v>0</v>
      </c>
      <c r="AE292" s="1518" t="str">
        <f>IFERROR(VLOOKUP($B292,AE$109:$AG$208,AE$107,FALSE),"")</f>
        <v/>
      </c>
      <c r="AF292" s="1518" t="str">
        <f>IFERROR(VLOOKUP($B292,AF$109:$AG$208,AF$107,FALSE),"")</f>
        <v/>
      </c>
    </row>
    <row r="293" spans="2:32" hidden="1">
      <c r="B293" s="1525">
        <f t="shared" si="20"/>
        <v>79</v>
      </c>
      <c r="F293" s="1518" t="str">
        <f>IFERROR(VLOOKUP($B293,F$109:$AG$208,F$107,FALSE),"")</f>
        <v/>
      </c>
      <c r="G293" s="1518" t="str">
        <f>IFERROR(VLOOKUP($B293,G$109:$AG$208,G$107,FALSE),"")</f>
        <v/>
      </c>
      <c r="H293" s="1518" t="str">
        <f>IFERROR(VLOOKUP($B293,H$109:$AG$208,H$107,FALSE),"")</f>
        <v/>
      </c>
      <c r="I293" s="1518" t="str">
        <f>IFERROR(VLOOKUP($B293,I$109:$AG$208,I$107,FALSE),"")</f>
        <v/>
      </c>
      <c r="J293" s="1518" t="str">
        <f>IFERROR(VLOOKUP($B293,J$109:$AG$208,J$107,FALSE),"")</f>
        <v/>
      </c>
      <c r="K293" s="1518" t="str">
        <f>IFERROR(VLOOKUP($B293,K$109:$AG$208,K$107,FALSE),"")</f>
        <v/>
      </c>
      <c r="L293" s="1518" t="str">
        <f>IFERROR(VLOOKUP($B293,L$109:$AG$208,L$107,FALSE),"")</f>
        <v/>
      </c>
      <c r="M293" s="1518" t="str">
        <f>IFERROR(VLOOKUP($B293,M$109:$AG$208,M$107,FALSE),"")</f>
        <v/>
      </c>
      <c r="N293" s="1518" t="str">
        <f>IFERROR(VLOOKUP($B293,N$109:$AG$208,N$107,FALSE),"")</f>
        <v/>
      </c>
      <c r="O293" s="1518" t="str">
        <f>IFERROR(VLOOKUP($B293,O$109:$AG$208,O$107,FALSE),"")</f>
        <v/>
      </c>
      <c r="P293" s="1518" t="str">
        <f>IFERROR(VLOOKUP($B293,P$109:$AG$208,P$107,FALSE),"")</f>
        <v/>
      </c>
      <c r="Q293" s="1518" t="str">
        <f>IFERROR(VLOOKUP($B293,Q$109:$AG$208,Q$107,FALSE),"")</f>
        <v/>
      </c>
      <c r="R293" s="1518" t="str">
        <f>IFERROR(VLOOKUP($B293,R$109:$AG$208,R$107,FALSE),"")</f>
        <v/>
      </c>
      <c r="S293" s="1518" t="str">
        <f>IFERROR(VLOOKUP($B293,S$109:$AG$208,S$107,FALSE),"")</f>
        <v/>
      </c>
      <c r="T293" s="1518" t="str">
        <f>IFERROR(VLOOKUP($B293,T$109:$AG$208,T$107,FALSE),"")</f>
        <v/>
      </c>
      <c r="U293" s="1518" t="str">
        <f>IFERROR(VLOOKUP($B293,U$109:$AG$208,U$107,FALSE),"")</f>
        <v/>
      </c>
      <c r="V293" s="1518" t="str">
        <f>IFERROR(VLOOKUP($B293,V$109:$AG$208,V$107,FALSE),"")</f>
        <v/>
      </c>
      <c r="W293" s="1518" t="str">
        <f>IFERROR(VLOOKUP($B293,W$109:$AG$208,W$107,FALSE),"")</f>
        <v/>
      </c>
      <c r="X293" s="1518" t="str">
        <f>IFERROR(VLOOKUP($B293,X$109:$AG$208,X$107,FALSE),"")</f>
        <v/>
      </c>
      <c r="Y293" s="1518" t="str">
        <f>IFERROR(VLOOKUP($B293,Y$109:$AG$208,Y$107,FALSE),"")</f>
        <v/>
      </c>
      <c r="Z293" s="1518" t="str">
        <f>IFERROR(VLOOKUP($B293,Z$109:$AG$208,Z$107,FALSE),"")</f>
        <v/>
      </c>
      <c r="AA293" s="1518" t="str">
        <f>IFERROR(VLOOKUP($B293,AA$109:$AG$208,AA$107,FALSE),"")</f>
        <v/>
      </c>
      <c r="AB293" s="1518" t="str">
        <f>IFERROR(VLOOKUP($B293,AB$109:$AG$208,AB$107,FALSE),"")</f>
        <v/>
      </c>
      <c r="AC293" s="1518" t="str">
        <f>IFERROR(VLOOKUP($B293,AC$109:$AG$208,AC$107,FALSE),"")</f>
        <v/>
      </c>
      <c r="AD293" s="1518">
        <f>IFERROR(VLOOKUP($B293,AD$109:$AG$208,AD$107,FALSE),"")</f>
        <v>0</v>
      </c>
      <c r="AE293" s="1518" t="str">
        <f>IFERROR(VLOOKUP($B293,AE$109:$AG$208,AE$107,FALSE),"")</f>
        <v/>
      </c>
      <c r="AF293" s="1518" t="str">
        <f>IFERROR(VLOOKUP($B293,AF$109:$AG$208,AF$107,FALSE),"")</f>
        <v/>
      </c>
    </row>
    <row r="294" spans="2:32" hidden="1">
      <c r="B294" s="1525">
        <f t="shared" si="20"/>
        <v>80</v>
      </c>
      <c r="F294" s="1518" t="str">
        <f>IFERROR(VLOOKUP($B294,F$109:$AG$208,F$107,FALSE),"")</f>
        <v/>
      </c>
      <c r="G294" s="1518" t="str">
        <f>IFERROR(VLOOKUP($B294,G$109:$AG$208,G$107,FALSE),"")</f>
        <v/>
      </c>
      <c r="H294" s="1518" t="str">
        <f>IFERROR(VLOOKUP($B294,H$109:$AG$208,H$107,FALSE),"")</f>
        <v/>
      </c>
      <c r="I294" s="1518" t="str">
        <f>IFERROR(VLOOKUP($B294,I$109:$AG$208,I$107,FALSE),"")</f>
        <v/>
      </c>
      <c r="J294" s="1518" t="str">
        <f>IFERROR(VLOOKUP($B294,J$109:$AG$208,J$107,FALSE),"")</f>
        <v/>
      </c>
      <c r="K294" s="1518" t="str">
        <f>IFERROR(VLOOKUP($B294,K$109:$AG$208,K$107,FALSE),"")</f>
        <v/>
      </c>
      <c r="L294" s="1518" t="str">
        <f>IFERROR(VLOOKUP($B294,L$109:$AG$208,L$107,FALSE),"")</f>
        <v/>
      </c>
      <c r="M294" s="1518" t="str">
        <f>IFERROR(VLOOKUP($B294,M$109:$AG$208,M$107,FALSE),"")</f>
        <v/>
      </c>
      <c r="N294" s="1518" t="str">
        <f>IFERROR(VLOOKUP($B294,N$109:$AG$208,N$107,FALSE),"")</f>
        <v/>
      </c>
      <c r="O294" s="1518" t="str">
        <f>IFERROR(VLOOKUP($B294,O$109:$AG$208,O$107,FALSE),"")</f>
        <v/>
      </c>
      <c r="P294" s="1518" t="str">
        <f>IFERROR(VLOOKUP($B294,P$109:$AG$208,P$107,FALSE),"")</f>
        <v/>
      </c>
      <c r="Q294" s="1518" t="str">
        <f>IFERROR(VLOOKUP($B294,Q$109:$AG$208,Q$107,FALSE),"")</f>
        <v/>
      </c>
      <c r="R294" s="1518" t="str">
        <f>IFERROR(VLOOKUP($B294,R$109:$AG$208,R$107,FALSE),"")</f>
        <v/>
      </c>
      <c r="S294" s="1518" t="str">
        <f>IFERROR(VLOOKUP($B294,S$109:$AG$208,S$107,FALSE),"")</f>
        <v/>
      </c>
      <c r="T294" s="1518" t="str">
        <f>IFERROR(VLOOKUP($B294,T$109:$AG$208,T$107,FALSE),"")</f>
        <v/>
      </c>
      <c r="U294" s="1518" t="str">
        <f>IFERROR(VLOOKUP($B294,U$109:$AG$208,U$107,FALSE),"")</f>
        <v/>
      </c>
      <c r="V294" s="1518" t="str">
        <f>IFERROR(VLOOKUP($B294,V$109:$AG$208,V$107,FALSE),"")</f>
        <v/>
      </c>
      <c r="W294" s="1518" t="str">
        <f>IFERROR(VLOOKUP($B294,W$109:$AG$208,W$107,FALSE),"")</f>
        <v/>
      </c>
      <c r="X294" s="1518" t="str">
        <f>IFERROR(VLOOKUP($B294,X$109:$AG$208,X$107,FALSE),"")</f>
        <v/>
      </c>
      <c r="Y294" s="1518" t="str">
        <f>IFERROR(VLOOKUP($B294,Y$109:$AG$208,Y$107,FALSE),"")</f>
        <v/>
      </c>
      <c r="Z294" s="1518" t="str">
        <f>IFERROR(VLOOKUP($B294,Z$109:$AG$208,Z$107,FALSE),"")</f>
        <v/>
      </c>
      <c r="AA294" s="1518" t="str">
        <f>IFERROR(VLOOKUP($B294,AA$109:$AG$208,AA$107,FALSE),"")</f>
        <v/>
      </c>
      <c r="AB294" s="1518" t="str">
        <f>IFERROR(VLOOKUP($B294,AB$109:$AG$208,AB$107,FALSE),"")</f>
        <v/>
      </c>
      <c r="AC294" s="1518" t="str">
        <f>IFERROR(VLOOKUP($B294,AC$109:$AG$208,AC$107,FALSE),"")</f>
        <v/>
      </c>
      <c r="AD294" s="1518">
        <f>IFERROR(VLOOKUP($B294,AD$109:$AG$208,AD$107,FALSE),"")</f>
        <v>0</v>
      </c>
      <c r="AE294" s="1518" t="str">
        <f>IFERROR(VLOOKUP($B294,AE$109:$AG$208,AE$107,FALSE),"")</f>
        <v/>
      </c>
      <c r="AF294" s="1518" t="str">
        <f>IFERROR(VLOOKUP($B294,AF$109:$AG$208,AF$107,FALSE),"")</f>
        <v/>
      </c>
    </row>
    <row r="295" spans="2:32" hidden="1">
      <c r="B295" s="1525">
        <f t="shared" si="20"/>
        <v>81</v>
      </c>
      <c r="F295" s="1518" t="str">
        <f>IFERROR(VLOOKUP($B295,F$109:$AG$208,F$107,FALSE),"")</f>
        <v/>
      </c>
      <c r="G295" s="1518" t="str">
        <f>IFERROR(VLOOKUP($B295,G$109:$AG$208,G$107,FALSE),"")</f>
        <v/>
      </c>
      <c r="H295" s="1518" t="str">
        <f>IFERROR(VLOOKUP($B295,H$109:$AG$208,H$107,FALSE),"")</f>
        <v/>
      </c>
      <c r="I295" s="1518" t="str">
        <f>IFERROR(VLOOKUP($B295,I$109:$AG$208,I$107,FALSE),"")</f>
        <v/>
      </c>
      <c r="J295" s="1518" t="str">
        <f>IFERROR(VLOOKUP($B295,J$109:$AG$208,J$107,FALSE),"")</f>
        <v/>
      </c>
      <c r="K295" s="1518" t="str">
        <f>IFERROR(VLOOKUP($B295,K$109:$AG$208,K$107,FALSE),"")</f>
        <v/>
      </c>
      <c r="L295" s="1518" t="str">
        <f>IFERROR(VLOOKUP($B295,L$109:$AG$208,L$107,FALSE),"")</f>
        <v/>
      </c>
      <c r="M295" s="1518" t="str">
        <f>IFERROR(VLOOKUP($B295,M$109:$AG$208,M$107,FALSE),"")</f>
        <v/>
      </c>
      <c r="N295" s="1518" t="str">
        <f>IFERROR(VLOOKUP($B295,N$109:$AG$208,N$107,FALSE),"")</f>
        <v/>
      </c>
      <c r="O295" s="1518" t="str">
        <f>IFERROR(VLOOKUP($B295,O$109:$AG$208,O$107,FALSE),"")</f>
        <v/>
      </c>
      <c r="P295" s="1518" t="str">
        <f>IFERROR(VLOOKUP($B295,P$109:$AG$208,P$107,FALSE),"")</f>
        <v/>
      </c>
      <c r="Q295" s="1518" t="str">
        <f>IFERROR(VLOOKUP($B295,Q$109:$AG$208,Q$107,FALSE),"")</f>
        <v/>
      </c>
      <c r="R295" s="1518" t="str">
        <f>IFERROR(VLOOKUP($B295,R$109:$AG$208,R$107,FALSE),"")</f>
        <v/>
      </c>
      <c r="S295" s="1518" t="str">
        <f>IFERROR(VLOOKUP($B295,S$109:$AG$208,S$107,FALSE),"")</f>
        <v/>
      </c>
      <c r="T295" s="1518" t="str">
        <f>IFERROR(VLOOKUP($B295,T$109:$AG$208,T$107,FALSE),"")</f>
        <v/>
      </c>
      <c r="U295" s="1518" t="str">
        <f>IFERROR(VLOOKUP($B295,U$109:$AG$208,U$107,FALSE),"")</f>
        <v/>
      </c>
      <c r="V295" s="1518" t="str">
        <f>IFERROR(VLOOKUP($B295,V$109:$AG$208,V$107,FALSE),"")</f>
        <v/>
      </c>
      <c r="W295" s="1518" t="str">
        <f>IFERROR(VLOOKUP($B295,W$109:$AG$208,W$107,FALSE),"")</f>
        <v/>
      </c>
      <c r="X295" s="1518" t="str">
        <f>IFERROR(VLOOKUP($B295,X$109:$AG$208,X$107,FALSE),"")</f>
        <v/>
      </c>
      <c r="Y295" s="1518" t="str">
        <f>IFERROR(VLOOKUP($B295,Y$109:$AG$208,Y$107,FALSE),"")</f>
        <v/>
      </c>
      <c r="Z295" s="1518" t="str">
        <f>IFERROR(VLOOKUP($B295,Z$109:$AG$208,Z$107,FALSE),"")</f>
        <v/>
      </c>
      <c r="AA295" s="1518" t="str">
        <f>IFERROR(VLOOKUP($B295,AA$109:$AG$208,AA$107,FALSE),"")</f>
        <v/>
      </c>
      <c r="AB295" s="1518" t="str">
        <f>IFERROR(VLOOKUP($B295,AB$109:$AG$208,AB$107,FALSE),"")</f>
        <v/>
      </c>
      <c r="AC295" s="1518" t="str">
        <f>IFERROR(VLOOKUP($B295,AC$109:$AG$208,AC$107,FALSE),"")</f>
        <v/>
      </c>
      <c r="AD295" s="1518">
        <f>IFERROR(VLOOKUP($B295,AD$109:$AG$208,AD$107,FALSE),"")</f>
        <v>0</v>
      </c>
      <c r="AE295" s="1518" t="str">
        <f>IFERROR(VLOOKUP($B295,AE$109:$AG$208,AE$107,FALSE),"")</f>
        <v/>
      </c>
      <c r="AF295" s="1518" t="str">
        <f>IFERROR(VLOOKUP($B295,AF$109:$AG$208,AF$107,FALSE),"")</f>
        <v/>
      </c>
    </row>
    <row r="296" spans="2:32" hidden="1">
      <c r="B296" s="1525">
        <f t="shared" si="20"/>
        <v>82</v>
      </c>
      <c r="F296" s="1518" t="str">
        <f>IFERROR(VLOOKUP($B296,F$109:$AG$208,F$107,FALSE),"")</f>
        <v/>
      </c>
      <c r="G296" s="1518" t="str">
        <f>IFERROR(VLOOKUP($B296,G$109:$AG$208,G$107,FALSE),"")</f>
        <v/>
      </c>
      <c r="H296" s="1518" t="str">
        <f>IFERROR(VLOOKUP($B296,H$109:$AG$208,H$107,FALSE),"")</f>
        <v/>
      </c>
      <c r="I296" s="1518" t="str">
        <f>IFERROR(VLOOKUP($B296,I$109:$AG$208,I$107,FALSE),"")</f>
        <v/>
      </c>
      <c r="J296" s="1518" t="str">
        <f>IFERROR(VLOOKUP($B296,J$109:$AG$208,J$107,FALSE),"")</f>
        <v/>
      </c>
      <c r="K296" s="1518" t="str">
        <f>IFERROR(VLOOKUP($B296,K$109:$AG$208,K$107,FALSE),"")</f>
        <v/>
      </c>
      <c r="L296" s="1518" t="str">
        <f>IFERROR(VLOOKUP($B296,L$109:$AG$208,L$107,FALSE),"")</f>
        <v/>
      </c>
      <c r="M296" s="1518" t="str">
        <f>IFERROR(VLOOKUP($B296,M$109:$AG$208,M$107,FALSE),"")</f>
        <v/>
      </c>
      <c r="N296" s="1518" t="str">
        <f>IFERROR(VLOOKUP($B296,N$109:$AG$208,N$107,FALSE),"")</f>
        <v/>
      </c>
      <c r="O296" s="1518" t="str">
        <f>IFERROR(VLOOKUP($B296,O$109:$AG$208,O$107,FALSE),"")</f>
        <v/>
      </c>
      <c r="P296" s="1518" t="str">
        <f>IFERROR(VLOOKUP($B296,P$109:$AG$208,P$107,FALSE),"")</f>
        <v/>
      </c>
      <c r="Q296" s="1518" t="str">
        <f>IFERROR(VLOOKUP($B296,Q$109:$AG$208,Q$107,FALSE),"")</f>
        <v/>
      </c>
      <c r="R296" s="1518" t="str">
        <f>IFERROR(VLOOKUP($B296,R$109:$AG$208,R$107,FALSE),"")</f>
        <v/>
      </c>
      <c r="S296" s="1518" t="str">
        <f>IFERROR(VLOOKUP($B296,S$109:$AG$208,S$107,FALSE),"")</f>
        <v/>
      </c>
      <c r="T296" s="1518" t="str">
        <f>IFERROR(VLOOKUP($B296,T$109:$AG$208,T$107,FALSE),"")</f>
        <v/>
      </c>
      <c r="U296" s="1518" t="str">
        <f>IFERROR(VLOOKUP($B296,U$109:$AG$208,U$107,FALSE),"")</f>
        <v/>
      </c>
      <c r="V296" s="1518" t="str">
        <f>IFERROR(VLOOKUP($B296,V$109:$AG$208,V$107,FALSE),"")</f>
        <v/>
      </c>
      <c r="W296" s="1518" t="str">
        <f>IFERROR(VLOOKUP($B296,W$109:$AG$208,W$107,FALSE),"")</f>
        <v/>
      </c>
      <c r="X296" s="1518" t="str">
        <f>IFERROR(VLOOKUP($B296,X$109:$AG$208,X$107,FALSE),"")</f>
        <v/>
      </c>
      <c r="Y296" s="1518" t="str">
        <f>IFERROR(VLOOKUP($B296,Y$109:$AG$208,Y$107,FALSE),"")</f>
        <v/>
      </c>
      <c r="Z296" s="1518" t="str">
        <f>IFERROR(VLOOKUP($B296,Z$109:$AG$208,Z$107,FALSE),"")</f>
        <v/>
      </c>
      <c r="AA296" s="1518" t="str">
        <f>IFERROR(VLOOKUP($B296,AA$109:$AG$208,AA$107,FALSE),"")</f>
        <v/>
      </c>
      <c r="AB296" s="1518" t="str">
        <f>IFERROR(VLOOKUP($B296,AB$109:$AG$208,AB$107,FALSE),"")</f>
        <v/>
      </c>
      <c r="AC296" s="1518" t="str">
        <f>IFERROR(VLOOKUP($B296,AC$109:$AG$208,AC$107,FALSE),"")</f>
        <v/>
      </c>
      <c r="AD296" s="1518">
        <f>IFERROR(VLOOKUP($B296,AD$109:$AG$208,AD$107,FALSE),"")</f>
        <v>0</v>
      </c>
      <c r="AE296" s="1518" t="str">
        <f>IFERROR(VLOOKUP($B296,AE$109:$AG$208,AE$107,FALSE),"")</f>
        <v/>
      </c>
      <c r="AF296" s="1518" t="str">
        <f>IFERROR(VLOOKUP($B296,AF$109:$AG$208,AF$107,FALSE),"")</f>
        <v/>
      </c>
    </row>
    <row r="297" spans="2:32" hidden="1">
      <c r="B297" s="1525">
        <f t="shared" si="20"/>
        <v>83</v>
      </c>
      <c r="F297" s="1518" t="str">
        <f>IFERROR(VLOOKUP($B297,F$109:$AG$208,F$107,FALSE),"")</f>
        <v/>
      </c>
      <c r="G297" s="1518" t="str">
        <f>IFERROR(VLOOKUP($B297,G$109:$AG$208,G$107,FALSE),"")</f>
        <v/>
      </c>
      <c r="H297" s="1518" t="str">
        <f>IFERROR(VLOOKUP($B297,H$109:$AG$208,H$107,FALSE),"")</f>
        <v/>
      </c>
      <c r="I297" s="1518" t="str">
        <f>IFERROR(VLOOKUP($B297,I$109:$AG$208,I$107,FALSE),"")</f>
        <v/>
      </c>
      <c r="J297" s="1518" t="str">
        <f>IFERROR(VLOOKUP($B297,J$109:$AG$208,J$107,FALSE),"")</f>
        <v/>
      </c>
      <c r="K297" s="1518" t="str">
        <f>IFERROR(VLOOKUP($B297,K$109:$AG$208,K$107,FALSE),"")</f>
        <v/>
      </c>
      <c r="L297" s="1518" t="str">
        <f>IFERROR(VLOOKUP($B297,L$109:$AG$208,L$107,FALSE),"")</f>
        <v/>
      </c>
      <c r="M297" s="1518" t="str">
        <f>IFERROR(VLOOKUP($B297,M$109:$AG$208,M$107,FALSE),"")</f>
        <v/>
      </c>
      <c r="N297" s="1518" t="str">
        <f>IFERROR(VLOOKUP($B297,N$109:$AG$208,N$107,FALSE),"")</f>
        <v/>
      </c>
      <c r="O297" s="1518" t="str">
        <f>IFERROR(VLOOKUP($B297,O$109:$AG$208,O$107,FALSE),"")</f>
        <v/>
      </c>
      <c r="P297" s="1518" t="str">
        <f>IFERROR(VLOOKUP($B297,P$109:$AG$208,P$107,FALSE),"")</f>
        <v/>
      </c>
      <c r="Q297" s="1518" t="str">
        <f>IFERROR(VLOOKUP($B297,Q$109:$AG$208,Q$107,FALSE),"")</f>
        <v/>
      </c>
      <c r="R297" s="1518" t="str">
        <f>IFERROR(VLOOKUP($B297,R$109:$AG$208,R$107,FALSE),"")</f>
        <v/>
      </c>
      <c r="S297" s="1518" t="str">
        <f>IFERROR(VLOOKUP($B297,S$109:$AG$208,S$107,FALSE),"")</f>
        <v/>
      </c>
      <c r="T297" s="1518" t="str">
        <f>IFERROR(VLOOKUP($B297,T$109:$AG$208,T$107,FALSE),"")</f>
        <v/>
      </c>
      <c r="U297" s="1518" t="str">
        <f>IFERROR(VLOOKUP($B297,U$109:$AG$208,U$107,FALSE),"")</f>
        <v/>
      </c>
      <c r="V297" s="1518" t="str">
        <f>IFERROR(VLOOKUP($B297,V$109:$AG$208,V$107,FALSE),"")</f>
        <v/>
      </c>
      <c r="W297" s="1518" t="str">
        <f>IFERROR(VLOOKUP($B297,W$109:$AG$208,W$107,FALSE),"")</f>
        <v/>
      </c>
      <c r="X297" s="1518" t="str">
        <f>IFERROR(VLOOKUP($B297,X$109:$AG$208,X$107,FALSE),"")</f>
        <v/>
      </c>
      <c r="Y297" s="1518" t="str">
        <f>IFERROR(VLOOKUP($B297,Y$109:$AG$208,Y$107,FALSE),"")</f>
        <v/>
      </c>
      <c r="Z297" s="1518" t="str">
        <f>IFERROR(VLOOKUP($B297,Z$109:$AG$208,Z$107,FALSE),"")</f>
        <v/>
      </c>
      <c r="AA297" s="1518" t="str">
        <f>IFERROR(VLOOKUP($B297,AA$109:$AG$208,AA$107,FALSE),"")</f>
        <v/>
      </c>
      <c r="AB297" s="1518" t="str">
        <f>IFERROR(VLOOKUP($B297,AB$109:$AG$208,AB$107,FALSE),"")</f>
        <v/>
      </c>
      <c r="AC297" s="1518" t="str">
        <f>IFERROR(VLOOKUP($B297,AC$109:$AG$208,AC$107,FALSE),"")</f>
        <v/>
      </c>
      <c r="AD297" s="1518">
        <f>IFERROR(VLOOKUP($B297,AD$109:$AG$208,AD$107,FALSE),"")</f>
        <v>0</v>
      </c>
      <c r="AE297" s="1518" t="str">
        <f>IFERROR(VLOOKUP($B297,AE$109:$AG$208,AE$107,FALSE),"")</f>
        <v/>
      </c>
      <c r="AF297" s="1518" t="str">
        <f>IFERROR(VLOOKUP($B297,AF$109:$AG$208,AF$107,FALSE),"")</f>
        <v/>
      </c>
    </row>
    <row r="298" spans="2:32" hidden="1">
      <c r="B298" s="1525">
        <f t="shared" si="20"/>
        <v>84</v>
      </c>
      <c r="F298" s="1518" t="str">
        <f>IFERROR(VLOOKUP($B298,F$109:$AG$208,F$107,FALSE),"")</f>
        <v/>
      </c>
      <c r="G298" s="1518" t="str">
        <f>IFERROR(VLOOKUP($B298,G$109:$AG$208,G$107,FALSE),"")</f>
        <v/>
      </c>
      <c r="H298" s="1518" t="str">
        <f>IFERROR(VLOOKUP($B298,H$109:$AG$208,H$107,FALSE),"")</f>
        <v/>
      </c>
      <c r="I298" s="1518" t="str">
        <f>IFERROR(VLOOKUP($B298,I$109:$AG$208,I$107,FALSE),"")</f>
        <v/>
      </c>
      <c r="J298" s="1518" t="str">
        <f>IFERROR(VLOOKUP($B298,J$109:$AG$208,J$107,FALSE),"")</f>
        <v/>
      </c>
      <c r="K298" s="1518" t="str">
        <f>IFERROR(VLOOKUP($B298,K$109:$AG$208,K$107,FALSE),"")</f>
        <v/>
      </c>
      <c r="L298" s="1518" t="str">
        <f>IFERROR(VLOOKUP($B298,L$109:$AG$208,L$107,FALSE),"")</f>
        <v/>
      </c>
      <c r="M298" s="1518" t="str">
        <f>IFERROR(VLOOKUP($B298,M$109:$AG$208,M$107,FALSE),"")</f>
        <v/>
      </c>
      <c r="N298" s="1518" t="str">
        <f>IFERROR(VLOOKUP($B298,N$109:$AG$208,N$107,FALSE),"")</f>
        <v/>
      </c>
      <c r="O298" s="1518" t="str">
        <f>IFERROR(VLOOKUP($B298,O$109:$AG$208,O$107,FALSE),"")</f>
        <v/>
      </c>
      <c r="P298" s="1518" t="str">
        <f>IFERROR(VLOOKUP($B298,P$109:$AG$208,P$107,FALSE),"")</f>
        <v/>
      </c>
      <c r="Q298" s="1518" t="str">
        <f>IFERROR(VLOOKUP($B298,Q$109:$AG$208,Q$107,FALSE),"")</f>
        <v/>
      </c>
      <c r="R298" s="1518" t="str">
        <f>IFERROR(VLOOKUP($B298,R$109:$AG$208,R$107,FALSE),"")</f>
        <v/>
      </c>
      <c r="S298" s="1518" t="str">
        <f>IFERROR(VLOOKUP($B298,S$109:$AG$208,S$107,FALSE),"")</f>
        <v/>
      </c>
      <c r="T298" s="1518" t="str">
        <f>IFERROR(VLOOKUP($B298,T$109:$AG$208,T$107,FALSE),"")</f>
        <v/>
      </c>
      <c r="U298" s="1518" t="str">
        <f>IFERROR(VLOOKUP($B298,U$109:$AG$208,U$107,FALSE),"")</f>
        <v/>
      </c>
      <c r="V298" s="1518" t="str">
        <f>IFERROR(VLOOKUP($B298,V$109:$AG$208,V$107,FALSE),"")</f>
        <v/>
      </c>
      <c r="W298" s="1518" t="str">
        <f>IFERROR(VLOOKUP($B298,W$109:$AG$208,W$107,FALSE),"")</f>
        <v/>
      </c>
      <c r="X298" s="1518" t="str">
        <f>IFERROR(VLOOKUP($B298,X$109:$AG$208,X$107,FALSE),"")</f>
        <v/>
      </c>
      <c r="Y298" s="1518" t="str">
        <f>IFERROR(VLOOKUP($B298,Y$109:$AG$208,Y$107,FALSE),"")</f>
        <v/>
      </c>
      <c r="Z298" s="1518" t="str">
        <f>IFERROR(VLOOKUP($B298,Z$109:$AG$208,Z$107,FALSE),"")</f>
        <v/>
      </c>
      <c r="AA298" s="1518" t="str">
        <f>IFERROR(VLOOKUP($B298,AA$109:$AG$208,AA$107,FALSE),"")</f>
        <v/>
      </c>
      <c r="AB298" s="1518" t="str">
        <f>IFERROR(VLOOKUP($B298,AB$109:$AG$208,AB$107,FALSE),"")</f>
        <v/>
      </c>
      <c r="AC298" s="1518" t="str">
        <f>IFERROR(VLOOKUP($B298,AC$109:$AG$208,AC$107,FALSE),"")</f>
        <v/>
      </c>
      <c r="AD298" s="1518">
        <f>IFERROR(VLOOKUP($B298,AD$109:$AG$208,AD$107,FALSE),"")</f>
        <v>0</v>
      </c>
      <c r="AE298" s="1518" t="str">
        <f>IFERROR(VLOOKUP($B298,AE$109:$AG$208,AE$107,FALSE),"")</f>
        <v/>
      </c>
      <c r="AF298" s="1518" t="str">
        <f>IFERROR(VLOOKUP($B298,AF$109:$AG$208,AF$107,FALSE),"")</f>
        <v/>
      </c>
    </row>
    <row r="299" spans="2:32" hidden="1">
      <c r="B299" s="1525">
        <f t="shared" si="20"/>
        <v>85</v>
      </c>
      <c r="F299" s="1518" t="str">
        <f>IFERROR(VLOOKUP($B299,F$109:$AG$208,F$107,FALSE),"")</f>
        <v/>
      </c>
      <c r="G299" s="1518" t="str">
        <f>IFERROR(VLOOKUP($B299,G$109:$AG$208,G$107,FALSE),"")</f>
        <v/>
      </c>
      <c r="H299" s="1518" t="str">
        <f>IFERROR(VLOOKUP($B299,H$109:$AG$208,H$107,FALSE),"")</f>
        <v/>
      </c>
      <c r="I299" s="1518" t="str">
        <f>IFERROR(VLOOKUP($B299,I$109:$AG$208,I$107,FALSE),"")</f>
        <v/>
      </c>
      <c r="J299" s="1518" t="str">
        <f>IFERROR(VLOOKUP($B299,J$109:$AG$208,J$107,FALSE),"")</f>
        <v/>
      </c>
      <c r="K299" s="1518" t="str">
        <f>IFERROR(VLOOKUP($B299,K$109:$AG$208,K$107,FALSE),"")</f>
        <v/>
      </c>
      <c r="L299" s="1518" t="str">
        <f>IFERROR(VLOOKUP($B299,L$109:$AG$208,L$107,FALSE),"")</f>
        <v/>
      </c>
      <c r="M299" s="1518" t="str">
        <f>IFERROR(VLOOKUP($B299,M$109:$AG$208,M$107,FALSE),"")</f>
        <v/>
      </c>
      <c r="N299" s="1518" t="str">
        <f>IFERROR(VLOOKUP($B299,N$109:$AG$208,N$107,FALSE),"")</f>
        <v/>
      </c>
      <c r="O299" s="1518" t="str">
        <f>IFERROR(VLOOKUP($B299,O$109:$AG$208,O$107,FALSE),"")</f>
        <v/>
      </c>
      <c r="P299" s="1518" t="str">
        <f>IFERROR(VLOOKUP($B299,P$109:$AG$208,P$107,FALSE),"")</f>
        <v/>
      </c>
      <c r="Q299" s="1518" t="str">
        <f>IFERROR(VLOOKUP($B299,Q$109:$AG$208,Q$107,FALSE),"")</f>
        <v/>
      </c>
      <c r="R299" s="1518" t="str">
        <f>IFERROR(VLOOKUP($B299,R$109:$AG$208,R$107,FALSE),"")</f>
        <v/>
      </c>
      <c r="S299" s="1518" t="str">
        <f>IFERROR(VLOOKUP($B299,S$109:$AG$208,S$107,FALSE),"")</f>
        <v/>
      </c>
      <c r="T299" s="1518" t="str">
        <f>IFERROR(VLOOKUP($B299,T$109:$AG$208,T$107,FALSE),"")</f>
        <v/>
      </c>
      <c r="U299" s="1518" t="str">
        <f>IFERROR(VLOOKUP($B299,U$109:$AG$208,U$107,FALSE),"")</f>
        <v/>
      </c>
      <c r="V299" s="1518" t="str">
        <f>IFERROR(VLOOKUP($B299,V$109:$AG$208,V$107,FALSE),"")</f>
        <v/>
      </c>
      <c r="W299" s="1518" t="str">
        <f>IFERROR(VLOOKUP($B299,W$109:$AG$208,W$107,FALSE),"")</f>
        <v/>
      </c>
      <c r="X299" s="1518" t="str">
        <f>IFERROR(VLOOKUP($B299,X$109:$AG$208,X$107,FALSE),"")</f>
        <v/>
      </c>
      <c r="Y299" s="1518" t="str">
        <f>IFERROR(VLOOKUP($B299,Y$109:$AG$208,Y$107,FALSE),"")</f>
        <v/>
      </c>
      <c r="Z299" s="1518" t="str">
        <f>IFERROR(VLOOKUP($B299,Z$109:$AG$208,Z$107,FALSE),"")</f>
        <v/>
      </c>
      <c r="AA299" s="1518" t="str">
        <f>IFERROR(VLOOKUP($B299,AA$109:$AG$208,AA$107,FALSE),"")</f>
        <v/>
      </c>
      <c r="AB299" s="1518" t="str">
        <f>IFERROR(VLOOKUP($B299,AB$109:$AG$208,AB$107,FALSE),"")</f>
        <v/>
      </c>
      <c r="AC299" s="1518" t="str">
        <f>IFERROR(VLOOKUP($B299,AC$109:$AG$208,AC$107,FALSE),"")</f>
        <v/>
      </c>
      <c r="AD299" s="1518">
        <f>IFERROR(VLOOKUP($B299,AD$109:$AG$208,AD$107,FALSE),"")</f>
        <v>0</v>
      </c>
      <c r="AE299" s="1518" t="str">
        <f>IFERROR(VLOOKUP($B299,AE$109:$AG$208,AE$107,FALSE),"")</f>
        <v/>
      </c>
      <c r="AF299" s="1518" t="str">
        <f>IFERROR(VLOOKUP($B299,AF$109:$AG$208,AF$107,FALSE),"")</f>
        <v/>
      </c>
    </row>
    <row r="300" spans="2:32" hidden="1">
      <c r="B300" s="1525">
        <f t="shared" si="20"/>
        <v>86</v>
      </c>
      <c r="F300" s="1518" t="str">
        <f>IFERROR(VLOOKUP($B300,F$109:$AG$208,F$107,FALSE),"")</f>
        <v/>
      </c>
      <c r="G300" s="1518" t="str">
        <f>IFERROR(VLOOKUP($B300,G$109:$AG$208,G$107,FALSE),"")</f>
        <v/>
      </c>
      <c r="H300" s="1518" t="str">
        <f>IFERROR(VLOOKUP($B300,H$109:$AG$208,H$107,FALSE),"")</f>
        <v/>
      </c>
      <c r="I300" s="1518" t="str">
        <f>IFERROR(VLOOKUP($B300,I$109:$AG$208,I$107,FALSE),"")</f>
        <v/>
      </c>
      <c r="J300" s="1518" t="str">
        <f>IFERROR(VLOOKUP($B300,J$109:$AG$208,J$107,FALSE),"")</f>
        <v/>
      </c>
      <c r="K300" s="1518" t="str">
        <f>IFERROR(VLOOKUP($B300,K$109:$AG$208,K$107,FALSE),"")</f>
        <v/>
      </c>
      <c r="L300" s="1518" t="str">
        <f>IFERROR(VLOOKUP($B300,L$109:$AG$208,L$107,FALSE),"")</f>
        <v/>
      </c>
      <c r="M300" s="1518" t="str">
        <f>IFERROR(VLOOKUP($B300,M$109:$AG$208,M$107,FALSE),"")</f>
        <v/>
      </c>
      <c r="N300" s="1518" t="str">
        <f>IFERROR(VLOOKUP($B300,N$109:$AG$208,N$107,FALSE),"")</f>
        <v/>
      </c>
      <c r="O300" s="1518" t="str">
        <f>IFERROR(VLOOKUP($B300,O$109:$AG$208,O$107,FALSE),"")</f>
        <v/>
      </c>
      <c r="P300" s="1518" t="str">
        <f>IFERROR(VLOOKUP($B300,P$109:$AG$208,P$107,FALSE),"")</f>
        <v/>
      </c>
      <c r="Q300" s="1518" t="str">
        <f>IFERROR(VLOOKUP($B300,Q$109:$AG$208,Q$107,FALSE),"")</f>
        <v/>
      </c>
      <c r="R300" s="1518" t="str">
        <f>IFERROR(VLOOKUP($B300,R$109:$AG$208,R$107,FALSE),"")</f>
        <v/>
      </c>
      <c r="S300" s="1518" t="str">
        <f>IFERROR(VLOOKUP($B300,S$109:$AG$208,S$107,FALSE),"")</f>
        <v/>
      </c>
      <c r="T300" s="1518" t="str">
        <f>IFERROR(VLOOKUP($B300,T$109:$AG$208,T$107,FALSE),"")</f>
        <v/>
      </c>
      <c r="U300" s="1518" t="str">
        <f>IFERROR(VLOOKUP($B300,U$109:$AG$208,U$107,FALSE),"")</f>
        <v/>
      </c>
      <c r="V300" s="1518" t="str">
        <f>IFERROR(VLOOKUP($B300,V$109:$AG$208,V$107,FALSE),"")</f>
        <v/>
      </c>
      <c r="W300" s="1518" t="str">
        <f>IFERROR(VLOOKUP($B300,W$109:$AG$208,W$107,FALSE),"")</f>
        <v/>
      </c>
      <c r="X300" s="1518" t="str">
        <f>IFERROR(VLOOKUP($B300,X$109:$AG$208,X$107,FALSE),"")</f>
        <v/>
      </c>
      <c r="Y300" s="1518" t="str">
        <f>IFERROR(VLOOKUP($B300,Y$109:$AG$208,Y$107,FALSE),"")</f>
        <v/>
      </c>
      <c r="Z300" s="1518" t="str">
        <f>IFERROR(VLOOKUP($B300,Z$109:$AG$208,Z$107,FALSE),"")</f>
        <v/>
      </c>
      <c r="AA300" s="1518" t="str">
        <f>IFERROR(VLOOKUP($B300,AA$109:$AG$208,AA$107,FALSE),"")</f>
        <v/>
      </c>
      <c r="AB300" s="1518" t="str">
        <f>IFERROR(VLOOKUP($B300,AB$109:$AG$208,AB$107,FALSE),"")</f>
        <v/>
      </c>
      <c r="AC300" s="1518" t="str">
        <f>IFERROR(VLOOKUP($B300,AC$109:$AG$208,AC$107,FALSE),"")</f>
        <v/>
      </c>
      <c r="AD300" s="1518">
        <f>IFERROR(VLOOKUP($B300,AD$109:$AG$208,AD$107,FALSE),"")</f>
        <v>0</v>
      </c>
      <c r="AE300" s="1518" t="str">
        <f>IFERROR(VLOOKUP($B300,AE$109:$AG$208,AE$107,FALSE),"")</f>
        <v/>
      </c>
      <c r="AF300" s="1518" t="str">
        <f>IFERROR(VLOOKUP($B300,AF$109:$AG$208,AF$107,FALSE),"")</f>
        <v/>
      </c>
    </row>
    <row r="301" spans="2:32" hidden="1">
      <c r="B301" s="1525">
        <f t="shared" si="20"/>
        <v>87</v>
      </c>
      <c r="F301" s="1518" t="str">
        <f>IFERROR(VLOOKUP($B301,F$109:$AG$208,F$107,FALSE),"")</f>
        <v/>
      </c>
      <c r="G301" s="1518" t="str">
        <f>IFERROR(VLOOKUP($B301,G$109:$AG$208,G$107,FALSE),"")</f>
        <v/>
      </c>
      <c r="H301" s="1518" t="str">
        <f>IFERROR(VLOOKUP($B301,H$109:$AG$208,H$107,FALSE),"")</f>
        <v/>
      </c>
      <c r="I301" s="1518" t="str">
        <f>IFERROR(VLOOKUP($B301,I$109:$AG$208,I$107,FALSE),"")</f>
        <v/>
      </c>
      <c r="J301" s="1518" t="str">
        <f>IFERROR(VLOOKUP($B301,J$109:$AG$208,J$107,FALSE),"")</f>
        <v/>
      </c>
      <c r="K301" s="1518" t="str">
        <f>IFERROR(VLOOKUP($B301,K$109:$AG$208,K$107,FALSE),"")</f>
        <v/>
      </c>
      <c r="L301" s="1518" t="str">
        <f>IFERROR(VLOOKUP($B301,L$109:$AG$208,L$107,FALSE),"")</f>
        <v/>
      </c>
      <c r="M301" s="1518" t="str">
        <f>IFERROR(VLOOKUP($B301,M$109:$AG$208,M$107,FALSE),"")</f>
        <v/>
      </c>
      <c r="N301" s="1518" t="str">
        <f>IFERROR(VLOOKUP($B301,N$109:$AG$208,N$107,FALSE),"")</f>
        <v/>
      </c>
      <c r="O301" s="1518" t="str">
        <f>IFERROR(VLOOKUP($B301,O$109:$AG$208,O$107,FALSE),"")</f>
        <v/>
      </c>
      <c r="P301" s="1518" t="str">
        <f>IFERROR(VLOOKUP($B301,P$109:$AG$208,P$107,FALSE),"")</f>
        <v/>
      </c>
      <c r="Q301" s="1518" t="str">
        <f>IFERROR(VLOOKUP($B301,Q$109:$AG$208,Q$107,FALSE),"")</f>
        <v/>
      </c>
      <c r="R301" s="1518" t="str">
        <f>IFERROR(VLOOKUP($B301,R$109:$AG$208,R$107,FALSE),"")</f>
        <v/>
      </c>
      <c r="S301" s="1518" t="str">
        <f>IFERROR(VLOOKUP($B301,S$109:$AG$208,S$107,FALSE),"")</f>
        <v/>
      </c>
      <c r="T301" s="1518" t="str">
        <f>IFERROR(VLOOKUP($B301,T$109:$AG$208,T$107,FALSE),"")</f>
        <v/>
      </c>
      <c r="U301" s="1518" t="str">
        <f>IFERROR(VLOOKUP($B301,U$109:$AG$208,U$107,FALSE),"")</f>
        <v/>
      </c>
      <c r="V301" s="1518" t="str">
        <f>IFERROR(VLOOKUP($B301,V$109:$AG$208,V$107,FALSE),"")</f>
        <v/>
      </c>
      <c r="W301" s="1518" t="str">
        <f>IFERROR(VLOOKUP($B301,W$109:$AG$208,W$107,FALSE),"")</f>
        <v/>
      </c>
      <c r="X301" s="1518" t="str">
        <f>IFERROR(VLOOKUP($B301,X$109:$AG$208,X$107,FALSE),"")</f>
        <v/>
      </c>
      <c r="Y301" s="1518" t="str">
        <f>IFERROR(VLOOKUP($B301,Y$109:$AG$208,Y$107,FALSE),"")</f>
        <v/>
      </c>
      <c r="Z301" s="1518" t="str">
        <f>IFERROR(VLOOKUP($B301,Z$109:$AG$208,Z$107,FALSE),"")</f>
        <v/>
      </c>
      <c r="AA301" s="1518" t="str">
        <f>IFERROR(VLOOKUP($B301,AA$109:$AG$208,AA$107,FALSE),"")</f>
        <v/>
      </c>
      <c r="AB301" s="1518" t="str">
        <f>IFERROR(VLOOKUP($B301,AB$109:$AG$208,AB$107,FALSE),"")</f>
        <v/>
      </c>
      <c r="AC301" s="1518" t="str">
        <f>IFERROR(VLOOKUP($B301,AC$109:$AG$208,AC$107,FALSE),"")</f>
        <v/>
      </c>
      <c r="AD301" s="1518" t="str">
        <f>IFERROR(VLOOKUP($B301,AD$109:$AG$208,AD$107,FALSE),"")</f>
        <v/>
      </c>
      <c r="AE301" s="1518" t="str">
        <f>IFERROR(VLOOKUP($B301,AE$109:$AG$208,AE$107,FALSE),"")</f>
        <v/>
      </c>
      <c r="AF301" s="1518" t="str">
        <f>IFERROR(VLOOKUP($B301,AF$109:$AG$208,AF$107,FALSE),"")</f>
        <v/>
      </c>
    </row>
    <row r="302" spans="2:32" hidden="1">
      <c r="B302" s="1525">
        <f t="shared" si="20"/>
        <v>88</v>
      </c>
      <c r="F302" s="1518" t="str">
        <f>IFERROR(VLOOKUP($B302,F$109:$AG$208,F$107,FALSE),"")</f>
        <v/>
      </c>
      <c r="G302" s="1518" t="str">
        <f>IFERROR(VLOOKUP($B302,G$109:$AG$208,G$107,FALSE),"")</f>
        <v/>
      </c>
      <c r="H302" s="1518" t="str">
        <f>IFERROR(VLOOKUP($B302,H$109:$AG$208,H$107,FALSE),"")</f>
        <v/>
      </c>
      <c r="I302" s="1518" t="str">
        <f>IFERROR(VLOOKUP($B302,I$109:$AG$208,I$107,FALSE),"")</f>
        <v/>
      </c>
      <c r="J302" s="1518" t="str">
        <f>IFERROR(VLOOKUP($B302,J$109:$AG$208,J$107,FALSE),"")</f>
        <v/>
      </c>
      <c r="K302" s="1518" t="str">
        <f>IFERROR(VLOOKUP($B302,K$109:$AG$208,K$107,FALSE),"")</f>
        <v/>
      </c>
      <c r="L302" s="1518" t="str">
        <f>IFERROR(VLOOKUP($B302,L$109:$AG$208,L$107,FALSE),"")</f>
        <v/>
      </c>
      <c r="M302" s="1518" t="str">
        <f>IFERROR(VLOOKUP($B302,M$109:$AG$208,M$107,FALSE),"")</f>
        <v/>
      </c>
      <c r="N302" s="1518" t="str">
        <f>IFERROR(VLOOKUP($B302,N$109:$AG$208,N$107,FALSE),"")</f>
        <v/>
      </c>
      <c r="O302" s="1518" t="str">
        <f>IFERROR(VLOOKUP($B302,O$109:$AG$208,O$107,FALSE),"")</f>
        <v/>
      </c>
      <c r="P302" s="1518" t="str">
        <f>IFERROR(VLOOKUP($B302,P$109:$AG$208,P$107,FALSE),"")</f>
        <v/>
      </c>
      <c r="Q302" s="1518" t="str">
        <f>IFERROR(VLOOKUP($B302,Q$109:$AG$208,Q$107,FALSE),"")</f>
        <v/>
      </c>
      <c r="R302" s="1518" t="str">
        <f>IFERROR(VLOOKUP($B302,R$109:$AG$208,R$107,FALSE),"")</f>
        <v/>
      </c>
      <c r="S302" s="1518" t="str">
        <f>IFERROR(VLOOKUP($B302,S$109:$AG$208,S$107,FALSE),"")</f>
        <v/>
      </c>
      <c r="T302" s="1518" t="str">
        <f>IFERROR(VLOOKUP($B302,T$109:$AG$208,T$107,FALSE),"")</f>
        <v/>
      </c>
      <c r="U302" s="1518" t="str">
        <f>IFERROR(VLOOKUP($B302,U$109:$AG$208,U$107,FALSE),"")</f>
        <v/>
      </c>
      <c r="V302" s="1518" t="str">
        <f>IFERROR(VLOOKUP($B302,V$109:$AG$208,V$107,FALSE),"")</f>
        <v/>
      </c>
      <c r="W302" s="1518" t="str">
        <f>IFERROR(VLOOKUP($B302,W$109:$AG$208,W$107,FALSE),"")</f>
        <v/>
      </c>
      <c r="X302" s="1518" t="str">
        <f>IFERROR(VLOOKUP($B302,X$109:$AG$208,X$107,FALSE),"")</f>
        <v/>
      </c>
      <c r="Y302" s="1518" t="str">
        <f>IFERROR(VLOOKUP($B302,Y$109:$AG$208,Y$107,FALSE),"")</f>
        <v/>
      </c>
      <c r="Z302" s="1518" t="str">
        <f>IFERROR(VLOOKUP($B302,Z$109:$AG$208,Z$107,FALSE),"")</f>
        <v/>
      </c>
      <c r="AA302" s="1518" t="str">
        <f>IFERROR(VLOOKUP($B302,AA$109:$AG$208,AA$107,FALSE),"")</f>
        <v/>
      </c>
      <c r="AB302" s="1518" t="str">
        <f>IFERROR(VLOOKUP($B302,AB$109:$AG$208,AB$107,FALSE),"")</f>
        <v/>
      </c>
      <c r="AC302" s="1518" t="str">
        <f>IFERROR(VLOOKUP($B302,AC$109:$AG$208,AC$107,FALSE),"")</f>
        <v/>
      </c>
      <c r="AD302" s="1518" t="str">
        <f>IFERROR(VLOOKUP($B302,AD$109:$AG$208,AD$107,FALSE),"")</f>
        <v/>
      </c>
      <c r="AE302" s="1518" t="str">
        <f>IFERROR(VLOOKUP($B302,AE$109:$AG$208,AE$107,FALSE),"")</f>
        <v/>
      </c>
      <c r="AF302" s="1518" t="str">
        <f>IFERROR(VLOOKUP($B302,AF$109:$AG$208,AF$107,FALSE),"")</f>
        <v/>
      </c>
    </row>
    <row r="303" spans="2:32" hidden="1">
      <c r="B303" s="1525">
        <f t="shared" si="20"/>
        <v>89</v>
      </c>
      <c r="F303" s="1518" t="str">
        <f>IFERROR(VLOOKUP($B303,F$109:$AG$208,F$107,FALSE),"")</f>
        <v/>
      </c>
      <c r="G303" s="1518" t="str">
        <f>IFERROR(VLOOKUP($B303,G$109:$AG$208,G$107,FALSE),"")</f>
        <v/>
      </c>
      <c r="H303" s="1518" t="str">
        <f>IFERROR(VLOOKUP($B303,H$109:$AG$208,H$107,FALSE),"")</f>
        <v/>
      </c>
      <c r="I303" s="1518" t="str">
        <f>IFERROR(VLOOKUP($B303,I$109:$AG$208,I$107,FALSE),"")</f>
        <v/>
      </c>
      <c r="J303" s="1518" t="str">
        <f>IFERROR(VLOOKUP($B303,J$109:$AG$208,J$107,FALSE),"")</f>
        <v/>
      </c>
      <c r="K303" s="1518" t="str">
        <f>IFERROR(VLOOKUP($B303,K$109:$AG$208,K$107,FALSE),"")</f>
        <v/>
      </c>
      <c r="L303" s="1518" t="str">
        <f>IFERROR(VLOOKUP($B303,L$109:$AG$208,L$107,FALSE),"")</f>
        <v/>
      </c>
      <c r="M303" s="1518" t="str">
        <f>IFERROR(VLOOKUP($B303,M$109:$AG$208,M$107,FALSE),"")</f>
        <v/>
      </c>
      <c r="N303" s="1518" t="str">
        <f>IFERROR(VLOOKUP($B303,N$109:$AG$208,N$107,FALSE),"")</f>
        <v/>
      </c>
      <c r="O303" s="1518" t="str">
        <f>IFERROR(VLOOKUP($B303,O$109:$AG$208,O$107,FALSE),"")</f>
        <v/>
      </c>
      <c r="P303" s="1518" t="str">
        <f>IFERROR(VLOOKUP($B303,P$109:$AG$208,P$107,FALSE),"")</f>
        <v/>
      </c>
      <c r="Q303" s="1518" t="str">
        <f>IFERROR(VLOOKUP($B303,Q$109:$AG$208,Q$107,FALSE),"")</f>
        <v/>
      </c>
      <c r="R303" s="1518" t="str">
        <f>IFERROR(VLOOKUP($B303,R$109:$AG$208,R$107,FALSE),"")</f>
        <v/>
      </c>
      <c r="S303" s="1518" t="str">
        <f>IFERROR(VLOOKUP($B303,S$109:$AG$208,S$107,FALSE),"")</f>
        <v/>
      </c>
      <c r="T303" s="1518" t="str">
        <f>IFERROR(VLOOKUP($B303,T$109:$AG$208,T$107,FALSE),"")</f>
        <v/>
      </c>
      <c r="U303" s="1518" t="str">
        <f>IFERROR(VLOOKUP($B303,U$109:$AG$208,U$107,FALSE),"")</f>
        <v/>
      </c>
      <c r="V303" s="1518" t="str">
        <f>IFERROR(VLOOKUP($B303,V$109:$AG$208,V$107,FALSE),"")</f>
        <v/>
      </c>
      <c r="W303" s="1518" t="str">
        <f>IFERROR(VLOOKUP($B303,W$109:$AG$208,W$107,FALSE),"")</f>
        <v/>
      </c>
      <c r="X303" s="1518" t="str">
        <f>IFERROR(VLOOKUP($B303,X$109:$AG$208,X$107,FALSE),"")</f>
        <v/>
      </c>
      <c r="Y303" s="1518" t="str">
        <f>IFERROR(VLOOKUP($B303,Y$109:$AG$208,Y$107,FALSE),"")</f>
        <v/>
      </c>
      <c r="Z303" s="1518" t="str">
        <f>IFERROR(VLOOKUP($B303,Z$109:$AG$208,Z$107,FALSE),"")</f>
        <v/>
      </c>
      <c r="AA303" s="1518" t="str">
        <f>IFERROR(VLOOKUP($B303,AA$109:$AG$208,AA$107,FALSE),"")</f>
        <v/>
      </c>
      <c r="AB303" s="1518" t="str">
        <f>IFERROR(VLOOKUP($B303,AB$109:$AG$208,AB$107,FALSE),"")</f>
        <v/>
      </c>
      <c r="AC303" s="1518" t="str">
        <f>IFERROR(VLOOKUP($B303,AC$109:$AG$208,AC$107,FALSE),"")</f>
        <v/>
      </c>
      <c r="AD303" s="1518" t="str">
        <f>IFERROR(VLOOKUP($B303,AD$109:$AG$208,AD$107,FALSE),"")</f>
        <v/>
      </c>
      <c r="AE303" s="1518" t="str">
        <f>IFERROR(VLOOKUP($B303,AE$109:$AG$208,AE$107,FALSE),"")</f>
        <v/>
      </c>
      <c r="AF303" s="1518" t="str">
        <f>IFERROR(VLOOKUP($B303,AF$109:$AG$208,AF$107,FALSE),"")</f>
        <v/>
      </c>
    </row>
    <row r="304" spans="2:32" hidden="1">
      <c r="B304" s="1525">
        <f t="shared" si="20"/>
        <v>90</v>
      </c>
      <c r="F304" s="1518" t="str">
        <f>IFERROR(VLOOKUP($B304,F$109:$AG$208,F$107,FALSE),"")</f>
        <v/>
      </c>
      <c r="G304" s="1518" t="str">
        <f>IFERROR(VLOOKUP($B304,G$109:$AG$208,G$107,FALSE),"")</f>
        <v/>
      </c>
      <c r="H304" s="1518" t="str">
        <f>IFERROR(VLOOKUP($B304,H$109:$AG$208,H$107,FALSE),"")</f>
        <v/>
      </c>
      <c r="I304" s="1518" t="str">
        <f>IFERROR(VLOOKUP($B304,I$109:$AG$208,I$107,FALSE),"")</f>
        <v/>
      </c>
      <c r="J304" s="1518" t="str">
        <f>IFERROR(VLOOKUP($B304,J$109:$AG$208,J$107,FALSE),"")</f>
        <v/>
      </c>
      <c r="K304" s="1518" t="str">
        <f>IFERROR(VLOOKUP($B304,K$109:$AG$208,K$107,FALSE),"")</f>
        <v/>
      </c>
      <c r="L304" s="1518" t="str">
        <f>IFERROR(VLOOKUP($B304,L$109:$AG$208,L$107,FALSE),"")</f>
        <v/>
      </c>
      <c r="M304" s="1518" t="str">
        <f>IFERROR(VLOOKUP($B304,M$109:$AG$208,M$107,FALSE),"")</f>
        <v/>
      </c>
      <c r="N304" s="1518" t="str">
        <f>IFERROR(VLOOKUP($B304,N$109:$AG$208,N$107,FALSE),"")</f>
        <v/>
      </c>
      <c r="O304" s="1518" t="str">
        <f>IFERROR(VLOOKUP($B304,O$109:$AG$208,O$107,FALSE),"")</f>
        <v/>
      </c>
      <c r="P304" s="1518" t="str">
        <f>IFERROR(VLOOKUP($B304,P$109:$AG$208,P$107,FALSE),"")</f>
        <v/>
      </c>
      <c r="Q304" s="1518" t="str">
        <f>IFERROR(VLOOKUP($B304,Q$109:$AG$208,Q$107,FALSE),"")</f>
        <v/>
      </c>
      <c r="R304" s="1518" t="str">
        <f>IFERROR(VLOOKUP($B304,R$109:$AG$208,R$107,FALSE),"")</f>
        <v/>
      </c>
      <c r="S304" s="1518" t="str">
        <f>IFERROR(VLOOKUP($B304,S$109:$AG$208,S$107,FALSE),"")</f>
        <v/>
      </c>
      <c r="T304" s="1518" t="str">
        <f>IFERROR(VLOOKUP($B304,T$109:$AG$208,T$107,FALSE),"")</f>
        <v/>
      </c>
      <c r="U304" s="1518" t="str">
        <f>IFERROR(VLOOKUP($B304,U$109:$AG$208,U$107,FALSE),"")</f>
        <v/>
      </c>
      <c r="V304" s="1518" t="str">
        <f>IFERROR(VLOOKUP($B304,V$109:$AG$208,V$107,FALSE),"")</f>
        <v/>
      </c>
      <c r="W304" s="1518" t="str">
        <f>IFERROR(VLOOKUP($B304,W$109:$AG$208,W$107,FALSE),"")</f>
        <v/>
      </c>
      <c r="X304" s="1518" t="str">
        <f>IFERROR(VLOOKUP($B304,X$109:$AG$208,X$107,FALSE),"")</f>
        <v/>
      </c>
      <c r="Y304" s="1518" t="str">
        <f>IFERROR(VLOOKUP($B304,Y$109:$AG$208,Y$107,FALSE),"")</f>
        <v/>
      </c>
      <c r="Z304" s="1518" t="str">
        <f>IFERROR(VLOOKUP($B304,Z$109:$AG$208,Z$107,FALSE),"")</f>
        <v/>
      </c>
      <c r="AA304" s="1518" t="str">
        <f>IFERROR(VLOOKUP($B304,AA$109:$AG$208,AA$107,FALSE),"")</f>
        <v/>
      </c>
      <c r="AB304" s="1518" t="str">
        <f>IFERROR(VLOOKUP($B304,AB$109:$AG$208,AB$107,FALSE),"")</f>
        <v/>
      </c>
      <c r="AC304" s="1518" t="str">
        <f>IFERROR(VLOOKUP($B304,AC$109:$AG$208,AC$107,FALSE),"")</f>
        <v/>
      </c>
      <c r="AD304" s="1518" t="str">
        <f>IFERROR(VLOOKUP($B304,AD$109:$AG$208,AD$107,FALSE),"")</f>
        <v/>
      </c>
      <c r="AE304" s="1518" t="str">
        <f>IFERROR(VLOOKUP($B304,AE$109:$AG$208,AE$107,FALSE),"")</f>
        <v/>
      </c>
      <c r="AF304" s="1518" t="str">
        <f>IFERROR(VLOOKUP($B304,AF$109:$AG$208,AF$107,FALSE),"")</f>
        <v/>
      </c>
    </row>
    <row r="305" spans="2:32" hidden="1">
      <c r="B305" s="1525">
        <f t="shared" si="20"/>
        <v>91</v>
      </c>
      <c r="F305" s="1518" t="str">
        <f>IFERROR(VLOOKUP($B305,F$109:$AG$208,F$107,FALSE),"")</f>
        <v/>
      </c>
      <c r="G305" s="1518" t="str">
        <f>IFERROR(VLOOKUP($B305,G$109:$AG$208,G$107,FALSE),"")</f>
        <v/>
      </c>
      <c r="H305" s="1518" t="str">
        <f>IFERROR(VLOOKUP($B305,H$109:$AG$208,H$107,FALSE),"")</f>
        <v/>
      </c>
      <c r="I305" s="1518" t="str">
        <f>IFERROR(VLOOKUP($B305,I$109:$AG$208,I$107,FALSE),"")</f>
        <v/>
      </c>
      <c r="J305" s="1518" t="str">
        <f>IFERROR(VLOOKUP($B305,J$109:$AG$208,J$107,FALSE),"")</f>
        <v/>
      </c>
      <c r="K305" s="1518" t="str">
        <f>IFERROR(VLOOKUP($B305,K$109:$AG$208,K$107,FALSE),"")</f>
        <v/>
      </c>
      <c r="L305" s="1518" t="str">
        <f>IFERROR(VLOOKUP($B305,L$109:$AG$208,L$107,FALSE),"")</f>
        <v/>
      </c>
      <c r="M305" s="1518" t="str">
        <f>IFERROR(VLOOKUP($B305,M$109:$AG$208,M$107,FALSE),"")</f>
        <v/>
      </c>
      <c r="N305" s="1518" t="str">
        <f>IFERROR(VLOOKUP($B305,N$109:$AG$208,N$107,FALSE),"")</f>
        <v/>
      </c>
      <c r="O305" s="1518" t="str">
        <f>IFERROR(VLOOKUP($B305,O$109:$AG$208,O$107,FALSE),"")</f>
        <v/>
      </c>
      <c r="P305" s="1518" t="str">
        <f>IFERROR(VLOOKUP($B305,P$109:$AG$208,P$107,FALSE),"")</f>
        <v/>
      </c>
      <c r="Q305" s="1518" t="str">
        <f>IFERROR(VLOOKUP($B305,Q$109:$AG$208,Q$107,FALSE),"")</f>
        <v/>
      </c>
      <c r="R305" s="1518" t="str">
        <f>IFERROR(VLOOKUP($B305,R$109:$AG$208,R$107,FALSE),"")</f>
        <v/>
      </c>
      <c r="S305" s="1518" t="str">
        <f>IFERROR(VLOOKUP($B305,S$109:$AG$208,S$107,FALSE),"")</f>
        <v/>
      </c>
      <c r="T305" s="1518" t="str">
        <f>IFERROR(VLOOKUP($B305,T$109:$AG$208,T$107,FALSE),"")</f>
        <v/>
      </c>
      <c r="U305" s="1518" t="str">
        <f>IFERROR(VLOOKUP($B305,U$109:$AG$208,U$107,FALSE),"")</f>
        <v/>
      </c>
      <c r="V305" s="1518" t="str">
        <f>IFERROR(VLOOKUP($B305,V$109:$AG$208,V$107,FALSE),"")</f>
        <v/>
      </c>
      <c r="W305" s="1518" t="str">
        <f>IFERROR(VLOOKUP($B305,W$109:$AG$208,W$107,FALSE),"")</f>
        <v/>
      </c>
      <c r="X305" s="1518" t="str">
        <f>IFERROR(VLOOKUP($B305,X$109:$AG$208,X$107,FALSE),"")</f>
        <v/>
      </c>
      <c r="Y305" s="1518" t="str">
        <f>IFERROR(VLOOKUP($B305,Y$109:$AG$208,Y$107,FALSE),"")</f>
        <v/>
      </c>
      <c r="Z305" s="1518" t="str">
        <f>IFERROR(VLOOKUP($B305,Z$109:$AG$208,Z$107,FALSE),"")</f>
        <v/>
      </c>
      <c r="AA305" s="1518" t="str">
        <f>IFERROR(VLOOKUP($B305,AA$109:$AG$208,AA$107,FALSE),"")</f>
        <v/>
      </c>
      <c r="AB305" s="1518" t="str">
        <f>IFERROR(VLOOKUP($B305,AB$109:$AG$208,AB$107,FALSE),"")</f>
        <v/>
      </c>
      <c r="AC305" s="1518" t="str">
        <f>IFERROR(VLOOKUP($B305,AC$109:$AG$208,AC$107,FALSE),"")</f>
        <v/>
      </c>
      <c r="AD305" s="1518" t="str">
        <f>IFERROR(VLOOKUP($B305,AD$109:$AG$208,AD$107,FALSE),"")</f>
        <v/>
      </c>
      <c r="AE305" s="1518" t="str">
        <f>IFERROR(VLOOKUP($B305,AE$109:$AG$208,AE$107,FALSE),"")</f>
        <v/>
      </c>
      <c r="AF305" s="1518" t="str">
        <f>IFERROR(VLOOKUP($B305,AF$109:$AG$208,AF$107,FALSE),"")</f>
        <v/>
      </c>
    </row>
    <row r="306" spans="2:32" hidden="1">
      <c r="B306" s="1525">
        <f t="shared" si="20"/>
        <v>92</v>
      </c>
      <c r="F306" s="1518" t="str">
        <f>IFERROR(VLOOKUP($B306,F$109:$AG$208,F$107,FALSE),"")</f>
        <v/>
      </c>
      <c r="G306" s="1518" t="str">
        <f>IFERROR(VLOOKUP($B306,G$109:$AG$208,G$107,FALSE),"")</f>
        <v/>
      </c>
      <c r="H306" s="1518" t="str">
        <f>IFERROR(VLOOKUP($B306,H$109:$AG$208,H$107,FALSE),"")</f>
        <v/>
      </c>
      <c r="I306" s="1518" t="str">
        <f>IFERROR(VLOOKUP($B306,I$109:$AG$208,I$107,FALSE),"")</f>
        <v/>
      </c>
      <c r="J306" s="1518" t="str">
        <f>IFERROR(VLOOKUP($B306,J$109:$AG$208,J$107,FALSE),"")</f>
        <v/>
      </c>
      <c r="K306" s="1518" t="str">
        <f>IFERROR(VLOOKUP($B306,K$109:$AG$208,K$107,FALSE),"")</f>
        <v/>
      </c>
      <c r="L306" s="1518" t="str">
        <f>IFERROR(VLOOKUP($B306,L$109:$AG$208,L$107,FALSE),"")</f>
        <v/>
      </c>
      <c r="M306" s="1518" t="str">
        <f>IFERROR(VLOOKUP($B306,M$109:$AG$208,M$107,FALSE),"")</f>
        <v/>
      </c>
      <c r="N306" s="1518" t="str">
        <f>IFERROR(VLOOKUP($B306,N$109:$AG$208,N$107,FALSE),"")</f>
        <v/>
      </c>
      <c r="O306" s="1518" t="str">
        <f>IFERROR(VLOOKUP($B306,O$109:$AG$208,O$107,FALSE),"")</f>
        <v/>
      </c>
      <c r="P306" s="1518" t="str">
        <f>IFERROR(VLOOKUP($B306,P$109:$AG$208,P$107,FALSE),"")</f>
        <v/>
      </c>
      <c r="Q306" s="1518" t="str">
        <f>IFERROR(VLOOKUP($B306,Q$109:$AG$208,Q$107,FALSE),"")</f>
        <v/>
      </c>
      <c r="R306" s="1518" t="str">
        <f>IFERROR(VLOOKUP($B306,R$109:$AG$208,R$107,FALSE),"")</f>
        <v/>
      </c>
      <c r="S306" s="1518" t="str">
        <f>IFERROR(VLOOKUP($B306,S$109:$AG$208,S$107,FALSE),"")</f>
        <v/>
      </c>
      <c r="T306" s="1518" t="str">
        <f>IFERROR(VLOOKUP($B306,T$109:$AG$208,T$107,FALSE),"")</f>
        <v/>
      </c>
      <c r="U306" s="1518" t="str">
        <f>IFERROR(VLOOKUP($B306,U$109:$AG$208,U$107,FALSE),"")</f>
        <v/>
      </c>
      <c r="V306" s="1518" t="str">
        <f>IFERROR(VLOOKUP($B306,V$109:$AG$208,V$107,FALSE),"")</f>
        <v/>
      </c>
      <c r="W306" s="1518" t="str">
        <f>IFERROR(VLOOKUP($B306,W$109:$AG$208,W$107,FALSE),"")</f>
        <v/>
      </c>
      <c r="X306" s="1518" t="str">
        <f>IFERROR(VLOOKUP($B306,X$109:$AG$208,X$107,FALSE),"")</f>
        <v/>
      </c>
      <c r="Y306" s="1518" t="str">
        <f>IFERROR(VLOOKUP($B306,Y$109:$AG$208,Y$107,FALSE),"")</f>
        <v/>
      </c>
      <c r="Z306" s="1518" t="str">
        <f>IFERROR(VLOOKUP($B306,Z$109:$AG$208,Z$107,FALSE),"")</f>
        <v/>
      </c>
      <c r="AA306" s="1518" t="str">
        <f>IFERROR(VLOOKUP($B306,AA$109:$AG$208,AA$107,FALSE),"")</f>
        <v/>
      </c>
      <c r="AB306" s="1518" t="str">
        <f>IFERROR(VLOOKUP($B306,AB$109:$AG$208,AB$107,FALSE),"")</f>
        <v/>
      </c>
      <c r="AC306" s="1518" t="str">
        <f>IFERROR(VLOOKUP($B306,AC$109:$AG$208,AC$107,FALSE),"")</f>
        <v/>
      </c>
      <c r="AD306" s="1518" t="str">
        <f>IFERROR(VLOOKUP($B306,AD$109:$AG$208,AD$107,FALSE),"")</f>
        <v/>
      </c>
      <c r="AE306" s="1518" t="str">
        <f>IFERROR(VLOOKUP($B306,AE$109:$AG$208,AE$107,FALSE),"")</f>
        <v/>
      </c>
      <c r="AF306" s="1518" t="str">
        <f>IFERROR(VLOOKUP($B306,AF$109:$AG$208,AF$107,FALSE),"")</f>
        <v/>
      </c>
    </row>
    <row r="307" spans="2:32" hidden="1">
      <c r="B307" s="1525">
        <f t="shared" si="20"/>
        <v>93</v>
      </c>
      <c r="F307" s="1518" t="str">
        <f>IFERROR(VLOOKUP($B307,F$109:$AG$208,F$107,FALSE),"")</f>
        <v/>
      </c>
      <c r="G307" s="1518" t="str">
        <f>IFERROR(VLOOKUP($B307,G$109:$AG$208,G$107,FALSE),"")</f>
        <v/>
      </c>
      <c r="H307" s="1518" t="str">
        <f>IFERROR(VLOOKUP($B307,H$109:$AG$208,H$107,FALSE),"")</f>
        <v/>
      </c>
      <c r="I307" s="1518" t="str">
        <f>IFERROR(VLOOKUP($B307,I$109:$AG$208,I$107,FALSE),"")</f>
        <v/>
      </c>
      <c r="J307" s="1518" t="str">
        <f>IFERROR(VLOOKUP($B307,J$109:$AG$208,J$107,FALSE),"")</f>
        <v/>
      </c>
      <c r="K307" s="1518" t="str">
        <f>IFERROR(VLOOKUP($B307,K$109:$AG$208,K$107,FALSE),"")</f>
        <v/>
      </c>
      <c r="L307" s="1518" t="str">
        <f>IFERROR(VLOOKUP($B307,L$109:$AG$208,L$107,FALSE),"")</f>
        <v/>
      </c>
      <c r="M307" s="1518" t="str">
        <f>IFERROR(VLOOKUP($B307,M$109:$AG$208,M$107,FALSE),"")</f>
        <v/>
      </c>
      <c r="N307" s="1518" t="str">
        <f>IFERROR(VLOOKUP($B307,N$109:$AG$208,N$107,FALSE),"")</f>
        <v/>
      </c>
      <c r="O307" s="1518" t="str">
        <f>IFERROR(VLOOKUP($B307,O$109:$AG$208,O$107,FALSE),"")</f>
        <v/>
      </c>
      <c r="P307" s="1518" t="str">
        <f>IFERROR(VLOOKUP($B307,P$109:$AG$208,P$107,FALSE),"")</f>
        <v/>
      </c>
      <c r="Q307" s="1518" t="str">
        <f>IFERROR(VLOOKUP($B307,Q$109:$AG$208,Q$107,FALSE),"")</f>
        <v/>
      </c>
      <c r="R307" s="1518" t="str">
        <f>IFERROR(VLOOKUP($B307,R$109:$AG$208,R$107,FALSE),"")</f>
        <v/>
      </c>
      <c r="S307" s="1518" t="str">
        <f>IFERROR(VLOOKUP($B307,S$109:$AG$208,S$107,FALSE),"")</f>
        <v/>
      </c>
      <c r="T307" s="1518" t="str">
        <f>IFERROR(VLOOKUP($B307,T$109:$AG$208,T$107,FALSE),"")</f>
        <v/>
      </c>
      <c r="U307" s="1518" t="str">
        <f>IFERROR(VLOOKUP($B307,U$109:$AG$208,U$107,FALSE),"")</f>
        <v/>
      </c>
      <c r="V307" s="1518" t="str">
        <f>IFERROR(VLOOKUP($B307,V$109:$AG$208,V$107,FALSE),"")</f>
        <v/>
      </c>
      <c r="W307" s="1518" t="str">
        <f>IFERROR(VLOOKUP($B307,W$109:$AG$208,W$107,FALSE),"")</f>
        <v/>
      </c>
      <c r="X307" s="1518" t="str">
        <f>IFERROR(VLOOKUP($B307,X$109:$AG$208,X$107,FALSE),"")</f>
        <v/>
      </c>
      <c r="Y307" s="1518" t="str">
        <f>IFERROR(VLOOKUP($B307,Y$109:$AG$208,Y$107,FALSE),"")</f>
        <v/>
      </c>
      <c r="Z307" s="1518" t="str">
        <f>IFERROR(VLOOKUP($B307,Z$109:$AG$208,Z$107,FALSE),"")</f>
        <v/>
      </c>
      <c r="AA307" s="1518" t="str">
        <f>IFERROR(VLOOKUP($B307,AA$109:$AG$208,AA$107,FALSE),"")</f>
        <v/>
      </c>
      <c r="AB307" s="1518" t="str">
        <f>IFERROR(VLOOKUP($B307,AB$109:$AG$208,AB$107,FALSE),"")</f>
        <v/>
      </c>
      <c r="AC307" s="1518" t="str">
        <f>IFERROR(VLOOKUP($B307,AC$109:$AG$208,AC$107,FALSE),"")</f>
        <v/>
      </c>
      <c r="AD307" s="1518" t="str">
        <f>IFERROR(VLOOKUP($B307,AD$109:$AG$208,AD$107,FALSE),"")</f>
        <v/>
      </c>
      <c r="AE307" s="1518" t="str">
        <f>IFERROR(VLOOKUP($B307,AE$109:$AG$208,AE$107,FALSE),"")</f>
        <v/>
      </c>
      <c r="AF307" s="1518" t="str">
        <f>IFERROR(VLOOKUP($B307,AF$109:$AG$208,AF$107,FALSE),"")</f>
        <v/>
      </c>
    </row>
    <row r="308" spans="2:32" hidden="1">
      <c r="B308" s="1525">
        <f t="shared" si="20"/>
        <v>94</v>
      </c>
      <c r="F308" s="1518" t="str">
        <f>IFERROR(VLOOKUP($B308,F$109:$AG$208,F$107,FALSE),"")</f>
        <v/>
      </c>
      <c r="G308" s="1518" t="str">
        <f>IFERROR(VLOOKUP($B308,G$109:$AG$208,G$107,FALSE),"")</f>
        <v/>
      </c>
      <c r="H308" s="1518" t="str">
        <f>IFERROR(VLOOKUP($B308,H$109:$AG$208,H$107,FALSE),"")</f>
        <v/>
      </c>
      <c r="I308" s="1518" t="str">
        <f>IFERROR(VLOOKUP($B308,I$109:$AG$208,I$107,FALSE),"")</f>
        <v/>
      </c>
      <c r="J308" s="1518" t="str">
        <f>IFERROR(VLOOKUP($B308,J$109:$AG$208,J$107,FALSE),"")</f>
        <v/>
      </c>
      <c r="K308" s="1518" t="str">
        <f>IFERROR(VLOOKUP($B308,K$109:$AG$208,K$107,FALSE),"")</f>
        <v/>
      </c>
      <c r="L308" s="1518" t="str">
        <f>IFERROR(VLOOKUP($B308,L$109:$AG$208,L$107,FALSE),"")</f>
        <v/>
      </c>
      <c r="M308" s="1518" t="str">
        <f>IFERROR(VLOOKUP($B308,M$109:$AG$208,M$107,FALSE),"")</f>
        <v/>
      </c>
      <c r="N308" s="1518" t="str">
        <f>IFERROR(VLOOKUP($B308,N$109:$AG$208,N$107,FALSE),"")</f>
        <v/>
      </c>
      <c r="O308" s="1518" t="str">
        <f>IFERROR(VLOOKUP($B308,O$109:$AG$208,O$107,FALSE),"")</f>
        <v/>
      </c>
      <c r="P308" s="1518" t="str">
        <f>IFERROR(VLOOKUP($B308,P$109:$AG$208,P$107,FALSE),"")</f>
        <v/>
      </c>
      <c r="Q308" s="1518" t="str">
        <f>IFERROR(VLOOKUP($B308,Q$109:$AG$208,Q$107,FALSE),"")</f>
        <v/>
      </c>
      <c r="R308" s="1518" t="str">
        <f>IFERROR(VLOOKUP($B308,R$109:$AG$208,R$107,FALSE),"")</f>
        <v/>
      </c>
      <c r="S308" s="1518" t="str">
        <f>IFERROR(VLOOKUP($B308,S$109:$AG$208,S$107,FALSE),"")</f>
        <v/>
      </c>
      <c r="T308" s="1518" t="str">
        <f>IFERROR(VLOOKUP($B308,T$109:$AG$208,T$107,FALSE),"")</f>
        <v/>
      </c>
      <c r="U308" s="1518" t="str">
        <f>IFERROR(VLOOKUP($B308,U$109:$AG$208,U$107,FALSE),"")</f>
        <v/>
      </c>
      <c r="V308" s="1518" t="str">
        <f>IFERROR(VLOOKUP($B308,V$109:$AG$208,V$107,FALSE),"")</f>
        <v/>
      </c>
      <c r="W308" s="1518" t="str">
        <f>IFERROR(VLOOKUP($B308,W$109:$AG$208,W$107,FALSE),"")</f>
        <v/>
      </c>
      <c r="X308" s="1518" t="str">
        <f>IFERROR(VLOOKUP($B308,X$109:$AG$208,X$107,FALSE),"")</f>
        <v/>
      </c>
      <c r="Y308" s="1518" t="str">
        <f>IFERROR(VLOOKUP($B308,Y$109:$AG$208,Y$107,FALSE),"")</f>
        <v/>
      </c>
      <c r="Z308" s="1518" t="str">
        <f>IFERROR(VLOOKUP($B308,Z$109:$AG$208,Z$107,FALSE),"")</f>
        <v/>
      </c>
      <c r="AA308" s="1518" t="str">
        <f>IFERROR(VLOOKUP($B308,AA$109:$AG$208,AA$107,FALSE),"")</f>
        <v/>
      </c>
      <c r="AB308" s="1518" t="str">
        <f>IFERROR(VLOOKUP($B308,AB$109:$AG$208,AB$107,FALSE),"")</f>
        <v/>
      </c>
      <c r="AC308" s="1518" t="str">
        <f>IFERROR(VLOOKUP($B308,AC$109:$AG$208,AC$107,FALSE),"")</f>
        <v/>
      </c>
      <c r="AD308" s="1518" t="str">
        <f>IFERROR(VLOOKUP($B308,AD$109:$AG$208,AD$107,FALSE),"")</f>
        <v/>
      </c>
      <c r="AE308" s="1518" t="str">
        <f>IFERROR(VLOOKUP($B308,AE$109:$AG$208,AE$107,FALSE),"")</f>
        <v/>
      </c>
      <c r="AF308" s="1518" t="str">
        <f>IFERROR(VLOOKUP($B308,AF$109:$AG$208,AF$107,FALSE),"")</f>
        <v/>
      </c>
    </row>
    <row r="309" spans="2:32" hidden="1">
      <c r="B309" s="1525">
        <f t="shared" si="20"/>
        <v>95</v>
      </c>
      <c r="F309" s="1518" t="str">
        <f>IFERROR(VLOOKUP($B309,F$109:$AG$208,F$107,FALSE),"")</f>
        <v/>
      </c>
      <c r="G309" s="1518" t="str">
        <f>IFERROR(VLOOKUP($B309,G$109:$AG$208,G$107,FALSE),"")</f>
        <v/>
      </c>
      <c r="H309" s="1518" t="str">
        <f>IFERROR(VLOOKUP($B309,H$109:$AG$208,H$107,FALSE),"")</f>
        <v/>
      </c>
      <c r="I309" s="1518" t="str">
        <f>IFERROR(VLOOKUP($B309,I$109:$AG$208,I$107,FALSE),"")</f>
        <v/>
      </c>
      <c r="J309" s="1518" t="str">
        <f>IFERROR(VLOOKUP($B309,J$109:$AG$208,J$107,FALSE),"")</f>
        <v/>
      </c>
      <c r="K309" s="1518" t="str">
        <f>IFERROR(VLOOKUP($B309,K$109:$AG$208,K$107,FALSE),"")</f>
        <v/>
      </c>
      <c r="L309" s="1518" t="str">
        <f>IFERROR(VLOOKUP($B309,L$109:$AG$208,L$107,FALSE),"")</f>
        <v/>
      </c>
      <c r="M309" s="1518" t="str">
        <f>IFERROR(VLOOKUP($B309,M$109:$AG$208,M$107,FALSE),"")</f>
        <v/>
      </c>
      <c r="N309" s="1518" t="str">
        <f>IFERROR(VLOOKUP($B309,N$109:$AG$208,N$107,FALSE),"")</f>
        <v/>
      </c>
      <c r="O309" s="1518" t="str">
        <f>IFERROR(VLOOKUP($B309,O$109:$AG$208,O$107,FALSE),"")</f>
        <v/>
      </c>
      <c r="P309" s="1518" t="str">
        <f>IFERROR(VLOOKUP($B309,P$109:$AG$208,P$107,FALSE),"")</f>
        <v/>
      </c>
      <c r="Q309" s="1518" t="str">
        <f>IFERROR(VLOOKUP($B309,Q$109:$AG$208,Q$107,FALSE),"")</f>
        <v/>
      </c>
      <c r="R309" s="1518" t="str">
        <f>IFERROR(VLOOKUP($B309,R$109:$AG$208,R$107,FALSE),"")</f>
        <v/>
      </c>
      <c r="S309" s="1518" t="str">
        <f>IFERROR(VLOOKUP($B309,S$109:$AG$208,S$107,FALSE),"")</f>
        <v/>
      </c>
      <c r="T309" s="1518" t="str">
        <f>IFERROR(VLOOKUP($B309,T$109:$AG$208,T$107,FALSE),"")</f>
        <v/>
      </c>
      <c r="U309" s="1518" t="str">
        <f>IFERROR(VLOOKUP($B309,U$109:$AG$208,U$107,FALSE),"")</f>
        <v/>
      </c>
      <c r="V309" s="1518" t="str">
        <f>IFERROR(VLOOKUP($B309,V$109:$AG$208,V$107,FALSE),"")</f>
        <v/>
      </c>
      <c r="W309" s="1518" t="str">
        <f>IFERROR(VLOOKUP($B309,W$109:$AG$208,W$107,FALSE),"")</f>
        <v/>
      </c>
      <c r="X309" s="1518" t="str">
        <f>IFERROR(VLOOKUP($B309,X$109:$AG$208,X$107,FALSE),"")</f>
        <v/>
      </c>
      <c r="Y309" s="1518" t="str">
        <f>IFERROR(VLOOKUP($B309,Y$109:$AG$208,Y$107,FALSE),"")</f>
        <v/>
      </c>
      <c r="Z309" s="1518" t="str">
        <f>IFERROR(VLOOKUP($B309,Z$109:$AG$208,Z$107,FALSE),"")</f>
        <v/>
      </c>
      <c r="AA309" s="1518" t="str">
        <f>IFERROR(VLOOKUP($B309,AA$109:$AG$208,AA$107,FALSE),"")</f>
        <v/>
      </c>
      <c r="AB309" s="1518" t="str">
        <f>IFERROR(VLOOKUP($B309,AB$109:$AG$208,AB$107,FALSE),"")</f>
        <v/>
      </c>
      <c r="AC309" s="1518" t="str">
        <f>IFERROR(VLOOKUP($B309,AC$109:$AG$208,AC$107,FALSE),"")</f>
        <v/>
      </c>
      <c r="AD309" s="1518" t="str">
        <f>IFERROR(VLOOKUP($B309,AD$109:$AG$208,AD$107,FALSE),"")</f>
        <v/>
      </c>
      <c r="AE309" s="1518" t="str">
        <f>IFERROR(VLOOKUP($B309,AE$109:$AG$208,AE$107,FALSE),"")</f>
        <v/>
      </c>
      <c r="AF309" s="1518" t="str">
        <f>IFERROR(VLOOKUP($B309,AF$109:$AG$208,AF$107,FALSE),"")</f>
        <v/>
      </c>
    </row>
    <row r="310" spans="2:32" hidden="1">
      <c r="B310" s="1525">
        <f t="shared" si="20"/>
        <v>96</v>
      </c>
      <c r="F310" s="1518" t="str">
        <f>IFERROR(VLOOKUP($B310,F$109:$AG$208,F$107,FALSE),"")</f>
        <v/>
      </c>
      <c r="G310" s="1518" t="str">
        <f>IFERROR(VLOOKUP($B310,G$109:$AG$208,G$107,FALSE),"")</f>
        <v/>
      </c>
      <c r="H310" s="1518" t="str">
        <f>IFERROR(VLOOKUP($B310,H$109:$AG$208,H$107,FALSE),"")</f>
        <v/>
      </c>
      <c r="I310" s="1518" t="str">
        <f>IFERROR(VLOOKUP($B310,I$109:$AG$208,I$107,FALSE),"")</f>
        <v/>
      </c>
      <c r="J310" s="1518" t="str">
        <f>IFERROR(VLOOKUP($B310,J$109:$AG$208,J$107,FALSE),"")</f>
        <v/>
      </c>
      <c r="K310" s="1518" t="str">
        <f>IFERROR(VLOOKUP($B310,K$109:$AG$208,K$107,FALSE),"")</f>
        <v/>
      </c>
      <c r="L310" s="1518" t="str">
        <f>IFERROR(VLOOKUP($B310,L$109:$AG$208,L$107,FALSE),"")</f>
        <v/>
      </c>
      <c r="M310" s="1518" t="str">
        <f>IFERROR(VLOOKUP($B310,M$109:$AG$208,M$107,FALSE),"")</f>
        <v/>
      </c>
      <c r="N310" s="1518" t="str">
        <f>IFERROR(VLOOKUP($B310,N$109:$AG$208,N$107,FALSE),"")</f>
        <v/>
      </c>
      <c r="O310" s="1518" t="str">
        <f>IFERROR(VLOOKUP($B310,O$109:$AG$208,O$107,FALSE),"")</f>
        <v/>
      </c>
      <c r="P310" s="1518" t="str">
        <f>IFERROR(VLOOKUP($B310,P$109:$AG$208,P$107,FALSE),"")</f>
        <v/>
      </c>
      <c r="Q310" s="1518" t="str">
        <f>IFERROR(VLOOKUP($B310,Q$109:$AG$208,Q$107,FALSE),"")</f>
        <v/>
      </c>
      <c r="R310" s="1518" t="str">
        <f>IFERROR(VLOOKUP($B310,R$109:$AG$208,R$107,FALSE),"")</f>
        <v/>
      </c>
      <c r="S310" s="1518" t="str">
        <f>IFERROR(VLOOKUP($B310,S$109:$AG$208,S$107,FALSE),"")</f>
        <v/>
      </c>
      <c r="T310" s="1518" t="str">
        <f>IFERROR(VLOOKUP($B310,T$109:$AG$208,T$107,FALSE),"")</f>
        <v/>
      </c>
      <c r="U310" s="1518" t="str">
        <f>IFERROR(VLOOKUP($B310,U$109:$AG$208,U$107,FALSE),"")</f>
        <v/>
      </c>
      <c r="V310" s="1518" t="str">
        <f>IFERROR(VLOOKUP($B310,V$109:$AG$208,V$107,FALSE),"")</f>
        <v/>
      </c>
      <c r="W310" s="1518" t="str">
        <f>IFERROR(VLOOKUP($B310,W$109:$AG$208,W$107,FALSE),"")</f>
        <v/>
      </c>
      <c r="X310" s="1518" t="str">
        <f>IFERROR(VLOOKUP($B310,X$109:$AG$208,X$107,FALSE),"")</f>
        <v/>
      </c>
      <c r="Y310" s="1518" t="str">
        <f>IFERROR(VLOOKUP($B310,Y$109:$AG$208,Y$107,FALSE),"")</f>
        <v/>
      </c>
      <c r="Z310" s="1518" t="str">
        <f>IFERROR(VLOOKUP($B310,Z$109:$AG$208,Z$107,FALSE),"")</f>
        <v/>
      </c>
      <c r="AA310" s="1518" t="str">
        <f>IFERROR(VLOOKUP($B310,AA$109:$AG$208,AA$107,FALSE),"")</f>
        <v/>
      </c>
      <c r="AB310" s="1518" t="str">
        <f>IFERROR(VLOOKUP($B310,AB$109:$AG$208,AB$107,FALSE),"")</f>
        <v/>
      </c>
      <c r="AC310" s="1518" t="str">
        <f>IFERROR(VLOOKUP($B310,AC$109:$AG$208,AC$107,FALSE),"")</f>
        <v/>
      </c>
      <c r="AD310" s="1518" t="str">
        <f>IFERROR(VLOOKUP($B310,AD$109:$AG$208,AD$107,FALSE),"")</f>
        <v/>
      </c>
      <c r="AE310" s="1518" t="str">
        <f>IFERROR(VLOOKUP($B310,AE$109:$AG$208,AE$107,FALSE),"")</f>
        <v/>
      </c>
      <c r="AF310" s="1518" t="str">
        <f>IFERROR(VLOOKUP($B310,AF$109:$AG$208,AF$107,FALSE),"")</f>
        <v/>
      </c>
    </row>
    <row r="311" spans="2:32" hidden="1">
      <c r="B311" s="1525">
        <f t="shared" si="20"/>
        <v>97</v>
      </c>
      <c r="F311" s="1518" t="str">
        <f>IFERROR(VLOOKUP($B311,F$109:$AG$208,F$107,FALSE),"")</f>
        <v/>
      </c>
      <c r="G311" s="1518" t="str">
        <f>IFERROR(VLOOKUP($B311,G$109:$AG$208,G$107,FALSE),"")</f>
        <v/>
      </c>
      <c r="H311" s="1518" t="str">
        <f>IFERROR(VLOOKUP($B311,H$109:$AG$208,H$107,FALSE),"")</f>
        <v/>
      </c>
      <c r="I311" s="1518" t="str">
        <f>IFERROR(VLOOKUP($B311,I$109:$AG$208,I$107,FALSE),"")</f>
        <v/>
      </c>
      <c r="J311" s="1518" t="str">
        <f>IFERROR(VLOOKUP($B311,J$109:$AG$208,J$107,FALSE),"")</f>
        <v/>
      </c>
      <c r="K311" s="1518" t="str">
        <f>IFERROR(VLOOKUP($B311,K$109:$AG$208,K$107,FALSE),"")</f>
        <v/>
      </c>
      <c r="L311" s="1518" t="str">
        <f>IFERROR(VLOOKUP($B311,L$109:$AG$208,L$107,FALSE),"")</f>
        <v/>
      </c>
      <c r="M311" s="1518" t="str">
        <f>IFERROR(VLOOKUP($B311,M$109:$AG$208,M$107,FALSE),"")</f>
        <v/>
      </c>
      <c r="N311" s="1518" t="str">
        <f>IFERROR(VLOOKUP($B311,N$109:$AG$208,N$107,FALSE),"")</f>
        <v/>
      </c>
      <c r="O311" s="1518" t="str">
        <f>IFERROR(VLOOKUP($B311,O$109:$AG$208,O$107,FALSE),"")</f>
        <v/>
      </c>
      <c r="P311" s="1518" t="str">
        <f>IFERROR(VLOOKUP($B311,P$109:$AG$208,P$107,FALSE),"")</f>
        <v/>
      </c>
      <c r="Q311" s="1518" t="str">
        <f>IFERROR(VLOOKUP($B311,Q$109:$AG$208,Q$107,FALSE),"")</f>
        <v/>
      </c>
      <c r="R311" s="1518" t="str">
        <f>IFERROR(VLOOKUP($B311,R$109:$AG$208,R$107,FALSE),"")</f>
        <v/>
      </c>
      <c r="S311" s="1518" t="str">
        <f>IFERROR(VLOOKUP($B311,S$109:$AG$208,S$107,FALSE),"")</f>
        <v/>
      </c>
      <c r="T311" s="1518" t="str">
        <f>IFERROR(VLOOKUP($B311,T$109:$AG$208,T$107,FALSE),"")</f>
        <v/>
      </c>
      <c r="U311" s="1518" t="str">
        <f>IFERROR(VLOOKUP($B311,U$109:$AG$208,U$107,FALSE),"")</f>
        <v/>
      </c>
      <c r="V311" s="1518" t="str">
        <f>IFERROR(VLOOKUP($B311,V$109:$AG$208,V$107,FALSE),"")</f>
        <v/>
      </c>
      <c r="W311" s="1518" t="str">
        <f>IFERROR(VLOOKUP($B311,W$109:$AG$208,W$107,FALSE),"")</f>
        <v/>
      </c>
      <c r="X311" s="1518" t="str">
        <f>IFERROR(VLOOKUP($B311,X$109:$AG$208,X$107,FALSE),"")</f>
        <v/>
      </c>
      <c r="Y311" s="1518" t="str">
        <f>IFERROR(VLOOKUP($B311,Y$109:$AG$208,Y$107,FALSE),"")</f>
        <v/>
      </c>
      <c r="Z311" s="1518" t="str">
        <f>IFERROR(VLOOKUP($B311,Z$109:$AG$208,Z$107,FALSE),"")</f>
        <v/>
      </c>
      <c r="AA311" s="1518" t="str">
        <f>IFERROR(VLOOKUP($B311,AA$109:$AG$208,AA$107,FALSE),"")</f>
        <v/>
      </c>
      <c r="AB311" s="1518" t="str">
        <f>IFERROR(VLOOKUP($B311,AB$109:$AG$208,AB$107,FALSE),"")</f>
        <v/>
      </c>
      <c r="AC311" s="1518" t="str">
        <f>IFERROR(VLOOKUP($B311,AC$109:$AG$208,AC$107,FALSE),"")</f>
        <v/>
      </c>
      <c r="AD311" s="1518" t="str">
        <f>IFERROR(VLOOKUP($B311,AD$109:$AG$208,AD$107,FALSE),"")</f>
        <v/>
      </c>
      <c r="AE311" s="1518" t="str">
        <f>IFERROR(VLOOKUP($B311,AE$109:$AG$208,AE$107,FALSE),"")</f>
        <v/>
      </c>
      <c r="AF311" s="1518" t="str">
        <f>IFERROR(VLOOKUP($B311,AF$109:$AG$208,AF$107,FALSE),"")</f>
        <v/>
      </c>
    </row>
    <row r="312" spans="2:32" hidden="1">
      <c r="B312" s="1525">
        <f t="shared" si="20"/>
        <v>98</v>
      </c>
      <c r="F312" s="1518" t="str">
        <f>IFERROR(VLOOKUP($B312,F$109:$AG$208,F$107,FALSE),"")</f>
        <v/>
      </c>
      <c r="G312" s="1518" t="str">
        <f>IFERROR(VLOOKUP($B312,G$109:$AG$208,G$107,FALSE),"")</f>
        <v/>
      </c>
      <c r="H312" s="1518" t="str">
        <f>IFERROR(VLOOKUP($B312,H$109:$AG$208,H$107,FALSE),"")</f>
        <v/>
      </c>
      <c r="I312" s="1518" t="str">
        <f>IFERROR(VLOOKUP($B312,I$109:$AG$208,I$107,FALSE),"")</f>
        <v/>
      </c>
      <c r="J312" s="1518" t="str">
        <f>IFERROR(VLOOKUP($B312,J$109:$AG$208,J$107,FALSE),"")</f>
        <v/>
      </c>
      <c r="K312" s="1518" t="str">
        <f>IFERROR(VLOOKUP($B312,K$109:$AG$208,K$107,FALSE),"")</f>
        <v/>
      </c>
      <c r="L312" s="1518" t="str">
        <f>IFERROR(VLOOKUP($B312,L$109:$AG$208,L$107,FALSE),"")</f>
        <v/>
      </c>
      <c r="M312" s="1518" t="str">
        <f>IFERROR(VLOOKUP($B312,M$109:$AG$208,M$107,FALSE),"")</f>
        <v/>
      </c>
      <c r="N312" s="1518" t="str">
        <f>IFERROR(VLOOKUP($B312,N$109:$AG$208,N$107,FALSE),"")</f>
        <v/>
      </c>
      <c r="O312" s="1518" t="str">
        <f>IFERROR(VLOOKUP($B312,O$109:$AG$208,O$107,FALSE),"")</f>
        <v/>
      </c>
      <c r="P312" s="1518" t="str">
        <f>IFERROR(VLOOKUP($B312,P$109:$AG$208,P$107,FALSE),"")</f>
        <v/>
      </c>
      <c r="Q312" s="1518" t="str">
        <f>IFERROR(VLOOKUP($B312,Q$109:$AG$208,Q$107,FALSE),"")</f>
        <v/>
      </c>
      <c r="R312" s="1518" t="str">
        <f>IFERROR(VLOOKUP($B312,R$109:$AG$208,R$107,FALSE),"")</f>
        <v/>
      </c>
      <c r="S312" s="1518" t="str">
        <f>IFERROR(VLOOKUP($B312,S$109:$AG$208,S$107,FALSE),"")</f>
        <v/>
      </c>
      <c r="T312" s="1518" t="str">
        <f>IFERROR(VLOOKUP($B312,T$109:$AG$208,T$107,FALSE),"")</f>
        <v/>
      </c>
      <c r="U312" s="1518" t="str">
        <f>IFERROR(VLOOKUP($B312,U$109:$AG$208,U$107,FALSE),"")</f>
        <v/>
      </c>
      <c r="V312" s="1518" t="str">
        <f>IFERROR(VLOOKUP($B312,V$109:$AG$208,V$107,FALSE),"")</f>
        <v/>
      </c>
      <c r="W312" s="1518" t="str">
        <f>IFERROR(VLOOKUP($B312,W$109:$AG$208,W$107,FALSE),"")</f>
        <v/>
      </c>
      <c r="X312" s="1518" t="str">
        <f>IFERROR(VLOOKUP($B312,X$109:$AG$208,X$107,FALSE),"")</f>
        <v/>
      </c>
      <c r="Y312" s="1518" t="str">
        <f>IFERROR(VLOOKUP($B312,Y$109:$AG$208,Y$107,FALSE),"")</f>
        <v/>
      </c>
      <c r="Z312" s="1518" t="str">
        <f>IFERROR(VLOOKUP($B312,Z$109:$AG$208,Z$107,FALSE),"")</f>
        <v/>
      </c>
      <c r="AA312" s="1518" t="str">
        <f>IFERROR(VLOOKUP($B312,AA$109:$AG$208,AA$107,FALSE),"")</f>
        <v/>
      </c>
      <c r="AB312" s="1518" t="str">
        <f>IFERROR(VLOOKUP($B312,AB$109:$AG$208,AB$107,FALSE),"")</f>
        <v/>
      </c>
      <c r="AC312" s="1518" t="str">
        <f>IFERROR(VLOOKUP($B312,AC$109:$AG$208,AC$107,FALSE),"")</f>
        <v/>
      </c>
      <c r="AD312" s="1518" t="str">
        <f>IFERROR(VLOOKUP($B312,AD$109:$AG$208,AD$107,FALSE),"")</f>
        <v/>
      </c>
      <c r="AE312" s="1518" t="str">
        <f>IFERROR(VLOOKUP($B312,AE$109:$AG$208,AE$107,FALSE),"")</f>
        <v/>
      </c>
      <c r="AF312" s="1518" t="str">
        <f>IFERROR(VLOOKUP($B312,AF$109:$AG$208,AF$107,FALSE),"")</f>
        <v/>
      </c>
    </row>
    <row r="313" spans="2:32" hidden="1">
      <c r="B313" s="1525">
        <f t="shared" si="20"/>
        <v>99</v>
      </c>
      <c r="F313" s="1518" t="str">
        <f>IFERROR(VLOOKUP($B313,F$109:$AG$208,F$107,FALSE),"")</f>
        <v/>
      </c>
      <c r="G313" s="1518" t="str">
        <f>IFERROR(VLOOKUP($B313,G$109:$AG$208,G$107,FALSE),"")</f>
        <v/>
      </c>
      <c r="H313" s="1518" t="str">
        <f>IFERROR(VLOOKUP($B313,H$109:$AG$208,H$107,FALSE),"")</f>
        <v/>
      </c>
      <c r="I313" s="1518" t="str">
        <f>IFERROR(VLOOKUP($B313,I$109:$AG$208,I$107,FALSE),"")</f>
        <v/>
      </c>
      <c r="J313" s="1518" t="str">
        <f>IFERROR(VLOOKUP($B313,J$109:$AG$208,J$107,FALSE),"")</f>
        <v/>
      </c>
      <c r="K313" s="1518" t="str">
        <f>IFERROR(VLOOKUP($B313,K$109:$AG$208,K$107,FALSE),"")</f>
        <v/>
      </c>
      <c r="L313" s="1518" t="str">
        <f>IFERROR(VLOOKUP($B313,L$109:$AG$208,L$107,FALSE),"")</f>
        <v/>
      </c>
      <c r="M313" s="1518" t="str">
        <f>IFERROR(VLOOKUP($B313,M$109:$AG$208,M$107,FALSE),"")</f>
        <v/>
      </c>
      <c r="N313" s="1518" t="str">
        <f>IFERROR(VLOOKUP($B313,N$109:$AG$208,N$107,FALSE),"")</f>
        <v/>
      </c>
      <c r="O313" s="1518" t="str">
        <f>IFERROR(VLOOKUP($B313,O$109:$AG$208,O$107,FALSE),"")</f>
        <v/>
      </c>
      <c r="P313" s="1518" t="str">
        <f>IFERROR(VLOOKUP($B313,P$109:$AG$208,P$107,FALSE),"")</f>
        <v/>
      </c>
      <c r="Q313" s="1518" t="str">
        <f>IFERROR(VLOOKUP($B313,Q$109:$AG$208,Q$107,FALSE),"")</f>
        <v/>
      </c>
      <c r="R313" s="1518" t="str">
        <f>IFERROR(VLOOKUP($B313,R$109:$AG$208,R$107,FALSE),"")</f>
        <v/>
      </c>
      <c r="S313" s="1518" t="str">
        <f>IFERROR(VLOOKUP($B313,S$109:$AG$208,S$107,FALSE),"")</f>
        <v/>
      </c>
      <c r="T313" s="1518" t="str">
        <f>IFERROR(VLOOKUP($B313,T$109:$AG$208,T$107,FALSE),"")</f>
        <v/>
      </c>
      <c r="U313" s="1518" t="str">
        <f>IFERROR(VLOOKUP($B313,U$109:$AG$208,U$107,FALSE),"")</f>
        <v/>
      </c>
      <c r="V313" s="1518" t="str">
        <f>IFERROR(VLOOKUP($B313,V$109:$AG$208,V$107,FALSE),"")</f>
        <v/>
      </c>
      <c r="W313" s="1518" t="str">
        <f>IFERROR(VLOOKUP($B313,W$109:$AG$208,W$107,FALSE),"")</f>
        <v/>
      </c>
      <c r="X313" s="1518" t="str">
        <f>IFERROR(VLOOKUP($B313,X$109:$AG$208,X$107,FALSE),"")</f>
        <v/>
      </c>
      <c r="Y313" s="1518" t="str">
        <f>IFERROR(VLOOKUP($B313,Y$109:$AG$208,Y$107,FALSE),"")</f>
        <v/>
      </c>
      <c r="Z313" s="1518" t="str">
        <f>IFERROR(VLOOKUP($B313,Z$109:$AG$208,Z$107,FALSE),"")</f>
        <v/>
      </c>
      <c r="AA313" s="1518" t="str">
        <f>IFERROR(VLOOKUP($B313,AA$109:$AG$208,AA$107,FALSE),"")</f>
        <v/>
      </c>
      <c r="AB313" s="1518" t="str">
        <f>IFERROR(VLOOKUP($B313,AB$109:$AG$208,AB$107,FALSE),"")</f>
        <v/>
      </c>
      <c r="AC313" s="1518" t="str">
        <f>IFERROR(VLOOKUP($B313,AC$109:$AG$208,AC$107,FALSE),"")</f>
        <v/>
      </c>
      <c r="AD313" s="1518" t="str">
        <f>IFERROR(VLOOKUP($B313,AD$109:$AG$208,AD$107,FALSE),"")</f>
        <v/>
      </c>
      <c r="AE313" s="1518" t="str">
        <f>IFERROR(VLOOKUP($B313,AE$109:$AG$208,AE$107,FALSE),"")</f>
        <v/>
      </c>
      <c r="AF313" s="1518" t="str">
        <f>IFERROR(VLOOKUP($B313,AF$109:$AG$208,AF$107,FALSE),"")</f>
        <v/>
      </c>
    </row>
  </sheetData>
  <sheetProtection sheet="1" objects="1" scenarios="1"/>
  <customSheetViews>
    <customSheetView guid="{8063F48F-80B5-4ECD-B18A-51CBF126E780}" fitToPage="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11" orientation="portrait" useFirstPageNumber="1" r:id="rId1"/>
      <headerFooter alignWithMargins="0">
        <oddFooter>&amp;L&amp;11LEL Schwäbisch Gmünd&amp;C&amp;11&amp;P+8&amp;R&amp;11&amp;F</oddFooter>
      </headerFooter>
    </customSheetView>
    <customSheetView guid="{5D5C9B61-9ABD-4513-AAEB-8333A9D6196C}" fitToPage="1" hiddenColumns="1" topLeftCell="A25">
      <selection activeCell="AL26" sqref="AL26"/>
      <pageMargins left="0.59055118110236227" right="0.59055118110236227" top="0.59055118110236227" bottom="0.59055118110236227" header="0.39370078740157483" footer="0.39370078740157483"/>
      <printOptions horizontalCentered="1"/>
      <pageSetup paperSize="9" scale="65" firstPageNumber="11" orientation="portrait" useFirstPageNumber="1" r:id="rId2"/>
      <headerFooter alignWithMargins="0">
        <oddFooter>&amp;L&amp;11LEL Schwäbisch Gmünd&amp;C&amp;11&amp;P+8&amp;R&amp;11&amp;F</oddFooter>
      </headerFooter>
    </customSheetView>
    <customSheetView guid="{22A73C4F-9004-4CEF-8499-B1F91BE1B569}" fitToPage="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11" orientation="portrait" useFirstPageNumber="1" r:id="rId3"/>
      <headerFooter alignWithMargins="0">
        <oddFooter>&amp;L&amp;11LEL Schwäbisch Gmünd&amp;C&amp;11&amp;P+8&amp;R&amp;11&amp;F</oddFooter>
      </headerFooter>
    </customSheetView>
  </customSheetViews>
  <conditionalFormatting sqref="C92:C100">
    <cfRule type="cellIs" dxfId="4" priority="7" stopIfTrue="1" operator="equal">
      <formula>0</formula>
    </cfRule>
  </conditionalFormatting>
  <conditionalFormatting sqref="C102">
    <cfRule type="cellIs" dxfId="3" priority="15" stopIfTrue="1" operator="equal">
      <formula>0</formula>
    </cfRule>
  </conditionalFormatting>
  <conditionalFormatting sqref="D5:D103">
    <cfRule type="cellIs" dxfId="2" priority="1" stopIfTrue="1" operator="equal">
      <formula>0</formula>
    </cfRule>
  </conditionalFormatting>
  <conditionalFormatting sqref="E92:E100">
    <cfRule type="cellIs" dxfId="1" priority="6" stopIfTrue="1" operator="equal">
      <formula>0</formula>
    </cfRule>
  </conditionalFormatting>
  <conditionalFormatting sqref="E102">
    <cfRule type="cellIs" dxfId="0" priority="14" stopIfTrue="1" operator="equal">
      <formula>0</formula>
    </cfRule>
  </conditionalFormatting>
  <printOptions horizontalCentered="1"/>
  <pageMargins left="0.59055118110236227" right="0.59055118110236227" top="0.59055118110236227" bottom="0.59055118110236227" header="0.39370078740157483" footer="0.39370078740157483"/>
  <pageSetup paperSize="9" scale="65" firstPageNumber="11" orientation="portrait" useFirstPageNumber="1" r:id="rId4"/>
  <headerFooter alignWithMargins="0">
    <oddFooter>&amp;L&amp;11LEL Schwäbisch Gmünd&amp;C&amp;11&amp;P+8&amp;R&amp;11&amp;F</oddFooter>
  </headerFooter>
  <drawing r:id="rId5"/>
  <legacy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70">
    <tabColor rgb="FF00B0F0"/>
  </sheetPr>
  <dimension ref="A1:AY66"/>
  <sheetViews>
    <sheetView workbookViewId="0"/>
  </sheetViews>
  <sheetFormatPr baseColWidth="10" defaultColWidth="12" defaultRowHeight="15"/>
  <cols>
    <col min="1" max="1" width="1.69921875" style="1518" customWidth="1"/>
    <col min="2" max="2" width="5.69921875" style="1519" bestFit="1" customWidth="1"/>
    <col min="3" max="3" width="31.59765625" style="1518" customWidth="1"/>
    <col min="4" max="4" width="19" style="1520" customWidth="1"/>
    <col min="5" max="5" width="2.19921875" style="1519" customWidth="1"/>
    <col min="6" max="6" width="3.69921875" style="1519" customWidth="1"/>
    <col min="7" max="7" width="3.59765625" style="1518" customWidth="1"/>
    <col min="8" max="8" width="11.09765625" style="1518" customWidth="1"/>
    <col min="9" max="9" width="9.69921875" style="1518" customWidth="1"/>
    <col min="10" max="10" width="8" style="1518" customWidth="1"/>
    <col min="11" max="11" width="11.19921875" style="1518" customWidth="1"/>
    <col min="12" max="15" width="9.69921875" style="1518" customWidth="1"/>
    <col min="16" max="16" width="9.69921875" style="1518" hidden="1" customWidth="1"/>
    <col min="17" max="23" width="9.69921875" style="1518" customWidth="1"/>
    <col min="24" max="24" width="14.5" style="1518" customWidth="1"/>
    <col min="25" max="25" width="9.69921875" style="1518" customWidth="1"/>
    <col min="26" max="26" width="5.09765625" style="1518" customWidth="1"/>
    <col min="27" max="27" width="16.5" style="1518" customWidth="1"/>
    <col min="28" max="32" width="5.09765625" style="1518" customWidth="1"/>
    <col min="33" max="33" width="5.69921875" style="1518" customWidth="1"/>
    <col min="34" max="37" width="5.09765625" style="1518" customWidth="1"/>
    <col min="38" max="38" width="6" style="1518" customWidth="1"/>
    <col min="39" max="39" width="12" style="1518" customWidth="1"/>
    <col min="40" max="40" width="4.69921875" style="1518" customWidth="1"/>
    <col min="41" max="41" width="1.69921875" style="1518" customWidth="1"/>
    <col min="42" max="42" width="5.69921875" style="1518" customWidth="1"/>
    <col min="43" max="43" width="12" style="1518" customWidth="1"/>
    <col min="44" max="44" width="9.19921875" style="1518" customWidth="1"/>
    <col min="45" max="45" width="12" style="1518" customWidth="1"/>
    <col min="46" max="46" width="4.3984375" style="1518" customWidth="1"/>
    <col min="47" max="47" width="3" style="1518" customWidth="1"/>
    <col min="48" max="48" width="1.19921875" style="1518" customWidth="1"/>
    <col min="49" max="49" width="1.69921875" style="1518" customWidth="1"/>
    <col min="50" max="16384" width="12" style="1518"/>
  </cols>
  <sheetData>
    <row r="1" spans="1:51" ht="22.8">
      <c r="A1" s="1539"/>
      <c r="C1" s="1396"/>
      <c r="AG1" s="1538"/>
    </row>
    <row r="2" spans="1:51">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row>
    <row r="3" spans="1:51" ht="40.65" customHeight="1">
      <c r="C3" s="1534" t="s">
        <v>1293</v>
      </c>
      <c r="E3" s="29"/>
      <c r="F3" s="29"/>
      <c r="L3" s="1537"/>
      <c r="M3" s="221"/>
      <c r="N3" s="1536"/>
      <c r="O3" s="1535"/>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row>
    <row r="4" spans="1:51" ht="23.1" customHeight="1" thickBot="1">
      <c r="B4" s="1534"/>
      <c r="E4" s="29"/>
      <c r="F4" s="29"/>
      <c r="M4" s="429"/>
      <c r="N4" s="3981"/>
      <c r="O4" s="3981"/>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row>
    <row r="5" spans="1:51" ht="49.65" customHeight="1" thickBot="1">
      <c r="B5" s="1533" t="s">
        <v>475</v>
      </c>
      <c r="C5" s="1532" t="s">
        <v>559</v>
      </c>
      <c r="D5" s="3982" t="s">
        <v>1078</v>
      </c>
      <c r="E5" s="3983"/>
      <c r="F5" s="29"/>
      <c r="G5" s="3009" t="s">
        <v>1077</v>
      </c>
      <c r="H5" s="3010"/>
      <c r="I5" s="3010"/>
      <c r="J5" s="3010"/>
      <c r="K5" s="3010"/>
      <c r="L5" s="3010"/>
      <c r="M5" s="3011"/>
      <c r="N5" s="3011"/>
      <c r="O5" s="3011"/>
      <c r="P5" s="3011"/>
      <c r="Q5" s="3011"/>
      <c r="R5" s="3012"/>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row>
    <row r="6" spans="1:51" ht="25.2" customHeight="1">
      <c r="B6" s="3214"/>
      <c r="C6" s="3215"/>
      <c r="D6" s="3216"/>
      <c r="E6" s="3217"/>
      <c r="F6" s="29"/>
      <c r="G6" s="3218"/>
      <c r="H6" s="2664"/>
      <c r="I6" s="2664"/>
      <c r="J6" s="2664"/>
      <c r="K6" s="2664"/>
      <c r="L6" s="2664"/>
      <c r="M6" s="3013"/>
      <c r="N6" s="3013"/>
      <c r="O6" s="3013"/>
      <c r="P6" s="3013"/>
      <c r="Q6" s="3013"/>
      <c r="R6" s="3433"/>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row>
    <row r="7" spans="1:51" ht="25.2" customHeight="1">
      <c r="B7" s="1525">
        <v>1</v>
      </c>
      <c r="C7" s="1526" t="s">
        <v>1611</v>
      </c>
      <c r="D7" s="3979">
        <v>124.9</v>
      </c>
      <c r="E7" s="3980"/>
      <c r="F7" s="29"/>
      <c r="G7" s="1529" t="s">
        <v>1615</v>
      </c>
      <c r="H7" s="1523"/>
      <c r="I7" s="1523"/>
      <c r="J7" s="1523"/>
      <c r="K7" s="1523"/>
      <c r="L7" s="1523"/>
      <c r="M7" s="448"/>
      <c r="N7" s="448"/>
      <c r="O7" s="566"/>
      <c r="P7" s="30" t="s">
        <v>1075</v>
      </c>
      <c r="Q7" s="448"/>
      <c r="R7" s="566"/>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row>
    <row r="8" spans="1:51" ht="25.2" customHeight="1">
      <c r="B8" s="1525">
        <f t="shared" ref="B8:B16" si="0">B7+1</f>
        <v>2</v>
      </c>
      <c r="C8" s="1531" t="s">
        <v>1612</v>
      </c>
      <c r="D8" s="3979">
        <v>86.8</v>
      </c>
      <c r="E8" s="3980"/>
      <c r="F8" s="12"/>
      <c r="G8" s="1529" t="s">
        <v>1616</v>
      </c>
      <c r="H8" s="1523"/>
      <c r="I8" s="1523"/>
      <c r="J8" s="1523"/>
      <c r="K8" s="1523"/>
      <c r="L8" s="1523"/>
      <c r="M8" s="30"/>
      <c r="N8" s="30"/>
      <c r="O8" s="30"/>
      <c r="P8" s="30" t="s">
        <v>1074</v>
      </c>
      <c r="Q8" s="30"/>
      <c r="R8" s="1530"/>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row>
    <row r="9" spans="1:51" ht="25.2" customHeight="1">
      <c r="B9" s="1525">
        <f t="shared" si="0"/>
        <v>3</v>
      </c>
      <c r="C9" s="1526" t="s">
        <v>1613</v>
      </c>
      <c r="D9" s="3979">
        <v>29</v>
      </c>
      <c r="E9" s="3980"/>
      <c r="F9" s="29"/>
      <c r="G9" s="1529" t="s">
        <v>1649</v>
      </c>
      <c r="H9" s="1523"/>
      <c r="I9" s="1523"/>
      <c r="J9" s="1523"/>
      <c r="K9" s="1523"/>
      <c r="L9" s="1523"/>
      <c r="M9" s="448"/>
      <c r="N9" s="448"/>
      <c r="O9" s="448"/>
      <c r="P9" s="30" t="s">
        <v>1073</v>
      </c>
      <c r="Q9" s="448"/>
      <c r="R9" s="566"/>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row>
    <row r="10" spans="1:51" ht="25.2" customHeight="1">
      <c r="B10" s="1525">
        <f t="shared" si="0"/>
        <v>4</v>
      </c>
      <c r="C10" s="1524" t="s">
        <v>1614</v>
      </c>
      <c r="D10" s="3979">
        <v>63.8</v>
      </c>
      <c r="E10" s="3980"/>
      <c r="F10" s="29"/>
      <c r="G10" s="1529" t="s">
        <v>1617</v>
      </c>
      <c r="H10" s="1523"/>
      <c r="I10" s="1523"/>
      <c r="J10" s="1523"/>
      <c r="K10" s="1523"/>
      <c r="L10" s="1523"/>
      <c r="M10" s="448"/>
      <c r="N10" s="448"/>
      <c r="O10" s="448"/>
      <c r="P10" s="1527" t="s">
        <v>1072</v>
      </c>
      <c r="Q10" s="448"/>
      <c r="R10" s="566"/>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row>
    <row r="11" spans="1:51" ht="25.2" customHeight="1">
      <c r="B11" s="1525">
        <f t="shared" si="0"/>
        <v>5</v>
      </c>
      <c r="C11" s="1524" t="s">
        <v>1618</v>
      </c>
      <c r="D11" s="3979">
        <v>8.6</v>
      </c>
      <c r="E11" s="3980"/>
      <c r="F11" s="29"/>
      <c r="G11" s="1529" t="s">
        <v>1619</v>
      </c>
      <c r="H11" s="1523"/>
      <c r="I11" s="1523"/>
      <c r="J11" s="1523"/>
      <c r="K11" s="1523"/>
      <c r="L11" s="1523"/>
      <c r="M11" s="448"/>
      <c r="N11" s="448"/>
      <c r="O11" s="448"/>
      <c r="P11" s="1527" t="s">
        <v>1072</v>
      </c>
      <c r="Q11" s="448"/>
      <c r="R11" s="566"/>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row>
    <row r="12" spans="1:51" ht="25.2" customHeight="1">
      <c r="B12" s="1525">
        <f t="shared" si="0"/>
        <v>6</v>
      </c>
      <c r="C12" s="1524"/>
      <c r="D12" s="3979"/>
      <c r="E12" s="3980"/>
      <c r="F12" s="29"/>
      <c r="G12" s="1529"/>
      <c r="H12" s="1523"/>
      <c r="I12" s="1523"/>
      <c r="J12" s="1523"/>
      <c r="K12" s="1523"/>
      <c r="L12" s="1523"/>
      <c r="M12" s="448"/>
      <c r="N12" s="448"/>
      <c r="O12" s="448"/>
      <c r="P12" s="1527" t="s">
        <v>1072</v>
      </c>
      <c r="Q12" s="448"/>
      <c r="R12" s="566"/>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row>
    <row r="13" spans="1:51" ht="25.2" customHeight="1">
      <c r="B13" s="1525">
        <f t="shared" si="0"/>
        <v>7</v>
      </c>
      <c r="C13" s="1524"/>
      <c r="D13" s="3979"/>
      <c r="E13" s="3980"/>
      <c r="F13" s="29"/>
      <c r="G13" s="1529"/>
      <c r="H13" s="1523"/>
      <c r="I13" s="1523"/>
      <c r="J13" s="1523"/>
      <c r="K13" s="1523"/>
      <c r="L13" s="1523"/>
      <c r="M13" s="448"/>
      <c r="N13" s="448"/>
      <c r="O13" s="448"/>
      <c r="P13" s="1527" t="s">
        <v>1072</v>
      </c>
      <c r="Q13" s="448"/>
      <c r="R13" s="566"/>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row>
    <row r="14" spans="1:51" ht="25.2" customHeight="1">
      <c r="B14" s="1525">
        <f t="shared" si="0"/>
        <v>8</v>
      </c>
      <c r="C14" s="1524"/>
      <c r="D14" s="3979"/>
      <c r="E14" s="3980"/>
      <c r="F14" s="29"/>
      <c r="G14" s="1529"/>
      <c r="H14" s="1523"/>
      <c r="I14" s="1523"/>
      <c r="J14" s="1523"/>
      <c r="K14" s="1523"/>
      <c r="L14" s="1523"/>
      <c r="M14" s="448"/>
      <c r="N14" s="448"/>
      <c r="O14" s="448"/>
      <c r="P14" s="1527" t="s">
        <v>1072</v>
      </c>
      <c r="Q14" s="448"/>
      <c r="R14" s="566"/>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row>
    <row r="15" spans="1:51" ht="25.2" customHeight="1">
      <c r="B15" s="1525">
        <f t="shared" si="0"/>
        <v>9</v>
      </c>
      <c r="C15" s="1524"/>
      <c r="D15" s="3984"/>
      <c r="E15" s="3985"/>
      <c r="F15" s="29"/>
      <c r="G15" s="1529"/>
      <c r="H15" s="1523"/>
      <c r="I15" s="1523"/>
      <c r="J15" s="1523"/>
      <c r="K15" s="1523"/>
      <c r="L15" s="1523"/>
      <c r="M15" s="448"/>
      <c r="N15" s="448"/>
      <c r="O15" s="448"/>
      <c r="P15" s="448"/>
      <c r="Q15" s="448"/>
      <c r="R15" s="566"/>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row>
    <row r="16" spans="1:51" ht="32.4" customHeight="1">
      <c r="B16" s="3221">
        <f t="shared" si="0"/>
        <v>10</v>
      </c>
      <c r="C16" s="3222"/>
      <c r="D16" s="3976"/>
      <c r="E16" s="3977"/>
      <c r="F16" s="3223"/>
      <c r="G16" s="3224"/>
      <c r="H16" s="1521"/>
      <c r="I16" s="1521"/>
      <c r="J16" s="1521"/>
      <c r="K16" s="1521"/>
      <c r="L16" s="1521"/>
      <c r="M16" s="3223"/>
      <c r="N16" s="3223"/>
      <c r="O16" s="3223"/>
      <c r="P16" s="3223"/>
      <c r="Q16" s="3223"/>
      <c r="R16" s="3225"/>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row>
    <row r="17" spans="1:51" ht="25.2" customHeight="1">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row>
    <row r="18" spans="1:51" ht="25.2" hidden="1" customHeight="1" thickBot="1">
      <c r="B18" s="3422"/>
      <c r="C18" s="3423" t="s">
        <v>1712</v>
      </c>
      <c r="D18" s="3320" t="s">
        <v>220</v>
      </c>
      <c r="E18" s="3321"/>
      <c r="F18" s="29"/>
      <c r="G18" s="3009" t="s">
        <v>1723</v>
      </c>
      <c r="H18" s="3010"/>
      <c r="I18" s="3010"/>
      <c r="J18" s="3010"/>
      <c r="K18" s="3010"/>
      <c r="L18" s="3010"/>
      <c r="M18" s="3010"/>
      <c r="N18" s="3010"/>
      <c r="O18" s="3010"/>
      <c r="P18" s="3010"/>
      <c r="Q18" s="3010"/>
      <c r="R18" s="3434"/>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row>
    <row r="19" spans="1:51" ht="25.2" hidden="1" customHeight="1">
      <c r="B19" s="1525"/>
      <c r="C19" s="1526" t="s">
        <v>1071</v>
      </c>
      <c r="D19" s="3319">
        <v>51</v>
      </c>
      <c r="E19" s="3323"/>
      <c r="G19" s="3435" t="s">
        <v>1713</v>
      </c>
      <c r="H19" s="3436"/>
      <c r="I19" s="3436"/>
      <c r="J19" s="3436"/>
      <c r="K19" s="3436"/>
      <c r="L19" s="2664"/>
      <c r="M19" s="3013"/>
      <c r="N19" s="3013"/>
      <c r="O19" s="3013"/>
      <c r="P19" s="2664"/>
      <c r="Q19" s="2664"/>
      <c r="R19" s="3437"/>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row>
    <row r="20" spans="1:51" ht="25.2" hidden="1" customHeight="1">
      <c r="B20" s="1525"/>
      <c r="C20" s="1526" t="s">
        <v>1071</v>
      </c>
      <c r="D20" s="3319">
        <v>30</v>
      </c>
      <c r="E20" s="3323"/>
      <c r="G20" s="3424" t="s">
        <v>1718</v>
      </c>
      <c r="H20" s="3425"/>
      <c r="I20" s="3425"/>
      <c r="J20" s="3425"/>
      <c r="K20" s="3425"/>
      <c r="L20" s="1523"/>
      <c r="M20" s="1523"/>
      <c r="N20" s="448"/>
      <c r="O20" s="448"/>
      <c r="P20" s="1523"/>
      <c r="Q20" s="1523"/>
      <c r="R20" s="1528"/>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row>
    <row r="21" spans="1:51" ht="25.2" hidden="1" customHeight="1">
      <c r="A21" s="29"/>
      <c r="B21" s="1525"/>
      <c r="C21" s="1526" t="s">
        <v>1653</v>
      </c>
      <c r="D21" s="3319">
        <v>54</v>
      </c>
      <c r="E21" s="3323"/>
      <c r="G21" s="3424" t="s">
        <v>1714</v>
      </c>
      <c r="H21" s="3425"/>
      <c r="I21" s="3425"/>
      <c r="J21" s="3425"/>
      <c r="K21" s="3425"/>
      <c r="L21" s="1523"/>
      <c r="M21" s="448"/>
      <c r="N21" s="448"/>
      <c r="O21" s="448"/>
      <c r="P21" s="1523"/>
      <c r="Q21" s="1523"/>
      <c r="R21" s="1528"/>
      <c r="S21" s="29"/>
      <c r="T21" s="29"/>
      <c r="U21" s="29"/>
      <c r="V21" s="29"/>
      <c r="W21" s="29"/>
      <c r="X21" s="29"/>
      <c r="Y21" s="29"/>
      <c r="Z21" s="29"/>
      <c r="AA21" s="29"/>
      <c r="AB21" s="29"/>
      <c r="AC21" s="29"/>
      <c r="AD21" s="29"/>
      <c r="AE21" s="29"/>
      <c r="AF21" s="29"/>
    </row>
    <row r="22" spans="1:51" ht="25.2" hidden="1" customHeight="1">
      <c r="A22" s="29"/>
      <c r="B22" s="1525"/>
      <c r="C22" s="1526"/>
      <c r="D22" s="3322"/>
      <c r="E22" s="3323"/>
      <c r="G22" s="3424"/>
      <c r="H22" s="3425"/>
      <c r="I22" s="3425"/>
      <c r="J22" s="3425"/>
      <c r="K22" s="3425"/>
      <c r="L22" s="1523"/>
      <c r="M22" s="448"/>
      <c r="N22" s="448"/>
      <c r="O22" s="448"/>
      <c r="P22" s="1523"/>
      <c r="Q22" s="1523"/>
      <c r="R22" s="1528"/>
      <c r="S22" s="29"/>
      <c r="T22" s="29"/>
      <c r="U22" s="29"/>
      <c r="V22" s="29"/>
      <c r="W22" s="29"/>
      <c r="X22" s="29"/>
      <c r="Y22" s="29"/>
      <c r="Z22" s="29"/>
      <c r="AA22" s="29"/>
      <c r="AB22" s="29"/>
      <c r="AC22" s="29"/>
      <c r="AD22" s="29"/>
      <c r="AE22" s="29"/>
      <c r="AF22" s="29"/>
    </row>
    <row r="23" spans="1:51" ht="25.2" hidden="1" customHeight="1">
      <c r="A23" s="29"/>
      <c r="B23" s="1525"/>
      <c r="C23" s="1526" t="s">
        <v>1654</v>
      </c>
      <c r="D23" s="3319">
        <v>38</v>
      </c>
      <c r="E23" s="3323"/>
      <c r="G23" s="3424" t="s">
        <v>1715</v>
      </c>
      <c r="H23" s="3425"/>
      <c r="I23" s="3425"/>
      <c r="J23" s="3425"/>
      <c r="K23" s="3425"/>
      <c r="L23" s="1523"/>
      <c r="M23" s="1523"/>
      <c r="N23" s="448"/>
      <c r="O23" s="448"/>
      <c r="P23" s="1523"/>
      <c r="Q23" s="1523"/>
      <c r="R23" s="1528"/>
      <c r="S23" s="29"/>
      <c r="T23" s="29"/>
      <c r="U23" s="29"/>
      <c r="V23" s="29"/>
      <c r="W23" s="29"/>
      <c r="X23" s="29"/>
      <c r="Y23" s="29"/>
      <c r="Z23" s="29"/>
      <c r="AA23" s="29"/>
      <c r="AB23" s="29"/>
      <c r="AC23" s="29"/>
      <c r="AD23" s="29"/>
      <c r="AE23" s="29"/>
      <c r="AF23" s="29"/>
    </row>
    <row r="24" spans="1:51" ht="25.2" hidden="1" customHeight="1">
      <c r="A24" s="29"/>
      <c r="B24" s="1525"/>
      <c r="C24" s="1526"/>
      <c r="D24" s="3322"/>
      <c r="E24" s="3323"/>
      <c r="G24" s="3424"/>
      <c r="H24" s="3425"/>
      <c r="I24" s="3425"/>
      <c r="J24" s="3425"/>
      <c r="K24" s="3425"/>
      <c r="L24" s="1523"/>
      <c r="M24" s="1523"/>
      <c r="N24" s="448"/>
      <c r="O24" s="448"/>
      <c r="P24" s="1523"/>
      <c r="Q24" s="1523"/>
      <c r="R24" s="1528"/>
      <c r="S24" s="29"/>
      <c r="T24" s="29"/>
      <c r="U24" s="29"/>
      <c r="V24" s="29"/>
      <c r="W24" s="29"/>
      <c r="X24" s="29"/>
      <c r="Y24" s="29"/>
      <c r="Z24" s="29"/>
      <c r="AA24" s="29"/>
      <c r="AB24" s="29"/>
      <c r="AC24" s="29"/>
      <c r="AD24" s="29"/>
      <c r="AE24" s="29"/>
      <c r="AF24" s="29"/>
    </row>
    <row r="25" spans="1:51" ht="25.2" hidden="1" customHeight="1">
      <c r="A25" s="29"/>
      <c r="B25" s="1525"/>
      <c r="C25" s="1524" t="s">
        <v>1655</v>
      </c>
      <c r="D25" s="3319">
        <v>90</v>
      </c>
      <c r="E25" s="3323"/>
      <c r="G25" s="3424" t="s">
        <v>1716</v>
      </c>
      <c r="H25" s="3425"/>
      <c r="I25" s="3425"/>
      <c r="J25" s="3425"/>
      <c r="K25" s="3425"/>
      <c r="L25" s="1523"/>
      <c r="M25" s="1523"/>
      <c r="N25" s="448"/>
      <c r="O25" s="448"/>
      <c r="P25" s="1523"/>
      <c r="Q25" s="1523"/>
      <c r="R25" s="1528"/>
      <c r="S25" s="29"/>
      <c r="T25" s="29"/>
      <c r="U25" s="29"/>
      <c r="V25" s="29"/>
      <c r="W25" s="29"/>
      <c r="X25" s="29"/>
      <c r="Y25" s="29"/>
      <c r="Z25" s="29"/>
      <c r="AA25" s="29"/>
      <c r="AB25" s="29"/>
      <c r="AC25" s="29"/>
      <c r="AD25" s="29"/>
      <c r="AE25" s="29"/>
      <c r="AF25" s="29"/>
    </row>
    <row r="26" spans="1:51" ht="25.2" hidden="1" customHeight="1">
      <c r="A26" s="29"/>
      <c r="B26" s="1525"/>
      <c r="C26" s="1524"/>
      <c r="D26" s="3322"/>
      <c r="E26" s="3323"/>
      <c r="G26" s="3424"/>
      <c r="H26" s="3425"/>
      <c r="I26" s="3425"/>
      <c r="J26" s="3425"/>
      <c r="K26" s="3425"/>
      <c r="L26" s="1523"/>
      <c r="M26" s="1523"/>
      <c r="N26" s="448"/>
      <c r="O26" s="448"/>
      <c r="P26" s="1523"/>
      <c r="Q26" s="1523"/>
      <c r="R26" s="1528"/>
      <c r="S26" s="29"/>
      <c r="T26" s="29"/>
      <c r="U26" s="29"/>
      <c r="V26" s="29"/>
      <c r="W26" s="29"/>
      <c r="X26" s="29"/>
      <c r="Y26" s="29"/>
      <c r="Z26" s="29"/>
      <c r="AA26" s="29"/>
      <c r="AB26" s="29"/>
      <c r="AC26" s="29"/>
      <c r="AD26" s="29"/>
      <c r="AE26" s="29"/>
      <c r="AF26" s="29"/>
    </row>
    <row r="27" spans="1:51" ht="25.2" hidden="1" customHeight="1">
      <c r="A27" s="29"/>
      <c r="B27" s="1525"/>
      <c r="C27" s="1526" t="s">
        <v>1656</v>
      </c>
      <c r="D27" s="3319">
        <v>3.39</v>
      </c>
      <c r="E27" s="3323"/>
      <c r="G27" s="3424" t="s">
        <v>1717</v>
      </c>
      <c r="H27" s="3425"/>
      <c r="I27" s="3425"/>
      <c r="J27" s="3425"/>
      <c r="K27" s="3425"/>
      <c r="L27" s="1523"/>
      <c r="M27" s="1523"/>
      <c r="N27" s="448"/>
      <c r="O27" s="448"/>
      <c r="P27" s="1523"/>
      <c r="Q27" s="1523"/>
      <c r="R27" s="1528"/>
      <c r="T27" s="29"/>
      <c r="U27" s="29"/>
      <c r="V27" s="29"/>
      <c r="W27" s="29"/>
      <c r="X27" s="29"/>
      <c r="Y27" s="29"/>
      <c r="Z27" s="29"/>
      <c r="AA27" s="29"/>
      <c r="AB27" s="29"/>
      <c r="AC27" s="29"/>
      <c r="AD27" s="29"/>
      <c r="AE27" s="29"/>
      <c r="AF27" s="29"/>
    </row>
    <row r="28" spans="1:51" ht="25.2" hidden="1" customHeight="1">
      <c r="A28" s="29"/>
      <c r="B28" s="1525"/>
      <c r="C28" s="1526"/>
      <c r="D28" s="3322"/>
      <c r="E28" s="3323"/>
      <c r="G28" s="3424"/>
      <c r="H28" s="3425"/>
      <c r="I28" s="3425"/>
      <c r="J28" s="3425"/>
      <c r="K28" s="3425"/>
      <c r="L28" s="1523"/>
      <c r="M28" s="1523"/>
      <c r="N28" s="448"/>
      <c r="O28" s="448"/>
      <c r="P28" s="1523"/>
      <c r="Q28" s="1523"/>
      <c r="R28" s="1528"/>
      <c r="T28" s="29"/>
      <c r="U28" s="29"/>
      <c r="V28" s="29"/>
      <c r="W28" s="29"/>
      <c r="X28" s="29"/>
      <c r="Y28" s="29"/>
      <c r="Z28" s="29"/>
      <c r="AA28" s="29"/>
      <c r="AB28" s="29"/>
      <c r="AC28" s="29"/>
      <c r="AD28" s="29"/>
      <c r="AE28" s="29"/>
      <c r="AF28" s="29"/>
    </row>
    <row r="29" spans="1:51" ht="25.2" hidden="1" customHeight="1">
      <c r="A29" s="29"/>
      <c r="B29" s="1525"/>
      <c r="C29" s="1524" t="s">
        <v>1070</v>
      </c>
      <c r="D29" s="3319">
        <v>28.48</v>
      </c>
      <c r="E29" s="3323"/>
      <c r="G29" s="3424" t="s">
        <v>1721</v>
      </c>
      <c r="H29" s="3425"/>
      <c r="I29" s="3425"/>
      <c r="J29" s="3425"/>
      <c r="K29" s="3425"/>
      <c r="L29" s="1523"/>
      <c r="M29" s="1523"/>
      <c r="N29" s="448"/>
      <c r="O29" s="448"/>
      <c r="P29" s="1523"/>
      <c r="Q29" s="1523"/>
      <c r="R29" s="1528"/>
      <c r="T29" s="29"/>
      <c r="U29" s="29"/>
      <c r="V29" s="29"/>
      <c r="W29" s="29"/>
      <c r="X29" s="29"/>
      <c r="Y29" s="29"/>
      <c r="Z29" s="29"/>
      <c r="AA29" s="29"/>
      <c r="AB29" s="29"/>
      <c r="AC29" s="29"/>
      <c r="AD29" s="29"/>
      <c r="AE29" s="29"/>
      <c r="AF29" s="29"/>
    </row>
    <row r="30" spans="1:51" ht="25.2" hidden="1" customHeight="1">
      <c r="A30" s="29"/>
      <c r="B30" s="1525"/>
      <c r="C30" s="1524" t="s">
        <v>1069</v>
      </c>
      <c r="D30" s="3319">
        <v>34.659999999999997</v>
      </c>
      <c r="E30" s="3426"/>
      <c r="G30" s="3424" t="s">
        <v>1722</v>
      </c>
      <c r="H30" s="3425"/>
      <c r="I30" s="3425"/>
      <c r="J30" s="3425"/>
      <c r="K30" s="3425"/>
      <c r="L30" s="1523"/>
      <c r="M30" s="1523"/>
      <c r="N30" s="448"/>
      <c r="O30" s="448"/>
      <c r="P30" s="1523"/>
      <c r="Q30" s="1523"/>
      <c r="R30" s="1528"/>
      <c r="S30" s="29"/>
      <c r="T30" s="29"/>
      <c r="U30" s="29"/>
      <c r="V30" s="29"/>
      <c r="W30" s="29"/>
      <c r="X30" s="29"/>
      <c r="Y30" s="29"/>
      <c r="Z30" s="29"/>
      <c r="AA30" s="29"/>
      <c r="AB30" s="29"/>
      <c r="AC30" s="29"/>
      <c r="AD30" s="29"/>
      <c r="AE30" s="29"/>
      <c r="AF30" s="29"/>
    </row>
    <row r="31" spans="1:51" ht="25.2" hidden="1" customHeight="1">
      <c r="A31" s="29"/>
      <c r="B31" s="1525"/>
      <c r="C31" s="1524"/>
      <c r="D31" s="3319"/>
      <c r="E31" s="3323"/>
      <c r="G31" s="3424"/>
      <c r="H31" s="3425"/>
      <c r="I31" s="3425"/>
      <c r="J31" s="3425"/>
      <c r="K31" s="3425"/>
      <c r="L31" s="1523"/>
      <c r="M31" s="1523"/>
      <c r="N31" s="448"/>
      <c r="O31" s="448"/>
      <c r="P31" s="1523"/>
      <c r="Q31" s="1523"/>
      <c r="R31" s="1528"/>
      <c r="S31" s="29"/>
      <c r="T31" s="29"/>
      <c r="U31" s="29"/>
      <c r="V31" s="29"/>
      <c r="W31" s="29"/>
      <c r="X31" s="29"/>
      <c r="Y31" s="29"/>
      <c r="Z31" s="29"/>
      <c r="AA31" s="29"/>
      <c r="AB31" s="29"/>
      <c r="AC31" s="29"/>
      <c r="AD31" s="29"/>
      <c r="AE31" s="29"/>
      <c r="AF31" s="29"/>
    </row>
    <row r="32" spans="1:51" ht="25.2" hidden="1" customHeight="1">
      <c r="A32" s="29"/>
      <c r="B32" s="1525"/>
      <c r="C32" s="1524" t="s">
        <v>1068</v>
      </c>
      <c r="D32" s="3319">
        <v>14.74</v>
      </c>
      <c r="E32" s="3323"/>
      <c r="G32" s="3424" t="s">
        <v>1720</v>
      </c>
      <c r="H32" s="3425"/>
      <c r="I32" s="3425"/>
      <c r="J32" s="3425"/>
      <c r="K32" s="3425"/>
      <c r="L32" s="1523"/>
      <c r="M32" s="1523"/>
      <c r="N32" s="448"/>
      <c r="O32" s="448"/>
      <c r="P32" s="1523"/>
      <c r="Q32" s="1523"/>
      <c r="R32" s="1528"/>
      <c r="S32" s="29"/>
      <c r="T32" s="29"/>
      <c r="U32" s="29"/>
      <c r="V32" s="29"/>
      <c r="W32" s="29"/>
      <c r="X32" s="29"/>
      <c r="Y32" s="29"/>
      <c r="Z32" s="29"/>
      <c r="AA32" s="29"/>
      <c r="AB32" s="29"/>
      <c r="AC32" s="29"/>
      <c r="AD32" s="29"/>
      <c r="AE32" s="29"/>
      <c r="AF32" s="29"/>
    </row>
    <row r="33" spans="1:32" ht="25.2" hidden="1" customHeight="1">
      <c r="A33" s="29"/>
      <c r="B33" s="1525"/>
      <c r="C33" s="1524" t="s">
        <v>1067</v>
      </c>
      <c r="D33" s="3319">
        <v>25.82</v>
      </c>
      <c r="E33" s="3323"/>
      <c r="G33" s="3424" t="s">
        <v>1719</v>
      </c>
      <c r="H33" s="3425"/>
      <c r="I33" s="3425"/>
      <c r="J33" s="3425"/>
      <c r="K33" s="3425"/>
      <c r="L33" s="1523"/>
      <c r="M33" s="1523"/>
      <c r="N33" s="448"/>
      <c r="O33" s="448"/>
      <c r="P33" s="1523"/>
      <c r="Q33" s="1523"/>
      <c r="R33" s="1528"/>
      <c r="S33" s="29"/>
      <c r="T33" s="29"/>
      <c r="U33" s="29"/>
      <c r="V33" s="29"/>
      <c r="W33" s="29"/>
      <c r="X33" s="29"/>
      <c r="Y33" s="29"/>
      <c r="Z33" s="29"/>
      <c r="AA33" s="29"/>
      <c r="AB33" s="29"/>
      <c r="AC33" s="29"/>
      <c r="AD33" s="29"/>
      <c r="AE33" s="29"/>
      <c r="AF33" s="29"/>
    </row>
    <row r="34" spans="1:32" ht="17.399999999999999" hidden="1">
      <c r="A34" s="29"/>
      <c r="B34" s="1525"/>
      <c r="C34" s="1524"/>
      <c r="D34" s="3427"/>
      <c r="E34" s="3428"/>
      <c r="G34" s="3424"/>
      <c r="H34" s="3425"/>
      <c r="I34" s="3425"/>
      <c r="J34" s="3425"/>
      <c r="K34" s="3425"/>
      <c r="L34" s="1523"/>
      <c r="M34" s="1523"/>
      <c r="N34" s="448"/>
      <c r="O34" s="448"/>
      <c r="P34" s="1523"/>
      <c r="Q34" s="1523"/>
      <c r="R34" s="1528"/>
      <c r="S34" s="29"/>
      <c r="T34" s="29"/>
      <c r="U34" s="29"/>
      <c r="V34" s="29"/>
      <c r="W34" s="29"/>
      <c r="X34" s="29"/>
      <c r="Y34" s="29"/>
      <c r="Z34" s="29"/>
      <c r="AA34" s="29"/>
      <c r="AB34" s="29"/>
      <c r="AC34" s="29"/>
      <c r="AD34" s="29"/>
      <c r="AE34" s="29"/>
      <c r="AF34" s="29"/>
    </row>
    <row r="35" spans="1:32" ht="18" hidden="1" thickBot="1">
      <c r="A35" s="29"/>
      <c r="B35" s="1522"/>
      <c r="C35" s="3429"/>
      <c r="D35" s="3430"/>
      <c r="E35" s="3431"/>
      <c r="G35" s="3432"/>
      <c r="H35" s="1521"/>
      <c r="I35" s="1521"/>
      <c r="J35" s="1521"/>
      <c r="K35" s="1521"/>
      <c r="L35" s="1521"/>
      <c r="M35" s="1521"/>
      <c r="N35" s="3223"/>
      <c r="O35" s="3223"/>
      <c r="P35" s="3223"/>
      <c r="Q35" s="3223"/>
      <c r="R35" s="3225"/>
      <c r="S35" s="29"/>
      <c r="T35" s="29"/>
      <c r="U35" s="29"/>
      <c r="V35" s="29"/>
      <c r="W35" s="29"/>
      <c r="X35" s="29"/>
      <c r="Y35" s="29"/>
      <c r="Z35" s="29"/>
      <c r="AA35" s="29"/>
      <c r="AB35" s="29"/>
      <c r="AC35" s="29"/>
      <c r="AD35" s="29"/>
      <c r="AE35" s="29"/>
      <c r="AF35" s="29"/>
    </row>
    <row r="36" spans="1:32" hidden="1">
      <c r="A36" s="29"/>
      <c r="O36" s="29"/>
      <c r="P36" s="29"/>
      <c r="Q36" s="29"/>
      <c r="R36" s="29"/>
      <c r="S36" s="29"/>
      <c r="T36" s="29"/>
      <c r="U36" s="29"/>
      <c r="V36" s="29"/>
      <c r="W36" s="29"/>
      <c r="X36" s="29"/>
      <c r="Y36" s="29"/>
      <c r="Z36" s="29"/>
      <c r="AA36" s="29"/>
      <c r="AB36" s="29"/>
      <c r="AC36" s="29"/>
      <c r="AD36" s="29"/>
      <c r="AE36" s="29"/>
      <c r="AF36" s="29"/>
    </row>
    <row r="37" spans="1:32" ht="17.399999999999999" hidden="1">
      <c r="A37" s="29"/>
      <c r="C37" s="3978" t="s">
        <v>1066</v>
      </c>
      <c r="D37" s="3978"/>
      <c r="E37" s="3978"/>
      <c r="F37" s="3978"/>
      <c r="G37" s="3978"/>
      <c r="H37" s="3978"/>
      <c r="I37" s="3978"/>
      <c r="J37" s="3978"/>
      <c r="K37" s="3978"/>
      <c r="L37" s="3978"/>
      <c r="M37" s="3978"/>
      <c r="N37" s="3978"/>
      <c r="O37" s="3978"/>
      <c r="P37" s="29"/>
      <c r="Q37" s="29"/>
      <c r="R37" s="29"/>
      <c r="S37" s="29"/>
      <c r="T37" s="29"/>
      <c r="U37" s="29"/>
      <c r="V37" s="29"/>
      <c r="W37" s="29"/>
      <c r="X37" s="29"/>
      <c r="Y37" s="29"/>
      <c r="Z37" s="29"/>
      <c r="AA37" s="29"/>
      <c r="AB37" s="29"/>
      <c r="AC37" s="29"/>
      <c r="AD37" s="29"/>
      <c r="AE37" s="29"/>
      <c r="AF37" s="29"/>
    </row>
    <row r="38" spans="1:32" ht="17.399999999999999" hidden="1">
      <c r="A38" s="29"/>
      <c r="C38" s="3978" t="s">
        <v>1065</v>
      </c>
      <c r="D38" s="3978"/>
      <c r="E38" s="3978"/>
      <c r="F38" s="3978"/>
      <c r="G38" s="3978"/>
      <c r="H38" s="3978"/>
      <c r="I38" s="3978"/>
      <c r="J38" s="3978"/>
      <c r="K38" s="3978"/>
      <c r="L38" s="3978"/>
      <c r="M38" s="3978"/>
      <c r="N38" s="3978"/>
      <c r="O38" s="3978"/>
      <c r="P38" s="29"/>
      <c r="Q38" s="29"/>
      <c r="R38" s="29"/>
      <c r="S38" s="29"/>
      <c r="T38" s="29"/>
      <c r="U38" s="29"/>
      <c r="V38" s="29"/>
      <c r="W38" s="29"/>
      <c r="X38" s="29"/>
      <c r="Y38" s="29"/>
      <c r="Z38" s="29"/>
      <c r="AA38" s="29"/>
      <c r="AB38" s="29"/>
      <c r="AC38" s="29"/>
      <c r="AD38" s="29"/>
      <c r="AE38" s="29"/>
      <c r="AF38" s="29"/>
    </row>
    <row r="39" spans="1:32" hidden="1">
      <c r="A39" s="29"/>
      <c r="O39" s="29"/>
      <c r="P39" s="29"/>
      <c r="Q39" s="29"/>
      <c r="R39" s="29"/>
      <c r="S39" s="29"/>
      <c r="T39" s="29"/>
      <c r="U39" s="29"/>
      <c r="V39" s="29"/>
      <c r="W39" s="29"/>
      <c r="X39" s="29"/>
      <c r="Y39" s="29"/>
      <c r="Z39" s="29"/>
      <c r="AA39" s="29"/>
      <c r="AB39" s="29"/>
      <c r="AC39" s="29"/>
      <c r="AD39" s="29"/>
      <c r="AE39" s="29"/>
      <c r="AF39" s="29"/>
    </row>
    <row r="40" spans="1:32">
      <c r="A40" s="29"/>
      <c r="O40" s="29"/>
      <c r="P40" s="29"/>
      <c r="Q40" s="29"/>
      <c r="R40" s="29"/>
      <c r="S40" s="29"/>
      <c r="T40" s="29"/>
      <c r="U40" s="29"/>
      <c r="V40" s="29"/>
      <c r="W40" s="29"/>
      <c r="X40" s="29"/>
      <c r="Y40" s="29"/>
      <c r="Z40" s="29"/>
      <c r="AA40" s="29"/>
      <c r="AB40" s="29"/>
      <c r="AC40" s="29"/>
      <c r="AD40" s="29"/>
      <c r="AE40" s="29"/>
      <c r="AF40" s="29"/>
    </row>
    <row r="41" spans="1:32">
      <c r="A41" s="29"/>
      <c r="O41" s="29"/>
      <c r="P41" s="29"/>
      <c r="Q41" s="29"/>
      <c r="R41" s="29"/>
      <c r="S41" s="29"/>
      <c r="T41" s="29"/>
      <c r="U41" s="29"/>
      <c r="V41" s="29"/>
      <c r="W41" s="29"/>
      <c r="X41" s="29"/>
      <c r="Y41" s="29"/>
      <c r="Z41" s="29"/>
      <c r="AA41" s="29"/>
      <c r="AB41" s="29"/>
      <c r="AC41" s="29"/>
      <c r="AD41" s="29"/>
      <c r="AE41" s="29"/>
      <c r="AF41" s="29"/>
    </row>
    <row r="42" spans="1:32">
      <c r="A42" s="29"/>
      <c r="O42" s="29"/>
      <c r="P42" s="29"/>
      <c r="Q42" s="29"/>
      <c r="R42" s="29"/>
      <c r="S42" s="29"/>
      <c r="T42" s="29"/>
      <c r="U42" s="29"/>
      <c r="V42" s="29"/>
      <c r="W42" s="29"/>
      <c r="X42" s="29"/>
      <c r="Y42" s="29"/>
      <c r="Z42" s="29"/>
      <c r="AA42" s="29"/>
      <c r="AB42" s="29"/>
      <c r="AC42" s="29"/>
      <c r="AD42" s="29"/>
      <c r="AE42" s="29"/>
      <c r="AF42" s="29"/>
    </row>
    <row r="43" spans="1:32">
      <c r="A43" s="29"/>
      <c r="O43" s="29"/>
      <c r="P43" s="29"/>
      <c r="Q43" s="29"/>
      <c r="R43" s="29"/>
      <c r="S43" s="29"/>
      <c r="T43" s="29"/>
      <c r="U43" s="29"/>
      <c r="V43" s="29"/>
      <c r="W43" s="29"/>
      <c r="X43" s="29"/>
      <c r="Y43" s="29"/>
      <c r="Z43" s="29"/>
      <c r="AA43" s="29"/>
      <c r="AB43" s="29"/>
      <c r="AC43" s="29"/>
      <c r="AD43" s="29"/>
      <c r="AE43" s="29"/>
      <c r="AF43" s="29"/>
    </row>
    <row r="44" spans="1:32">
      <c r="O44" s="29"/>
      <c r="P44" s="29"/>
      <c r="Q44" s="29"/>
      <c r="R44" s="29"/>
    </row>
    <row r="66" spans="2:7">
      <c r="B66" s="27"/>
      <c r="C66" s="27"/>
      <c r="D66" s="27"/>
      <c r="E66" s="29"/>
      <c r="F66" s="27"/>
      <c r="G66" s="29"/>
    </row>
  </sheetData>
  <sheetProtection sheet="1" selectLockedCells="1"/>
  <customSheetViews>
    <customSheetView guid="{8063F48F-80B5-4ECD-B18A-51CBF126E780}" hiddenColumns="1" topLeftCell="A13">
      <selection activeCell="H23" sqref="H23"/>
      <pageMargins left="0.59055118110236227" right="0.57999999999999996" top="0.59055118110236227" bottom="0.59055118110236227" header="0.39370078740157483" footer="0.39370078740157483"/>
      <printOptions horizontalCentered="1"/>
      <pageSetup paperSize="9" scale="55" firstPageNumber="11" orientation="portrait" useFirstPageNumber="1" r:id="rId1"/>
      <headerFooter alignWithMargins="0">
        <oddFooter>&amp;L&amp;11LEL Schwäbisch Gmünd&amp;R&amp;11&amp;F</oddFooter>
      </headerFooter>
    </customSheetView>
    <customSheetView guid="{5D5C9B61-9ABD-4513-AAEB-8333A9D6196C}" hiddenColumns="1">
      <selection activeCell="AL26" sqref="AL26"/>
      <pageMargins left="0.59055118110236227" right="0.57999999999999996" top="0.59055118110236227" bottom="0.59055118110236227" header="0.39370078740157483" footer="0.39370078740157483"/>
      <printOptions horizontalCentered="1"/>
      <pageSetup paperSize="9" scale="55" firstPageNumber="11" orientation="portrait" useFirstPageNumber="1" r:id="rId2"/>
      <headerFooter alignWithMargins="0">
        <oddFooter>&amp;L&amp;11LEL Schwäbisch Gmünd&amp;R&amp;11&amp;F</oddFooter>
      </headerFooter>
    </customSheetView>
    <customSheetView guid="{22A73C4F-9004-4CEF-8499-B1F91BE1B569}" hiddenColumns="1" topLeftCell="A13">
      <selection activeCell="H23" sqref="H23"/>
      <pageMargins left="0.59055118110236227" right="0.57999999999999996" top="0.59055118110236227" bottom="0.59055118110236227" header="0.39370078740157483" footer="0.39370078740157483"/>
      <printOptions horizontalCentered="1"/>
      <pageSetup paperSize="9" scale="55" firstPageNumber="11" orientation="portrait" useFirstPageNumber="1" r:id="rId3"/>
      <headerFooter alignWithMargins="0">
        <oddFooter>&amp;L&amp;11LEL Schwäbisch Gmünd&amp;R&amp;11&amp;F</oddFooter>
      </headerFooter>
    </customSheetView>
  </customSheetViews>
  <mergeCells count="14">
    <mergeCell ref="N4:O4"/>
    <mergeCell ref="D5:E5"/>
    <mergeCell ref="D7:E7"/>
    <mergeCell ref="D14:E14"/>
    <mergeCell ref="D15:E15"/>
    <mergeCell ref="D16:E16"/>
    <mergeCell ref="C38:O38"/>
    <mergeCell ref="D8:E8"/>
    <mergeCell ref="D9:E9"/>
    <mergeCell ref="D10:E10"/>
    <mergeCell ref="D11:E11"/>
    <mergeCell ref="C37:O37"/>
    <mergeCell ref="D12:E12"/>
    <mergeCell ref="D13:E13"/>
  </mergeCells>
  <printOptions horizontalCentered="1"/>
  <pageMargins left="0.59055118110236227" right="0.57999999999999996" top="0.59055118110236227" bottom="0.59055118110236227" header="0.39370078740157483" footer="0.39370078740157483"/>
  <pageSetup paperSize="9" scale="55" firstPageNumber="11" orientation="portrait" useFirstPageNumber="1" r:id="rId4"/>
  <headerFooter alignWithMargins="0">
    <oddFooter>&amp;L&amp;11LEL Schwäbisch Gmünd&amp;R&amp;11&amp;F</oddFooter>
  </headerFooter>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0">
    <tabColor rgb="FF00B0F0"/>
    <pageSetUpPr fitToPage="1"/>
  </sheetPr>
  <dimension ref="A1:U1232"/>
  <sheetViews>
    <sheetView zoomScale="126" zoomScaleNormal="126" workbookViewId="0"/>
  </sheetViews>
  <sheetFormatPr baseColWidth="10" defaultColWidth="11.19921875" defaultRowHeight="13.2"/>
  <cols>
    <col min="1" max="1" width="1.5" style="29" customWidth="1"/>
    <col min="2" max="2" width="12" style="447" customWidth="1"/>
    <col min="3" max="3" width="7.69921875" style="444" customWidth="1"/>
    <col min="4" max="4" width="10.69921875" style="444" customWidth="1"/>
    <col min="5" max="5" width="6.8984375" style="446" customWidth="1"/>
    <col min="6" max="7" width="6.8984375" style="445" customWidth="1"/>
    <col min="8" max="8" width="6.8984375" style="29" customWidth="1"/>
    <col min="9" max="9" width="6.8984375" style="444" customWidth="1"/>
    <col min="10" max="13" width="6.8984375" style="29" customWidth="1"/>
    <col min="14" max="14" width="6.8984375" style="444" customWidth="1"/>
    <col min="15" max="15" width="9.59765625" style="29" customWidth="1"/>
    <col min="16" max="16" width="10" style="29" customWidth="1"/>
    <col min="17" max="17" width="9.19921875" style="29" customWidth="1"/>
    <col min="18" max="16384" width="11.19921875" style="29"/>
  </cols>
  <sheetData>
    <row r="1" spans="1:17" ht="15" customHeight="1">
      <c r="B1" s="486">
        <f>COLUMNS($B$1:B1)</f>
        <v>1</v>
      </c>
      <c r="C1" s="486">
        <f>COLUMNS($B$1:C1)</f>
        <v>2</v>
      </c>
      <c r="D1" s="486">
        <f>COLUMNS($D$1:D1)</f>
        <v>1</v>
      </c>
      <c r="E1" s="486">
        <f>COLUMNS($D$1:E1)</f>
        <v>2</v>
      </c>
      <c r="F1" s="486">
        <f>COLUMNS($F$1:F1)</f>
        <v>1</v>
      </c>
      <c r="G1" s="486">
        <f>COLUMNS($F$1:G1)</f>
        <v>2</v>
      </c>
      <c r="H1" s="486">
        <f>COLUMNS($H$1:H1)</f>
        <v>1</v>
      </c>
      <c r="I1" s="486">
        <f>COLUMNS($H$1:I1)</f>
        <v>2</v>
      </c>
      <c r="J1" s="486">
        <f>COLUMNS($J$1:J1)</f>
        <v>1</v>
      </c>
      <c r="K1" s="486">
        <f>COLUMNS($J$1:K1)</f>
        <v>2</v>
      </c>
      <c r="L1" s="486">
        <f>COLUMNS($L$1:L1)</f>
        <v>1</v>
      </c>
      <c r="M1" s="486">
        <f>COLUMNS($L$1:M1)</f>
        <v>2</v>
      </c>
      <c r="N1" s="486">
        <f>COLUMNS($N$1:N1)</f>
        <v>1</v>
      </c>
      <c r="O1" s="486">
        <f>COLUMNS($N$1:O1)</f>
        <v>2</v>
      </c>
      <c r="P1" s="486">
        <f>COLUMNS($P$1:P1)</f>
        <v>1</v>
      </c>
      <c r="Q1" s="486">
        <f>COLUMNS($P$1:Q1)</f>
        <v>2</v>
      </c>
    </row>
    <row r="2" spans="1:17" ht="21">
      <c r="B2" s="485" t="s">
        <v>564</v>
      </c>
      <c r="F2" s="3987"/>
      <c r="G2" s="3987"/>
      <c r="H2" s="3987"/>
      <c r="I2" s="449"/>
      <c r="M2" s="484"/>
      <c r="N2" s="483"/>
    </row>
    <row r="3" spans="1:17">
      <c r="B3" s="482"/>
      <c r="C3" s="481"/>
      <c r="D3" s="481"/>
      <c r="E3" s="480"/>
    </row>
    <row r="4" spans="1:17" ht="18.75" customHeight="1">
      <c r="B4" s="3998" t="s">
        <v>563</v>
      </c>
      <c r="C4" s="3989"/>
      <c r="D4" s="3988" t="s">
        <v>562</v>
      </c>
      <c r="E4" s="3989"/>
      <c r="F4" s="3988" t="s">
        <v>253</v>
      </c>
      <c r="G4" s="3989"/>
      <c r="H4" s="4000" t="s">
        <v>69</v>
      </c>
      <c r="I4" s="4001"/>
      <c r="J4" s="4000" t="s">
        <v>255</v>
      </c>
      <c r="K4" s="4004"/>
      <c r="L4" s="4006" t="s">
        <v>59</v>
      </c>
      <c r="M4" s="4007"/>
      <c r="N4" s="4010" t="s">
        <v>49</v>
      </c>
      <c r="O4" s="4011"/>
      <c r="P4" s="3994" t="s">
        <v>56</v>
      </c>
      <c r="Q4" s="3995"/>
    </row>
    <row r="5" spans="1:17" ht="14.25" customHeight="1">
      <c r="B5" s="3999"/>
      <c r="C5" s="3991"/>
      <c r="D5" s="3990"/>
      <c r="E5" s="3991"/>
      <c r="F5" s="3990"/>
      <c r="G5" s="3991"/>
      <c r="H5" s="4002"/>
      <c r="I5" s="4003"/>
      <c r="J5" s="4002"/>
      <c r="K5" s="4005"/>
      <c r="L5" s="4008"/>
      <c r="M5" s="4009"/>
      <c r="N5" s="3992"/>
      <c r="O5" s="3993"/>
      <c r="P5" s="3996"/>
      <c r="Q5" s="3997"/>
    </row>
    <row r="6" spans="1:17">
      <c r="B6" s="477">
        <v>0.15</v>
      </c>
      <c r="C6" s="479"/>
      <c r="D6" s="477">
        <v>0.15</v>
      </c>
      <c r="E6" s="479"/>
      <c r="F6" s="477">
        <v>0.13</v>
      </c>
      <c r="G6" s="478"/>
      <c r="H6" s="477">
        <v>0.15</v>
      </c>
      <c r="I6" s="476"/>
      <c r="J6" s="474">
        <v>0.09</v>
      </c>
      <c r="K6" s="473"/>
      <c r="L6" s="474">
        <v>0.09</v>
      </c>
      <c r="M6" s="475"/>
      <c r="N6" s="474">
        <v>0.15</v>
      </c>
      <c r="O6" s="473"/>
      <c r="P6" s="474">
        <v>0.09</v>
      </c>
      <c r="Q6" s="473"/>
    </row>
    <row r="7" spans="1:17">
      <c r="B7" s="471" t="s">
        <v>112</v>
      </c>
      <c r="C7" s="470" t="s">
        <v>220</v>
      </c>
      <c r="D7" s="472" t="s">
        <v>112</v>
      </c>
      <c r="E7" s="470" t="s">
        <v>220</v>
      </c>
      <c r="F7" s="472" t="s">
        <v>112</v>
      </c>
      <c r="G7" s="470" t="s">
        <v>220</v>
      </c>
      <c r="H7" s="471" t="s">
        <v>112</v>
      </c>
      <c r="I7" s="472" t="s">
        <v>561</v>
      </c>
      <c r="J7" s="471" t="s">
        <v>112</v>
      </c>
      <c r="K7" s="470" t="s">
        <v>220</v>
      </c>
      <c r="L7" s="471" t="s">
        <v>112</v>
      </c>
      <c r="M7" s="472" t="s">
        <v>220</v>
      </c>
      <c r="N7" s="471" t="s">
        <v>112</v>
      </c>
      <c r="O7" s="470" t="s">
        <v>220</v>
      </c>
      <c r="P7" s="471" t="s">
        <v>112</v>
      </c>
      <c r="Q7" s="470" t="s">
        <v>220</v>
      </c>
    </row>
    <row r="8" spans="1:17" s="467" customFormat="1" ht="10.199999999999999" customHeight="1">
      <c r="A8" s="469"/>
      <c r="B8" s="3014">
        <v>15.1</v>
      </c>
      <c r="C8" s="3015">
        <v>2.0249999999999999</v>
      </c>
      <c r="D8" s="3014">
        <v>15.1</v>
      </c>
      <c r="E8" s="3015">
        <v>2.3850000000000002</v>
      </c>
      <c r="F8" s="3014">
        <v>13.1</v>
      </c>
      <c r="G8" s="3015">
        <v>1.7100000000000002</v>
      </c>
      <c r="H8" s="3014">
        <v>15.1</v>
      </c>
      <c r="I8" s="3015">
        <v>0.5</v>
      </c>
      <c r="J8" s="3014">
        <v>9.1</v>
      </c>
      <c r="K8" s="3022">
        <v>1.7100000000000002</v>
      </c>
      <c r="L8" s="3014">
        <v>9.1</v>
      </c>
      <c r="M8" s="3022">
        <v>2.16</v>
      </c>
      <c r="N8" s="3014">
        <v>15.1</v>
      </c>
      <c r="O8" s="3015">
        <v>2.3850000000000002</v>
      </c>
      <c r="P8" s="3014">
        <v>9.1</v>
      </c>
      <c r="Q8" s="3022">
        <v>2.16</v>
      </c>
    </row>
    <row r="9" spans="1:17" s="467" customFormat="1" ht="10.199999999999999" customHeight="1">
      <c r="B9" s="3014">
        <v>15.2</v>
      </c>
      <c r="C9" s="3015">
        <v>2.0949999999999998</v>
      </c>
      <c r="D9" s="3014">
        <v>15.2</v>
      </c>
      <c r="E9" s="3015">
        <v>2.4700000000000002</v>
      </c>
      <c r="F9" s="3014">
        <v>13.2</v>
      </c>
      <c r="G9" s="3015">
        <v>1.7550000000000001</v>
      </c>
      <c r="H9" s="3014">
        <v>15.2</v>
      </c>
      <c r="I9" s="3015">
        <v>0.5</v>
      </c>
      <c r="J9" s="3014">
        <v>9.1999999999999993</v>
      </c>
      <c r="K9" s="3020">
        <v>1.7700000000000002</v>
      </c>
      <c r="L9" s="3014">
        <v>9.1999999999999993</v>
      </c>
      <c r="M9" s="3020">
        <v>2.23</v>
      </c>
      <c r="N9" s="3014">
        <v>15.2</v>
      </c>
      <c r="O9" s="3015">
        <v>2.4700000000000002</v>
      </c>
      <c r="P9" s="3014">
        <v>9.1999999999999993</v>
      </c>
      <c r="Q9" s="3020">
        <v>2.23</v>
      </c>
    </row>
    <row r="10" spans="1:17" s="467" customFormat="1" ht="10.199999999999999" customHeight="1">
      <c r="B10" s="3014">
        <v>15.3</v>
      </c>
      <c r="C10" s="3015">
        <v>2.165</v>
      </c>
      <c r="D10" s="3014">
        <v>15.3</v>
      </c>
      <c r="E10" s="3015">
        <v>2.5550000000000006</v>
      </c>
      <c r="F10" s="3014">
        <v>13.3</v>
      </c>
      <c r="G10" s="3015">
        <v>1.8</v>
      </c>
      <c r="H10" s="3014">
        <v>15.3</v>
      </c>
      <c r="I10" s="3015">
        <v>0.5</v>
      </c>
      <c r="J10" s="3014">
        <v>9.3000000000000007</v>
      </c>
      <c r="K10" s="3020">
        <v>1.8300000000000005</v>
      </c>
      <c r="L10" s="3014">
        <v>9.3000000000000007</v>
      </c>
      <c r="M10" s="3020">
        <v>2.2999999999999998</v>
      </c>
      <c r="N10" s="3014">
        <v>15.3</v>
      </c>
      <c r="O10" s="3015">
        <v>2.5550000000000006</v>
      </c>
      <c r="P10" s="3014">
        <v>9.3000000000000007</v>
      </c>
      <c r="Q10" s="3020">
        <v>2.2999999999999998</v>
      </c>
    </row>
    <row r="11" spans="1:17" s="467" customFormat="1" ht="10.199999999999999" customHeight="1">
      <c r="B11" s="3014">
        <v>15.4</v>
      </c>
      <c r="C11" s="3015">
        <v>2.2349999999999999</v>
      </c>
      <c r="D11" s="3014">
        <v>15.4</v>
      </c>
      <c r="E11" s="3015">
        <v>2.6400000000000006</v>
      </c>
      <c r="F11" s="3014">
        <v>13.4</v>
      </c>
      <c r="G11" s="3015">
        <v>1.845</v>
      </c>
      <c r="H11" s="3014">
        <v>15.4</v>
      </c>
      <c r="I11" s="3015">
        <v>0.5</v>
      </c>
      <c r="J11" s="3014">
        <v>9.4</v>
      </c>
      <c r="K11" s="3020">
        <v>1.8900000000000006</v>
      </c>
      <c r="L11" s="3014">
        <v>9.4</v>
      </c>
      <c r="M11" s="3020">
        <v>2.37</v>
      </c>
      <c r="N11" s="3014">
        <v>15.4</v>
      </c>
      <c r="O11" s="3015">
        <v>2.6400000000000006</v>
      </c>
      <c r="P11" s="3014">
        <v>9.4</v>
      </c>
      <c r="Q11" s="3020">
        <v>2.37</v>
      </c>
    </row>
    <row r="12" spans="1:17" s="467" customFormat="1" ht="10.199999999999999" customHeight="1">
      <c r="B12" s="3014">
        <v>15.5</v>
      </c>
      <c r="C12" s="3015">
        <v>2.3049999999999997</v>
      </c>
      <c r="D12" s="3014">
        <v>15.5</v>
      </c>
      <c r="E12" s="3015">
        <v>2.7250000000000005</v>
      </c>
      <c r="F12" s="3014">
        <v>13.5</v>
      </c>
      <c r="G12" s="3015">
        <v>1.89</v>
      </c>
      <c r="H12" s="3014">
        <v>15.5</v>
      </c>
      <c r="I12" s="3015">
        <v>0.5</v>
      </c>
      <c r="J12" s="3014">
        <v>9.5</v>
      </c>
      <c r="K12" s="3020">
        <v>1.9500000000000006</v>
      </c>
      <c r="L12" s="3014">
        <v>9.5</v>
      </c>
      <c r="M12" s="3020">
        <v>2.44</v>
      </c>
      <c r="N12" s="3014">
        <v>15.5</v>
      </c>
      <c r="O12" s="3015">
        <v>2.7250000000000005</v>
      </c>
      <c r="P12" s="3014">
        <v>9.5</v>
      </c>
      <c r="Q12" s="3020">
        <v>2.44</v>
      </c>
    </row>
    <row r="13" spans="1:17" s="467" customFormat="1" ht="10.199999999999999" customHeight="1">
      <c r="B13" s="3014">
        <v>15.6</v>
      </c>
      <c r="C13" s="3015">
        <v>2.3749999999999996</v>
      </c>
      <c r="D13" s="3014">
        <v>15.6</v>
      </c>
      <c r="E13" s="3015">
        <v>2.8100000000000009</v>
      </c>
      <c r="F13" s="3014">
        <v>13.6</v>
      </c>
      <c r="G13" s="3015">
        <v>1.9349999999999998</v>
      </c>
      <c r="H13" s="3014">
        <v>15.6</v>
      </c>
      <c r="I13" s="3015">
        <v>0.5</v>
      </c>
      <c r="J13" s="3014">
        <v>9.6</v>
      </c>
      <c r="K13" s="3020">
        <v>2.0100000000000007</v>
      </c>
      <c r="L13" s="3014">
        <v>9.6</v>
      </c>
      <c r="M13" s="3020">
        <v>2.5099999999999998</v>
      </c>
      <c r="N13" s="3014">
        <v>15.6</v>
      </c>
      <c r="O13" s="3015">
        <v>2.8100000000000009</v>
      </c>
      <c r="P13" s="3014">
        <v>9.6</v>
      </c>
      <c r="Q13" s="3020">
        <v>2.5099999999999998</v>
      </c>
    </row>
    <row r="14" spans="1:17" s="467" customFormat="1" ht="10.199999999999999" customHeight="1">
      <c r="B14" s="3014">
        <v>15.7</v>
      </c>
      <c r="C14" s="3015">
        <v>2.4449999999999994</v>
      </c>
      <c r="D14" s="3014">
        <v>15.7</v>
      </c>
      <c r="E14" s="3015">
        <v>2.8950000000000009</v>
      </c>
      <c r="F14" s="3014">
        <v>13.7</v>
      </c>
      <c r="G14" s="3015">
        <v>1.9799999999999998</v>
      </c>
      <c r="H14" s="3014">
        <v>15.7</v>
      </c>
      <c r="I14" s="3015">
        <v>0.5</v>
      </c>
      <c r="J14" s="3014">
        <v>9.6999999999999993</v>
      </c>
      <c r="K14" s="3020">
        <v>2.0700000000000012</v>
      </c>
      <c r="L14" s="3014">
        <v>9.7000000000000099</v>
      </c>
      <c r="M14" s="3020">
        <v>2.5799999999999996</v>
      </c>
      <c r="N14" s="3014">
        <v>15.7</v>
      </c>
      <c r="O14" s="3015">
        <v>2.8950000000000009</v>
      </c>
      <c r="P14" s="3014">
        <v>9.6999999999999993</v>
      </c>
      <c r="Q14" s="3020">
        <v>2.5799999999999996</v>
      </c>
    </row>
    <row r="15" spans="1:17" s="467" customFormat="1" ht="10.199999999999999" customHeight="1">
      <c r="B15" s="3014">
        <v>15.8</v>
      </c>
      <c r="C15" s="3015">
        <v>2.5149999999999997</v>
      </c>
      <c r="D15" s="3014">
        <v>15.8</v>
      </c>
      <c r="E15" s="3015">
        <v>2.9800000000000013</v>
      </c>
      <c r="F15" s="3014">
        <v>13.8</v>
      </c>
      <c r="G15" s="3015">
        <v>2.0249999999999995</v>
      </c>
      <c r="H15" s="3014">
        <v>15.8</v>
      </c>
      <c r="I15" s="3015">
        <v>0.5</v>
      </c>
      <c r="J15" s="3014">
        <v>9.8000000000000007</v>
      </c>
      <c r="K15" s="3020">
        <v>2.1300000000000012</v>
      </c>
      <c r="L15" s="3014">
        <v>9.8000000000000096</v>
      </c>
      <c r="M15" s="3020">
        <v>2.6499999999999995</v>
      </c>
      <c r="N15" s="3014">
        <v>15.8</v>
      </c>
      <c r="O15" s="3015">
        <v>2.9800000000000013</v>
      </c>
      <c r="P15" s="3014">
        <v>9.8000000000000007</v>
      </c>
      <c r="Q15" s="3020">
        <v>2.6499999999999995</v>
      </c>
    </row>
    <row r="16" spans="1:17" s="467" customFormat="1" ht="10.199999999999999" customHeight="1">
      <c r="B16" s="3016">
        <v>15.9</v>
      </c>
      <c r="C16" s="3015">
        <v>2.5849999999999995</v>
      </c>
      <c r="D16" s="3016">
        <v>15.9</v>
      </c>
      <c r="E16" s="3015">
        <v>3.0650000000000013</v>
      </c>
      <c r="F16" s="3016">
        <v>13.9</v>
      </c>
      <c r="G16" s="3015">
        <v>2.0699999999999994</v>
      </c>
      <c r="H16" s="3016">
        <v>15.9</v>
      </c>
      <c r="I16" s="3015">
        <v>0.5</v>
      </c>
      <c r="J16" s="3016">
        <v>9.9</v>
      </c>
      <c r="K16" s="3020">
        <v>2.1900000000000013</v>
      </c>
      <c r="L16" s="3016">
        <v>9.9000000000000092</v>
      </c>
      <c r="M16" s="3020">
        <v>2.7199999999999998</v>
      </c>
      <c r="N16" s="3016">
        <v>15.9</v>
      </c>
      <c r="O16" s="3015">
        <v>3.0650000000000013</v>
      </c>
      <c r="P16" s="3016">
        <v>9.9</v>
      </c>
      <c r="Q16" s="3020">
        <v>2.7199999999999998</v>
      </c>
    </row>
    <row r="17" spans="1:17" s="467" customFormat="1" ht="10.199999999999999" customHeight="1">
      <c r="B17" s="3014">
        <v>16</v>
      </c>
      <c r="C17" s="3015">
        <v>2.6549999999999994</v>
      </c>
      <c r="D17" s="3014">
        <v>16</v>
      </c>
      <c r="E17" s="3015">
        <v>3.1500000000000012</v>
      </c>
      <c r="F17" s="3014">
        <v>14</v>
      </c>
      <c r="G17" s="3015">
        <v>2.1149999999999993</v>
      </c>
      <c r="H17" s="3014">
        <v>16</v>
      </c>
      <c r="I17" s="3015">
        <v>0.8</v>
      </c>
      <c r="J17" s="3014">
        <v>10</v>
      </c>
      <c r="K17" s="3020">
        <v>2.2500000000000013</v>
      </c>
      <c r="L17" s="3014">
        <v>10</v>
      </c>
      <c r="M17" s="3020">
        <v>2.7899999999999996</v>
      </c>
      <c r="N17" s="3014">
        <v>16</v>
      </c>
      <c r="O17" s="3015">
        <v>3.1500000000000012</v>
      </c>
      <c r="P17" s="3014">
        <v>10</v>
      </c>
      <c r="Q17" s="3020">
        <v>2.7899999999999996</v>
      </c>
    </row>
    <row r="18" spans="1:17" s="467" customFormat="1" ht="10.199999999999999" customHeight="1">
      <c r="B18" s="3014">
        <v>16.100000000000001</v>
      </c>
      <c r="C18" s="3015">
        <v>2.7249999999999992</v>
      </c>
      <c r="D18" s="3014">
        <v>16.100000000000001</v>
      </c>
      <c r="E18" s="3015">
        <v>3.2350000000000017</v>
      </c>
      <c r="F18" s="3014">
        <v>14.1</v>
      </c>
      <c r="G18" s="3015">
        <v>2.1599999999999993</v>
      </c>
      <c r="H18" s="3014">
        <v>16.100000000000001</v>
      </c>
      <c r="I18" s="3015">
        <v>0.8</v>
      </c>
      <c r="J18" s="3014">
        <v>10.1</v>
      </c>
      <c r="K18" s="3020">
        <v>2.3100000000000014</v>
      </c>
      <c r="L18" s="3014">
        <v>10.1</v>
      </c>
      <c r="M18" s="3020">
        <v>2.8599999999999994</v>
      </c>
      <c r="N18" s="3014">
        <v>16.100000000000001</v>
      </c>
      <c r="O18" s="3015">
        <v>3.2350000000000017</v>
      </c>
      <c r="P18" s="3014">
        <v>10.1</v>
      </c>
      <c r="Q18" s="3020">
        <v>2.8599999999999994</v>
      </c>
    </row>
    <row r="19" spans="1:17" s="467" customFormat="1" ht="10.199999999999999" customHeight="1">
      <c r="B19" s="3014">
        <v>16.2</v>
      </c>
      <c r="C19" s="3015">
        <v>2.794999999999999</v>
      </c>
      <c r="D19" s="3014">
        <v>16.2</v>
      </c>
      <c r="E19" s="3015">
        <v>3.3200000000000016</v>
      </c>
      <c r="F19" s="3014">
        <v>14.2</v>
      </c>
      <c r="G19" s="3015">
        <v>2.2049999999999992</v>
      </c>
      <c r="H19" s="3014">
        <v>16.2</v>
      </c>
      <c r="I19" s="3015">
        <v>0.8</v>
      </c>
      <c r="J19" s="3014">
        <v>10.199999999999999</v>
      </c>
      <c r="K19" s="3020">
        <v>2.3700000000000019</v>
      </c>
      <c r="L19" s="3014">
        <v>10.199999999999999</v>
      </c>
      <c r="M19" s="3020">
        <v>2.9299999999999993</v>
      </c>
      <c r="N19" s="3014">
        <v>16.2</v>
      </c>
      <c r="O19" s="3015">
        <v>3.3200000000000016</v>
      </c>
      <c r="P19" s="3014">
        <v>10.199999999999999</v>
      </c>
      <c r="Q19" s="3020">
        <v>2.9299999999999993</v>
      </c>
    </row>
    <row r="20" spans="1:17" s="467" customFormat="1" ht="10.199999999999999" customHeight="1">
      <c r="B20" s="3014">
        <v>16.3</v>
      </c>
      <c r="C20" s="3015">
        <v>2.8649999999999993</v>
      </c>
      <c r="D20" s="3014">
        <v>16.3</v>
      </c>
      <c r="E20" s="3015">
        <v>3.405000000000002</v>
      </c>
      <c r="F20" s="3014">
        <v>14.3</v>
      </c>
      <c r="G20" s="3015">
        <v>2.2499999999999991</v>
      </c>
      <c r="H20" s="3014">
        <v>16.3</v>
      </c>
      <c r="I20" s="3015">
        <v>0.8</v>
      </c>
      <c r="J20" s="3014">
        <v>10.3</v>
      </c>
      <c r="K20" s="3020">
        <v>2.4300000000000019</v>
      </c>
      <c r="L20" s="3014">
        <v>10.3</v>
      </c>
      <c r="M20" s="3020">
        <v>2.9999999999999991</v>
      </c>
      <c r="N20" s="3014">
        <v>16.3</v>
      </c>
      <c r="O20" s="3015">
        <v>3.405000000000002</v>
      </c>
      <c r="P20" s="3014">
        <v>10.3</v>
      </c>
      <c r="Q20" s="3020">
        <v>2.9999999999999991</v>
      </c>
    </row>
    <row r="21" spans="1:17" s="467" customFormat="1" ht="10.199999999999999" customHeight="1">
      <c r="B21" s="3014">
        <v>16.399999999999999</v>
      </c>
      <c r="C21" s="3015">
        <v>2.9349999999999992</v>
      </c>
      <c r="D21" s="3014">
        <v>16.399999999999999</v>
      </c>
      <c r="E21" s="3015">
        <v>3.490000000000002</v>
      </c>
      <c r="F21" s="3014">
        <v>14.4</v>
      </c>
      <c r="G21" s="3015">
        <v>2.294999999999999</v>
      </c>
      <c r="H21" s="3014">
        <v>16.399999999999999</v>
      </c>
      <c r="I21" s="3015">
        <v>0.8</v>
      </c>
      <c r="J21" s="3014">
        <v>10.4</v>
      </c>
      <c r="K21" s="3020">
        <v>2.490000000000002</v>
      </c>
      <c r="L21" s="3014">
        <v>10.4</v>
      </c>
      <c r="M21" s="3020">
        <v>3.0699999999999994</v>
      </c>
      <c r="N21" s="3014">
        <v>16.399999999999999</v>
      </c>
      <c r="O21" s="3015">
        <v>3.490000000000002</v>
      </c>
      <c r="P21" s="3014">
        <v>10.4</v>
      </c>
      <c r="Q21" s="3020">
        <v>3.0699999999999994</v>
      </c>
    </row>
    <row r="22" spans="1:17" s="467" customFormat="1" ht="10.199999999999999" customHeight="1">
      <c r="B22" s="3014">
        <v>16.5</v>
      </c>
      <c r="C22" s="3015">
        <v>3.004999999999999</v>
      </c>
      <c r="D22" s="3014">
        <v>16.5</v>
      </c>
      <c r="E22" s="3015">
        <v>3.575000000000002</v>
      </c>
      <c r="F22" s="3014">
        <v>14.5</v>
      </c>
      <c r="G22" s="3015">
        <v>2.339999999999999</v>
      </c>
      <c r="H22" s="3014">
        <v>16.5</v>
      </c>
      <c r="I22" s="3015">
        <v>0.8</v>
      </c>
      <c r="J22" s="3014">
        <v>10.5</v>
      </c>
      <c r="K22" s="3020">
        <v>2.550000000000002</v>
      </c>
      <c r="L22" s="3014">
        <v>10.5</v>
      </c>
      <c r="M22" s="3020">
        <v>3.1399999999999992</v>
      </c>
      <c r="N22" s="3014">
        <v>16.5</v>
      </c>
      <c r="O22" s="3015">
        <v>3.575000000000002</v>
      </c>
      <c r="P22" s="3014">
        <v>10.5</v>
      </c>
      <c r="Q22" s="3020">
        <v>3.1399999999999992</v>
      </c>
    </row>
    <row r="23" spans="1:17" s="467" customFormat="1" ht="10.199999999999999" customHeight="1">
      <c r="B23" s="3014">
        <v>16.600000000000001</v>
      </c>
      <c r="C23" s="3015">
        <v>3.0749999999999988</v>
      </c>
      <c r="D23" s="3014">
        <v>16.600000000000001</v>
      </c>
      <c r="E23" s="3015">
        <v>3.6600000000000024</v>
      </c>
      <c r="F23" s="3014">
        <v>14.6</v>
      </c>
      <c r="G23" s="3015">
        <v>2.3849999999999989</v>
      </c>
      <c r="H23" s="3014">
        <v>16.600000000000001</v>
      </c>
      <c r="I23" s="3015">
        <v>0.8</v>
      </c>
      <c r="J23" s="3014">
        <v>10.6</v>
      </c>
      <c r="K23" s="3020">
        <v>2.6100000000000021</v>
      </c>
      <c r="L23" s="3014">
        <v>10.6</v>
      </c>
      <c r="M23" s="3020">
        <v>3.2099999999999995</v>
      </c>
      <c r="N23" s="3014">
        <v>16.600000000000001</v>
      </c>
      <c r="O23" s="3015">
        <v>3.6600000000000024</v>
      </c>
      <c r="P23" s="3014">
        <v>10.6</v>
      </c>
      <c r="Q23" s="3020">
        <v>3.2099999999999995</v>
      </c>
    </row>
    <row r="24" spans="1:17" s="467" customFormat="1" ht="10.199999999999999" customHeight="1">
      <c r="B24" s="3014">
        <v>16.7</v>
      </c>
      <c r="C24" s="3015">
        <v>3.1449999999999987</v>
      </c>
      <c r="D24" s="3014">
        <v>16.7</v>
      </c>
      <c r="E24" s="3015">
        <v>3.7450000000000023</v>
      </c>
      <c r="F24" s="3014">
        <v>14.7</v>
      </c>
      <c r="G24" s="3015">
        <v>2.4299999999999988</v>
      </c>
      <c r="H24" s="3014">
        <v>16.7</v>
      </c>
      <c r="I24" s="3015">
        <v>0.8</v>
      </c>
      <c r="J24" s="3014">
        <v>10.7</v>
      </c>
      <c r="K24" s="3020">
        <v>2.6700000000000026</v>
      </c>
      <c r="L24" s="3014">
        <v>10.7</v>
      </c>
      <c r="M24" s="3020">
        <v>3.28</v>
      </c>
      <c r="N24" s="3014">
        <v>16.7</v>
      </c>
      <c r="O24" s="3015">
        <v>3.7450000000000023</v>
      </c>
      <c r="P24" s="3014">
        <v>10.7</v>
      </c>
      <c r="Q24" s="3020">
        <v>3.28</v>
      </c>
    </row>
    <row r="25" spans="1:17" s="467" customFormat="1" ht="10.199999999999999" customHeight="1">
      <c r="B25" s="3014">
        <v>16.8</v>
      </c>
      <c r="C25" s="3015">
        <v>3.214999999999999</v>
      </c>
      <c r="D25" s="3014">
        <v>16.8</v>
      </c>
      <c r="E25" s="3015">
        <v>3.8300000000000027</v>
      </c>
      <c r="F25" s="3014">
        <v>14.8</v>
      </c>
      <c r="G25" s="3015">
        <v>2.4749999999999988</v>
      </c>
      <c r="H25" s="3014">
        <v>16.8</v>
      </c>
      <c r="I25" s="3015">
        <v>0.8</v>
      </c>
      <c r="J25" s="3014">
        <v>10.8</v>
      </c>
      <c r="K25" s="3020">
        <v>2.7300000000000026</v>
      </c>
      <c r="L25" s="3014">
        <v>10.8</v>
      </c>
      <c r="M25" s="3020">
        <v>3.35</v>
      </c>
      <c r="N25" s="3014">
        <v>16.8</v>
      </c>
      <c r="O25" s="3015">
        <v>3.8300000000000027</v>
      </c>
      <c r="P25" s="3014">
        <v>10.8</v>
      </c>
      <c r="Q25" s="3020">
        <v>3.35</v>
      </c>
    </row>
    <row r="26" spans="1:17" s="467" customFormat="1" ht="10.199999999999999" customHeight="1">
      <c r="B26" s="3016">
        <v>16.899999999999999</v>
      </c>
      <c r="C26" s="3015">
        <v>3.2849999999999993</v>
      </c>
      <c r="D26" s="3016">
        <v>16.899999999999999</v>
      </c>
      <c r="E26" s="3015">
        <v>3.9150000000000027</v>
      </c>
      <c r="F26" s="3016">
        <v>14.9</v>
      </c>
      <c r="G26" s="3015">
        <v>2.5199999999999987</v>
      </c>
      <c r="H26" s="3016">
        <v>16.899999999999999</v>
      </c>
      <c r="I26" s="3015">
        <v>0.8</v>
      </c>
      <c r="J26" s="3016">
        <v>10.9</v>
      </c>
      <c r="K26" s="3020">
        <v>2.7900000000000027</v>
      </c>
      <c r="L26" s="3016">
        <v>10.9</v>
      </c>
      <c r="M26" s="3020">
        <v>3.4200000000000004</v>
      </c>
      <c r="N26" s="3016">
        <v>16.899999999999999</v>
      </c>
      <c r="O26" s="3015">
        <v>3.9150000000000027</v>
      </c>
      <c r="P26" s="3016">
        <v>10.9</v>
      </c>
      <c r="Q26" s="3020">
        <v>3.4200000000000004</v>
      </c>
    </row>
    <row r="27" spans="1:17" s="467" customFormat="1" ht="10.199999999999999" customHeight="1">
      <c r="A27" s="469"/>
      <c r="B27" s="3014">
        <v>17</v>
      </c>
      <c r="C27" s="3015">
        <v>3.3549999999999995</v>
      </c>
      <c r="D27" s="3014">
        <v>17</v>
      </c>
      <c r="E27" s="3015">
        <v>4.0000000000000027</v>
      </c>
      <c r="F27" s="3014">
        <v>15</v>
      </c>
      <c r="G27" s="3015">
        <v>2.5649999999999986</v>
      </c>
      <c r="H27" s="3014">
        <v>17</v>
      </c>
      <c r="I27" s="3015">
        <v>1.1000000000000001</v>
      </c>
      <c r="J27" s="3014">
        <v>11</v>
      </c>
      <c r="K27" s="3020">
        <v>2.8500000000000028</v>
      </c>
      <c r="L27" s="3014">
        <v>11</v>
      </c>
      <c r="M27" s="3020">
        <v>3.4900000000000007</v>
      </c>
      <c r="N27" s="3014">
        <v>17</v>
      </c>
      <c r="O27" s="3015">
        <v>4.0000000000000027</v>
      </c>
      <c r="P27" s="3014">
        <v>11</v>
      </c>
      <c r="Q27" s="3020">
        <v>3.4900000000000007</v>
      </c>
    </row>
    <row r="28" spans="1:17" s="467" customFormat="1" ht="10.199999999999999" customHeight="1">
      <c r="B28" s="3014">
        <v>17.100000000000001</v>
      </c>
      <c r="C28" s="3015">
        <v>3.4249999999999998</v>
      </c>
      <c r="D28" s="3014">
        <v>17.100000000000001</v>
      </c>
      <c r="E28" s="3015">
        <v>4.0850000000000026</v>
      </c>
      <c r="F28" s="3014">
        <v>15.1</v>
      </c>
      <c r="G28" s="3015">
        <v>2.6099999999999985</v>
      </c>
      <c r="H28" s="3014">
        <v>17.100000000000001</v>
      </c>
      <c r="I28" s="3015">
        <v>1.1000000000000001</v>
      </c>
      <c r="J28" s="3014">
        <v>11.1</v>
      </c>
      <c r="K28" s="3020">
        <v>2.9100000000000028</v>
      </c>
      <c r="L28" s="3014">
        <v>11.1</v>
      </c>
      <c r="M28" s="3020">
        <v>3.5600000000000009</v>
      </c>
      <c r="N28" s="3014">
        <v>17.100000000000001</v>
      </c>
      <c r="O28" s="3015">
        <v>4.0850000000000026</v>
      </c>
      <c r="P28" s="3014">
        <v>11.1</v>
      </c>
      <c r="Q28" s="3020">
        <v>3.5600000000000009</v>
      </c>
    </row>
    <row r="29" spans="1:17" s="467" customFormat="1" ht="10.199999999999999" customHeight="1">
      <c r="B29" s="3014">
        <v>17.2</v>
      </c>
      <c r="C29" s="3015">
        <v>3.4950000000000001</v>
      </c>
      <c r="D29" s="3014">
        <v>17.2</v>
      </c>
      <c r="E29" s="3015">
        <v>4.1700000000000035</v>
      </c>
      <c r="F29" s="3014">
        <v>15.2</v>
      </c>
      <c r="G29" s="3015">
        <v>2.6549999999999985</v>
      </c>
      <c r="H29" s="3014">
        <v>17.2</v>
      </c>
      <c r="I29" s="3015">
        <v>1.1000000000000001</v>
      </c>
      <c r="J29" s="3014">
        <v>11.2</v>
      </c>
      <c r="K29" s="3020">
        <v>2.9700000000000033</v>
      </c>
      <c r="L29" s="3014">
        <v>11.2</v>
      </c>
      <c r="M29" s="3020">
        <v>3.6300000000000012</v>
      </c>
      <c r="N29" s="3014">
        <v>17.2</v>
      </c>
      <c r="O29" s="3015">
        <v>4.1700000000000035</v>
      </c>
      <c r="P29" s="3014">
        <v>11.2</v>
      </c>
      <c r="Q29" s="3020">
        <v>3.6300000000000012</v>
      </c>
    </row>
    <row r="30" spans="1:17" s="467" customFormat="1" ht="10.199999999999999" customHeight="1">
      <c r="B30" s="3014">
        <v>17.3</v>
      </c>
      <c r="C30" s="3015">
        <v>3.5650000000000004</v>
      </c>
      <c r="D30" s="3014">
        <v>17.3</v>
      </c>
      <c r="E30" s="3015">
        <v>4.2550000000000034</v>
      </c>
      <c r="F30" s="3014">
        <v>15.3</v>
      </c>
      <c r="G30" s="3015">
        <v>2.6999999999999984</v>
      </c>
      <c r="H30" s="3014">
        <v>17.3</v>
      </c>
      <c r="I30" s="3015">
        <v>1.1000000000000001</v>
      </c>
      <c r="J30" s="3014">
        <v>11.3</v>
      </c>
      <c r="K30" s="3020">
        <v>3.0300000000000034</v>
      </c>
      <c r="L30" s="3014">
        <v>11.3</v>
      </c>
      <c r="M30" s="3020">
        <v>3.7000000000000015</v>
      </c>
      <c r="N30" s="3014">
        <v>17.3</v>
      </c>
      <c r="O30" s="3015">
        <v>4.2550000000000034</v>
      </c>
      <c r="P30" s="3014">
        <v>11.3</v>
      </c>
      <c r="Q30" s="3020">
        <v>3.7000000000000015</v>
      </c>
    </row>
    <row r="31" spans="1:17" s="467" customFormat="1" ht="10.199999999999999" customHeight="1">
      <c r="B31" s="3014">
        <v>17.399999999999999</v>
      </c>
      <c r="C31" s="3015">
        <v>3.6350000000000007</v>
      </c>
      <c r="D31" s="3014">
        <v>17.399999999999999</v>
      </c>
      <c r="E31" s="3015">
        <v>4.3400000000000034</v>
      </c>
      <c r="F31" s="3014">
        <v>15.4</v>
      </c>
      <c r="G31" s="3015">
        <v>2.7449999999999983</v>
      </c>
      <c r="H31" s="3014">
        <v>17.399999999999999</v>
      </c>
      <c r="I31" s="3015">
        <v>1.1000000000000001</v>
      </c>
      <c r="J31" s="3014">
        <v>11.4</v>
      </c>
      <c r="K31" s="3020">
        <v>3.0900000000000034</v>
      </c>
      <c r="L31" s="3014">
        <v>11.4</v>
      </c>
      <c r="M31" s="3020">
        <v>3.7700000000000018</v>
      </c>
      <c r="N31" s="3014">
        <v>17.399999999999999</v>
      </c>
      <c r="O31" s="3015">
        <v>4.3400000000000034</v>
      </c>
      <c r="P31" s="3014">
        <v>11.4</v>
      </c>
      <c r="Q31" s="3020">
        <v>3.7700000000000018</v>
      </c>
    </row>
    <row r="32" spans="1:17" s="467" customFormat="1" ht="10.199999999999999" customHeight="1">
      <c r="B32" s="3014">
        <v>17.5</v>
      </c>
      <c r="C32" s="3015">
        <v>3.705000000000001</v>
      </c>
      <c r="D32" s="3014">
        <v>17.5</v>
      </c>
      <c r="E32" s="3015">
        <v>4.4250000000000034</v>
      </c>
      <c r="F32" s="3014">
        <v>15.5</v>
      </c>
      <c r="G32" s="3015">
        <v>2.7899999999999983</v>
      </c>
      <c r="H32" s="3014">
        <v>17.5</v>
      </c>
      <c r="I32" s="3015">
        <v>1.1000000000000001</v>
      </c>
      <c r="J32" s="3014">
        <v>11.5</v>
      </c>
      <c r="K32" s="3020">
        <v>3.1500000000000035</v>
      </c>
      <c r="L32" s="3014">
        <v>11.5</v>
      </c>
      <c r="M32" s="3020">
        <v>3.8400000000000021</v>
      </c>
      <c r="N32" s="3014">
        <v>17.5</v>
      </c>
      <c r="O32" s="3015">
        <v>4.4250000000000034</v>
      </c>
      <c r="P32" s="3014">
        <v>11.5</v>
      </c>
      <c r="Q32" s="3020">
        <v>3.8400000000000021</v>
      </c>
    </row>
    <row r="33" spans="1:17" s="467" customFormat="1" ht="10.199999999999999" customHeight="1">
      <c r="B33" s="3014">
        <v>17.600000000000001</v>
      </c>
      <c r="C33" s="3015">
        <v>3.7750000000000012</v>
      </c>
      <c r="D33" s="3014">
        <v>17.600000000000001</v>
      </c>
      <c r="E33" s="3015">
        <v>4.5100000000000033</v>
      </c>
      <c r="F33" s="3014">
        <v>15.6</v>
      </c>
      <c r="G33" s="3015">
        <v>2.8349999999999982</v>
      </c>
      <c r="H33" s="3014">
        <v>17.600000000000001</v>
      </c>
      <c r="I33" s="3015">
        <v>1.1000000000000001</v>
      </c>
      <c r="J33" s="3014">
        <v>11.6</v>
      </c>
      <c r="K33" s="3020">
        <v>3.2100000000000035</v>
      </c>
      <c r="L33" s="3014">
        <v>11.6</v>
      </c>
      <c r="M33" s="3020">
        <v>3.9100000000000024</v>
      </c>
      <c r="N33" s="3014">
        <v>17.600000000000001</v>
      </c>
      <c r="O33" s="3015">
        <v>4.5100000000000033</v>
      </c>
      <c r="P33" s="3014">
        <v>11.6</v>
      </c>
      <c r="Q33" s="3020">
        <v>3.9100000000000024</v>
      </c>
    </row>
    <row r="34" spans="1:17" s="467" customFormat="1" ht="10.199999999999999" customHeight="1">
      <c r="B34" s="3014">
        <v>17.7</v>
      </c>
      <c r="C34" s="3015">
        <v>3.8450000000000015</v>
      </c>
      <c r="D34" s="3014">
        <v>17.7</v>
      </c>
      <c r="E34" s="3015">
        <v>4.5950000000000042</v>
      </c>
      <c r="F34" s="3014">
        <v>15.7</v>
      </c>
      <c r="G34" s="3015">
        <v>2.8799999999999981</v>
      </c>
      <c r="H34" s="3014">
        <v>17.7</v>
      </c>
      <c r="I34" s="3015">
        <v>1.1000000000000001</v>
      </c>
      <c r="J34" s="3014">
        <v>11.7</v>
      </c>
      <c r="K34" s="3020">
        <v>3.270000000000004</v>
      </c>
      <c r="L34" s="3014">
        <v>11.7</v>
      </c>
      <c r="M34" s="3020">
        <v>3.9800000000000026</v>
      </c>
      <c r="N34" s="3014">
        <v>17.7</v>
      </c>
      <c r="O34" s="3015">
        <v>4.5950000000000042</v>
      </c>
      <c r="P34" s="3014">
        <v>11.7</v>
      </c>
      <c r="Q34" s="3020">
        <v>3.9800000000000026</v>
      </c>
    </row>
    <row r="35" spans="1:17" s="467" customFormat="1" ht="10.199999999999999" customHeight="1">
      <c r="B35" s="3014">
        <v>17.8</v>
      </c>
      <c r="C35" s="3015">
        <v>3.9150000000000018</v>
      </c>
      <c r="D35" s="3014">
        <v>17.8</v>
      </c>
      <c r="E35" s="3015">
        <v>4.6800000000000042</v>
      </c>
      <c r="F35" s="3014">
        <v>15.8</v>
      </c>
      <c r="G35" s="3015">
        <v>2.924999999999998</v>
      </c>
      <c r="H35" s="3014">
        <v>17.8</v>
      </c>
      <c r="I35" s="3015">
        <v>1.1000000000000001</v>
      </c>
      <c r="J35" s="3014">
        <v>11.8</v>
      </c>
      <c r="K35" s="3020">
        <v>3.3300000000000041</v>
      </c>
      <c r="L35" s="3014">
        <v>11.8</v>
      </c>
      <c r="M35" s="3020">
        <v>4.0500000000000025</v>
      </c>
      <c r="N35" s="3014">
        <v>17.8</v>
      </c>
      <c r="O35" s="3015">
        <v>4.6800000000000042</v>
      </c>
      <c r="P35" s="3014">
        <v>11.8</v>
      </c>
      <c r="Q35" s="3020">
        <v>4.0500000000000025</v>
      </c>
    </row>
    <row r="36" spans="1:17" s="467" customFormat="1" ht="10.199999999999999" customHeight="1">
      <c r="B36" s="3016">
        <v>17.899999999999999</v>
      </c>
      <c r="C36" s="3015">
        <v>3.9850000000000021</v>
      </c>
      <c r="D36" s="3016">
        <v>17.899999999999999</v>
      </c>
      <c r="E36" s="3015">
        <v>4.7650000000000041</v>
      </c>
      <c r="F36" s="3016">
        <v>15.9</v>
      </c>
      <c r="G36" s="3015">
        <v>2.969999999999998</v>
      </c>
      <c r="H36" s="3016">
        <v>17.899999999999999</v>
      </c>
      <c r="I36" s="3015">
        <v>1.1000000000000001</v>
      </c>
      <c r="J36" s="3016">
        <v>11.9</v>
      </c>
      <c r="K36" s="3020">
        <v>3.3900000000000041</v>
      </c>
      <c r="L36" s="3016">
        <v>11.9</v>
      </c>
      <c r="M36" s="3020">
        <v>4.1200000000000028</v>
      </c>
      <c r="N36" s="3016">
        <v>17.899999999999999</v>
      </c>
      <c r="O36" s="3015">
        <v>4.7650000000000041</v>
      </c>
      <c r="P36" s="3016">
        <v>11.9</v>
      </c>
      <c r="Q36" s="3020">
        <v>4.1200000000000028</v>
      </c>
    </row>
    <row r="37" spans="1:17" s="467" customFormat="1" ht="10.199999999999999" customHeight="1">
      <c r="B37" s="3014">
        <v>18</v>
      </c>
      <c r="C37" s="3015">
        <v>4.0550000000000024</v>
      </c>
      <c r="D37" s="3014">
        <v>18</v>
      </c>
      <c r="E37" s="3015">
        <v>4.8500000000000041</v>
      </c>
      <c r="F37" s="3014">
        <v>16</v>
      </c>
      <c r="G37" s="3015">
        <v>3.0149999999999979</v>
      </c>
      <c r="H37" s="3014">
        <v>18</v>
      </c>
      <c r="I37" s="3015">
        <v>1.4</v>
      </c>
      <c r="J37" s="3014">
        <v>12</v>
      </c>
      <c r="K37" s="3020">
        <v>3.4500000000000042</v>
      </c>
      <c r="L37" s="3014">
        <v>12</v>
      </c>
      <c r="M37" s="3020">
        <v>4.1900000000000031</v>
      </c>
      <c r="N37" s="3014">
        <v>18</v>
      </c>
      <c r="O37" s="3015">
        <v>4.8500000000000041</v>
      </c>
      <c r="P37" s="3014">
        <v>12</v>
      </c>
      <c r="Q37" s="3020">
        <v>4.1900000000000031</v>
      </c>
    </row>
    <row r="38" spans="1:17" s="467" customFormat="1" ht="10.199999999999999" customHeight="1">
      <c r="B38" s="3014">
        <v>18.100000000000001</v>
      </c>
      <c r="C38" s="3015">
        <v>4.1250000000000027</v>
      </c>
      <c r="D38" s="3014">
        <v>18.100000000000001</v>
      </c>
      <c r="E38" s="3015">
        <v>4.9350000000000041</v>
      </c>
      <c r="F38" s="3014">
        <v>16.100000000000001</v>
      </c>
      <c r="G38" s="3015">
        <v>3.0599999999999978</v>
      </c>
      <c r="H38" s="3014">
        <v>18.100000000000001</v>
      </c>
      <c r="I38" s="3015">
        <v>1.4</v>
      </c>
      <c r="J38" s="3014">
        <v>12.1</v>
      </c>
      <c r="K38" s="3020">
        <v>3.5100000000000042</v>
      </c>
      <c r="L38" s="3014">
        <v>12.1</v>
      </c>
      <c r="M38" s="3020">
        <v>4.2600000000000033</v>
      </c>
      <c r="N38" s="3014">
        <v>18.100000000000001</v>
      </c>
      <c r="O38" s="3015">
        <v>4.9350000000000041</v>
      </c>
      <c r="P38" s="3014">
        <v>12.1</v>
      </c>
      <c r="Q38" s="3020">
        <v>4.2600000000000033</v>
      </c>
    </row>
    <row r="39" spans="1:17" s="467" customFormat="1" ht="10.199999999999999" customHeight="1">
      <c r="B39" s="3014">
        <v>18.2</v>
      </c>
      <c r="C39" s="3015">
        <v>4.1950000000000029</v>
      </c>
      <c r="D39" s="3014">
        <v>18.2</v>
      </c>
      <c r="E39" s="3015">
        <v>5.0200000000000049</v>
      </c>
      <c r="F39" s="3014">
        <v>16.2</v>
      </c>
      <c r="G39" s="3015">
        <v>3.1049999999999978</v>
      </c>
      <c r="H39" s="3014">
        <v>18.2</v>
      </c>
      <c r="I39" s="3015">
        <v>1.4</v>
      </c>
      <c r="J39" s="3014">
        <v>12.2</v>
      </c>
      <c r="K39" s="3020">
        <v>3.5700000000000047</v>
      </c>
      <c r="L39" s="3014">
        <v>12.2</v>
      </c>
      <c r="M39" s="3020">
        <v>4.3300000000000036</v>
      </c>
      <c r="N39" s="3014">
        <v>18.2</v>
      </c>
      <c r="O39" s="3015">
        <v>5.0200000000000049</v>
      </c>
      <c r="P39" s="3014">
        <v>12.2</v>
      </c>
      <c r="Q39" s="3020">
        <v>4.3300000000000036</v>
      </c>
    </row>
    <row r="40" spans="1:17" s="467" customFormat="1" ht="10.199999999999999" customHeight="1">
      <c r="B40" s="3014">
        <v>18.3</v>
      </c>
      <c r="C40" s="3015">
        <v>4.2650000000000032</v>
      </c>
      <c r="D40" s="3014">
        <v>18.3</v>
      </c>
      <c r="E40" s="3015">
        <v>5.1050000000000049</v>
      </c>
      <c r="F40" s="3014">
        <v>16.3</v>
      </c>
      <c r="G40" s="3015">
        <v>3.1499999999999977</v>
      </c>
      <c r="H40" s="3014">
        <v>18.3</v>
      </c>
      <c r="I40" s="3015">
        <v>1.4</v>
      </c>
      <c r="J40" s="3014">
        <v>12.3</v>
      </c>
      <c r="K40" s="3020">
        <v>3.6300000000000048</v>
      </c>
      <c r="L40" s="3014">
        <v>12.3</v>
      </c>
      <c r="M40" s="3020">
        <v>4.4000000000000039</v>
      </c>
      <c r="N40" s="3014">
        <v>18.3</v>
      </c>
      <c r="O40" s="3015">
        <v>5.1050000000000049</v>
      </c>
      <c r="P40" s="3014">
        <v>12.3</v>
      </c>
      <c r="Q40" s="3020">
        <v>4.4000000000000039</v>
      </c>
    </row>
    <row r="41" spans="1:17" s="467" customFormat="1" ht="10.199999999999999" customHeight="1">
      <c r="B41" s="3014">
        <v>18.399999999999999</v>
      </c>
      <c r="C41" s="3015">
        <v>4.3350000000000035</v>
      </c>
      <c r="D41" s="3014">
        <v>18.399999999999999</v>
      </c>
      <c r="E41" s="3015">
        <v>5.1900000000000048</v>
      </c>
      <c r="F41" s="3014">
        <v>16.399999999999999</v>
      </c>
      <c r="G41" s="3015">
        <v>3.1949999999999976</v>
      </c>
      <c r="H41" s="3014">
        <v>18.399999999999999</v>
      </c>
      <c r="I41" s="3015">
        <v>1.4</v>
      </c>
      <c r="J41" s="3014">
        <v>12.4</v>
      </c>
      <c r="K41" s="3020">
        <v>3.6900000000000048</v>
      </c>
      <c r="L41" s="3014">
        <v>12.4</v>
      </c>
      <c r="M41" s="3020">
        <v>4.4700000000000042</v>
      </c>
      <c r="N41" s="3014">
        <v>18.399999999999999</v>
      </c>
      <c r="O41" s="3015">
        <v>5.1900000000000048</v>
      </c>
      <c r="P41" s="3014">
        <v>12.4</v>
      </c>
      <c r="Q41" s="3020">
        <v>4.4700000000000042</v>
      </c>
    </row>
    <row r="42" spans="1:17" s="467" customFormat="1" ht="10.199999999999999" customHeight="1">
      <c r="B42" s="3014">
        <v>18.5</v>
      </c>
      <c r="C42" s="3015">
        <v>4.4050000000000038</v>
      </c>
      <c r="D42" s="3014">
        <v>18.5</v>
      </c>
      <c r="E42" s="3015">
        <v>5.2750000000000048</v>
      </c>
      <c r="F42" s="3014">
        <v>16.5</v>
      </c>
      <c r="G42" s="3015">
        <v>3.2399999999999975</v>
      </c>
      <c r="H42" s="3014">
        <v>18.5</v>
      </c>
      <c r="I42" s="3015">
        <v>1.4</v>
      </c>
      <c r="J42" s="3014">
        <v>12.5</v>
      </c>
      <c r="K42" s="3020">
        <v>3.7500000000000049</v>
      </c>
      <c r="L42" s="3014">
        <v>12.5</v>
      </c>
      <c r="M42" s="3020">
        <v>4.5400000000000045</v>
      </c>
      <c r="N42" s="3014">
        <v>18.5</v>
      </c>
      <c r="O42" s="3015">
        <v>5.2750000000000048</v>
      </c>
      <c r="P42" s="3014">
        <v>12.5</v>
      </c>
      <c r="Q42" s="3020">
        <v>4.5400000000000045</v>
      </c>
    </row>
    <row r="43" spans="1:17" s="467" customFormat="1" ht="10.199999999999999" customHeight="1">
      <c r="B43" s="3014">
        <v>18.600000000000001</v>
      </c>
      <c r="C43" s="3015">
        <v>4.4750000000000041</v>
      </c>
      <c r="D43" s="3014">
        <v>18.600000000000001</v>
      </c>
      <c r="E43" s="3015">
        <v>5.3600000000000048</v>
      </c>
      <c r="F43" s="3014">
        <v>16.600000000000001</v>
      </c>
      <c r="G43" s="3015">
        <v>3.2849999999999979</v>
      </c>
      <c r="H43" s="3014">
        <v>18.600000000000001</v>
      </c>
      <c r="I43" s="3015">
        <v>1.4</v>
      </c>
      <c r="J43" s="3014">
        <v>12.6</v>
      </c>
      <c r="K43" s="3020">
        <v>3.8100000000000049</v>
      </c>
      <c r="L43" s="3014">
        <v>12.6</v>
      </c>
      <c r="M43" s="3020">
        <v>4.6100000000000048</v>
      </c>
      <c r="N43" s="3014">
        <v>18.600000000000001</v>
      </c>
      <c r="O43" s="3015">
        <v>5.3600000000000048</v>
      </c>
      <c r="P43" s="3014">
        <v>12.6</v>
      </c>
      <c r="Q43" s="3020">
        <v>4.6100000000000048</v>
      </c>
    </row>
    <row r="44" spans="1:17" s="467" customFormat="1" ht="10.199999999999999" customHeight="1">
      <c r="B44" s="3014">
        <v>18.7</v>
      </c>
      <c r="C44" s="3015">
        <v>4.5450000000000044</v>
      </c>
      <c r="D44" s="3014">
        <v>18.7</v>
      </c>
      <c r="E44" s="3015">
        <v>5.4450000000000056</v>
      </c>
      <c r="F44" s="3014">
        <v>16.7</v>
      </c>
      <c r="G44" s="3015">
        <v>3.3299999999999983</v>
      </c>
      <c r="H44" s="3014">
        <v>18.7</v>
      </c>
      <c r="I44" s="3015">
        <v>1.4</v>
      </c>
      <c r="J44" s="3014">
        <v>12.7</v>
      </c>
      <c r="K44" s="3020">
        <v>3.8700000000000054</v>
      </c>
      <c r="L44" s="3014">
        <v>12.7</v>
      </c>
      <c r="M44" s="3020">
        <v>4.680000000000005</v>
      </c>
      <c r="N44" s="3014">
        <v>18.7</v>
      </c>
      <c r="O44" s="3015">
        <v>5.4450000000000056</v>
      </c>
      <c r="P44" s="3014">
        <v>12.7</v>
      </c>
      <c r="Q44" s="3020">
        <v>4.680000000000005</v>
      </c>
    </row>
    <row r="45" spans="1:17" s="467" customFormat="1" ht="10.199999999999999" customHeight="1">
      <c r="B45" s="3014">
        <v>18.8</v>
      </c>
      <c r="C45" s="3015">
        <v>4.6150000000000047</v>
      </c>
      <c r="D45" s="3014">
        <v>18.8</v>
      </c>
      <c r="E45" s="3015">
        <v>5.5300000000000056</v>
      </c>
      <c r="F45" s="3014">
        <v>16.8</v>
      </c>
      <c r="G45" s="3015">
        <v>3.3749999999999987</v>
      </c>
      <c r="H45" s="3014">
        <v>18.8</v>
      </c>
      <c r="I45" s="3015">
        <v>1.4</v>
      </c>
      <c r="J45" s="3014">
        <v>12.8</v>
      </c>
      <c r="K45" s="3020">
        <v>3.9300000000000055</v>
      </c>
      <c r="L45" s="3014">
        <v>12.8</v>
      </c>
      <c r="M45" s="3020">
        <v>4.7500000000000053</v>
      </c>
      <c r="N45" s="3014">
        <v>18.8</v>
      </c>
      <c r="O45" s="3015">
        <v>5.5300000000000056</v>
      </c>
      <c r="P45" s="3014">
        <v>12.8</v>
      </c>
      <c r="Q45" s="3020">
        <v>4.7500000000000053</v>
      </c>
    </row>
    <row r="46" spans="1:17" s="467" customFormat="1" ht="10.199999999999999" customHeight="1">
      <c r="B46" s="3016">
        <v>18.899999999999999</v>
      </c>
      <c r="C46" s="3015">
        <v>4.6850000000000049</v>
      </c>
      <c r="D46" s="3016">
        <v>18.899999999999999</v>
      </c>
      <c r="E46" s="3015">
        <v>5.6150000000000055</v>
      </c>
      <c r="F46" s="3016">
        <v>16.899999999999999</v>
      </c>
      <c r="G46" s="3015">
        <v>3.419999999999999</v>
      </c>
      <c r="H46" s="3016">
        <v>18.899999999999999</v>
      </c>
      <c r="I46" s="3015">
        <v>1.4</v>
      </c>
      <c r="J46" s="3016">
        <v>12.9</v>
      </c>
      <c r="K46" s="3020">
        <v>3.9900000000000055</v>
      </c>
      <c r="L46" s="3016">
        <v>12.9</v>
      </c>
      <c r="M46" s="3020">
        <v>4.8200000000000056</v>
      </c>
      <c r="N46" s="3016">
        <v>18.899999999999999</v>
      </c>
      <c r="O46" s="3015">
        <v>5.6150000000000055</v>
      </c>
      <c r="P46" s="3016">
        <v>12.9</v>
      </c>
      <c r="Q46" s="3020">
        <v>4.8200000000000056</v>
      </c>
    </row>
    <row r="47" spans="1:17" s="467" customFormat="1" ht="10.199999999999999" customHeight="1">
      <c r="A47" s="469"/>
      <c r="B47" s="3014">
        <v>19</v>
      </c>
      <c r="C47" s="3015">
        <v>4.7550000000000052</v>
      </c>
      <c r="D47" s="3014">
        <v>19</v>
      </c>
      <c r="E47" s="3015">
        <v>5.7000000000000055</v>
      </c>
      <c r="F47" s="3014">
        <v>17</v>
      </c>
      <c r="G47" s="3015">
        <v>3.464999999999999</v>
      </c>
      <c r="H47" s="3014">
        <v>19</v>
      </c>
      <c r="I47" s="3015">
        <v>1.7</v>
      </c>
      <c r="J47" s="3014">
        <v>13</v>
      </c>
      <c r="K47" s="3020">
        <v>4.050000000000006</v>
      </c>
      <c r="L47" s="3014">
        <v>13</v>
      </c>
      <c r="M47" s="3020">
        <v>4.8900000000000059</v>
      </c>
      <c r="N47" s="3014">
        <v>19</v>
      </c>
      <c r="O47" s="3015">
        <v>5.7000000000000055</v>
      </c>
      <c r="P47" s="3014">
        <v>13</v>
      </c>
      <c r="Q47" s="3020">
        <v>4.8900000000000059</v>
      </c>
    </row>
    <row r="48" spans="1:17" s="467" customFormat="1" ht="10.199999999999999" customHeight="1">
      <c r="B48" s="3014">
        <v>19.100000000000001</v>
      </c>
      <c r="C48" s="3015">
        <v>4.8250000000000055</v>
      </c>
      <c r="D48" s="3014">
        <v>19.100000000000001</v>
      </c>
      <c r="E48" s="3015">
        <v>5.7850000000000055</v>
      </c>
      <c r="F48" s="3014">
        <v>17.100000000000001</v>
      </c>
      <c r="G48" s="3015">
        <v>3.5099999999999993</v>
      </c>
      <c r="H48" s="3014">
        <v>19.100000000000001</v>
      </c>
      <c r="I48" s="3015">
        <v>1.7</v>
      </c>
      <c r="J48" s="3014">
        <v>13.1</v>
      </c>
      <c r="K48" s="3020">
        <v>4.1100000000000056</v>
      </c>
      <c r="L48" s="3014">
        <v>13.100000000000099</v>
      </c>
      <c r="M48" s="3020">
        <v>4.9600000000000062</v>
      </c>
      <c r="N48" s="3014">
        <v>19.100000000000001</v>
      </c>
      <c r="O48" s="3015">
        <v>5.7850000000000055</v>
      </c>
      <c r="P48" s="3014">
        <v>13.1</v>
      </c>
      <c r="Q48" s="3020">
        <v>4.9600000000000062</v>
      </c>
    </row>
    <row r="49" spans="2:17" s="467" customFormat="1" ht="10.199999999999999" customHeight="1">
      <c r="B49" s="3014">
        <v>19.2</v>
      </c>
      <c r="C49" s="3015">
        <v>4.8950000000000058</v>
      </c>
      <c r="D49" s="3014">
        <v>19.2</v>
      </c>
      <c r="E49" s="3015">
        <v>5.8700000000000063</v>
      </c>
      <c r="F49" s="3014">
        <v>17.2</v>
      </c>
      <c r="G49" s="3015">
        <v>3.5549999999999997</v>
      </c>
      <c r="H49" s="3014">
        <v>19.2</v>
      </c>
      <c r="I49" s="3015">
        <v>1.7</v>
      </c>
      <c r="J49" s="3014">
        <v>13.2</v>
      </c>
      <c r="K49" s="3020">
        <v>4.1700000000000061</v>
      </c>
      <c r="L49" s="3014">
        <v>13.200000000000101</v>
      </c>
      <c r="M49" s="3020">
        <v>5.0300000000000065</v>
      </c>
      <c r="N49" s="3014">
        <v>19.2</v>
      </c>
      <c r="O49" s="3015">
        <v>5.8700000000000063</v>
      </c>
      <c r="P49" s="3014">
        <v>13.2</v>
      </c>
      <c r="Q49" s="3020">
        <v>5.0300000000000065</v>
      </c>
    </row>
    <row r="50" spans="2:17" s="467" customFormat="1" ht="10.199999999999999" customHeight="1">
      <c r="B50" s="3014">
        <v>19.3</v>
      </c>
      <c r="C50" s="3015">
        <v>4.9650000000000061</v>
      </c>
      <c r="D50" s="3014">
        <v>19.3</v>
      </c>
      <c r="E50" s="3015">
        <v>5.9550000000000063</v>
      </c>
      <c r="F50" s="3014">
        <v>17.3</v>
      </c>
      <c r="G50" s="3015">
        <v>3.6</v>
      </c>
      <c r="H50" s="3014">
        <v>19.3</v>
      </c>
      <c r="I50" s="3015">
        <v>1.7</v>
      </c>
      <c r="J50" s="3014">
        <v>13.3</v>
      </c>
      <c r="K50" s="3020">
        <v>4.2300000000000058</v>
      </c>
      <c r="L50" s="3014">
        <v>13.3000000000001</v>
      </c>
      <c r="M50" s="3020">
        <v>5.1000000000000068</v>
      </c>
      <c r="N50" s="3014">
        <v>19.3</v>
      </c>
      <c r="O50" s="3015">
        <v>5.9550000000000063</v>
      </c>
      <c r="P50" s="3014">
        <v>13.3</v>
      </c>
      <c r="Q50" s="3020">
        <v>5.1000000000000068</v>
      </c>
    </row>
    <row r="51" spans="2:17" s="467" customFormat="1" ht="10.199999999999999" customHeight="1">
      <c r="B51" s="3014">
        <v>19.399999999999999</v>
      </c>
      <c r="C51" s="3015">
        <v>5.0350000000000064</v>
      </c>
      <c r="D51" s="3014">
        <v>19.399999999999999</v>
      </c>
      <c r="E51" s="3015">
        <v>6.0400000000000063</v>
      </c>
      <c r="F51" s="3014">
        <v>17.399999999999999</v>
      </c>
      <c r="G51" s="3015">
        <v>3.6450000000000005</v>
      </c>
      <c r="H51" s="3014">
        <v>19.399999999999999</v>
      </c>
      <c r="I51" s="3015">
        <v>1.7</v>
      </c>
      <c r="J51" s="3014">
        <v>13.4</v>
      </c>
      <c r="K51" s="3020">
        <v>4.2900000000000063</v>
      </c>
      <c r="L51" s="3014">
        <v>13.4000000000001</v>
      </c>
      <c r="M51" s="3020">
        <v>5.170000000000007</v>
      </c>
      <c r="N51" s="3014">
        <v>19.399999999999999</v>
      </c>
      <c r="O51" s="3015">
        <v>6.0400000000000063</v>
      </c>
      <c r="P51" s="3014">
        <v>13.4</v>
      </c>
      <c r="Q51" s="3020">
        <v>5.170000000000007</v>
      </c>
    </row>
    <row r="52" spans="2:17" s="467" customFormat="1" ht="10.199999999999999" customHeight="1">
      <c r="B52" s="3014">
        <v>19.5</v>
      </c>
      <c r="C52" s="3015">
        <v>5.1050000000000066</v>
      </c>
      <c r="D52" s="3014">
        <v>19.5</v>
      </c>
      <c r="E52" s="3015">
        <v>6.1250000000000062</v>
      </c>
      <c r="F52" s="3014">
        <v>17.5</v>
      </c>
      <c r="G52" s="3015">
        <v>3.6900000000000004</v>
      </c>
      <c r="H52" s="3014">
        <v>19.5</v>
      </c>
      <c r="I52" s="3015">
        <v>1.7</v>
      </c>
      <c r="J52" s="3014">
        <v>13.5</v>
      </c>
      <c r="K52" s="3020">
        <v>4.3500000000000068</v>
      </c>
      <c r="L52" s="3014">
        <v>13.500000000000099</v>
      </c>
      <c r="M52" s="3020">
        <v>5.2400000000000073</v>
      </c>
      <c r="N52" s="3014">
        <v>19.5</v>
      </c>
      <c r="O52" s="3015">
        <v>6.1250000000000062</v>
      </c>
      <c r="P52" s="3014">
        <v>13.5</v>
      </c>
      <c r="Q52" s="3020">
        <v>5.2400000000000073</v>
      </c>
    </row>
    <row r="53" spans="2:17" s="467" customFormat="1" ht="10.199999999999999" customHeight="1">
      <c r="B53" s="3014">
        <v>19.600000000000001</v>
      </c>
      <c r="C53" s="3015">
        <v>5.1750000000000069</v>
      </c>
      <c r="D53" s="3014">
        <v>19.600000000000001</v>
      </c>
      <c r="E53" s="3015">
        <v>6.2100000000000062</v>
      </c>
      <c r="F53" s="3014">
        <v>17.600000000000001</v>
      </c>
      <c r="G53" s="3015">
        <v>3.7350000000000008</v>
      </c>
      <c r="H53" s="3014">
        <v>19.600000000000001</v>
      </c>
      <c r="I53" s="3015">
        <v>1.7</v>
      </c>
      <c r="J53" s="3014">
        <v>13.6</v>
      </c>
      <c r="K53" s="3020">
        <v>4.4100000000000064</v>
      </c>
      <c r="L53" s="3014">
        <v>13.600000000000099</v>
      </c>
      <c r="M53" s="3020">
        <v>5.3100000000000076</v>
      </c>
      <c r="N53" s="3014">
        <v>19.600000000000001</v>
      </c>
      <c r="O53" s="3015">
        <v>6.2100000000000062</v>
      </c>
      <c r="P53" s="3014">
        <v>13.6</v>
      </c>
      <c r="Q53" s="3020">
        <v>5.3100000000000076</v>
      </c>
    </row>
    <row r="54" spans="2:17" s="467" customFormat="1" ht="10.199999999999999" customHeight="1">
      <c r="B54" s="3014">
        <v>19.7</v>
      </c>
      <c r="C54" s="3015">
        <v>5.2450000000000072</v>
      </c>
      <c r="D54" s="3014">
        <v>19.7</v>
      </c>
      <c r="E54" s="3015">
        <v>6.295000000000007</v>
      </c>
      <c r="F54" s="3014">
        <v>17.7</v>
      </c>
      <c r="G54" s="3015">
        <v>3.7800000000000011</v>
      </c>
      <c r="H54" s="3014">
        <v>19.7</v>
      </c>
      <c r="I54" s="3015">
        <v>1.7</v>
      </c>
      <c r="J54" s="3014">
        <v>13.7</v>
      </c>
      <c r="K54" s="3020">
        <v>4.4700000000000069</v>
      </c>
      <c r="L54" s="3014">
        <v>13.700000000000101</v>
      </c>
      <c r="M54" s="3020">
        <v>5.3800000000000079</v>
      </c>
      <c r="N54" s="3014">
        <v>19.7</v>
      </c>
      <c r="O54" s="3015">
        <v>6.295000000000007</v>
      </c>
      <c r="P54" s="3014">
        <v>13.7</v>
      </c>
      <c r="Q54" s="3020">
        <v>5.3800000000000079</v>
      </c>
    </row>
    <row r="55" spans="2:17" s="467" customFormat="1" ht="10.199999999999999" customHeight="1">
      <c r="B55" s="3014">
        <v>19.8</v>
      </c>
      <c r="C55" s="3015">
        <v>5.3150000000000075</v>
      </c>
      <c r="D55" s="3014">
        <v>19.8</v>
      </c>
      <c r="E55" s="3015">
        <v>6.380000000000007</v>
      </c>
      <c r="F55" s="3014">
        <v>17.8</v>
      </c>
      <c r="G55" s="3015">
        <v>3.8250000000000015</v>
      </c>
      <c r="H55" s="3014">
        <v>19.8</v>
      </c>
      <c r="I55" s="3015">
        <v>1.7</v>
      </c>
      <c r="J55" s="3014">
        <v>13.8</v>
      </c>
      <c r="K55" s="3020">
        <v>4.5300000000000065</v>
      </c>
      <c r="L55" s="3014">
        <v>13.8000000000001</v>
      </c>
      <c r="M55" s="3020">
        <v>5.4500000000000082</v>
      </c>
      <c r="N55" s="3014">
        <v>19.8</v>
      </c>
      <c r="O55" s="3015">
        <v>6.380000000000007</v>
      </c>
      <c r="P55" s="3014">
        <v>13.8</v>
      </c>
      <c r="Q55" s="3020">
        <v>5.4500000000000082</v>
      </c>
    </row>
    <row r="56" spans="2:17" s="467" customFormat="1" ht="10.199999999999999" customHeight="1">
      <c r="B56" s="3016">
        <v>19.899999999999999</v>
      </c>
      <c r="C56" s="3015">
        <v>5.3850000000000078</v>
      </c>
      <c r="D56" s="3016">
        <v>19.899999999999999</v>
      </c>
      <c r="E56" s="3015">
        <v>6.4650000000000061</v>
      </c>
      <c r="F56" s="3016">
        <v>17.899999999999999</v>
      </c>
      <c r="G56" s="3015">
        <v>3.8700000000000019</v>
      </c>
      <c r="H56" s="3016">
        <v>19.899999999999999</v>
      </c>
      <c r="I56" s="3015">
        <v>1.7</v>
      </c>
      <c r="J56" s="3016">
        <v>13.9</v>
      </c>
      <c r="K56" s="3020">
        <v>4.590000000000007</v>
      </c>
      <c r="L56" s="3016">
        <v>13.9000000000001</v>
      </c>
      <c r="M56" s="3020">
        <v>5.5200000000000085</v>
      </c>
      <c r="N56" s="3016">
        <v>19.899999999999999</v>
      </c>
      <c r="O56" s="3015">
        <v>6.4650000000000061</v>
      </c>
      <c r="P56" s="3016">
        <v>13.9</v>
      </c>
      <c r="Q56" s="3020">
        <v>5.5200000000000085</v>
      </c>
    </row>
    <row r="57" spans="2:17" s="467" customFormat="1" ht="10.199999999999999" customHeight="1">
      <c r="B57" s="3014">
        <v>20</v>
      </c>
      <c r="C57" s="3015">
        <v>5.4550000000000081</v>
      </c>
      <c r="D57" s="3014">
        <v>20</v>
      </c>
      <c r="E57" s="3015">
        <v>6.550000000000006</v>
      </c>
      <c r="F57" s="3014">
        <v>18</v>
      </c>
      <c r="G57" s="3015">
        <v>3.9150000000000018</v>
      </c>
      <c r="H57" s="3014">
        <v>20</v>
      </c>
      <c r="I57" s="3015">
        <v>2</v>
      </c>
      <c r="J57" s="3014">
        <v>14</v>
      </c>
      <c r="K57" s="3020">
        <v>4.6500000000000075</v>
      </c>
      <c r="L57" s="3014">
        <v>14.000000000000099</v>
      </c>
      <c r="M57" s="3020">
        <v>5.5900000000000087</v>
      </c>
      <c r="N57" s="3014">
        <v>20</v>
      </c>
      <c r="O57" s="3015">
        <v>6.550000000000006</v>
      </c>
      <c r="P57" s="3014">
        <v>14</v>
      </c>
      <c r="Q57" s="3020">
        <v>5.5900000000000087</v>
      </c>
    </row>
    <row r="58" spans="2:17" s="467" customFormat="1" ht="10.199999999999999" customHeight="1">
      <c r="B58" s="3014">
        <v>20.100000000000001</v>
      </c>
      <c r="C58" s="3015">
        <v>5.5250000000000083</v>
      </c>
      <c r="D58" s="3014">
        <v>20.100000000000001</v>
      </c>
      <c r="E58" s="3015">
        <v>6.6350000000000051</v>
      </c>
      <c r="F58" s="3014">
        <v>18.100000000000001</v>
      </c>
      <c r="G58" s="3015">
        <v>3.9600000000000022</v>
      </c>
      <c r="H58" s="3014">
        <v>20.100000000000001</v>
      </c>
      <c r="I58" s="3015">
        <v>2</v>
      </c>
      <c r="J58" s="3014">
        <v>14.1</v>
      </c>
      <c r="K58" s="3020">
        <v>4.7100000000000071</v>
      </c>
      <c r="L58" s="3014">
        <v>14.100000000000099</v>
      </c>
      <c r="M58" s="3020">
        <v>5.660000000000009</v>
      </c>
      <c r="N58" s="3014">
        <v>20.100000000000001</v>
      </c>
      <c r="O58" s="3015">
        <v>6.6350000000000051</v>
      </c>
      <c r="P58" s="3014">
        <v>14.1</v>
      </c>
      <c r="Q58" s="3020">
        <v>5.660000000000009</v>
      </c>
    </row>
    <row r="59" spans="2:17" s="467" customFormat="1" ht="10.199999999999999" customHeight="1">
      <c r="B59" s="3014">
        <v>20.2</v>
      </c>
      <c r="C59" s="3015">
        <v>5.5950000000000086</v>
      </c>
      <c r="D59" s="3014">
        <v>20.2</v>
      </c>
      <c r="E59" s="3015">
        <v>6.7200000000000042</v>
      </c>
      <c r="F59" s="3014">
        <v>18.2</v>
      </c>
      <c r="G59" s="3015">
        <v>4.0050000000000026</v>
      </c>
      <c r="H59" s="3014">
        <v>20.2</v>
      </c>
      <c r="I59" s="3015">
        <v>2</v>
      </c>
      <c r="J59" s="3014">
        <v>14.2</v>
      </c>
      <c r="K59" s="3020">
        <v>4.7700000000000076</v>
      </c>
      <c r="L59" s="3014">
        <v>14.200000000000101</v>
      </c>
      <c r="M59" s="3020">
        <v>5.7300000000000093</v>
      </c>
      <c r="N59" s="3014">
        <v>20.2</v>
      </c>
      <c r="O59" s="3015">
        <v>6.7200000000000042</v>
      </c>
      <c r="P59" s="3014">
        <v>14.2</v>
      </c>
      <c r="Q59" s="3020">
        <v>5.7300000000000093</v>
      </c>
    </row>
    <row r="60" spans="2:17" s="467" customFormat="1" ht="10.199999999999999" customHeight="1">
      <c r="B60" s="3014">
        <v>20.3</v>
      </c>
      <c r="C60" s="3015">
        <v>5.6650000000000089</v>
      </c>
      <c r="D60" s="3014">
        <v>20.3</v>
      </c>
      <c r="E60" s="3015">
        <v>6.8050000000000042</v>
      </c>
      <c r="F60" s="3014">
        <v>18.3</v>
      </c>
      <c r="G60" s="3015">
        <v>4.0500000000000025</v>
      </c>
      <c r="H60" s="3014">
        <v>20.3</v>
      </c>
      <c r="I60" s="3015">
        <v>2</v>
      </c>
      <c r="J60" s="3014">
        <v>14.3</v>
      </c>
      <c r="K60" s="3020">
        <v>4.8300000000000072</v>
      </c>
      <c r="L60" s="3014">
        <v>14.3000000000001</v>
      </c>
      <c r="M60" s="3020">
        <v>5.8000000000000096</v>
      </c>
      <c r="N60" s="3014">
        <v>20.3</v>
      </c>
      <c r="O60" s="3015">
        <v>6.8050000000000042</v>
      </c>
      <c r="P60" s="3014">
        <v>14.3</v>
      </c>
      <c r="Q60" s="3020">
        <v>5.8000000000000096</v>
      </c>
    </row>
    <row r="61" spans="2:17" s="467" customFormat="1" ht="10.199999999999999" customHeight="1">
      <c r="B61" s="3014">
        <v>20.399999999999999</v>
      </c>
      <c r="C61" s="3015">
        <v>5.7350000000000092</v>
      </c>
      <c r="D61" s="3014">
        <v>20.399999999999999</v>
      </c>
      <c r="E61" s="3015">
        <v>6.8900000000000032</v>
      </c>
      <c r="F61" s="3014">
        <v>18.399999999999999</v>
      </c>
      <c r="G61" s="3015">
        <v>4.0950000000000033</v>
      </c>
      <c r="H61" s="3014">
        <v>20.399999999999999</v>
      </c>
      <c r="I61" s="3015">
        <v>2</v>
      </c>
      <c r="J61" s="3014">
        <v>14.4</v>
      </c>
      <c r="K61" s="3020">
        <v>4.8900000000000077</v>
      </c>
      <c r="L61" s="3014">
        <v>14.4000000000001</v>
      </c>
      <c r="M61" s="3020">
        <v>5.8700000000000099</v>
      </c>
      <c r="N61" s="3014">
        <v>20.399999999999999</v>
      </c>
      <c r="O61" s="3015">
        <v>6.8900000000000032</v>
      </c>
      <c r="P61" s="3014">
        <v>14.4</v>
      </c>
      <c r="Q61" s="3020">
        <v>5.8700000000000099</v>
      </c>
    </row>
    <row r="62" spans="2:17" s="467" customFormat="1" ht="10.199999999999999" customHeight="1">
      <c r="B62" s="3014">
        <v>20.5</v>
      </c>
      <c r="C62" s="3015">
        <v>5.8050000000000095</v>
      </c>
      <c r="D62" s="3014">
        <v>20.5</v>
      </c>
      <c r="E62" s="3015">
        <v>6.9750000000000032</v>
      </c>
      <c r="F62" s="3014">
        <v>18.5</v>
      </c>
      <c r="G62" s="3015">
        <v>4.1400000000000032</v>
      </c>
      <c r="H62" s="3014">
        <v>20.5</v>
      </c>
      <c r="I62" s="3015">
        <v>2</v>
      </c>
      <c r="J62" s="3014">
        <v>14.5</v>
      </c>
      <c r="K62" s="3020">
        <v>4.9500000000000082</v>
      </c>
      <c r="L62" s="3014">
        <v>14.500000000000099</v>
      </c>
      <c r="M62" s="3020">
        <v>5.9400000000000102</v>
      </c>
      <c r="N62" s="3014">
        <v>20.5</v>
      </c>
      <c r="O62" s="3015">
        <v>6.9750000000000032</v>
      </c>
      <c r="P62" s="3014">
        <v>14.5</v>
      </c>
      <c r="Q62" s="3020">
        <v>5.9400000000000102</v>
      </c>
    </row>
    <row r="63" spans="2:17" s="467" customFormat="1" ht="10.199999999999999" customHeight="1">
      <c r="B63" s="3014">
        <v>20.6</v>
      </c>
      <c r="C63" s="3015">
        <v>5.8750000000000098</v>
      </c>
      <c r="D63" s="3014">
        <v>20.6</v>
      </c>
      <c r="E63" s="3015">
        <v>7.0600000000000023</v>
      </c>
      <c r="F63" s="3014">
        <v>18.600000000000001</v>
      </c>
      <c r="G63" s="3015">
        <v>4.1850000000000041</v>
      </c>
      <c r="H63" s="3014">
        <v>20.6</v>
      </c>
      <c r="I63" s="3015">
        <v>2</v>
      </c>
      <c r="J63" s="3014">
        <v>14.6</v>
      </c>
      <c r="K63" s="3020">
        <v>5.0100000000000078</v>
      </c>
      <c r="L63" s="3014">
        <v>14.600000000000099</v>
      </c>
      <c r="M63" s="3020">
        <v>6.0100000000000104</v>
      </c>
      <c r="N63" s="3014">
        <v>20.6</v>
      </c>
      <c r="O63" s="3015">
        <v>7.0600000000000023</v>
      </c>
      <c r="P63" s="3014">
        <v>14.6</v>
      </c>
      <c r="Q63" s="3020">
        <v>6.0100000000000104</v>
      </c>
    </row>
    <row r="64" spans="2:17" s="467" customFormat="1" ht="10.199999999999999" customHeight="1">
      <c r="B64" s="3014">
        <v>20.7</v>
      </c>
      <c r="C64" s="3015">
        <v>5.9450000000000101</v>
      </c>
      <c r="D64" s="3014">
        <v>20.7</v>
      </c>
      <c r="E64" s="3015">
        <v>7.1450000000000014</v>
      </c>
      <c r="F64" s="3014">
        <v>18.7</v>
      </c>
      <c r="G64" s="3015">
        <v>4.230000000000004</v>
      </c>
      <c r="H64" s="3014">
        <v>20.7</v>
      </c>
      <c r="I64" s="3015">
        <v>2</v>
      </c>
      <c r="J64" s="3014">
        <v>14.7</v>
      </c>
      <c r="K64" s="3020">
        <v>5.0700000000000083</v>
      </c>
      <c r="L64" s="3014">
        <v>14.700000000000101</v>
      </c>
      <c r="M64" s="3020">
        <v>6.0800000000000107</v>
      </c>
      <c r="N64" s="3014">
        <v>20.7</v>
      </c>
      <c r="O64" s="3015">
        <v>7.1450000000000014</v>
      </c>
      <c r="P64" s="3014">
        <v>14.7</v>
      </c>
      <c r="Q64" s="3020">
        <v>6.0800000000000107</v>
      </c>
    </row>
    <row r="65" spans="1:17" s="467" customFormat="1" ht="10.199999999999999" customHeight="1">
      <c r="B65" s="3014">
        <v>20.8</v>
      </c>
      <c r="C65" s="3015">
        <v>6.0150000000000103</v>
      </c>
      <c r="D65" s="3014">
        <v>20.8</v>
      </c>
      <c r="E65" s="3015">
        <v>7.2300000000000013</v>
      </c>
      <c r="F65" s="3014">
        <v>18.8</v>
      </c>
      <c r="G65" s="3015">
        <v>4.2750000000000039</v>
      </c>
      <c r="H65" s="3014">
        <v>20.8</v>
      </c>
      <c r="I65" s="3015">
        <v>2</v>
      </c>
      <c r="J65" s="3014">
        <v>14.8</v>
      </c>
      <c r="K65" s="3020">
        <v>5.1300000000000079</v>
      </c>
      <c r="L65" s="3014">
        <v>14.8000000000001</v>
      </c>
      <c r="M65" s="3020">
        <v>6.150000000000011</v>
      </c>
      <c r="N65" s="3014">
        <v>20.8</v>
      </c>
      <c r="O65" s="3015">
        <v>7.2300000000000013</v>
      </c>
      <c r="P65" s="3014">
        <v>14.8</v>
      </c>
      <c r="Q65" s="3020">
        <v>6.150000000000011</v>
      </c>
    </row>
    <row r="66" spans="1:17" s="467" customFormat="1" ht="10.199999999999999" customHeight="1">
      <c r="B66" s="3016">
        <v>20.9</v>
      </c>
      <c r="C66" s="3015">
        <v>6.0850000000000106</v>
      </c>
      <c r="D66" s="3016">
        <v>20.9</v>
      </c>
      <c r="E66" s="3015">
        <v>7.3150000000000004</v>
      </c>
      <c r="F66" s="3016">
        <v>18.899999999999999</v>
      </c>
      <c r="G66" s="3015">
        <v>4.3200000000000047</v>
      </c>
      <c r="H66" s="3016">
        <v>20.9</v>
      </c>
      <c r="I66" s="3015">
        <v>2</v>
      </c>
      <c r="J66" s="3016">
        <v>14.9</v>
      </c>
      <c r="K66" s="3020">
        <v>5.1900000000000084</v>
      </c>
      <c r="L66" s="3016">
        <v>14.9000000000001</v>
      </c>
      <c r="M66" s="3020">
        <v>6.2200000000000113</v>
      </c>
      <c r="N66" s="3016">
        <v>20.9</v>
      </c>
      <c r="O66" s="3015">
        <v>7.3150000000000004</v>
      </c>
      <c r="P66" s="3016">
        <v>14.9</v>
      </c>
      <c r="Q66" s="3020">
        <v>6.2200000000000113</v>
      </c>
    </row>
    <row r="67" spans="1:17" s="467" customFormat="1" ht="10.199999999999999" customHeight="1">
      <c r="A67" s="469"/>
      <c r="B67" s="3014">
        <v>21</v>
      </c>
      <c r="C67" s="3015">
        <v>6.1550000000000109</v>
      </c>
      <c r="D67" s="3014">
        <v>21</v>
      </c>
      <c r="E67" s="3015">
        <v>7.4</v>
      </c>
      <c r="F67" s="3014">
        <v>19</v>
      </c>
      <c r="G67" s="3015">
        <v>4.3650000000000047</v>
      </c>
      <c r="H67" s="3014">
        <v>21</v>
      </c>
      <c r="I67" s="3015">
        <v>2.2999999999999998</v>
      </c>
      <c r="J67" s="3014">
        <v>15</v>
      </c>
      <c r="K67" s="3020">
        <v>5.2600000000000087</v>
      </c>
      <c r="L67" s="3014">
        <v>15.000000000000099</v>
      </c>
      <c r="M67" s="3020">
        <v>6.2900000000000116</v>
      </c>
      <c r="N67" s="3014">
        <v>21</v>
      </c>
      <c r="O67" s="3015">
        <v>7.4</v>
      </c>
      <c r="P67" s="3014">
        <v>15</v>
      </c>
      <c r="Q67" s="3020">
        <v>6.2900000000000116</v>
      </c>
    </row>
    <row r="68" spans="1:17" s="467" customFormat="1" ht="10.199999999999999" customHeight="1">
      <c r="B68" s="3014">
        <v>21.1</v>
      </c>
      <c r="C68" s="3015">
        <v>6.2250000000000112</v>
      </c>
      <c r="D68" s="3014">
        <v>21.1</v>
      </c>
      <c r="E68" s="3015">
        <v>7.4849999999999994</v>
      </c>
      <c r="F68" s="3014">
        <v>19.100000000000001</v>
      </c>
      <c r="G68" s="3015">
        <v>4.4100000000000055</v>
      </c>
      <c r="H68" s="3014">
        <v>21.1</v>
      </c>
      <c r="I68" s="3015">
        <v>2.2999999999999998</v>
      </c>
      <c r="J68" s="3014">
        <v>15.1</v>
      </c>
      <c r="K68" s="3020">
        <v>5.330000000000009</v>
      </c>
      <c r="L68" s="3014">
        <v>15.100000000000099</v>
      </c>
      <c r="M68" s="3020">
        <v>6.3600000000000119</v>
      </c>
      <c r="N68" s="3014">
        <v>21.1</v>
      </c>
      <c r="O68" s="3015">
        <v>7.4849999999999994</v>
      </c>
      <c r="P68" s="3014">
        <v>15.1</v>
      </c>
      <c r="Q68" s="3020">
        <v>6.3600000000000119</v>
      </c>
    </row>
    <row r="69" spans="1:17" s="467" customFormat="1" ht="10.199999999999999" customHeight="1">
      <c r="B69" s="3014">
        <v>21.2</v>
      </c>
      <c r="C69" s="3015">
        <v>6.2950000000000115</v>
      </c>
      <c r="D69" s="3014">
        <v>21.2</v>
      </c>
      <c r="E69" s="3015">
        <v>7.5699999999999985</v>
      </c>
      <c r="F69" s="3014">
        <v>19.2</v>
      </c>
      <c r="G69" s="3015">
        <v>4.4550000000000054</v>
      </c>
      <c r="H69" s="3014">
        <v>21.2</v>
      </c>
      <c r="I69" s="3015">
        <v>2.2999999999999998</v>
      </c>
      <c r="J69" s="3014">
        <v>15.2</v>
      </c>
      <c r="K69" s="3020">
        <v>5.4000000000000092</v>
      </c>
      <c r="L69" s="3014">
        <v>15.200000000000101</v>
      </c>
      <c r="M69" s="3020">
        <v>6.4300000000000122</v>
      </c>
      <c r="N69" s="3014">
        <v>21.2</v>
      </c>
      <c r="O69" s="3015">
        <v>7.5699999999999985</v>
      </c>
      <c r="P69" s="3014">
        <v>15.2</v>
      </c>
      <c r="Q69" s="3020">
        <v>6.4300000000000122</v>
      </c>
    </row>
    <row r="70" spans="1:17" s="467" customFormat="1" ht="10.199999999999999" customHeight="1">
      <c r="B70" s="3014">
        <v>21.3</v>
      </c>
      <c r="C70" s="3015">
        <v>6.3650000000000118</v>
      </c>
      <c r="D70" s="3014">
        <v>21.3</v>
      </c>
      <c r="E70" s="3015">
        <v>7.6549999999999985</v>
      </c>
      <c r="F70" s="3014">
        <v>19.3</v>
      </c>
      <c r="G70" s="3015">
        <v>4.5000000000000053</v>
      </c>
      <c r="H70" s="3014">
        <v>21.3</v>
      </c>
      <c r="I70" s="3015">
        <v>2.2999999999999998</v>
      </c>
      <c r="J70" s="3014">
        <v>15.3</v>
      </c>
      <c r="K70" s="3020">
        <v>5.4700000000000095</v>
      </c>
      <c r="L70" s="3014">
        <v>15.3000000000001</v>
      </c>
      <c r="M70" s="3020">
        <v>6.5000000000000124</v>
      </c>
      <c r="N70" s="3014">
        <v>21.3</v>
      </c>
      <c r="O70" s="3015">
        <v>7.6549999999999985</v>
      </c>
      <c r="P70" s="3014">
        <v>15.3</v>
      </c>
      <c r="Q70" s="3020">
        <v>6.5000000000000124</v>
      </c>
    </row>
    <row r="71" spans="1:17" s="467" customFormat="1" ht="10.199999999999999" customHeight="1">
      <c r="B71" s="3014">
        <v>21.4</v>
      </c>
      <c r="C71" s="3015">
        <v>6.435000000000012</v>
      </c>
      <c r="D71" s="3014">
        <v>21.4</v>
      </c>
      <c r="E71" s="3015">
        <v>7.7399999999999975</v>
      </c>
      <c r="F71" s="3014">
        <v>19.399999999999999</v>
      </c>
      <c r="G71" s="3015">
        <v>4.5450000000000061</v>
      </c>
      <c r="H71" s="3014">
        <v>21.4</v>
      </c>
      <c r="I71" s="3015">
        <v>2.2999999999999998</v>
      </c>
      <c r="J71" s="3014">
        <v>15.4</v>
      </c>
      <c r="K71" s="3020">
        <v>5.5400000000000098</v>
      </c>
      <c r="L71" s="3014">
        <v>15.4000000000001</v>
      </c>
      <c r="M71" s="3020">
        <v>6.5700000000000127</v>
      </c>
      <c r="N71" s="3014">
        <v>21.4</v>
      </c>
      <c r="O71" s="3015">
        <v>7.7399999999999975</v>
      </c>
      <c r="P71" s="3014">
        <v>15.4</v>
      </c>
      <c r="Q71" s="3020">
        <v>6.5700000000000127</v>
      </c>
    </row>
    <row r="72" spans="1:17" s="467" customFormat="1" ht="10.199999999999999" customHeight="1">
      <c r="B72" s="3014">
        <v>21.5</v>
      </c>
      <c r="C72" s="3015">
        <v>6.5050000000000123</v>
      </c>
      <c r="D72" s="3014">
        <v>21.5</v>
      </c>
      <c r="E72" s="3015">
        <v>7.8249999999999975</v>
      </c>
      <c r="F72" s="3014">
        <v>19.5</v>
      </c>
      <c r="G72" s="3015">
        <v>4.5900000000000061</v>
      </c>
      <c r="H72" s="3014">
        <v>21.5</v>
      </c>
      <c r="I72" s="3015">
        <v>2.2999999999999998</v>
      </c>
      <c r="J72" s="3014">
        <v>15.5</v>
      </c>
      <c r="K72" s="3020">
        <v>5.6100000000000101</v>
      </c>
      <c r="L72" s="3014">
        <v>15.500000000000099</v>
      </c>
      <c r="M72" s="3020">
        <v>6.640000000000013</v>
      </c>
      <c r="N72" s="3014">
        <v>21.5</v>
      </c>
      <c r="O72" s="3015">
        <v>7.8249999999999975</v>
      </c>
      <c r="P72" s="3014">
        <v>15.5</v>
      </c>
      <c r="Q72" s="3020">
        <v>6.640000000000013</v>
      </c>
    </row>
    <row r="73" spans="1:17" s="467" customFormat="1" ht="10.199999999999999" customHeight="1">
      <c r="B73" s="3014">
        <v>21.6</v>
      </c>
      <c r="C73" s="3015">
        <v>6.5750000000000126</v>
      </c>
      <c r="D73" s="3014">
        <v>21.6</v>
      </c>
      <c r="E73" s="3015">
        <v>7.9099999999999966</v>
      </c>
      <c r="F73" s="3014">
        <v>19.600000000000001</v>
      </c>
      <c r="G73" s="3015">
        <v>4.6350000000000069</v>
      </c>
      <c r="H73" s="3014">
        <v>21.6</v>
      </c>
      <c r="I73" s="3015">
        <v>2.2999999999999998</v>
      </c>
      <c r="J73" s="3014">
        <v>15.6</v>
      </c>
      <c r="K73" s="3020">
        <v>5.6800000000000104</v>
      </c>
      <c r="L73" s="3014">
        <v>15.600000000000099</v>
      </c>
      <c r="M73" s="3020">
        <v>6.7100000000000133</v>
      </c>
      <c r="N73" s="3014">
        <v>21.6</v>
      </c>
      <c r="O73" s="3015">
        <v>7.9099999999999966</v>
      </c>
      <c r="P73" s="3014">
        <v>15.6</v>
      </c>
      <c r="Q73" s="3020">
        <v>6.7100000000000133</v>
      </c>
    </row>
    <row r="74" spans="1:17" s="467" customFormat="1" ht="10.199999999999999" customHeight="1">
      <c r="B74" s="3014">
        <v>21.7</v>
      </c>
      <c r="C74" s="3015">
        <v>6.6450000000000129</v>
      </c>
      <c r="D74" s="3014">
        <v>21.7</v>
      </c>
      <c r="E74" s="3015">
        <v>7.9949999999999957</v>
      </c>
      <c r="F74" s="3014">
        <v>19.7</v>
      </c>
      <c r="G74" s="3015">
        <v>4.6800000000000068</v>
      </c>
      <c r="H74" s="3014">
        <v>21.7</v>
      </c>
      <c r="I74" s="3015">
        <v>2.2999999999999998</v>
      </c>
      <c r="J74" s="3014">
        <v>15.7</v>
      </c>
      <c r="K74" s="3020">
        <v>5.7500000000000107</v>
      </c>
      <c r="L74" s="3014">
        <v>15.700000000000101</v>
      </c>
      <c r="M74" s="3020">
        <v>6.7800000000000136</v>
      </c>
      <c r="N74" s="3014">
        <v>21.7</v>
      </c>
      <c r="O74" s="3015">
        <v>7.9949999999999957</v>
      </c>
      <c r="P74" s="3014">
        <v>15.7</v>
      </c>
      <c r="Q74" s="3020">
        <v>6.7800000000000136</v>
      </c>
    </row>
    <row r="75" spans="1:17" s="467" customFormat="1" ht="10.199999999999999" customHeight="1">
      <c r="B75" s="3014">
        <v>21.8</v>
      </c>
      <c r="C75" s="3015">
        <v>6.7150000000000132</v>
      </c>
      <c r="D75" s="3014">
        <v>21.8</v>
      </c>
      <c r="E75" s="3015">
        <v>8.0799999999999947</v>
      </c>
      <c r="F75" s="3014">
        <v>19.8</v>
      </c>
      <c r="G75" s="3015">
        <v>4.7250000000000068</v>
      </c>
      <c r="H75" s="3014">
        <v>21.8</v>
      </c>
      <c r="I75" s="3015">
        <v>2.2999999999999998</v>
      </c>
      <c r="J75" s="3014">
        <v>15.8</v>
      </c>
      <c r="K75" s="3020">
        <v>5.8200000000000109</v>
      </c>
      <c r="L75" s="3014">
        <v>15.8000000000001</v>
      </c>
      <c r="M75" s="3020">
        <v>6.8500000000000139</v>
      </c>
      <c r="N75" s="3014">
        <v>21.8</v>
      </c>
      <c r="O75" s="3015">
        <v>8.0799999999999947</v>
      </c>
      <c r="P75" s="3014">
        <v>15.8</v>
      </c>
      <c r="Q75" s="3020">
        <v>6.8500000000000139</v>
      </c>
    </row>
    <row r="76" spans="1:17" s="467" customFormat="1" ht="10.199999999999999" customHeight="1">
      <c r="B76" s="3016">
        <v>21.9</v>
      </c>
      <c r="C76" s="3015">
        <v>6.7850000000000135</v>
      </c>
      <c r="D76" s="3016">
        <v>21.9</v>
      </c>
      <c r="E76" s="3015">
        <v>8.1649999999999956</v>
      </c>
      <c r="F76" s="3016">
        <v>19.899999999999999</v>
      </c>
      <c r="G76" s="3015">
        <v>4.7700000000000076</v>
      </c>
      <c r="H76" s="3016">
        <v>21.9</v>
      </c>
      <c r="I76" s="3015">
        <v>2.2999999999999998</v>
      </c>
      <c r="J76" s="3016">
        <v>15.9</v>
      </c>
      <c r="K76" s="3020">
        <v>5.8900000000000112</v>
      </c>
      <c r="L76" s="3016">
        <v>15.9000000000001</v>
      </c>
      <c r="M76" s="3020">
        <v>6.9200000000000141</v>
      </c>
      <c r="N76" s="3014">
        <v>21.9</v>
      </c>
      <c r="O76" s="3015">
        <v>8.1649999999999956</v>
      </c>
      <c r="P76" s="3016">
        <v>15.9</v>
      </c>
      <c r="Q76" s="3020">
        <v>6.9200000000000141</v>
      </c>
    </row>
    <row r="77" spans="1:17" s="467" customFormat="1" ht="10.199999999999999" customHeight="1">
      <c r="B77" s="3014">
        <v>22</v>
      </c>
      <c r="C77" s="3015">
        <v>6.8550000000000137</v>
      </c>
      <c r="D77" s="3014">
        <v>22</v>
      </c>
      <c r="E77" s="3015">
        <v>8.2499999999999947</v>
      </c>
      <c r="F77" s="3014">
        <v>20</v>
      </c>
      <c r="G77" s="3015">
        <v>4.8150000000000075</v>
      </c>
      <c r="H77" s="3014">
        <v>22</v>
      </c>
      <c r="I77" s="3015">
        <v>2.6</v>
      </c>
      <c r="J77" s="3014">
        <v>16</v>
      </c>
      <c r="K77" s="3020">
        <v>5.9600000000000115</v>
      </c>
      <c r="L77" s="3014">
        <v>16.000000000000099</v>
      </c>
      <c r="M77" s="3020">
        <v>6.9900000000000144</v>
      </c>
      <c r="N77" s="3014">
        <v>22</v>
      </c>
      <c r="O77" s="3015">
        <v>8.2499999999999947</v>
      </c>
      <c r="P77" s="3014">
        <v>16</v>
      </c>
      <c r="Q77" s="3020">
        <v>6.9900000000000144</v>
      </c>
    </row>
    <row r="78" spans="1:17" s="467" customFormat="1" ht="10.199999999999999" customHeight="1">
      <c r="B78" s="3014">
        <v>22.1</v>
      </c>
      <c r="C78" s="3015">
        <v>6.925000000000014</v>
      </c>
      <c r="D78" s="3014">
        <v>22.1</v>
      </c>
      <c r="E78" s="3015">
        <v>8.3349999999999937</v>
      </c>
      <c r="F78" s="3014">
        <v>20.100000000000001</v>
      </c>
      <c r="G78" s="3015">
        <v>4.8600000000000083</v>
      </c>
      <c r="H78" s="3014">
        <v>22.1</v>
      </c>
      <c r="I78" s="3015">
        <v>2.6</v>
      </c>
      <c r="J78" s="3014">
        <v>16.100000000000001</v>
      </c>
      <c r="K78" s="3020">
        <v>6.0300000000000118</v>
      </c>
      <c r="L78" s="3014">
        <v>16.100000000000101</v>
      </c>
      <c r="M78" s="3020">
        <v>7.0600000000000147</v>
      </c>
      <c r="N78" s="3014">
        <v>22.1</v>
      </c>
      <c r="O78" s="3015">
        <v>8.3349999999999937</v>
      </c>
      <c r="P78" s="3014">
        <v>16.100000000000001</v>
      </c>
      <c r="Q78" s="3020">
        <v>7.0600000000000147</v>
      </c>
    </row>
    <row r="79" spans="1:17" s="467" customFormat="1" ht="10.199999999999999" customHeight="1">
      <c r="B79" s="3014">
        <v>22.2</v>
      </c>
      <c r="C79" s="3015">
        <v>6.9950000000000143</v>
      </c>
      <c r="D79" s="3014">
        <v>22.2</v>
      </c>
      <c r="E79" s="3015">
        <v>8.4199999999999928</v>
      </c>
      <c r="F79" s="3014">
        <v>20.2</v>
      </c>
      <c r="G79" s="3015">
        <v>4.9050000000000082</v>
      </c>
      <c r="H79" s="3014">
        <v>22.2</v>
      </c>
      <c r="I79" s="3015">
        <v>2.6</v>
      </c>
      <c r="J79" s="3014">
        <v>16.2</v>
      </c>
      <c r="K79" s="3020">
        <v>6.1000000000000121</v>
      </c>
      <c r="L79" s="3014">
        <v>16.200000000000099</v>
      </c>
      <c r="M79" s="3020">
        <v>7.130000000000015</v>
      </c>
      <c r="N79" s="3014">
        <v>22.2</v>
      </c>
      <c r="O79" s="3015">
        <v>8.4199999999999928</v>
      </c>
      <c r="P79" s="3014">
        <v>16.2</v>
      </c>
      <c r="Q79" s="3020">
        <v>7.130000000000015</v>
      </c>
    </row>
    <row r="80" spans="1:17" s="467" customFormat="1" ht="10.199999999999999" customHeight="1">
      <c r="B80" s="3014">
        <v>22.3</v>
      </c>
      <c r="C80" s="3015">
        <v>7.0650000000000146</v>
      </c>
      <c r="D80" s="3014">
        <v>22.3</v>
      </c>
      <c r="E80" s="3015">
        <v>8.5049999999999919</v>
      </c>
      <c r="F80" s="3014">
        <v>20.3</v>
      </c>
      <c r="G80" s="3015">
        <v>4.9500000000000082</v>
      </c>
      <c r="H80" s="3014">
        <v>22.3</v>
      </c>
      <c r="I80" s="3015">
        <v>2.6</v>
      </c>
      <c r="J80" s="3014">
        <v>16.3</v>
      </c>
      <c r="K80" s="3020">
        <v>6.1700000000000124</v>
      </c>
      <c r="L80" s="3014">
        <v>16.3000000000001</v>
      </c>
      <c r="M80" s="3020">
        <v>7.2000000000000153</v>
      </c>
      <c r="N80" s="3014">
        <v>22.3</v>
      </c>
      <c r="O80" s="3015">
        <v>8.5049999999999919</v>
      </c>
      <c r="P80" s="3014">
        <v>16.3</v>
      </c>
      <c r="Q80" s="3020">
        <v>7.2000000000000153</v>
      </c>
    </row>
    <row r="81" spans="2:21" s="467" customFormat="1" ht="10.199999999999999" customHeight="1">
      <c r="B81" s="3014">
        <v>22.4</v>
      </c>
      <c r="C81" s="3015">
        <v>7.1350000000000149</v>
      </c>
      <c r="D81" s="3014">
        <v>22.4</v>
      </c>
      <c r="E81" s="3015">
        <v>8.5899999999999928</v>
      </c>
      <c r="F81" s="3014">
        <v>20.399999999999999</v>
      </c>
      <c r="G81" s="3015">
        <v>4.995000000000009</v>
      </c>
      <c r="H81" s="3014">
        <v>22.4</v>
      </c>
      <c r="I81" s="3015">
        <v>2.6</v>
      </c>
      <c r="J81" s="3014">
        <v>16.399999999999999</v>
      </c>
      <c r="K81" s="3020">
        <v>6.2400000000000126</v>
      </c>
      <c r="L81" s="3014">
        <v>16.400000000000102</v>
      </c>
      <c r="M81" s="3020">
        <v>7.2700000000000156</v>
      </c>
      <c r="N81" s="3014">
        <v>22.4</v>
      </c>
      <c r="O81" s="3015">
        <v>8.5899999999999928</v>
      </c>
      <c r="P81" s="3014">
        <v>16.399999999999999</v>
      </c>
      <c r="Q81" s="3020">
        <v>7.2700000000000156</v>
      </c>
    </row>
    <row r="82" spans="2:21" s="467" customFormat="1" ht="10.199999999999999" customHeight="1">
      <c r="B82" s="3014">
        <v>22.5</v>
      </c>
      <c r="C82" s="3015">
        <v>7.2050000000000152</v>
      </c>
      <c r="D82" s="3014">
        <v>22.5</v>
      </c>
      <c r="E82" s="3015">
        <v>8.6749999999999918</v>
      </c>
      <c r="F82" s="3014">
        <v>20.5</v>
      </c>
      <c r="G82" s="3015">
        <v>5.0400000000000089</v>
      </c>
      <c r="H82" s="3014">
        <v>22.5</v>
      </c>
      <c r="I82" s="3015">
        <v>2.6</v>
      </c>
      <c r="J82" s="3014">
        <v>16.5</v>
      </c>
      <c r="K82" s="3020">
        <v>6.3100000000000129</v>
      </c>
      <c r="L82" s="3014">
        <v>16.500000000000099</v>
      </c>
      <c r="M82" s="3020">
        <v>7.3400000000000158</v>
      </c>
      <c r="N82" s="3014">
        <v>22.5</v>
      </c>
      <c r="O82" s="3015">
        <v>8.6749999999999918</v>
      </c>
      <c r="P82" s="3014">
        <v>16.5</v>
      </c>
      <c r="Q82" s="3020">
        <v>7.3400000000000158</v>
      </c>
    </row>
    <row r="83" spans="2:21" s="467" customFormat="1" ht="10.199999999999999" customHeight="1">
      <c r="B83" s="3014">
        <v>22.6</v>
      </c>
      <c r="C83" s="3015">
        <v>7.2750000000000155</v>
      </c>
      <c r="D83" s="3014">
        <v>22.6</v>
      </c>
      <c r="E83" s="3015">
        <v>8.7599999999999909</v>
      </c>
      <c r="F83" s="3014">
        <v>20.6</v>
      </c>
      <c r="G83" s="3015">
        <v>5.0850000000000097</v>
      </c>
      <c r="H83" s="3014">
        <v>22.6</v>
      </c>
      <c r="I83" s="3015">
        <v>2.6</v>
      </c>
      <c r="J83" s="3014">
        <v>16.600000000000001</v>
      </c>
      <c r="K83" s="3020">
        <v>6.3800000000000132</v>
      </c>
      <c r="L83" s="3014">
        <v>16.600000000000101</v>
      </c>
      <c r="M83" s="3020">
        <v>7.4100000000000161</v>
      </c>
      <c r="N83" s="3014">
        <v>22.6</v>
      </c>
      <c r="O83" s="3015">
        <v>8.7599999999999909</v>
      </c>
      <c r="P83" s="3014">
        <v>16.600000000000001</v>
      </c>
      <c r="Q83" s="3020">
        <v>7.4100000000000161</v>
      </c>
    </row>
    <row r="84" spans="2:21" s="467" customFormat="1" ht="10.199999999999999" customHeight="1">
      <c r="B84" s="3014">
        <v>22.7</v>
      </c>
      <c r="C84" s="3015">
        <v>7.3450000000000157</v>
      </c>
      <c r="D84" s="3014">
        <v>22.7</v>
      </c>
      <c r="E84" s="3015">
        <v>8.84499999999999</v>
      </c>
      <c r="F84" s="3014">
        <v>20.7</v>
      </c>
      <c r="G84" s="3015">
        <v>5.1300000000000097</v>
      </c>
      <c r="H84" s="3014">
        <v>22.7</v>
      </c>
      <c r="I84" s="3015">
        <v>2.6</v>
      </c>
      <c r="J84" s="3014">
        <v>16.7</v>
      </c>
      <c r="K84" s="3020">
        <v>6.4500000000000126</v>
      </c>
      <c r="L84" s="3014">
        <v>16.700000000000099</v>
      </c>
      <c r="M84" s="3020">
        <v>7.4800000000000164</v>
      </c>
      <c r="N84" s="3014">
        <v>22.7</v>
      </c>
      <c r="O84" s="3015">
        <v>8.84499999999999</v>
      </c>
      <c r="P84" s="3014">
        <v>16.7</v>
      </c>
      <c r="Q84" s="3020">
        <v>7.4800000000000164</v>
      </c>
    </row>
    <row r="85" spans="2:21" s="467" customFormat="1" ht="10.199999999999999" customHeight="1">
      <c r="B85" s="3014">
        <v>22.8</v>
      </c>
      <c r="C85" s="3015">
        <v>7.415000000000016</v>
      </c>
      <c r="D85" s="3014">
        <v>22.8</v>
      </c>
      <c r="E85" s="3015">
        <v>8.9299999999999891</v>
      </c>
      <c r="F85" s="3014">
        <v>20.8</v>
      </c>
      <c r="G85" s="3015">
        <v>5.1750000000000096</v>
      </c>
      <c r="H85" s="3014">
        <v>22.8</v>
      </c>
      <c r="I85" s="3015">
        <v>2.6</v>
      </c>
      <c r="J85" s="3014">
        <v>16.8</v>
      </c>
      <c r="K85" s="3020">
        <v>6.5200000000000129</v>
      </c>
      <c r="L85" s="3014">
        <v>16.8000000000001</v>
      </c>
      <c r="M85" s="3020">
        <v>7.5500000000000167</v>
      </c>
      <c r="N85" s="3014">
        <v>22.8</v>
      </c>
      <c r="O85" s="3015">
        <v>8.9299999999999891</v>
      </c>
      <c r="P85" s="3014">
        <v>16.8</v>
      </c>
      <c r="Q85" s="3020">
        <v>7.5500000000000167</v>
      </c>
    </row>
    <row r="86" spans="2:21" s="467" customFormat="1" ht="10.199999999999999" customHeight="1">
      <c r="B86" s="3016">
        <v>22.9</v>
      </c>
      <c r="C86" s="3015">
        <v>7.4850000000000163</v>
      </c>
      <c r="D86" s="3016">
        <v>22.9</v>
      </c>
      <c r="E86" s="3015">
        <v>9.0149999999999899</v>
      </c>
      <c r="F86" s="3016">
        <v>20.9</v>
      </c>
      <c r="G86" s="3015">
        <v>5.2200000000000104</v>
      </c>
      <c r="H86" s="3016">
        <v>22.9</v>
      </c>
      <c r="I86" s="3015">
        <v>2.6</v>
      </c>
      <c r="J86" s="3016">
        <v>16.899999999999999</v>
      </c>
      <c r="K86" s="3020">
        <v>6.5900000000000132</v>
      </c>
      <c r="L86" s="3016">
        <v>16.900000000000102</v>
      </c>
      <c r="M86" s="3020">
        <v>7.620000000000017</v>
      </c>
      <c r="N86" s="3016">
        <v>22.9</v>
      </c>
      <c r="O86" s="3015">
        <v>9.0149999999999899</v>
      </c>
      <c r="P86" s="3016">
        <v>16.899999999999999</v>
      </c>
      <c r="Q86" s="3020">
        <v>7.620000000000017</v>
      </c>
      <c r="R86" s="468"/>
      <c r="S86" s="93"/>
      <c r="T86" s="445"/>
      <c r="U86" s="93"/>
    </row>
    <row r="87" spans="2:21" s="467" customFormat="1" ht="10.199999999999999" customHeight="1">
      <c r="B87" s="3014">
        <v>23</v>
      </c>
      <c r="C87" s="3015">
        <v>7.5550000000000166</v>
      </c>
      <c r="D87" s="3014">
        <v>23</v>
      </c>
      <c r="E87" s="3015">
        <v>9.099999999999989</v>
      </c>
      <c r="F87" s="3019">
        <v>21</v>
      </c>
      <c r="G87" s="3015">
        <v>5.2650000000000103</v>
      </c>
      <c r="H87" s="3019">
        <v>23</v>
      </c>
      <c r="I87" s="3015">
        <v>2.9</v>
      </c>
      <c r="J87" s="3019">
        <v>17</v>
      </c>
      <c r="K87" s="3020">
        <v>6.6600000000000135</v>
      </c>
      <c r="L87" s="3019">
        <v>17.000000000000099</v>
      </c>
      <c r="M87" s="3020">
        <v>7.6900000000000173</v>
      </c>
      <c r="N87" s="3014">
        <v>23</v>
      </c>
      <c r="O87" s="3015">
        <v>9.099999999999989</v>
      </c>
      <c r="P87" s="3019">
        <v>17.000000000000099</v>
      </c>
      <c r="Q87" s="3020">
        <v>7.6900000000000173</v>
      </c>
      <c r="R87" s="468"/>
      <c r="S87" s="93"/>
      <c r="T87" s="445"/>
      <c r="U87" s="93"/>
    </row>
    <row r="88" spans="2:21" ht="10.199999999999999" customHeight="1">
      <c r="B88" s="3014">
        <v>23.1</v>
      </c>
      <c r="C88" s="3015">
        <v>7.6250000000000169</v>
      </c>
      <c r="D88" s="3014">
        <v>23.1</v>
      </c>
      <c r="E88" s="3015">
        <v>9.1849999999999881</v>
      </c>
      <c r="F88" s="3014">
        <v>21.1</v>
      </c>
      <c r="G88" s="3015">
        <v>5.3100000000000112</v>
      </c>
      <c r="H88" s="3014">
        <v>23.1</v>
      </c>
      <c r="I88" s="3015">
        <v>2.9</v>
      </c>
      <c r="J88" s="3014">
        <v>17.100000000000001</v>
      </c>
      <c r="K88" s="3020">
        <v>6.7300000000000137</v>
      </c>
      <c r="L88" s="3014">
        <v>17.100000000000001</v>
      </c>
      <c r="M88" s="3020">
        <v>7.7600000000000176</v>
      </c>
      <c r="N88" s="3014">
        <v>23.1</v>
      </c>
      <c r="O88" s="3015">
        <v>9.1849999999999881</v>
      </c>
      <c r="P88" s="3014">
        <v>17.100000000000001</v>
      </c>
      <c r="Q88" s="3020">
        <v>7.7600000000000176</v>
      </c>
    </row>
    <row r="89" spans="2:21" ht="10.199999999999999" customHeight="1">
      <c r="B89" s="3014">
        <v>23.2</v>
      </c>
      <c r="C89" s="3015">
        <v>7.6950000000000172</v>
      </c>
      <c r="D89" s="3014">
        <v>23.2</v>
      </c>
      <c r="E89" s="3015">
        <v>9.2699999999999871</v>
      </c>
      <c r="F89" s="3014">
        <v>21.2</v>
      </c>
      <c r="G89" s="3015">
        <v>5.3550000000000111</v>
      </c>
      <c r="H89" s="3014">
        <v>23.2</v>
      </c>
      <c r="I89" s="3015">
        <v>2.9</v>
      </c>
      <c r="J89" s="3014">
        <v>17.2</v>
      </c>
      <c r="K89" s="3020">
        <v>6.800000000000014</v>
      </c>
      <c r="L89" s="3014">
        <v>17.2</v>
      </c>
      <c r="M89" s="3020">
        <v>7.8300000000000178</v>
      </c>
      <c r="N89" s="3014">
        <v>23.2</v>
      </c>
      <c r="O89" s="3015">
        <v>9.2699999999999871</v>
      </c>
      <c r="P89" s="3014">
        <v>17.2</v>
      </c>
      <c r="Q89" s="3020">
        <v>7.8300000000000178</v>
      </c>
    </row>
    <row r="90" spans="2:21" ht="10.199999999999999" customHeight="1">
      <c r="B90" s="3014">
        <v>23.3</v>
      </c>
      <c r="C90" s="3015">
        <v>7.7650000000000174</v>
      </c>
      <c r="D90" s="3014">
        <v>23.3</v>
      </c>
      <c r="E90" s="3015">
        <v>9.3549999999999862</v>
      </c>
      <c r="F90" s="3014">
        <v>21.3</v>
      </c>
      <c r="G90" s="3015">
        <v>5.400000000000011</v>
      </c>
      <c r="H90" s="3014">
        <v>23.3</v>
      </c>
      <c r="I90" s="3015">
        <v>2.9</v>
      </c>
      <c r="J90" s="3014">
        <v>17.3</v>
      </c>
      <c r="K90" s="3020">
        <v>6.8700000000000143</v>
      </c>
      <c r="L90" s="3014">
        <v>17.3</v>
      </c>
      <c r="M90" s="3020">
        <v>7.9000000000000181</v>
      </c>
      <c r="N90" s="3014">
        <v>23.3</v>
      </c>
      <c r="O90" s="3015">
        <v>9.3549999999999862</v>
      </c>
      <c r="P90" s="3014">
        <v>17.3</v>
      </c>
      <c r="Q90" s="3020">
        <v>7.9000000000000181</v>
      </c>
    </row>
    <row r="91" spans="2:21" ht="10.199999999999999" customHeight="1">
      <c r="B91" s="3014">
        <v>23.4</v>
      </c>
      <c r="C91" s="3015">
        <v>7.8350000000000177</v>
      </c>
      <c r="D91" s="3014">
        <v>23.4</v>
      </c>
      <c r="E91" s="3015">
        <v>9.4399999999999871</v>
      </c>
      <c r="F91" s="3014">
        <v>21.4</v>
      </c>
      <c r="G91" s="3015">
        <v>5.4450000000000118</v>
      </c>
      <c r="H91" s="3014">
        <v>23.4</v>
      </c>
      <c r="I91" s="3015">
        <v>2.9</v>
      </c>
      <c r="J91" s="3014">
        <v>17.399999999999999</v>
      </c>
      <c r="K91" s="3020">
        <v>6.9400000000000146</v>
      </c>
      <c r="L91" s="3014">
        <v>17.399999999999999</v>
      </c>
      <c r="M91" s="3020">
        <v>7.9700000000000184</v>
      </c>
      <c r="N91" s="3014">
        <v>23.4</v>
      </c>
      <c r="O91" s="3015">
        <v>9.4399999999999871</v>
      </c>
      <c r="P91" s="3014">
        <v>17.399999999999999</v>
      </c>
      <c r="Q91" s="3020">
        <v>7.9700000000000184</v>
      </c>
    </row>
    <row r="92" spans="2:21" ht="12.45" customHeight="1">
      <c r="B92" s="3014">
        <v>23.5</v>
      </c>
      <c r="C92" s="3015">
        <v>7.905000000000018</v>
      </c>
      <c r="D92" s="3014">
        <v>23.5</v>
      </c>
      <c r="E92" s="3015">
        <v>9.5249999999999861</v>
      </c>
      <c r="F92" s="3014">
        <v>21.5</v>
      </c>
      <c r="G92" s="3015">
        <v>5.4900000000000118</v>
      </c>
      <c r="H92" s="3014">
        <v>23.5</v>
      </c>
      <c r="I92" s="3015">
        <v>2.9</v>
      </c>
      <c r="J92" s="3014">
        <v>17.5</v>
      </c>
      <c r="K92" s="3020">
        <v>7.0100000000000149</v>
      </c>
      <c r="L92" s="3014">
        <v>17.5</v>
      </c>
      <c r="M92" s="3020">
        <v>8.0400000000000187</v>
      </c>
      <c r="N92" s="3014">
        <v>23.5</v>
      </c>
      <c r="O92" s="3015">
        <v>9.5249999999999861</v>
      </c>
      <c r="P92" s="3014">
        <v>17.5</v>
      </c>
      <c r="Q92" s="3020">
        <v>8.0400000000000187</v>
      </c>
    </row>
    <row r="93" spans="2:21" ht="12.45" customHeight="1">
      <c r="B93" s="3014">
        <v>23.6</v>
      </c>
      <c r="C93" s="3015">
        <v>7.9750000000000183</v>
      </c>
      <c r="D93" s="3014">
        <v>23.6</v>
      </c>
      <c r="E93" s="3015">
        <v>9.6099999999999852</v>
      </c>
      <c r="F93" s="3014">
        <v>21.6</v>
      </c>
      <c r="G93" s="3015">
        <v>5.5350000000000126</v>
      </c>
      <c r="H93" s="3014">
        <v>23.6</v>
      </c>
      <c r="I93" s="3015">
        <v>2.9</v>
      </c>
      <c r="J93" s="3014">
        <v>17.600000000000001</v>
      </c>
      <c r="K93" s="3020">
        <v>7.0800000000000152</v>
      </c>
      <c r="L93" s="3014">
        <v>17.600000000000001</v>
      </c>
      <c r="M93" s="3020">
        <v>8.110000000000019</v>
      </c>
      <c r="N93" s="3014">
        <v>23.6</v>
      </c>
      <c r="O93" s="3015">
        <v>9.6099999999999852</v>
      </c>
      <c r="P93" s="3014">
        <v>17.600000000000001</v>
      </c>
      <c r="Q93" s="3020">
        <v>8.110000000000019</v>
      </c>
    </row>
    <row r="94" spans="2:21" ht="12.45" customHeight="1">
      <c r="B94" s="3014">
        <v>23.7</v>
      </c>
      <c r="C94" s="3015">
        <v>8.0450000000000195</v>
      </c>
      <c r="D94" s="3014">
        <v>23.7</v>
      </c>
      <c r="E94" s="3015">
        <v>9.6949999999999843</v>
      </c>
      <c r="F94" s="3014">
        <v>21.7</v>
      </c>
      <c r="G94" s="3015">
        <v>5.5800000000000125</v>
      </c>
      <c r="H94" s="3014">
        <v>23.7</v>
      </c>
      <c r="I94" s="3015">
        <v>2.9</v>
      </c>
      <c r="J94" s="3014">
        <v>17.7</v>
      </c>
      <c r="K94" s="3020">
        <v>7.1500000000000155</v>
      </c>
      <c r="L94" s="3014">
        <v>17.7</v>
      </c>
      <c r="M94" s="3020">
        <v>8.1800000000000193</v>
      </c>
      <c r="N94" s="3014">
        <v>23.7</v>
      </c>
      <c r="O94" s="3015">
        <v>9.6949999999999843</v>
      </c>
      <c r="P94" s="3014">
        <v>17.7</v>
      </c>
      <c r="Q94" s="3020">
        <v>8.1800000000000193</v>
      </c>
    </row>
    <row r="95" spans="2:21" ht="12.45" customHeight="1">
      <c r="B95" s="3014">
        <v>23.8</v>
      </c>
      <c r="C95" s="3015">
        <v>8.1150000000000198</v>
      </c>
      <c r="D95" s="3014">
        <v>23.8</v>
      </c>
      <c r="E95" s="3015">
        <v>9.7799999999999834</v>
      </c>
      <c r="F95" s="3014">
        <v>21.8</v>
      </c>
      <c r="G95" s="3015">
        <v>5.6250000000000124</v>
      </c>
      <c r="H95" s="3014">
        <v>23.8</v>
      </c>
      <c r="I95" s="3015">
        <v>2.9</v>
      </c>
      <c r="J95" s="3014">
        <v>17.8</v>
      </c>
      <c r="K95" s="3020">
        <v>7.2200000000000157</v>
      </c>
      <c r="L95" s="3014">
        <v>17.8</v>
      </c>
      <c r="M95" s="3020">
        <v>8.2500000000000195</v>
      </c>
      <c r="N95" s="3014">
        <v>23.8</v>
      </c>
      <c r="O95" s="3015">
        <v>9.7799999999999834</v>
      </c>
      <c r="P95" s="3014">
        <v>17.8</v>
      </c>
      <c r="Q95" s="3020">
        <v>8.2500000000000195</v>
      </c>
    </row>
    <row r="96" spans="2:21" ht="12.45" customHeight="1">
      <c r="B96" s="3016">
        <v>23.9</v>
      </c>
      <c r="C96" s="3015">
        <v>8.18500000000002</v>
      </c>
      <c r="D96" s="3016">
        <v>23.9</v>
      </c>
      <c r="E96" s="3015">
        <v>9.8649999999999842</v>
      </c>
      <c r="F96" s="3014">
        <v>21.9</v>
      </c>
      <c r="G96" s="3015">
        <v>5.6700000000000133</v>
      </c>
      <c r="H96" s="3014">
        <v>23.9</v>
      </c>
      <c r="I96" s="3015">
        <v>2.9</v>
      </c>
      <c r="J96" s="3014">
        <v>17.899999999999999</v>
      </c>
      <c r="K96" s="3020">
        <v>7.290000000000016</v>
      </c>
      <c r="L96" s="3014">
        <v>17.899999999999999</v>
      </c>
      <c r="M96" s="3020">
        <v>8.3200000000000198</v>
      </c>
      <c r="N96" s="3016">
        <v>23.9</v>
      </c>
      <c r="O96" s="3015">
        <v>9.8649999999999842</v>
      </c>
      <c r="P96" s="3014">
        <v>17.899999999999999</v>
      </c>
      <c r="Q96" s="3020">
        <v>8.3200000000000198</v>
      </c>
    </row>
    <row r="97" spans="2:17" ht="12.45" customHeight="1">
      <c r="B97" s="3014">
        <v>24</v>
      </c>
      <c r="C97" s="3015">
        <v>8.2550000000000203</v>
      </c>
      <c r="D97" s="3014">
        <v>24</v>
      </c>
      <c r="E97" s="3015">
        <v>9.9499999999999833</v>
      </c>
      <c r="F97" s="3019">
        <v>22</v>
      </c>
      <c r="G97" s="3015">
        <v>5.7150000000000132</v>
      </c>
      <c r="H97" s="3019">
        <v>24</v>
      </c>
      <c r="I97" s="3015">
        <v>3.2</v>
      </c>
      <c r="J97" s="3019">
        <v>18</v>
      </c>
      <c r="K97" s="3020">
        <v>7.3600000000000163</v>
      </c>
      <c r="L97" s="3019">
        <v>18</v>
      </c>
      <c r="M97" s="3020">
        <v>8.3900000000000201</v>
      </c>
      <c r="N97" s="3014">
        <v>24</v>
      </c>
      <c r="O97" s="3015">
        <v>9.9499999999999833</v>
      </c>
      <c r="P97" s="3019">
        <v>18</v>
      </c>
      <c r="Q97" s="3020">
        <v>8.3900000000000201</v>
      </c>
    </row>
    <row r="98" spans="2:17" ht="10.199999999999999" customHeight="1">
      <c r="B98" s="3014">
        <v>24.1</v>
      </c>
      <c r="C98" s="3015">
        <v>8.3250000000000206</v>
      </c>
      <c r="D98" s="3014">
        <v>24.1</v>
      </c>
      <c r="E98" s="3015">
        <v>10.034999999999982</v>
      </c>
      <c r="F98" s="3014">
        <v>22.1</v>
      </c>
      <c r="G98" s="3015">
        <v>5.760000000000014</v>
      </c>
      <c r="H98" s="3014">
        <v>24.1</v>
      </c>
      <c r="I98" s="3015">
        <v>3.2</v>
      </c>
      <c r="J98" s="3014">
        <v>18.100000000000001</v>
      </c>
      <c r="K98" s="3020">
        <v>7.4300000000000166</v>
      </c>
      <c r="L98" s="3014">
        <v>18.100000000000001</v>
      </c>
      <c r="M98" s="3020">
        <v>8.4600000000000204</v>
      </c>
      <c r="N98" s="3014">
        <v>24.1</v>
      </c>
      <c r="O98" s="3015">
        <v>10.034999999999982</v>
      </c>
      <c r="P98" s="3014">
        <v>18.100000000000001</v>
      </c>
      <c r="Q98" s="3020">
        <v>8.4600000000000204</v>
      </c>
    </row>
    <row r="99" spans="2:17" ht="10.199999999999999" customHeight="1">
      <c r="B99" s="3014">
        <v>24.2</v>
      </c>
      <c r="C99" s="3015">
        <v>8.3950000000000209</v>
      </c>
      <c r="D99" s="3014">
        <v>24.2</v>
      </c>
      <c r="E99" s="3015">
        <v>10.119999999999981</v>
      </c>
      <c r="F99" s="3014">
        <v>22.2</v>
      </c>
      <c r="G99" s="3015">
        <v>5.8050000000000139</v>
      </c>
      <c r="H99" s="3014">
        <v>24.2</v>
      </c>
      <c r="I99" s="3015">
        <v>3.2</v>
      </c>
      <c r="J99" s="3014">
        <v>18.2</v>
      </c>
      <c r="K99" s="3020">
        <v>7.5000000000000169</v>
      </c>
      <c r="L99" s="3014">
        <v>18.2</v>
      </c>
      <c r="M99" s="3020">
        <v>8.5300000000000207</v>
      </c>
      <c r="N99" s="3014">
        <v>24.2</v>
      </c>
      <c r="O99" s="3015">
        <v>10.119999999999981</v>
      </c>
      <c r="P99" s="3014">
        <v>18.2</v>
      </c>
      <c r="Q99" s="3020">
        <v>8.5300000000000207</v>
      </c>
    </row>
    <row r="100" spans="2:17" ht="10.199999999999999" customHeight="1">
      <c r="B100" s="3014">
        <v>24.3</v>
      </c>
      <c r="C100" s="3015">
        <v>8.4650000000000212</v>
      </c>
      <c r="D100" s="3014">
        <v>24.3</v>
      </c>
      <c r="E100" s="3015">
        <v>10.204999999999981</v>
      </c>
      <c r="F100" s="3014">
        <v>22.3</v>
      </c>
      <c r="G100" s="3015">
        <v>5.8500000000000139</v>
      </c>
      <c r="H100" s="3014">
        <v>24.3</v>
      </c>
      <c r="I100" s="3015">
        <v>3.2</v>
      </c>
      <c r="J100" s="3014">
        <v>18.3</v>
      </c>
      <c r="K100" s="3020">
        <v>7.5700000000000172</v>
      </c>
      <c r="L100" s="3014">
        <v>18.3</v>
      </c>
      <c r="M100" s="3020">
        <v>8.600000000000021</v>
      </c>
      <c r="N100" s="3014">
        <v>24.3</v>
      </c>
      <c r="O100" s="3015">
        <v>10.204999999999981</v>
      </c>
      <c r="P100" s="3014">
        <v>18.3</v>
      </c>
      <c r="Q100" s="3020">
        <v>8.600000000000021</v>
      </c>
    </row>
    <row r="101" spans="2:17" ht="10.199999999999999" customHeight="1">
      <c r="B101" s="3014">
        <v>24.4</v>
      </c>
      <c r="C101" s="3015">
        <v>8.5350000000000215</v>
      </c>
      <c r="D101" s="3014">
        <v>24.4</v>
      </c>
      <c r="E101" s="3015">
        <v>10.289999999999981</v>
      </c>
      <c r="F101" s="3014">
        <v>22.4</v>
      </c>
      <c r="G101" s="3015">
        <v>5.8950000000000147</v>
      </c>
      <c r="H101" s="3014">
        <v>24.4</v>
      </c>
      <c r="I101" s="3015">
        <v>3.2</v>
      </c>
      <c r="J101" s="3014">
        <v>18.399999999999999</v>
      </c>
      <c r="K101" s="3020">
        <v>7.6400000000000174</v>
      </c>
      <c r="L101" s="3014">
        <v>18.399999999999999</v>
      </c>
      <c r="M101" s="3020">
        <v>8.6700000000000212</v>
      </c>
      <c r="N101" s="3014">
        <v>24.4</v>
      </c>
      <c r="O101" s="3015">
        <v>10.289999999999981</v>
      </c>
      <c r="P101" s="3014">
        <v>18.399999999999999</v>
      </c>
      <c r="Q101" s="3020">
        <v>8.6700000000000212</v>
      </c>
    </row>
    <row r="102" spans="2:17" ht="10.199999999999999" customHeight="1">
      <c r="B102" s="3014">
        <v>24.5</v>
      </c>
      <c r="C102" s="3015">
        <v>8.6050000000000217</v>
      </c>
      <c r="D102" s="3014">
        <v>24.5</v>
      </c>
      <c r="E102" s="3015">
        <v>10.37499999999998</v>
      </c>
      <c r="F102" s="3014">
        <v>22.5</v>
      </c>
      <c r="G102" s="3015">
        <v>5.9400000000000146</v>
      </c>
      <c r="H102" s="3014">
        <v>24.5</v>
      </c>
      <c r="I102" s="3015">
        <v>3.2</v>
      </c>
      <c r="J102" s="3014">
        <v>18.5</v>
      </c>
      <c r="K102" s="3020">
        <v>7.7100000000000177</v>
      </c>
      <c r="L102" s="3014">
        <v>18.5</v>
      </c>
      <c r="M102" s="3020">
        <v>8.7400000000000215</v>
      </c>
      <c r="N102" s="3014">
        <v>24.5</v>
      </c>
      <c r="O102" s="3015">
        <v>10.37499999999998</v>
      </c>
      <c r="P102" s="3014">
        <v>18.5</v>
      </c>
      <c r="Q102" s="3020">
        <v>8.7400000000000215</v>
      </c>
    </row>
    <row r="103" spans="2:17" ht="10.199999999999999" customHeight="1">
      <c r="B103" s="3014">
        <v>24.6</v>
      </c>
      <c r="C103" s="3015">
        <v>8.675000000000022</v>
      </c>
      <c r="D103" s="3014">
        <v>24.6</v>
      </c>
      <c r="E103" s="3015">
        <v>10.45999999999998</v>
      </c>
      <c r="F103" s="3014">
        <v>22.6</v>
      </c>
      <c r="G103" s="3015">
        <v>5.9850000000000154</v>
      </c>
      <c r="H103" s="3014">
        <v>24.6</v>
      </c>
      <c r="I103" s="3015">
        <v>3.2</v>
      </c>
      <c r="J103" s="3014">
        <v>18.600000000000001</v>
      </c>
      <c r="K103" s="3020">
        <v>7.780000000000018</v>
      </c>
      <c r="L103" s="3014">
        <v>18.600000000000001</v>
      </c>
      <c r="M103" s="3020">
        <v>8.8100000000000218</v>
      </c>
      <c r="N103" s="3014">
        <v>24.6</v>
      </c>
      <c r="O103" s="3015">
        <v>10.45999999999998</v>
      </c>
      <c r="P103" s="3014">
        <v>18.600000000000001</v>
      </c>
      <c r="Q103" s="3020">
        <v>8.8100000000000218</v>
      </c>
    </row>
    <row r="104" spans="2:17" ht="10.199999999999999" customHeight="1">
      <c r="B104" s="3014">
        <v>24.7</v>
      </c>
      <c r="C104" s="3015">
        <v>8.7450000000000223</v>
      </c>
      <c r="D104" s="3014">
        <v>24.7</v>
      </c>
      <c r="E104" s="3015">
        <v>10.544999999999979</v>
      </c>
      <c r="F104" s="3014">
        <v>22.7</v>
      </c>
      <c r="G104" s="3015">
        <v>6.0300000000000153</v>
      </c>
      <c r="H104" s="3014">
        <v>24.7</v>
      </c>
      <c r="I104" s="3015">
        <v>3.2</v>
      </c>
      <c r="J104" s="3014">
        <v>18.7</v>
      </c>
      <c r="K104" s="3020">
        <v>7.8500000000000183</v>
      </c>
      <c r="L104" s="3014">
        <v>18.7</v>
      </c>
      <c r="M104" s="3020">
        <v>8.8800000000000221</v>
      </c>
      <c r="N104" s="3014">
        <v>24.7</v>
      </c>
      <c r="O104" s="3015">
        <v>10.544999999999979</v>
      </c>
      <c r="P104" s="3014">
        <v>18.7</v>
      </c>
      <c r="Q104" s="3020">
        <v>8.8800000000000221</v>
      </c>
    </row>
    <row r="105" spans="2:17" ht="10.199999999999999" customHeight="1">
      <c r="B105" s="3014">
        <v>24.8</v>
      </c>
      <c r="C105" s="3015">
        <v>8.8150000000000226</v>
      </c>
      <c r="D105" s="3014">
        <v>24.8</v>
      </c>
      <c r="E105" s="3015">
        <v>10.629999999999978</v>
      </c>
      <c r="F105" s="3014">
        <v>22.8</v>
      </c>
      <c r="G105" s="3015">
        <v>6.0750000000000153</v>
      </c>
      <c r="H105" s="3014">
        <v>24.8</v>
      </c>
      <c r="I105" s="3015">
        <v>3.2</v>
      </c>
      <c r="J105" s="3014">
        <v>18.8</v>
      </c>
      <c r="K105" s="3020">
        <v>7.9200000000000186</v>
      </c>
      <c r="L105" s="3014">
        <v>18.8</v>
      </c>
      <c r="M105" s="3020">
        <v>8.9500000000000224</v>
      </c>
      <c r="N105" s="3014">
        <v>24.8</v>
      </c>
      <c r="O105" s="3015">
        <v>10.629999999999978</v>
      </c>
      <c r="P105" s="3014">
        <v>18.8</v>
      </c>
      <c r="Q105" s="3020">
        <v>8.9500000000000224</v>
      </c>
    </row>
    <row r="106" spans="2:17" ht="10.199999999999999" customHeight="1" thickBot="1">
      <c r="B106" s="3016">
        <v>24.9</v>
      </c>
      <c r="C106" s="3015">
        <v>8.8850000000000229</v>
      </c>
      <c r="D106" s="3016">
        <v>24.9</v>
      </c>
      <c r="E106" s="3015">
        <v>10.714999999999979</v>
      </c>
      <c r="F106" s="3014">
        <v>22.9</v>
      </c>
      <c r="G106" s="3015">
        <v>6.1200000000000161</v>
      </c>
      <c r="H106" s="3014">
        <v>24.9</v>
      </c>
      <c r="I106" s="3015">
        <v>3.2</v>
      </c>
      <c r="J106" s="463">
        <v>18.899999999999999</v>
      </c>
      <c r="K106" s="462">
        <v>7.9900000000000189</v>
      </c>
      <c r="L106" s="3014">
        <v>18.899999999999999</v>
      </c>
      <c r="M106" s="3020">
        <v>9.0200000000000227</v>
      </c>
      <c r="N106" s="3016">
        <v>24.9</v>
      </c>
      <c r="O106" s="3015">
        <v>10.714999999999979</v>
      </c>
      <c r="P106" s="3014">
        <v>18.899999999999999</v>
      </c>
      <c r="Q106" s="3020">
        <v>9.0200000000000227</v>
      </c>
    </row>
    <row r="107" spans="2:17" ht="10.199999999999999" customHeight="1">
      <c r="B107" s="3014">
        <v>25</v>
      </c>
      <c r="C107" s="3015">
        <v>8.9550000000000232</v>
      </c>
      <c r="D107" s="3014">
        <v>25</v>
      </c>
      <c r="E107" s="3015">
        <v>10.799999999999978</v>
      </c>
      <c r="F107" s="3019">
        <v>23</v>
      </c>
      <c r="G107" s="3015">
        <v>6.165000000000016</v>
      </c>
      <c r="H107" s="3019">
        <v>25</v>
      </c>
      <c r="I107" s="466">
        <v>3.2</v>
      </c>
      <c r="J107" s="3015"/>
      <c r="K107" s="3015"/>
      <c r="L107" s="3019">
        <v>19</v>
      </c>
      <c r="M107" s="3020">
        <v>9.090000000000023</v>
      </c>
      <c r="N107" s="3014">
        <v>25</v>
      </c>
      <c r="O107" s="3015">
        <v>10.799999999999978</v>
      </c>
      <c r="P107" s="3019">
        <v>19</v>
      </c>
      <c r="Q107" s="3020">
        <v>9.090000000000023</v>
      </c>
    </row>
    <row r="108" spans="2:17" ht="10.199999999999999" customHeight="1">
      <c r="B108" s="3014">
        <v>25.1</v>
      </c>
      <c r="C108" s="3015">
        <v>9.0250000000000234</v>
      </c>
      <c r="D108" s="3014">
        <v>25.1</v>
      </c>
      <c r="E108" s="3015">
        <v>10.884999999999977</v>
      </c>
      <c r="F108" s="3014">
        <v>23.1</v>
      </c>
      <c r="G108" s="3015">
        <v>6.2100000000000168</v>
      </c>
      <c r="H108" s="3014">
        <v>25.1</v>
      </c>
      <c r="I108" s="466">
        <v>3.2</v>
      </c>
      <c r="J108" s="3015"/>
      <c r="K108" s="3015"/>
      <c r="L108" s="3014">
        <v>19.100000000000001</v>
      </c>
      <c r="M108" s="3020">
        <v>9.1600000000000232</v>
      </c>
      <c r="N108" s="3014">
        <v>25.1</v>
      </c>
      <c r="O108" s="3015">
        <v>10.884999999999977</v>
      </c>
      <c r="P108" s="3014">
        <v>19.100000000000001</v>
      </c>
      <c r="Q108" s="3020">
        <v>9.1600000000000232</v>
      </c>
    </row>
    <row r="109" spans="2:17" ht="10.199999999999999" customHeight="1">
      <c r="B109" s="3014">
        <v>25.2</v>
      </c>
      <c r="C109" s="3015">
        <v>9.0950000000000237</v>
      </c>
      <c r="D109" s="3014">
        <v>25.2</v>
      </c>
      <c r="E109" s="3015">
        <v>10.969999999999976</v>
      </c>
      <c r="F109" s="3014">
        <v>23.2</v>
      </c>
      <c r="G109" s="3015">
        <v>6.2550000000000168</v>
      </c>
      <c r="H109" s="3014">
        <v>25.2</v>
      </c>
      <c r="I109" s="466">
        <v>3.2</v>
      </c>
      <c r="J109" s="3015"/>
      <c r="K109" s="3015"/>
      <c r="L109" s="3014">
        <v>19.2</v>
      </c>
      <c r="M109" s="3020">
        <v>9.2300000000000235</v>
      </c>
      <c r="N109" s="3014">
        <v>25.2</v>
      </c>
      <c r="O109" s="3015">
        <v>10.969999999999976</v>
      </c>
      <c r="P109" s="3014">
        <v>19.2</v>
      </c>
      <c r="Q109" s="3020">
        <v>9.2300000000000235</v>
      </c>
    </row>
    <row r="110" spans="2:17" ht="10.199999999999999" customHeight="1">
      <c r="B110" s="3014">
        <v>25.3</v>
      </c>
      <c r="C110" s="3015">
        <v>9.165000000000024</v>
      </c>
      <c r="D110" s="3014">
        <v>25.3</v>
      </c>
      <c r="E110" s="3015">
        <v>11.054999999999975</v>
      </c>
      <c r="F110" s="3014">
        <v>23.3</v>
      </c>
      <c r="G110" s="3015">
        <v>6.3000000000000167</v>
      </c>
      <c r="H110" s="3014">
        <v>25.3</v>
      </c>
      <c r="I110" s="466">
        <v>3.2</v>
      </c>
      <c r="J110" s="3015"/>
      <c r="K110" s="3015"/>
      <c r="L110" s="3014">
        <v>19.3</v>
      </c>
      <c r="M110" s="3020">
        <v>9.3000000000000238</v>
      </c>
      <c r="N110" s="3014">
        <v>25.3</v>
      </c>
      <c r="O110" s="3015">
        <v>11.054999999999975</v>
      </c>
      <c r="P110" s="3014">
        <v>19.3</v>
      </c>
      <c r="Q110" s="3020">
        <v>9.3000000000000238</v>
      </c>
    </row>
    <row r="111" spans="2:17" ht="10.199999999999999" customHeight="1">
      <c r="B111" s="3014">
        <v>25.4</v>
      </c>
      <c r="C111" s="3015">
        <v>9.2350000000000243</v>
      </c>
      <c r="D111" s="3014">
        <v>25.4</v>
      </c>
      <c r="E111" s="3015">
        <v>11.139999999999976</v>
      </c>
      <c r="F111" s="3014">
        <v>23.4</v>
      </c>
      <c r="G111" s="3015">
        <v>6.3450000000000175</v>
      </c>
      <c r="H111" s="3014">
        <v>25.4</v>
      </c>
      <c r="I111" s="466">
        <v>3.2</v>
      </c>
      <c r="J111" s="3015"/>
      <c r="K111" s="3015"/>
      <c r="L111" s="3014">
        <v>19.399999999999999</v>
      </c>
      <c r="M111" s="3020">
        <v>9.3700000000000241</v>
      </c>
      <c r="N111" s="3014">
        <v>25.4</v>
      </c>
      <c r="O111" s="3015">
        <v>11.139999999999976</v>
      </c>
      <c r="P111" s="3014">
        <v>19.399999999999999</v>
      </c>
      <c r="Q111" s="3020">
        <v>9.3700000000000241</v>
      </c>
    </row>
    <row r="112" spans="2:17" ht="10.199999999999999" customHeight="1">
      <c r="B112" s="3014">
        <v>25.5</v>
      </c>
      <c r="C112" s="3015">
        <v>9.3050000000000246</v>
      </c>
      <c r="D112" s="3014">
        <v>25.5</v>
      </c>
      <c r="E112" s="3015">
        <v>11.224999999999975</v>
      </c>
      <c r="F112" s="3014">
        <v>23.5</v>
      </c>
      <c r="G112" s="3015">
        <v>6.3900000000000174</v>
      </c>
      <c r="H112" s="3014">
        <v>25.5</v>
      </c>
      <c r="I112" s="466">
        <v>3.2</v>
      </c>
      <c r="J112" s="3015"/>
      <c r="K112" s="3015"/>
      <c r="L112" s="3014">
        <v>19.5</v>
      </c>
      <c r="M112" s="3020">
        <v>9.4400000000000244</v>
      </c>
      <c r="N112" s="3014">
        <v>25.5</v>
      </c>
      <c r="O112" s="3015">
        <v>11.224999999999975</v>
      </c>
      <c r="P112" s="3014">
        <v>19.5</v>
      </c>
      <c r="Q112" s="3020">
        <v>9.4400000000000244</v>
      </c>
    </row>
    <row r="113" spans="2:17" ht="10.199999999999999" customHeight="1">
      <c r="B113" s="3014">
        <v>25.6</v>
      </c>
      <c r="C113" s="3015">
        <v>9.3750000000000249</v>
      </c>
      <c r="D113" s="3014">
        <v>25.6</v>
      </c>
      <c r="E113" s="3015">
        <v>11.309999999999974</v>
      </c>
      <c r="F113" s="3014">
        <v>23.6</v>
      </c>
      <c r="G113" s="3015">
        <v>6.4350000000000183</v>
      </c>
      <c r="H113" s="3014">
        <v>25.6</v>
      </c>
      <c r="I113" s="466">
        <v>3.2</v>
      </c>
      <c r="J113" s="3015"/>
      <c r="K113" s="3015"/>
      <c r="L113" s="3014">
        <v>19.600000000000001</v>
      </c>
      <c r="M113" s="3020">
        <v>9.5100000000000247</v>
      </c>
      <c r="N113" s="3014">
        <v>25.6</v>
      </c>
      <c r="O113" s="3015">
        <v>11.309999999999974</v>
      </c>
      <c r="P113" s="3014">
        <v>19.600000000000001</v>
      </c>
      <c r="Q113" s="3020">
        <v>9.5100000000000247</v>
      </c>
    </row>
    <row r="114" spans="2:17" ht="10.199999999999999" customHeight="1">
      <c r="B114" s="3014">
        <v>25.7</v>
      </c>
      <c r="C114" s="3015">
        <v>9.4450000000000252</v>
      </c>
      <c r="D114" s="3014">
        <v>25.7</v>
      </c>
      <c r="E114" s="3015">
        <v>11.394999999999973</v>
      </c>
      <c r="F114" s="3014">
        <v>23.7</v>
      </c>
      <c r="G114" s="3015">
        <v>6.4800000000000182</v>
      </c>
      <c r="H114" s="3014">
        <v>25.7</v>
      </c>
      <c r="I114" s="466">
        <v>3.2</v>
      </c>
      <c r="J114" s="3015"/>
      <c r="K114" s="3015"/>
      <c r="L114" s="3014">
        <v>19.7</v>
      </c>
      <c r="M114" s="3020">
        <v>9.5800000000000249</v>
      </c>
      <c r="N114" s="3014">
        <v>25.7</v>
      </c>
      <c r="O114" s="3015">
        <v>11.394999999999973</v>
      </c>
      <c r="P114" s="3014">
        <v>19.7</v>
      </c>
      <c r="Q114" s="3020">
        <v>9.5800000000000249</v>
      </c>
    </row>
    <row r="115" spans="2:17" ht="10.199999999999999" customHeight="1">
      <c r="B115" s="3014">
        <v>25.8</v>
      </c>
      <c r="C115" s="3015">
        <v>9.5150000000000254</v>
      </c>
      <c r="D115" s="3014">
        <v>25.8</v>
      </c>
      <c r="E115" s="3015">
        <v>11.479999999999972</v>
      </c>
      <c r="F115" s="3014">
        <v>23.8</v>
      </c>
      <c r="G115" s="3015">
        <v>6.5250000000000181</v>
      </c>
      <c r="H115" s="3014">
        <v>25.8</v>
      </c>
      <c r="I115" s="466">
        <v>3.2</v>
      </c>
      <c r="J115" s="3015"/>
      <c r="K115" s="3015"/>
      <c r="L115" s="3014">
        <v>19.8</v>
      </c>
      <c r="M115" s="3020">
        <v>9.6500000000000252</v>
      </c>
      <c r="N115" s="3014">
        <v>25.8</v>
      </c>
      <c r="O115" s="3015">
        <v>11.479999999999972</v>
      </c>
      <c r="P115" s="3014">
        <v>19.8</v>
      </c>
      <c r="Q115" s="3020">
        <v>9.6500000000000252</v>
      </c>
    </row>
    <row r="116" spans="2:17" ht="10.199999999999999" customHeight="1">
      <c r="B116" s="3016">
        <v>25.9</v>
      </c>
      <c r="C116" s="3015">
        <v>9.5850000000000257</v>
      </c>
      <c r="D116" s="3016">
        <v>25.9</v>
      </c>
      <c r="E116" s="3015">
        <v>11.564999999999973</v>
      </c>
      <c r="F116" s="3014">
        <v>23.9</v>
      </c>
      <c r="G116" s="3015">
        <v>6.5700000000000189</v>
      </c>
      <c r="H116" s="3014">
        <v>25.9</v>
      </c>
      <c r="I116" s="466">
        <v>3.2</v>
      </c>
      <c r="J116" s="3015"/>
      <c r="K116" s="3015"/>
      <c r="L116" s="3014">
        <v>19.899999999999999</v>
      </c>
      <c r="M116" s="3020">
        <v>9.7200000000000255</v>
      </c>
      <c r="N116" s="3016">
        <v>25.9</v>
      </c>
      <c r="O116" s="3015">
        <v>11.564999999999973</v>
      </c>
      <c r="P116" s="3014">
        <v>19.899999999999999</v>
      </c>
      <c r="Q116" s="3020">
        <v>9.7200000000000255</v>
      </c>
    </row>
    <row r="117" spans="2:17" ht="10.199999999999999" customHeight="1">
      <c r="B117" s="3014">
        <v>26</v>
      </c>
      <c r="C117" s="3015">
        <v>9.655000000000026</v>
      </c>
      <c r="D117" s="3014">
        <v>26</v>
      </c>
      <c r="E117" s="3015">
        <v>11.649999999999972</v>
      </c>
      <c r="F117" s="3019">
        <v>24</v>
      </c>
      <c r="G117" s="3015">
        <v>6.6150000000000189</v>
      </c>
      <c r="H117" s="3019">
        <v>26</v>
      </c>
      <c r="I117" s="466">
        <v>3.3</v>
      </c>
      <c r="J117" s="3015"/>
      <c r="K117" s="3015"/>
      <c r="L117" s="3019">
        <v>20</v>
      </c>
      <c r="M117" s="3020">
        <v>9.7900000000000258</v>
      </c>
      <c r="N117" s="3014">
        <v>26</v>
      </c>
      <c r="O117" s="3015">
        <v>11.649999999999972</v>
      </c>
      <c r="P117" s="3019">
        <v>20</v>
      </c>
      <c r="Q117" s="3020">
        <v>9.7900000000000258</v>
      </c>
    </row>
    <row r="118" spans="2:17" ht="10.199999999999999" customHeight="1">
      <c r="B118" s="3014">
        <v>26.1</v>
      </c>
      <c r="C118" s="3015">
        <v>9.7250000000000263</v>
      </c>
      <c r="D118" s="3014">
        <v>26.1</v>
      </c>
      <c r="E118" s="3015">
        <v>11.734999999999971</v>
      </c>
      <c r="F118" s="3014">
        <v>24.1</v>
      </c>
      <c r="G118" s="3015">
        <v>6.6600000000000197</v>
      </c>
      <c r="H118" s="3014">
        <v>26.1</v>
      </c>
      <c r="I118" s="466">
        <v>3.3</v>
      </c>
      <c r="J118" s="3015"/>
      <c r="K118" s="3015"/>
      <c r="L118" s="3014">
        <v>20.100000000000001</v>
      </c>
      <c r="M118" s="3020">
        <v>9.8600000000000261</v>
      </c>
      <c r="N118" s="3014">
        <v>26.1</v>
      </c>
      <c r="O118" s="3015">
        <v>11.734999999999971</v>
      </c>
      <c r="P118" s="3014">
        <v>20.100000000000001</v>
      </c>
      <c r="Q118" s="3020">
        <v>9.8600000000000261</v>
      </c>
    </row>
    <row r="119" spans="2:17" ht="10.199999999999999" customHeight="1">
      <c r="B119" s="3014">
        <v>26.2</v>
      </c>
      <c r="C119" s="3015">
        <v>9.7950000000000266</v>
      </c>
      <c r="D119" s="3014">
        <v>26.2</v>
      </c>
      <c r="E119" s="3015">
        <v>11.81999999999997</v>
      </c>
      <c r="F119" s="3014">
        <v>24.2</v>
      </c>
      <c r="G119" s="3015">
        <v>6.7050000000000196</v>
      </c>
      <c r="H119" s="3014">
        <v>26.2</v>
      </c>
      <c r="I119" s="466">
        <v>3.3</v>
      </c>
      <c r="J119" s="3015"/>
      <c r="K119" s="3015"/>
      <c r="L119" s="3014">
        <v>20.2</v>
      </c>
      <c r="M119" s="3020">
        <v>9.9300000000000264</v>
      </c>
      <c r="N119" s="3014">
        <v>26.2</v>
      </c>
      <c r="O119" s="3015">
        <v>11.81999999999997</v>
      </c>
      <c r="P119" s="3014">
        <v>20.2</v>
      </c>
      <c r="Q119" s="3020">
        <v>9.9300000000000264</v>
      </c>
    </row>
    <row r="120" spans="2:17" ht="10.199999999999999" customHeight="1">
      <c r="B120" s="3014">
        <v>26.3</v>
      </c>
      <c r="C120" s="3015">
        <v>9.8650000000000269</v>
      </c>
      <c r="D120" s="3014">
        <v>26.3</v>
      </c>
      <c r="E120" s="3015">
        <v>11.904999999999969</v>
      </c>
      <c r="F120" s="3014">
        <v>24.3</v>
      </c>
      <c r="G120" s="3015">
        <v>6.7500000000000195</v>
      </c>
      <c r="H120" s="3014">
        <v>26.3</v>
      </c>
      <c r="I120" s="466">
        <v>3.3</v>
      </c>
      <c r="J120" s="3015"/>
      <c r="K120" s="3015"/>
      <c r="L120" s="3014">
        <v>20.3</v>
      </c>
      <c r="M120" s="3020">
        <v>10.000000000000027</v>
      </c>
      <c r="N120" s="3014">
        <v>26.3</v>
      </c>
      <c r="O120" s="3015">
        <v>11.904999999999969</v>
      </c>
      <c r="P120" s="3014">
        <v>20.3</v>
      </c>
      <c r="Q120" s="3020">
        <v>10.000000000000027</v>
      </c>
    </row>
    <row r="121" spans="2:17" ht="10.199999999999999" customHeight="1">
      <c r="B121" s="3014">
        <v>26.4</v>
      </c>
      <c r="C121" s="3015">
        <v>9.9350000000000271</v>
      </c>
      <c r="D121" s="3014">
        <v>26.4</v>
      </c>
      <c r="E121" s="3015">
        <v>11.98999999999997</v>
      </c>
      <c r="F121" s="3014">
        <v>24.4</v>
      </c>
      <c r="G121" s="3015">
        <v>6.7950000000000204</v>
      </c>
      <c r="H121" s="3014">
        <v>26.4</v>
      </c>
      <c r="I121" s="466">
        <v>3.3</v>
      </c>
      <c r="J121" s="3015"/>
      <c r="K121" s="3015"/>
      <c r="L121" s="3014">
        <v>20.399999999999999</v>
      </c>
      <c r="M121" s="3020">
        <v>10.070000000000027</v>
      </c>
      <c r="N121" s="3014">
        <v>26.4</v>
      </c>
      <c r="O121" s="3015">
        <v>11.98999999999997</v>
      </c>
      <c r="P121" s="3014">
        <v>20.399999999999999</v>
      </c>
      <c r="Q121" s="3020">
        <v>10.070000000000027</v>
      </c>
    </row>
    <row r="122" spans="2:17" ht="10.199999999999999" customHeight="1">
      <c r="B122" s="3014">
        <v>26.5</v>
      </c>
      <c r="C122" s="3015">
        <v>10.005000000000027</v>
      </c>
      <c r="D122" s="3014">
        <v>26.5</v>
      </c>
      <c r="E122" s="3015">
        <v>12.074999999999969</v>
      </c>
      <c r="F122" s="3014">
        <v>24.5</v>
      </c>
      <c r="G122" s="3015">
        <v>6.8400000000000203</v>
      </c>
      <c r="H122" s="3014">
        <v>26.5</v>
      </c>
      <c r="I122" s="466">
        <v>3.3</v>
      </c>
      <c r="J122" s="3015"/>
      <c r="K122" s="3015"/>
      <c r="L122" s="3014">
        <v>20.5</v>
      </c>
      <c r="M122" s="3020">
        <v>10.140000000000027</v>
      </c>
      <c r="N122" s="3014">
        <v>26.5</v>
      </c>
      <c r="O122" s="3015">
        <v>12.074999999999969</v>
      </c>
      <c r="P122" s="3014">
        <v>20.5</v>
      </c>
      <c r="Q122" s="3020">
        <v>10.140000000000027</v>
      </c>
    </row>
    <row r="123" spans="2:17" ht="10.199999999999999" customHeight="1">
      <c r="B123" s="3014">
        <v>26.6</v>
      </c>
      <c r="C123" s="3015">
        <v>10.075000000000028</v>
      </c>
      <c r="D123" s="3014">
        <v>26.6</v>
      </c>
      <c r="E123" s="3015">
        <v>12.159999999999968</v>
      </c>
      <c r="F123" s="3014">
        <v>24.6</v>
      </c>
      <c r="G123" s="3015">
        <v>6.8850000000000211</v>
      </c>
      <c r="H123" s="3014">
        <v>26.6</v>
      </c>
      <c r="I123" s="466">
        <v>3.3</v>
      </c>
      <c r="J123" s="3015"/>
      <c r="K123" s="3015"/>
      <c r="L123" s="3014">
        <v>20.600000000000101</v>
      </c>
      <c r="M123" s="3020">
        <v>10.210000000000027</v>
      </c>
      <c r="N123" s="3014">
        <v>26.6</v>
      </c>
      <c r="O123" s="3015">
        <v>12.159999999999968</v>
      </c>
      <c r="P123" s="3014">
        <v>20.600000000000101</v>
      </c>
      <c r="Q123" s="3020">
        <v>10.210000000000027</v>
      </c>
    </row>
    <row r="124" spans="2:17" ht="10.199999999999999" customHeight="1">
      <c r="B124" s="3014">
        <v>26.7</v>
      </c>
      <c r="C124" s="3015">
        <v>10.145000000000028</v>
      </c>
      <c r="D124" s="3014">
        <v>26.6999999999999</v>
      </c>
      <c r="E124" s="3015">
        <v>12.244999999999967</v>
      </c>
      <c r="F124" s="3014">
        <v>24.7</v>
      </c>
      <c r="G124" s="3015">
        <v>6.930000000000021</v>
      </c>
      <c r="H124" s="3014">
        <v>26.7</v>
      </c>
      <c r="I124" s="466">
        <v>3.3</v>
      </c>
      <c r="J124" s="3015"/>
      <c r="K124" s="3015"/>
      <c r="L124" s="3014">
        <v>20.7</v>
      </c>
      <c r="M124" s="3020">
        <v>10.280000000000028</v>
      </c>
      <c r="N124" s="3014">
        <v>26.7</v>
      </c>
      <c r="O124" s="3015">
        <v>12.244999999999967</v>
      </c>
      <c r="P124" s="3014">
        <v>20.7</v>
      </c>
      <c r="Q124" s="3020">
        <v>10.280000000000028</v>
      </c>
    </row>
    <row r="125" spans="2:17" ht="10.199999999999999" customHeight="1">
      <c r="B125" s="3014">
        <v>26.8</v>
      </c>
      <c r="C125" s="3015">
        <v>10.215000000000028</v>
      </c>
      <c r="D125" s="3014">
        <v>26.8</v>
      </c>
      <c r="E125" s="3015">
        <v>12.329999999999966</v>
      </c>
      <c r="F125" s="3014">
        <v>24.8</v>
      </c>
      <c r="G125" s="3015">
        <v>6.975000000000021</v>
      </c>
      <c r="H125" s="3014">
        <v>26.8</v>
      </c>
      <c r="I125" s="466">
        <v>3.3</v>
      </c>
      <c r="J125" s="3015"/>
      <c r="K125" s="3015"/>
      <c r="L125" s="3014">
        <v>20.8000000000001</v>
      </c>
      <c r="M125" s="3020">
        <v>10.350000000000028</v>
      </c>
      <c r="N125" s="3014">
        <v>26.8</v>
      </c>
      <c r="O125" s="3015">
        <v>12.329999999999966</v>
      </c>
      <c r="P125" s="3014">
        <v>20.8000000000001</v>
      </c>
      <c r="Q125" s="3020">
        <v>10.350000000000028</v>
      </c>
    </row>
    <row r="126" spans="2:17" ht="10.199999999999999" customHeight="1">
      <c r="B126" s="3016">
        <v>26.9</v>
      </c>
      <c r="C126" s="3015">
        <v>10.285000000000029</v>
      </c>
      <c r="D126" s="3016">
        <v>26.899999999999899</v>
      </c>
      <c r="E126" s="3015">
        <v>12.414999999999967</v>
      </c>
      <c r="F126" s="3014">
        <v>24.9</v>
      </c>
      <c r="G126" s="3015">
        <v>7.0200000000000218</v>
      </c>
      <c r="H126" s="3014">
        <v>26.9</v>
      </c>
      <c r="I126" s="466">
        <v>3.3</v>
      </c>
      <c r="J126" s="3015"/>
      <c r="K126" s="3015"/>
      <c r="L126" s="3014">
        <v>20.9</v>
      </c>
      <c r="M126" s="3020">
        <v>10.420000000000028</v>
      </c>
      <c r="N126" s="3016">
        <v>26.9</v>
      </c>
      <c r="O126" s="3015">
        <v>12.414999999999967</v>
      </c>
      <c r="P126" s="3014">
        <v>20.9</v>
      </c>
      <c r="Q126" s="3020">
        <v>10.420000000000028</v>
      </c>
    </row>
    <row r="127" spans="2:17" ht="10.199999999999999" customHeight="1">
      <c r="B127" s="3014">
        <v>27</v>
      </c>
      <c r="C127" s="3015">
        <v>10.355000000000029</v>
      </c>
      <c r="D127" s="3014">
        <v>27</v>
      </c>
      <c r="E127" s="3015">
        <v>12.499999999999966</v>
      </c>
      <c r="F127" s="3019">
        <v>25</v>
      </c>
      <c r="G127" s="3015">
        <v>7.0650000000000217</v>
      </c>
      <c r="H127" s="3019">
        <v>27</v>
      </c>
      <c r="I127" s="466">
        <v>3.4</v>
      </c>
      <c r="J127" s="3015"/>
      <c r="K127" s="3015"/>
      <c r="L127" s="3019">
        <v>21</v>
      </c>
      <c r="M127" s="3020">
        <v>10.490000000000029</v>
      </c>
      <c r="N127" s="3014">
        <v>27</v>
      </c>
      <c r="O127" s="3015">
        <v>12.499999999999966</v>
      </c>
      <c r="P127" s="3019">
        <v>21</v>
      </c>
      <c r="Q127" s="3020">
        <v>10.490000000000029</v>
      </c>
    </row>
    <row r="128" spans="2:17" ht="10.199999999999999" customHeight="1">
      <c r="B128" s="3014">
        <v>27.1</v>
      </c>
      <c r="C128" s="3015">
        <v>10.425000000000029</v>
      </c>
      <c r="D128" s="3014">
        <v>27.1</v>
      </c>
      <c r="E128" s="3015">
        <v>12.584999999999965</v>
      </c>
      <c r="F128" s="3014">
        <v>25.1</v>
      </c>
      <c r="G128" s="3015">
        <v>7.1100000000000225</v>
      </c>
      <c r="H128" s="3014">
        <v>27.1</v>
      </c>
      <c r="I128" s="466">
        <v>3.4</v>
      </c>
      <c r="J128" s="3015"/>
      <c r="K128" s="3015"/>
      <c r="L128" s="3014">
        <v>21.1</v>
      </c>
      <c r="M128" s="3020">
        <v>10.560000000000029</v>
      </c>
      <c r="N128" s="3014">
        <v>27.1</v>
      </c>
      <c r="O128" s="3015">
        <v>12.584999999999965</v>
      </c>
      <c r="P128" s="3014">
        <v>21.1</v>
      </c>
      <c r="Q128" s="3020">
        <v>10.560000000000029</v>
      </c>
    </row>
    <row r="129" spans="2:17" ht="10.199999999999999" customHeight="1">
      <c r="B129" s="3014">
        <v>27.2</v>
      </c>
      <c r="C129" s="3015">
        <v>10.495000000000029</v>
      </c>
      <c r="D129" s="3014">
        <v>27.2</v>
      </c>
      <c r="E129" s="3015">
        <v>12.669999999999964</v>
      </c>
      <c r="F129" s="3014">
        <v>25.2</v>
      </c>
      <c r="G129" s="3015">
        <v>7.1550000000000225</v>
      </c>
      <c r="H129" s="3014">
        <v>27.2</v>
      </c>
      <c r="I129" s="466">
        <v>3.4</v>
      </c>
      <c r="J129" s="3015"/>
      <c r="K129" s="3015"/>
      <c r="L129" s="3014">
        <v>21.2</v>
      </c>
      <c r="M129" s="3020">
        <v>10.630000000000029</v>
      </c>
      <c r="N129" s="3014">
        <v>27.2</v>
      </c>
      <c r="O129" s="3015">
        <v>12.669999999999964</v>
      </c>
      <c r="P129" s="3014">
        <v>21.2</v>
      </c>
      <c r="Q129" s="3020">
        <v>10.630000000000029</v>
      </c>
    </row>
    <row r="130" spans="2:17" ht="10.199999999999999" customHeight="1">
      <c r="B130" s="3014">
        <v>27.3</v>
      </c>
      <c r="C130" s="3015">
        <v>10.56500000000003</v>
      </c>
      <c r="D130" s="3014">
        <v>27.3</v>
      </c>
      <c r="E130" s="3015">
        <v>12.754999999999963</v>
      </c>
      <c r="F130" s="3014">
        <v>25.3</v>
      </c>
      <c r="G130" s="3015">
        <v>7.2000000000000224</v>
      </c>
      <c r="H130" s="3014">
        <v>27.3</v>
      </c>
      <c r="I130" s="466">
        <v>3.4</v>
      </c>
      <c r="J130" s="3015"/>
      <c r="K130" s="3015"/>
      <c r="L130" s="3014">
        <v>21.3</v>
      </c>
      <c r="M130" s="3020">
        <v>10.700000000000029</v>
      </c>
      <c r="N130" s="3014">
        <v>27.3</v>
      </c>
      <c r="O130" s="3015">
        <v>12.754999999999963</v>
      </c>
      <c r="P130" s="3014">
        <v>21.3</v>
      </c>
      <c r="Q130" s="3020">
        <v>10.700000000000029</v>
      </c>
    </row>
    <row r="131" spans="2:17" ht="10.199999999999999" customHeight="1">
      <c r="B131" s="3014">
        <v>27.4</v>
      </c>
      <c r="C131" s="3015">
        <v>10.63500000000003</v>
      </c>
      <c r="D131" s="3014">
        <v>27.4</v>
      </c>
      <c r="E131" s="3015">
        <v>12.839999999999964</v>
      </c>
      <c r="F131" s="3014">
        <v>25.4</v>
      </c>
      <c r="G131" s="3015">
        <v>7.2450000000000232</v>
      </c>
      <c r="H131" s="3014">
        <v>27.4</v>
      </c>
      <c r="I131" s="466">
        <v>3.4</v>
      </c>
      <c r="J131" s="3015"/>
      <c r="K131" s="3015"/>
      <c r="L131" s="3014">
        <v>21.4</v>
      </c>
      <c r="M131" s="3020">
        <v>10.77000000000003</v>
      </c>
      <c r="N131" s="3014">
        <v>27.4</v>
      </c>
      <c r="O131" s="3015">
        <v>12.839999999999964</v>
      </c>
      <c r="P131" s="3014">
        <v>21.4</v>
      </c>
      <c r="Q131" s="3020">
        <v>10.77000000000003</v>
      </c>
    </row>
    <row r="132" spans="2:17" ht="10.199999999999999" customHeight="1">
      <c r="B132" s="3014">
        <v>27.5</v>
      </c>
      <c r="C132" s="3015">
        <v>10.70500000000003</v>
      </c>
      <c r="D132" s="3014">
        <v>27.5</v>
      </c>
      <c r="E132" s="3015">
        <v>12.924999999999963</v>
      </c>
      <c r="F132" s="3014">
        <v>25.5</v>
      </c>
      <c r="G132" s="3015">
        <v>7.2900000000000231</v>
      </c>
      <c r="H132" s="3014">
        <v>27.5</v>
      </c>
      <c r="I132" s="466">
        <v>3.4</v>
      </c>
      <c r="J132" s="3015"/>
      <c r="K132" s="3015"/>
      <c r="L132" s="3019">
        <v>21.5</v>
      </c>
      <c r="M132" s="3020">
        <v>10.84000000000003</v>
      </c>
      <c r="N132" s="3014">
        <v>27.5</v>
      </c>
      <c r="O132" s="3015">
        <v>12.924999999999963</v>
      </c>
      <c r="P132" s="3014">
        <v>21.5</v>
      </c>
      <c r="Q132" s="3020">
        <v>10.84000000000003</v>
      </c>
    </row>
    <row r="133" spans="2:17" ht="10.199999999999999" customHeight="1">
      <c r="B133" s="3014">
        <v>27.6</v>
      </c>
      <c r="C133" s="3015">
        <v>10.775000000000031</v>
      </c>
      <c r="D133" s="3014">
        <v>27.6</v>
      </c>
      <c r="E133" s="3015">
        <v>13.009999999999962</v>
      </c>
      <c r="F133" s="3014">
        <v>25.6</v>
      </c>
      <c r="G133" s="3015">
        <v>7.3350000000000239</v>
      </c>
      <c r="H133" s="3014">
        <v>27.6</v>
      </c>
      <c r="I133" s="466">
        <v>3.4</v>
      </c>
      <c r="J133" s="3015"/>
      <c r="K133" s="3015"/>
      <c r="L133" s="3014">
        <v>21.6</v>
      </c>
      <c r="M133" s="3020">
        <v>10.91000000000003</v>
      </c>
      <c r="N133" s="3014">
        <v>27.6</v>
      </c>
      <c r="O133" s="3015">
        <v>13.009999999999962</v>
      </c>
      <c r="P133" s="3014">
        <v>21.6</v>
      </c>
      <c r="Q133" s="3020">
        <v>10.91000000000003</v>
      </c>
    </row>
    <row r="134" spans="2:17" ht="10.199999999999999" customHeight="1">
      <c r="B134" s="3014">
        <v>27.7</v>
      </c>
      <c r="C134" s="3015">
        <v>10.845000000000031</v>
      </c>
      <c r="D134" s="3014">
        <v>27.7</v>
      </c>
      <c r="E134" s="3015">
        <v>13.094999999999962</v>
      </c>
      <c r="F134" s="3014">
        <v>25.7</v>
      </c>
      <c r="G134" s="3015">
        <v>7.3800000000000239</v>
      </c>
      <c r="H134" s="3014">
        <v>27.7</v>
      </c>
      <c r="I134" s="466">
        <v>3.4</v>
      </c>
      <c r="J134" s="3015"/>
      <c r="K134" s="3015"/>
      <c r="L134" s="3014">
        <v>21.7</v>
      </c>
      <c r="M134" s="3020">
        <v>10.980000000000031</v>
      </c>
      <c r="N134" s="3014">
        <v>27.7</v>
      </c>
      <c r="O134" s="3015">
        <v>13.094999999999962</v>
      </c>
      <c r="P134" s="3014">
        <v>21.7</v>
      </c>
      <c r="Q134" s="3020">
        <v>10.980000000000031</v>
      </c>
    </row>
    <row r="135" spans="2:17" ht="10.199999999999999" customHeight="1">
      <c r="B135" s="3014">
        <v>27.8000000000001</v>
      </c>
      <c r="C135" s="3015">
        <v>10.915000000000031</v>
      </c>
      <c r="D135" s="3014">
        <v>27.8</v>
      </c>
      <c r="E135" s="3015">
        <v>13.179999999999961</v>
      </c>
      <c r="F135" s="3014">
        <v>25.8</v>
      </c>
      <c r="G135" s="3015">
        <v>7.4250000000000238</v>
      </c>
      <c r="H135" s="3014">
        <v>27.8</v>
      </c>
      <c r="I135" s="466">
        <v>3.4</v>
      </c>
      <c r="J135" s="3015"/>
      <c r="K135" s="3015"/>
      <c r="L135" s="3014">
        <v>21.8</v>
      </c>
      <c r="M135" s="3020">
        <v>11.050000000000031</v>
      </c>
      <c r="N135" s="3014">
        <v>27.8</v>
      </c>
      <c r="O135" s="3015">
        <v>13.179999999999961</v>
      </c>
      <c r="P135" s="3014">
        <v>21.8</v>
      </c>
      <c r="Q135" s="3020">
        <v>11.050000000000031</v>
      </c>
    </row>
    <row r="136" spans="2:17" ht="10.199999999999999" customHeight="1">
      <c r="B136" s="3016">
        <v>27.9</v>
      </c>
      <c r="C136" s="3015">
        <v>10.985000000000031</v>
      </c>
      <c r="D136" s="3016">
        <v>27.9</v>
      </c>
      <c r="E136" s="3015">
        <v>13.264999999999961</v>
      </c>
      <c r="F136" s="3014">
        <v>25.9</v>
      </c>
      <c r="G136" s="3015">
        <v>7.4700000000000246</v>
      </c>
      <c r="H136" s="3014">
        <v>27.9</v>
      </c>
      <c r="I136" s="466">
        <v>3.4</v>
      </c>
      <c r="J136" s="3015"/>
      <c r="K136" s="3015"/>
      <c r="L136" s="3014">
        <v>21.9</v>
      </c>
      <c r="M136" s="3020">
        <v>11.120000000000031</v>
      </c>
      <c r="N136" s="3016">
        <v>27.9</v>
      </c>
      <c r="O136" s="3015">
        <v>13.264999999999961</v>
      </c>
      <c r="P136" s="3014">
        <v>21.9</v>
      </c>
      <c r="Q136" s="3020">
        <v>11.120000000000031</v>
      </c>
    </row>
    <row r="137" spans="2:17" ht="10.199999999999999" customHeight="1">
      <c r="B137" s="3014">
        <v>28</v>
      </c>
      <c r="C137" s="3015">
        <v>11.055000000000032</v>
      </c>
      <c r="D137" s="3014">
        <v>28</v>
      </c>
      <c r="E137" s="3015">
        <v>13.349999999999961</v>
      </c>
      <c r="F137" s="3019">
        <v>26</v>
      </c>
      <c r="G137" s="3015">
        <v>7.5150000000000245</v>
      </c>
      <c r="H137" s="3019">
        <v>28</v>
      </c>
      <c r="I137" s="466">
        <v>3.5</v>
      </c>
      <c r="J137" s="3015"/>
      <c r="K137" s="3015"/>
      <c r="L137" s="3019">
        <v>22</v>
      </c>
      <c r="M137" s="3020">
        <v>11.190000000000031</v>
      </c>
      <c r="N137" s="3014">
        <v>28</v>
      </c>
      <c r="O137" s="3015">
        <v>13.349999999999961</v>
      </c>
      <c r="P137" s="3014">
        <v>22</v>
      </c>
      <c r="Q137" s="3020">
        <v>11.190000000000031</v>
      </c>
    </row>
    <row r="138" spans="2:17" ht="10.199999999999999" customHeight="1">
      <c r="B138" s="3014">
        <v>28.1</v>
      </c>
      <c r="C138" s="3015">
        <v>11.125000000000032</v>
      </c>
      <c r="D138" s="3014">
        <v>28.1</v>
      </c>
      <c r="E138" s="3015">
        <v>13.43499999999996</v>
      </c>
      <c r="F138" s="3014">
        <v>26.1</v>
      </c>
      <c r="G138" s="3015">
        <v>7.5600000000000254</v>
      </c>
      <c r="H138" s="3014">
        <v>28.1</v>
      </c>
      <c r="I138" s="466">
        <v>3.5</v>
      </c>
      <c r="J138" s="3015"/>
      <c r="K138" s="3015"/>
      <c r="L138" s="3014">
        <v>22.1</v>
      </c>
      <c r="M138" s="3020">
        <v>11.260000000000032</v>
      </c>
      <c r="N138" s="3014">
        <v>28.1</v>
      </c>
      <c r="O138" s="3015">
        <v>13.43499999999996</v>
      </c>
      <c r="P138" s="3014">
        <v>22.1</v>
      </c>
      <c r="Q138" s="3020">
        <v>11.260000000000032</v>
      </c>
    </row>
    <row r="139" spans="2:17" ht="10.199999999999999" customHeight="1">
      <c r="B139" s="3014">
        <v>28.2</v>
      </c>
      <c r="C139" s="3015">
        <v>11.195000000000032</v>
      </c>
      <c r="D139" s="3014">
        <v>28.2</v>
      </c>
      <c r="E139" s="3015">
        <v>13.519999999999959</v>
      </c>
      <c r="F139" s="3014">
        <v>26.2</v>
      </c>
      <c r="G139" s="3015">
        <v>7.6050000000000253</v>
      </c>
      <c r="H139" s="3014">
        <v>28.200000000000003</v>
      </c>
      <c r="I139" s="466">
        <v>3.5</v>
      </c>
      <c r="J139" s="3015"/>
      <c r="K139" s="3015"/>
      <c r="L139" s="3014">
        <v>22.2</v>
      </c>
      <c r="M139" s="3020">
        <v>11.330000000000032</v>
      </c>
      <c r="N139" s="3014">
        <v>28.2</v>
      </c>
      <c r="O139" s="3015">
        <v>13.519999999999959</v>
      </c>
      <c r="P139" s="3014">
        <v>22.2</v>
      </c>
      <c r="Q139" s="3020">
        <v>11.330000000000032</v>
      </c>
    </row>
    <row r="140" spans="2:17" ht="10.199999999999999" customHeight="1">
      <c r="B140" s="3014">
        <v>28.3</v>
      </c>
      <c r="C140" s="3015">
        <v>11.265000000000033</v>
      </c>
      <c r="D140" s="3014">
        <v>28.3</v>
      </c>
      <c r="E140" s="3015">
        <v>13.604999999999958</v>
      </c>
      <c r="F140" s="3014">
        <v>26.3</v>
      </c>
      <c r="G140" s="3015">
        <v>7.6500000000000252</v>
      </c>
      <c r="H140" s="3014">
        <v>28.300000000000004</v>
      </c>
      <c r="I140" s="466">
        <v>3.5</v>
      </c>
      <c r="J140" s="3015"/>
      <c r="K140" s="3015"/>
      <c r="L140" s="3014">
        <v>22.3</v>
      </c>
      <c r="M140" s="3020">
        <v>11.400000000000032</v>
      </c>
      <c r="N140" s="3014">
        <v>28.3</v>
      </c>
      <c r="O140" s="3015">
        <v>13.604999999999958</v>
      </c>
      <c r="P140" s="3014">
        <v>22.3</v>
      </c>
      <c r="Q140" s="3020">
        <v>11.400000000000032</v>
      </c>
    </row>
    <row r="141" spans="2:17" ht="10.199999999999999" customHeight="1">
      <c r="B141" s="3014">
        <v>28.4</v>
      </c>
      <c r="C141" s="3015">
        <v>11.335000000000033</v>
      </c>
      <c r="D141" s="3014">
        <v>28.4</v>
      </c>
      <c r="E141" s="3015">
        <v>13.689999999999959</v>
      </c>
      <c r="F141" s="3014">
        <v>26.4</v>
      </c>
      <c r="G141" s="3015">
        <v>7.695000000000026</v>
      </c>
      <c r="H141" s="3014">
        <v>28.400000000000006</v>
      </c>
      <c r="I141" s="466">
        <v>3.5</v>
      </c>
      <c r="J141" s="3015"/>
      <c r="K141" s="3015"/>
      <c r="L141" s="3014">
        <v>22.4</v>
      </c>
      <c r="M141" s="3020">
        <v>11.470000000000033</v>
      </c>
      <c r="N141" s="3014">
        <v>28.4</v>
      </c>
      <c r="O141" s="3015">
        <v>13.689999999999959</v>
      </c>
      <c r="P141" s="3014">
        <v>22.4</v>
      </c>
      <c r="Q141" s="3020">
        <v>11.470000000000033</v>
      </c>
    </row>
    <row r="142" spans="2:17" ht="10.199999999999999" customHeight="1">
      <c r="B142" s="3014">
        <v>28.5</v>
      </c>
      <c r="C142" s="3015">
        <v>11.405000000000033</v>
      </c>
      <c r="D142" s="3014">
        <v>28.5</v>
      </c>
      <c r="E142" s="3015">
        <v>13.774999999999958</v>
      </c>
      <c r="F142" s="3014">
        <v>26.5</v>
      </c>
      <c r="G142" s="3015">
        <v>7.740000000000026</v>
      </c>
      <c r="H142" s="3014">
        <v>28.500000000000007</v>
      </c>
      <c r="I142" s="466">
        <v>3.5</v>
      </c>
      <c r="J142" s="3015"/>
      <c r="K142" s="3015"/>
      <c r="L142" s="3019">
        <v>22.5</v>
      </c>
      <c r="M142" s="3020">
        <v>11.540000000000033</v>
      </c>
      <c r="N142" s="3014">
        <v>28.5</v>
      </c>
      <c r="O142" s="3015">
        <v>13.774999999999958</v>
      </c>
      <c r="P142" s="3014">
        <v>22.5</v>
      </c>
      <c r="Q142" s="3020">
        <v>11.540000000000033</v>
      </c>
    </row>
    <row r="143" spans="2:17" ht="10.199999999999999" customHeight="1">
      <c r="B143" s="3014">
        <v>28.6</v>
      </c>
      <c r="C143" s="3015">
        <v>11.475000000000033</v>
      </c>
      <c r="D143" s="3014">
        <v>28.6</v>
      </c>
      <c r="E143" s="3015">
        <v>13.859999999999957</v>
      </c>
      <c r="F143" s="3014">
        <v>26.6</v>
      </c>
      <c r="G143" s="3015">
        <v>7.7850000000000268</v>
      </c>
      <c r="H143" s="3014">
        <v>28.600000000000009</v>
      </c>
      <c r="I143" s="466">
        <v>3.5</v>
      </c>
      <c r="J143" s="3015"/>
      <c r="K143" s="3015"/>
      <c r="L143" s="3014">
        <v>22.6</v>
      </c>
      <c r="M143" s="3020">
        <v>11.610000000000033</v>
      </c>
      <c r="N143" s="3014">
        <v>28.6</v>
      </c>
      <c r="O143" s="3015">
        <v>13.859999999999957</v>
      </c>
      <c r="P143" s="3014">
        <v>22.6</v>
      </c>
      <c r="Q143" s="3020">
        <v>11.610000000000033</v>
      </c>
    </row>
    <row r="144" spans="2:17" ht="10.199999999999999" customHeight="1">
      <c r="B144" s="3014">
        <v>28.7</v>
      </c>
      <c r="C144" s="3015">
        <v>11.545000000000034</v>
      </c>
      <c r="D144" s="3014">
        <v>28.7</v>
      </c>
      <c r="E144" s="3015">
        <v>13.944999999999956</v>
      </c>
      <c r="F144" s="3014">
        <v>26.7</v>
      </c>
      <c r="G144" s="3015">
        <v>7.8300000000000267</v>
      </c>
      <c r="H144" s="3014">
        <v>28.70000000000001</v>
      </c>
      <c r="I144" s="466">
        <v>3.5</v>
      </c>
      <c r="J144" s="3015"/>
      <c r="K144" s="3015"/>
      <c r="L144" s="3014">
        <v>22.7</v>
      </c>
      <c r="M144" s="3020">
        <v>11.680000000000033</v>
      </c>
      <c r="N144" s="3014">
        <v>28.7</v>
      </c>
      <c r="O144" s="3015">
        <v>13.944999999999956</v>
      </c>
      <c r="P144" s="3014">
        <v>22.7</v>
      </c>
      <c r="Q144" s="3020">
        <v>11.680000000000033</v>
      </c>
    </row>
    <row r="145" spans="2:17" ht="10.199999999999999" customHeight="1">
      <c r="B145" s="3014">
        <v>28.8</v>
      </c>
      <c r="C145" s="3015">
        <v>11.615000000000034</v>
      </c>
      <c r="D145" s="3014">
        <v>28.8</v>
      </c>
      <c r="E145" s="3015">
        <v>14.029999999999955</v>
      </c>
      <c r="F145" s="3014">
        <v>26.8</v>
      </c>
      <c r="G145" s="3015">
        <v>7.8750000000000266</v>
      </c>
      <c r="H145" s="3014">
        <v>28.800000000000011</v>
      </c>
      <c r="I145" s="466">
        <v>3.5</v>
      </c>
      <c r="J145" s="3015"/>
      <c r="K145" s="3015"/>
      <c r="L145" s="3014">
        <v>22.8</v>
      </c>
      <c r="M145" s="3020">
        <v>11.750000000000034</v>
      </c>
      <c r="N145" s="3014">
        <v>28.8</v>
      </c>
      <c r="O145" s="3015">
        <v>14.029999999999955</v>
      </c>
      <c r="P145" s="3014">
        <v>22.8</v>
      </c>
      <c r="Q145" s="3020">
        <v>11.750000000000034</v>
      </c>
    </row>
    <row r="146" spans="2:17" ht="10.199999999999999" customHeight="1" thickBot="1">
      <c r="B146" s="3016">
        <v>28.9</v>
      </c>
      <c r="C146" s="3015">
        <v>11.685000000000034</v>
      </c>
      <c r="D146" s="3016">
        <v>28.9</v>
      </c>
      <c r="E146" s="3015">
        <v>14.114999999999956</v>
      </c>
      <c r="F146" s="3017">
        <v>26.9</v>
      </c>
      <c r="G146" s="3018">
        <v>7.9200000000000275</v>
      </c>
      <c r="H146" s="3014">
        <v>28.900000000000013</v>
      </c>
      <c r="I146" s="466">
        <v>3.5</v>
      </c>
      <c r="J146" s="3015"/>
      <c r="K146" s="3015"/>
      <c r="L146" s="3016">
        <v>22.9</v>
      </c>
      <c r="M146" s="3020">
        <v>11.820000000000034</v>
      </c>
      <c r="N146" s="3016">
        <v>28.9</v>
      </c>
      <c r="O146" s="3015">
        <v>14.114999999999956</v>
      </c>
      <c r="P146" s="3016">
        <v>22.9</v>
      </c>
      <c r="Q146" s="3020">
        <v>11.820000000000034</v>
      </c>
    </row>
    <row r="147" spans="2:17" ht="10.199999999999999" customHeight="1">
      <c r="B147" s="3014">
        <v>29</v>
      </c>
      <c r="C147" s="3015">
        <v>11.755000000000035</v>
      </c>
      <c r="D147" s="3014">
        <v>29</v>
      </c>
      <c r="E147" s="3020">
        <v>14.199999999999955</v>
      </c>
      <c r="F147" s="2874"/>
      <c r="G147" s="320"/>
      <c r="H147" s="3019">
        <v>29.000000000000014</v>
      </c>
      <c r="I147" s="466">
        <v>3.6</v>
      </c>
      <c r="J147" s="3015"/>
      <c r="K147" s="3015"/>
      <c r="L147" s="3014">
        <v>23</v>
      </c>
      <c r="M147" s="3020">
        <v>11.890000000000034</v>
      </c>
      <c r="N147" s="3014">
        <v>29</v>
      </c>
      <c r="O147" s="3020">
        <v>14.199999999999955</v>
      </c>
      <c r="P147" s="3014">
        <v>23</v>
      </c>
      <c r="Q147" s="3020">
        <v>11.890000000000034</v>
      </c>
    </row>
    <row r="148" spans="2:17" ht="10.199999999999999" customHeight="1">
      <c r="B148" s="3014">
        <v>29.1</v>
      </c>
      <c r="C148" s="3015">
        <v>11.825000000000035</v>
      </c>
      <c r="D148" s="3014">
        <v>29.1</v>
      </c>
      <c r="E148" s="3020">
        <v>14.284999999999954</v>
      </c>
      <c r="F148" s="320"/>
      <c r="G148" s="320"/>
      <c r="H148" s="3014">
        <v>29.100000000000016</v>
      </c>
      <c r="I148" s="466">
        <v>3.6</v>
      </c>
      <c r="J148" s="3015"/>
      <c r="K148" s="3015"/>
      <c r="L148" s="3014">
        <v>23.1</v>
      </c>
      <c r="M148" s="3020">
        <v>11.960000000000035</v>
      </c>
      <c r="N148" s="3014">
        <v>29.1</v>
      </c>
      <c r="O148" s="3020">
        <v>14.284999999999954</v>
      </c>
      <c r="P148" s="3014">
        <v>23.1</v>
      </c>
      <c r="Q148" s="3020">
        <v>11.960000000000035</v>
      </c>
    </row>
    <row r="149" spans="2:17" ht="10.199999999999999" customHeight="1">
      <c r="B149" s="3014">
        <v>29.2</v>
      </c>
      <c r="C149" s="3015">
        <v>11.895000000000035</v>
      </c>
      <c r="D149" s="3014">
        <v>29.2</v>
      </c>
      <c r="E149" s="3020">
        <v>14.369999999999953</v>
      </c>
      <c r="F149" s="320"/>
      <c r="G149" s="320"/>
      <c r="H149" s="3014">
        <v>29.200000000000017</v>
      </c>
      <c r="I149" s="466">
        <v>3.6</v>
      </c>
      <c r="J149" s="3015"/>
      <c r="K149" s="3015"/>
      <c r="L149" s="3014">
        <v>23.2</v>
      </c>
      <c r="M149" s="3020">
        <v>12.030000000000035</v>
      </c>
      <c r="N149" s="3014">
        <v>29.2</v>
      </c>
      <c r="O149" s="3020">
        <v>14.369999999999953</v>
      </c>
      <c r="P149" s="3014">
        <v>23.2</v>
      </c>
      <c r="Q149" s="3020">
        <v>12.030000000000035</v>
      </c>
    </row>
    <row r="150" spans="2:17" ht="10.199999999999999" customHeight="1">
      <c r="B150" s="3014">
        <v>29.3</v>
      </c>
      <c r="C150" s="3015">
        <v>11.965000000000035</v>
      </c>
      <c r="D150" s="3014">
        <v>29.3</v>
      </c>
      <c r="E150" s="3020">
        <v>14.454999999999952</v>
      </c>
      <c r="F150" s="320"/>
      <c r="G150" s="320"/>
      <c r="H150" s="3014">
        <v>29.300000000000018</v>
      </c>
      <c r="I150" s="466">
        <v>3.6</v>
      </c>
      <c r="J150" s="3015"/>
      <c r="K150" s="3015"/>
      <c r="L150" s="3014">
        <v>23.3</v>
      </c>
      <c r="M150" s="3020">
        <v>12.100000000000035</v>
      </c>
      <c r="N150" s="3014">
        <v>29.3</v>
      </c>
      <c r="O150" s="3020">
        <v>14.454999999999952</v>
      </c>
      <c r="P150" s="3014">
        <v>23.3</v>
      </c>
      <c r="Q150" s="3020">
        <v>12.100000000000035</v>
      </c>
    </row>
    <row r="151" spans="2:17" ht="10.199999999999999" customHeight="1" thickBot="1">
      <c r="B151" s="3017">
        <v>29.4</v>
      </c>
      <c r="C151" s="3018">
        <v>12.04</v>
      </c>
      <c r="D151" s="3014">
        <v>29.4</v>
      </c>
      <c r="E151" s="3020">
        <v>14.539999999999953</v>
      </c>
      <c r="F151" s="320"/>
      <c r="G151" s="320"/>
      <c r="H151" s="3014">
        <v>29.40000000000002</v>
      </c>
      <c r="I151" s="466">
        <v>3.6</v>
      </c>
      <c r="J151" s="3015"/>
      <c r="K151" s="3015"/>
      <c r="L151" s="3014">
        <v>23.4</v>
      </c>
      <c r="M151" s="3020">
        <v>12.170000000000035</v>
      </c>
      <c r="N151" s="3014">
        <v>29.4</v>
      </c>
      <c r="O151" s="3020">
        <v>14.539999999999953</v>
      </c>
      <c r="P151" s="3014">
        <v>23.4</v>
      </c>
      <c r="Q151" s="3020">
        <v>12.170000000000035</v>
      </c>
    </row>
    <row r="152" spans="2:17" ht="10.199999999999999" customHeight="1">
      <c r="B152" s="320"/>
      <c r="C152" s="320"/>
      <c r="D152" s="3014">
        <v>29.5</v>
      </c>
      <c r="E152" s="3020">
        <v>14.624999999999952</v>
      </c>
      <c r="F152" s="320"/>
      <c r="G152" s="320"/>
      <c r="H152" s="3014">
        <v>29.500000000000021</v>
      </c>
      <c r="I152" s="466">
        <v>3.6</v>
      </c>
      <c r="J152" s="3015"/>
      <c r="K152" s="3015"/>
      <c r="L152" s="3014">
        <v>23.5</v>
      </c>
      <c r="M152" s="3020">
        <v>12.240000000000036</v>
      </c>
      <c r="N152" s="3014">
        <v>29.5</v>
      </c>
      <c r="O152" s="3020">
        <v>14.624999999999952</v>
      </c>
      <c r="P152" s="3014">
        <v>23.5</v>
      </c>
      <c r="Q152" s="3020">
        <v>12.240000000000036</v>
      </c>
    </row>
    <row r="153" spans="2:17" ht="10.199999999999999" customHeight="1">
      <c r="B153" s="320"/>
      <c r="C153" s="320"/>
      <c r="D153" s="3014">
        <v>29.6</v>
      </c>
      <c r="E153" s="3020">
        <v>14.709999999999951</v>
      </c>
      <c r="F153" s="320"/>
      <c r="G153" s="320"/>
      <c r="H153" s="3014">
        <v>29.600000000000023</v>
      </c>
      <c r="I153" s="466">
        <v>3.6</v>
      </c>
      <c r="J153" s="3015"/>
      <c r="K153" s="3015"/>
      <c r="L153" s="3014">
        <v>23.6</v>
      </c>
      <c r="M153" s="3020">
        <v>12.310000000000036</v>
      </c>
      <c r="N153" s="3014">
        <v>29.6</v>
      </c>
      <c r="O153" s="3020">
        <v>14.709999999999951</v>
      </c>
      <c r="P153" s="3014">
        <v>23.6</v>
      </c>
      <c r="Q153" s="3020">
        <v>12.310000000000036</v>
      </c>
    </row>
    <row r="154" spans="2:17" ht="10.199999999999999" customHeight="1">
      <c r="B154" s="320"/>
      <c r="C154" s="320"/>
      <c r="D154" s="3014">
        <v>29.7</v>
      </c>
      <c r="E154" s="3020">
        <v>14.79499999999995</v>
      </c>
      <c r="F154" s="320"/>
      <c r="G154" s="320"/>
      <c r="H154" s="3014">
        <v>29.700000000000024</v>
      </c>
      <c r="I154" s="466">
        <v>3.6</v>
      </c>
      <c r="J154" s="3015"/>
      <c r="K154" s="3015"/>
      <c r="L154" s="3014">
        <v>23.7</v>
      </c>
      <c r="M154" s="3020">
        <v>12.380000000000036</v>
      </c>
      <c r="N154" s="3014">
        <v>29.7</v>
      </c>
      <c r="O154" s="3020">
        <v>14.79499999999995</v>
      </c>
      <c r="P154" s="3014">
        <v>23.7</v>
      </c>
      <c r="Q154" s="3020">
        <v>12.380000000000036</v>
      </c>
    </row>
    <row r="155" spans="2:17" ht="10.199999999999999" customHeight="1">
      <c r="B155" s="320"/>
      <c r="C155" s="320"/>
      <c r="D155" s="3014">
        <v>29.8</v>
      </c>
      <c r="E155" s="3020">
        <v>14.879999999999949</v>
      </c>
      <c r="F155" s="320"/>
      <c r="G155" s="320"/>
      <c r="H155" s="3014">
        <v>29.800000000000026</v>
      </c>
      <c r="I155" s="466">
        <v>3.6</v>
      </c>
      <c r="J155" s="3015"/>
      <c r="L155" s="3014">
        <v>23.8</v>
      </c>
      <c r="M155" s="3020">
        <v>12.450000000000037</v>
      </c>
      <c r="N155" s="3014">
        <v>29.8</v>
      </c>
      <c r="O155" s="3020">
        <v>14.879999999999949</v>
      </c>
      <c r="P155" s="3014">
        <v>23.8</v>
      </c>
      <c r="Q155" s="3020">
        <v>12.450000000000037</v>
      </c>
    </row>
    <row r="156" spans="2:17" ht="10.199999999999999" customHeight="1" thickBot="1">
      <c r="B156" s="320"/>
      <c r="C156" s="464"/>
      <c r="D156" s="3017">
        <v>29.9</v>
      </c>
      <c r="E156" s="3018">
        <v>14.96499999999995</v>
      </c>
      <c r="F156" s="465"/>
      <c r="G156" s="465"/>
      <c r="H156" s="3014">
        <v>29.900000000000027</v>
      </c>
      <c r="I156" s="466">
        <v>3.6</v>
      </c>
      <c r="J156" s="3015"/>
      <c r="L156" s="3017">
        <v>23.9</v>
      </c>
      <c r="M156" s="3023">
        <v>12.520000000000037</v>
      </c>
      <c r="N156" s="3017">
        <v>29.9</v>
      </c>
      <c r="O156" s="3018">
        <v>14.96499999999995</v>
      </c>
      <c r="P156" s="3017">
        <v>23.9</v>
      </c>
      <c r="Q156" s="3023">
        <v>12.520000000000037</v>
      </c>
    </row>
    <row r="157" spans="2:17" ht="10.199999999999999" customHeight="1">
      <c r="B157" s="29"/>
      <c r="C157" s="29"/>
      <c r="D157" s="29"/>
      <c r="E157" s="29"/>
      <c r="F157" s="29"/>
      <c r="G157" s="29"/>
      <c r="H157" s="3019">
        <v>30.000000000000028</v>
      </c>
      <c r="I157" s="3021">
        <v>3.7</v>
      </c>
      <c r="N157" s="29"/>
    </row>
    <row r="158" spans="2:17" ht="10.199999999999999" customHeight="1">
      <c r="B158" s="29"/>
      <c r="C158" s="29"/>
      <c r="D158" s="29"/>
      <c r="E158" s="29"/>
      <c r="F158" s="29"/>
      <c r="G158" s="29"/>
      <c r="H158" s="3014">
        <v>30.10000000000003</v>
      </c>
      <c r="I158" s="3021">
        <v>3.7</v>
      </c>
      <c r="N158" s="29"/>
    </row>
    <row r="159" spans="2:17" ht="10.199999999999999" customHeight="1">
      <c r="B159" s="29"/>
      <c r="C159" s="29"/>
      <c r="D159" s="29"/>
      <c r="E159" s="29"/>
      <c r="F159" s="29"/>
      <c r="G159" s="29"/>
      <c r="H159" s="3014">
        <v>30.200000000000031</v>
      </c>
      <c r="I159" s="3021">
        <v>3.7</v>
      </c>
      <c r="N159" s="29"/>
    </row>
    <row r="160" spans="2:17" ht="10.199999999999999" customHeight="1">
      <c r="B160" s="29"/>
      <c r="C160" s="29"/>
      <c r="D160" s="29"/>
      <c r="E160" s="29"/>
      <c r="F160" s="29"/>
      <c r="G160" s="29"/>
      <c r="H160" s="3014">
        <v>30.3</v>
      </c>
      <c r="I160" s="3021">
        <v>3.7</v>
      </c>
      <c r="N160" s="29"/>
    </row>
    <row r="161" spans="8:9" s="29" customFormat="1" ht="10.199999999999999" customHeight="1">
      <c r="H161" s="3014">
        <v>30.400000000000034</v>
      </c>
      <c r="I161" s="3021">
        <v>3.7</v>
      </c>
    </row>
    <row r="162" spans="8:9" s="29" customFormat="1" ht="10.199999999999999" customHeight="1">
      <c r="H162" s="3014">
        <v>30.500000000000036</v>
      </c>
      <c r="I162" s="3021">
        <v>3.7</v>
      </c>
    </row>
    <row r="163" spans="8:9" s="29" customFormat="1" ht="10.199999999999999" customHeight="1">
      <c r="H163" s="3014">
        <v>30.600000000000037</v>
      </c>
      <c r="I163" s="3021">
        <v>3.7</v>
      </c>
    </row>
    <row r="164" spans="8:9" s="29" customFormat="1" ht="10.199999999999999" customHeight="1">
      <c r="H164" s="3014">
        <v>30.700000000000038</v>
      </c>
      <c r="I164" s="3021">
        <v>3.7</v>
      </c>
    </row>
    <row r="165" spans="8:9" s="29" customFormat="1" ht="10.199999999999999" customHeight="1">
      <c r="H165" s="3014">
        <v>30.80000000000004</v>
      </c>
      <c r="I165" s="3021">
        <v>3.7</v>
      </c>
    </row>
    <row r="166" spans="8:9" s="29" customFormat="1" ht="10.199999999999999" customHeight="1">
      <c r="H166" s="3014">
        <v>30.900000000000041</v>
      </c>
      <c r="I166" s="3021">
        <v>3.7</v>
      </c>
    </row>
    <row r="167" spans="8:9" s="29" customFormat="1" ht="10.199999999999999" customHeight="1">
      <c r="H167" s="3019">
        <v>31</v>
      </c>
      <c r="I167" s="3021">
        <v>3.8</v>
      </c>
    </row>
    <row r="168" spans="8:9" s="29" customFormat="1" ht="10.199999999999999" customHeight="1">
      <c r="H168" s="3014">
        <v>31.1</v>
      </c>
      <c r="I168" s="3021">
        <v>3.8</v>
      </c>
    </row>
    <row r="169" spans="8:9" s="29" customFormat="1" ht="10.199999999999999" customHeight="1">
      <c r="H169" s="3014">
        <v>31.2</v>
      </c>
      <c r="I169" s="3021">
        <v>3.8</v>
      </c>
    </row>
    <row r="170" spans="8:9" s="29" customFormat="1" ht="10.199999999999999" customHeight="1">
      <c r="H170" s="3014">
        <v>31.3</v>
      </c>
      <c r="I170" s="3021">
        <v>3.8</v>
      </c>
    </row>
    <row r="171" spans="8:9" s="29" customFormat="1" ht="10.199999999999999" customHeight="1">
      <c r="H171" s="3014">
        <v>31.4</v>
      </c>
      <c r="I171" s="3021">
        <v>3.8</v>
      </c>
    </row>
    <row r="172" spans="8:9" s="29" customFormat="1" ht="10.199999999999999" customHeight="1">
      <c r="H172" s="3014">
        <v>31.5</v>
      </c>
      <c r="I172" s="3021">
        <v>3.8</v>
      </c>
    </row>
    <row r="173" spans="8:9" s="29" customFormat="1" ht="10.199999999999999" customHeight="1">
      <c r="H173" s="3014">
        <v>31.6</v>
      </c>
      <c r="I173" s="3021">
        <v>3.8</v>
      </c>
    </row>
    <row r="174" spans="8:9" s="29" customFormat="1" ht="10.199999999999999" customHeight="1">
      <c r="H174" s="3014">
        <v>31.7</v>
      </c>
      <c r="I174" s="3021">
        <v>3.8</v>
      </c>
    </row>
    <row r="175" spans="8:9" s="29" customFormat="1" ht="10.199999999999999" customHeight="1">
      <c r="H175" s="3014">
        <v>31.8</v>
      </c>
      <c r="I175" s="3021">
        <v>3.8</v>
      </c>
    </row>
    <row r="176" spans="8:9" s="29" customFormat="1" ht="10.199999999999999" customHeight="1">
      <c r="H176" s="3014">
        <v>31.9</v>
      </c>
      <c r="I176" s="3021">
        <v>3.8</v>
      </c>
    </row>
    <row r="177" spans="8:9" s="29" customFormat="1" ht="10.199999999999999" customHeight="1">
      <c r="H177" s="3019">
        <v>32</v>
      </c>
      <c r="I177" s="3021">
        <v>3.9</v>
      </c>
    </row>
    <row r="178" spans="8:9" s="29" customFormat="1" ht="10.199999999999999" customHeight="1">
      <c r="H178" s="3014">
        <v>32.1</v>
      </c>
      <c r="I178" s="3021">
        <v>3.9</v>
      </c>
    </row>
    <row r="179" spans="8:9" s="29" customFormat="1" ht="10.199999999999999" customHeight="1">
      <c r="H179" s="3014">
        <v>32.200000000000003</v>
      </c>
      <c r="I179" s="3021">
        <v>3.9</v>
      </c>
    </row>
    <row r="180" spans="8:9" s="29" customFormat="1" ht="10.199999999999999" customHeight="1">
      <c r="H180" s="3014">
        <v>32.299999999999997</v>
      </c>
      <c r="I180" s="3021">
        <v>3.9</v>
      </c>
    </row>
    <row r="181" spans="8:9" s="29" customFormat="1" ht="10.199999999999999" customHeight="1">
      <c r="H181" s="3014">
        <v>32.4</v>
      </c>
      <c r="I181" s="3021">
        <v>3.9</v>
      </c>
    </row>
    <row r="182" spans="8:9" s="29" customFormat="1" ht="10.199999999999999" customHeight="1">
      <c r="H182" s="3014">
        <v>32.5</v>
      </c>
      <c r="I182" s="3021">
        <v>3.9</v>
      </c>
    </row>
    <row r="183" spans="8:9" s="29" customFormat="1" ht="10.199999999999999" customHeight="1">
      <c r="H183" s="3014">
        <v>32.6</v>
      </c>
      <c r="I183" s="3021">
        <v>3.9</v>
      </c>
    </row>
    <row r="184" spans="8:9" s="29" customFormat="1" ht="10.199999999999999" customHeight="1">
      <c r="H184" s="3014">
        <v>32.700000000000003</v>
      </c>
      <c r="I184" s="3021">
        <v>3.9</v>
      </c>
    </row>
    <row r="185" spans="8:9" s="29" customFormat="1" ht="10.199999999999999" customHeight="1">
      <c r="H185" s="3014">
        <v>32.799999999999997</v>
      </c>
      <c r="I185" s="3021">
        <v>3.9</v>
      </c>
    </row>
    <row r="186" spans="8:9" s="29" customFormat="1" ht="10.199999999999999" customHeight="1">
      <c r="H186" s="3014">
        <v>32.9</v>
      </c>
      <c r="I186" s="3021">
        <v>3.9</v>
      </c>
    </row>
    <row r="187" spans="8:9" s="29" customFormat="1" ht="10.199999999999999" customHeight="1">
      <c r="H187" s="3019">
        <v>33</v>
      </c>
      <c r="I187" s="3021">
        <v>4</v>
      </c>
    </row>
    <row r="188" spans="8:9" s="29" customFormat="1" ht="10.199999999999999" customHeight="1">
      <c r="H188" s="3014">
        <v>33.1</v>
      </c>
      <c r="I188" s="3021">
        <v>4</v>
      </c>
    </row>
    <row r="189" spans="8:9" s="29" customFormat="1" ht="10.199999999999999" customHeight="1">
      <c r="H189" s="3014">
        <v>33.200000000000003</v>
      </c>
      <c r="I189" s="3021">
        <v>4</v>
      </c>
    </row>
    <row r="190" spans="8:9" s="29" customFormat="1" ht="10.199999999999999" customHeight="1">
      <c r="H190" s="3014">
        <v>33.299999999999997</v>
      </c>
      <c r="I190" s="3021">
        <v>4</v>
      </c>
    </row>
    <row r="191" spans="8:9" s="29" customFormat="1" ht="10.199999999999999" customHeight="1">
      <c r="H191" s="3014">
        <v>33.4</v>
      </c>
      <c r="I191" s="3021">
        <v>4</v>
      </c>
    </row>
    <row r="192" spans="8:9" s="29" customFormat="1" ht="10.199999999999999" customHeight="1">
      <c r="H192" s="3014">
        <v>33.5</v>
      </c>
      <c r="I192" s="3021">
        <v>4</v>
      </c>
    </row>
    <row r="193" spans="8:9" s="29" customFormat="1" ht="10.199999999999999" customHeight="1">
      <c r="H193" s="3014">
        <v>33.6</v>
      </c>
      <c r="I193" s="3021">
        <v>4</v>
      </c>
    </row>
    <row r="194" spans="8:9" s="29" customFormat="1" ht="10.199999999999999" customHeight="1">
      <c r="H194" s="3014">
        <v>33.700000000000003</v>
      </c>
      <c r="I194" s="3021">
        <v>4</v>
      </c>
    </row>
    <row r="195" spans="8:9" s="29" customFormat="1" ht="10.199999999999999" customHeight="1">
      <c r="H195" s="3014">
        <v>33.799999999999997</v>
      </c>
      <c r="I195" s="3021">
        <v>4</v>
      </c>
    </row>
    <row r="196" spans="8:9" s="29" customFormat="1" ht="10.199999999999999" customHeight="1">
      <c r="H196" s="3014">
        <v>33.9</v>
      </c>
      <c r="I196" s="3021">
        <v>4</v>
      </c>
    </row>
    <row r="197" spans="8:9" s="29" customFormat="1" ht="10.199999999999999" customHeight="1">
      <c r="H197" s="3019">
        <v>34</v>
      </c>
      <c r="I197" s="3021">
        <v>4.0999999999999996</v>
      </c>
    </row>
    <row r="198" spans="8:9" s="29" customFormat="1" ht="10.199999999999999" customHeight="1">
      <c r="H198" s="3014">
        <v>34.1</v>
      </c>
      <c r="I198" s="3021">
        <v>4.0999999999999996</v>
      </c>
    </row>
    <row r="199" spans="8:9" s="29" customFormat="1" ht="10.199999999999999" customHeight="1">
      <c r="H199" s="3014">
        <v>34.200000000000003</v>
      </c>
      <c r="I199" s="3021">
        <v>4.0999999999999996</v>
      </c>
    </row>
    <row r="200" spans="8:9" s="29" customFormat="1" ht="10.199999999999999" customHeight="1">
      <c r="H200" s="3014">
        <v>34.299999999999997</v>
      </c>
      <c r="I200" s="3021">
        <v>4.0999999999999996</v>
      </c>
    </row>
    <row r="201" spans="8:9" s="29" customFormat="1" ht="10.199999999999999" customHeight="1">
      <c r="H201" s="3014">
        <v>34.4</v>
      </c>
      <c r="I201" s="3021">
        <v>4.0999999999999996</v>
      </c>
    </row>
    <row r="202" spans="8:9" s="29" customFormat="1" ht="10.199999999999999" customHeight="1">
      <c r="H202" s="3014">
        <v>34.5</v>
      </c>
      <c r="I202" s="3021">
        <v>4.0999999999999996</v>
      </c>
    </row>
    <row r="203" spans="8:9" s="29" customFormat="1" ht="10.199999999999999" customHeight="1">
      <c r="H203" s="3014">
        <v>34.6</v>
      </c>
      <c r="I203" s="3021">
        <v>4.0999999999999996</v>
      </c>
    </row>
    <row r="204" spans="8:9" s="29" customFormat="1" ht="10.199999999999999" customHeight="1">
      <c r="H204" s="3014">
        <v>34.700000000000003</v>
      </c>
      <c r="I204" s="3021">
        <v>4.0999999999999996</v>
      </c>
    </row>
    <row r="205" spans="8:9" s="29" customFormat="1" ht="10.199999999999999" customHeight="1">
      <c r="H205" s="3014">
        <v>34.799999999999997</v>
      </c>
      <c r="I205" s="3021">
        <v>4.0999999999999996</v>
      </c>
    </row>
    <row r="206" spans="8:9" s="29" customFormat="1" ht="10.199999999999999" customHeight="1">
      <c r="H206" s="3014">
        <v>34.9</v>
      </c>
      <c r="I206" s="3021">
        <v>4.0999999999999996</v>
      </c>
    </row>
    <row r="207" spans="8:9" s="29" customFormat="1" ht="10.199999999999999" customHeight="1">
      <c r="H207" s="3019">
        <v>35</v>
      </c>
      <c r="I207" s="3021">
        <v>4.2</v>
      </c>
    </row>
    <row r="208" spans="8:9" s="29" customFormat="1" ht="10.199999999999999" customHeight="1">
      <c r="H208" s="3014">
        <v>35.1</v>
      </c>
      <c r="I208" s="3021">
        <v>4.2</v>
      </c>
    </row>
    <row r="209" spans="8:9" s="29" customFormat="1" ht="10.199999999999999" customHeight="1">
      <c r="H209" s="3014">
        <v>35.200000000000003</v>
      </c>
      <c r="I209" s="3021">
        <v>4.2</v>
      </c>
    </row>
    <row r="210" spans="8:9" s="29" customFormat="1" ht="10.199999999999999" customHeight="1">
      <c r="H210" s="3014">
        <v>35.299999999999997</v>
      </c>
      <c r="I210" s="3021">
        <v>4.2</v>
      </c>
    </row>
    <row r="211" spans="8:9" s="29" customFormat="1" ht="10.199999999999999" customHeight="1">
      <c r="H211" s="3014">
        <v>35.4</v>
      </c>
      <c r="I211" s="3021">
        <v>4.2</v>
      </c>
    </row>
    <row r="212" spans="8:9" s="29" customFormat="1" ht="10.199999999999999" customHeight="1">
      <c r="H212" s="3014">
        <v>35.5</v>
      </c>
      <c r="I212" s="3021">
        <v>4.2</v>
      </c>
    </row>
    <row r="213" spans="8:9" s="29" customFormat="1" ht="10.199999999999999" customHeight="1">
      <c r="H213" s="3014">
        <v>35.6</v>
      </c>
      <c r="I213" s="3021">
        <v>4.2</v>
      </c>
    </row>
    <row r="214" spans="8:9" s="29" customFormat="1" ht="10.199999999999999" customHeight="1">
      <c r="H214" s="3014">
        <v>35.700000000000003</v>
      </c>
      <c r="I214" s="3021">
        <v>4.2</v>
      </c>
    </row>
    <row r="215" spans="8:9" s="29" customFormat="1" ht="10.199999999999999" customHeight="1">
      <c r="H215" s="3014">
        <v>35.799999999999997</v>
      </c>
      <c r="I215" s="3021">
        <v>4.2</v>
      </c>
    </row>
    <row r="216" spans="8:9" s="29" customFormat="1" ht="10.199999999999999" customHeight="1">
      <c r="H216" s="3014">
        <v>35.9</v>
      </c>
      <c r="I216" s="3021">
        <v>4.2</v>
      </c>
    </row>
    <row r="217" spans="8:9" s="29" customFormat="1" ht="10.199999999999999" customHeight="1">
      <c r="H217" s="3019">
        <v>36</v>
      </c>
      <c r="I217" s="3021">
        <v>4.3</v>
      </c>
    </row>
    <row r="218" spans="8:9" s="29" customFormat="1" ht="10.199999999999999" customHeight="1">
      <c r="H218" s="3014">
        <v>36.1</v>
      </c>
      <c r="I218" s="3021">
        <v>4.3</v>
      </c>
    </row>
    <row r="219" spans="8:9" s="29" customFormat="1" ht="10.199999999999999" customHeight="1">
      <c r="H219" s="3014">
        <v>36.200000000000003</v>
      </c>
      <c r="I219" s="3021">
        <v>4.3</v>
      </c>
    </row>
    <row r="220" spans="8:9" s="29" customFormat="1" ht="10.199999999999999" customHeight="1">
      <c r="H220" s="3014">
        <v>36.299999999999997</v>
      </c>
      <c r="I220" s="3021">
        <v>4.3</v>
      </c>
    </row>
    <row r="221" spans="8:9" s="29" customFormat="1" ht="10.199999999999999" customHeight="1">
      <c r="H221" s="3014">
        <v>36.4</v>
      </c>
      <c r="I221" s="3021">
        <v>4.3</v>
      </c>
    </row>
    <row r="222" spans="8:9" s="29" customFormat="1" ht="10.199999999999999" customHeight="1">
      <c r="H222" s="3014">
        <v>36.5</v>
      </c>
      <c r="I222" s="3021">
        <v>4.3</v>
      </c>
    </row>
    <row r="223" spans="8:9" s="29" customFormat="1" ht="10.199999999999999" customHeight="1">
      <c r="H223" s="3014">
        <v>36.6</v>
      </c>
      <c r="I223" s="3021">
        <v>4.3</v>
      </c>
    </row>
    <row r="224" spans="8:9" s="29" customFormat="1" ht="10.199999999999999" customHeight="1">
      <c r="H224" s="3014">
        <v>36.700000000000003</v>
      </c>
      <c r="I224" s="3021">
        <v>4.3</v>
      </c>
    </row>
    <row r="225" spans="8:9" s="29" customFormat="1" ht="10.199999999999999" customHeight="1">
      <c r="H225" s="3014">
        <v>36.799999999999997</v>
      </c>
      <c r="I225" s="3021">
        <v>4.3</v>
      </c>
    </row>
    <row r="226" spans="8:9" s="29" customFormat="1" ht="10.199999999999999" customHeight="1">
      <c r="H226" s="3014">
        <v>36.9</v>
      </c>
      <c r="I226" s="3021">
        <v>4.3</v>
      </c>
    </row>
    <row r="227" spans="8:9" s="29" customFormat="1" ht="10.199999999999999" customHeight="1">
      <c r="H227" s="3019">
        <v>37</v>
      </c>
      <c r="I227" s="3021">
        <v>4.4000000000000004</v>
      </c>
    </row>
    <row r="228" spans="8:9" s="29" customFormat="1" ht="10.199999999999999" customHeight="1">
      <c r="H228" s="3014">
        <v>37.1</v>
      </c>
      <c r="I228" s="3021">
        <v>4.4000000000000004</v>
      </c>
    </row>
    <row r="229" spans="8:9" s="29" customFormat="1" ht="10.199999999999999" customHeight="1">
      <c r="H229" s="3014">
        <v>37.200000000000003</v>
      </c>
      <c r="I229" s="3021">
        <v>4.4000000000000004</v>
      </c>
    </row>
    <row r="230" spans="8:9" s="29" customFormat="1" ht="10.199999999999999" customHeight="1">
      <c r="H230" s="3014">
        <v>37.299999999999997</v>
      </c>
      <c r="I230" s="3021">
        <v>4.4000000000000004</v>
      </c>
    </row>
    <row r="231" spans="8:9" s="29" customFormat="1" ht="10.199999999999999" customHeight="1">
      <c r="H231" s="3014">
        <v>37.4</v>
      </c>
      <c r="I231" s="3021">
        <v>4.4000000000000004</v>
      </c>
    </row>
    <row r="232" spans="8:9" s="29" customFormat="1" ht="10.199999999999999" customHeight="1">
      <c r="H232" s="3014">
        <v>37.5</v>
      </c>
      <c r="I232" s="3021">
        <v>4.4000000000000004</v>
      </c>
    </row>
    <row r="233" spans="8:9" s="29" customFormat="1" ht="10.199999999999999" customHeight="1">
      <c r="H233" s="3014">
        <v>37.6</v>
      </c>
      <c r="I233" s="3021">
        <v>4.4000000000000004</v>
      </c>
    </row>
    <row r="234" spans="8:9" s="29" customFormat="1" ht="10.199999999999999" customHeight="1">
      <c r="H234" s="3014">
        <v>37.700000000000003</v>
      </c>
      <c r="I234" s="3021">
        <v>4.4000000000000004</v>
      </c>
    </row>
    <row r="235" spans="8:9" s="29" customFormat="1" ht="10.199999999999999" customHeight="1">
      <c r="H235" s="3014">
        <v>37.799999999999997</v>
      </c>
      <c r="I235" s="3021">
        <v>4.4000000000000004</v>
      </c>
    </row>
    <row r="236" spans="8:9" s="29" customFormat="1" ht="10.199999999999999" customHeight="1">
      <c r="H236" s="3014">
        <v>37.9</v>
      </c>
      <c r="I236" s="3021">
        <v>4.4000000000000004</v>
      </c>
    </row>
    <row r="237" spans="8:9" s="29" customFormat="1" ht="10.199999999999999" customHeight="1">
      <c r="H237" s="3019">
        <v>38</v>
      </c>
      <c r="I237" s="3021">
        <v>4.5</v>
      </c>
    </row>
    <row r="238" spans="8:9" s="29" customFormat="1" ht="10.199999999999999" customHeight="1">
      <c r="H238" s="3014">
        <v>38.1</v>
      </c>
      <c r="I238" s="3021">
        <v>4.5</v>
      </c>
    </row>
    <row r="239" spans="8:9" s="29" customFormat="1" ht="10.199999999999999" customHeight="1">
      <c r="H239" s="3014">
        <v>38.200000000000003</v>
      </c>
      <c r="I239" s="3021">
        <v>4.5</v>
      </c>
    </row>
    <row r="240" spans="8:9" s="29" customFormat="1" ht="10.199999999999999" customHeight="1">
      <c r="H240" s="3014">
        <v>38.299999999999997</v>
      </c>
      <c r="I240" s="3021">
        <v>4.5</v>
      </c>
    </row>
    <row r="241" spans="8:9" s="29" customFormat="1" ht="10.199999999999999" customHeight="1">
      <c r="H241" s="3014">
        <v>38.4</v>
      </c>
      <c r="I241" s="3021">
        <v>4.5</v>
      </c>
    </row>
    <row r="242" spans="8:9" s="29" customFormat="1" ht="10.199999999999999" customHeight="1">
      <c r="H242" s="3014">
        <v>38.5</v>
      </c>
      <c r="I242" s="3021">
        <v>4.5</v>
      </c>
    </row>
    <row r="243" spans="8:9" s="29" customFormat="1" ht="10.199999999999999" customHeight="1">
      <c r="H243" s="3014">
        <v>38.6</v>
      </c>
      <c r="I243" s="3021">
        <v>4.5</v>
      </c>
    </row>
    <row r="244" spans="8:9" s="29" customFormat="1" ht="10.199999999999999" customHeight="1">
      <c r="H244" s="3014">
        <v>38.700000000000003</v>
      </c>
      <c r="I244" s="3021">
        <v>4.5</v>
      </c>
    </row>
    <row r="245" spans="8:9" s="29" customFormat="1" ht="10.199999999999999" customHeight="1">
      <c r="H245" s="3014">
        <v>38.799999999999997</v>
      </c>
      <c r="I245" s="3021">
        <v>4.5</v>
      </c>
    </row>
    <row r="246" spans="8:9" s="29" customFormat="1" ht="10.199999999999999" customHeight="1">
      <c r="H246" s="3014">
        <v>38.9</v>
      </c>
      <c r="I246" s="3021">
        <v>4.5</v>
      </c>
    </row>
    <row r="247" spans="8:9" s="29" customFormat="1" ht="10.199999999999999" customHeight="1">
      <c r="H247" s="3019">
        <v>39</v>
      </c>
      <c r="I247" s="3021">
        <v>4.5999999999999996</v>
      </c>
    </row>
    <row r="248" spans="8:9" s="29" customFormat="1" ht="10.199999999999999" customHeight="1">
      <c r="H248" s="3014">
        <v>39.1</v>
      </c>
      <c r="I248" s="3021">
        <v>4.5999999999999996</v>
      </c>
    </row>
    <row r="249" spans="8:9" s="29" customFormat="1" ht="10.199999999999999" customHeight="1">
      <c r="H249" s="3014">
        <v>39.200000000000003</v>
      </c>
      <c r="I249" s="3021">
        <v>4.5999999999999996</v>
      </c>
    </row>
    <row r="250" spans="8:9" s="29" customFormat="1" ht="10.199999999999999" customHeight="1">
      <c r="H250" s="3014">
        <v>39.299999999999997</v>
      </c>
      <c r="I250" s="3021">
        <v>4.5999999999999996</v>
      </c>
    </row>
    <row r="251" spans="8:9" s="29" customFormat="1" ht="10.199999999999999" customHeight="1">
      <c r="H251" s="3014">
        <v>39.4</v>
      </c>
      <c r="I251" s="3021">
        <v>4.5999999999999996</v>
      </c>
    </row>
    <row r="252" spans="8:9" s="29" customFormat="1" ht="10.199999999999999" customHeight="1">
      <c r="H252" s="3014">
        <v>39.5</v>
      </c>
      <c r="I252" s="3021">
        <v>4.5999999999999996</v>
      </c>
    </row>
    <row r="253" spans="8:9" s="29" customFormat="1" ht="10.199999999999999" customHeight="1">
      <c r="H253" s="3014">
        <v>39.6</v>
      </c>
      <c r="I253" s="3021">
        <v>4.5999999999999996</v>
      </c>
    </row>
    <row r="254" spans="8:9" s="29" customFormat="1" ht="10.199999999999999" customHeight="1">
      <c r="H254" s="3014">
        <v>39.700000000000003</v>
      </c>
      <c r="I254" s="3021">
        <v>4.5999999999999996</v>
      </c>
    </row>
    <row r="255" spans="8:9" s="29" customFormat="1" ht="10.199999999999999" customHeight="1">
      <c r="H255" s="3014">
        <v>39.799999999999997</v>
      </c>
      <c r="I255" s="3021">
        <v>4.5999999999999996</v>
      </c>
    </row>
    <row r="256" spans="8:9" s="29" customFormat="1" ht="10.199999999999999" customHeight="1">
      <c r="H256" s="3016">
        <v>39.9</v>
      </c>
      <c r="I256" s="3021">
        <v>4.5999999999999996</v>
      </c>
    </row>
    <row r="257" spans="8:9" s="29" customFormat="1" ht="10.199999999999999" customHeight="1">
      <c r="H257" s="3014">
        <v>40</v>
      </c>
      <c r="I257" s="3021">
        <v>4.7</v>
      </c>
    </row>
    <row r="258" spans="8:9" s="29" customFormat="1" ht="10.199999999999999" customHeight="1">
      <c r="H258" s="3014">
        <v>40.1</v>
      </c>
      <c r="I258" s="3021">
        <v>4.7</v>
      </c>
    </row>
    <row r="259" spans="8:9" s="29" customFormat="1" ht="10.199999999999999" customHeight="1">
      <c r="H259" s="3014">
        <v>40.200000000000003</v>
      </c>
      <c r="I259" s="3021">
        <v>4.7</v>
      </c>
    </row>
    <row r="260" spans="8:9" s="29" customFormat="1" ht="10.199999999999999" customHeight="1">
      <c r="H260" s="3014">
        <v>40.299999999999997</v>
      </c>
      <c r="I260" s="3021">
        <v>4.7</v>
      </c>
    </row>
    <row r="261" spans="8:9" s="29" customFormat="1" ht="10.199999999999999" customHeight="1">
      <c r="H261" s="3014">
        <v>40.4</v>
      </c>
      <c r="I261" s="3021">
        <v>4.7</v>
      </c>
    </row>
    <row r="262" spans="8:9" s="29" customFormat="1" ht="10.199999999999999" customHeight="1">
      <c r="H262" s="3014">
        <v>40.5</v>
      </c>
      <c r="I262" s="3021">
        <v>4.7</v>
      </c>
    </row>
    <row r="263" spans="8:9" s="29" customFormat="1" ht="10.199999999999999" customHeight="1">
      <c r="H263" s="3014">
        <v>40.6</v>
      </c>
      <c r="I263" s="3021">
        <v>4.7</v>
      </c>
    </row>
    <row r="264" spans="8:9" s="29" customFormat="1" ht="10.199999999999999" customHeight="1">
      <c r="H264" s="3014">
        <v>40.700000000000003</v>
      </c>
      <c r="I264" s="3021">
        <v>4.7</v>
      </c>
    </row>
    <row r="265" spans="8:9" s="29" customFormat="1" ht="10.199999999999999" customHeight="1">
      <c r="H265" s="3014">
        <v>40.799999999999997</v>
      </c>
      <c r="I265" s="3021">
        <v>4.7</v>
      </c>
    </row>
    <row r="266" spans="8:9" s="29" customFormat="1" ht="10.199999999999999" customHeight="1">
      <c r="H266" s="3016">
        <v>40.9</v>
      </c>
      <c r="I266" s="3021">
        <v>4.7</v>
      </c>
    </row>
    <row r="267" spans="8:9" s="29" customFormat="1" ht="10.199999999999999" customHeight="1">
      <c r="H267" s="3014">
        <v>41</v>
      </c>
      <c r="I267" s="3021">
        <v>4.8</v>
      </c>
    </row>
    <row r="268" spans="8:9" s="29" customFormat="1" ht="10.199999999999999" customHeight="1">
      <c r="H268" s="3014">
        <v>41.1</v>
      </c>
      <c r="I268" s="3021">
        <v>4.8</v>
      </c>
    </row>
    <row r="269" spans="8:9" s="29" customFormat="1" ht="10.199999999999999" customHeight="1">
      <c r="H269" s="3014">
        <v>41.2</v>
      </c>
      <c r="I269" s="3021">
        <v>4.8</v>
      </c>
    </row>
    <row r="270" spans="8:9" s="29" customFormat="1" ht="10.199999999999999" customHeight="1">
      <c r="H270" s="3014">
        <v>41.3</v>
      </c>
      <c r="I270" s="3021">
        <v>4.8</v>
      </c>
    </row>
    <row r="271" spans="8:9" s="29" customFormat="1" ht="10.199999999999999" customHeight="1">
      <c r="H271" s="3014">
        <v>41.4</v>
      </c>
      <c r="I271" s="3021">
        <v>4.8</v>
      </c>
    </row>
    <row r="272" spans="8:9" s="29" customFormat="1" ht="10.199999999999999" customHeight="1">
      <c r="H272" s="3014">
        <v>41.5</v>
      </c>
      <c r="I272" s="3021">
        <v>4.8</v>
      </c>
    </row>
    <row r="273" spans="8:9" s="29" customFormat="1" ht="10.199999999999999" customHeight="1">
      <c r="H273" s="3014">
        <v>41.6</v>
      </c>
      <c r="I273" s="3021">
        <v>4.8</v>
      </c>
    </row>
    <row r="274" spans="8:9" s="29" customFormat="1" ht="10.199999999999999" customHeight="1">
      <c r="H274" s="3014">
        <v>41.7</v>
      </c>
      <c r="I274" s="3021">
        <v>4.8</v>
      </c>
    </row>
    <row r="275" spans="8:9" s="29" customFormat="1" ht="10.199999999999999" customHeight="1">
      <c r="H275" s="3014">
        <v>41.8</v>
      </c>
      <c r="I275" s="3021">
        <v>4.8</v>
      </c>
    </row>
    <row r="276" spans="8:9" s="29" customFormat="1" ht="10.199999999999999" customHeight="1">
      <c r="H276" s="3016">
        <v>41.9</v>
      </c>
      <c r="I276" s="3021">
        <v>4.8</v>
      </c>
    </row>
    <row r="277" spans="8:9" s="29" customFormat="1" ht="10.199999999999999" customHeight="1">
      <c r="H277" s="3014">
        <v>42</v>
      </c>
      <c r="I277" s="3021">
        <v>4.9000000000000004</v>
      </c>
    </row>
    <row r="278" spans="8:9" s="29" customFormat="1" ht="10.199999999999999" customHeight="1">
      <c r="H278" s="3014">
        <v>42.1</v>
      </c>
      <c r="I278" s="3021">
        <v>4.9000000000000004</v>
      </c>
    </row>
    <row r="279" spans="8:9" s="29" customFormat="1" ht="10.199999999999999" customHeight="1">
      <c r="H279" s="3014">
        <v>42.2</v>
      </c>
      <c r="I279" s="3021">
        <v>4.9000000000000004</v>
      </c>
    </row>
    <row r="280" spans="8:9" s="29" customFormat="1" ht="10.199999999999999" customHeight="1">
      <c r="H280" s="3014">
        <v>42.3</v>
      </c>
      <c r="I280" s="3021">
        <v>4.9000000000000004</v>
      </c>
    </row>
    <row r="281" spans="8:9" s="29" customFormat="1" ht="10.199999999999999" customHeight="1">
      <c r="H281" s="3014">
        <v>42.4</v>
      </c>
      <c r="I281" s="3021">
        <v>4.9000000000000004</v>
      </c>
    </row>
    <row r="282" spans="8:9" s="29" customFormat="1" ht="10.199999999999999" customHeight="1">
      <c r="H282" s="3014">
        <v>42.5</v>
      </c>
      <c r="I282" s="3021">
        <v>4.9000000000000004</v>
      </c>
    </row>
    <row r="283" spans="8:9" s="29" customFormat="1" ht="10.199999999999999" customHeight="1">
      <c r="H283" s="3014">
        <v>42.6</v>
      </c>
      <c r="I283" s="3021">
        <v>4.9000000000000004</v>
      </c>
    </row>
    <row r="284" spans="8:9" s="29" customFormat="1" ht="10.199999999999999" customHeight="1">
      <c r="H284" s="3014">
        <v>42.7</v>
      </c>
      <c r="I284" s="3021">
        <v>4.9000000000000004</v>
      </c>
    </row>
    <row r="285" spans="8:9" s="29" customFormat="1" ht="10.199999999999999" customHeight="1">
      <c r="H285" s="3014">
        <v>42.8</v>
      </c>
      <c r="I285" s="3021">
        <v>4.9000000000000004</v>
      </c>
    </row>
    <row r="286" spans="8:9" s="29" customFormat="1" ht="10.199999999999999" customHeight="1">
      <c r="H286" s="3016">
        <v>42.9</v>
      </c>
      <c r="I286" s="3021">
        <v>4.9000000000000004</v>
      </c>
    </row>
    <row r="287" spans="8:9" s="29" customFormat="1" ht="10.199999999999999" customHeight="1">
      <c r="H287" s="3014">
        <v>43</v>
      </c>
      <c r="I287" s="3021">
        <v>5</v>
      </c>
    </row>
    <row r="288" spans="8:9" s="29" customFormat="1" ht="10.199999999999999" customHeight="1">
      <c r="H288" s="3014">
        <v>43.1</v>
      </c>
      <c r="I288" s="3021">
        <v>5</v>
      </c>
    </row>
    <row r="289" spans="8:9" s="29" customFormat="1" ht="10.199999999999999" customHeight="1">
      <c r="H289" s="3014">
        <v>43.2</v>
      </c>
      <c r="I289" s="3021">
        <v>5</v>
      </c>
    </row>
    <row r="290" spans="8:9" s="29" customFormat="1" ht="10.199999999999999" customHeight="1">
      <c r="H290" s="3014">
        <v>43.3</v>
      </c>
      <c r="I290" s="3021">
        <v>5</v>
      </c>
    </row>
    <row r="291" spans="8:9" s="29" customFormat="1" ht="10.199999999999999" customHeight="1">
      <c r="H291" s="3014">
        <v>43.4</v>
      </c>
      <c r="I291" s="3021">
        <v>5</v>
      </c>
    </row>
    <row r="292" spans="8:9" s="29" customFormat="1" ht="10.199999999999999" customHeight="1">
      <c r="H292" s="3014">
        <v>43.5</v>
      </c>
      <c r="I292" s="3021">
        <v>5</v>
      </c>
    </row>
    <row r="293" spans="8:9" s="29" customFormat="1" ht="10.199999999999999" customHeight="1">
      <c r="H293" s="3014">
        <v>43.6</v>
      </c>
      <c r="I293" s="3021">
        <v>5</v>
      </c>
    </row>
    <row r="294" spans="8:9" s="29" customFormat="1" ht="10.199999999999999" customHeight="1">
      <c r="H294" s="3014">
        <v>43.7</v>
      </c>
      <c r="I294" s="3021">
        <v>5</v>
      </c>
    </row>
    <row r="295" spans="8:9" s="29" customFormat="1" ht="10.199999999999999" customHeight="1">
      <c r="H295" s="3014">
        <v>43.8</v>
      </c>
      <c r="I295" s="3021">
        <v>5</v>
      </c>
    </row>
    <row r="296" spans="8:9" s="29" customFormat="1" ht="10.199999999999999" customHeight="1">
      <c r="H296" s="3016">
        <v>43.9</v>
      </c>
      <c r="I296" s="3021">
        <v>5</v>
      </c>
    </row>
    <row r="297" spans="8:9" s="29" customFormat="1" ht="10.199999999999999" customHeight="1">
      <c r="H297" s="3014">
        <v>44</v>
      </c>
      <c r="I297" s="3021">
        <v>5.0999999999999996</v>
      </c>
    </row>
    <row r="298" spans="8:9" s="29" customFormat="1" ht="10.199999999999999" customHeight="1">
      <c r="H298" s="3014">
        <v>44.1</v>
      </c>
      <c r="I298" s="3021">
        <v>5.0999999999999996</v>
      </c>
    </row>
    <row r="299" spans="8:9" s="29" customFormat="1" ht="10.199999999999999" customHeight="1">
      <c r="H299" s="3014">
        <v>44.2</v>
      </c>
      <c r="I299" s="3021">
        <v>5.0999999999999996</v>
      </c>
    </row>
    <row r="300" spans="8:9" s="29" customFormat="1" ht="10.199999999999999" customHeight="1">
      <c r="H300" s="3014">
        <v>44.3</v>
      </c>
      <c r="I300" s="3021">
        <v>5.0999999999999996</v>
      </c>
    </row>
    <row r="301" spans="8:9" s="29" customFormat="1" ht="10.199999999999999" customHeight="1">
      <c r="H301" s="3014">
        <v>44.4</v>
      </c>
      <c r="I301" s="3021">
        <v>5.0999999999999996</v>
      </c>
    </row>
    <row r="302" spans="8:9" s="29" customFormat="1" ht="10.199999999999999" customHeight="1">
      <c r="H302" s="3014">
        <v>44.5</v>
      </c>
      <c r="I302" s="3021">
        <v>5.0999999999999996</v>
      </c>
    </row>
    <row r="303" spans="8:9" s="29" customFormat="1" ht="10.199999999999999" customHeight="1">
      <c r="H303" s="3014">
        <v>44.6</v>
      </c>
      <c r="I303" s="3021">
        <v>5.0999999999999996</v>
      </c>
    </row>
    <row r="304" spans="8:9" s="29" customFormat="1" ht="10.199999999999999" customHeight="1">
      <c r="H304" s="3014">
        <v>44.7</v>
      </c>
      <c r="I304" s="3021">
        <v>5.0999999999999996</v>
      </c>
    </row>
    <row r="305" spans="8:9" s="29" customFormat="1" ht="10.199999999999999" customHeight="1">
      <c r="H305" s="3014">
        <v>44.8</v>
      </c>
      <c r="I305" s="3021">
        <v>5.0999999999999996</v>
      </c>
    </row>
    <row r="306" spans="8:9" s="29" customFormat="1" ht="10.199999999999999" customHeight="1">
      <c r="H306" s="3016">
        <v>44.9</v>
      </c>
      <c r="I306" s="3021">
        <v>5.0999999999999996</v>
      </c>
    </row>
    <row r="307" spans="8:9" s="29" customFormat="1" ht="10.199999999999999" customHeight="1">
      <c r="H307" s="3014">
        <v>45</v>
      </c>
      <c r="I307" s="3021">
        <v>5.2</v>
      </c>
    </row>
    <row r="308" spans="8:9" s="29" customFormat="1" ht="10.199999999999999" customHeight="1">
      <c r="H308" s="3014">
        <v>45.1</v>
      </c>
      <c r="I308" s="3021">
        <v>5.2</v>
      </c>
    </row>
    <row r="309" spans="8:9" s="29" customFormat="1" ht="10.199999999999999" customHeight="1">
      <c r="H309" s="3014">
        <v>45.2</v>
      </c>
      <c r="I309" s="3021">
        <v>5.2</v>
      </c>
    </row>
    <row r="310" spans="8:9" s="29" customFormat="1" ht="10.199999999999999" customHeight="1">
      <c r="H310" s="3014">
        <v>45.3</v>
      </c>
      <c r="I310" s="3021">
        <v>5.2</v>
      </c>
    </row>
    <row r="311" spans="8:9" s="29" customFormat="1" ht="10.199999999999999" customHeight="1">
      <c r="H311" s="3014">
        <v>45.4</v>
      </c>
      <c r="I311" s="3021">
        <v>5.2</v>
      </c>
    </row>
    <row r="312" spans="8:9" s="29" customFormat="1" ht="10.199999999999999" customHeight="1">
      <c r="H312" s="3014">
        <v>45.5</v>
      </c>
      <c r="I312" s="3021">
        <v>5.2</v>
      </c>
    </row>
    <row r="313" spans="8:9" s="29" customFormat="1" ht="10.199999999999999" customHeight="1">
      <c r="H313" s="3014">
        <v>45.6</v>
      </c>
      <c r="I313" s="3021">
        <v>5.2</v>
      </c>
    </row>
    <row r="314" spans="8:9" s="29" customFormat="1" ht="10.199999999999999" customHeight="1">
      <c r="H314" s="3014">
        <v>45.7</v>
      </c>
      <c r="I314" s="3021">
        <v>5.2</v>
      </c>
    </row>
    <row r="315" spans="8:9" s="29" customFormat="1" ht="10.199999999999999" customHeight="1">
      <c r="H315" s="3014">
        <v>45.8</v>
      </c>
      <c r="I315" s="3021">
        <v>5.2</v>
      </c>
    </row>
    <row r="316" spans="8:9" s="29" customFormat="1" ht="10.199999999999999" customHeight="1">
      <c r="H316" s="3016">
        <v>45.9</v>
      </c>
      <c r="I316" s="3021">
        <v>5.2</v>
      </c>
    </row>
    <row r="317" spans="8:9" s="29" customFormat="1" ht="10.199999999999999" customHeight="1">
      <c r="H317" s="3014">
        <v>46</v>
      </c>
      <c r="I317" s="3021">
        <v>5.3</v>
      </c>
    </row>
    <row r="318" spans="8:9" s="29" customFormat="1" ht="10.199999999999999" customHeight="1">
      <c r="H318" s="3014">
        <v>46.1</v>
      </c>
      <c r="I318" s="3021">
        <v>5.3</v>
      </c>
    </row>
    <row r="319" spans="8:9" s="29" customFormat="1" ht="10.199999999999999" customHeight="1">
      <c r="H319" s="3014">
        <v>46.2</v>
      </c>
      <c r="I319" s="3021">
        <v>5.3</v>
      </c>
    </row>
    <row r="320" spans="8:9" s="29" customFormat="1" ht="10.199999999999999" customHeight="1">
      <c r="H320" s="3014">
        <v>46.3</v>
      </c>
      <c r="I320" s="3021">
        <v>5.3</v>
      </c>
    </row>
    <row r="321" spans="8:9" s="29" customFormat="1" ht="10.199999999999999" customHeight="1">
      <c r="H321" s="3014">
        <v>46.4</v>
      </c>
      <c r="I321" s="3021">
        <v>5.3</v>
      </c>
    </row>
    <row r="322" spans="8:9" s="29" customFormat="1" ht="10.199999999999999" customHeight="1">
      <c r="H322" s="3014">
        <v>46.5</v>
      </c>
      <c r="I322" s="3021">
        <v>5.3</v>
      </c>
    </row>
    <row r="323" spans="8:9" s="29" customFormat="1" ht="10.199999999999999" customHeight="1">
      <c r="H323" s="3014">
        <v>46.6</v>
      </c>
      <c r="I323" s="3021">
        <v>5.3</v>
      </c>
    </row>
    <row r="324" spans="8:9" s="29" customFormat="1" ht="10.199999999999999" customHeight="1">
      <c r="H324" s="3014">
        <v>46.7</v>
      </c>
      <c r="I324" s="3021">
        <v>5.3</v>
      </c>
    </row>
    <row r="325" spans="8:9" s="29" customFormat="1" ht="10.199999999999999" customHeight="1">
      <c r="H325" s="3014">
        <v>46.8</v>
      </c>
      <c r="I325" s="3021">
        <v>5.3</v>
      </c>
    </row>
    <row r="326" spans="8:9" s="29" customFormat="1" ht="10.199999999999999" customHeight="1">
      <c r="H326" s="3016">
        <v>46.9</v>
      </c>
      <c r="I326" s="3021">
        <v>5.3</v>
      </c>
    </row>
    <row r="327" spans="8:9" s="29" customFormat="1" ht="10.199999999999999" customHeight="1">
      <c r="H327" s="3014">
        <v>47</v>
      </c>
      <c r="I327" s="3021">
        <v>5.4</v>
      </c>
    </row>
    <row r="328" spans="8:9" s="29" customFormat="1" ht="10.199999999999999" customHeight="1">
      <c r="H328" s="3014">
        <v>47.1</v>
      </c>
      <c r="I328" s="3021">
        <v>5.4</v>
      </c>
    </row>
    <row r="329" spans="8:9" s="29" customFormat="1" ht="10.199999999999999" customHeight="1">
      <c r="H329" s="3014">
        <v>47.2</v>
      </c>
      <c r="I329" s="3021">
        <v>5.4</v>
      </c>
    </row>
    <row r="330" spans="8:9" s="29" customFormat="1" ht="10.199999999999999" customHeight="1">
      <c r="H330" s="3014">
        <v>47.3</v>
      </c>
      <c r="I330" s="3021">
        <v>5.4</v>
      </c>
    </row>
    <row r="331" spans="8:9" s="29" customFormat="1" ht="10.199999999999999" customHeight="1">
      <c r="H331" s="3014">
        <v>47.4</v>
      </c>
      <c r="I331" s="3021">
        <v>5.4</v>
      </c>
    </row>
    <row r="332" spans="8:9" s="29" customFormat="1" ht="10.199999999999999" customHeight="1">
      <c r="H332" s="3014">
        <v>47.5</v>
      </c>
      <c r="I332" s="3021">
        <v>5.4</v>
      </c>
    </row>
    <row r="333" spans="8:9" s="29" customFormat="1" ht="10.199999999999999" customHeight="1">
      <c r="H333" s="3014">
        <v>47.6</v>
      </c>
      <c r="I333" s="3021">
        <v>5.4</v>
      </c>
    </row>
    <row r="334" spans="8:9" s="29" customFormat="1" ht="10.199999999999999" customHeight="1">
      <c r="H334" s="3014">
        <v>47.7</v>
      </c>
      <c r="I334" s="3021">
        <v>5.4</v>
      </c>
    </row>
    <row r="335" spans="8:9" s="29" customFormat="1" ht="10.199999999999999" customHeight="1">
      <c r="H335" s="3014">
        <v>47.8</v>
      </c>
      <c r="I335" s="3021">
        <v>5.4</v>
      </c>
    </row>
    <row r="336" spans="8:9" s="29" customFormat="1" ht="10.199999999999999" customHeight="1">
      <c r="H336" s="3016">
        <v>47.9</v>
      </c>
      <c r="I336" s="3021">
        <v>5.4</v>
      </c>
    </row>
    <row r="337" spans="8:12" s="29" customFormat="1" ht="10.199999999999999" customHeight="1">
      <c r="H337" s="3014">
        <v>48</v>
      </c>
      <c r="I337" s="3021">
        <v>5.5</v>
      </c>
    </row>
    <row r="338" spans="8:12" s="29" customFormat="1" ht="10.199999999999999" customHeight="1">
      <c r="H338" s="3014">
        <v>48.1</v>
      </c>
      <c r="I338" s="3021">
        <v>5.5</v>
      </c>
    </row>
    <row r="339" spans="8:12" s="29" customFormat="1" ht="10.199999999999999" customHeight="1">
      <c r="H339" s="3014">
        <v>48.2</v>
      </c>
      <c r="I339" s="3021">
        <v>5.5</v>
      </c>
    </row>
    <row r="340" spans="8:12" s="29" customFormat="1" ht="10.199999999999999" customHeight="1">
      <c r="H340" s="3014">
        <v>48.3</v>
      </c>
      <c r="I340" s="3021">
        <v>5.5</v>
      </c>
    </row>
    <row r="341" spans="8:12" s="29" customFormat="1" ht="10.199999999999999" customHeight="1">
      <c r="H341" s="3014">
        <v>48.4</v>
      </c>
      <c r="I341" s="3021">
        <v>5.5</v>
      </c>
    </row>
    <row r="342" spans="8:12" s="29" customFormat="1" ht="10.199999999999999" customHeight="1">
      <c r="H342" s="3014">
        <v>48.5</v>
      </c>
      <c r="I342" s="3021">
        <v>5.5</v>
      </c>
    </row>
    <row r="343" spans="8:12" s="29" customFormat="1" ht="10.199999999999999" customHeight="1">
      <c r="H343" s="3014">
        <v>48.6</v>
      </c>
      <c r="I343" s="3021">
        <v>5.5</v>
      </c>
    </row>
    <row r="344" spans="8:12" s="29" customFormat="1" ht="10.199999999999999" customHeight="1">
      <c r="H344" s="3014">
        <v>48.7</v>
      </c>
      <c r="I344" s="3021">
        <v>5.5</v>
      </c>
    </row>
    <row r="345" spans="8:12" s="29" customFormat="1" ht="10.199999999999999" customHeight="1">
      <c r="H345" s="3014">
        <v>48.8</v>
      </c>
      <c r="I345" s="3021">
        <v>5.5</v>
      </c>
    </row>
    <row r="346" spans="8:12" s="29" customFormat="1" ht="10.199999999999999" customHeight="1">
      <c r="H346" s="3016">
        <v>48.9</v>
      </c>
      <c r="I346" s="3021">
        <v>5.5</v>
      </c>
    </row>
    <row r="347" spans="8:12" s="29" customFormat="1" ht="10.199999999999999" customHeight="1">
      <c r="H347" s="3014">
        <v>49</v>
      </c>
      <c r="I347" s="3021">
        <v>5.6</v>
      </c>
    </row>
    <row r="348" spans="8:12" s="29" customFormat="1" ht="10.199999999999999" customHeight="1">
      <c r="H348" s="3014">
        <v>49.1</v>
      </c>
      <c r="I348" s="3021">
        <v>5.6</v>
      </c>
    </row>
    <row r="349" spans="8:12" s="29" customFormat="1" ht="10.199999999999999" customHeight="1">
      <c r="H349" s="3014">
        <v>49.2</v>
      </c>
      <c r="I349" s="3021">
        <v>5.6</v>
      </c>
    </row>
    <row r="350" spans="8:12" s="29" customFormat="1" ht="10.199999999999999" customHeight="1">
      <c r="H350" s="3014">
        <v>49.3</v>
      </c>
      <c r="I350" s="3021">
        <v>5.6</v>
      </c>
      <c r="L350" s="448"/>
    </row>
    <row r="351" spans="8:12" s="29" customFormat="1" ht="10.199999999999999" customHeight="1">
      <c r="H351" s="3014">
        <v>49.4</v>
      </c>
      <c r="I351" s="3021">
        <v>5.6</v>
      </c>
    </row>
    <row r="352" spans="8:12" s="29" customFormat="1" ht="10.199999999999999" customHeight="1">
      <c r="H352" s="3014">
        <v>49.5</v>
      </c>
      <c r="I352" s="3021">
        <v>5.6</v>
      </c>
    </row>
    <row r="353" spans="8:9" s="29" customFormat="1" ht="10.199999999999999" customHeight="1">
      <c r="H353" s="3014">
        <v>49.6</v>
      </c>
      <c r="I353" s="3021">
        <v>5.6</v>
      </c>
    </row>
    <row r="354" spans="8:9" s="29" customFormat="1" ht="10.199999999999999" customHeight="1">
      <c r="H354" s="3014">
        <v>49.7</v>
      </c>
      <c r="I354" s="3021">
        <v>5.6</v>
      </c>
    </row>
    <row r="355" spans="8:9" s="29" customFormat="1" ht="10.199999999999999" customHeight="1">
      <c r="H355" s="3014">
        <v>49.8</v>
      </c>
      <c r="I355" s="3021">
        <v>5.6</v>
      </c>
    </row>
    <row r="356" spans="8:9" s="29" customFormat="1" ht="10.199999999999999" customHeight="1" thickBot="1">
      <c r="H356" s="3017">
        <v>49.9</v>
      </c>
      <c r="I356" s="3481">
        <v>5.6</v>
      </c>
    </row>
    <row r="357" spans="8:9" s="29" customFormat="1" ht="10.199999999999999" customHeight="1"/>
    <row r="358" spans="8:9" s="29" customFormat="1" ht="10.199999999999999" customHeight="1"/>
    <row r="359" spans="8:9" s="29" customFormat="1" ht="10.199999999999999" customHeight="1"/>
    <row r="360" spans="8:9" s="29" customFormat="1" ht="10.199999999999999" customHeight="1"/>
    <row r="361" spans="8:9" s="29" customFormat="1" ht="10.199999999999999" customHeight="1"/>
    <row r="362" spans="8:9" s="29" customFormat="1" ht="10.199999999999999" customHeight="1"/>
    <row r="363" spans="8:9" s="29" customFormat="1" ht="10.199999999999999" customHeight="1"/>
    <row r="364" spans="8:9" s="29" customFormat="1" ht="10.199999999999999" customHeight="1"/>
    <row r="365" spans="8:9" s="29" customFormat="1" ht="10.199999999999999" customHeight="1"/>
    <row r="366" spans="8:9" s="29" customFormat="1" ht="10.199999999999999" customHeight="1"/>
    <row r="367" spans="8:9" s="29" customFormat="1" ht="10.199999999999999" customHeight="1"/>
    <row r="368" spans="8:9" s="29" customFormat="1" ht="10.199999999999999" customHeight="1"/>
    <row r="369" s="29" customFormat="1" ht="10.199999999999999" customHeight="1"/>
    <row r="370" s="29" customFormat="1" ht="10.199999999999999" customHeight="1"/>
    <row r="371" s="29" customFormat="1" ht="10.199999999999999" customHeight="1"/>
    <row r="372" s="29" customFormat="1" ht="10.199999999999999" customHeight="1"/>
    <row r="373" s="29" customFormat="1" ht="10.199999999999999" customHeight="1"/>
    <row r="374" s="29" customFormat="1" ht="10.199999999999999" customHeight="1"/>
    <row r="375" s="29" customFormat="1" ht="10.199999999999999" customHeight="1"/>
    <row r="376" s="29" customFormat="1" ht="10.199999999999999" customHeight="1"/>
    <row r="377" s="29" customFormat="1" ht="10.199999999999999" customHeight="1"/>
    <row r="378" s="29" customFormat="1" ht="10.199999999999999" customHeight="1"/>
    <row r="379" s="29" customFormat="1" ht="10.199999999999999" customHeight="1"/>
    <row r="380" s="29" customFormat="1" ht="10.199999999999999" customHeight="1"/>
    <row r="381" s="29" customFormat="1" ht="10.199999999999999" customHeight="1"/>
    <row r="382" s="29" customFormat="1" ht="10.199999999999999" customHeight="1"/>
    <row r="383" s="29" customFormat="1" ht="10.199999999999999" customHeight="1"/>
    <row r="384" s="29" customFormat="1" ht="10.199999999999999" customHeight="1"/>
    <row r="385" s="29" customFormat="1" ht="10.199999999999999" customHeight="1"/>
    <row r="386" s="29" customFormat="1" ht="10.199999999999999" customHeight="1"/>
    <row r="387" s="29" customFormat="1" ht="10.199999999999999" customHeight="1"/>
    <row r="388" s="29" customFormat="1" ht="10.199999999999999" customHeight="1"/>
    <row r="389" s="29" customFormat="1" ht="10.199999999999999" customHeight="1"/>
    <row r="390" s="29" customFormat="1" ht="10.199999999999999" customHeight="1"/>
    <row r="391" s="29" customFormat="1" ht="10.199999999999999" customHeight="1"/>
    <row r="392" s="29" customFormat="1" ht="10.199999999999999" customHeight="1"/>
    <row r="393" s="29" customFormat="1" ht="10.199999999999999" customHeight="1"/>
    <row r="394" s="29" customFormat="1" ht="10.199999999999999" customHeight="1"/>
    <row r="395" s="29" customFormat="1" ht="10.199999999999999" customHeight="1"/>
    <row r="396" s="29" customFormat="1" ht="10.199999999999999" customHeight="1"/>
    <row r="397" s="29" customFormat="1" ht="10.199999999999999" customHeight="1"/>
    <row r="398" s="29" customFormat="1" ht="10.199999999999999" customHeight="1"/>
    <row r="399" s="29" customFormat="1" ht="10.199999999999999" customHeight="1"/>
    <row r="400" s="29" customFormat="1" ht="10.199999999999999" customHeight="1"/>
    <row r="401" s="29" customFormat="1" ht="10.199999999999999" customHeight="1"/>
    <row r="402" s="29" customFormat="1" ht="10.199999999999999" customHeight="1"/>
    <row r="403" s="29" customFormat="1" ht="10.199999999999999" customHeight="1"/>
    <row r="404" s="29" customFormat="1" ht="10.199999999999999" customHeight="1"/>
    <row r="405" s="29" customFormat="1" ht="10.199999999999999" customHeight="1"/>
    <row r="406" s="29" customFormat="1" ht="10.199999999999999" customHeight="1"/>
    <row r="407" s="29" customFormat="1" ht="10.199999999999999" customHeight="1"/>
    <row r="408" s="29" customFormat="1" ht="10.199999999999999" customHeight="1"/>
    <row r="409" s="29" customFormat="1" ht="10.199999999999999" customHeight="1"/>
    <row r="410" s="29" customFormat="1" ht="10.199999999999999" customHeight="1"/>
    <row r="411" s="29" customFormat="1" ht="10.199999999999999" customHeight="1"/>
    <row r="412" s="29" customFormat="1" ht="10.199999999999999" customHeight="1"/>
    <row r="413" s="29" customFormat="1" ht="10.199999999999999" customHeight="1"/>
    <row r="414" s="29" customFormat="1" ht="10.199999999999999" customHeight="1"/>
    <row r="415" s="29" customFormat="1" ht="10.199999999999999" customHeight="1"/>
    <row r="416" s="29" customFormat="1" ht="10.199999999999999" customHeight="1"/>
    <row r="417" s="29" customFormat="1" ht="10.199999999999999" customHeight="1"/>
    <row r="418" s="29" customFormat="1" ht="10.199999999999999" customHeight="1"/>
    <row r="419" s="29" customFormat="1" ht="10.199999999999999" customHeight="1"/>
    <row r="420" s="29" customFormat="1" ht="10.199999999999999" customHeight="1"/>
    <row r="421" s="29" customFormat="1" ht="10.199999999999999" customHeight="1"/>
    <row r="422" s="29" customFormat="1" ht="10.199999999999999" customHeight="1"/>
    <row r="423" s="29" customFormat="1" ht="10.199999999999999" customHeight="1"/>
    <row r="424" s="29" customFormat="1" ht="10.199999999999999" customHeight="1"/>
    <row r="425" s="29" customFormat="1" ht="10.199999999999999" customHeight="1"/>
    <row r="426" s="29" customFormat="1" ht="10.199999999999999" customHeight="1"/>
    <row r="427" s="29" customFormat="1" ht="10.199999999999999" customHeight="1"/>
    <row r="428" s="29" customFormat="1" ht="10.199999999999999" customHeight="1"/>
    <row r="429" s="29" customFormat="1" ht="10.199999999999999" customHeight="1"/>
    <row r="430" s="29" customFormat="1" ht="10.199999999999999" customHeight="1"/>
    <row r="431" s="29" customFormat="1" ht="10.199999999999999" customHeight="1"/>
    <row r="432" s="29" customFormat="1" ht="10.199999999999999" customHeight="1"/>
    <row r="433" s="29" customFormat="1" ht="10.199999999999999" customHeight="1"/>
    <row r="434" s="29" customFormat="1" ht="10.199999999999999" customHeight="1"/>
    <row r="435" s="29" customFormat="1" ht="10.199999999999999" customHeight="1"/>
    <row r="436" s="29" customFormat="1" ht="10.199999999999999" customHeight="1"/>
    <row r="437" s="29" customFormat="1" ht="10.199999999999999" customHeight="1"/>
    <row r="438" s="29" customFormat="1" ht="10.199999999999999" customHeight="1"/>
    <row r="439" s="29" customFormat="1" ht="10.199999999999999" customHeight="1"/>
    <row r="440" s="29" customFormat="1" ht="10.199999999999999" customHeight="1"/>
    <row r="441" s="29" customFormat="1" ht="10.199999999999999" customHeight="1"/>
    <row r="442" s="29" customFormat="1" ht="10.199999999999999" customHeight="1"/>
    <row r="443" s="29" customFormat="1" ht="10.199999999999999" customHeight="1"/>
    <row r="444" s="29" customFormat="1" ht="10.199999999999999" customHeight="1"/>
    <row r="445" s="29" customFormat="1" ht="10.199999999999999" customHeight="1"/>
    <row r="446" s="29" customFormat="1" ht="10.199999999999999" customHeight="1"/>
    <row r="447" s="29" customFormat="1" ht="10.199999999999999" customHeight="1"/>
    <row r="448" s="29" customFormat="1" ht="10.199999999999999" customHeight="1"/>
    <row r="449" s="29" customFormat="1" ht="10.199999999999999" customHeight="1"/>
    <row r="450" s="29" customFormat="1" ht="10.199999999999999" customHeight="1"/>
    <row r="451" s="29" customFormat="1" ht="10.199999999999999" customHeight="1"/>
    <row r="452" s="29" customFormat="1" ht="10.199999999999999" customHeight="1"/>
    <row r="453" s="29" customFormat="1" ht="10.199999999999999" customHeight="1"/>
    <row r="454" s="29" customFormat="1" ht="10.199999999999999" customHeight="1"/>
    <row r="455" s="29" customFormat="1" ht="10.199999999999999" customHeight="1"/>
    <row r="456" s="29" customFormat="1" ht="10.199999999999999" customHeight="1"/>
    <row r="457" s="29" customFormat="1" ht="10.199999999999999" customHeight="1"/>
    <row r="458" s="29" customFormat="1" ht="10.199999999999999" customHeight="1"/>
    <row r="459" s="29" customFormat="1" ht="10.199999999999999" customHeight="1"/>
    <row r="460" s="29" customFormat="1" ht="10.199999999999999" customHeight="1"/>
    <row r="461" s="29" customFormat="1" ht="10.199999999999999" customHeight="1"/>
    <row r="462" s="29" customFormat="1" ht="10.199999999999999" customHeight="1"/>
    <row r="463" s="29" customFormat="1" ht="10.199999999999999" customHeight="1"/>
    <row r="464" s="29" customFormat="1" ht="10.199999999999999" customHeight="1"/>
    <row r="465" spans="2:21" ht="10.199999999999999" customHeight="1">
      <c r="B465" s="29"/>
      <c r="C465" s="29"/>
      <c r="D465" s="29"/>
      <c r="E465" s="29"/>
      <c r="F465" s="29"/>
      <c r="G465" s="29"/>
      <c r="I465" s="29"/>
      <c r="N465" s="29"/>
    </row>
    <row r="466" spans="2:21" ht="10.199999999999999" customHeight="1">
      <c r="B466" s="29"/>
      <c r="C466" s="29"/>
      <c r="D466" s="29"/>
      <c r="E466" s="29"/>
      <c r="F466" s="29"/>
      <c r="G466" s="29"/>
      <c r="I466" s="29"/>
      <c r="N466" s="29"/>
    </row>
    <row r="467" spans="2:21" ht="10.199999999999999" customHeight="1">
      <c r="B467" s="29"/>
      <c r="C467" s="29"/>
      <c r="D467" s="29"/>
      <c r="E467" s="29"/>
      <c r="F467" s="29"/>
      <c r="G467" s="29"/>
      <c r="I467" s="29"/>
      <c r="N467" s="29"/>
    </row>
    <row r="468" spans="2:21" ht="10.199999999999999" customHeight="1">
      <c r="B468" s="29"/>
      <c r="C468" s="29"/>
      <c r="D468" s="29"/>
      <c r="E468" s="29"/>
      <c r="F468" s="29"/>
      <c r="G468" s="29"/>
      <c r="I468" s="29"/>
      <c r="N468" s="29"/>
    </row>
    <row r="469" spans="2:21" ht="10.199999999999999" customHeight="1">
      <c r="B469" s="29"/>
      <c r="C469" s="29"/>
      <c r="D469" s="29"/>
      <c r="E469" s="29"/>
      <c r="F469" s="29"/>
      <c r="G469" s="29"/>
      <c r="I469" s="29"/>
      <c r="N469" s="29"/>
    </row>
    <row r="470" spans="2:21" ht="10.199999999999999" customHeight="1">
      <c r="B470" s="29"/>
      <c r="C470" s="29"/>
      <c r="D470" s="29"/>
      <c r="E470" s="29"/>
      <c r="F470" s="29"/>
      <c r="G470" s="29"/>
      <c r="I470" s="29"/>
      <c r="N470" s="29"/>
    </row>
    <row r="471" spans="2:21" ht="10.199999999999999" customHeight="1">
      <c r="B471" s="29"/>
      <c r="C471" s="29"/>
      <c r="D471" s="29"/>
      <c r="E471" s="29"/>
      <c r="F471" s="29"/>
      <c r="G471" s="29"/>
      <c r="I471" s="29"/>
      <c r="N471" s="29"/>
    </row>
    <row r="472" spans="2:21" ht="10.199999999999999" customHeight="1">
      <c r="B472" s="29"/>
      <c r="C472" s="29"/>
      <c r="D472" s="29"/>
      <c r="E472" s="29"/>
      <c r="F472" s="29"/>
      <c r="G472" s="29"/>
      <c r="I472" s="29"/>
      <c r="N472" s="29"/>
    </row>
    <row r="473" spans="2:21" ht="10.199999999999999" customHeight="1">
      <c r="B473" s="29"/>
      <c r="C473" s="29"/>
      <c r="D473" s="29"/>
      <c r="E473" s="29"/>
      <c r="F473" s="29"/>
      <c r="G473" s="29"/>
      <c r="I473" s="29"/>
      <c r="N473" s="29"/>
    </row>
    <row r="474" spans="2:21" ht="10.199999999999999" customHeight="1">
      <c r="B474" s="29"/>
      <c r="C474" s="29"/>
      <c r="D474" s="29"/>
      <c r="E474" s="29"/>
      <c r="F474" s="29"/>
      <c r="G474" s="29"/>
      <c r="I474" s="29"/>
      <c r="N474" s="29"/>
    </row>
    <row r="475" spans="2:21" s="454" customFormat="1" ht="10.199999999999999" customHeight="1">
      <c r="B475" s="455"/>
      <c r="C475" s="455"/>
      <c r="E475" s="456"/>
      <c r="F475" s="459"/>
      <c r="G475" s="459"/>
      <c r="H475" s="461"/>
      <c r="I475" s="460"/>
      <c r="J475" s="460"/>
      <c r="K475" s="459"/>
      <c r="L475" s="3986"/>
      <c r="M475" s="3986"/>
      <c r="O475" s="458"/>
      <c r="P475" s="456"/>
      <c r="Q475" s="456"/>
      <c r="R475" s="457"/>
      <c r="S475" s="455"/>
      <c r="T475" s="456"/>
      <c r="U475" s="455"/>
    </row>
    <row r="476" spans="2:21" s="454" customFormat="1" ht="10.199999999999999" customHeight="1">
      <c r="B476" s="455"/>
      <c r="C476" s="455"/>
      <c r="E476" s="456"/>
      <c r="F476" s="459"/>
      <c r="G476" s="459"/>
      <c r="H476" s="461"/>
      <c r="I476" s="460"/>
      <c r="J476" s="460"/>
      <c r="K476" s="459"/>
      <c r="L476" s="3986"/>
      <c r="M476" s="3986"/>
      <c r="O476" s="458"/>
      <c r="P476" s="456"/>
      <c r="Q476" s="456"/>
      <c r="R476" s="457"/>
      <c r="S476" s="455"/>
      <c r="T476" s="456"/>
      <c r="U476" s="455"/>
    </row>
    <row r="477" spans="2:21" s="454" customFormat="1" ht="10.199999999999999" customHeight="1">
      <c r="B477" s="455"/>
      <c r="C477" s="455"/>
      <c r="E477" s="456"/>
      <c r="F477" s="459"/>
      <c r="G477" s="459"/>
      <c r="H477" s="461"/>
      <c r="I477" s="460"/>
      <c r="J477" s="460"/>
      <c r="K477" s="459"/>
      <c r="L477" s="3986"/>
      <c r="M477" s="3986"/>
      <c r="O477" s="458"/>
      <c r="P477" s="456"/>
      <c r="Q477" s="456"/>
      <c r="R477" s="457"/>
      <c r="S477" s="455"/>
      <c r="T477" s="456"/>
      <c r="U477" s="455"/>
    </row>
    <row r="478" spans="2:21" s="454" customFormat="1" ht="10.199999999999999" customHeight="1">
      <c r="B478" s="455"/>
      <c r="C478" s="455"/>
      <c r="E478" s="456"/>
      <c r="F478" s="459"/>
      <c r="G478" s="459"/>
      <c r="H478" s="461"/>
      <c r="I478" s="460"/>
      <c r="J478" s="460"/>
      <c r="K478" s="459"/>
      <c r="L478" s="3986"/>
      <c r="M478" s="3986"/>
      <c r="O478" s="458"/>
      <c r="P478" s="456"/>
      <c r="Q478" s="456"/>
      <c r="R478" s="457"/>
      <c r="S478" s="455"/>
      <c r="T478" s="456"/>
      <c r="U478" s="455"/>
    </row>
    <row r="479" spans="2:21" s="454" customFormat="1" ht="10.199999999999999" customHeight="1">
      <c r="B479" s="455"/>
      <c r="C479" s="455"/>
      <c r="E479" s="456"/>
      <c r="F479" s="459"/>
      <c r="G479" s="459"/>
      <c r="H479" s="461"/>
      <c r="I479" s="460"/>
      <c r="J479" s="460"/>
      <c r="K479" s="459"/>
      <c r="L479" s="3986"/>
      <c r="M479" s="3986"/>
      <c r="O479" s="458"/>
      <c r="P479" s="456"/>
      <c r="Q479" s="456"/>
      <c r="R479" s="457"/>
      <c r="S479" s="455"/>
      <c r="T479" s="456"/>
      <c r="U479" s="455"/>
    </row>
    <row r="480" spans="2:21" s="454" customFormat="1" ht="10.199999999999999" customHeight="1">
      <c r="B480" s="455"/>
      <c r="C480" s="455"/>
      <c r="E480" s="456"/>
      <c r="F480" s="459"/>
      <c r="G480" s="459"/>
      <c r="H480" s="461"/>
      <c r="I480" s="460"/>
      <c r="J480" s="460"/>
      <c r="K480" s="459"/>
      <c r="L480" s="3986"/>
      <c r="M480" s="3986"/>
      <c r="O480" s="458"/>
      <c r="P480" s="456"/>
      <c r="Q480" s="456"/>
      <c r="R480" s="457"/>
      <c r="S480" s="455"/>
      <c r="T480" s="456"/>
      <c r="U480" s="455"/>
    </row>
    <row r="481" spans="2:21" s="454" customFormat="1" ht="10.199999999999999" customHeight="1">
      <c r="B481" s="455"/>
      <c r="C481" s="455"/>
      <c r="E481" s="456"/>
      <c r="F481" s="459"/>
      <c r="G481" s="459"/>
      <c r="H481" s="461"/>
      <c r="I481" s="460"/>
      <c r="J481" s="460"/>
      <c r="K481" s="459"/>
      <c r="L481" s="3986"/>
      <c r="M481" s="3986"/>
      <c r="O481" s="458"/>
      <c r="P481" s="456"/>
      <c r="Q481" s="456"/>
      <c r="R481" s="457"/>
      <c r="S481" s="455"/>
      <c r="T481" s="456"/>
      <c r="U481" s="455"/>
    </row>
    <row r="482" spans="2:21" s="454" customFormat="1" ht="10.199999999999999" customHeight="1">
      <c r="B482" s="455"/>
      <c r="C482" s="455"/>
      <c r="E482" s="456"/>
      <c r="F482" s="459"/>
      <c r="G482" s="459"/>
      <c r="H482" s="461"/>
      <c r="I482" s="460"/>
      <c r="J482" s="460"/>
      <c r="K482" s="459"/>
      <c r="L482" s="3986"/>
      <c r="M482" s="3986"/>
      <c r="O482" s="458"/>
      <c r="P482" s="456"/>
      <c r="Q482" s="456"/>
      <c r="R482" s="457"/>
      <c r="S482" s="455"/>
      <c r="T482" s="456"/>
      <c r="U482" s="455"/>
    </row>
    <row r="483" spans="2:21" s="454" customFormat="1" ht="10.199999999999999" customHeight="1">
      <c r="B483" s="455"/>
      <c r="C483" s="455"/>
      <c r="E483" s="456"/>
      <c r="F483" s="459"/>
      <c r="G483" s="459"/>
      <c r="H483" s="461"/>
      <c r="I483" s="460"/>
      <c r="J483" s="460"/>
      <c r="K483" s="459"/>
      <c r="L483" s="3986"/>
      <c r="M483" s="3986"/>
      <c r="O483" s="458"/>
      <c r="P483" s="456"/>
      <c r="Q483" s="456"/>
      <c r="R483" s="457"/>
      <c r="S483" s="455"/>
      <c r="T483" s="456"/>
      <c r="U483" s="455"/>
    </row>
    <row r="484" spans="2:21" s="454" customFormat="1" ht="10.199999999999999" customHeight="1">
      <c r="B484" s="455"/>
      <c r="C484" s="455"/>
      <c r="E484" s="456"/>
      <c r="F484" s="459"/>
      <c r="G484" s="459"/>
      <c r="H484" s="461"/>
      <c r="I484" s="460"/>
      <c r="J484" s="460"/>
      <c r="K484" s="459"/>
      <c r="L484" s="3986"/>
      <c r="M484" s="3986"/>
      <c r="O484" s="458"/>
      <c r="P484" s="456"/>
      <c r="Q484" s="456"/>
      <c r="R484" s="457"/>
      <c r="S484" s="455"/>
      <c r="T484" s="456"/>
      <c r="U484" s="455"/>
    </row>
    <row r="485" spans="2:21" s="454" customFormat="1" ht="10.199999999999999" customHeight="1">
      <c r="B485" s="455"/>
      <c r="C485" s="455"/>
      <c r="E485" s="456"/>
      <c r="F485" s="459"/>
      <c r="G485" s="459"/>
      <c r="H485" s="461"/>
      <c r="I485" s="460"/>
      <c r="J485" s="460"/>
      <c r="K485" s="459"/>
      <c r="L485" s="3986"/>
      <c r="M485" s="3986"/>
      <c r="O485" s="458"/>
      <c r="P485" s="456"/>
      <c r="Q485" s="456"/>
      <c r="R485" s="457"/>
      <c r="S485" s="455"/>
      <c r="T485" s="456"/>
      <c r="U485" s="455"/>
    </row>
    <row r="486" spans="2:21" s="454" customFormat="1" ht="10.199999999999999" customHeight="1">
      <c r="B486" s="455"/>
      <c r="C486" s="455"/>
      <c r="E486" s="456"/>
      <c r="F486" s="459"/>
      <c r="G486" s="459"/>
      <c r="H486" s="461"/>
      <c r="I486" s="460"/>
      <c r="J486" s="460"/>
      <c r="K486" s="459"/>
      <c r="L486" s="3986"/>
      <c r="M486" s="3986"/>
      <c r="O486" s="458"/>
      <c r="P486" s="456"/>
      <c r="Q486" s="456"/>
      <c r="R486" s="457"/>
      <c r="S486" s="455"/>
      <c r="T486" s="456"/>
      <c r="U486" s="455"/>
    </row>
    <row r="487" spans="2:21" s="454" customFormat="1" ht="10.199999999999999" customHeight="1">
      <c r="B487" s="455"/>
      <c r="C487" s="455"/>
      <c r="E487" s="456"/>
      <c r="F487" s="459"/>
      <c r="G487" s="459"/>
      <c r="H487" s="461"/>
      <c r="I487" s="460"/>
      <c r="J487" s="460"/>
      <c r="K487" s="459"/>
      <c r="L487" s="3986"/>
      <c r="M487" s="3986"/>
      <c r="O487" s="458"/>
      <c r="P487" s="456"/>
      <c r="Q487" s="456"/>
      <c r="R487" s="457"/>
      <c r="S487" s="455"/>
      <c r="T487" s="456"/>
      <c r="U487" s="455"/>
    </row>
    <row r="488" spans="2:21" s="454" customFormat="1" ht="10.199999999999999" customHeight="1">
      <c r="B488" s="455"/>
      <c r="C488" s="455"/>
      <c r="E488" s="456"/>
      <c r="F488" s="459"/>
      <c r="G488" s="459"/>
      <c r="H488" s="461"/>
      <c r="I488" s="460"/>
      <c r="J488" s="460"/>
      <c r="K488" s="459"/>
      <c r="L488" s="3986"/>
      <c r="M488" s="3986"/>
      <c r="O488" s="458"/>
      <c r="P488" s="456"/>
      <c r="Q488" s="456"/>
      <c r="R488" s="457"/>
      <c r="S488" s="455"/>
      <c r="T488" s="456"/>
      <c r="U488" s="455"/>
    </row>
    <row r="489" spans="2:21" s="454" customFormat="1" ht="10.199999999999999" customHeight="1">
      <c r="B489" s="455"/>
      <c r="C489" s="455"/>
      <c r="E489" s="456"/>
      <c r="F489" s="459"/>
      <c r="G489" s="459"/>
      <c r="H489" s="461"/>
      <c r="I489" s="460"/>
      <c r="J489" s="460"/>
      <c r="K489" s="459"/>
      <c r="L489" s="3986"/>
      <c r="M489" s="3986"/>
      <c r="O489" s="458"/>
      <c r="P489" s="456"/>
      <c r="Q489" s="456"/>
      <c r="R489" s="457"/>
      <c r="S489" s="455"/>
      <c r="T489" s="456"/>
      <c r="U489" s="455"/>
    </row>
    <row r="490" spans="2:21" s="454" customFormat="1" ht="10.199999999999999" customHeight="1">
      <c r="B490" s="455"/>
      <c r="C490" s="455"/>
      <c r="E490" s="456"/>
      <c r="F490" s="459"/>
      <c r="G490" s="459"/>
      <c r="H490" s="461"/>
      <c r="I490" s="460"/>
      <c r="J490" s="460"/>
      <c r="K490" s="459"/>
      <c r="L490" s="3986"/>
      <c r="M490" s="3986"/>
      <c r="O490" s="458"/>
      <c r="P490" s="456"/>
      <c r="Q490" s="456"/>
      <c r="R490" s="457"/>
      <c r="S490" s="455"/>
      <c r="T490" s="456"/>
      <c r="U490" s="455"/>
    </row>
    <row r="491" spans="2:21" s="454" customFormat="1" ht="10.199999999999999" customHeight="1">
      <c r="B491" s="455"/>
      <c r="C491" s="455"/>
      <c r="E491" s="456"/>
      <c r="F491" s="459"/>
      <c r="G491" s="459"/>
      <c r="H491" s="461"/>
      <c r="I491" s="460"/>
      <c r="J491" s="460"/>
      <c r="K491" s="459"/>
      <c r="L491" s="3986"/>
      <c r="M491" s="3986"/>
      <c r="O491" s="458"/>
      <c r="P491" s="456"/>
      <c r="Q491" s="456"/>
      <c r="R491" s="457"/>
      <c r="S491" s="455"/>
      <c r="T491" s="456"/>
      <c r="U491" s="455"/>
    </row>
    <row r="492" spans="2:21" s="454" customFormat="1" ht="10.199999999999999" customHeight="1">
      <c r="B492" s="455"/>
      <c r="C492" s="455"/>
      <c r="E492" s="456"/>
      <c r="F492" s="459"/>
      <c r="G492" s="459"/>
      <c r="H492" s="461"/>
      <c r="I492" s="460"/>
      <c r="J492" s="460"/>
      <c r="K492" s="459"/>
      <c r="L492" s="3986"/>
      <c r="M492" s="3986"/>
      <c r="O492" s="458"/>
      <c r="P492" s="456"/>
      <c r="Q492" s="456"/>
      <c r="R492" s="457"/>
      <c r="S492" s="455"/>
      <c r="T492" s="456"/>
      <c r="U492" s="455"/>
    </row>
    <row r="493" spans="2:21" s="454" customFormat="1" ht="10.199999999999999" customHeight="1">
      <c r="B493" s="455"/>
      <c r="C493" s="455"/>
      <c r="E493" s="456"/>
      <c r="F493" s="459"/>
      <c r="G493" s="459"/>
      <c r="H493" s="461"/>
      <c r="I493" s="460"/>
      <c r="J493" s="460"/>
      <c r="K493" s="459"/>
      <c r="L493" s="3986"/>
      <c r="M493" s="3986"/>
      <c r="O493" s="458"/>
      <c r="P493" s="456"/>
      <c r="Q493" s="456"/>
      <c r="R493" s="457"/>
      <c r="S493" s="455"/>
      <c r="T493" s="456"/>
      <c r="U493" s="455"/>
    </row>
    <row r="494" spans="2:21" s="454" customFormat="1" ht="10.199999999999999" customHeight="1">
      <c r="B494" s="455"/>
      <c r="C494" s="455"/>
      <c r="E494" s="456"/>
      <c r="F494" s="459"/>
      <c r="G494" s="459"/>
      <c r="H494" s="461"/>
      <c r="I494" s="460"/>
      <c r="J494" s="460"/>
      <c r="K494" s="459"/>
      <c r="L494" s="3986"/>
      <c r="M494" s="3986"/>
      <c r="O494" s="458"/>
      <c r="P494" s="456"/>
      <c r="Q494" s="456"/>
      <c r="R494" s="457"/>
      <c r="S494" s="455"/>
      <c r="T494" s="456"/>
      <c r="U494" s="455"/>
    </row>
    <row r="495" spans="2:21" s="454" customFormat="1" ht="10.199999999999999" customHeight="1">
      <c r="B495" s="455"/>
      <c r="C495" s="455"/>
      <c r="E495" s="456"/>
      <c r="F495" s="459"/>
      <c r="G495" s="459"/>
      <c r="H495" s="461"/>
      <c r="I495" s="460"/>
      <c r="J495" s="460"/>
      <c r="K495" s="459"/>
      <c r="L495" s="3986"/>
      <c r="M495" s="3986"/>
      <c r="O495" s="458"/>
      <c r="P495" s="456"/>
      <c r="Q495" s="456"/>
      <c r="R495" s="457"/>
      <c r="S495" s="455"/>
      <c r="T495" s="456"/>
      <c r="U495" s="455"/>
    </row>
    <row r="496" spans="2:21" s="454" customFormat="1" ht="10.199999999999999" customHeight="1">
      <c r="B496" s="455"/>
      <c r="C496" s="455"/>
      <c r="E496" s="456"/>
      <c r="F496" s="459"/>
      <c r="G496" s="459"/>
      <c r="H496" s="461"/>
      <c r="I496" s="460"/>
      <c r="J496" s="460"/>
      <c r="K496" s="459"/>
      <c r="L496" s="3986"/>
      <c r="M496" s="3986"/>
      <c r="O496" s="458"/>
      <c r="P496" s="456"/>
      <c r="Q496" s="456"/>
      <c r="R496" s="457"/>
      <c r="S496" s="455"/>
      <c r="T496" s="456"/>
      <c r="U496" s="455"/>
    </row>
    <row r="497" spans="2:21" s="454" customFormat="1" ht="10.199999999999999" customHeight="1">
      <c r="B497" s="455"/>
      <c r="C497" s="455"/>
      <c r="E497" s="456"/>
      <c r="F497" s="459"/>
      <c r="G497" s="459"/>
      <c r="H497" s="461"/>
      <c r="I497" s="460"/>
      <c r="J497" s="460"/>
      <c r="K497" s="459"/>
      <c r="L497" s="3986"/>
      <c r="M497" s="3986"/>
      <c r="O497" s="458"/>
      <c r="P497" s="456"/>
      <c r="Q497" s="456"/>
      <c r="R497" s="457"/>
      <c r="S497" s="455"/>
      <c r="T497" s="456"/>
      <c r="U497" s="455"/>
    </row>
    <row r="498" spans="2:21" s="454" customFormat="1" ht="10.199999999999999" customHeight="1">
      <c r="B498" s="455"/>
      <c r="C498" s="455"/>
      <c r="E498" s="456"/>
      <c r="F498" s="459"/>
      <c r="G498" s="459"/>
      <c r="H498" s="461"/>
      <c r="I498" s="460"/>
      <c r="J498" s="460"/>
      <c r="K498" s="459"/>
      <c r="L498" s="3986"/>
      <c r="M498" s="3986"/>
      <c r="O498" s="458"/>
      <c r="P498" s="456"/>
      <c r="Q498" s="456"/>
      <c r="R498" s="457"/>
      <c r="S498" s="455"/>
      <c r="T498" s="456"/>
      <c r="U498" s="455"/>
    </row>
    <row r="499" spans="2:21" s="454" customFormat="1" ht="10.199999999999999" customHeight="1">
      <c r="B499" s="455"/>
      <c r="C499" s="455"/>
      <c r="E499" s="456"/>
      <c r="F499" s="459"/>
      <c r="G499" s="459"/>
      <c r="H499" s="461"/>
      <c r="I499" s="460"/>
      <c r="J499" s="460"/>
      <c r="K499" s="459"/>
      <c r="L499" s="3986"/>
      <c r="M499" s="3986"/>
      <c r="O499" s="458"/>
      <c r="P499" s="456"/>
      <c r="Q499" s="456"/>
      <c r="R499" s="457"/>
      <c r="S499" s="455"/>
      <c r="T499" s="456"/>
      <c r="U499" s="455"/>
    </row>
    <row r="500" spans="2:21" s="454" customFormat="1" ht="10.199999999999999" customHeight="1">
      <c r="B500" s="455"/>
      <c r="C500" s="455"/>
      <c r="E500" s="456"/>
      <c r="F500" s="459"/>
      <c r="G500" s="459"/>
      <c r="H500" s="461"/>
      <c r="I500" s="460"/>
      <c r="J500" s="460"/>
      <c r="K500" s="459"/>
      <c r="L500" s="3986"/>
      <c r="M500" s="3986"/>
      <c r="O500" s="458"/>
      <c r="P500" s="456"/>
      <c r="Q500" s="456"/>
      <c r="R500" s="457"/>
      <c r="S500" s="455"/>
      <c r="T500" s="456"/>
      <c r="U500" s="455"/>
    </row>
    <row r="501" spans="2:21" s="454" customFormat="1" ht="10.199999999999999" customHeight="1">
      <c r="B501" s="455"/>
      <c r="C501" s="455"/>
      <c r="E501" s="456"/>
      <c r="F501" s="459"/>
      <c r="G501" s="459"/>
      <c r="H501" s="461"/>
      <c r="I501" s="460"/>
      <c r="J501" s="460"/>
      <c r="K501" s="459"/>
      <c r="L501" s="3986"/>
      <c r="M501" s="3986"/>
      <c r="O501" s="458"/>
      <c r="P501" s="456"/>
      <c r="Q501" s="456"/>
      <c r="R501" s="457"/>
      <c r="S501" s="455"/>
      <c r="T501" s="456"/>
      <c r="U501" s="455"/>
    </row>
    <row r="502" spans="2:21" s="454" customFormat="1" ht="10.199999999999999" customHeight="1">
      <c r="B502" s="455"/>
      <c r="C502" s="455"/>
      <c r="E502" s="456"/>
      <c r="F502" s="459"/>
      <c r="G502" s="459"/>
      <c r="H502" s="461"/>
      <c r="I502" s="460"/>
      <c r="J502" s="460"/>
      <c r="K502" s="459"/>
      <c r="L502" s="3986"/>
      <c r="M502" s="3986"/>
      <c r="O502" s="458"/>
      <c r="P502" s="456"/>
      <c r="Q502" s="456"/>
      <c r="R502" s="457"/>
      <c r="S502" s="455"/>
      <c r="T502" s="456"/>
      <c r="U502" s="455"/>
    </row>
    <row r="503" spans="2:21" s="454" customFormat="1" ht="10.199999999999999" customHeight="1">
      <c r="B503" s="455"/>
      <c r="C503" s="455"/>
      <c r="E503" s="456"/>
      <c r="F503" s="459"/>
      <c r="G503" s="459"/>
      <c r="H503" s="461"/>
      <c r="I503" s="460"/>
      <c r="J503" s="460"/>
      <c r="K503" s="459"/>
      <c r="L503" s="3986"/>
      <c r="M503" s="3986"/>
      <c r="O503" s="458"/>
      <c r="P503" s="456"/>
      <c r="Q503" s="456"/>
      <c r="R503" s="457"/>
      <c r="S503" s="455"/>
      <c r="T503" s="456"/>
      <c r="U503" s="455"/>
    </row>
    <row r="504" spans="2:21" s="454" customFormat="1" ht="10.199999999999999" customHeight="1">
      <c r="B504" s="455"/>
      <c r="C504" s="455"/>
      <c r="E504" s="456"/>
      <c r="F504" s="459"/>
      <c r="G504" s="459"/>
      <c r="H504" s="461"/>
      <c r="I504" s="460"/>
      <c r="J504" s="460"/>
      <c r="K504" s="459"/>
      <c r="L504" s="3986"/>
      <c r="M504" s="3986"/>
      <c r="O504" s="458"/>
      <c r="P504" s="456"/>
      <c r="Q504" s="456"/>
      <c r="R504" s="457"/>
      <c r="S504" s="455"/>
      <c r="T504" s="456"/>
      <c r="U504" s="455"/>
    </row>
    <row r="505" spans="2:21" s="454" customFormat="1" ht="10.199999999999999" customHeight="1">
      <c r="B505" s="455"/>
      <c r="C505" s="455"/>
      <c r="E505" s="456"/>
      <c r="F505" s="459"/>
      <c r="G505" s="459"/>
      <c r="H505" s="461"/>
      <c r="I505" s="460"/>
      <c r="J505" s="460"/>
      <c r="K505" s="459"/>
      <c r="L505" s="3986"/>
      <c r="M505" s="3986"/>
      <c r="O505" s="458"/>
      <c r="P505" s="456"/>
      <c r="Q505" s="456"/>
      <c r="R505" s="457"/>
      <c r="S505" s="455"/>
      <c r="T505" s="456"/>
      <c r="U505" s="455"/>
    </row>
    <row r="506" spans="2:21" s="454" customFormat="1" ht="10.199999999999999" customHeight="1">
      <c r="B506" s="455"/>
      <c r="C506" s="455"/>
      <c r="E506" s="456"/>
      <c r="F506" s="459"/>
      <c r="G506" s="459"/>
      <c r="H506" s="461"/>
      <c r="I506" s="460"/>
      <c r="J506" s="460"/>
      <c r="K506" s="459"/>
      <c r="L506" s="3986"/>
      <c r="M506" s="3986"/>
      <c r="O506" s="458"/>
      <c r="P506" s="456"/>
      <c r="Q506" s="456"/>
      <c r="R506" s="457"/>
      <c r="S506" s="455"/>
      <c r="T506" s="456"/>
      <c r="U506" s="455"/>
    </row>
    <row r="507" spans="2:21" s="454" customFormat="1" ht="10.199999999999999" customHeight="1">
      <c r="B507" s="455"/>
      <c r="C507" s="455"/>
      <c r="E507" s="456"/>
      <c r="F507" s="459"/>
      <c r="G507" s="459"/>
      <c r="H507" s="461"/>
      <c r="I507" s="460"/>
      <c r="J507" s="460"/>
      <c r="K507" s="459"/>
      <c r="L507" s="3986"/>
      <c r="M507" s="3986"/>
      <c r="O507" s="458"/>
      <c r="P507" s="456"/>
      <c r="Q507" s="456"/>
      <c r="R507" s="457"/>
      <c r="S507" s="455"/>
      <c r="T507" s="456"/>
      <c r="U507" s="455"/>
    </row>
    <row r="508" spans="2:21" s="454" customFormat="1" ht="10.199999999999999" customHeight="1">
      <c r="B508" s="455"/>
      <c r="C508" s="455"/>
      <c r="E508" s="456"/>
      <c r="F508" s="459"/>
      <c r="G508" s="459"/>
      <c r="H508" s="461"/>
      <c r="I508" s="460"/>
      <c r="J508" s="460"/>
      <c r="K508" s="459"/>
      <c r="L508" s="3986"/>
      <c r="M508" s="3986"/>
      <c r="O508" s="458"/>
      <c r="P508" s="456"/>
      <c r="Q508" s="456"/>
      <c r="R508" s="457"/>
      <c r="S508" s="455"/>
      <c r="T508" s="456"/>
      <c r="U508" s="455"/>
    </row>
    <row r="509" spans="2:21" s="454" customFormat="1" ht="10.199999999999999" customHeight="1">
      <c r="B509" s="455"/>
      <c r="C509" s="455"/>
      <c r="E509" s="456"/>
      <c r="F509" s="459"/>
      <c r="G509" s="459"/>
      <c r="H509" s="461"/>
      <c r="I509" s="460"/>
      <c r="J509" s="460"/>
      <c r="K509" s="459"/>
      <c r="L509" s="3986"/>
      <c r="M509" s="3986"/>
      <c r="O509" s="458"/>
      <c r="P509" s="456"/>
      <c r="Q509" s="456"/>
      <c r="R509" s="457"/>
      <c r="S509" s="455"/>
      <c r="T509" s="456"/>
      <c r="U509" s="455"/>
    </row>
    <row r="510" spans="2:21" s="454" customFormat="1" ht="10.199999999999999" customHeight="1">
      <c r="B510" s="455"/>
      <c r="C510" s="455"/>
      <c r="E510" s="456"/>
      <c r="F510" s="459"/>
      <c r="G510" s="459"/>
      <c r="H510" s="461"/>
      <c r="I510" s="460"/>
      <c r="J510" s="460"/>
      <c r="K510" s="459"/>
      <c r="L510" s="3986"/>
      <c r="M510" s="3986"/>
      <c r="O510" s="458"/>
      <c r="P510" s="456"/>
      <c r="Q510" s="456"/>
      <c r="R510" s="457"/>
      <c r="S510" s="455"/>
      <c r="T510" s="456"/>
      <c r="U510" s="455"/>
    </row>
    <row r="511" spans="2:21" s="454" customFormat="1" ht="10.199999999999999" customHeight="1">
      <c r="B511" s="455"/>
      <c r="C511" s="455"/>
      <c r="E511" s="456"/>
      <c r="F511" s="459"/>
      <c r="G511" s="459"/>
      <c r="H511" s="461"/>
      <c r="I511" s="460"/>
      <c r="J511" s="460"/>
      <c r="K511" s="459"/>
      <c r="L511" s="3986"/>
      <c r="M511" s="3986"/>
      <c r="O511" s="458"/>
      <c r="P511" s="456"/>
      <c r="Q511" s="456"/>
      <c r="R511" s="457"/>
      <c r="S511" s="455"/>
      <c r="T511" s="456"/>
      <c r="U511" s="455"/>
    </row>
    <row r="512" spans="2:21" s="454" customFormat="1" ht="10.199999999999999" customHeight="1">
      <c r="B512" s="455"/>
      <c r="C512" s="455"/>
      <c r="E512" s="456"/>
      <c r="F512" s="459"/>
      <c r="G512" s="459"/>
      <c r="H512" s="461"/>
      <c r="I512" s="460"/>
      <c r="J512" s="460"/>
      <c r="K512" s="459"/>
      <c r="L512" s="3986"/>
      <c r="M512" s="3986"/>
      <c r="O512" s="458"/>
      <c r="P512" s="456"/>
      <c r="Q512" s="456"/>
      <c r="R512" s="457"/>
      <c r="S512" s="455"/>
      <c r="T512" s="456"/>
      <c r="U512" s="455"/>
    </row>
    <row r="513" spans="2:21" s="454" customFormat="1" ht="10.199999999999999" customHeight="1">
      <c r="B513" s="455"/>
      <c r="C513" s="455"/>
      <c r="E513" s="456"/>
      <c r="F513" s="459"/>
      <c r="G513" s="459"/>
      <c r="H513" s="461"/>
      <c r="I513" s="460"/>
      <c r="J513" s="460"/>
      <c r="K513" s="459"/>
      <c r="L513" s="3986"/>
      <c r="M513" s="3986"/>
      <c r="O513" s="458"/>
      <c r="P513" s="456"/>
      <c r="Q513" s="456"/>
      <c r="R513" s="457"/>
      <c r="S513" s="455"/>
      <c r="T513" s="456"/>
      <c r="U513" s="455"/>
    </row>
    <row r="514" spans="2:21" s="454" customFormat="1" ht="10.199999999999999" customHeight="1">
      <c r="B514" s="455"/>
      <c r="C514" s="455"/>
      <c r="E514" s="456"/>
      <c r="F514" s="459"/>
      <c r="G514" s="459"/>
      <c r="H514" s="461"/>
      <c r="I514" s="460"/>
      <c r="J514" s="460"/>
      <c r="K514" s="459"/>
      <c r="L514" s="3986"/>
      <c r="M514" s="3986"/>
      <c r="O514" s="458"/>
      <c r="P514" s="456"/>
      <c r="Q514" s="456"/>
      <c r="R514" s="457"/>
      <c r="S514" s="455"/>
      <c r="T514" s="456"/>
      <c r="U514" s="455"/>
    </row>
    <row r="515" spans="2:21" s="454" customFormat="1" ht="10.199999999999999" customHeight="1">
      <c r="B515" s="455"/>
      <c r="C515" s="455"/>
      <c r="E515" s="456"/>
      <c r="F515" s="459"/>
      <c r="G515" s="459"/>
      <c r="H515" s="461"/>
      <c r="I515" s="460"/>
      <c r="J515" s="460"/>
      <c r="K515" s="459"/>
      <c r="L515" s="3986"/>
      <c r="M515" s="3986"/>
      <c r="O515" s="458"/>
      <c r="P515" s="456"/>
      <c r="Q515" s="456"/>
      <c r="R515" s="457"/>
      <c r="S515" s="455"/>
      <c r="T515" s="456"/>
      <c r="U515" s="455"/>
    </row>
    <row r="516" spans="2:21" s="454" customFormat="1" ht="10.199999999999999" customHeight="1">
      <c r="B516" s="455"/>
      <c r="C516" s="455"/>
      <c r="E516" s="456"/>
      <c r="F516" s="459"/>
      <c r="G516" s="459"/>
      <c r="H516" s="461"/>
      <c r="I516" s="460"/>
      <c r="J516" s="460"/>
      <c r="K516" s="459"/>
      <c r="L516" s="3986"/>
      <c r="M516" s="3986"/>
      <c r="O516" s="458"/>
      <c r="P516" s="456"/>
      <c r="Q516" s="456"/>
      <c r="R516" s="457"/>
      <c r="S516" s="455"/>
      <c r="T516" s="456"/>
      <c r="U516" s="455"/>
    </row>
    <row r="517" spans="2:21" s="454" customFormat="1" ht="10.199999999999999" customHeight="1">
      <c r="B517" s="455"/>
      <c r="C517" s="455"/>
      <c r="E517" s="456"/>
      <c r="F517" s="459"/>
      <c r="G517" s="459"/>
      <c r="H517" s="461"/>
      <c r="I517" s="460"/>
      <c r="J517" s="460"/>
      <c r="K517" s="459"/>
      <c r="L517" s="3986"/>
      <c r="M517" s="3986"/>
      <c r="O517" s="458"/>
      <c r="P517" s="456"/>
      <c r="Q517" s="456"/>
      <c r="R517" s="457"/>
      <c r="S517" s="455"/>
      <c r="T517" s="456"/>
      <c r="U517" s="455"/>
    </row>
    <row r="518" spans="2:21" s="454" customFormat="1" ht="10.199999999999999" customHeight="1">
      <c r="B518" s="455"/>
      <c r="C518" s="455"/>
      <c r="E518" s="456"/>
      <c r="F518" s="459"/>
      <c r="G518" s="459"/>
      <c r="H518" s="461"/>
      <c r="I518" s="460"/>
      <c r="J518" s="460"/>
      <c r="K518" s="459"/>
      <c r="L518" s="3986"/>
      <c r="M518" s="3986"/>
      <c r="O518" s="458"/>
      <c r="P518" s="456"/>
      <c r="Q518" s="456"/>
      <c r="R518" s="457"/>
      <c r="S518" s="455"/>
      <c r="T518" s="456"/>
      <c r="U518" s="455"/>
    </row>
    <row r="519" spans="2:21" s="454" customFormat="1" ht="10.199999999999999" customHeight="1">
      <c r="B519" s="455"/>
      <c r="C519" s="455"/>
      <c r="E519" s="456"/>
      <c r="F519" s="459"/>
      <c r="G519" s="459"/>
      <c r="H519" s="461"/>
      <c r="I519" s="460"/>
      <c r="J519" s="460"/>
      <c r="K519" s="459"/>
      <c r="L519" s="3986"/>
      <c r="M519" s="3986"/>
      <c r="O519" s="458"/>
      <c r="P519" s="456"/>
      <c r="Q519" s="456"/>
      <c r="R519" s="457"/>
      <c r="S519" s="455"/>
      <c r="T519" s="456"/>
      <c r="U519" s="455"/>
    </row>
    <row r="520" spans="2:21" s="454" customFormat="1" ht="10.199999999999999" customHeight="1">
      <c r="B520" s="455"/>
      <c r="C520" s="455"/>
      <c r="E520" s="456"/>
      <c r="F520" s="459"/>
      <c r="G520" s="459"/>
      <c r="H520" s="461"/>
      <c r="I520" s="460"/>
      <c r="J520" s="460"/>
      <c r="K520" s="459"/>
      <c r="L520" s="3986"/>
      <c r="M520" s="3986"/>
      <c r="O520" s="458"/>
      <c r="P520" s="456"/>
      <c r="Q520" s="456"/>
      <c r="R520" s="457"/>
      <c r="S520" s="455"/>
      <c r="T520" s="456"/>
      <c r="U520" s="455"/>
    </row>
    <row r="521" spans="2:21" s="454" customFormat="1" ht="10.199999999999999" customHeight="1">
      <c r="B521" s="455"/>
      <c r="C521" s="455"/>
      <c r="E521" s="456"/>
      <c r="F521" s="459"/>
      <c r="G521" s="459"/>
      <c r="H521" s="461"/>
      <c r="I521" s="460"/>
      <c r="J521" s="460"/>
      <c r="K521" s="459"/>
      <c r="L521" s="3986"/>
      <c r="M521" s="3986"/>
      <c r="O521" s="458"/>
      <c r="P521" s="456"/>
      <c r="Q521" s="456"/>
      <c r="R521" s="457"/>
      <c r="S521" s="455"/>
      <c r="T521" s="456"/>
      <c r="U521" s="455"/>
    </row>
    <row r="522" spans="2:21" s="454" customFormat="1" ht="10.199999999999999" customHeight="1">
      <c r="B522" s="455"/>
      <c r="C522" s="455"/>
      <c r="E522" s="456"/>
      <c r="F522" s="459"/>
      <c r="G522" s="459"/>
      <c r="H522" s="461"/>
      <c r="I522" s="460"/>
      <c r="J522" s="460"/>
      <c r="K522" s="459"/>
      <c r="L522" s="3986"/>
      <c r="M522" s="3986"/>
      <c r="O522" s="458"/>
      <c r="P522" s="456"/>
      <c r="Q522" s="456"/>
      <c r="R522" s="457"/>
      <c r="S522" s="455"/>
      <c r="T522" s="456"/>
      <c r="U522" s="455"/>
    </row>
    <row r="523" spans="2:21" s="454" customFormat="1" ht="10.199999999999999" customHeight="1">
      <c r="B523" s="455"/>
      <c r="C523" s="455"/>
      <c r="E523" s="456"/>
      <c r="F523" s="459"/>
      <c r="G523" s="459"/>
      <c r="H523" s="461"/>
      <c r="I523" s="460"/>
      <c r="J523" s="460"/>
      <c r="K523" s="459"/>
      <c r="L523" s="3986"/>
      <c r="M523" s="3986"/>
      <c r="O523" s="458"/>
      <c r="P523" s="456"/>
      <c r="Q523" s="456"/>
      <c r="R523" s="457"/>
      <c r="S523" s="455"/>
      <c r="T523" s="456"/>
      <c r="U523" s="455"/>
    </row>
    <row r="524" spans="2:21" s="454" customFormat="1" ht="10.199999999999999" customHeight="1">
      <c r="B524" s="455"/>
      <c r="C524" s="455"/>
      <c r="E524" s="456"/>
      <c r="F524" s="459"/>
      <c r="G524" s="459"/>
      <c r="H524" s="461"/>
      <c r="I524" s="460"/>
      <c r="J524" s="460"/>
      <c r="K524" s="459"/>
      <c r="L524" s="3986"/>
      <c r="M524" s="3986"/>
      <c r="O524" s="458"/>
      <c r="P524" s="456"/>
      <c r="Q524" s="456"/>
      <c r="R524" s="457"/>
      <c r="S524" s="455"/>
      <c r="T524" s="456"/>
      <c r="U524" s="455"/>
    </row>
    <row r="525" spans="2:21" s="454" customFormat="1" ht="10.199999999999999" customHeight="1">
      <c r="B525" s="455"/>
      <c r="C525" s="455"/>
      <c r="E525" s="456"/>
      <c r="F525" s="459"/>
      <c r="G525" s="459"/>
      <c r="H525" s="461"/>
      <c r="I525" s="460"/>
      <c r="J525" s="460"/>
      <c r="K525" s="459"/>
      <c r="L525" s="3986"/>
      <c r="M525" s="3986"/>
      <c r="O525" s="458"/>
      <c r="P525" s="456"/>
      <c r="Q525" s="456"/>
      <c r="R525" s="457"/>
      <c r="S525" s="455"/>
      <c r="T525" s="456"/>
      <c r="U525" s="455"/>
    </row>
    <row r="526" spans="2:21" s="454" customFormat="1" ht="10.199999999999999" customHeight="1">
      <c r="B526" s="455"/>
      <c r="C526" s="455"/>
      <c r="E526" s="456"/>
      <c r="F526" s="459"/>
      <c r="G526" s="459"/>
      <c r="H526" s="461"/>
      <c r="I526" s="460"/>
      <c r="J526" s="460"/>
      <c r="K526" s="459"/>
      <c r="L526" s="3986"/>
      <c r="M526" s="3986"/>
      <c r="O526" s="458"/>
      <c r="P526" s="456"/>
      <c r="Q526" s="456"/>
      <c r="R526" s="457"/>
      <c r="S526" s="455"/>
      <c r="T526" s="456"/>
      <c r="U526" s="455"/>
    </row>
    <row r="527" spans="2:21" s="454" customFormat="1" ht="10.199999999999999" customHeight="1">
      <c r="B527" s="455"/>
      <c r="C527" s="455"/>
      <c r="E527" s="456"/>
      <c r="F527" s="459"/>
      <c r="G527" s="459"/>
      <c r="H527" s="461"/>
      <c r="I527" s="460"/>
      <c r="J527" s="460"/>
      <c r="K527" s="459"/>
      <c r="L527" s="3986"/>
      <c r="M527" s="3986"/>
      <c r="O527" s="458"/>
      <c r="P527" s="456"/>
      <c r="Q527" s="456"/>
      <c r="R527" s="457"/>
      <c r="S527" s="455"/>
      <c r="T527" s="456"/>
      <c r="U527" s="455"/>
    </row>
    <row r="528" spans="2:21" s="454" customFormat="1" ht="10.199999999999999" customHeight="1">
      <c r="B528" s="455"/>
      <c r="C528" s="455"/>
      <c r="E528" s="456"/>
      <c r="F528" s="459"/>
      <c r="G528" s="459"/>
      <c r="H528" s="461"/>
      <c r="I528" s="460"/>
      <c r="J528" s="460"/>
      <c r="K528" s="459"/>
      <c r="L528" s="3986"/>
      <c r="M528" s="3986"/>
      <c r="O528" s="458"/>
      <c r="P528" s="456"/>
      <c r="Q528" s="456"/>
      <c r="R528" s="457"/>
      <c r="S528" s="455"/>
      <c r="T528" s="456"/>
      <c r="U528" s="455"/>
    </row>
    <row r="529" spans="2:21" s="454" customFormat="1" ht="10.199999999999999" customHeight="1">
      <c r="B529" s="455"/>
      <c r="C529" s="455"/>
      <c r="E529" s="456"/>
      <c r="F529" s="459"/>
      <c r="G529" s="459"/>
      <c r="H529" s="461"/>
      <c r="I529" s="460"/>
      <c r="J529" s="460"/>
      <c r="K529" s="459"/>
      <c r="L529" s="3986"/>
      <c r="M529" s="3986"/>
      <c r="O529" s="458"/>
      <c r="P529" s="456"/>
      <c r="Q529" s="456"/>
      <c r="R529" s="457"/>
      <c r="S529" s="455"/>
      <c r="T529" s="456"/>
      <c r="U529" s="455"/>
    </row>
    <row r="530" spans="2:21" s="454" customFormat="1" ht="10.199999999999999" customHeight="1">
      <c r="B530" s="455"/>
      <c r="C530" s="455"/>
      <c r="E530" s="456"/>
      <c r="F530" s="459"/>
      <c r="G530" s="459"/>
      <c r="H530" s="461"/>
      <c r="I530" s="460"/>
      <c r="J530" s="460"/>
      <c r="K530" s="459"/>
      <c r="L530" s="3986"/>
      <c r="M530" s="3986"/>
      <c r="O530" s="458"/>
      <c r="P530" s="456"/>
      <c r="Q530" s="456"/>
      <c r="R530" s="457"/>
      <c r="S530" s="455"/>
      <c r="T530" s="456"/>
      <c r="U530" s="455"/>
    </row>
    <row r="531" spans="2:21" s="454" customFormat="1" ht="10.199999999999999" customHeight="1">
      <c r="B531" s="455"/>
      <c r="C531" s="455"/>
      <c r="E531" s="456"/>
      <c r="F531" s="459"/>
      <c r="G531" s="459"/>
      <c r="H531" s="461"/>
      <c r="I531" s="460"/>
      <c r="J531" s="460"/>
      <c r="K531" s="459"/>
      <c r="L531" s="3986"/>
      <c r="M531" s="3986"/>
      <c r="O531" s="458"/>
      <c r="P531" s="456"/>
      <c r="Q531" s="456"/>
      <c r="R531" s="457"/>
      <c r="S531" s="455"/>
      <c r="T531" s="456"/>
      <c r="U531" s="455"/>
    </row>
    <row r="532" spans="2:21" s="454" customFormat="1" ht="10.199999999999999" customHeight="1">
      <c r="B532" s="455"/>
      <c r="C532" s="455"/>
      <c r="E532" s="456"/>
      <c r="F532" s="459"/>
      <c r="G532" s="459"/>
      <c r="H532" s="461"/>
      <c r="I532" s="460"/>
      <c r="J532" s="460"/>
      <c r="K532" s="459"/>
      <c r="L532" s="3986"/>
      <c r="M532" s="3986"/>
      <c r="O532" s="458"/>
      <c r="P532" s="456"/>
      <c r="Q532" s="456"/>
      <c r="R532" s="457"/>
      <c r="S532" s="455"/>
      <c r="T532" s="456"/>
      <c r="U532" s="455"/>
    </row>
    <row r="533" spans="2:21" s="454" customFormat="1" ht="10.199999999999999" customHeight="1">
      <c r="B533" s="455"/>
      <c r="C533" s="455"/>
      <c r="E533" s="456"/>
      <c r="F533" s="459"/>
      <c r="G533" s="459"/>
      <c r="H533" s="461"/>
      <c r="I533" s="460"/>
      <c r="J533" s="460"/>
      <c r="K533" s="459"/>
      <c r="L533" s="3986"/>
      <c r="M533" s="3986"/>
      <c r="O533" s="458"/>
      <c r="P533" s="456"/>
      <c r="Q533" s="456"/>
      <c r="R533" s="457"/>
      <c r="S533" s="455"/>
      <c r="T533" s="456"/>
      <c r="U533" s="455"/>
    </row>
    <row r="534" spans="2:21" s="454" customFormat="1" ht="10.199999999999999" customHeight="1">
      <c r="B534" s="455"/>
      <c r="C534" s="455"/>
      <c r="E534" s="456"/>
      <c r="F534" s="459"/>
      <c r="G534" s="459"/>
      <c r="H534" s="461"/>
      <c r="I534" s="460"/>
      <c r="J534" s="460"/>
      <c r="K534" s="459"/>
      <c r="L534" s="3986"/>
      <c r="M534" s="3986"/>
      <c r="O534" s="458"/>
      <c r="P534" s="456"/>
      <c r="Q534" s="456"/>
      <c r="R534" s="457"/>
      <c r="S534" s="455"/>
      <c r="T534" s="456"/>
      <c r="U534" s="455"/>
    </row>
    <row r="535" spans="2:21" s="454" customFormat="1" ht="10.199999999999999" customHeight="1">
      <c r="B535" s="455"/>
      <c r="C535" s="455"/>
      <c r="E535" s="456"/>
      <c r="F535" s="459"/>
      <c r="G535" s="459"/>
      <c r="H535" s="461"/>
      <c r="I535" s="460"/>
      <c r="J535" s="460"/>
      <c r="K535" s="459"/>
      <c r="L535" s="3986"/>
      <c r="M535" s="3986"/>
      <c r="O535" s="458"/>
      <c r="P535" s="456"/>
      <c r="Q535" s="456"/>
      <c r="R535" s="457"/>
      <c r="S535" s="455"/>
      <c r="T535" s="456"/>
      <c r="U535" s="455"/>
    </row>
    <row r="536" spans="2:21" s="454" customFormat="1" ht="10.199999999999999" customHeight="1">
      <c r="B536" s="455"/>
      <c r="C536" s="455"/>
      <c r="E536" s="456"/>
      <c r="F536" s="459"/>
      <c r="G536" s="459"/>
      <c r="H536" s="461"/>
      <c r="I536" s="460"/>
      <c r="J536" s="460"/>
      <c r="K536" s="459"/>
      <c r="L536" s="3986"/>
      <c r="M536" s="3986"/>
      <c r="O536" s="458"/>
      <c r="P536" s="456"/>
      <c r="Q536" s="456"/>
      <c r="R536" s="457"/>
      <c r="S536" s="455"/>
      <c r="T536" s="456"/>
      <c r="U536" s="455"/>
    </row>
    <row r="537" spans="2:21" s="454" customFormat="1" ht="10.199999999999999" customHeight="1">
      <c r="B537" s="455"/>
      <c r="C537" s="455"/>
      <c r="E537" s="456"/>
      <c r="F537" s="459"/>
      <c r="G537" s="459"/>
      <c r="H537" s="461"/>
      <c r="I537" s="460"/>
      <c r="J537" s="460"/>
      <c r="K537" s="459"/>
      <c r="L537" s="3986"/>
      <c r="M537" s="3986"/>
      <c r="O537" s="458"/>
      <c r="P537" s="456"/>
      <c r="Q537" s="456"/>
      <c r="R537" s="457"/>
      <c r="S537" s="455"/>
      <c r="T537" s="456"/>
      <c r="U537" s="455"/>
    </row>
    <row r="538" spans="2:21" s="454" customFormat="1" ht="10.199999999999999" customHeight="1">
      <c r="B538" s="455"/>
      <c r="C538" s="455"/>
      <c r="E538" s="456"/>
      <c r="F538" s="459"/>
      <c r="G538" s="459"/>
      <c r="H538" s="461"/>
      <c r="I538" s="460"/>
      <c r="J538" s="460"/>
      <c r="K538" s="459"/>
      <c r="L538" s="3986"/>
      <c r="M538" s="3986"/>
      <c r="O538" s="458"/>
      <c r="P538" s="456"/>
      <c r="Q538" s="456"/>
      <c r="R538" s="457"/>
      <c r="S538" s="455"/>
      <c r="T538" s="456"/>
      <c r="U538" s="455"/>
    </row>
    <row r="539" spans="2:21" s="454" customFormat="1" ht="10.199999999999999" customHeight="1">
      <c r="B539" s="455"/>
      <c r="C539" s="455"/>
      <c r="E539" s="456"/>
      <c r="F539" s="459"/>
      <c r="G539" s="459"/>
      <c r="H539" s="461"/>
      <c r="I539" s="460"/>
      <c r="J539" s="460"/>
      <c r="K539" s="459"/>
      <c r="L539" s="3986"/>
      <c r="M539" s="3986"/>
      <c r="O539" s="458"/>
      <c r="P539" s="456"/>
      <c r="Q539" s="456"/>
      <c r="R539" s="457"/>
      <c r="S539" s="455"/>
      <c r="T539" s="456"/>
      <c r="U539" s="455"/>
    </row>
    <row r="540" spans="2:21" s="454" customFormat="1" ht="10.199999999999999" customHeight="1">
      <c r="B540" s="455"/>
      <c r="C540" s="455"/>
      <c r="E540" s="456"/>
      <c r="F540" s="459"/>
      <c r="G540" s="459"/>
      <c r="H540" s="461"/>
      <c r="I540" s="460"/>
      <c r="J540" s="460"/>
      <c r="K540" s="459"/>
      <c r="L540" s="3986"/>
      <c r="M540" s="3986"/>
      <c r="O540" s="458"/>
      <c r="P540" s="456"/>
      <c r="Q540" s="456"/>
      <c r="R540" s="457"/>
      <c r="S540" s="455"/>
      <c r="T540" s="456"/>
      <c r="U540" s="455"/>
    </row>
    <row r="541" spans="2:21" s="454" customFormat="1" ht="10.199999999999999" customHeight="1">
      <c r="B541" s="455"/>
      <c r="C541" s="455"/>
      <c r="E541" s="456"/>
      <c r="F541" s="459"/>
      <c r="G541" s="459"/>
      <c r="H541" s="461"/>
      <c r="I541" s="460"/>
      <c r="J541" s="460"/>
      <c r="K541" s="459"/>
      <c r="L541" s="3986"/>
      <c r="M541" s="3986"/>
      <c r="O541" s="458"/>
      <c r="P541" s="456"/>
      <c r="Q541" s="456"/>
      <c r="R541" s="457"/>
      <c r="S541" s="455"/>
      <c r="T541" s="456"/>
      <c r="U541" s="455"/>
    </row>
    <row r="542" spans="2:21" s="454" customFormat="1" ht="10.199999999999999" customHeight="1">
      <c r="B542" s="455"/>
      <c r="C542" s="455"/>
      <c r="E542" s="456"/>
      <c r="F542" s="459"/>
      <c r="G542" s="459"/>
      <c r="H542" s="461"/>
      <c r="I542" s="460"/>
      <c r="J542" s="460"/>
      <c r="K542" s="459"/>
      <c r="L542" s="3986"/>
      <c r="M542" s="3986"/>
      <c r="O542" s="458"/>
      <c r="P542" s="456"/>
      <c r="Q542" s="456"/>
      <c r="R542" s="457"/>
      <c r="S542" s="455"/>
      <c r="T542" s="456"/>
      <c r="U542" s="455"/>
    </row>
    <row r="543" spans="2:21" s="454" customFormat="1" ht="10.199999999999999" customHeight="1">
      <c r="B543" s="455"/>
      <c r="C543" s="455"/>
      <c r="E543" s="456"/>
      <c r="F543" s="459"/>
      <c r="G543" s="459"/>
      <c r="H543" s="461"/>
      <c r="I543" s="460"/>
      <c r="J543" s="460"/>
      <c r="K543" s="459"/>
      <c r="L543" s="3986"/>
      <c r="M543" s="3986"/>
      <c r="O543" s="458"/>
      <c r="P543" s="456"/>
      <c r="Q543" s="456"/>
      <c r="R543" s="457"/>
      <c r="S543" s="455"/>
      <c r="T543" s="456"/>
      <c r="U543" s="455"/>
    </row>
    <row r="544" spans="2:21" s="454" customFormat="1" ht="10.199999999999999" customHeight="1">
      <c r="B544" s="455"/>
      <c r="C544" s="455"/>
      <c r="E544" s="456"/>
      <c r="F544" s="459"/>
      <c r="G544" s="459"/>
      <c r="H544" s="461"/>
      <c r="I544" s="460"/>
      <c r="J544" s="460"/>
      <c r="K544" s="459"/>
      <c r="L544" s="3986"/>
      <c r="M544" s="3986"/>
      <c r="O544" s="458"/>
      <c r="P544" s="456"/>
      <c r="Q544" s="456"/>
      <c r="R544" s="457"/>
      <c r="S544" s="455"/>
      <c r="T544" s="456"/>
      <c r="U544" s="455"/>
    </row>
    <row r="545" spans="2:21" s="454" customFormat="1" ht="10.199999999999999" customHeight="1">
      <c r="B545" s="455"/>
      <c r="C545" s="455"/>
      <c r="E545" s="456"/>
      <c r="F545" s="459"/>
      <c r="G545" s="459"/>
      <c r="H545" s="461"/>
      <c r="I545" s="460"/>
      <c r="J545" s="460"/>
      <c r="K545" s="459"/>
      <c r="L545" s="3986"/>
      <c r="M545" s="3986"/>
      <c r="O545" s="458"/>
      <c r="P545" s="456"/>
      <c r="Q545" s="456"/>
      <c r="R545" s="457"/>
      <c r="S545" s="455"/>
      <c r="T545" s="456"/>
      <c r="U545" s="455"/>
    </row>
    <row r="546" spans="2:21" s="454" customFormat="1" ht="10.199999999999999" customHeight="1">
      <c r="B546" s="455"/>
      <c r="C546" s="455"/>
      <c r="E546" s="456"/>
      <c r="F546" s="459"/>
      <c r="G546" s="459"/>
      <c r="H546" s="461"/>
      <c r="I546" s="460"/>
      <c r="J546" s="460"/>
      <c r="K546" s="459"/>
      <c r="L546" s="3986"/>
      <c r="M546" s="3986"/>
      <c r="O546" s="458"/>
      <c r="P546" s="456"/>
      <c r="Q546" s="456"/>
      <c r="R546" s="457"/>
      <c r="S546" s="455"/>
      <c r="T546" s="456"/>
      <c r="U546" s="455"/>
    </row>
    <row r="547" spans="2:21" s="454" customFormat="1" ht="10.199999999999999" customHeight="1">
      <c r="B547" s="455"/>
      <c r="C547" s="455"/>
      <c r="E547" s="456"/>
      <c r="F547" s="459"/>
      <c r="G547" s="459"/>
      <c r="H547" s="461"/>
      <c r="I547" s="460"/>
      <c r="J547" s="460"/>
      <c r="K547" s="459"/>
      <c r="L547" s="3986"/>
      <c r="M547" s="3986"/>
      <c r="O547" s="458"/>
      <c r="P547" s="456"/>
      <c r="Q547" s="456"/>
      <c r="R547" s="457"/>
      <c r="S547" s="455"/>
      <c r="T547" s="456"/>
      <c r="U547" s="455"/>
    </row>
    <row r="548" spans="2:21" s="454" customFormat="1" ht="10.199999999999999" customHeight="1">
      <c r="B548" s="455"/>
      <c r="C548" s="455"/>
      <c r="E548" s="456"/>
      <c r="F548" s="459"/>
      <c r="G548" s="459"/>
      <c r="H548" s="461"/>
      <c r="I548" s="460"/>
      <c r="J548" s="460"/>
      <c r="K548" s="459"/>
      <c r="L548" s="3986"/>
      <c r="M548" s="3986"/>
      <c r="O548" s="458"/>
      <c r="P548" s="456"/>
      <c r="Q548" s="456"/>
      <c r="R548" s="457"/>
      <c r="S548" s="455"/>
      <c r="T548" s="456"/>
      <c r="U548" s="455"/>
    </row>
    <row r="549" spans="2:21" s="454" customFormat="1" ht="10.199999999999999" customHeight="1">
      <c r="B549" s="455"/>
      <c r="C549" s="455"/>
      <c r="E549" s="456"/>
      <c r="F549" s="459"/>
      <c r="G549" s="459"/>
      <c r="H549" s="461"/>
      <c r="I549" s="460"/>
      <c r="J549" s="460"/>
      <c r="K549" s="459"/>
      <c r="L549" s="3986"/>
      <c r="M549" s="3986"/>
      <c r="O549" s="458"/>
      <c r="P549" s="456"/>
      <c r="Q549" s="456"/>
      <c r="R549" s="457"/>
      <c r="S549" s="455"/>
      <c r="T549" s="456"/>
      <c r="U549" s="455"/>
    </row>
    <row r="550" spans="2:21" s="454" customFormat="1" ht="10.199999999999999" customHeight="1">
      <c r="B550" s="455"/>
      <c r="C550" s="455"/>
      <c r="E550" s="456"/>
      <c r="F550" s="459"/>
      <c r="G550" s="459"/>
      <c r="H550" s="461"/>
      <c r="I550" s="460"/>
      <c r="J550" s="460"/>
      <c r="K550" s="459"/>
      <c r="L550" s="3986"/>
      <c r="M550" s="3986"/>
      <c r="O550" s="458"/>
      <c r="P550" s="456"/>
      <c r="Q550" s="456"/>
      <c r="R550" s="457"/>
      <c r="S550" s="455"/>
      <c r="T550" s="456"/>
      <c r="U550" s="455"/>
    </row>
    <row r="551" spans="2:21" s="454" customFormat="1" ht="10.199999999999999" customHeight="1">
      <c r="B551" s="455"/>
      <c r="C551" s="455"/>
      <c r="E551" s="456"/>
      <c r="F551" s="459"/>
      <c r="G551" s="459"/>
      <c r="H551" s="461"/>
      <c r="I551" s="460"/>
      <c r="J551" s="460"/>
      <c r="K551" s="459"/>
      <c r="L551" s="3986"/>
      <c r="M551" s="3986"/>
      <c r="O551" s="458"/>
      <c r="P551" s="456"/>
      <c r="Q551" s="456"/>
      <c r="R551" s="457"/>
      <c r="S551" s="455"/>
      <c r="T551" s="456"/>
      <c r="U551" s="455"/>
    </row>
    <row r="552" spans="2:21" s="454" customFormat="1" ht="10.199999999999999" customHeight="1">
      <c r="B552" s="455"/>
      <c r="C552" s="455"/>
      <c r="E552" s="456"/>
      <c r="F552" s="459"/>
      <c r="G552" s="459"/>
      <c r="H552" s="461"/>
      <c r="I552" s="460"/>
      <c r="J552" s="460"/>
      <c r="K552" s="459"/>
      <c r="L552" s="3986"/>
      <c r="M552" s="3986"/>
      <c r="O552" s="458"/>
      <c r="P552" s="456"/>
      <c r="Q552" s="456"/>
      <c r="R552" s="457"/>
      <c r="S552" s="455"/>
      <c r="T552" s="456"/>
      <c r="U552" s="455"/>
    </row>
    <row r="553" spans="2:21" s="454" customFormat="1" ht="10.199999999999999" customHeight="1">
      <c r="B553" s="455"/>
      <c r="C553" s="455"/>
      <c r="E553" s="456"/>
      <c r="F553" s="459"/>
      <c r="G553" s="459"/>
      <c r="H553" s="461"/>
      <c r="I553" s="460"/>
      <c r="J553" s="460"/>
      <c r="K553" s="459"/>
      <c r="L553" s="3986"/>
      <c r="M553" s="3986"/>
      <c r="O553" s="458"/>
      <c r="P553" s="456"/>
      <c r="Q553" s="456"/>
      <c r="R553" s="457"/>
      <c r="S553" s="455"/>
      <c r="T553" s="456"/>
      <c r="U553" s="455"/>
    </row>
    <row r="554" spans="2:21" s="454" customFormat="1" ht="10.199999999999999" customHeight="1">
      <c r="B554" s="455"/>
      <c r="C554" s="455"/>
      <c r="E554" s="456"/>
      <c r="F554" s="459"/>
      <c r="G554" s="459"/>
      <c r="H554" s="461"/>
      <c r="I554" s="460"/>
      <c r="J554" s="460"/>
      <c r="K554" s="459"/>
      <c r="L554" s="3986"/>
      <c r="M554" s="3986"/>
      <c r="O554" s="458"/>
      <c r="P554" s="456"/>
      <c r="Q554" s="456"/>
      <c r="R554" s="457"/>
      <c r="S554" s="455"/>
      <c r="T554" s="456"/>
      <c r="U554" s="455"/>
    </row>
    <row r="555" spans="2:21" s="454" customFormat="1" ht="10.199999999999999" customHeight="1">
      <c r="B555" s="455"/>
      <c r="C555" s="455"/>
      <c r="E555" s="456"/>
      <c r="F555" s="459"/>
      <c r="G555" s="459"/>
      <c r="H555" s="461"/>
      <c r="I555" s="460"/>
      <c r="J555" s="460"/>
      <c r="K555" s="459"/>
      <c r="L555" s="3986"/>
      <c r="M555" s="3986"/>
      <c r="O555" s="458"/>
      <c r="P555" s="456"/>
      <c r="Q555" s="456"/>
      <c r="R555" s="457"/>
      <c r="S555" s="455"/>
      <c r="T555" s="456"/>
      <c r="U555" s="455"/>
    </row>
    <row r="556" spans="2:21" s="454" customFormat="1" ht="10.199999999999999" customHeight="1">
      <c r="B556" s="455"/>
      <c r="C556" s="455"/>
      <c r="E556" s="456"/>
      <c r="F556" s="459"/>
      <c r="G556" s="459"/>
      <c r="H556" s="461"/>
      <c r="I556" s="460"/>
      <c r="J556" s="460"/>
      <c r="K556" s="459"/>
      <c r="L556" s="3986"/>
      <c r="M556" s="3986"/>
      <c r="O556" s="458"/>
      <c r="P556" s="456"/>
      <c r="Q556" s="456"/>
      <c r="R556" s="457"/>
      <c r="S556" s="455"/>
      <c r="T556" s="456"/>
      <c r="U556" s="455"/>
    </row>
    <row r="557" spans="2:21" s="454" customFormat="1" ht="10.199999999999999" customHeight="1">
      <c r="B557" s="455"/>
      <c r="C557" s="455"/>
      <c r="E557" s="456"/>
      <c r="F557" s="459"/>
      <c r="G557" s="459"/>
      <c r="H557" s="461"/>
      <c r="I557" s="460"/>
      <c r="J557" s="460"/>
      <c r="K557" s="459"/>
      <c r="L557" s="3986"/>
      <c r="M557" s="3986"/>
      <c r="O557" s="458"/>
      <c r="P557" s="456"/>
      <c r="Q557" s="456"/>
      <c r="R557" s="457"/>
      <c r="S557" s="455"/>
      <c r="T557" s="456"/>
      <c r="U557" s="455"/>
    </row>
    <row r="558" spans="2:21" s="454" customFormat="1" ht="10.199999999999999" customHeight="1">
      <c r="B558" s="455"/>
      <c r="C558" s="455"/>
      <c r="E558" s="456"/>
      <c r="F558" s="459"/>
      <c r="G558" s="459"/>
      <c r="H558" s="461"/>
      <c r="I558" s="460"/>
      <c r="J558" s="460"/>
      <c r="K558" s="459"/>
      <c r="L558" s="3986"/>
      <c r="M558" s="3986"/>
      <c r="O558" s="458"/>
      <c r="P558" s="456"/>
      <c r="Q558" s="456"/>
      <c r="R558" s="457"/>
      <c r="S558" s="455"/>
      <c r="T558" s="456"/>
      <c r="U558" s="455"/>
    </row>
    <row r="559" spans="2:21" s="454" customFormat="1" ht="10.199999999999999" customHeight="1">
      <c r="B559" s="455"/>
      <c r="C559" s="455"/>
      <c r="E559" s="456"/>
      <c r="F559" s="459"/>
      <c r="G559" s="459"/>
      <c r="H559" s="461"/>
      <c r="I559" s="460"/>
      <c r="J559" s="460"/>
      <c r="K559" s="459"/>
      <c r="L559" s="3986"/>
      <c r="M559" s="3986"/>
      <c r="O559" s="458"/>
      <c r="P559" s="456"/>
      <c r="Q559" s="456"/>
      <c r="R559" s="457"/>
      <c r="S559" s="455"/>
      <c r="T559" s="456"/>
      <c r="U559" s="455"/>
    </row>
    <row r="560" spans="2:21" s="454" customFormat="1" ht="10.199999999999999" customHeight="1">
      <c r="B560" s="455"/>
      <c r="C560" s="455"/>
      <c r="E560" s="456"/>
      <c r="F560" s="459"/>
      <c r="G560" s="459"/>
      <c r="H560" s="461"/>
      <c r="I560" s="460"/>
      <c r="J560" s="460"/>
      <c r="K560" s="459"/>
      <c r="L560" s="3986"/>
      <c r="M560" s="3986"/>
      <c r="O560" s="458"/>
      <c r="P560" s="456"/>
      <c r="Q560" s="456"/>
      <c r="R560" s="457"/>
      <c r="S560" s="455"/>
      <c r="T560" s="456"/>
      <c r="U560" s="455"/>
    </row>
    <row r="561" spans="2:21" s="454" customFormat="1" ht="10.199999999999999" customHeight="1">
      <c r="B561" s="455"/>
      <c r="C561" s="455"/>
      <c r="E561" s="456"/>
      <c r="F561" s="459"/>
      <c r="G561" s="459"/>
      <c r="H561" s="461"/>
      <c r="I561" s="460"/>
      <c r="J561" s="460"/>
      <c r="K561" s="459"/>
      <c r="L561" s="3986"/>
      <c r="M561" s="3986"/>
      <c r="O561" s="458"/>
      <c r="P561" s="456"/>
      <c r="Q561" s="456"/>
      <c r="R561" s="457"/>
      <c r="S561" s="455"/>
      <c r="T561" s="456"/>
      <c r="U561" s="455"/>
    </row>
    <row r="562" spans="2:21" s="454" customFormat="1" ht="10.199999999999999" customHeight="1">
      <c r="B562" s="455"/>
      <c r="C562" s="455"/>
      <c r="E562" s="456"/>
      <c r="F562" s="459"/>
      <c r="G562" s="459"/>
      <c r="H562" s="461"/>
      <c r="I562" s="460"/>
      <c r="J562" s="460"/>
      <c r="K562" s="459"/>
      <c r="L562" s="3986"/>
      <c r="M562" s="3986"/>
      <c r="O562" s="458"/>
      <c r="P562" s="456"/>
      <c r="Q562" s="456"/>
      <c r="R562" s="457"/>
      <c r="S562" s="455"/>
      <c r="T562" s="456"/>
      <c r="U562" s="455"/>
    </row>
    <row r="563" spans="2:21" s="454" customFormat="1" ht="10.199999999999999" customHeight="1">
      <c r="B563" s="455"/>
      <c r="C563" s="455"/>
      <c r="E563" s="456"/>
      <c r="F563" s="459"/>
      <c r="G563" s="459"/>
      <c r="H563" s="461"/>
      <c r="I563" s="460"/>
      <c r="J563" s="460"/>
      <c r="K563" s="459"/>
      <c r="L563" s="3986"/>
      <c r="M563" s="3986"/>
      <c r="O563" s="458"/>
      <c r="P563" s="456"/>
      <c r="Q563" s="456"/>
      <c r="R563" s="457"/>
      <c r="S563" s="455"/>
      <c r="T563" s="456"/>
      <c r="U563" s="455"/>
    </row>
    <row r="564" spans="2:21" s="454" customFormat="1" ht="10.199999999999999" customHeight="1">
      <c r="B564" s="455"/>
      <c r="C564" s="455"/>
      <c r="E564" s="456"/>
      <c r="F564" s="459"/>
      <c r="G564" s="459"/>
      <c r="H564" s="461"/>
      <c r="I564" s="460"/>
      <c r="J564" s="460"/>
      <c r="K564" s="459"/>
      <c r="L564" s="3986"/>
      <c r="M564" s="3986"/>
      <c r="O564" s="458"/>
      <c r="P564" s="456"/>
      <c r="Q564" s="456"/>
      <c r="R564" s="457"/>
      <c r="S564" s="455"/>
      <c r="T564" s="456"/>
      <c r="U564" s="455"/>
    </row>
    <row r="565" spans="2:21" s="454" customFormat="1" ht="10.199999999999999" customHeight="1">
      <c r="B565" s="455"/>
      <c r="C565" s="455"/>
      <c r="E565" s="456"/>
      <c r="F565" s="459"/>
      <c r="G565" s="459"/>
      <c r="H565" s="461"/>
      <c r="I565" s="460"/>
      <c r="J565" s="460"/>
      <c r="K565" s="459"/>
      <c r="L565" s="3986"/>
      <c r="M565" s="3986"/>
      <c r="O565" s="458"/>
      <c r="P565" s="456"/>
      <c r="Q565" s="456"/>
      <c r="R565" s="457"/>
      <c r="S565" s="455"/>
      <c r="T565" s="456"/>
      <c r="U565" s="455"/>
    </row>
    <row r="566" spans="2:21" s="454" customFormat="1" ht="10.199999999999999" customHeight="1">
      <c r="B566" s="455"/>
      <c r="C566" s="455"/>
      <c r="E566" s="456"/>
      <c r="F566" s="459"/>
      <c r="G566" s="459"/>
      <c r="H566" s="461"/>
      <c r="I566" s="460"/>
      <c r="J566" s="460"/>
      <c r="K566" s="459"/>
      <c r="L566" s="3986"/>
      <c r="M566" s="3986"/>
      <c r="O566" s="458"/>
      <c r="P566" s="456"/>
      <c r="Q566" s="456"/>
      <c r="R566" s="457"/>
      <c r="S566" s="455"/>
      <c r="T566" s="456"/>
      <c r="U566" s="455"/>
    </row>
    <row r="567" spans="2:21" s="454" customFormat="1" ht="10.199999999999999" customHeight="1">
      <c r="B567" s="455"/>
      <c r="C567" s="455"/>
      <c r="E567" s="456"/>
      <c r="F567" s="459"/>
      <c r="G567" s="459"/>
      <c r="H567" s="461"/>
      <c r="I567" s="460"/>
      <c r="J567" s="460"/>
      <c r="K567" s="459"/>
      <c r="L567" s="3986"/>
      <c r="M567" s="3986"/>
      <c r="O567" s="458"/>
      <c r="P567" s="456"/>
      <c r="Q567" s="456"/>
      <c r="R567" s="457"/>
      <c r="S567" s="455"/>
      <c r="T567" s="456"/>
      <c r="U567" s="455"/>
    </row>
    <row r="568" spans="2:21" s="454" customFormat="1" ht="10.199999999999999" customHeight="1">
      <c r="B568" s="455"/>
      <c r="C568" s="455"/>
      <c r="E568" s="456"/>
      <c r="F568" s="459"/>
      <c r="G568" s="459"/>
      <c r="H568" s="461"/>
      <c r="I568" s="460"/>
      <c r="J568" s="460"/>
      <c r="K568" s="459"/>
      <c r="L568" s="3986"/>
      <c r="M568" s="3986"/>
      <c r="O568" s="458"/>
      <c r="P568" s="456"/>
      <c r="Q568" s="456"/>
      <c r="R568" s="457"/>
      <c r="S568" s="455"/>
      <c r="T568" s="456"/>
      <c r="U568" s="455"/>
    </row>
    <row r="569" spans="2:21" s="454" customFormat="1" ht="10.199999999999999" customHeight="1">
      <c r="B569" s="455"/>
      <c r="C569" s="455"/>
      <c r="E569" s="456"/>
      <c r="F569" s="459"/>
      <c r="G569" s="459"/>
      <c r="H569" s="461"/>
      <c r="I569" s="460"/>
      <c r="J569" s="460"/>
      <c r="K569" s="459"/>
      <c r="L569" s="3986"/>
      <c r="M569" s="3986"/>
      <c r="O569" s="458"/>
      <c r="P569" s="456"/>
      <c r="Q569" s="456"/>
      <c r="R569" s="457"/>
      <c r="S569" s="455"/>
      <c r="T569" s="456"/>
      <c r="U569" s="455"/>
    </row>
    <row r="570" spans="2:21" s="454" customFormat="1" ht="10.199999999999999" customHeight="1">
      <c r="B570" s="455"/>
      <c r="C570" s="455"/>
      <c r="E570" s="456"/>
      <c r="F570" s="459"/>
      <c r="G570" s="459"/>
      <c r="H570" s="461"/>
      <c r="I570" s="460"/>
      <c r="J570" s="460"/>
      <c r="K570" s="459"/>
      <c r="L570" s="3986"/>
      <c r="M570" s="3986"/>
      <c r="O570" s="458"/>
      <c r="P570" s="456"/>
      <c r="Q570" s="456"/>
      <c r="R570" s="457"/>
      <c r="S570" s="455"/>
      <c r="T570" s="456"/>
      <c r="U570" s="455"/>
    </row>
    <row r="571" spans="2:21" s="454" customFormat="1" ht="10.199999999999999" customHeight="1">
      <c r="B571" s="455"/>
      <c r="C571" s="455"/>
      <c r="E571" s="456"/>
      <c r="F571" s="459"/>
      <c r="G571" s="459"/>
      <c r="H571" s="461"/>
      <c r="I571" s="460"/>
      <c r="J571" s="460"/>
      <c r="K571" s="459"/>
      <c r="L571" s="3986"/>
      <c r="M571" s="3986"/>
      <c r="O571" s="458"/>
      <c r="P571" s="456"/>
      <c r="Q571" s="456"/>
      <c r="R571" s="457"/>
      <c r="S571" s="455"/>
      <c r="T571" s="456"/>
      <c r="U571" s="455"/>
    </row>
    <row r="572" spans="2:21" s="454" customFormat="1" ht="10.199999999999999" customHeight="1">
      <c r="B572" s="455"/>
      <c r="C572" s="455"/>
      <c r="E572" s="456"/>
      <c r="F572" s="459"/>
      <c r="G572" s="459"/>
      <c r="H572" s="461"/>
      <c r="I572" s="460"/>
      <c r="J572" s="460"/>
      <c r="K572" s="459"/>
      <c r="L572" s="3986"/>
      <c r="M572" s="3986"/>
      <c r="O572" s="458"/>
      <c r="P572" s="456"/>
      <c r="Q572" s="456"/>
      <c r="R572" s="457"/>
      <c r="S572" s="455"/>
      <c r="T572" s="456"/>
      <c r="U572" s="455"/>
    </row>
    <row r="573" spans="2:21" s="454" customFormat="1" ht="10.199999999999999" customHeight="1">
      <c r="B573" s="455"/>
      <c r="C573" s="455"/>
      <c r="E573" s="456"/>
      <c r="F573" s="459"/>
      <c r="G573" s="459"/>
      <c r="H573" s="461"/>
      <c r="I573" s="460"/>
      <c r="J573" s="460"/>
      <c r="K573" s="459"/>
      <c r="L573" s="3986"/>
      <c r="M573" s="3986"/>
      <c r="O573" s="458"/>
      <c r="P573" s="456"/>
      <c r="Q573" s="456"/>
      <c r="R573" s="457"/>
      <c r="S573" s="455"/>
      <c r="T573" s="456"/>
      <c r="U573" s="455"/>
    </row>
    <row r="574" spans="2:21" s="454" customFormat="1" ht="10.199999999999999" customHeight="1">
      <c r="B574" s="455"/>
      <c r="C574" s="455"/>
      <c r="E574" s="456"/>
      <c r="F574" s="459"/>
      <c r="G574" s="459"/>
      <c r="H574" s="461"/>
      <c r="I574" s="460"/>
      <c r="J574" s="460"/>
      <c r="K574" s="459"/>
      <c r="L574" s="3986"/>
      <c r="M574" s="3986"/>
      <c r="O574" s="458"/>
      <c r="P574" s="456"/>
      <c r="Q574" s="456"/>
      <c r="R574" s="457"/>
      <c r="S574" s="455"/>
      <c r="T574" s="456"/>
      <c r="U574" s="455"/>
    </row>
    <row r="575" spans="2:21" s="454" customFormat="1" ht="10.199999999999999" customHeight="1">
      <c r="B575" s="455"/>
      <c r="C575" s="455"/>
      <c r="E575" s="456"/>
      <c r="F575" s="459"/>
      <c r="G575" s="459"/>
      <c r="H575" s="461"/>
      <c r="I575" s="460"/>
      <c r="J575" s="460"/>
      <c r="K575" s="459"/>
      <c r="L575" s="3986"/>
      <c r="M575" s="3986"/>
      <c r="O575" s="458"/>
      <c r="P575" s="456"/>
      <c r="Q575" s="456"/>
      <c r="R575" s="457"/>
      <c r="S575" s="455"/>
      <c r="T575" s="456"/>
      <c r="U575" s="455"/>
    </row>
    <row r="576" spans="2:21" s="454" customFormat="1" ht="10.199999999999999" customHeight="1">
      <c r="B576" s="455"/>
      <c r="C576" s="455"/>
      <c r="E576" s="456"/>
      <c r="F576" s="459"/>
      <c r="G576" s="459"/>
      <c r="H576" s="461"/>
      <c r="I576" s="460"/>
      <c r="J576" s="460"/>
      <c r="K576" s="459"/>
      <c r="L576" s="3986"/>
      <c r="M576" s="3986"/>
      <c r="O576" s="458"/>
      <c r="P576" s="456"/>
      <c r="Q576" s="456"/>
      <c r="R576" s="457"/>
      <c r="S576" s="455"/>
      <c r="T576" s="456"/>
      <c r="U576" s="455"/>
    </row>
    <row r="577" spans="2:21" s="454" customFormat="1" ht="10.199999999999999" customHeight="1">
      <c r="B577" s="455"/>
      <c r="C577" s="455"/>
      <c r="E577" s="456"/>
      <c r="F577" s="459"/>
      <c r="G577" s="459"/>
      <c r="H577" s="461"/>
      <c r="I577" s="460"/>
      <c r="J577" s="460"/>
      <c r="K577" s="459"/>
      <c r="L577" s="3986"/>
      <c r="M577" s="3986"/>
      <c r="O577" s="458"/>
      <c r="P577" s="456"/>
      <c r="Q577" s="456"/>
      <c r="R577" s="457"/>
      <c r="S577" s="455"/>
      <c r="T577" s="456"/>
      <c r="U577" s="455"/>
    </row>
    <row r="578" spans="2:21" s="454" customFormat="1" ht="10.199999999999999" customHeight="1">
      <c r="B578" s="455"/>
      <c r="C578" s="455"/>
      <c r="E578" s="456"/>
      <c r="F578" s="459"/>
      <c r="G578" s="459"/>
      <c r="H578" s="461"/>
      <c r="I578" s="460"/>
      <c r="J578" s="460"/>
      <c r="K578" s="459"/>
      <c r="L578" s="3986"/>
      <c r="M578" s="3986"/>
      <c r="O578" s="458"/>
      <c r="P578" s="456"/>
      <c r="Q578" s="456"/>
      <c r="R578" s="457"/>
      <c r="S578" s="455"/>
      <c r="T578" s="456"/>
      <c r="U578" s="455"/>
    </row>
    <row r="579" spans="2:21" s="454" customFormat="1" ht="10.199999999999999" customHeight="1">
      <c r="B579" s="455"/>
      <c r="C579" s="455"/>
      <c r="E579" s="456"/>
      <c r="F579" s="459"/>
      <c r="G579" s="459"/>
      <c r="H579" s="461"/>
      <c r="I579" s="460"/>
      <c r="J579" s="460"/>
      <c r="K579" s="459"/>
      <c r="L579" s="3986"/>
      <c r="M579" s="3986"/>
      <c r="O579" s="458"/>
      <c r="P579" s="456"/>
      <c r="Q579" s="456"/>
      <c r="R579" s="457"/>
      <c r="S579" s="455"/>
      <c r="T579" s="456"/>
      <c r="U579" s="455"/>
    </row>
    <row r="580" spans="2:21" s="454" customFormat="1" ht="10.199999999999999" customHeight="1">
      <c r="B580" s="455"/>
      <c r="C580" s="455"/>
      <c r="E580" s="456"/>
      <c r="F580" s="459"/>
      <c r="G580" s="459"/>
      <c r="H580" s="461"/>
      <c r="I580" s="460"/>
      <c r="J580" s="460"/>
      <c r="K580" s="459"/>
      <c r="L580" s="3986"/>
      <c r="M580" s="3986"/>
      <c r="O580" s="458"/>
      <c r="P580" s="456"/>
      <c r="Q580" s="456"/>
      <c r="R580" s="457"/>
      <c r="S580" s="455"/>
      <c r="T580" s="456"/>
      <c r="U580" s="455"/>
    </row>
    <row r="581" spans="2:21" s="454" customFormat="1" ht="10.199999999999999" customHeight="1">
      <c r="B581" s="455"/>
      <c r="C581" s="455"/>
      <c r="E581" s="456"/>
      <c r="F581" s="459"/>
      <c r="G581" s="459"/>
      <c r="H581" s="461"/>
      <c r="I581" s="460"/>
      <c r="J581" s="460"/>
      <c r="K581" s="459"/>
      <c r="L581" s="3986"/>
      <c r="M581" s="3986"/>
      <c r="O581" s="458"/>
      <c r="P581" s="456"/>
      <c r="Q581" s="456"/>
      <c r="R581" s="457"/>
      <c r="S581" s="455"/>
      <c r="T581" s="456"/>
      <c r="U581" s="455"/>
    </row>
    <row r="582" spans="2:21" s="454" customFormat="1" ht="10.199999999999999" customHeight="1">
      <c r="B582" s="455"/>
      <c r="C582" s="455"/>
      <c r="E582" s="456"/>
      <c r="F582" s="459"/>
      <c r="G582" s="459"/>
      <c r="H582" s="461"/>
      <c r="I582" s="460"/>
      <c r="J582" s="460"/>
      <c r="K582" s="459"/>
      <c r="L582" s="3986"/>
      <c r="M582" s="3986"/>
      <c r="O582" s="458"/>
      <c r="P582" s="456"/>
      <c r="Q582" s="456"/>
      <c r="R582" s="457"/>
      <c r="S582" s="455"/>
      <c r="T582" s="456"/>
      <c r="U582" s="455"/>
    </row>
    <row r="583" spans="2:21" s="454" customFormat="1" ht="10.199999999999999" customHeight="1">
      <c r="B583" s="455"/>
      <c r="C583" s="455"/>
      <c r="E583" s="456"/>
      <c r="F583" s="459"/>
      <c r="G583" s="459"/>
      <c r="H583" s="461"/>
      <c r="I583" s="460"/>
      <c r="J583" s="460"/>
      <c r="K583" s="459"/>
      <c r="L583" s="3986"/>
      <c r="M583" s="3986"/>
      <c r="O583" s="458"/>
      <c r="P583" s="456"/>
      <c r="Q583" s="456"/>
      <c r="R583" s="457"/>
      <c r="S583" s="455"/>
      <c r="T583" s="456"/>
      <c r="U583" s="455"/>
    </row>
    <row r="584" spans="2:21" s="454" customFormat="1" ht="10.199999999999999" customHeight="1">
      <c r="B584" s="455"/>
      <c r="C584" s="455"/>
      <c r="E584" s="456"/>
      <c r="F584" s="459"/>
      <c r="G584" s="459"/>
      <c r="H584" s="461"/>
      <c r="I584" s="460"/>
      <c r="J584" s="460"/>
      <c r="K584" s="459"/>
      <c r="L584" s="3986"/>
      <c r="M584" s="3986"/>
      <c r="O584" s="458"/>
      <c r="P584" s="456"/>
      <c r="Q584" s="456"/>
      <c r="R584" s="457"/>
      <c r="S584" s="455"/>
      <c r="T584" s="456"/>
      <c r="U584" s="455"/>
    </row>
    <row r="585" spans="2:21" s="454" customFormat="1" ht="10.199999999999999" customHeight="1">
      <c r="B585" s="455"/>
      <c r="C585" s="455"/>
      <c r="E585" s="456"/>
      <c r="F585" s="459"/>
      <c r="G585" s="459"/>
      <c r="H585" s="461"/>
      <c r="I585" s="460"/>
      <c r="J585" s="460"/>
      <c r="K585" s="459"/>
      <c r="L585" s="3986"/>
      <c r="M585" s="3986"/>
      <c r="O585" s="458"/>
      <c r="P585" s="456"/>
      <c r="Q585" s="456"/>
      <c r="R585" s="457"/>
      <c r="S585" s="455"/>
      <c r="T585" s="456"/>
      <c r="U585" s="455"/>
    </row>
    <row r="586" spans="2:21" s="454" customFormat="1" ht="10.199999999999999" customHeight="1">
      <c r="B586" s="455"/>
      <c r="C586" s="455"/>
      <c r="E586" s="456"/>
      <c r="F586" s="459"/>
      <c r="G586" s="459"/>
      <c r="H586" s="461"/>
      <c r="I586" s="460"/>
      <c r="J586" s="460"/>
      <c r="K586" s="459"/>
      <c r="L586" s="3986"/>
      <c r="M586" s="3986"/>
      <c r="O586" s="458"/>
      <c r="P586" s="456"/>
      <c r="Q586" s="456"/>
      <c r="R586" s="457"/>
      <c r="S586" s="455"/>
      <c r="T586" s="456"/>
      <c r="U586" s="455"/>
    </row>
    <row r="587" spans="2:21" s="454" customFormat="1" ht="10.199999999999999" customHeight="1">
      <c r="B587" s="455"/>
      <c r="C587" s="455"/>
      <c r="E587" s="456"/>
      <c r="F587" s="459"/>
      <c r="G587" s="459"/>
      <c r="H587" s="461"/>
      <c r="I587" s="460"/>
      <c r="J587" s="460"/>
      <c r="K587" s="459"/>
      <c r="L587" s="3986"/>
      <c r="M587" s="3986"/>
      <c r="O587" s="458"/>
      <c r="P587" s="456"/>
      <c r="Q587" s="456"/>
      <c r="R587" s="457"/>
      <c r="S587" s="455"/>
      <c r="T587" s="456"/>
      <c r="U587" s="455"/>
    </row>
    <row r="588" spans="2:21" s="454" customFormat="1" ht="10.199999999999999" customHeight="1">
      <c r="B588" s="455"/>
      <c r="C588" s="455"/>
      <c r="E588" s="456"/>
      <c r="F588" s="459"/>
      <c r="G588" s="459"/>
      <c r="H588" s="461"/>
      <c r="I588" s="460"/>
      <c r="J588" s="460"/>
      <c r="K588" s="459"/>
      <c r="L588" s="3986"/>
      <c r="M588" s="3986"/>
      <c r="O588" s="458"/>
      <c r="P588" s="456"/>
      <c r="Q588" s="456"/>
      <c r="R588" s="457"/>
      <c r="S588" s="455"/>
      <c r="T588" s="456"/>
      <c r="U588" s="455"/>
    </row>
    <row r="589" spans="2:21" s="454" customFormat="1" ht="10.199999999999999" customHeight="1">
      <c r="B589" s="455"/>
      <c r="C589" s="455"/>
      <c r="E589" s="456"/>
      <c r="F589" s="459"/>
      <c r="G589" s="459"/>
      <c r="H589" s="461"/>
      <c r="I589" s="460"/>
      <c r="J589" s="460"/>
      <c r="K589" s="459"/>
      <c r="L589" s="3986"/>
      <c r="M589" s="3986"/>
      <c r="O589" s="458"/>
      <c r="P589" s="456"/>
      <c r="Q589" s="456"/>
      <c r="R589" s="457"/>
      <c r="S589" s="455"/>
      <c r="T589" s="456"/>
      <c r="U589" s="455"/>
    </row>
    <row r="590" spans="2:21" s="454" customFormat="1" ht="10.199999999999999" customHeight="1">
      <c r="B590" s="455"/>
      <c r="C590" s="455"/>
      <c r="E590" s="456"/>
      <c r="F590" s="459"/>
      <c r="G590" s="459"/>
      <c r="H590" s="461"/>
      <c r="I590" s="460"/>
      <c r="J590" s="460"/>
      <c r="K590" s="459"/>
      <c r="L590" s="3986"/>
      <c r="M590" s="3986"/>
      <c r="O590" s="458"/>
      <c r="P590" s="456"/>
      <c r="Q590" s="456"/>
      <c r="R590" s="457"/>
      <c r="S590" s="455"/>
      <c r="T590" s="456"/>
      <c r="U590" s="455"/>
    </row>
    <row r="591" spans="2:21" s="454" customFormat="1" ht="10.199999999999999" customHeight="1">
      <c r="B591" s="455"/>
      <c r="C591" s="455"/>
      <c r="E591" s="456"/>
      <c r="F591" s="459"/>
      <c r="G591" s="459"/>
      <c r="H591" s="461"/>
      <c r="I591" s="460"/>
      <c r="J591" s="460"/>
      <c r="K591" s="459"/>
      <c r="L591" s="3986"/>
      <c r="M591" s="3986"/>
      <c r="O591" s="458"/>
      <c r="P591" s="456"/>
      <c r="Q591" s="456"/>
      <c r="R591" s="457"/>
      <c r="S591" s="455"/>
      <c r="T591" s="456"/>
      <c r="U591" s="455"/>
    </row>
    <row r="592" spans="2:21" s="454" customFormat="1" ht="10.199999999999999" customHeight="1">
      <c r="B592" s="455"/>
      <c r="C592" s="455"/>
      <c r="E592" s="456"/>
      <c r="F592" s="459"/>
      <c r="G592" s="459"/>
      <c r="H592" s="461"/>
      <c r="I592" s="460"/>
      <c r="J592" s="460"/>
      <c r="K592" s="459"/>
      <c r="L592" s="3986"/>
      <c r="M592" s="3986"/>
      <c r="O592" s="458"/>
      <c r="P592" s="456"/>
      <c r="Q592" s="456"/>
      <c r="R592" s="457"/>
      <c r="S592" s="455"/>
      <c r="T592" s="456"/>
      <c r="U592" s="455"/>
    </row>
    <row r="593" spans="2:21" s="454" customFormat="1" ht="10.199999999999999" customHeight="1">
      <c r="B593" s="455"/>
      <c r="C593" s="455"/>
      <c r="E593" s="456"/>
      <c r="F593" s="459"/>
      <c r="G593" s="459"/>
      <c r="H593" s="461"/>
      <c r="I593" s="460"/>
      <c r="J593" s="460"/>
      <c r="K593" s="459"/>
      <c r="L593" s="3986"/>
      <c r="M593" s="3986"/>
      <c r="O593" s="458"/>
      <c r="P593" s="456"/>
      <c r="Q593" s="456"/>
      <c r="R593" s="457"/>
      <c r="S593" s="455"/>
      <c r="T593" s="456"/>
      <c r="U593" s="455"/>
    </row>
    <row r="594" spans="2:21" s="454" customFormat="1" ht="10.199999999999999" customHeight="1">
      <c r="B594" s="455"/>
      <c r="C594" s="455"/>
      <c r="E594" s="456"/>
      <c r="F594" s="459"/>
      <c r="G594" s="459"/>
      <c r="H594" s="461"/>
      <c r="I594" s="460"/>
      <c r="J594" s="460"/>
      <c r="K594" s="459"/>
      <c r="L594" s="3986"/>
      <c r="M594" s="3986"/>
      <c r="O594" s="458"/>
      <c r="P594" s="456"/>
      <c r="Q594" s="456"/>
      <c r="R594" s="457"/>
      <c r="S594" s="455"/>
      <c r="T594" s="456"/>
      <c r="U594" s="455"/>
    </row>
    <row r="595" spans="2:21" s="454" customFormat="1" ht="10.199999999999999" customHeight="1">
      <c r="B595" s="455"/>
      <c r="C595" s="455"/>
      <c r="E595" s="456"/>
      <c r="F595" s="459"/>
      <c r="G595" s="459"/>
      <c r="H595" s="461"/>
      <c r="I595" s="460"/>
      <c r="J595" s="460"/>
      <c r="K595" s="459"/>
      <c r="L595" s="3986"/>
      <c r="M595" s="3986"/>
      <c r="O595" s="458"/>
      <c r="P595" s="456"/>
      <c r="Q595" s="456"/>
      <c r="R595" s="457"/>
      <c r="S595" s="455"/>
      <c r="T595" s="456"/>
      <c r="U595" s="455"/>
    </row>
    <row r="596" spans="2:21" s="454" customFormat="1" ht="10.199999999999999" customHeight="1">
      <c r="B596" s="455"/>
      <c r="C596" s="455"/>
      <c r="E596" s="456"/>
      <c r="F596" s="459"/>
      <c r="G596" s="459"/>
      <c r="H596" s="461"/>
      <c r="I596" s="460"/>
      <c r="J596" s="460"/>
      <c r="K596" s="459"/>
      <c r="L596" s="3986"/>
      <c r="M596" s="3986"/>
      <c r="O596" s="458"/>
      <c r="P596" s="456"/>
      <c r="Q596" s="456"/>
      <c r="R596" s="457"/>
      <c r="S596" s="455"/>
      <c r="T596" s="456"/>
      <c r="U596" s="455"/>
    </row>
    <row r="597" spans="2:21" s="454" customFormat="1" ht="10.199999999999999" customHeight="1">
      <c r="B597" s="455"/>
      <c r="C597" s="455"/>
      <c r="E597" s="456"/>
      <c r="F597" s="459"/>
      <c r="G597" s="459"/>
      <c r="H597" s="461"/>
      <c r="I597" s="460"/>
      <c r="J597" s="460"/>
      <c r="K597" s="459"/>
      <c r="L597" s="3986"/>
      <c r="M597" s="3986"/>
      <c r="O597" s="458"/>
      <c r="P597" s="456"/>
      <c r="Q597" s="456"/>
      <c r="R597" s="457"/>
      <c r="S597" s="455"/>
      <c r="T597" s="456"/>
      <c r="U597" s="455"/>
    </row>
    <row r="598" spans="2:21" s="454" customFormat="1" ht="10.199999999999999" customHeight="1">
      <c r="B598" s="455"/>
      <c r="C598" s="455"/>
      <c r="E598" s="456"/>
      <c r="F598" s="459"/>
      <c r="G598" s="459"/>
      <c r="H598" s="461"/>
      <c r="I598" s="460"/>
      <c r="J598" s="460"/>
      <c r="K598" s="459"/>
      <c r="L598" s="3986"/>
      <c r="M598" s="3986"/>
      <c r="O598" s="458"/>
      <c r="P598" s="456"/>
      <c r="Q598" s="456"/>
      <c r="R598" s="457"/>
      <c r="S598" s="455"/>
      <c r="T598" s="456"/>
      <c r="U598" s="455"/>
    </row>
    <row r="599" spans="2:21" s="454" customFormat="1" ht="10.199999999999999" customHeight="1">
      <c r="B599" s="455"/>
      <c r="C599" s="455"/>
      <c r="E599" s="456"/>
      <c r="F599" s="459"/>
      <c r="G599" s="459"/>
      <c r="H599" s="461"/>
      <c r="I599" s="460"/>
      <c r="J599" s="460"/>
      <c r="K599" s="459"/>
      <c r="L599" s="3986"/>
      <c r="M599" s="3986"/>
      <c r="O599" s="458"/>
      <c r="P599" s="456"/>
      <c r="Q599" s="456"/>
      <c r="R599" s="457"/>
      <c r="S599" s="455"/>
      <c r="T599" s="456"/>
      <c r="U599" s="455"/>
    </row>
    <row r="600" spans="2:21" s="454" customFormat="1" ht="10.199999999999999" customHeight="1">
      <c r="B600" s="455"/>
      <c r="C600" s="455"/>
      <c r="E600" s="456"/>
      <c r="F600" s="459"/>
      <c r="G600" s="459"/>
      <c r="H600" s="461"/>
      <c r="I600" s="460"/>
      <c r="J600" s="460"/>
      <c r="K600" s="459"/>
      <c r="L600" s="3986"/>
      <c r="M600" s="3986"/>
      <c r="O600" s="458"/>
      <c r="P600" s="456"/>
      <c r="Q600" s="456"/>
      <c r="R600" s="457"/>
      <c r="S600" s="455"/>
      <c r="T600" s="456"/>
      <c r="U600" s="455"/>
    </row>
    <row r="601" spans="2:21" s="454" customFormat="1" ht="10.199999999999999" customHeight="1">
      <c r="B601" s="455"/>
      <c r="C601" s="455"/>
      <c r="E601" s="456"/>
      <c r="F601" s="459"/>
      <c r="G601" s="459"/>
      <c r="H601" s="461"/>
      <c r="I601" s="460"/>
      <c r="J601" s="460"/>
      <c r="K601" s="459"/>
      <c r="L601" s="3986"/>
      <c r="M601" s="3986"/>
      <c r="O601" s="458"/>
      <c r="P601" s="456"/>
      <c r="Q601" s="456"/>
      <c r="R601" s="457"/>
      <c r="S601" s="455"/>
      <c r="T601" s="456"/>
      <c r="U601" s="455"/>
    </row>
    <row r="602" spans="2:21" s="454" customFormat="1" ht="10.199999999999999" customHeight="1">
      <c r="B602" s="455"/>
      <c r="C602" s="455"/>
      <c r="E602" s="456"/>
      <c r="F602" s="459"/>
      <c r="G602" s="459"/>
      <c r="H602" s="461"/>
      <c r="I602" s="460"/>
      <c r="J602" s="460"/>
      <c r="K602" s="459"/>
      <c r="L602" s="3986"/>
      <c r="M602" s="3986"/>
      <c r="O602" s="458"/>
      <c r="P602" s="456"/>
      <c r="Q602" s="456"/>
      <c r="R602" s="457"/>
      <c r="S602" s="455"/>
      <c r="T602" s="456"/>
      <c r="U602" s="455"/>
    </row>
    <row r="603" spans="2:21" s="454" customFormat="1" ht="10.199999999999999" customHeight="1">
      <c r="B603" s="455"/>
      <c r="C603" s="455"/>
      <c r="E603" s="456"/>
      <c r="F603" s="459"/>
      <c r="G603" s="459"/>
      <c r="H603" s="461"/>
      <c r="I603" s="460"/>
      <c r="J603" s="460"/>
      <c r="K603" s="459"/>
      <c r="L603" s="3986"/>
      <c r="M603" s="3986"/>
      <c r="O603" s="458"/>
      <c r="P603" s="456"/>
      <c r="Q603" s="456"/>
      <c r="R603" s="457"/>
      <c r="S603" s="455"/>
      <c r="T603" s="456"/>
      <c r="U603" s="455"/>
    </row>
    <row r="604" spans="2:21" s="454" customFormat="1" ht="10.199999999999999" customHeight="1">
      <c r="B604" s="455"/>
      <c r="C604" s="455"/>
      <c r="E604" s="456"/>
      <c r="F604" s="459"/>
      <c r="G604" s="459"/>
      <c r="H604" s="461"/>
      <c r="I604" s="460"/>
      <c r="J604" s="460"/>
      <c r="K604" s="459"/>
      <c r="L604" s="3986"/>
      <c r="M604" s="3986"/>
      <c r="O604" s="458"/>
      <c r="P604" s="456"/>
      <c r="Q604" s="456"/>
      <c r="R604" s="457"/>
      <c r="S604" s="455"/>
      <c r="T604" s="456"/>
      <c r="U604" s="455"/>
    </row>
    <row r="605" spans="2:21" s="454" customFormat="1" ht="10.199999999999999" customHeight="1">
      <c r="B605" s="455"/>
      <c r="C605" s="455"/>
      <c r="E605" s="456"/>
      <c r="F605" s="459"/>
      <c r="G605" s="459"/>
      <c r="H605" s="461"/>
      <c r="I605" s="460"/>
      <c r="J605" s="460"/>
      <c r="K605" s="459"/>
      <c r="L605" s="3986"/>
      <c r="M605" s="3986"/>
      <c r="O605" s="458"/>
      <c r="P605" s="456"/>
      <c r="Q605" s="456"/>
      <c r="R605" s="457"/>
      <c r="S605" s="455"/>
      <c r="T605" s="456"/>
      <c r="U605" s="455"/>
    </row>
    <row r="606" spans="2:21" s="454" customFormat="1" ht="10.199999999999999" customHeight="1">
      <c r="B606" s="455"/>
      <c r="C606" s="455"/>
      <c r="E606" s="456"/>
      <c r="F606" s="459"/>
      <c r="G606" s="459"/>
      <c r="H606" s="461"/>
      <c r="I606" s="460"/>
      <c r="J606" s="460"/>
      <c r="K606" s="459"/>
      <c r="L606" s="3986"/>
      <c r="M606" s="3986"/>
      <c r="O606" s="458"/>
      <c r="P606" s="456"/>
      <c r="Q606" s="456"/>
      <c r="R606" s="457"/>
      <c r="S606" s="455"/>
      <c r="T606" s="456"/>
      <c r="U606" s="455"/>
    </row>
    <row r="607" spans="2:21" s="454" customFormat="1" ht="10.199999999999999" customHeight="1">
      <c r="B607" s="455"/>
      <c r="C607" s="455"/>
      <c r="E607" s="456"/>
      <c r="F607" s="459"/>
      <c r="G607" s="459"/>
      <c r="H607" s="461"/>
      <c r="I607" s="460"/>
      <c r="J607" s="460"/>
      <c r="K607" s="459"/>
      <c r="L607" s="3986"/>
      <c r="M607" s="3986"/>
      <c r="O607" s="458"/>
      <c r="P607" s="456"/>
      <c r="Q607" s="456"/>
      <c r="R607" s="457"/>
      <c r="S607" s="455"/>
      <c r="T607" s="456"/>
      <c r="U607" s="455"/>
    </row>
    <row r="608" spans="2:21" s="454" customFormat="1" ht="10.199999999999999" customHeight="1">
      <c r="B608" s="455"/>
      <c r="C608" s="455"/>
      <c r="E608" s="456"/>
      <c r="F608" s="459"/>
      <c r="G608" s="459"/>
      <c r="H608" s="461"/>
      <c r="I608" s="460"/>
      <c r="J608" s="460"/>
      <c r="K608" s="459"/>
      <c r="L608" s="3986"/>
      <c r="M608" s="3986"/>
      <c r="O608" s="458"/>
      <c r="P608" s="456"/>
      <c r="Q608" s="456"/>
      <c r="R608" s="457"/>
      <c r="S608" s="455"/>
      <c r="T608" s="456"/>
      <c r="U608" s="455"/>
    </row>
    <row r="609" spans="2:21" s="454" customFormat="1" ht="10.199999999999999" customHeight="1">
      <c r="B609" s="455"/>
      <c r="C609" s="455"/>
      <c r="E609" s="456"/>
      <c r="F609" s="459"/>
      <c r="G609" s="459"/>
      <c r="H609" s="461"/>
      <c r="I609" s="460"/>
      <c r="J609" s="460"/>
      <c r="K609" s="459"/>
      <c r="L609" s="3986"/>
      <c r="M609" s="3986"/>
      <c r="O609" s="458"/>
      <c r="P609" s="456"/>
      <c r="Q609" s="456"/>
      <c r="R609" s="457"/>
      <c r="S609" s="455"/>
      <c r="T609" s="456"/>
      <c r="U609" s="455"/>
    </row>
    <row r="610" spans="2:21" s="454" customFormat="1" ht="10.199999999999999" customHeight="1">
      <c r="B610" s="455"/>
      <c r="C610" s="455"/>
      <c r="E610" s="456"/>
      <c r="F610" s="459"/>
      <c r="G610" s="459"/>
      <c r="H610" s="461"/>
      <c r="I610" s="460"/>
      <c r="J610" s="460"/>
      <c r="K610" s="459"/>
      <c r="L610" s="3986"/>
      <c r="M610" s="3986"/>
      <c r="O610" s="458"/>
      <c r="P610" s="456"/>
      <c r="Q610" s="456"/>
      <c r="R610" s="457"/>
      <c r="S610" s="455"/>
      <c r="T610" s="456"/>
      <c r="U610" s="455"/>
    </row>
    <row r="611" spans="2:21" s="454" customFormat="1" ht="10.199999999999999" customHeight="1">
      <c r="B611" s="455"/>
      <c r="C611" s="455"/>
      <c r="E611" s="456"/>
      <c r="F611" s="459"/>
      <c r="G611" s="459"/>
      <c r="H611" s="461"/>
      <c r="I611" s="460"/>
      <c r="J611" s="460"/>
      <c r="K611" s="459"/>
      <c r="L611" s="3986"/>
      <c r="M611" s="3986"/>
      <c r="O611" s="458"/>
      <c r="P611" s="456"/>
      <c r="Q611" s="456"/>
      <c r="R611" s="457"/>
      <c r="S611" s="455"/>
      <c r="T611" s="456"/>
      <c r="U611" s="455"/>
    </row>
    <row r="612" spans="2:21" s="454" customFormat="1" ht="10.199999999999999" customHeight="1">
      <c r="B612" s="455"/>
      <c r="C612" s="455"/>
      <c r="E612" s="456"/>
      <c r="F612" s="459"/>
      <c r="G612" s="459"/>
      <c r="H612" s="461"/>
      <c r="I612" s="460"/>
      <c r="J612" s="460"/>
      <c r="K612" s="459"/>
      <c r="L612" s="3986"/>
      <c r="M612" s="3986"/>
      <c r="O612" s="458"/>
      <c r="P612" s="456"/>
      <c r="Q612" s="456"/>
      <c r="R612" s="457"/>
      <c r="S612" s="455"/>
      <c r="T612" s="456"/>
      <c r="U612" s="455"/>
    </row>
    <row r="613" spans="2:21" s="454" customFormat="1" ht="10.199999999999999" customHeight="1">
      <c r="B613" s="455"/>
      <c r="C613" s="455"/>
      <c r="E613" s="456"/>
      <c r="F613" s="459"/>
      <c r="G613" s="459"/>
      <c r="H613" s="461"/>
      <c r="I613" s="460"/>
      <c r="J613" s="460"/>
      <c r="K613" s="459"/>
      <c r="L613" s="3986"/>
      <c r="M613" s="3986"/>
      <c r="O613" s="458"/>
      <c r="P613" s="456"/>
      <c r="Q613" s="456"/>
      <c r="R613" s="457"/>
      <c r="S613" s="455"/>
      <c r="T613" s="456"/>
      <c r="U613" s="455"/>
    </row>
    <row r="614" spans="2:21" s="454" customFormat="1" ht="10.199999999999999" customHeight="1">
      <c r="B614" s="455"/>
      <c r="C614" s="455"/>
      <c r="E614" s="456"/>
      <c r="F614" s="459"/>
      <c r="G614" s="459"/>
      <c r="H614" s="461"/>
      <c r="I614" s="460"/>
      <c r="J614" s="460"/>
      <c r="K614" s="459"/>
      <c r="L614" s="3986"/>
      <c r="M614" s="3986"/>
      <c r="O614" s="458"/>
      <c r="P614" s="456"/>
      <c r="Q614" s="456"/>
      <c r="R614" s="457"/>
      <c r="S614" s="455"/>
      <c r="T614" s="456"/>
      <c r="U614" s="455"/>
    </row>
    <row r="615" spans="2:21" s="454" customFormat="1" ht="10.199999999999999" customHeight="1">
      <c r="B615" s="455"/>
      <c r="C615" s="455"/>
      <c r="E615" s="456"/>
      <c r="F615" s="459"/>
      <c r="G615" s="459"/>
      <c r="H615" s="461"/>
      <c r="I615" s="460"/>
      <c r="J615" s="460"/>
      <c r="K615" s="459"/>
      <c r="L615" s="3986"/>
      <c r="M615" s="3986"/>
      <c r="O615" s="458"/>
      <c r="P615" s="456"/>
      <c r="Q615" s="456"/>
      <c r="R615" s="457"/>
      <c r="S615" s="455"/>
      <c r="T615" s="456"/>
      <c r="U615" s="455"/>
    </row>
    <row r="616" spans="2:21" s="454" customFormat="1" ht="10.199999999999999" customHeight="1">
      <c r="B616" s="455"/>
      <c r="C616" s="455"/>
      <c r="E616" s="456"/>
      <c r="F616" s="459"/>
      <c r="G616" s="459"/>
      <c r="H616" s="461"/>
      <c r="I616" s="460"/>
      <c r="J616" s="460"/>
      <c r="K616" s="459"/>
      <c r="L616" s="3986"/>
      <c r="M616" s="3986"/>
      <c r="O616" s="458"/>
      <c r="P616" s="456"/>
      <c r="Q616" s="456"/>
      <c r="R616" s="457"/>
      <c r="S616" s="455"/>
      <c r="T616" s="456"/>
      <c r="U616" s="455"/>
    </row>
    <row r="617" spans="2:21" s="454" customFormat="1" ht="10.199999999999999" customHeight="1">
      <c r="B617" s="455"/>
      <c r="C617" s="455"/>
      <c r="E617" s="456"/>
      <c r="F617" s="459"/>
      <c r="G617" s="459"/>
      <c r="H617" s="461"/>
      <c r="I617" s="460"/>
      <c r="J617" s="460"/>
      <c r="K617" s="459"/>
      <c r="L617" s="3986"/>
      <c r="M617" s="3986"/>
      <c r="O617" s="458"/>
      <c r="P617" s="456"/>
      <c r="Q617" s="456"/>
      <c r="R617" s="457"/>
      <c r="S617" s="455"/>
      <c r="T617" s="456"/>
      <c r="U617" s="455"/>
    </row>
    <row r="618" spans="2:21" s="454" customFormat="1" ht="10.199999999999999" customHeight="1">
      <c r="B618" s="455"/>
      <c r="C618" s="455"/>
      <c r="E618" s="456"/>
      <c r="F618" s="459"/>
      <c r="G618" s="459"/>
      <c r="H618" s="461"/>
      <c r="I618" s="460"/>
      <c r="J618" s="460"/>
      <c r="K618" s="459"/>
      <c r="L618" s="3986"/>
      <c r="M618" s="3986"/>
      <c r="O618" s="458"/>
      <c r="P618" s="456"/>
      <c r="Q618" s="456"/>
      <c r="R618" s="457"/>
      <c r="S618" s="455"/>
      <c r="T618" s="456"/>
      <c r="U618" s="455"/>
    </row>
    <row r="619" spans="2:21" s="454" customFormat="1" ht="10.199999999999999" customHeight="1">
      <c r="B619" s="455"/>
      <c r="C619" s="455"/>
      <c r="E619" s="456"/>
      <c r="F619" s="459"/>
      <c r="G619" s="459"/>
      <c r="H619" s="461"/>
      <c r="I619" s="460"/>
      <c r="J619" s="460"/>
      <c r="K619" s="459"/>
      <c r="L619" s="3986"/>
      <c r="M619" s="3986"/>
      <c r="O619" s="458"/>
      <c r="P619" s="456"/>
      <c r="Q619" s="456"/>
      <c r="R619" s="457"/>
      <c r="S619" s="455"/>
      <c r="T619" s="456"/>
      <c r="U619" s="455"/>
    </row>
    <row r="620" spans="2:21" s="454" customFormat="1" ht="10.199999999999999" customHeight="1">
      <c r="B620" s="455"/>
      <c r="C620" s="455"/>
      <c r="E620" s="456"/>
      <c r="F620" s="459"/>
      <c r="G620" s="459"/>
      <c r="H620" s="461"/>
      <c r="I620" s="460"/>
      <c r="J620" s="460"/>
      <c r="K620" s="459"/>
      <c r="L620" s="3986"/>
      <c r="M620" s="3986"/>
      <c r="O620" s="458"/>
      <c r="P620" s="456"/>
      <c r="Q620" s="456"/>
      <c r="R620" s="457"/>
      <c r="S620" s="455"/>
      <c r="T620" s="456"/>
      <c r="U620" s="455"/>
    </row>
    <row r="621" spans="2:21" s="454" customFormat="1" ht="10.199999999999999" customHeight="1">
      <c r="B621" s="455"/>
      <c r="C621" s="455"/>
      <c r="E621" s="456"/>
      <c r="F621" s="459"/>
      <c r="G621" s="459"/>
      <c r="H621" s="461"/>
      <c r="I621" s="460"/>
      <c r="J621" s="460"/>
      <c r="K621" s="459"/>
      <c r="L621" s="3986"/>
      <c r="M621" s="3986"/>
      <c r="O621" s="458"/>
      <c r="P621" s="456"/>
      <c r="Q621" s="456"/>
      <c r="R621" s="457"/>
      <c r="S621" s="455"/>
      <c r="T621" s="456"/>
      <c r="U621" s="455"/>
    </row>
    <row r="622" spans="2:21" s="454" customFormat="1" ht="10.199999999999999" customHeight="1">
      <c r="B622" s="455"/>
      <c r="C622" s="455"/>
      <c r="E622" s="456"/>
      <c r="F622" s="459"/>
      <c r="G622" s="459"/>
      <c r="H622" s="461"/>
      <c r="I622" s="460"/>
      <c r="J622" s="460"/>
      <c r="K622" s="459"/>
      <c r="L622" s="3986"/>
      <c r="M622" s="3986"/>
      <c r="O622" s="458"/>
      <c r="P622" s="456"/>
      <c r="Q622" s="456"/>
      <c r="R622" s="457"/>
      <c r="S622" s="455"/>
      <c r="T622" s="456"/>
      <c r="U622" s="455"/>
    </row>
    <row r="623" spans="2:21" s="454" customFormat="1" ht="10.199999999999999" customHeight="1">
      <c r="B623" s="455"/>
      <c r="C623" s="455"/>
      <c r="E623" s="456"/>
      <c r="F623" s="459"/>
      <c r="G623" s="459"/>
      <c r="H623" s="461"/>
      <c r="I623" s="460"/>
      <c r="J623" s="460"/>
      <c r="K623" s="459"/>
      <c r="L623" s="3986"/>
      <c r="M623" s="3986"/>
      <c r="O623" s="458"/>
      <c r="P623" s="456"/>
      <c r="Q623" s="456"/>
      <c r="R623" s="457"/>
      <c r="S623" s="455"/>
      <c r="T623" s="456"/>
      <c r="U623" s="455"/>
    </row>
    <row r="624" spans="2:21" s="454" customFormat="1" ht="10.199999999999999" customHeight="1">
      <c r="B624" s="455"/>
      <c r="C624" s="455"/>
      <c r="E624" s="456"/>
      <c r="F624" s="459"/>
      <c r="G624" s="459"/>
      <c r="H624" s="461"/>
      <c r="I624" s="460"/>
      <c r="J624" s="460"/>
      <c r="K624" s="459"/>
      <c r="L624" s="3986"/>
      <c r="M624" s="3986"/>
      <c r="O624" s="458"/>
      <c r="P624" s="456"/>
      <c r="Q624" s="456"/>
      <c r="R624" s="457"/>
      <c r="S624" s="455"/>
      <c r="T624" s="456"/>
      <c r="U624" s="455"/>
    </row>
    <row r="625" spans="2:21" s="454" customFormat="1" ht="10.199999999999999" customHeight="1">
      <c r="B625" s="455"/>
      <c r="C625" s="455"/>
      <c r="E625" s="456"/>
      <c r="F625" s="459"/>
      <c r="G625" s="459"/>
      <c r="H625" s="461"/>
      <c r="I625" s="460"/>
      <c r="J625" s="460"/>
      <c r="K625" s="459"/>
      <c r="L625" s="3986"/>
      <c r="M625" s="3986"/>
      <c r="O625" s="458"/>
      <c r="P625" s="456"/>
      <c r="Q625" s="456"/>
      <c r="R625" s="457"/>
      <c r="S625" s="455"/>
      <c r="T625" s="456"/>
      <c r="U625" s="455"/>
    </row>
    <row r="626" spans="2:21" s="454" customFormat="1" ht="10.199999999999999" customHeight="1">
      <c r="B626" s="455"/>
      <c r="C626" s="455"/>
      <c r="E626" s="456"/>
      <c r="F626" s="459"/>
      <c r="G626" s="459"/>
      <c r="H626" s="461"/>
      <c r="I626" s="460"/>
      <c r="J626" s="460"/>
      <c r="K626" s="459"/>
      <c r="L626" s="3986"/>
      <c r="M626" s="3986"/>
      <c r="O626" s="458"/>
      <c r="P626" s="456"/>
      <c r="Q626" s="456"/>
      <c r="R626" s="457"/>
      <c r="S626" s="455"/>
      <c r="T626" s="456"/>
      <c r="U626" s="455"/>
    </row>
    <row r="627" spans="2:21" s="454" customFormat="1" ht="10.199999999999999" customHeight="1">
      <c r="B627" s="455"/>
      <c r="C627" s="455"/>
      <c r="E627" s="456"/>
      <c r="F627" s="459"/>
      <c r="G627" s="459"/>
      <c r="H627" s="461"/>
      <c r="I627" s="460"/>
      <c r="J627" s="460"/>
      <c r="K627" s="459"/>
      <c r="L627" s="3986"/>
      <c r="M627" s="3986"/>
      <c r="O627" s="458"/>
      <c r="P627" s="456"/>
      <c r="Q627" s="456"/>
      <c r="R627" s="457"/>
      <c r="S627" s="455"/>
      <c r="T627" s="456"/>
      <c r="U627" s="455"/>
    </row>
    <row r="628" spans="2:21" s="454" customFormat="1" ht="10.199999999999999" customHeight="1">
      <c r="B628" s="455"/>
      <c r="C628" s="455"/>
      <c r="E628" s="456"/>
      <c r="F628" s="459"/>
      <c r="G628" s="459"/>
      <c r="H628" s="461"/>
      <c r="I628" s="460"/>
      <c r="J628" s="460"/>
      <c r="K628" s="459"/>
      <c r="L628" s="3986"/>
      <c r="M628" s="3986"/>
      <c r="O628" s="458"/>
      <c r="P628" s="456"/>
      <c r="Q628" s="456"/>
      <c r="R628" s="457"/>
      <c r="S628" s="455"/>
      <c r="T628" s="456"/>
      <c r="U628" s="455"/>
    </row>
    <row r="629" spans="2:21" s="454" customFormat="1" ht="10.199999999999999" customHeight="1">
      <c r="B629" s="455"/>
      <c r="C629" s="455"/>
      <c r="E629" s="456"/>
      <c r="F629" s="459"/>
      <c r="G629" s="459"/>
      <c r="H629" s="461"/>
      <c r="I629" s="460"/>
      <c r="J629" s="460"/>
      <c r="K629" s="459"/>
      <c r="L629" s="3986"/>
      <c r="M629" s="3986"/>
      <c r="O629" s="458"/>
      <c r="P629" s="456"/>
      <c r="Q629" s="456"/>
      <c r="R629" s="457"/>
      <c r="S629" s="455"/>
      <c r="T629" s="456"/>
      <c r="U629" s="455"/>
    </row>
    <row r="630" spans="2:21" s="454" customFormat="1" ht="10.199999999999999" customHeight="1">
      <c r="B630" s="455"/>
      <c r="C630" s="455"/>
      <c r="E630" s="456"/>
      <c r="F630" s="459"/>
      <c r="G630" s="459"/>
      <c r="H630" s="461"/>
      <c r="I630" s="460"/>
      <c r="J630" s="460"/>
      <c r="K630" s="459"/>
      <c r="L630" s="3986"/>
      <c r="M630" s="3986"/>
      <c r="O630" s="458"/>
      <c r="P630" s="456"/>
      <c r="Q630" s="456"/>
      <c r="R630" s="457"/>
      <c r="S630" s="455"/>
      <c r="T630" s="456"/>
      <c r="U630" s="455"/>
    </row>
    <row r="631" spans="2:21" s="454" customFormat="1" ht="10.199999999999999" customHeight="1">
      <c r="B631" s="455"/>
      <c r="C631" s="455"/>
      <c r="E631" s="456"/>
      <c r="F631" s="459"/>
      <c r="G631" s="459"/>
      <c r="H631" s="461"/>
      <c r="I631" s="460"/>
      <c r="J631" s="460"/>
      <c r="K631" s="459"/>
      <c r="L631" s="3986"/>
      <c r="M631" s="3986"/>
      <c r="O631" s="458"/>
      <c r="P631" s="456"/>
      <c r="Q631" s="456"/>
      <c r="R631" s="457"/>
      <c r="S631" s="455"/>
      <c r="T631" s="456"/>
      <c r="U631" s="455"/>
    </row>
    <row r="632" spans="2:21" s="454" customFormat="1" ht="10.199999999999999" customHeight="1">
      <c r="B632" s="455"/>
      <c r="C632" s="455"/>
      <c r="E632" s="456"/>
      <c r="F632" s="459"/>
      <c r="G632" s="459"/>
      <c r="H632" s="461"/>
      <c r="I632" s="460"/>
      <c r="J632" s="460"/>
      <c r="K632" s="459"/>
      <c r="L632" s="3986"/>
      <c r="M632" s="3986"/>
      <c r="O632" s="458"/>
      <c r="P632" s="456"/>
      <c r="Q632" s="456"/>
      <c r="R632" s="457"/>
      <c r="S632" s="455"/>
      <c r="T632" s="456"/>
      <c r="U632" s="455"/>
    </row>
    <row r="633" spans="2:21" s="454" customFormat="1" ht="10.199999999999999" customHeight="1">
      <c r="B633" s="455"/>
      <c r="C633" s="455"/>
      <c r="E633" s="456"/>
      <c r="F633" s="459"/>
      <c r="G633" s="459"/>
      <c r="H633" s="461"/>
      <c r="I633" s="460"/>
      <c r="J633" s="460"/>
      <c r="K633" s="459"/>
      <c r="L633" s="3986"/>
      <c r="M633" s="3986"/>
      <c r="O633" s="458"/>
      <c r="P633" s="456"/>
      <c r="Q633" s="456"/>
      <c r="R633" s="457"/>
      <c r="S633" s="455"/>
      <c r="T633" s="456"/>
      <c r="U633" s="455"/>
    </row>
    <row r="634" spans="2:21" s="454" customFormat="1" ht="10.199999999999999" customHeight="1">
      <c r="B634" s="455"/>
      <c r="C634" s="455"/>
      <c r="E634" s="456"/>
      <c r="F634" s="459"/>
      <c r="G634" s="459"/>
      <c r="H634" s="461"/>
      <c r="I634" s="460"/>
      <c r="J634" s="460"/>
      <c r="K634" s="459"/>
      <c r="L634" s="3986"/>
      <c r="M634" s="3986"/>
      <c r="O634" s="458"/>
      <c r="P634" s="456"/>
      <c r="Q634" s="456"/>
      <c r="R634" s="457"/>
      <c r="S634" s="455"/>
      <c r="T634" s="456"/>
      <c r="U634" s="455"/>
    </row>
    <row r="635" spans="2:21" s="454" customFormat="1" ht="10.199999999999999" customHeight="1">
      <c r="B635" s="455"/>
      <c r="C635" s="455"/>
      <c r="E635" s="456"/>
      <c r="F635" s="459"/>
      <c r="G635" s="459"/>
      <c r="H635" s="461"/>
      <c r="I635" s="460"/>
      <c r="J635" s="460"/>
      <c r="K635" s="459"/>
      <c r="L635" s="3986"/>
      <c r="M635" s="3986"/>
      <c r="O635" s="458"/>
      <c r="P635" s="456"/>
      <c r="Q635" s="456"/>
      <c r="R635" s="457"/>
      <c r="S635" s="455"/>
      <c r="T635" s="456"/>
      <c r="U635" s="455"/>
    </row>
    <row r="636" spans="2:21" s="454" customFormat="1" ht="10.199999999999999" customHeight="1">
      <c r="B636" s="455"/>
      <c r="C636" s="455"/>
      <c r="E636" s="456"/>
      <c r="F636" s="459"/>
      <c r="G636" s="459"/>
      <c r="H636" s="461"/>
      <c r="I636" s="460"/>
      <c r="J636" s="460"/>
      <c r="K636" s="459"/>
      <c r="L636" s="3986"/>
      <c r="M636" s="3986"/>
      <c r="O636" s="458"/>
      <c r="P636" s="456"/>
      <c r="Q636" s="456"/>
      <c r="R636" s="457"/>
      <c r="S636" s="455"/>
      <c r="T636" s="456"/>
      <c r="U636" s="455"/>
    </row>
    <row r="637" spans="2:21" s="454" customFormat="1" ht="10.199999999999999" customHeight="1">
      <c r="B637" s="455"/>
      <c r="C637" s="455"/>
      <c r="E637" s="456"/>
      <c r="F637" s="459"/>
      <c r="G637" s="459"/>
      <c r="H637" s="461"/>
      <c r="I637" s="460"/>
      <c r="J637" s="460"/>
      <c r="K637" s="459"/>
      <c r="L637" s="3986"/>
      <c r="M637" s="3986"/>
      <c r="O637" s="458"/>
      <c r="P637" s="456"/>
      <c r="Q637" s="456"/>
      <c r="R637" s="457"/>
      <c r="S637" s="455"/>
      <c r="T637" s="456"/>
      <c r="U637" s="455"/>
    </row>
    <row r="638" spans="2:21" s="454" customFormat="1" ht="10.199999999999999" customHeight="1">
      <c r="B638" s="455"/>
      <c r="C638" s="455"/>
      <c r="E638" s="456"/>
      <c r="F638" s="459"/>
      <c r="G638" s="459"/>
      <c r="H638" s="461"/>
      <c r="I638" s="460"/>
      <c r="J638" s="460"/>
      <c r="K638" s="459"/>
      <c r="L638" s="3986"/>
      <c r="M638" s="3986"/>
      <c r="O638" s="458"/>
      <c r="P638" s="456"/>
      <c r="Q638" s="456"/>
      <c r="R638" s="457"/>
      <c r="S638" s="455"/>
      <c r="T638" s="456"/>
      <c r="U638" s="455"/>
    </row>
    <row r="639" spans="2:21" s="454" customFormat="1" ht="10.199999999999999" customHeight="1">
      <c r="B639" s="455"/>
      <c r="C639" s="455"/>
      <c r="E639" s="456"/>
      <c r="F639" s="459"/>
      <c r="G639" s="459"/>
      <c r="H639" s="461"/>
      <c r="I639" s="460"/>
      <c r="J639" s="460"/>
      <c r="K639" s="459"/>
      <c r="L639" s="3986"/>
      <c r="M639" s="3986"/>
      <c r="O639" s="458"/>
      <c r="P639" s="456"/>
      <c r="Q639" s="456"/>
      <c r="R639" s="457"/>
      <c r="S639" s="455"/>
      <c r="T639" s="456"/>
      <c r="U639" s="455"/>
    </row>
    <row r="640" spans="2:21" s="454" customFormat="1" ht="10.199999999999999" customHeight="1">
      <c r="B640" s="455"/>
      <c r="C640" s="455"/>
      <c r="E640" s="456"/>
      <c r="F640" s="459"/>
      <c r="G640" s="459"/>
      <c r="H640" s="461"/>
      <c r="I640" s="460"/>
      <c r="J640" s="460"/>
      <c r="K640" s="459"/>
      <c r="L640" s="3986"/>
      <c r="M640" s="3986"/>
      <c r="O640" s="458"/>
      <c r="P640" s="456"/>
      <c r="Q640" s="456"/>
      <c r="R640" s="457"/>
      <c r="S640" s="455"/>
      <c r="T640" s="456"/>
      <c r="U640" s="455"/>
    </row>
    <row r="641" spans="2:21" s="454" customFormat="1" ht="10.199999999999999" customHeight="1">
      <c r="B641" s="455"/>
      <c r="C641" s="455"/>
      <c r="E641" s="456"/>
      <c r="F641" s="459"/>
      <c r="G641" s="459"/>
      <c r="H641" s="461"/>
      <c r="I641" s="460"/>
      <c r="J641" s="460"/>
      <c r="K641" s="459"/>
      <c r="L641" s="3986"/>
      <c r="M641" s="3986"/>
      <c r="O641" s="458"/>
      <c r="P641" s="456"/>
      <c r="Q641" s="456"/>
      <c r="R641" s="457"/>
      <c r="S641" s="455"/>
      <c r="T641" s="456"/>
      <c r="U641" s="455"/>
    </row>
    <row r="642" spans="2:21" s="454" customFormat="1" ht="10.199999999999999" customHeight="1">
      <c r="B642" s="455"/>
      <c r="C642" s="455"/>
      <c r="E642" s="456"/>
      <c r="F642" s="459"/>
      <c r="G642" s="459"/>
      <c r="H642" s="461"/>
      <c r="I642" s="460"/>
      <c r="J642" s="460"/>
      <c r="K642" s="459"/>
      <c r="L642" s="3986"/>
      <c r="M642" s="3986"/>
      <c r="O642" s="458"/>
      <c r="P642" s="456"/>
      <c r="Q642" s="456"/>
      <c r="R642" s="457"/>
      <c r="S642" s="455"/>
      <c r="T642" s="456"/>
      <c r="U642" s="455"/>
    </row>
    <row r="643" spans="2:21" s="454" customFormat="1" ht="10.199999999999999" customHeight="1">
      <c r="B643" s="455"/>
      <c r="C643" s="455"/>
      <c r="E643" s="456"/>
      <c r="F643" s="459"/>
      <c r="G643" s="459"/>
      <c r="H643" s="461"/>
      <c r="I643" s="460"/>
      <c r="J643" s="460"/>
      <c r="K643" s="459"/>
      <c r="L643" s="3986"/>
      <c r="M643" s="3986"/>
      <c r="O643" s="458"/>
      <c r="P643" s="456"/>
      <c r="Q643" s="456"/>
      <c r="R643" s="457"/>
      <c r="S643" s="455"/>
      <c r="T643" s="456"/>
      <c r="U643" s="455"/>
    </row>
    <row r="644" spans="2:21" s="454" customFormat="1" ht="10.199999999999999" customHeight="1">
      <c r="B644" s="455"/>
      <c r="C644" s="455"/>
      <c r="E644" s="456"/>
      <c r="F644" s="459"/>
      <c r="G644" s="459"/>
      <c r="H644" s="461"/>
      <c r="I644" s="460"/>
      <c r="J644" s="460"/>
      <c r="K644" s="459"/>
      <c r="L644" s="3986"/>
      <c r="M644" s="3986"/>
      <c r="O644" s="458"/>
      <c r="P644" s="456"/>
      <c r="Q644" s="456"/>
      <c r="R644" s="457"/>
      <c r="S644" s="455"/>
      <c r="T644" s="456"/>
      <c r="U644" s="455"/>
    </row>
    <row r="645" spans="2:21" s="454" customFormat="1" ht="10.199999999999999" customHeight="1">
      <c r="B645" s="455"/>
      <c r="C645" s="455"/>
      <c r="E645" s="456"/>
      <c r="F645" s="459"/>
      <c r="G645" s="459"/>
      <c r="H645" s="461"/>
      <c r="I645" s="460"/>
      <c r="J645" s="460"/>
      <c r="K645" s="459"/>
      <c r="L645" s="3986"/>
      <c r="M645" s="3986"/>
      <c r="O645" s="458"/>
      <c r="P645" s="456"/>
      <c r="Q645" s="456"/>
      <c r="R645" s="457"/>
      <c r="S645" s="455"/>
      <c r="T645" s="456"/>
      <c r="U645" s="455"/>
    </row>
    <row r="646" spans="2:21" s="454" customFormat="1" ht="10.199999999999999" customHeight="1">
      <c r="B646" s="455"/>
      <c r="C646" s="455"/>
      <c r="E646" s="456"/>
      <c r="F646" s="459"/>
      <c r="G646" s="459"/>
      <c r="H646" s="461"/>
      <c r="I646" s="460"/>
      <c r="J646" s="460"/>
      <c r="K646" s="459"/>
      <c r="L646" s="3986"/>
      <c r="M646" s="3986"/>
      <c r="O646" s="458"/>
      <c r="P646" s="456"/>
      <c r="Q646" s="456"/>
      <c r="R646" s="457"/>
      <c r="S646" s="455"/>
      <c r="T646" s="456"/>
      <c r="U646" s="455"/>
    </row>
    <row r="647" spans="2:21" s="454" customFormat="1" ht="10.199999999999999" customHeight="1">
      <c r="B647" s="455"/>
      <c r="C647" s="455"/>
      <c r="E647" s="456"/>
      <c r="F647" s="459"/>
      <c r="G647" s="459"/>
      <c r="H647" s="461"/>
      <c r="I647" s="460"/>
      <c r="J647" s="460"/>
      <c r="K647" s="459"/>
      <c r="L647" s="3986"/>
      <c r="M647" s="3986"/>
      <c r="O647" s="458"/>
      <c r="P647" s="456"/>
      <c r="Q647" s="456"/>
      <c r="R647" s="457"/>
      <c r="S647" s="455"/>
      <c r="T647" s="456"/>
      <c r="U647" s="455"/>
    </row>
    <row r="648" spans="2:21" s="454" customFormat="1" ht="10.199999999999999" customHeight="1">
      <c r="B648" s="455"/>
      <c r="C648" s="455"/>
      <c r="E648" s="456"/>
      <c r="F648" s="459"/>
      <c r="G648" s="459"/>
      <c r="H648" s="461"/>
      <c r="I648" s="460"/>
      <c r="J648" s="460"/>
      <c r="K648" s="459"/>
      <c r="L648" s="3986"/>
      <c r="M648" s="3986"/>
      <c r="O648" s="458"/>
      <c r="P648" s="456"/>
      <c r="Q648" s="456"/>
      <c r="R648" s="457"/>
      <c r="S648" s="455"/>
      <c r="T648" s="456"/>
      <c r="U648" s="455"/>
    </row>
    <row r="649" spans="2:21" s="454" customFormat="1" ht="10.199999999999999" customHeight="1">
      <c r="B649" s="455"/>
      <c r="C649" s="455"/>
      <c r="E649" s="456"/>
      <c r="F649" s="459"/>
      <c r="G649" s="459"/>
      <c r="H649" s="461"/>
      <c r="I649" s="460"/>
      <c r="J649" s="460"/>
      <c r="K649" s="459"/>
      <c r="L649" s="3986"/>
      <c r="M649" s="3986"/>
      <c r="O649" s="458"/>
      <c r="P649" s="456"/>
      <c r="Q649" s="456"/>
      <c r="R649" s="457"/>
      <c r="S649" s="455"/>
      <c r="T649" s="456"/>
      <c r="U649" s="455"/>
    </row>
    <row r="650" spans="2:21" s="454" customFormat="1" ht="10.199999999999999" customHeight="1">
      <c r="B650" s="455"/>
      <c r="C650" s="455"/>
      <c r="E650" s="456"/>
      <c r="F650" s="459"/>
      <c r="G650" s="459"/>
      <c r="H650" s="461"/>
      <c r="I650" s="460"/>
      <c r="J650" s="460"/>
      <c r="K650" s="459"/>
      <c r="L650" s="3986"/>
      <c r="M650" s="3986"/>
      <c r="O650" s="458"/>
      <c r="P650" s="456"/>
      <c r="Q650" s="456"/>
      <c r="R650" s="457"/>
      <c r="S650" s="455"/>
      <c r="T650" s="456"/>
      <c r="U650" s="455"/>
    </row>
    <row r="651" spans="2:21" s="454" customFormat="1" ht="10.199999999999999" customHeight="1">
      <c r="B651" s="455"/>
      <c r="C651" s="455"/>
      <c r="E651" s="456"/>
      <c r="F651" s="459"/>
      <c r="G651" s="459"/>
      <c r="H651" s="461"/>
      <c r="I651" s="460"/>
      <c r="J651" s="460"/>
      <c r="K651" s="459"/>
      <c r="L651" s="3986"/>
      <c r="M651" s="3986"/>
      <c r="O651" s="458"/>
      <c r="P651" s="456"/>
      <c r="Q651" s="456"/>
      <c r="R651" s="457"/>
      <c r="S651" s="455"/>
      <c r="T651" s="456"/>
      <c r="U651" s="455"/>
    </row>
    <row r="652" spans="2:21" s="454" customFormat="1" ht="10.199999999999999" customHeight="1">
      <c r="B652" s="455"/>
      <c r="C652" s="455"/>
      <c r="E652" s="456"/>
      <c r="F652" s="459"/>
      <c r="G652" s="459"/>
      <c r="H652" s="461"/>
      <c r="I652" s="460"/>
      <c r="J652" s="460"/>
      <c r="K652" s="459"/>
      <c r="L652" s="3986"/>
      <c r="M652" s="3986"/>
      <c r="O652" s="458"/>
      <c r="P652" s="456"/>
      <c r="Q652" s="456"/>
      <c r="R652" s="457"/>
      <c r="S652" s="455"/>
      <c r="T652" s="456"/>
      <c r="U652" s="455"/>
    </row>
    <row r="653" spans="2:21" s="454" customFormat="1" ht="10.199999999999999" customHeight="1">
      <c r="B653" s="455"/>
      <c r="C653" s="455"/>
      <c r="E653" s="456"/>
      <c r="F653" s="459"/>
      <c r="G653" s="459"/>
      <c r="H653" s="461"/>
      <c r="I653" s="460"/>
      <c r="J653" s="460"/>
      <c r="K653" s="459"/>
      <c r="L653" s="3986"/>
      <c r="M653" s="3986"/>
      <c r="O653" s="458"/>
      <c r="P653" s="456"/>
      <c r="Q653" s="456"/>
      <c r="R653" s="457"/>
      <c r="S653" s="455"/>
      <c r="T653" s="456"/>
      <c r="U653" s="455"/>
    </row>
    <row r="654" spans="2:21" s="454" customFormat="1" ht="10.199999999999999" customHeight="1">
      <c r="B654" s="455"/>
      <c r="C654" s="455"/>
      <c r="E654" s="456"/>
      <c r="F654" s="459"/>
      <c r="G654" s="459"/>
      <c r="H654" s="461"/>
      <c r="I654" s="460"/>
      <c r="J654" s="460"/>
      <c r="K654" s="459"/>
      <c r="L654" s="3986"/>
      <c r="M654" s="3986"/>
      <c r="O654" s="458"/>
      <c r="P654" s="456"/>
      <c r="Q654" s="456"/>
      <c r="R654" s="457"/>
      <c r="S654" s="455"/>
      <c r="T654" s="456"/>
      <c r="U654" s="455"/>
    </row>
    <row r="655" spans="2:21" s="454" customFormat="1" ht="10.199999999999999" customHeight="1">
      <c r="B655" s="455"/>
      <c r="C655" s="455"/>
      <c r="E655" s="456"/>
      <c r="F655" s="459"/>
      <c r="G655" s="459"/>
      <c r="H655" s="461"/>
      <c r="I655" s="460"/>
      <c r="J655" s="460"/>
      <c r="K655" s="459"/>
      <c r="L655" s="3986"/>
      <c r="M655" s="3986"/>
      <c r="O655" s="458"/>
      <c r="P655" s="456"/>
      <c r="Q655" s="456"/>
      <c r="R655" s="457"/>
      <c r="S655" s="455"/>
      <c r="T655" s="456"/>
      <c r="U655" s="455"/>
    </row>
    <row r="656" spans="2:21" s="454" customFormat="1" ht="10.199999999999999" customHeight="1">
      <c r="B656" s="455"/>
      <c r="C656" s="455"/>
      <c r="E656" s="456"/>
      <c r="F656" s="459"/>
      <c r="G656" s="459"/>
      <c r="H656" s="461"/>
      <c r="I656" s="460"/>
      <c r="J656" s="460"/>
      <c r="K656" s="459"/>
      <c r="L656" s="3986"/>
      <c r="M656" s="3986"/>
      <c r="O656" s="458"/>
      <c r="P656" s="456"/>
      <c r="Q656" s="456"/>
      <c r="R656" s="457"/>
      <c r="S656" s="455"/>
      <c r="T656" s="456"/>
      <c r="U656" s="455"/>
    </row>
    <row r="657" spans="2:21" s="454" customFormat="1" ht="10.199999999999999" customHeight="1">
      <c r="B657" s="455"/>
      <c r="C657" s="455"/>
      <c r="E657" s="456"/>
      <c r="F657" s="459"/>
      <c r="G657" s="459"/>
      <c r="H657" s="461"/>
      <c r="I657" s="460"/>
      <c r="J657" s="460"/>
      <c r="K657" s="459"/>
      <c r="L657" s="3986"/>
      <c r="M657" s="3986"/>
      <c r="O657" s="458"/>
      <c r="P657" s="456"/>
      <c r="Q657" s="456"/>
      <c r="R657" s="457"/>
      <c r="S657" s="455"/>
      <c r="T657" s="456"/>
      <c r="U657" s="455"/>
    </row>
    <row r="658" spans="2:21" s="454" customFormat="1" ht="10.199999999999999" customHeight="1">
      <c r="B658" s="455"/>
      <c r="C658" s="455"/>
      <c r="E658" s="456"/>
      <c r="F658" s="459"/>
      <c r="G658" s="459"/>
      <c r="H658" s="461"/>
      <c r="I658" s="460"/>
      <c r="J658" s="460"/>
      <c r="K658" s="459"/>
      <c r="L658" s="3986"/>
      <c r="M658" s="3986"/>
      <c r="O658" s="458"/>
      <c r="P658" s="456"/>
      <c r="Q658" s="456"/>
      <c r="R658" s="457"/>
      <c r="S658" s="455"/>
      <c r="T658" s="456"/>
      <c r="U658" s="455"/>
    </row>
    <row r="659" spans="2:21" s="454" customFormat="1" ht="10.199999999999999" customHeight="1">
      <c r="B659" s="455"/>
      <c r="C659" s="455"/>
      <c r="E659" s="456"/>
      <c r="F659" s="459"/>
      <c r="G659" s="459"/>
      <c r="H659" s="461"/>
      <c r="I659" s="460"/>
      <c r="J659" s="460"/>
      <c r="K659" s="459"/>
      <c r="L659" s="3986"/>
      <c r="M659" s="3986"/>
      <c r="O659" s="458"/>
      <c r="P659" s="456"/>
      <c r="Q659" s="456"/>
      <c r="R659" s="457"/>
      <c r="S659" s="455"/>
      <c r="T659" s="456"/>
      <c r="U659" s="455"/>
    </row>
    <row r="660" spans="2:21" s="454" customFormat="1" ht="10.199999999999999" customHeight="1">
      <c r="B660" s="455"/>
      <c r="C660" s="455"/>
      <c r="E660" s="456"/>
      <c r="F660" s="459"/>
      <c r="G660" s="459"/>
      <c r="H660" s="461"/>
      <c r="I660" s="460"/>
      <c r="J660" s="460"/>
      <c r="K660" s="459"/>
      <c r="L660" s="3986"/>
      <c r="M660" s="3986"/>
      <c r="O660" s="458"/>
      <c r="P660" s="456"/>
      <c r="Q660" s="456"/>
      <c r="R660" s="457"/>
      <c r="S660" s="455"/>
      <c r="T660" s="456"/>
      <c r="U660" s="455"/>
    </row>
    <row r="661" spans="2:21" s="454" customFormat="1" ht="10.199999999999999" customHeight="1">
      <c r="B661" s="455"/>
      <c r="C661" s="455"/>
      <c r="E661" s="456"/>
      <c r="F661" s="459"/>
      <c r="G661" s="459"/>
      <c r="H661" s="461"/>
      <c r="I661" s="460"/>
      <c r="J661" s="460"/>
      <c r="K661" s="459"/>
      <c r="L661" s="3986"/>
      <c r="M661" s="3986"/>
      <c r="O661" s="458"/>
      <c r="P661" s="456"/>
      <c r="Q661" s="456"/>
      <c r="R661" s="457"/>
      <c r="S661" s="455"/>
      <c r="T661" s="456"/>
      <c r="U661" s="455"/>
    </row>
    <row r="662" spans="2:21" s="454" customFormat="1" ht="10.199999999999999" customHeight="1">
      <c r="B662" s="455"/>
      <c r="C662" s="455"/>
      <c r="E662" s="456"/>
      <c r="F662" s="459"/>
      <c r="G662" s="459"/>
      <c r="H662" s="461"/>
      <c r="I662" s="460"/>
      <c r="J662" s="460"/>
      <c r="K662" s="459"/>
      <c r="L662" s="3986"/>
      <c r="M662" s="3986"/>
      <c r="O662" s="458"/>
      <c r="P662" s="456"/>
      <c r="Q662" s="456"/>
      <c r="R662" s="457"/>
      <c r="S662" s="455"/>
      <c r="T662" s="456"/>
      <c r="U662" s="455"/>
    </row>
    <row r="663" spans="2:21" s="454" customFormat="1" ht="10.199999999999999" customHeight="1">
      <c r="B663" s="455"/>
      <c r="C663" s="455"/>
      <c r="E663" s="456"/>
      <c r="F663" s="459"/>
      <c r="G663" s="459"/>
      <c r="H663" s="461"/>
      <c r="I663" s="460"/>
      <c r="J663" s="460"/>
      <c r="K663" s="459"/>
      <c r="L663" s="3986"/>
      <c r="M663" s="3986"/>
      <c r="O663" s="458"/>
      <c r="P663" s="456"/>
      <c r="Q663" s="456"/>
      <c r="R663" s="457"/>
      <c r="S663" s="455"/>
      <c r="T663" s="456"/>
      <c r="U663" s="455"/>
    </row>
    <row r="664" spans="2:21" s="454" customFormat="1" ht="10.199999999999999" customHeight="1">
      <c r="B664" s="455"/>
      <c r="C664" s="455"/>
      <c r="E664" s="456"/>
      <c r="F664" s="459"/>
      <c r="G664" s="459"/>
      <c r="H664" s="461"/>
      <c r="I664" s="460"/>
      <c r="J664" s="460"/>
      <c r="K664" s="459"/>
      <c r="L664" s="3986"/>
      <c r="M664" s="3986"/>
      <c r="O664" s="458"/>
      <c r="P664" s="456"/>
      <c r="Q664" s="456"/>
      <c r="R664" s="457"/>
      <c r="S664" s="455"/>
      <c r="T664" s="456"/>
      <c r="U664" s="455"/>
    </row>
    <row r="665" spans="2:21" s="454" customFormat="1" ht="10.199999999999999" customHeight="1">
      <c r="B665" s="455"/>
      <c r="C665" s="455"/>
      <c r="E665" s="456"/>
      <c r="F665" s="459"/>
      <c r="G665" s="459"/>
      <c r="H665" s="461"/>
      <c r="I665" s="460"/>
      <c r="J665" s="460"/>
      <c r="K665" s="459"/>
      <c r="L665" s="3986"/>
      <c r="M665" s="3986"/>
      <c r="O665" s="458"/>
      <c r="P665" s="456"/>
      <c r="Q665" s="456"/>
      <c r="R665" s="457"/>
      <c r="S665" s="455"/>
      <c r="T665" s="456"/>
      <c r="U665" s="455"/>
    </row>
    <row r="666" spans="2:21" s="454" customFormat="1" ht="10.199999999999999" customHeight="1">
      <c r="B666" s="455"/>
      <c r="C666" s="455"/>
      <c r="E666" s="456"/>
      <c r="F666" s="459"/>
      <c r="G666" s="459"/>
      <c r="H666" s="461"/>
      <c r="I666" s="460"/>
      <c r="J666" s="460"/>
      <c r="K666" s="459"/>
      <c r="L666" s="3986"/>
      <c r="M666" s="3986"/>
      <c r="O666" s="458"/>
      <c r="P666" s="456"/>
      <c r="Q666" s="456"/>
      <c r="R666" s="457"/>
      <c r="S666" s="455"/>
      <c r="T666" s="456"/>
      <c r="U666" s="455"/>
    </row>
    <row r="667" spans="2:21" s="454" customFormat="1" ht="10.199999999999999" customHeight="1">
      <c r="B667" s="455"/>
      <c r="C667" s="455"/>
      <c r="E667" s="456"/>
      <c r="F667" s="459"/>
      <c r="G667" s="459"/>
      <c r="H667" s="461"/>
      <c r="I667" s="460"/>
      <c r="J667" s="460"/>
      <c r="K667" s="459"/>
      <c r="L667" s="3986"/>
      <c r="M667" s="3986"/>
      <c r="O667" s="458"/>
      <c r="P667" s="456"/>
      <c r="Q667" s="456"/>
      <c r="R667" s="457"/>
      <c r="S667" s="455"/>
      <c r="T667" s="456"/>
      <c r="U667" s="455"/>
    </row>
    <row r="668" spans="2:21" s="454" customFormat="1" ht="10.199999999999999" customHeight="1">
      <c r="B668" s="455"/>
      <c r="C668" s="455"/>
      <c r="E668" s="456"/>
      <c r="F668" s="459"/>
      <c r="G668" s="459"/>
      <c r="H668" s="461"/>
      <c r="I668" s="460"/>
      <c r="J668" s="460"/>
      <c r="K668" s="459"/>
      <c r="L668" s="3986"/>
      <c r="M668" s="3986"/>
      <c r="O668" s="458"/>
      <c r="P668" s="456"/>
      <c r="Q668" s="456"/>
      <c r="R668" s="457"/>
      <c r="S668" s="455"/>
      <c r="T668" s="456"/>
      <c r="U668" s="455"/>
    </row>
    <row r="669" spans="2:21" s="454" customFormat="1" ht="10.199999999999999" customHeight="1">
      <c r="B669" s="455"/>
      <c r="C669" s="455"/>
      <c r="E669" s="456"/>
      <c r="F669" s="459"/>
      <c r="G669" s="459"/>
      <c r="H669" s="461"/>
      <c r="I669" s="460"/>
      <c r="J669" s="460"/>
      <c r="K669" s="459"/>
      <c r="L669" s="3986"/>
      <c r="M669" s="3986"/>
      <c r="O669" s="458"/>
      <c r="P669" s="456"/>
      <c r="Q669" s="456"/>
      <c r="R669" s="457"/>
      <c r="S669" s="455"/>
      <c r="T669" s="456"/>
      <c r="U669" s="455"/>
    </row>
    <row r="670" spans="2:21" s="454" customFormat="1" ht="10.199999999999999" customHeight="1">
      <c r="B670" s="455"/>
      <c r="C670" s="455"/>
      <c r="E670" s="456"/>
      <c r="F670" s="459"/>
      <c r="G670" s="459"/>
      <c r="H670" s="461"/>
      <c r="I670" s="460"/>
      <c r="J670" s="460"/>
      <c r="K670" s="459"/>
      <c r="L670" s="3986"/>
      <c r="M670" s="3986"/>
      <c r="O670" s="458"/>
      <c r="P670" s="456"/>
      <c r="Q670" s="456"/>
      <c r="R670" s="457"/>
      <c r="S670" s="455"/>
      <c r="T670" s="456"/>
      <c r="U670" s="455"/>
    </row>
    <row r="671" spans="2:21" s="454" customFormat="1" ht="10.199999999999999" customHeight="1">
      <c r="B671" s="455"/>
      <c r="C671" s="455"/>
      <c r="E671" s="456"/>
      <c r="F671" s="459"/>
      <c r="G671" s="459"/>
      <c r="H671" s="461"/>
      <c r="I671" s="460"/>
      <c r="J671" s="460"/>
      <c r="K671" s="459"/>
      <c r="L671" s="3986"/>
      <c r="M671" s="3986"/>
      <c r="O671" s="458"/>
      <c r="P671" s="456"/>
      <c r="Q671" s="456"/>
      <c r="R671" s="457"/>
      <c r="S671" s="455"/>
      <c r="T671" s="456"/>
      <c r="U671" s="455"/>
    </row>
    <row r="672" spans="2:21" s="454" customFormat="1" ht="10.199999999999999" customHeight="1">
      <c r="B672" s="455"/>
      <c r="C672" s="455"/>
      <c r="E672" s="456"/>
      <c r="F672" s="459"/>
      <c r="G672" s="459"/>
      <c r="H672" s="461"/>
      <c r="I672" s="460"/>
      <c r="J672" s="460"/>
      <c r="K672" s="459"/>
      <c r="L672" s="3986"/>
      <c r="M672" s="3986"/>
      <c r="O672" s="458"/>
      <c r="P672" s="456"/>
      <c r="Q672" s="456"/>
      <c r="R672" s="457"/>
      <c r="S672" s="455"/>
      <c r="T672" s="456"/>
      <c r="U672" s="455"/>
    </row>
    <row r="673" spans="2:21" s="454" customFormat="1" ht="10.199999999999999" customHeight="1">
      <c r="B673" s="455"/>
      <c r="C673" s="455"/>
      <c r="E673" s="456"/>
      <c r="F673" s="459"/>
      <c r="G673" s="459"/>
      <c r="H673" s="461"/>
      <c r="I673" s="460"/>
      <c r="J673" s="460"/>
      <c r="K673" s="459"/>
      <c r="L673" s="3986"/>
      <c r="M673" s="3986"/>
      <c r="O673" s="458"/>
      <c r="P673" s="456"/>
      <c r="Q673" s="456"/>
      <c r="R673" s="457"/>
      <c r="S673" s="455"/>
      <c r="T673" s="456"/>
      <c r="U673" s="455"/>
    </row>
    <row r="674" spans="2:21" s="454" customFormat="1" ht="10.199999999999999" customHeight="1">
      <c r="B674" s="455"/>
      <c r="C674" s="455"/>
      <c r="E674" s="456"/>
      <c r="F674" s="459"/>
      <c r="G674" s="459"/>
      <c r="H674" s="461"/>
      <c r="I674" s="460"/>
      <c r="J674" s="460"/>
      <c r="K674" s="459"/>
      <c r="L674" s="3986"/>
      <c r="M674" s="3986"/>
      <c r="O674" s="458"/>
      <c r="P674" s="456"/>
      <c r="Q674" s="456"/>
      <c r="R674" s="457"/>
      <c r="S674" s="455"/>
      <c r="T674" s="456"/>
      <c r="U674" s="455"/>
    </row>
    <row r="675" spans="2:21" s="454" customFormat="1" ht="10.199999999999999" customHeight="1">
      <c r="B675" s="455"/>
      <c r="C675" s="455"/>
      <c r="E675" s="456"/>
      <c r="F675" s="459"/>
      <c r="G675" s="459"/>
      <c r="H675" s="461"/>
      <c r="I675" s="460"/>
      <c r="J675" s="460"/>
      <c r="K675" s="459"/>
      <c r="L675" s="3986"/>
      <c r="M675" s="3986"/>
      <c r="O675" s="458"/>
      <c r="P675" s="456"/>
      <c r="Q675" s="456"/>
      <c r="R675" s="457"/>
      <c r="S675" s="455"/>
      <c r="T675" s="456"/>
      <c r="U675" s="455"/>
    </row>
    <row r="676" spans="2:21" s="454" customFormat="1" ht="10.199999999999999" customHeight="1">
      <c r="B676" s="455"/>
      <c r="C676" s="455"/>
      <c r="E676" s="456"/>
      <c r="F676" s="459"/>
      <c r="G676" s="459"/>
      <c r="H676" s="461"/>
      <c r="I676" s="460"/>
      <c r="J676" s="460"/>
      <c r="K676" s="459"/>
      <c r="L676" s="3986"/>
      <c r="M676" s="3986"/>
      <c r="O676" s="458"/>
      <c r="P676" s="456"/>
      <c r="Q676" s="456"/>
      <c r="R676" s="457"/>
      <c r="S676" s="455"/>
      <c r="T676" s="456"/>
      <c r="U676" s="455"/>
    </row>
    <row r="677" spans="2:21" s="454" customFormat="1" ht="10.199999999999999" customHeight="1">
      <c r="B677" s="455"/>
      <c r="C677" s="455"/>
      <c r="E677" s="456"/>
      <c r="F677" s="459"/>
      <c r="G677" s="459"/>
      <c r="H677" s="461"/>
      <c r="I677" s="460"/>
      <c r="J677" s="460"/>
      <c r="K677" s="459"/>
      <c r="L677" s="3986"/>
      <c r="M677" s="3986"/>
      <c r="O677" s="458"/>
      <c r="P677" s="456"/>
      <c r="Q677" s="456"/>
      <c r="R677" s="457"/>
      <c r="S677" s="455"/>
      <c r="T677" s="456"/>
      <c r="U677" s="455"/>
    </row>
    <row r="678" spans="2:21" s="454" customFormat="1" ht="10.199999999999999" customHeight="1">
      <c r="B678" s="455"/>
      <c r="C678" s="455"/>
      <c r="E678" s="456"/>
      <c r="F678" s="459"/>
      <c r="G678" s="459"/>
      <c r="H678" s="461"/>
      <c r="I678" s="460"/>
      <c r="J678" s="460"/>
      <c r="K678" s="459"/>
      <c r="L678" s="3986"/>
      <c r="M678" s="3986"/>
      <c r="O678" s="458"/>
      <c r="P678" s="456"/>
      <c r="Q678" s="456"/>
      <c r="R678" s="457"/>
      <c r="S678" s="455"/>
      <c r="T678" s="456"/>
      <c r="U678" s="455"/>
    </row>
    <row r="679" spans="2:21" s="454" customFormat="1" ht="10.199999999999999" customHeight="1">
      <c r="B679" s="455"/>
      <c r="C679" s="455"/>
      <c r="E679" s="456"/>
      <c r="F679" s="459"/>
      <c r="G679" s="459"/>
      <c r="H679" s="461"/>
      <c r="I679" s="460"/>
      <c r="J679" s="460"/>
      <c r="K679" s="459"/>
      <c r="L679" s="3986"/>
      <c r="M679" s="3986"/>
      <c r="O679" s="458"/>
      <c r="P679" s="456"/>
      <c r="Q679" s="456"/>
      <c r="R679" s="457"/>
      <c r="S679" s="455"/>
      <c r="T679" s="456"/>
      <c r="U679" s="455"/>
    </row>
    <row r="680" spans="2:21" s="454" customFormat="1" ht="10.199999999999999" customHeight="1">
      <c r="B680" s="455"/>
      <c r="C680" s="455"/>
      <c r="E680" s="456"/>
      <c r="F680" s="459"/>
      <c r="G680" s="459"/>
      <c r="H680" s="461"/>
      <c r="I680" s="460"/>
      <c r="J680" s="460"/>
      <c r="K680" s="459"/>
      <c r="L680" s="3986"/>
      <c r="M680" s="3986"/>
      <c r="O680" s="458"/>
      <c r="P680" s="456"/>
      <c r="Q680" s="456"/>
      <c r="R680" s="457"/>
      <c r="S680" s="455"/>
      <c r="T680" s="456"/>
      <c r="U680" s="455"/>
    </row>
    <row r="681" spans="2:21" s="454" customFormat="1" ht="10.199999999999999" customHeight="1">
      <c r="B681" s="455"/>
      <c r="C681" s="455"/>
      <c r="E681" s="456"/>
      <c r="F681" s="459"/>
      <c r="G681" s="459"/>
      <c r="H681" s="461"/>
      <c r="I681" s="460"/>
      <c r="J681" s="460"/>
      <c r="K681" s="459"/>
      <c r="L681" s="3986"/>
      <c r="M681" s="3986"/>
      <c r="O681" s="458"/>
      <c r="P681" s="456"/>
      <c r="Q681" s="456"/>
      <c r="R681" s="457"/>
      <c r="S681" s="455"/>
      <c r="T681" s="456"/>
      <c r="U681" s="455"/>
    </row>
    <row r="682" spans="2:21" s="454" customFormat="1" ht="10.199999999999999" customHeight="1">
      <c r="B682" s="455"/>
      <c r="C682" s="455"/>
      <c r="E682" s="456"/>
      <c r="F682" s="459"/>
      <c r="G682" s="459"/>
      <c r="H682" s="461"/>
      <c r="I682" s="460"/>
      <c r="J682" s="460"/>
      <c r="K682" s="459"/>
      <c r="L682" s="3986"/>
      <c r="M682" s="3986"/>
      <c r="O682" s="458"/>
      <c r="P682" s="456"/>
      <c r="Q682" s="456"/>
      <c r="R682" s="457"/>
      <c r="S682" s="455"/>
      <c r="T682" s="456"/>
      <c r="U682" s="455"/>
    </row>
    <row r="683" spans="2:21" s="454" customFormat="1" ht="10.199999999999999" customHeight="1">
      <c r="B683" s="455"/>
      <c r="C683" s="455"/>
      <c r="E683" s="456"/>
      <c r="F683" s="459"/>
      <c r="G683" s="459"/>
      <c r="H683" s="461"/>
      <c r="I683" s="460"/>
      <c r="J683" s="460"/>
      <c r="K683" s="459"/>
      <c r="L683" s="3986"/>
      <c r="M683" s="3986"/>
      <c r="O683" s="458"/>
      <c r="P683" s="456"/>
      <c r="Q683" s="456"/>
      <c r="R683" s="457"/>
      <c r="S683" s="455"/>
      <c r="T683" s="456"/>
      <c r="U683" s="455"/>
    </row>
    <row r="684" spans="2:21" s="454" customFormat="1" ht="10.199999999999999" customHeight="1">
      <c r="B684" s="455"/>
      <c r="C684" s="455"/>
      <c r="E684" s="456"/>
      <c r="F684" s="459"/>
      <c r="G684" s="459"/>
      <c r="H684" s="461"/>
      <c r="I684" s="460"/>
      <c r="J684" s="460"/>
      <c r="K684" s="459"/>
      <c r="L684" s="3986"/>
      <c r="M684" s="3986"/>
      <c r="O684" s="458"/>
      <c r="P684" s="456"/>
      <c r="Q684" s="456"/>
      <c r="R684" s="457"/>
      <c r="S684" s="455"/>
      <c r="T684" s="456"/>
      <c r="U684" s="455"/>
    </row>
    <row r="685" spans="2:21" s="454" customFormat="1" ht="10.199999999999999" customHeight="1">
      <c r="B685" s="455"/>
      <c r="C685" s="455"/>
      <c r="E685" s="456"/>
      <c r="F685" s="459"/>
      <c r="G685" s="459"/>
      <c r="H685" s="461"/>
      <c r="I685" s="460"/>
      <c r="J685" s="460"/>
      <c r="K685" s="459"/>
      <c r="L685" s="3986"/>
      <c r="M685" s="3986"/>
      <c r="O685" s="458"/>
      <c r="P685" s="456"/>
      <c r="Q685" s="456"/>
      <c r="R685" s="457"/>
      <c r="S685" s="455"/>
      <c r="T685" s="456"/>
      <c r="U685" s="455"/>
    </row>
    <row r="686" spans="2:21" s="454" customFormat="1" ht="10.199999999999999" customHeight="1">
      <c r="B686" s="455"/>
      <c r="C686" s="455"/>
      <c r="E686" s="456"/>
      <c r="F686" s="459"/>
      <c r="G686" s="459"/>
      <c r="H686" s="461"/>
      <c r="I686" s="460"/>
      <c r="J686" s="460"/>
      <c r="K686" s="459"/>
      <c r="L686" s="3986"/>
      <c r="M686" s="3986"/>
      <c r="O686" s="458"/>
      <c r="P686" s="456"/>
      <c r="Q686" s="456"/>
      <c r="R686" s="457"/>
      <c r="S686" s="455"/>
      <c r="T686" s="456"/>
      <c r="U686" s="455"/>
    </row>
    <row r="687" spans="2:21" s="454" customFormat="1" ht="10.199999999999999" customHeight="1">
      <c r="B687" s="455"/>
      <c r="C687" s="455"/>
      <c r="E687" s="456"/>
      <c r="F687" s="459"/>
      <c r="G687" s="459"/>
      <c r="H687" s="461"/>
      <c r="I687" s="460"/>
      <c r="J687" s="460"/>
      <c r="K687" s="459"/>
      <c r="L687" s="3986"/>
      <c r="M687" s="3986"/>
      <c r="O687" s="458"/>
      <c r="P687" s="456"/>
      <c r="Q687" s="456"/>
      <c r="R687" s="457"/>
      <c r="S687" s="455"/>
      <c r="T687" s="456"/>
      <c r="U687" s="455"/>
    </row>
    <row r="688" spans="2:21" s="454" customFormat="1" ht="10.199999999999999" customHeight="1">
      <c r="B688" s="455"/>
      <c r="C688" s="455"/>
      <c r="E688" s="456"/>
      <c r="F688" s="459"/>
      <c r="G688" s="459"/>
      <c r="H688" s="461"/>
      <c r="I688" s="460"/>
      <c r="J688" s="460"/>
      <c r="K688" s="459"/>
      <c r="L688" s="3986"/>
      <c r="M688" s="3986"/>
      <c r="O688" s="458"/>
      <c r="P688" s="456"/>
      <c r="Q688" s="456"/>
      <c r="R688" s="457"/>
      <c r="S688" s="455"/>
      <c r="T688" s="456"/>
      <c r="U688" s="455"/>
    </row>
    <row r="689" spans="2:21" s="454" customFormat="1" ht="10.199999999999999" customHeight="1">
      <c r="B689" s="455"/>
      <c r="C689" s="455"/>
      <c r="E689" s="456"/>
      <c r="F689" s="459"/>
      <c r="G689" s="459"/>
      <c r="H689" s="461"/>
      <c r="I689" s="460"/>
      <c r="J689" s="460"/>
      <c r="K689" s="459"/>
      <c r="L689" s="3986"/>
      <c r="M689" s="3986"/>
      <c r="O689" s="458"/>
      <c r="P689" s="456"/>
      <c r="Q689" s="456"/>
      <c r="R689" s="457"/>
      <c r="S689" s="455"/>
      <c r="T689" s="456"/>
      <c r="U689" s="455"/>
    </row>
    <row r="690" spans="2:21" s="454" customFormat="1" ht="10.199999999999999" customHeight="1">
      <c r="B690" s="455"/>
      <c r="C690" s="455"/>
      <c r="E690" s="456"/>
      <c r="F690" s="459"/>
      <c r="G690" s="459"/>
      <c r="H690" s="461"/>
      <c r="I690" s="460"/>
      <c r="J690" s="460"/>
      <c r="K690" s="459"/>
      <c r="L690" s="3986"/>
      <c r="M690" s="3986"/>
      <c r="O690" s="458"/>
      <c r="P690" s="456"/>
      <c r="Q690" s="456"/>
      <c r="R690" s="457"/>
      <c r="S690" s="455"/>
      <c r="T690" s="456"/>
      <c r="U690" s="455"/>
    </row>
    <row r="691" spans="2:21" s="454" customFormat="1" ht="10.199999999999999" customHeight="1">
      <c r="B691" s="455"/>
      <c r="C691" s="455"/>
      <c r="E691" s="456"/>
      <c r="F691" s="459"/>
      <c r="G691" s="459"/>
      <c r="H691" s="461"/>
      <c r="I691" s="460"/>
      <c r="J691" s="460"/>
      <c r="K691" s="459"/>
      <c r="L691" s="3986"/>
      <c r="M691" s="3986"/>
      <c r="O691" s="458"/>
      <c r="P691" s="456"/>
      <c r="Q691" s="456"/>
      <c r="R691" s="457"/>
      <c r="S691" s="455"/>
      <c r="T691" s="456"/>
      <c r="U691" s="455"/>
    </row>
    <row r="692" spans="2:21" s="454" customFormat="1" ht="10.199999999999999" customHeight="1">
      <c r="B692" s="455"/>
      <c r="C692" s="455"/>
      <c r="E692" s="456"/>
      <c r="F692" s="459"/>
      <c r="G692" s="459"/>
      <c r="H692" s="461"/>
      <c r="I692" s="460"/>
      <c r="J692" s="460"/>
      <c r="K692" s="459"/>
      <c r="L692" s="3986"/>
      <c r="M692" s="3986"/>
      <c r="O692" s="458"/>
      <c r="P692" s="456"/>
      <c r="Q692" s="456"/>
      <c r="R692" s="457"/>
      <c r="S692" s="455"/>
      <c r="T692" s="456"/>
      <c r="U692" s="455"/>
    </row>
    <row r="693" spans="2:21" s="454" customFormat="1" ht="10.199999999999999" customHeight="1">
      <c r="B693" s="455"/>
      <c r="C693" s="455"/>
      <c r="E693" s="456"/>
      <c r="F693" s="459"/>
      <c r="G693" s="459"/>
      <c r="H693" s="461"/>
      <c r="I693" s="460"/>
      <c r="J693" s="460"/>
      <c r="K693" s="459"/>
      <c r="L693" s="3986"/>
      <c r="M693" s="3986"/>
      <c r="O693" s="458"/>
      <c r="P693" s="456"/>
      <c r="Q693" s="456"/>
      <c r="R693" s="457"/>
      <c r="S693" s="455"/>
      <c r="T693" s="456"/>
      <c r="U693" s="455"/>
    </row>
    <row r="694" spans="2:21" s="454" customFormat="1" ht="10.199999999999999" customHeight="1">
      <c r="B694" s="455"/>
      <c r="C694" s="455"/>
      <c r="E694" s="456"/>
      <c r="F694" s="459"/>
      <c r="G694" s="459"/>
      <c r="H694" s="461"/>
      <c r="I694" s="460"/>
      <c r="J694" s="460"/>
      <c r="K694" s="459"/>
      <c r="L694" s="3986"/>
      <c r="M694" s="3986"/>
      <c r="O694" s="458"/>
      <c r="P694" s="456"/>
      <c r="Q694" s="456"/>
      <c r="R694" s="457"/>
      <c r="S694" s="455"/>
      <c r="T694" s="456"/>
      <c r="U694" s="455"/>
    </row>
    <row r="695" spans="2:21" s="454" customFormat="1" ht="10.199999999999999" customHeight="1">
      <c r="B695" s="455"/>
      <c r="C695" s="455"/>
      <c r="E695" s="456"/>
      <c r="F695" s="459"/>
      <c r="G695" s="459"/>
      <c r="H695" s="461"/>
      <c r="I695" s="460"/>
      <c r="J695" s="460"/>
      <c r="K695" s="459"/>
      <c r="L695" s="3986"/>
      <c r="M695" s="3986"/>
      <c r="O695" s="458"/>
      <c r="P695" s="456"/>
      <c r="Q695" s="456"/>
      <c r="R695" s="457"/>
      <c r="S695" s="455"/>
      <c r="T695" s="456"/>
      <c r="U695" s="455"/>
    </row>
    <row r="696" spans="2:21" s="454" customFormat="1" ht="10.199999999999999" customHeight="1">
      <c r="B696" s="455"/>
      <c r="C696" s="455"/>
      <c r="E696" s="456"/>
      <c r="F696" s="459"/>
      <c r="G696" s="459"/>
      <c r="H696" s="461"/>
      <c r="I696" s="460"/>
      <c r="J696" s="460"/>
      <c r="K696" s="459"/>
      <c r="L696" s="3986"/>
      <c r="M696" s="3986"/>
      <c r="O696" s="458"/>
      <c r="P696" s="456"/>
      <c r="Q696" s="456"/>
      <c r="R696" s="457"/>
      <c r="S696" s="455"/>
      <c r="T696" s="456"/>
      <c r="U696" s="455"/>
    </row>
    <row r="697" spans="2:21" s="454" customFormat="1" ht="10.199999999999999" customHeight="1">
      <c r="B697" s="455"/>
      <c r="C697" s="455"/>
      <c r="E697" s="456"/>
      <c r="F697" s="459"/>
      <c r="G697" s="459"/>
      <c r="H697" s="461"/>
      <c r="I697" s="460"/>
      <c r="J697" s="460"/>
      <c r="K697" s="459"/>
      <c r="L697" s="3986"/>
      <c r="M697" s="3986"/>
      <c r="O697" s="458"/>
      <c r="P697" s="456"/>
      <c r="Q697" s="456"/>
      <c r="R697" s="457"/>
      <c r="S697" s="455"/>
      <c r="T697" s="456"/>
      <c r="U697" s="455"/>
    </row>
    <row r="698" spans="2:21" s="454" customFormat="1" ht="10.199999999999999" customHeight="1">
      <c r="B698" s="455"/>
      <c r="C698" s="455"/>
      <c r="E698" s="456"/>
      <c r="F698" s="459"/>
      <c r="G698" s="459"/>
      <c r="H698" s="461"/>
      <c r="I698" s="460"/>
      <c r="J698" s="460"/>
      <c r="K698" s="459"/>
      <c r="L698" s="3986"/>
      <c r="M698" s="3986"/>
      <c r="O698" s="458"/>
      <c r="P698" s="456"/>
      <c r="Q698" s="456"/>
      <c r="R698" s="457"/>
      <c r="S698" s="455"/>
      <c r="T698" s="456"/>
      <c r="U698" s="455"/>
    </row>
    <row r="699" spans="2:21" s="454" customFormat="1" ht="10.199999999999999" customHeight="1">
      <c r="B699" s="455"/>
      <c r="C699" s="455"/>
      <c r="E699" s="456"/>
      <c r="F699" s="459"/>
      <c r="G699" s="459"/>
      <c r="H699" s="461"/>
      <c r="I699" s="460"/>
      <c r="J699" s="460"/>
      <c r="K699" s="459"/>
      <c r="L699" s="3986"/>
      <c r="M699" s="3986"/>
      <c r="O699" s="458"/>
      <c r="P699" s="456"/>
      <c r="Q699" s="456"/>
      <c r="R699" s="457"/>
      <c r="S699" s="455"/>
      <c r="T699" s="456"/>
      <c r="U699" s="455"/>
    </row>
    <row r="700" spans="2:21" s="454" customFormat="1" ht="10.199999999999999" customHeight="1">
      <c r="B700" s="455"/>
      <c r="C700" s="455"/>
      <c r="E700" s="456"/>
      <c r="F700" s="459"/>
      <c r="G700" s="459"/>
      <c r="H700" s="461"/>
      <c r="I700" s="460"/>
      <c r="J700" s="460"/>
      <c r="K700" s="459"/>
      <c r="L700" s="3986"/>
      <c r="M700" s="3986"/>
      <c r="O700" s="458"/>
      <c r="P700" s="456"/>
      <c r="Q700" s="456"/>
      <c r="R700" s="457"/>
      <c r="S700" s="455"/>
      <c r="T700" s="456"/>
      <c r="U700" s="455"/>
    </row>
    <row r="701" spans="2:21" s="454" customFormat="1" ht="10.199999999999999" customHeight="1">
      <c r="B701" s="455"/>
      <c r="C701" s="455"/>
      <c r="E701" s="456"/>
      <c r="F701" s="459"/>
      <c r="G701" s="459"/>
      <c r="H701" s="461"/>
      <c r="I701" s="460"/>
      <c r="J701" s="460"/>
      <c r="K701" s="459"/>
      <c r="L701" s="3986"/>
      <c r="M701" s="3986"/>
      <c r="O701" s="458"/>
      <c r="P701" s="456"/>
      <c r="Q701" s="456"/>
      <c r="R701" s="457"/>
      <c r="S701" s="455"/>
      <c r="T701" s="456"/>
      <c r="U701" s="455"/>
    </row>
    <row r="702" spans="2:21" s="454" customFormat="1" ht="10.199999999999999" customHeight="1">
      <c r="B702" s="455"/>
      <c r="C702" s="455"/>
      <c r="E702" s="456"/>
      <c r="F702" s="459"/>
      <c r="G702" s="459"/>
      <c r="H702" s="461"/>
      <c r="I702" s="460"/>
      <c r="J702" s="460"/>
      <c r="K702" s="459"/>
      <c r="L702" s="3986"/>
      <c r="M702" s="3986"/>
      <c r="O702" s="458"/>
      <c r="P702" s="456"/>
      <c r="Q702" s="456"/>
      <c r="R702" s="457"/>
      <c r="S702" s="455"/>
      <c r="T702" s="456"/>
      <c r="U702" s="455"/>
    </row>
    <row r="703" spans="2:21" s="454" customFormat="1" ht="10.199999999999999" customHeight="1">
      <c r="B703" s="455"/>
      <c r="C703" s="455"/>
      <c r="E703" s="456"/>
      <c r="F703" s="459"/>
      <c r="G703" s="459"/>
      <c r="H703" s="461"/>
      <c r="I703" s="460"/>
      <c r="J703" s="460"/>
      <c r="K703" s="459"/>
      <c r="L703" s="3986"/>
      <c r="M703" s="3986"/>
      <c r="O703" s="458"/>
      <c r="P703" s="456"/>
      <c r="Q703" s="456"/>
      <c r="R703" s="457"/>
      <c r="S703" s="455"/>
      <c r="T703" s="456"/>
      <c r="U703" s="455"/>
    </row>
    <row r="704" spans="2:21" s="454" customFormat="1" ht="10.199999999999999" customHeight="1">
      <c r="B704" s="455"/>
      <c r="C704" s="455"/>
      <c r="E704" s="456"/>
      <c r="F704" s="459"/>
      <c r="G704" s="459"/>
      <c r="H704" s="461"/>
      <c r="I704" s="460"/>
      <c r="J704" s="460"/>
      <c r="K704" s="459"/>
      <c r="L704" s="3986"/>
      <c r="M704" s="3986"/>
      <c r="O704" s="458"/>
      <c r="P704" s="456"/>
      <c r="Q704" s="456"/>
      <c r="R704" s="457"/>
      <c r="S704" s="455"/>
      <c r="T704" s="456"/>
      <c r="U704" s="455"/>
    </row>
    <row r="705" spans="2:21" s="454" customFormat="1" ht="10.199999999999999" customHeight="1">
      <c r="B705" s="455"/>
      <c r="C705" s="455"/>
      <c r="E705" s="456"/>
      <c r="F705" s="459"/>
      <c r="G705" s="459"/>
      <c r="H705" s="461"/>
      <c r="I705" s="460"/>
      <c r="J705" s="460"/>
      <c r="K705" s="459"/>
      <c r="L705" s="3986"/>
      <c r="M705" s="3986"/>
      <c r="O705" s="458"/>
      <c r="P705" s="456"/>
      <c r="Q705" s="456"/>
      <c r="R705" s="457"/>
      <c r="S705" s="455"/>
      <c r="T705" s="456"/>
      <c r="U705" s="455"/>
    </row>
    <row r="706" spans="2:21" s="454" customFormat="1" ht="10.199999999999999" customHeight="1">
      <c r="B706" s="455"/>
      <c r="C706" s="455"/>
      <c r="E706" s="456"/>
      <c r="F706" s="459"/>
      <c r="G706" s="459"/>
      <c r="H706" s="461"/>
      <c r="I706" s="460"/>
      <c r="J706" s="460"/>
      <c r="K706" s="459"/>
      <c r="L706" s="3986"/>
      <c r="M706" s="3986"/>
      <c r="O706" s="458"/>
      <c r="P706" s="456"/>
      <c r="Q706" s="456"/>
      <c r="R706" s="457"/>
      <c r="S706" s="455"/>
      <c r="T706" s="456"/>
      <c r="U706" s="455"/>
    </row>
    <row r="707" spans="2:21" s="454" customFormat="1" ht="10.199999999999999" customHeight="1">
      <c r="B707" s="455"/>
      <c r="C707" s="455"/>
      <c r="E707" s="456"/>
      <c r="F707" s="459"/>
      <c r="G707" s="459"/>
      <c r="H707" s="461"/>
      <c r="I707" s="460"/>
      <c r="J707" s="460"/>
      <c r="K707" s="459"/>
      <c r="L707" s="3986"/>
      <c r="M707" s="3986"/>
      <c r="O707" s="458"/>
      <c r="P707" s="456"/>
      <c r="Q707" s="456"/>
      <c r="R707" s="457"/>
      <c r="S707" s="455"/>
      <c r="T707" s="456"/>
      <c r="U707" s="455"/>
    </row>
    <row r="708" spans="2:21" s="454" customFormat="1" ht="10.199999999999999" customHeight="1">
      <c r="B708" s="455"/>
      <c r="C708" s="455"/>
      <c r="E708" s="456"/>
      <c r="F708" s="459"/>
      <c r="G708" s="459"/>
      <c r="H708" s="461"/>
      <c r="I708" s="460"/>
      <c r="J708" s="460"/>
      <c r="K708" s="459"/>
      <c r="L708" s="3986"/>
      <c r="M708" s="3986"/>
      <c r="O708" s="458"/>
      <c r="P708" s="456"/>
      <c r="Q708" s="456"/>
      <c r="R708" s="457"/>
      <c r="S708" s="455"/>
      <c r="T708" s="456"/>
      <c r="U708" s="455"/>
    </row>
    <row r="709" spans="2:21" s="454" customFormat="1" ht="10.199999999999999" customHeight="1">
      <c r="B709" s="455"/>
      <c r="C709" s="455"/>
      <c r="E709" s="456"/>
      <c r="F709" s="459"/>
      <c r="G709" s="459"/>
      <c r="H709" s="461"/>
      <c r="I709" s="460"/>
      <c r="J709" s="460"/>
      <c r="K709" s="459"/>
      <c r="L709" s="3986"/>
      <c r="M709" s="3986"/>
      <c r="O709" s="458"/>
      <c r="P709" s="456"/>
      <c r="Q709" s="456"/>
      <c r="R709" s="457"/>
      <c r="S709" s="455"/>
      <c r="T709" s="456"/>
      <c r="U709" s="455"/>
    </row>
    <row r="710" spans="2:21" s="454" customFormat="1" ht="10.199999999999999" customHeight="1">
      <c r="B710" s="455"/>
      <c r="C710" s="455"/>
      <c r="E710" s="456"/>
      <c r="F710" s="459"/>
      <c r="G710" s="459"/>
      <c r="H710" s="461"/>
      <c r="I710" s="460"/>
      <c r="J710" s="460"/>
      <c r="K710" s="459"/>
      <c r="L710" s="3986"/>
      <c r="M710" s="3986"/>
      <c r="O710" s="458"/>
      <c r="P710" s="456"/>
      <c r="Q710" s="456"/>
      <c r="R710" s="457"/>
      <c r="S710" s="455"/>
      <c r="T710" s="456"/>
      <c r="U710" s="455"/>
    </row>
    <row r="711" spans="2:21" s="454" customFormat="1" ht="10.199999999999999" customHeight="1">
      <c r="B711" s="455"/>
      <c r="C711" s="455"/>
      <c r="E711" s="456"/>
      <c r="F711" s="459"/>
      <c r="G711" s="459"/>
      <c r="H711" s="461"/>
      <c r="I711" s="460"/>
      <c r="J711" s="460"/>
      <c r="K711" s="459"/>
      <c r="L711" s="3986"/>
      <c r="M711" s="3986"/>
      <c r="O711" s="458"/>
      <c r="P711" s="456"/>
      <c r="Q711" s="456"/>
      <c r="R711" s="457"/>
      <c r="S711" s="455"/>
      <c r="T711" s="456"/>
      <c r="U711" s="455"/>
    </row>
    <row r="712" spans="2:21" s="454" customFormat="1" ht="10.199999999999999" customHeight="1">
      <c r="B712" s="455"/>
      <c r="C712" s="455"/>
      <c r="E712" s="456"/>
      <c r="F712" s="459"/>
      <c r="G712" s="459"/>
      <c r="H712" s="461"/>
      <c r="I712" s="460"/>
      <c r="J712" s="460"/>
      <c r="K712" s="459"/>
      <c r="L712" s="3986"/>
      <c r="M712" s="3986"/>
      <c r="O712" s="458"/>
      <c r="P712" s="456"/>
      <c r="Q712" s="456"/>
      <c r="R712" s="457"/>
      <c r="S712" s="455"/>
      <c r="T712" s="456"/>
      <c r="U712" s="455"/>
    </row>
    <row r="713" spans="2:21" s="454" customFormat="1" ht="10.199999999999999" customHeight="1">
      <c r="B713" s="455"/>
      <c r="C713" s="455"/>
      <c r="E713" s="456"/>
      <c r="F713" s="459"/>
      <c r="G713" s="459"/>
      <c r="H713" s="461"/>
      <c r="I713" s="460"/>
      <c r="J713" s="460"/>
      <c r="K713" s="459"/>
      <c r="L713" s="3986"/>
      <c r="M713" s="3986"/>
      <c r="O713" s="458"/>
      <c r="P713" s="456"/>
      <c r="Q713" s="456"/>
      <c r="R713" s="457"/>
      <c r="S713" s="455"/>
      <c r="T713" s="456"/>
      <c r="U713" s="455"/>
    </row>
    <row r="714" spans="2:21" s="454" customFormat="1" ht="10.199999999999999" customHeight="1">
      <c r="B714" s="455"/>
      <c r="C714" s="455"/>
      <c r="E714" s="456"/>
      <c r="F714" s="459"/>
      <c r="G714" s="459"/>
      <c r="H714" s="461"/>
      <c r="I714" s="460"/>
      <c r="J714" s="460"/>
      <c r="K714" s="459"/>
      <c r="L714" s="3986"/>
      <c r="M714" s="3986"/>
      <c r="O714" s="458"/>
      <c r="P714" s="456"/>
      <c r="Q714" s="456"/>
      <c r="R714" s="457"/>
      <c r="S714" s="455"/>
      <c r="T714" s="456"/>
      <c r="U714" s="455"/>
    </row>
    <row r="715" spans="2:21" s="454" customFormat="1" ht="10.199999999999999" customHeight="1">
      <c r="B715" s="455"/>
      <c r="C715" s="455"/>
      <c r="E715" s="456"/>
      <c r="F715" s="459"/>
      <c r="G715" s="459"/>
      <c r="H715" s="461"/>
      <c r="I715" s="460"/>
      <c r="J715" s="460"/>
      <c r="K715" s="459"/>
      <c r="L715" s="3986"/>
      <c r="M715" s="3986"/>
      <c r="O715" s="458"/>
      <c r="P715" s="456"/>
      <c r="Q715" s="456"/>
      <c r="R715" s="457"/>
      <c r="S715" s="455"/>
      <c r="T715" s="456"/>
      <c r="U715" s="455"/>
    </row>
    <row r="716" spans="2:21" s="454" customFormat="1" ht="10.199999999999999" customHeight="1">
      <c r="B716" s="455"/>
      <c r="C716" s="455"/>
      <c r="E716" s="456"/>
      <c r="F716" s="459"/>
      <c r="G716" s="459"/>
      <c r="H716" s="461"/>
      <c r="I716" s="460"/>
      <c r="J716" s="460"/>
      <c r="K716" s="459"/>
      <c r="L716" s="3986"/>
      <c r="M716" s="3986"/>
      <c r="O716" s="458"/>
      <c r="P716" s="456"/>
      <c r="Q716" s="456"/>
      <c r="R716" s="457"/>
      <c r="S716" s="455"/>
      <c r="T716" s="456"/>
      <c r="U716" s="455"/>
    </row>
    <row r="717" spans="2:21" s="454" customFormat="1" ht="10.199999999999999" customHeight="1">
      <c r="B717" s="455"/>
      <c r="C717" s="455"/>
      <c r="E717" s="456"/>
      <c r="F717" s="459"/>
      <c r="G717" s="459"/>
      <c r="H717" s="461"/>
      <c r="I717" s="460"/>
      <c r="J717" s="460"/>
      <c r="K717" s="459"/>
      <c r="L717" s="3986"/>
      <c r="M717" s="3986"/>
      <c r="O717" s="458"/>
      <c r="P717" s="456"/>
      <c r="Q717" s="456"/>
      <c r="R717" s="457"/>
      <c r="S717" s="455"/>
      <c r="T717" s="456"/>
      <c r="U717" s="455"/>
    </row>
    <row r="718" spans="2:21" s="454" customFormat="1" ht="10.199999999999999" customHeight="1">
      <c r="B718" s="455"/>
      <c r="C718" s="455"/>
      <c r="E718" s="456"/>
      <c r="F718" s="459"/>
      <c r="G718" s="459"/>
      <c r="H718" s="461"/>
      <c r="I718" s="460"/>
      <c r="J718" s="460"/>
      <c r="K718" s="459"/>
      <c r="L718" s="3986"/>
      <c r="M718" s="3986"/>
      <c r="O718" s="458"/>
      <c r="P718" s="456"/>
      <c r="Q718" s="456"/>
      <c r="R718" s="457"/>
      <c r="S718" s="455"/>
      <c r="T718" s="456"/>
      <c r="U718" s="455"/>
    </row>
    <row r="719" spans="2:21" s="454" customFormat="1" ht="10.199999999999999" customHeight="1">
      <c r="B719" s="455"/>
      <c r="C719" s="455"/>
      <c r="E719" s="456"/>
      <c r="F719" s="459"/>
      <c r="G719" s="459"/>
      <c r="H719" s="461"/>
      <c r="I719" s="460"/>
      <c r="J719" s="460"/>
      <c r="K719" s="459"/>
      <c r="L719" s="3986"/>
      <c r="M719" s="3986"/>
      <c r="O719" s="458"/>
      <c r="P719" s="456"/>
      <c r="Q719" s="456"/>
      <c r="R719" s="457"/>
      <c r="S719" s="455"/>
      <c r="T719" s="456"/>
      <c r="U719" s="455"/>
    </row>
    <row r="720" spans="2:21" s="454" customFormat="1" ht="10.199999999999999" customHeight="1">
      <c r="B720" s="455"/>
      <c r="C720" s="455"/>
      <c r="E720" s="456"/>
      <c r="F720" s="459"/>
      <c r="G720" s="459"/>
      <c r="H720" s="461"/>
      <c r="I720" s="460"/>
      <c r="J720" s="460"/>
      <c r="K720" s="459"/>
      <c r="L720" s="3986"/>
      <c r="M720" s="3986"/>
      <c r="O720" s="458"/>
      <c r="P720" s="456"/>
      <c r="Q720" s="456"/>
      <c r="R720" s="457"/>
      <c r="S720" s="455"/>
      <c r="T720" s="456"/>
      <c r="U720" s="455"/>
    </row>
    <row r="721" spans="2:21" s="454" customFormat="1" ht="10.199999999999999" customHeight="1">
      <c r="B721" s="455"/>
      <c r="C721" s="455"/>
      <c r="E721" s="456"/>
      <c r="F721" s="459"/>
      <c r="G721" s="459"/>
      <c r="H721" s="461"/>
      <c r="I721" s="460"/>
      <c r="J721" s="460"/>
      <c r="K721" s="459"/>
      <c r="L721" s="3986"/>
      <c r="M721" s="3986"/>
      <c r="O721" s="458"/>
      <c r="P721" s="456"/>
      <c r="Q721" s="456"/>
      <c r="R721" s="457"/>
      <c r="S721" s="455"/>
      <c r="T721" s="456"/>
      <c r="U721" s="455"/>
    </row>
    <row r="722" spans="2:21" s="454" customFormat="1" ht="10.199999999999999" customHeight="1">
      <c r="B722" s="455"/>
      <c r="C722" s="455"/>
      <c r="E722" s="456"/>
      <c r="F722" s="459"/>
      <c r="G722" s="459"/>
      <c r="H722" s="461"/>
      <c r="I722" s="460"/>
      <c r="J722" s="460"/>
      <c r="K722" s="459"/>
      <c r="L722" s="3986"/>
      <c r="M722" s="3986"/>
      <c r="O722" s="458"/>
      <c r="P722" s="456"/>
      <c r="Q722" s="456"/>
      <c r="R722" s="457"/>
      <c r="S722" s="455"/>
      <c r="T722" s="456"/>
      <c r="U722" s="455"/>
    </row>
    <row r="723" spans="2:21" s="454" customFormat="1" ht="10.199999999999999" customHeight="1">
      <c r="B723" s="455"/>
      <c r="C723" s="455"/>
      <c r="E723" s="456"/>
      <c r="F723" s="459"/>
      <c r="G723" s="459"/>
      <c r="H723" s="461"/>
      <c r="I723" s="460"/>
      <c r="J723" s="460"/>
      <c r="K723" s="459"/>
      <c r="L723" s="3986"/>
      <c r="M723" s="3986"/>
      <c r="O723" s="458"/>
      <c r="P723" s="456"/>
      <c r="Q723" s="456"/>
      <c r="R723" s="457"/>
      <c r="S723" s="455"/>
      <c r="T723" s="456"/>
      <c r="U723" s="455"/>
    </row>
    <row r="724" spans="2:21" s="454" customFormat="1" ht="10.199999999999999" customHeight="1">
      <c r="B724" s="455"/>
      <c r="C724" s="455"/>
      <c r="E724" s="456"/>
      <c r="F724" s="459"/>
      <c r="G724" s="459"/>
      <c r="H724" s="461"/>
      <c r="I724" s="460"/>
      <c r="J724" s="460"/>
      <c r="K724" s="459"/>
      <c r="L724" s="3986"/>
      <c r="M724" s="3986"/>
      <c r="O724" s="458"/>
      <c r="P724" s="456"/>
      <c r="Q724" s="456"/>
      <c r="R724" s="457"/>
      <c r="S724" s="455"/>
      <c r="T724" s="456"/>
      <c r="U724" s="455"/>
    </row>
    <row r="725" spans="2:21" s="454" customFormat="1" ht="10.199999999999999" customHeight="1">
      <c r="B725" s="455"/>
      <c r="C725" s="455"/>
      <c r="E725" s="456"/>
      <c r="F725" s="459"/>
      <c r="G725" s="459"/>
      <c r="H725" s="461"/>
      <c r="I725" s="460"/>
      <c r="J725" s="460"/>
      <c r="K725" s="459"/>
      <c r="L725" s="3986"/>
      <c r="M725" s="3986"/>
      <c r="O725" s="458"/>
      <c r="P725" s="456"/>
      <c r="Q725" s="456"/>
      <c r="R725" s="457"/>
      <c r="S725" s="455"/>
      <c r="T725" s="456"/>
      <c r="U725" s="455"/>
    </row>
    <row r="726" spans="2:21" s="454" customFormat="1" ht="10.199999999999999" customHeight="1">
      <c r="B726" s="455"/>
      <c r="C726" s="455"/>
      <c r="E726" s="456"/>
      <c r="F726" s="459"/>
      <c r="G726" s="459"/>
      <c r="H726" s="461"/>
      <c r="I726" s="460"/>
      <c r="J726" s="460"/>
      <c r="K726" s="459"/>
      <c r="L726" s="3986"/>
      <c r="M726" s="3986"/>
      <c r="O726" s="458"/>
      <c r="P726" s="456"/>
      <c r="Q726" s="456"/>
      <c r="R726" s="457"/>
      <c r="S726" s="455"/>
      <c r="T726" s="456"/>
      <c r="U726" s="455"/>
    </row>
    <row r="727" spans="2:21" s="454" customFormat="1" ht="10.199999999999999" customHeight="1">
      <c r="B727" s="455"/>
      <c r="C727" s="455"/>
      <c r="E727" s="456"/>
      <c r="F727" s="459"/>
      <c r="G727" s="459"/>
      <c r="H727" s="461"/>
      <c r="I727" s="460"/>
      <c r="J727" s="460"/>
      <c r="K727" s="459"/>
      <c r="L727" s="3986"/>
      <c r="M727" s="3986"/>
      <c r="O727" s="458"/>
      <c r="P727" s="456"/>
      <c r="Q727" s="456"/>
      <c r="R727" s="457"/>
      <c r="S727" s="455"/>
      <c r="T727" s="456"/>
      <c r="U727" s="455"/>
    </row>
    <row r="728" spans="2:21" s="454" customFormat="1" ht="10.199999999999999" customHeight="1">
      <c r="B728" s="455"/>
      <c r="C728" s="455"/>
      <c r="E728" s="456"/>
      <c r="F728" s="459"/>
      <c r="G728" s="459"/>
      <c r="H728" s="461"/>
      <c r="I728" s="460"/>
      <c r="J728" s="460"/>
      <c r="K728" s="459"/>
      <c r="L728" s="3986"/>
      <c r="M728" s="3986"/>
      <c r="O728" s="458"/>
      <c r="P728" s="456"/>
      <c r="Q728" s="456"/>
      <c r="R728" s="457"/>
      <c r="S728" s="455"/>
      <c r="T728" s="456"/>
      <c r="U728" s="455"/>
    </row>
    <row r="729" spans="2:21" s="454" customFormat="1" ht="10.199999999999999" customHeight="1">
      <c r="B729" s="455"/>
      <c r="C729" s="455"/>
      <c r="E729" s="456"/>
      <c r="F729" s="459"/>
      <c r="G729" s="459"/>
      <c r="H729" s="461"/>
      <c r="I729" s="460"/>
      <c r="J729" s="460"/>
      <c r="K729" s="459"/>
      <c r="L729" s="3986"/>
      <c r="M729" s="3986"/>
      <c r="O729" s="458"/>
      <c r="P729" s="456"/>
      <c r="Q729" s="456"/>
      <c r="R729" s="457"/>
      <c r="S729" s="455"/>
      <c r="T729" s="456"/>
      <c r="U729" s="455"/>
    </row>
    <row r="730" spans="2:21" s="454" customFormat="1" ht="10.199999999999999" customHeight="1">
      <c r="B730" s="455"/>
      <c r="C730" s="455"/>
      <c r="E730" s="456"/>
      <c r="F730" s="459"/>
      <c r="G730" s="459"/>
      <c r="H730" s="461"/>
      <c r="I730" s="460"/>
      <c r="J730" s="460"/>
      <c r="K730" s="459"/>
      <c r="L730" s="3986"/>
      <c r="M730" s="3986"/>
      <c r="O730" s="458"/>
      <c r="P730" s="456"/>
      <c r="Q730" s="456"/>
      <c r="R730" s="457"/>
      <c r="S730" s="455"/>
      <c r="T730" s="456"/>
      <c r="U730" s="455"/>
    </row>
    <row r="731" spans="2:21" s="454" customFormat="1" ht="10.199999999999999" customHeight="1">
      <c r="B731" s="455"/>
      <c r="C731" s="455"/>
      <c r="E731" s="456"/>
      <c r="F731" s="459"/>
      <c r="G731" s="459"/>
      <c r="H731" s="461"/>
      <c r="I731" s="460"/>
      <c r="J731" s="460"/>
      <c r="K731" s="459"/>
      <c r="L731" s="3986"/>
      <c r="M731" s="3986"/>
      <c r="O731" s="458"/>
      <c r="P731" s="456"/>
      <c r="Q731" s="456"/>
      <c r="R731" s="457"/>
      <c r="S731" s="455"/>
      <c r="T731" s="456"/>
      <c r="U731" s="455"/>
    </row>
    <row r="732" spans="2:21" s="454" customFormat="1" ht="10.199999999999999" customHeight="1">
      <c r="B732" s="455"/>
      <c r="C732" s="455"/>
      <c r="E732" s="456"/>
      <c r="F732" s="459"/>
      <c r="G732" s="459"/>
      <c r="H732" s="461"/>
      <c r="I732" s="460"/>
      <c r="J732" s="460"/>
      <c r="K732" s="459"/>
      <c r="L732" s="3986"/>
      <c r="M732" s="3986"/>
      <c r="O732" s="458"/>
      <c r="P732" s="456"/>
      <c r="Q732" s="456"/>
      <c r="R732" s="457"/>
      <c r="S732" s="455"/>
      <c r="T732" s="456"/>
      <c r="U732" s="455"/>
    </row>
    <row r="733" spans="2:21" s="454" customFormat="1" ht="10.199999999999999" customHeight="1">
      <c r="B733" s="455"/>
      <c r="C733" s="455"/>
      <c r="E733" s="456"/>
      <c r="F733" s="459"/>
      <c r="G733" s="459"/>
      <c r="H733" s="461"/>
      <c r="I733" s="460"/>
      <c r="J733" s="460"/>
      <c r="K733" s="459"/>
      <c r="L733" s="3986"/>
      <c r="M733" s="3986"/>
      <c r="O733" s="458"/>
      <c r="P733" s="456"/>
      <c r="Q733" s="456"/>
      <c r="R733" s="457"/>
      <c r="S733" s="455"/>
      <c r="T733" s="456"/>
      <c r="U733" s="455"/>
    </row>
    <row r="734" spans="2:21" s="454" customFormat="1" ht="10.199999999999999" customHeight="1">
      <c r="B734" s="455"/>
      <c r="C734" s="455"/>
      <c r="E734" s="456"/>
      <c r="F734" s="459"/>
      <c r="G734" s="459"/>
      <c r="H734" s="461"/>
      <c r="I734" s="460"/>
      <c r="J734" s="460"/>
      <c r="K734" s="459"/>
      <c r="L734" s="3986"/>
      <c r="M734" s="3986"/>
      <c r="O734" s="458"/>
      <c r="P734" s="456"/>
      <c r="Q734" s="456"/>
      <c r="R734" s="457"/>
      <c r="S734" s="455"/>
      <c r="T734" s="456"/>
      <c r="U734" s="455"/>
    </row>
    <row r="735" spans="2:21" s="454" customFormat="1" ht="10.199999999999999" customHeight="1">
      <c r="B735" s="455"/>
      <c r="C735" s="455"/>
      <c r="E735" s="456"/>
      <c r="F735" s="459"/>
      <c r="G735" s="459"/>
      <c r="H735" s="461"/>
      <c r="I735" s="460"/>
      <c r="J735" s="460"/>
      <c r="K735" s="459"/>
      <c r="L735" s="3986"/>
      <c r="M735" s="3986"/>
      <c r="O735" s="458"/>
      <c r="P735" s="456"/>
      <c r="Q735" s="456"/>
      <c r="R735" s="457"/>
      <c r="S735" s="455"/>
      <c r="T735" s="456"/>
      <c r="U735" s="455"/>
    </row>
    <row r="736" spans="2:21" s="454" customFormat="1" ht="10.199999999999999" customHeight="1">
      <c r="B736" s="455"/>
      <c r="C736" s="455"/>
      <c r="E736" s="456"/>
      <c r="F736" s="459"/>
      <c r="G736" s="459"/>
      <c r="H736" s="461"/>
      <c r="I736" s="460"/>
      <c r="J736" s="460"/>
      <c r="K736" s="459"/>
      <c r="L736" s="3986"/>
      <c r="M736" s="3986"/>
      <c r="O736" s="458"/>
      <c r="P736" s="456"/>
      <c r="Q736" s="456"/>
      <c r="R736" s="457"/>
      <c r="S736" s="455"/>
      <c r="T736" s="456"/>
      <c r="U736" s="455"/>
    </row>
    <row r="737" spans="2:21" s="454" customFormat="1" ht="10.199999999999999" customHeight="1">
      <c r="B737" s="455"/>
      <c r="C737" s="455"/>
      <c r="E737" s="456"/>
      <c r="F737" s="459"/>
      <c r="G737" s="459"/>
      <c r="H737" s="461"/>
      <c r="I737" s="460"/>
      <c r="J737" s="460"/>
      <c r="K737" s="459"/>
      <c r="L737" s="3986"/>
      <c r="M737" s="3986"/>
      <c r="O737" s="458"/>
      <c r="P737" s="456"/>
      <c r="Q737" s="456"/>
      <c r="R737" s="457"/>
      <c r="S737" s="455"/>
      <c r="T737" s="456"/>
      <c r="U737" s="455"/>
    </row>
    <row r="738" spans="2:21" s="454" customFormat="1" ht="10.199999999999999" customHeight="1">
      <c r="B738" s="455"/>
      <c r="C738" s="455"/>
      <c r="E738" s="456"/>
      <c r="F738" s="459"/>
      <c r="G738" s="459"/>
      <c r="H738" s="461"/>
      <c r="I738" s="460"/>
      <c r="J738" s="460"/>
      <c r="K738" s="459"/>
      <c r="L738" s="3986"/>
      <c r="M738" s="3986"/>
      <c r="O738" s="458"/>
      <c r="P738" s="456"/>
      <c r="Q738" s="456"/>
      <c r="R738" s="457"/>
      <c r="S738" s="455"/>
      <c r="T738" s="456"/>
      <c r="U738" s="455"/>
    </row>
    <row r="739" spans="2:21" s="454" customFormat="1" ht="10.199999999999999" customHeight="1">
      <c r="B739" s="455"/>
      <c r="C739" s="455"/>
      <c r="E739" s="456"/>
      <c r="F739" s="459"/>
      <c r="G739" s="459"/>
      <c r="H739" s="461"/>
      <c r="I739" s="460"/>
      <c r="J739" s="460"/>
      <c r="K739" s="459"/>
      <c r="L739" s="3986"/>
      <c r="M739" s="3986"/>
      <c r="O739" s="458"/>
      <c r="P739" s="456"/>
      <c r="Q739" s="456"/>
      <c r="R739" s="457"/>
      <c r="S739" s="455"/>
      <c r="T739" s="456"/>
      <c r="U739" s="455"/>
    </row>
    <row r="740" spans="2:21" s="454" customFormat="1" ht="10.199999999999999" customHeight="1">
      <c r="B740" s="455"/>
      <c r="C740" s="455"/>
      <c r="E740" s="456"/>
      <c r="F740" s="459"/>
      <c r="G740" s="459"/>
      <c r="H740" s="461"/>
      <c r="I740" s="460"/>
      <c r="J740" s="460"/>
      <c r="K740" s="459"/>
      <c r="L740" s="3986"/>
      <c r="M740" s="3986"/>
      <c r="O740" s="458"/>
      <c r="P740" s="456"/>
      <c r="Q740" s="456"/>
      <c r="R740" s="457"/>
      <c r="S740" s="455"/>
      <c r="T740" s="456"/>
      <c r="U740" s="455"/>
    </row>
    <row r="741" spans="2:21" s="454" customFormat="1" ht="10.199999999999999" customHeight="1">
      <c r="B741" s="455"/>
      <c r="C741" s="455"/>
      <c r="E741" s="456"/>
      <c r="F741" s="459"/>
      <c r="G741" s="459"/>
      <c r="H741" s="461"/>
      <c r="I741" s="460"/>
      <c r="J741" s="460"/>
      <c r="K741" s="459"/>
      <c r="L741" s="3986"/>
      <c r="M741" s="3986"/>
      <c r="O741" s="458"/>
      <c r="P741" s="456"/>
      <c r="Q741" s="456"/>
      <c r="R741" s="457"/>
      <c r="S741" s="455"/>
      <c r="T741" s="456"/>
      <c r="U741" s="455"/>
    </row>
    <row r="742" spans="2:21" s="454" customFormat="1" ht="10.199999999999999" customHeight="1">
      <c r="B742" s="455"/>
      <c r="C742" s="455"/>
      <c r="E742" s="456"/>
      <c r="F742" s="459"/>
      <c r="G742" s="459"/>
      <c r="H742" s="461"/>
      <c r="I742" s="460"/>
      <c r="J742" s="460"/>
      <c r="K742" s="459"/>
      <c r="L742" s="3986"/>
      <c r="M742" s="3986"/>
      <c r="O742" s="458"/>
      <c r="P742" s="456"/>
      <c r="Q742" s="456"/>
      <c r="R742" s="457"/>
      <c r="S742" s="455"/>
      <c r="T742" s="456"/>
      <c r="U742" s="455"/>
    </row>
    <row r="743" spans="2:21" s="454" customFormat="1" ht="10.199999999999999" customHeight="1">
      <c r="B743" s="455"/>
      <c r="C743" s="455"/>
      <c r="E743" s="456"/>
      <c r="F743" s="459"/>
      <c r="G743" s="459"/>
      <c r="H743" s="461"/>
      <c r="I743" s="460"/>
      <c r="J743" s="460"/>
      <c r="K743" s="459"/>
      <c r="L743" s="3986"/>
      <c r="M743" s="3986"/>
      <c r="O743" s="458"/>
      <c r="P743" s="456"/>
      <c r="Q743" s="456"/>
      <c r="R743" s="457"/>
      <c r="S743" s="455"/>
      <c r="T743" s="456"/>
      <c r="U743" s="455"/>
    </row>
    <row r="744" spans="2:21" s="454" customFormat="1" ht="10.199999999999999" customHeight="1">
      <c r="B744" s="455"/>
      <c r="C744" s="455"/>
      <c r="E744" s="456"/>
      <c r="F744" s="459"/>
      <c r="G744" s="459"/>
      <c r="H744" s="461"/>
      <c r="I744" s="460"/>
      <c r="J744" s="460"/>
      <c r="K744" s="459"/>
      <c r="L744" s="3986"/>
      <c r="M744" s="3986"/>
      <c r="O744" s="458"/>
      <c r="P744" s="456"/>
      <c r="Q744" s="456"/>
      <c r="R744" s="457"/>
      <c r="S744" s="455"/>
      <c r="T744" s="456"/>
      <c r="U744" s="455"/>
    </row>
    <row r="745" spans="2:21" s="454" customFormat="1" ht="10.199999999999999" customHeight="1">
      <c r="B745" s="455"/>
      <c r="C745" s="455"/>
      <c r="E745" s="456"/>
      <c r="F745" s="459"/>
      <c r="G745" s="459"/>
      <c r="H745" s="461"/>
      <c r="I745" s="460"/>
      <c r="J745" s="460"/>
      <c r="K745" s="459"/>
      <c r="L745" s="3986"/>
      <c r="M745" s="3986"/>
      <c r="O745" s="458"/>
      <c r="P745" s="456"/>
      <c r="Q745" s="456"/>
      <c r="R745" s="457"/>
      <c r="S745" s="455"/>
      <c r="T745" s="456"/>
      <c r="U745" s="455"/>
    </row>
    <row r="746" spans="2:21" s="454" customFormat="1" ht="10.199999999999999" customHeight="1">
      <c r="B746" s="455"/>
      <c r="C746" s="455"/>
      <c r="E746" s="456"/>
      <c r="F746" s="459"/>
      <c r="G746" s="459"/>
      <c r="H746" s="461"/>
      <c r="I746" s="460"/>
      <c r="J746" s="460"/>
      <c r="K746" s="459"/>
      <c r="L746" s="3986"/>
      <c r="M746" s="3986"/>
      <c r="O746" s="458"/>
      <c r="P746" s="456"/>
      <c r="Q746" s="456"/>
      <c r="R746" s="457"/>
      <c r="S746" s="455"/>
      <c r="T746" s="456"/>
      <c r="U746" s="455"/>
    </row>
    <row r="747" spans="2:21" s="454" customFormat="1" ht="10.199999999999999" customHeight="1">
      <c r="B747" s="455"/>
      <c r="C747" s="455"/>
      <c r="E747" s="456"/>
      <c r="F747" s="459"/>
      <c r="G747" s="459"/>
      <c r="H747" s="461"/>
      <c r="I747" s="460"/>
      <c r="J747" s="460"/>
      <c r="K747" s="459"/>
      <c r="L747" s="3986"/>
      <c r="M747" s="3986"/>
      <c r="O747" s="458"/>
      <c r="P747" s="456"/>
      <c r="Q747" s="456"/>
      <c r="R747" s="457"/>
      <c r="S747" s="455"/>
      <c r="T747" s="456"/>
      <c r="U747" s="455"/>
    </row>
    <row r="748" spans="2:21" s="454" customFormat="1" ht="10.199999999999999" customHeight="1">
      <c r="B748" s="455"/>
      <c r="C748" s="455"/>
      <c r="E748" s="456"/>
      <c r="F748" s="459"/>
      <c r="G748" s="459"/>
      <c r="H748" s="461"/>
      <c r="I748" s="460"/>
      <c r="J748" s="460"/>
      <c r="K748" s="459"/>
      <c r="L748" s="3986"/>
      <c r="M748" s="3986"/>
      <c r="O748" s="458"/>
      <c r="P748" s="456"/>
      <c r="Q748" s="456"/>
      <c r="R748" s="457"/>
      <c r="S748" s="455"/>
      <c r="T748" s="456"/>
      <c r="U748" s="455"/>
    </row>
    <row r="749" spans="2:21" s="454" customFormat="1" ht="10.199999999999999" customHeight="1">
      <c r="B749" s="455"/>
      <c r="C749" s="455"/>
      <c r="E749" s="456"/>
      <c r="F749" s="459"/>
      <c r="G749" s="459"/>
      <c r="H749" s="461"/>
      <c r="I749" s="460"/>
      <c r="J749" s="460"/>
      <c r="K749" s="459"/>
      <c r="L749" s="3986"/>
      <c r="M749" s="3986"/>
      <c r="O749" s="458"/>
      <c r="P749" s="456"/>
      <c r="Q749" s="456"/>
      <c r="R749" s="457"/>
      <c r="S749" s="455"/>
      <c r="T749" s="456"/>
      <c r="U749" s="455"/>
    </row>
    <row r="750" spans="2:21" s="454" customFormat="1" ht="10.199999999999999" customHeight="1">
      <c r="B750" s="455"/>
      <c r="C750" s="455"/>
      <c r="E750" s="456"/>
      <c r="F750" s="459"/>
      <c r="G750" s="459"/>
      <c r="H750" s="461"/>
      <c r="I750" s="460"/>
      <c r="J750" s="460"/>
      <c r="K750" s="459"/>
      <c r="L750" s="3986"/>
      <c r="M750" s="3986"/>
      <c r="O750" s="458"/>
      <c r="P750" s="456"/>
      <c r="Q750" s="456"/>
      <c r="R750" s="457"/>
      <c r="S750" s="455"/>
      <c r="T750" s="456"/>
      <c r="U750" s="455"/>
    </row>
    <row r="751" spans="2:21" s="454" customFormat="1" ht="10.199999999999999" customHeight="1">
      <c r="B751" s="455"/>
      <c r="C751" s="455"/>
      <c r="E751" s="456"/>
      <c r="F751" s="459"/>
      <c r="G751" s="459"/>
      <c r="H751" s="461"/>
      <c r="I751" s="460"/>
      <c r="J751" s="460"/>
      <c r="K751" s="459"/>
      <c r="L751" s="3986"/>
      <c r="M751" s="3986"/>
      <c r="O751" s="458"/>
      <c r="P751" s="456"/>
      <c r="Q751" s="456"/>
      <c r="R751" s="457"/>
      <c r="S751" s="455"/>
      <c r="T751" s="456"/>
      <c r="U751" s="455"/>
    </row>
    <row r="752" spans="2:21" s="454" customFormat="1" ht="10.199999999999999" customHeight="1">
      <c r="B752" s="455"/>
      <c r="C752" s="455"/>
      <c r="E752" s="456"/>
      <c r="F752" s="459"/>
      <c r="G752" s="459"/>
      <c r="H752" s="461"/>
      <c r="I752" s="460"/>
      <c r="J752" s="460"/>
      <c r="K752" s="459"/>
      <c r="L752" s="3986"/>
      <c r="M752" s="3986"/>
      <c r="O752" s="458"/>
      <c r="P752" s="456"/>
      <c r="Q752" s="456"/>
      <c r="R752" s="457"/>
      <c r="S752" s="455"/>
      <c r="T752" s="456"/>
      <c r="U752" s="455"/>
    </row>
    <row r="753" spans="2:21" s="454" customFormat="1" ht="10.199999999999999" customHeight="1">
      <c r="B753" s="455"/>
      <c r="C753" s="455"/>
      <c r="E753" s="456"/>
      <c r="F753" s="459"/>
      <c r="G753" s="459"/>
      <c r="H753" s="461"/>
      <c r="I753" s="460"/>
      <c r="J753" s="460"/>
      <c r="K753" s="459"/>
      <c r="L753" s="3986"/>
      <c r="M753" s="3986"/>
      <c r="O753" s="458"/>
      <c r="P753" s="456"/>
      <c r="Q753" s="456"/>
      <c r="R753" s="457"/>
      <c r="S753" s="455"/>
      <c r="T753" s="456"/>
      <c r="U753" s="455"/>
    </row>
    <row r="754" spans="2:21" s="454" customFormat="1" ht="10.199999999999999" customHeight="1">
      <c r="B754" s="455"/>
      <c r="C754" s="455"/>
      <c r="E754" s="456"/>
      <c r="F754" s="459"/>
      <c r="G754" s="459"/>
      <c r="H754" s="461"/>
      <c r="I754" s="460"/>
      <c r="J754" s="460"/>
      <c r="K754" s="459"/>
      <c r="L754" s="3986"/>
      <c r="M754" s="3986"/>
      <c r="O754" s="458"/>
      <c r="P754" s="456"/>
      <c r="Q754" s="456"/>
      <c r="R754" s="457"/>
      <c r="S754" s="455"/>
      <c r="T754" s="456"/>
      <c r="U754" s="455"/>
    </row>
    <row r="755" spans="2:21" s="454" customFormat="1" ht="10.199999999999999" customHeight="1">
      <c r="B755" s="455"/>
      <c r="C755" s="455"/>
      <c r="E755" s="456"/>
      <c r="F755" s="459"/>
      <c r="G755" s="459"/>
      <c r="H755" s="461"/>
      <c r="I755" s="460"/>
      <c r="J755" s="460"/>
      <c r="K755" s="459"/>
      <c r="L755" s="3986"/>
      <c r="M755" s="3986"/>
      <c r="O755" s="458"/>
      <c r="P755" s="456"/>
      <c r="Q755" s="456"/>
      <c r="R755" s="457"/>
      <c r="S755" s="455"/>
      <c r="T755" s="456"/>
      <c r="U755" s="455"/>
    </row>
    <row r="756" spans="2:21" s="454" customFormat="1" ht="10.199999999999999" customHeight="1">
      <c r="B756" s="455"/>
      <c r="C756" s="455"/>
      <c r="E756" s="456"/>
      <c r="F756" s="459"/>
      <c r="G756" s="459"/>
      <c r="H756" s="461"/>
      <c r="I756" s="460"/>
      <c r="J756" s="460"/>
      <c r="K756" s="459"/>
      <c r="L756" s="3986"/>
      <c r="M756" s="3986"/>
      <c r="O756" s="458"/>
      <c r="P756" s="456"/>
      <c r="Q756" s="456"/>
      <c r="R756" s="457"/>
      <c r="S756" s="455"/>
      <c r="T756" s="456"/>
      <c r="U756" s="455"/>
    </row>
    <row r="757" spans="2:21" s="454" customFormat="1" ht="10.199999999999999" customHeight="1">
      <c r="B757" s="455"/>
      <c r="C757" s="455"/>
      <c r="E757" s="456"/>
      <c r="F757" s="459"/>
      <c r="G757" s="459"/>
      <c r="H757" s="461"/>
      <c r="I757" s="460"/>
      <c r="J757" s="460"/>
      <c r="K757" s="459"/>
      <c r="L757" s="3986"/>
      <c r="M757" s="3986"/>
      <c r="O757" s="458"/>
      <c r="P757" s="456"/>
      <c r="Q757" s="456"/>
      <c r="R757" s="457"/>
      <c r="S757" s="455"/>
      <c r="T757" s="456"/>
      <c r="U757" s="455"/>
    </row>
    <row r="758" spans="2:21" s="454" customFormat="1" ht="10.199999999999999" customHeight="1">
      <c r="B758" s="455"/>
      <c r="C758" s="455"/>
      <c r="E758" s="456"/>
      <c r="F758" s="459"/>
      <c r="G758" s="459"/>
      <c r="H758" s="461"/>
      <c r="I758" s="460"/>
      <c r="J758" s="460"/>
      <c r="K758" s="459"/>
      <c r="L758" s="3986"/>
      <c r="M758" s="3986"/>
      <c r="O758" s="458"/>
      <c r="P758" s="456"/>
      <c r="Q758" s="456"/>
      <c r="R758" s="457"/>
      <c r="S758" s="455"/>
      <c r="T758" s="456"/>
      <c r="U758" s="455"/>
    </row>
    <row r="759" spans="2:21" s="454" customFormat="1" ht="10.199999999999999" customHeight="1">
      <c r="B759" s="455"/>
      <c r="C759" s="455"/>
      <c r="E759" s="456"/>
      <c r="F759" s="459"/>
      <c r="G759" s="459"/>
      <c r="H759" s="461"/>
      <c r="I759" s="460"/>
      <c r="J759" s="460"/>
      <c r="K759" s="459"/>
      <c r="L759" s="3986"/>
      <c r="M759" s="3986"/>
      <c r="O759" s="458"/>
      <c r="P759" s="456"/>
      <c r="Q759" s="456"/>
      <c r="R759" s="457"/>
      <c r="S759" s="455"/>
      <c r="T759" s="456"/>
      <c r="U759" s="455"/>
    </row>
    <row r="760" spans="2:21" s="454" customFormat="1" ht="10.199999999999999" customHeight="1">
      <c r="B760" s="455"/>
      <c r="C760" s="455"/>
      <c r="E760" s="456"/>
      <c r="F760" s="459"/>
      <c r="G760" s="459"/>
      <c r="H760" s="461"/>
      <c r="I760" s="460"/>
      <c r="J760" s="460"/>
      <c r="K760" s="459"/>
      <c r="L760" s="3986"/>
      <c r="M760" s="3986"/>
      <c r="O760" s="458"/>
      <c r="P760" s="456"/>
      <c r="Q760" s="456"/>
      <c r="R760" s="457"/>
      <c r="S760" s="455"/>
      <c r="T760" s="456"/>
      <c r="U760" s="455"/>
    </row>
    <row r="761" spans="2:21" s="454" customFormat="1" ht="10.199999999999999" customHeight="1">
      <c r="B761" s="455"/>
      <c r="C761" s="455"/>
      <c r="E761" s="456"/>
      <c r="F761" s="459"/>
      <c r="G761" s="459"/>
      <c r="H761" s="461"/>
      <c r="I761" s="460"/>
      <c r="J761" s="460"/>
      <c r="K761" s="459"/>
      <c r="L761" s="3986"/>
      <c r="M761" s="3986"/>
      <c r="O761" s="458"/>
      <c r="P761" s="456"/>
      <c r="Q761" s="456"/>
      <c r="R761" s="457"/>
      <c r="S761" s="455"/>
      <c r="T761" s="456"/>
      <c r="U761" s="455"/>
    </row>
    <row r="762" spans="2:21" s="454" customFormat="1" ht="10.199999999999999" customHeight="1">
      <c r="B762" s="455"/>
      <c r="C762" s="455"/>
      <c r="E762" s="456"/>
      <c r="F762" s="459"/>
      <c r="G762" s="459"/>
      <c r="H762" s="461"/>
      <c r="I762" s="460"/>
      <c r="J762" s="460"/>
      <c r="K762" s="459"/>
      <c r="L762" s="3986"/>
      <c r="M762" s="3986"/>
      <c r="O762" s="458"/>
      <c r="P762" s="456"/>
      <c r="Q762" s="456"/>
      <c r="R762" s="457"/>
      <c r="S762" s="455"/>
      <c r="T762" s="456"/>
      <c r="U762" s="455"/>
    </row>
    <row r="763" spans="2:21" s="454" customFormat="1" ht="10.199999999999999" customHeight="1">
      <c r="B763" s="455"/>
      <c r="C763" s="455"/>
      <c r="E763" s="456"/>
      <c r="F763" s="459"/>
      <c r="G763" s="459"/>
      <c r="H763" s="461"/>
      <c r="I763" s="460"/>
      <c r="J763" s="460"/>
      <c r="K763" s="459"/>
      <c r="L763" s="3986"/>
      <c r="M763" s="3986"/>
      <c r="O763" s="458"/>
      <c r="P763" s="456"/>
      <c r="Q763" s="456"/>
      <c r="R763" s="457"/>
      <c r="S763" s="455"/>
      <c r="T763" s="456"/>
      <c r="U763" s="455"/>
    </row>
    <row r="764" spans="2:21" s="454" customFormat="1" ht="10.199999999999999" customHeight="1">
      <c r="B764" s="455"/>
      <c r="C764" s="455"/>
      <c r="E764" s="456"/>
      <c r="F764" s="459"/>
      <c r="G764" s="459"/>
      <c r="H764" s="461"/>
      <c r="I764" s="460"/>
      <c r="J764" s="460"/>
      <c r="K764" s="459"/>
      <c r="L764" s="3986"/>
      <c r="M764" s="3986"/>
      <c r="O764" s="458"/>
      <c r="P764" s="456"/>
      <c r="Q764" s="456"/>
      <c r="R764" s="457"/>
      <c r="S764" s="455"/>
      <c r="T764" s="456"/>
      <c r="U764" s="455"/>
    </row>
    <row r="765" spans="2:21" s="454" customFormat="1" ht="10.199999999999999" customHeight="1">
      <c r="B765" s="455"/>
      <c r="C765" s="455"/>
      <c r="E765" s="456"/>
      <c r="F765" s="459"/>
      <c r="G765" s="459"/>
      <c r="H765" s="461"/>
      <c r="I765" s="460"/>
      <c r="J765" s="460"/>
      <c r="K765" s="459"/>
      <c r="L765" s="3986"/>
      <c r="M765" s="3986"/>
      <c r="O765" s="458"/>
      <c r="P765" s="456"/>
      <c r="Q765" s="456"/>
      <c r="R765" s="457"/>
      <c r="S765" s="455"/>
      <c r="T765" s="456"/>
      <c r="U765" s="455"/>
    </row>
    <row r="766" spans="2:21" s="454" customFormat="1" ht="10.199999999999999" customHeight="1">
      <c r="B766" s="455"/>
      <c r="C766" s="455"/>
      <c r="E766" s="456"/>
      <c r="F766" s="459"/>
      <c r="G766" s="459"/>
      <c r="H766" s="461"/>
      <c r="I766" s="460"/>
      <c r="J766" s="460"/>
      <c r="K766" s="459"/>
      <c r="L766" s="3986"/>
      <c r="M766" s="3986"/>
      <c r="O766" s="458"/>
      <c r="P766" s="456"/>
      <c r="Q766" s="456"/>
      <c r="R766" s="457"/>
      <c r="S766" s="455"/>
      <c r="T766" s="456"/>
      <c r="U766" s="455"/>
    </row>
    <row r="767" spans="2:21" s="454" customFormat="1" ht="10.199999999999999" customHeight="1">
      <c r="B767" s="455"/>
      <c r="C767" s="455"/>
      <c r="E767" s="456"/>
      <c r="F767" s="459"/>
      <c r="G767" s="459"/>
      <c r="H767" s="461"/>
      <c r="I767" s="460"/>
      <c r="J767" s="460"/>
      <c r="K767" s="459"/>
      <c r="L767" s="3986"/>
      <c r="M767" s="3986"/>
      <c r="O767" s="458"/>
      <c r="P767" s="456"/>
      <c r="Q767" s="456"/>
      <c r="R767" s="457"/>
      <c r="S767" s="455"/>
      <c r="T767" s="456"/>
      <c r="U767" s="455"/>
    </row>
    <row r="768" spans="2:21" s="454" customFormat="1" ht="10.199999999999999" customHeight="1">
      <c r="B768" s="455"/>
      <c r="C768" s="455"/>
      <c r="E768" s="456"/>
      <c r="F768" s="459"/>
      <c r="G768" s="459"/>
      <c r="H768" s="461"/>
      <c r="I768" s="460"/>
      <c r="J768" s="460"/>
      <c r="K768" s="459"/>
      <c r="L768" s="3986"/>
      <c r="M768" s="3986"/>
      <c r="O768" s="458"/>
      <c r="P768" s="456"/>
      <c r="Q768" s="456"/>
      <c r="R768" s="457"/>
      <c r="S768" s="455"/>
      <c r="T768" s="456"/>
      <c r="U768" s="455"/>
    </row>
    <row r="769" spans="2:21" s="454" customFormat="1" ht="10.199999999999999" customHeight="1">
      <c r="B769" s="455"/>
      <c r="C769" s="455"/>
      <c r="E769" s="456"/>
      <c r="F769" s="459"/>
      <c r="G769" s="459"/>
      <c r="H769" s="461"/>
      <c r="I769" s="460"/>
      <c r="J769" s="460"/>
      <c r="K769" s="459"/>
      <c r="L769" s="3986"/>
      <c r="M769" s="3986"/>
      <c r="O769" s="458"/>
      <c r="P769" s="456"/>
      <c r="Q769" s="456"/>
      <c r="R769" s="457"/>
      <c r="S769" s="455"/>
      <c r="T769" s="456"/>
      <c r="U769" s="455"/>
    </row>
    <row r="770" spans="2:21" s="454" customFormat="1" ht="10.199999999999999" customHeight="1">
      <c r="B770" s="455"/>
      <c r="C770" s="455"/>
      <c r="E770" s="456"/>
      <c r="F770" s="459"/>
      <c r="G770" s="459"/>
      <c r="H770" s="461"/>
      <c r="I770" s="460"/>
      <c r="J770" s="460"/>
      <c r="K770" s="459"/>
      <c r="L770" s="3986"/>
      <c r="M770" s="3986"/>
      <c r="O770" s="458"/>
      <c r="P770" s="456"/>
      <c r="Q770" s="456"/>
      <c r="R770" s="457"/>
      <c r="S770" s="455"/>
      <c r="T770" s="456"/>
      <c r="U770" s="455"/>
    </row>
    <row r="771" spans="2:21" s="454" customFormat="1" ht="10.199999999999999" customHeight="1">
      <c r="B771" s="455"/>
      <c r="C771" s="455"/>
      <c r="E771" s="456"/>
      <c r="F771" s="459"/>
      <c r="G771" s="459"/>
      <c r="H771" s="461"/>
      <c r="I771" s="460"/>
      <c r="J771" s="460"/>
      <c r="K771" s="459"/>
      <c r="L771" s="3986"/>
      <c r="M771" s="3986"/>
      <c r="O771" s="458"/>
      <c r="P771" s="456"/>
      <c r="Q771" s="456"/>
      <c r="R771" s="457"/>
      <c r="S771" s="455"/>
      <c r="T771" s="456"/>
      <c r="U771" s="455"/>
    </row>
    <row r="772" spans="2:21" s="454" customFormat="1" ht="10.199999999999999" customHeight="1">
      <c r="B772" s="455"/>
      <c r="C772" s="455"/>
      <c r="E772" s="456"/>
      <c r="F772" s="459"/>
      <c r="G772" s="459"/>
      <c r="H772" s="461"/>
      <c r="I772" s="460"/>
      <c r="J772" s="460"/>
      <c r="K772" s="459"/>
      <c r="L772" s="3986"/>
      <c r="M772" s="3986"/>
      <c r="O772" s="458"/>
      <c r="P772" s="456"/>
      <c r="Q772" s="456"/>
      <c r="R772" s="457"/>
      <c r="S772" s="455"/>
      <c r="T772" s="456"/>
      <c r="U772" s="455"/>
    </row>
    <row r="773" spans="2:21" s="454" customFormat="1" ht="10.199999999999999" customHeight="1">
      <c r="B773" s="455"/>
      <c r="C773" s="455"/>
      <c r="E773" s="456"/>
      <c r="F773" s="459"/>
      <c r="G773" s="459"/>
      <c r="H773" s="461"/>
      <c r="I773" s="460"/>
      <c r="J773" s="460"/>
      <c r="K773" s="459"/>
      <c r="L773" s="3986"/>
      <c r="M773" s="3986"/>
      <c r="O773" s="458"/>
      <c r="P773" s="456"/>
      <c r="Q773" s="456"/>
      <c r="R773" s="457"/>
      <c r="S773" s="455"/>
      <c r="T773" s="456"/>
      <c r="U773" s="455"/>
    </row>
    <row r="774" spans="2:21" s="454" customFormat="1" ht="10.199999999999999" customHeight="1">
      <c r="B774" s="455"/>
      <c r="C774" s="455"/>
      <c r="E774" s="456"/>
      <c r="F774" s="459"/>
      <c r="G774" s="459"/>
      <c r="H774" s="461"/>
      <c r="I774" s="460"/>
      <c r="J774" s="460"/>
      <c r="K774" s="459"/>
      <c r="L774" s="3986"/>
      <c r="M774" s="3986"/>
      <c r="O774" s="458"/>
      <c r="P774" s="456"/>
      <c r="Q774" s="456"/>
      <c r="R774" s="457"/>
      <c r="S774" s="455"/>
      <c r="T774" s="456"/>
      <c r="U774" s="455"/>
    </row>
    <row r="775" spans="2:21" s="454" customFormat="1" ht="10.199999999999999" customHeight="1">
      <c r="B775" s="455"/>
      <c r="C775" s="455"/>
      <c r="E775" s="456"/>
      <c r="F775" s="459"/>
      <c r="G775" s="459"/>
      <c r="H775" s="461"/>
      <c r="I775" s="460"/>
      <c r="J775" s="460"/>
      <c r="K775" s="459"/>
      <c r="L775" s="3986"/>
      <c r="M775" s="3986"/>
      <c r="O775" s="458"/>
      <c r="P775" s="456"/>
      <c r="Q775" s="456"/>
      <c r="R775" s="457"/>
      <c r="S775" s="455"/>
      <c r="T775" s="456"/>
      <c r="U775" s="455"/>
    </row>
    <row r="776" spans="2:21" s="454" customFormat="1" ht="10.199999999999999" customHeight="1">
      <c r="B776" s="455"/>
      <c r="C776" s="455"/>
      <c r="E776" s="456"/>
      <c r="F776" s="459"/>
      <c r="G776" s="459"/>
      <c r="H776" s="461"/>
      <c r="I776" s="460"/>
      <c r="J776" s="460"/>
      <c r="K776" s="459"/>
      <c r="L776" s="3986"/>
      <c r="M776" s="3986"/>
      <c r="O776" s="458"/>
      <c r="P776" s="456"/>
      <c r="Q776" s="456"/>
      <c r="R776" s="457"/>
      <c r="S776" s="455"/>
      <c r="T776" s="456"/>
      <c r="U776" s="455"/>
    </row>
    <row r="777" spans="2:21" s="454" customFormat="1" ht="10.199999999999999" customHeight="1">
      <c r="B777" s="455"/>
      <c r="C777" s="455"/>
      <c r="E777" s="456"/>
      <c r="F777" s="459"/>
      <c r="G777" s="459"/>
      <c r="H777" s="461"/>
      <c r="I777" s="460"/>
      <c r="J777" s="460"/>
      <c r="K777" s="459"/>
      <c r="L777" s="3986"/>
      <c r="M777" s="3986"/>
      <c r="O777" s="458"/>
      <c r="P777" s="456"/>
      <c r="Q777" s="456"/>
      <c r="R777" s="457"/>
      <c r="S777" s="455"/>
      <c r="T777" s="456"/>
      <c r="U777" s="455"/>
    </row>
    <row r="778" spans="2:21" s="454" customFormat="1" ht="10.199999999999999" customHeight="1">
      <c r="B778" s="455"/>
      <c r="C778" s="455"/>
      <c r="E778" s="456"/>
      <c r="F778" s="459"/>
      <c r="G778" s="459"/>
      <c r="H778" s="461"/>
      <c r="I778" s="460"/>
      <c r="J778" s="460"/>
      <c r="K778" s="459"/>
      <c r="L778" s="3986"/>
      <c r="M778" s="3986"/>
      <c r="O778" s="458"/>
      <c r="P778" s="456"/>
      <c r="Q778" s="456"/>
      <c r="R778" s="457"/>
      <c r="S778" s="455"/>
      <c r="T778" s="456"/>
      <c r="U778" s="455"/>
    </row>
    <row r="779" spans="2:21" s="454" customFormat="1" ht="10.199999999999999" customHeight="1">
      <c r="B779" s="455"/>
      <c r="C779" s="455"/>
      <c r="E779" s="456"/>
      <c r="F779" s="459"/>
      <c r="G779" s="459"/>
      <c r="H779" s="461"/>
      <c r="I779" s="460"/>
      <c r="J779" s="460"/>
      <c r="K779" s="459"/>
      <c r="L779" s="3986"/>
      <c r="M779" s="3986"/>
      <c r="O779" s="458"/>
      <c r="P779" s="456"/>
      <c r="Q779" s="456"/>
      <c r="R779" s="457"/>
      <c r="S779" s="455"/>
      <c r="T779" s="456"/>
      <c r="U779" s="455"/>
    </row>
    <row r="780" spans="2:21" s="454" customFormat="1" ht="10.199999999999999" customHeight="1">
      <c r="B780" s="455"/>
      <c r="C780" s="455"/>
      <c r="E780" s="456"/>
      <c r="F780" s="459"/>
      <c r="G780" s="459"/>
      <c r="H780" s="461"/>
      <c r="I780" s="460"/>
      <c r="J780" s="460"/>
      <c r="K780" s="459"/>
      <c r="L780" s="3986"/>
      <c r="M780" s="3986"/>
      <c r="O780" s="458"/>
      <c r="P780" s="456"/>
      <c r="Q780" s="456"/>
      <c r="R780" s="457"/>
      <c r="S780" s="455"/>
      <c r="T780" s="456"/>
      <c r="U780" s="455"/>
    </row>
    <row r="781" spans="2:21" s="454" customFormat="1" ht="10.199999999999999" customHeight="1">
      <c r="B781" s="455"/>
      <c r="C781" s="455"/>
      <c r="E781" s="456"/>
      <c r="F781" s="459"/>
      <c r="G781" s="459"/>
      <c r="H781" s="461"/>
      <c r="I781" s="460"/>
      <c r="J781" s="460"/>
      <c r="K781" s="459"/>
      <c r="L781" s="3986"/>
      <c r="M781" s="3986"/>
      <c r="O781" s="458"/>
      <c r="P781" s="456"/>
      <c r="Q781" s="456"/>
      <c r="R781" s="457"/>
      <c r="S781" s="455"/>
      <c r="T781" s="456"/>
      <c r="U781" s="455"/>
    </row>
    <row r="782" spans="2:21" s="454" customFormat="1" ht="10.199999999999999" customHeight="1">
      <c r="B782" s="455"/>
      <c r="C782" s="455"/>
      <c r="E782" s="456"/>
      <c r="F782" s="459"/>
      <c r="G782" s="459"/>
      <c r="H782" s="461"/>
      <c r="I782" s="460"/>
      <c r="J782" s="460"/>
      <c r="K782" s="459"/>
      <c r="L782" s="3986"/>
      <c r="M782" s="3986"/>
      <c r="O782" s="458"/>
      <c r="P782" s="456"/>
      <c r="Q782" s="456"/>
      <c r="R782" s="457"/>
      <c r="S782" s="455"/>
      <c r="T782" s="456"/>
      <c r="U782" s="455"/>
    </row>
    <row r="783" spans="2:21" s="454" customFormat="1" ht="10.199999999999999" customHeight="1">
      <c r="B783" s="455"/>
      <c r="C783" s="455"/>
      <c r="E783" s="456"/>
      <c r="F783" s="459"/>
      <c r="G783" s="459"/>
      <c r="H783" s="461"/>
      <c r="I783" s="460"/>
      <c r="J783" s="460"/>
      <c r="K783" s="459"/>
      <c r="L783" s="3986"/>
      <c r="M783" s="3986"/>
      <c r="O783" s="458"/>
      <c r="P783" s="456"/>
      <c r="Q783" s="456"/>
      <c r="R783" s="457"/>
      <c r="S783" s="455"/>
      <c r="T783" s="456"/>
      <c r="U783" s="455"/>
    </row>
    <row r="784" spans="2:21" s="454" customFormat="1" ht="10.199999999999999" customHeight="1">
      <c r="B784" s="455"/>
      <c r="C784" s="455"/>
      <c r="E784" s="456"/>
      <c r="F784" s="459"/>
      <c r="G784" s="459"/>
      <c r="H784" s="461"/>
      <c r="I784" s="460"/>
      <c r="J784" s="460"/>
      <c r="K784" s="459"/>
      <c r="L784" s="3986"/>
      <c r="M784" s="3986"/>
      <c r="O784" s="458"/>
      <c r="P784" s="456"/>
      <c r="Q784" s="456"/>
      <c r="R784" s="457"/>
      <c r="S784" s="455"/>
      <c r="T784" s="456"/>
      <c r="U784" s="455"/>
    </row>
    <row r="785" spans="2:21" s="454" customFormat="1" ht="10.199999999999999" customHeight="1">
      <c r="B785" s="455"/>
      <c r="C785" s="455"/>
      <c r="E785" s="456"/>
      <c r="F785" s="459"/>
      <c r="G785" s="459"/>
      <c r="H785" s="461"/>
      <c r="I785" s="460"/>
      <c r="J785" s="460"/>
      <c r="K785" s="459"/>
      <c r="L785" s="3986"/>
      <c r="M785" s="3986"/>
      <c r="O785" s="458"/>
      <c r="P785" s="456"/>
      <c r="Q785" s="456"/>
      <c r="R785" s="457"/>
      <c r="S785" s="455"/>
      <c r="T785" s="456"/>
      <c r="U785" s="455"/>
    </row>
    <row r="786" spans="2:21" s="454" customFormat="1" ht="10.199999999999999" customHeight="1">
      <c r="B786" s="455"/>
      <c r="C786" s="455"/>
      <c r="E786" s="456"/>
      <c r="F786" s="459"/>
      <c r="G786" s="459"/>
      <c r="H786" s="461"/>
      <c r="I786" s="460"/>
      <c r="J786" s="460"/>
      <c r="K786" s="459"/>
      <c r="L786" s="3986"/>
      <c r="M786" s="3986"/>
      <c r="O786" s="458"/>
      <c r="P786" s="456"/>
      <c r="Q786" s="456"/>
      <c r="R786" s="457"/>
      <c r="S786" s="455"/>
      <c r="T786" s="456"/>
      <c r="U786" s="455"/>
    </row>
    <row r="787" spans="2:21" s="454" customFormat="1" ht="10.199999999999999" customHeight="1">
      <c r="B787" s="455"/>
      <c r="C787" s="455"/>
      <c r="E787" s="456"/>
      <c r="F787" s="459"/>
      <c r="G787" s="459"/>
      <c r="H787" s="461"/>
      <c r="I787" s="460"/>
      <c r="J787" s="460"/>
      <c r="K787" s="459"/>
      <c r="L787" s="3986"/>
      <c r="M787" s="3986"/>
      <c r="O787" s="458"/>
      <c r="P787" s="456"/>
      <c r="Q787" s="456"/>
      <c r="R787" s="457"/>
      <c r="S787" s="455"/>
      <c r="T787" s="456"/>
      <c r="U787" s="455"/>
    </row>
    <row r="788" spans="2:21" s="454" customFormat="1" ht="10.199999999999999" customHeight="1">
      <c r="B788" s="455"/>
      <c r="C788" s="455"/>
      <c r="E788" s="456"/>
      <c r="F788" s="459"/>
      <c r="G788" s="459"/>
      <c r="H788" s="461"/>
      <c r="I788" s="460"/>
      <c r="J788" s="460"/>
      <c r="K788" s="459"/>
      <c r="L788" s="3986"/>
      <c r="M788" s="3986"/>
      <c r="O788" s="458"/>
      <c r="P788" s="456"/>
      <c r="Q788" s="456"/>
      <c r="R788" s="457"/>
      <c r="S788" s="455"/>
      <c r="T788" s="456"/>
      <c r="U788" s="455"/>
    </row>
    <row r="789" spans="2:21" s="454" customFormat="1" ht="10.199999999999999" customHeight="1">
      <c r="B789" s="455"/>
      <c r="C789" s="455"/>
      <c r="E789" s="456"/>
      <c r="F789" s="459"/>
      <c r="G789" s="459"/>
      <c r="H789" s="461"/>
      <c r="I789" s="460"/>
      <c r="J789" s="460"/>
      <c r="K789" s="459"/>
      <c r="L789" s="3986"/>
      <c r="M789" s="3986"/>
      <c r="O789" s="458"/>
      <c r="P789" s="456"/>
      <c r="Q789" s="456"/>
      <c r="R789" s="457"/>
      <c r="S789" s="455"/>
      <c r="T789" s="456"/>
      <c r="U789" s="455"/>
    </row>
    <row r="790" spans="2:21" s="454" customFormat="1" ht="10.199999999999999" customHeight="1">
      <c r="B790" s="455"/>
      <c r="C790" s="455"/>
      <c r="E790" s="456"/>
      <c r="F790" s="459"/>
      <c r="G790" s="459"/>
      <c r="H790" s="461"/>
      <c r="I790" s="460"/>
      <c r="J790" s="460"/>
      <c r="K790" s="459"/>
      <c r="L790" s="3986"/>
      <c r="M790" s="3986"/>
      <c r="O790" s="458"/>
      <c r="P790" s="456"/>
      <c r="Q790" s="456"/>
      <c r="R790" s="457"/>
      <c r="S790" s="455"/>
      <c r="T790" s="456"/>
      <c r="U790" s="455"/>
    </row>
    <row r="791" spans="2:21" s="454" customFormat="1" ht="10.199999999999999" customHeight="1">
      <c r="B791" s="455"/>
      <c r="C791" s="455"/>
      <c r="E791" s="456"/>
      <c r="F791" s="459"/>
      <c r="G791" s="459"/>
      <c r="H791" s="461"/>
      <c r="I791" s="460"/>
      <c r="J791" s="460"/>
      <c r="K791" s="459"/>
      <c r="L791" s="3986"/>
      <c r="M791" s="3986"/>
      <c r="O791" s="458"/>
      <c r="P791" s="456"/>
      <c r="Q791" s="456"/>
      <c r="R791" s="457"/>
      <c r="S791" s="455"/>
      <c r="T791" s="456"/>
      <c r="U791" s="455"/>
    </row>
    <row r="792" spans="2:21" s="454" customFormat="1" ht="10.199999999999999" customHeight="1">
      <c r="B792" s="455"/>
      <c r="C792" s="455"/>
      <c r="E792" s="456"/>
      <c r="F792" s="459"/>
      <c r="G792" s="459"/>
      <c r="H792" s="461"/>
      <c r="I792" s="460"/>
      <c r="J792" s="460"/>
      <c r="K792" s="459"/>
      <c r="L792" s="3986"/>
      <c r="M792" s="3986"/>
      <c r="O792" s="458"/>
      <c r="P792" s="456"/>
      <c r="Q792" s="456"/>
      <c r="R792" s="457"/>
      <c r="S792" s="455"/>
      <c r="T792" s="456"/>
      <c r="U792" s="455"/>
    </row>
    <row r="793" spans="2:21" s="454" customFormat="1" ht="10.199999999999999" customHeight="1">
      <c r="B793" s="455"/>
      <c r="C793" s="455"/>
      <c r="E793" s="456"/>
      <c r="F793" s="459"/>
      <c r="G793" s="459"/>
      <c r="H793" s="461"/>
      <c r="I793" s="460"/>
      <c r="J793" s="460"/>
      <c r="K793" s="459"/>
      <c r="L793" s="3986"/>
      <c r="M793" s="3986"/>
      <c r="O793" s="458"/>
      <c r="P793" s="456"/>
      <c r="Q793" s="456"/>
      <c r="R793" s="457"/>
      <c r="S793" s="455"/>
      <c r="T793" s="456"/>
      <c r="U793" s="455"/>
    </row>
    <row r="794" spans="2:21" s="454" customFormat="1" ht="10.199999999999999" customHeight="1">
      <c r="B794" s="455"/>
      <c r="C794" s="455"/>
      <c r="E794" s="456"/>
      <c r="F794" s="459"/>
      <c r="G794" s="459"/>
      <c r="H794" s="461"/>
      <c r="I794" s="460"/>
      <c r="J794" s="460"/>
      <c r="K794" s="459"/>
      <c r="L794" s="3986"/>
      <c r="M794" s="3986"/>
      <c r="O794" s="458"/>
      <c r="P794" s="456"/>
      <c r="Q794" s="456"/>
      <c r="R794" s="457"/>
      <c r="S794" s="455"/>
      <c r="T794" s="456"/>
      <c r="U794" s="455"/>
    </row>
    <row r="795" spans="2:21" s="454" customFormat="1" ht="10.199999999999999" customHeight="1">
      <c r="B795" s="455"/>
      <c r="C795" s="455"/>
      <c r="E795" s="456"/>
      <c r="F795" s="459"/>
      <c r="G795" s="459"/>
      <c r="H795" s="461"/>
      <c r="I795" s="460"/>
      <c r="J795" s="460"/>
      <c r="K795" s="459"/>
      <c r="L795" s="3986"/>
      <c r="M795" s="3986"/>
      <c r="O795" s="458"/>
      <c r="P795" s="456"/>
      <c r="Q795" s="456"/>
      <c r="R795" s="457"/>
      <c r="S795" s="455"/>
      <c r="T795" s="456"/>
      <c r="U795" s="455"/>
    </row>
    <row r="796" spans="2:21" s="454" customFormat="1" ht="10.199999999999999" customHeight="1">
      <c r="B796" s="455"/>
      <c r="C796" s="455"/>
      <c r="E796" s="456"/>
      <c r="F796" s="459"/>
      <c r="G796" s="459"/>
      <c r="H796" s="461"/>
      <c r="I796" s="460"/>
      <c r="J796" s="460"/>
      <c r="K796" s="459"/>
      <c r="L796" s="3986"/>
      <c r="M796" s="3986"/>
      <c r="O796" s="458"/>
      <c r="P796" s="456"/>
      <c r="Q796" s="456"/>
      <c r="R796" s="457"/>
      <c r="S796" s="455"/>
      <c r="T796" s="456"/>
      <c r="U796" s="455"/>
    </row>
    <row r="797" spans="2:21" s="454" customFormat="1" ht="10.199999999999999" customHeight="1">
      <c r="B797" s="455"/>
      <c r="C797" s="455"/>
      <c r="E797" s="456"/>
      <c r="F797" s="459"/>
      <c r="G797" s="459"/>
      <c r="H797" s="461"/>
      <c r="I797" s="460"/>
      <c r="J797" s="460"/>
      <c r="K797" s="459"/>
      <c r="L797" s="3986"/>
      <c r="M797" s="3986"/>
      <c r="O797" s="458"/>
      <c r="P797" s="456"/>
      <c r="Q797" s="456"/>
      <c r="R797" s="457"/>
      <c r="S797" s="455"/>
      <c r="T797" s="456"/>
      <c r="U797" s="455"/>
    </row>
    <row r="798" spans="2:21" s="454" customFormat="1" ht="10.199999999999999" customHeight="1">
      <c r="B798" s="455"/>
      <c r="C798" s="455"/>
      <c r="E798" s="456"/>
      <c r="F798" s="459"/>
      <c r="G798" s="459"/>
      <c r="H798" s="461"/>
      <c r="I798" s="460"/>
      <c r="J798" s="460"/>
      <c r="K798" s="459"/>
      <c r="L798" s="3986"/>
      <c r="M798" s="3986"/>
      <c r="O798" s="458"/>
      <c r="P798" s="456"/>
      <c r="Q798" s="456"/>
      <c r="R798" s="457"/>
      <c r="S798" s="455"/>
      <c r="T798" s="456"/>
      <c r="U798" s="455"/>
    </row>
    <row r="799" spans="2:21" s="454" customFormat="1" ht="10.199999999999999" customHeight="1">
      <c r="B799" s="455"/>
      <c r="C799" s="455"/>
      <c r="E799" s="456"/>
      <c r="F799" s="459"/>
      <c r="G799" s="459"/>
      <c r="H799" s="461"/>
      <c r="I799" s="460"/>
      <c r="J799" s="460"/>
      <c r="K799" s="459"/>
      <c r="L799" s="3986"/>
      <c r="M799" s="3986"/>
      <c r="O799" s="458"/>
      <c r="P799" s="456"/>
      <c r="Q799" s="456"/>
      <c r="R799" s="457"/>
      <c r="S799" s="455"/>
      <c r="T799" s="456"/>
      <c r="U799" s="455"/>
    </row>
    <row r="800" spans="2:21" s="454" customFormat="1" ht="10.199999999999999" customHeight="1">
      <c r="B800" s="455"/>
      <c r="C800" s="455"/>
      <c r="E800" s="456"/>
      <c r="F800" s="459"/>
      <c r="G800" s="459"/>
      <c r="H800" s="461"/>
      <c r="I800" s="460"/>
      <c r="J800" s="460"/>
      <c r="K800" s="459"/>
      <c r="L800" s="3986"/>
      <c r="M800" s="3986"/>
      <c r="O800" s="458"/>
      <c r="P800" s="456"/>
      <c r="Q800" s="456"/>
      <c r="R800" s="457"/>
      <c r="S800" s="455"/>
      <c r="T800" s="456"/>
      <c r="U800" s="455"/>
    </row>
    <row r="801" spans="2:21" s="454" customFormat="1" ht="10.199999999999999" customHeight="1">
      <c r="B801" s="455"/>
      <c r="C801" s="455"/>
      <c r="E801" s="456"/>
      <c r="F801" s="459"/>
      <c r="G801" s="459"/>
      <c r="H801" s="461"/>
      <c r="I801" s="460"/>
      <c r="J801" s="460"/>
      <c r="K801" s="459"/>
      <c r="L801" s="3986"/>
      <c r="M801" s="3986"/>
      <c r="O801" s="458"/>
      <c r="P801" s="456"/>
      <c r="Q801" s="456"/>
      <c r="R801" s="457"/>
      <c r="S801" s="455"/>
      <c r="T801" s="456"/>
      <c r="U801" s="455"/>
    </row>
    <row r="802" spans="2:21" s="454" customFormat="1" ht="10.199999999999999" customHeight="1">
      <c r="B802" s="455"/>
      <c r="C802" s="455"/>
      <c r="E802" s="456"/>
      <c r="F802" s="459"/>
      <c r="G802" s="459"/>
      <c r="H802" s="461"/>
      <c r="I802" s="460"/>
      <c r="J802" s="460"/>
      <c r="K802" s="459"/>
      <c r="L802" s="3986"/>
      <c r="M802" s="3986"/>
      <c r="O802" s="458"/>
      <c r="P802" s="456"/>
      <c r="Q802" s="456"/>
      <c r="R802" s="457"/>
      <c r="S802" s="455"/>
      <c r="T802" s="456"/>
      <c r="U802" s="455"/>
    </row>
    <row r="803" spans="2:21" s="454" customFormat="1" ht="10.199999999999999" customHeight="1">
      <c r="B803" s="455"/>
      <c r="C803" s="455"/>
      <c r="E803" s="456"/>
      <c r="F803" s="459"/>
      <c r="G803" s="459"/>
      <c r="H803" s="461"/>
      <c r="I803" s="460"/>
      <c r="J803" s="460"/>
      <c r="K803" s="459"/>
      <c r="L803" s="3986"/>
      <c r="M803" s="3986"/>
      <c r="O803" s="458"/>
      <c r="P803" s="456"/>
      <c r="Q803" s="456"/>
      <c r="R803" s="457"/>
      <c r="S803" s="455"/>
      <c r="T803" s="456"/>
      <c r="U803" s="455"/>
    </row>
    <row r="804" spans="2:21" s="454" customFormat="1" ht="10.199999999999999" customHeight="1">
      <c r="B804" s="455"/>
      <c r="C804" s="455"/>
      <c r="E804" s="456"/>
      <c r="F804" s="459"/>
      <c r="G804" s="459"/>
      <c r="H804" s="461"/>
      <c r="I804" s="460"/>
      <c r="J804" s="460"/>
      <c r="K804" s="459"/>
      <c r="L804" s="3986"/>
      <c r="M804" s="3986"/>
      <c r="O804" s="458"/>
      <c r="P804" s="456"/>
      <c r="Q804" s="456"/>
      <c r="R804" s="457"/>
      <c r="S804" s="455"/>
      <c r="T804" s="456"/>
      <c r="U804" s="455"/>
    </row>
    <row r="805" spans="2:21" s="454" customFormat="1" ht="10.199999999999999" customHeight="1">
      <c r="B805" s="455"/>
      <c r="C805" s="455"/>
      <c r="E805" s="456"/>
      <c r="F805" s="459"/>
      <c r="G805" s="459"/>
      <c r="H805" s="461"/>
      <c r="I805" s="460"/>
      <c r="J805" s="460"/>
      <c r="K805" s="459"/>
      <c r="L805" s="3986"/>
      <c r="M805" s="3986"/>
      <c r="O805" s="458"/>
      <c r="P805" s="456"/>
      <c r="Q805" s="456"/>
      <c r="R805" s="457"/>
      <c r="S805" s="455"/>
      <c r="T805" s="456"/>
      <c r="U805" s="455"/>
    </row>
    <row r="806" spans="2:21" s="454" customFormat="1" ht="10.199999999999999" customHeight="1">
      <c r="B806" s="455"/>
      <c r="C806" s="455"/>
      <c r="E806" s="456"/>
      <c r="F806" s="459"/>
      <c r="G806" s="459"/>
      <c r="H806" s="461"/>
      <c r="I806" s="460"/>
      <c r="J806" s="460"/>
      <c r="K806" s="459"/>
      <c r="L806" s="3986"/>
      <c r="M806" s="3986"/>
      <c r="O806" s="458"/>
      <c r="P806" s="456"/>
      <c r="Q806" s="456"/>
      <c r="R806" s="457"/>
      <c r="S806" s="455"/>
      <c r="T806" s="456"/>
      <c r="U806" s="455"/>
    </row>
    <row r="807" spans="2:21" s="454" customFormat="1" ht="10.199999999999999" customHeight="1">
      <c r="B807" s="455"/>
      <c r="C807" s="455"/>
      <c r="E807" s="456"/>
      <c r="F807" s="459"/>
      <c r="G807" s="459"/>
      <c r="H807" s="461"/>
      <c r="I807" s="460"/>
      <c r="J807" s="460"/>
      <c r="K807" s="459"/>
      <c r="L807" s="3986"/>
      <c r="M807" s="3986"/>
      <c r="O807" s="458"/>
      <c r="P807" s="456"/>
      <c r="Q807" s="456"/>
      <c r="R807" s="457"/>
      <c r="S807" s="455"/>
      <c r="T807" s="456"/>
      <c r="U807" s="455"/>
    </row>
    <row r="808" spans="2:21" s="454" customFormat="1" ht="10.199999999999999" customHeight="1">
      <c r="B808" s="455"/>
      <c r="C808" s="455"/>
      <c r="E808" s="456"/>
      <c r="F808" s="459"/>
      <c r="G808" s="459"/>
      <c r="H808" s="461"/>
      <c r="I808" s="460"/>
      <c r="J808" s="460"/>
      <c r="K808" s="459"/>
      <c r="L808" s="3986"/>
      <c r="M808" s="3986"/>
      <c r="O808" s="458"/>
      <c r="P808" s="456"/>
      <c r="Q808" s="456"/>
      <c r="R808" s="457"/>
      <c r="S808" s="455"/>
      <c r="T808" s="456"/>
      <c r="U808" s="455"/>
    </row>
    <row r="809" spans="2:21" s="454" customFormat="1" ht="10.199999999999999" customHeight="1">
      <c r="B809" s="455"/>
      <c r="C809" s="455"/>
      <c r="E809" s="456"/>
      <c r="F809" s="459"/>
      <c r="G809" s="459"/>
      <c r="H809" s="461"/>
      <c r="I809" s="460"/>
      <c r="J809" s="460"/>
      <c r="K809" s="459"/>
      <c r="L809" s="3986"/>
      <c r="M809" s="3986"/>
      <c r="O809" s="458"/>
      <c r="P809" s="456"/>
      <c r="Q809" s="456"/>
      <c r="R809" s="457"/>
      <c r="S809" s="455"/>
      <c r="T809" s="456"/>
      <c r="U809" s="455"/>
    </row>
    <row r="810" spans="2:21" s="454" customFormat="1" ht="10.199999999999999" customHeight="1">
      <c r="B810" s="455"/>
      <c r="C810" s="455"/>
      <c r="E810" s="456"/>
      <c r="F810" s="459"/>
      <c r="G810" s="459"/>
      <c r="H810" s="461"/>
      <c r="I810" s="460"/>
      <c r="J810" s="460"/>
      <c r="K810" s="459"/>
      <c r="L810" s="3986"/>
      <c r="M810" s="3986"/>
      <c r="O810" s="458"/>
      <c r="P810" s="456"/>
      <c r="Q810" s="456"/>
      <c r="R810" s="457"/>
      <c r="S810" s="455"/>
      <c r="T810" s="456"/>
      <c r="U810" s="455"/>
    </row>
    <row r="811" spans="2:21" s="454" customFormat="1" ht="10.199999999999999" customHeight="1">
      <c r="B811" s="455"/>
      <c r="C811" s="455"/>
      <c r="E811" s="456"/>
      <c r="F811" s="459"/>
      <c r="G811" s="459"/>
      <c r="H811" s="461"/>
      <c r="I811" s="460"/>
      <c r="J811" s="460"/>
      <c r="K811" s="459"/>
      <c r="L811" s="3986"/>
      <c r="M811" s="3986"/>
      <c r="O811" s="458"/>
      <c r="P811" s="456"/>
      <c r="Q811" s="456"/>
      <c r="R811" s="457"/>
      <c r="S811" s="455"/>
      <c r="T811" s="456"/>
      <c r="U811" s="455"/>
    </row>
    <row r="812" spans="2:21" s="454" customFormat="1" ht="10.199999999999999" customHeight="1">
      <c r="B812" s="455"/>
      <c r="C812" s="455"/>
      <c r="E812" s="456"/>
      <c r="F812" s="459"/>
      <c r="G812" s="459"/>
      <c r="H812" s="461"/>
      <c r="I812" s="460"/>
      <c r="J812" s="460"/>
      <c r="K812" s="459"/>
      <c r="L812" s="3986"/>
      <c r="M812" s="3986"/>
      <c r="O812" s="458"/>
      <c r="P812" s="456"/>
      <c r="Q812" s="456"/>
      <c r="R812" s="457"/>
      <c r="S812" s="455"/>
      <c r="T812" s="456"/>
      <c r="U812" s="455"/>
    </row>
    <row r="813" spans="2:21" s="454" customFormat="1" ht="10.199999999999999" customHeight="1">
      <c r="B813" s="455"/>
      <c r="C813" s="455"/>
      <c r="E813" s="456"/>
      <c r="F813" s="459"/>
      <c r="G813" s="459"/>
      <c r="H813" s="461"/>
      <c r="I813" s="460"/>
      <c r="J813" s="460"/>
      <c r="K813" s="459"/>
      <c r="L813" s="3986"/>
      <c r="M813" s="3986"/>
      <c r="O813" s="458"/>
      <c r="P813" s="456"/>
      <c r="Q813" s="456"/>
      <c r="R813" s="457"/>
      <c r="S813" s="455"/>
      <c r="T813" s="456"/>
      <c r="U813" s="455"/>
    </row>
    <row r="814" spans="2:21" s="454" customFormat="1" ht="10.199999999999999" customHeight="1">
      <c r="B814" s="455"/>
      <c r="C814" s="455"/>
      <c r="E814" s="456"/>
      <c r="F814" s="459"/>
      <c r="G814" s="459"/>
      <c r="H814" s="461"/>
      <c r="I814" s="460"/>
      <c r="J814" s="460"/>
      <c r="K814" s="459"/>
      <c r="L814" s="3986"/>
      <c r="M814" s="3986"/>
      <c r="O814" s="458"/>
      <c r="P814" s="456"/>
      <c r="Q814" s="456"/>
      <c r="R814" s="457"/>
      <c r="S814" s="455"/>
      <c r="T814" s="456"/>
      <c r="U814" s="455"/>
    </row>
    <row r="815" spans="2:21" s="454" customFormat="1" ht="10.199999999999999" customHeight="1">
      <c r="B815" s="455"/>
      <c r="C815" s="455"/>
      <c r="E815" s="456"/>
      <c r="F815" s="459"/>
      <c r="G815" s="459"/>
      <c r="H815" s="461"/>
      <c r="I815" s="460"/>
      <c r="J815" s="460"/>
      <c r="K815" s="459"/>
      <c r="L815" s="3986"/>
      <c r="M815" s="3986"/>
      <c r="O815" s="458"/>
      <c r="P815" s="456"/>
      <c r="Q815" s="456"/>
      <c r="R815" s="457"/>
      <c r="S815" s="455"/>
      <c r="T815" s="456"/>
      <c r="U815" s="455"/>
    </row>
    <row r="816" spans="2:21" s="454" customFormat="1" ht="10.199999999999999" customHeight="1">
      <c r="B816" s="455"/>
      <c r="C816" s="455"/>
      <c r="E816" s="456"/>
      <c r="F816" s="459"/>
      <c r="G816" s="459"/>
      <c r="H816" s="461"/>
      <c r="I816" s="460"/>
      <c r="J816" s="460"/>
      <c r="K816" s="459"/>
      <c r="L816" s="3986"/>
      <c r="M816" s="3986"/>
      <c r="O816" s="458"/>
      <c r="P816" s="456"/>
      <c r="Q816" s="456"/>
      <c r="R816" s="457"/>
      <c r="S816" s="455"/>
      <c r="T816" s="456"/>
      <c r="U816" s="455"/>
    </row>
    <row r="817" spans="2:21" s="454" customFormat="1" ht="10.199999999999999" customHeight="1">
      <c r="B817" s="455"/>
      <c r="C817" s="455"/>
      <c r="E817" s="456"/>
      <c r="F817" s="459"/>
      <c r="G817" s="459"/>
      <c r="H817" s="461"/>
      <c r="I817" s="460"/>
      <c r="J817" s="460"/>
      <c r="K817" s="459"/>
      <c r="L817" s="3986"/>
      <c r="M817" s="3986"/>
      <c r="O817" s="458"/>
      <c r="P817" s="456"/>
      <c r="Q817" s="456"/>
      <c r="R817" s="457"/>
      <c r="S817" s="455"/>
      <c r="T817" s="456"/>
      <c r="U817" s="455"/>
    </row>
    <row r="818" spans="2:21" s="454" customFormat="1" ht="10.199999999999999" customHeight="1">
      <c r="B818" s="455"/>
      <c r="C818" s="455"/>
      <c r="E818" s="456"/>
      <c r="F818" s="459"/>
      <c r="G818" s="459"/>
      <c r="H818" s="461"/>
      <c r="I818" s="460"/>
      <c r="J818" s="460"/>
      <c r="K818" s="459"/>
      <c r="L818" s="3986"/>
      <c r="M818" s="3986"/>
      <c r="O818" s="458"/>
      <c r="P818" s="456"/>
      <c r="Q818" s="456"/>
      <c r="R818" s="457"/>
      <c r="S818" s="455"/>
      <c r="T818" s="456"/>
      <c r="U818" s="455"/>
    </row>
    <row r="819" spans="2:21" s="454" customFormat="1" ht="10.199999999999999" customHeight="1">
      <c r="B819" s="455"/>
      <c r="C819" s="455"/>
      <c r="E819" s="456"/>
      <c r="F819" s="459"/>
      <c r="G819" s="459"/>
      <c r="H819" s="461"/>
      <c r="I819" s="460"/>
      <c r="J819" s="460"/>
      <c r="K819" s="459"/>
      <c r="L819" s="3986"/>
      <c r="M819" s="3986"/>
      <c r="O819" s="458"/>
      <c r="P819" s="456"/>
      <c r="Q819" s="456"/>
      <c r="R819" s="457"/>
      <c r="S819" s="455"/>
      <c r="T819" s="456"/>
      <c r="U819" s="455"/>
    </row>
    <row r="820" spans="2:21" s="454" customFormat="1" ht="10.199999999999999" customHeight="1">
      <c r="B820" s="455"/>
      <c r="C820" s="455"/>
      <c r="E820" s="456"/>
      <c r="F820" s="459"/>
      <c r="G820" s="459"/>
      <c r="H820" s="461"/>
      <c r="I820" s="460"/>
      <c r="J820" s="460"/>
      <c r="K820" s="459"/>
      <c r="L820" s="3986"/>
      <c r="M820" s="3986"/>
      <c r="O820" s="458"/>
      <c r="P820" s="456"/>
      <c r="Q820" s="456"/>
      <c r="R820" s="457"/>
      <c r="S820" s="455"/>
      <c r="T820" s="456"/>
      <c r="U820" s="455"/>
    </row>
    <row r="821" spans="2:21" s="454" customFormat="1" ht="10.199999999999999" customHeight="1">
      <c r="B821" s="455"/>
      <c r="C821" s="455"/>
      <c r="E821" s="456"/>
      <c r="F821" s="459"/>
      <c r="G821" s="459"/>
      <c r="H821" s="461"/>
      <c r="I821" s="460"/>
      <c r="J821" s="460"/>
      <c r="K821" s="459"/>
      <c r="L821" s="3986"/>
      <c r="M821" s="3986"/>
      <c r="O821" s="458"/>
      <c r="P821" s="456"/>
      <c r="Q821" s="456"/>
      <c r="R821" s="457"/>
      <c r="S821" s="455"/>
      <c r="T821" s="456"/>
      <c r="U821" s="455"/>
    </row>
    <row r="822" spans="2:21" s="454" customFormat="1" ht="10.199999999999999" customHeight="1">
      <c r="B822" s="455"/>
      <c r="C822" s="455"/>
      <c r="E822" s="456"/>
      <c r="F822" s="459"/>
      <c r="G822" s="459"/>
      <c r="H822" s="461"/>
      <c r="I822" s="460"/>
      <c r="J822" s="460"/>
      <c r="K822" s="459"/>
      <c r="L822" s="3986"/>
      <c r="M822" s="3986"/>
      <c r="O822" s="458"/>
      <c r="P822" s="456"/>
      <c r="Q822" s="456"/>
      <c r="R822" s="457"/>
      <c r="S822" s="455"/>
      <c r="T822" s="456"/>
      <c r="U822" s="455"/>
    </row>
    <row r="823" spans="2:21" s="454" customFormat="1" ht="10.199999999999999" customHeight="1">
      <c r="B823" s="455"/>
      <c r="C823" s="455"/>
      <c r="E823" s="456"/>
      <c r="F823" s="459"/>
      <c r="G823" s="459"/>
      <c r="H823" s="461"/>
      <c r="I823" s="460"/>
      <c r="J823" s="460"/>
      <c r="K823" s="459"/>
      <c r="L823" s="3986"/>
      <c r="M823" s="3986"/>
      <c r="O823" s="458"/>
      <c r="P823" s="456"/>
      <c r="Q823" s="456"/>
      <c r="R823" s="457"/>
      <c r="S823" s="455"/>
      <c r="T823" s="456"/>
      <c r="U823" s="455"/>
    </row>
    <row r="824" spans="2:21" s="454" customFormat="1" ht="10.199999999999999" customHeight="1">
      <c r="B824" s="455"/>
      <c r="C824" s="455"/>
      <c r="E824" s="456"/>
      <c r="F824" s="459"/>
      <c r="G824" s="459"/>
      <c r="H824" s="461"/>
      <c r="I824" s="460"/>
      <c r="J824" s="460"/>
      <c r="K824" s="459"/>
      <c r="L824" s="3986"/>
      <c r="M824" s="3986"/>
      <c r="O824" s="458"/>
      <c r="P824" s="456"/>
      <c r="Q824" s="456"/>
      <c r="R824" s="457"/>
      <c r="S824" s="455"/>
      <c r="T824" s="456"/>
      <c r="U824" s="455"/>
    </row>
    <row r="825" spans="2:21" s="454" customFormat="1" ht="10.199999999999999" customHeight="1">
      <c r="B825" s="455"/>
      <c r="C825" s="455"/>
      <c r="E825" s="456"/>
      <c r="F825" s="459"/>
      <c r="G825" s="459"/>
      <c r="H825" s="461"/>
      <c r="I825" s="460"/>
      <c r="J825" s="460"/>
      <c r="K825" s="459"/>
      <c r="L825" s="3986"/>
      <c r="M825" s="3986"/>
      <c r="O825" s="458"/>
      <c r="P825" s="456"/>
      <c r="Q825" s="456"/>
      <c r="R825" s="457"/>
      <c r="S825" s="455"/>
      <c r="T825" s="456"/>
      <c r="U825" s="455"/>
    </row>
    <row r="826" spans="2:21" s="454" customFormat="1" ht="10.199999999999999" customHeight="1">
      <c r="B826" s="455"/>
      <c r="C826" s="455"/>
      <c r="E826" s="456"/>
      <c r="F826" s="459"/>
      <c r="G826" s="459"/>
      <c r="H826" s="461"/>
      <c r="I826" s="460"/>
      <c r="J826" s="460"/>
      <c r="K826" s="459"/>
      <c r="L826" s="3986"/>
      <c r="M826" s="3986"/>
      <c r="O826" s="458"/>
      <c r="P826" s="456"/>
      <c r="Q826" s="456"/>
      <c r="R826" s="457"/>
      <c r="S826" s="455"/>
      <c r="T826" s="456"/>
      <c r="U826" s="455"/>
    </row>
    <row r="827" spans="2:21" s="454" customFormat="1" ht="10.199999999999999" customHeight="1">
      <c r="B827" s="455"/>
      <c r="C827" s="455"/>
      <c r="E827" s="456"/>
      <c r="F827" s="459"/>
      <c r="G827" s="459"/>
      <c r="H827" s="461"/>
      <c r="I827" s="460"/>
      <c r="J827" s="460"/>
      <c r="K827" s="459"/>
      <c r="L827" s="3986"/>
      <c r="M827" s="3986"/>
      <c r="O827" s="458"/>
      <c r="P827" s="456"/>
      <c r="Q827" s="456"/>
      <c r="R827" s="457"/>
      <c r="S827" s="455"/>
      <c r="T827" s="456"/>
      <c r="U827" s="455"/>
    </row>
    <row r="828" spans="2:21" s="454" customFormat="1" ht="10.199999999999999" customHeight="1">
      <c r="B828" s="455"/>
      <c r="C828" s="455"/>
      <c r="E828" s="456"/>
      <c r="F828" s="459"/>
      <c r="G828" s="459"/>
      <c r="H828" s="461"/>
      <c r="I828" s="460"/>
      <c r="J828" s="460"/>
      <c r="K828" s="459"/>
      <c r="L828" s="3986"/>
      <c r="M828" s="3986"/>
      <c r="O828" s="458"/>
      <c r="P828" s="456"/>
      <c r="Q828" s="456"/>
      <c r="R828" s="457"/>
      <c r="S828" s="455"/>
      <c r="T828" s="456"/>
      <c r="U828" s="455"/>
    </row>
    <row r="829" spans="2:21" s="454" customFormat="1" ht="10.199999999999999" customHeight="1">
      <c r="B829" s="455"/>
      <c r="C829" s="455"/>
      <c r="E829" s="456"/>
      <c r="F829" s="459"/>
      <c r="G829" s="459"/>
      <c r="H829" s="461"/>
      <c r="I829" s="460"/>
      <c r="J829" s="460"/>
      <c r="K829" s="459"/>
      <c r="L829" s="3986"/>
      <c r="M829" s="3986"/>
      <c r="O829" s="458"/>
      <c r="P829" s="456"/>
      <c r="Q829" s="456"/>
      <c r="R829" s="457"/>
      <c r="S829" s="455"/>
      <c r="T829" s="456"/>
      <c r="U829" s="455"/>
    </row>
    <row r="830" spans="2:21" s="454" customFormat="1" ht="10.199999999999999" customHeight="1">
      <c r="B830" s="455"/>
      <c r="C830" s="455"/>
      <c r="E830" s="456"/>
      <c r="F830" s="459"/>
      <c r="G830" s="459"/>
      <c r="H830" s="461"/>
      <c r="I830" s="460"/>
      <c r="J830" s="460"/>
      <c r="K830" s="459"/>
      <c r="L830" s="3986"/>
      <c r="M830" s="3986"/>
      <c r="O830" s="458"/>
      <c r="P830" s="456"/>
      <c r="Q830" s="456"/>
      <c r="R830" s="457"/>
      <c r="S830" s="455"/>
      <c r="T830" s="456"/>
      <c r="U830" s="455"/>
    </row>
    <row r="831" spans="2:21" s="454" customFormat="1" ht="10.199999999999999" customHeight="1">
      <c r="B831" s="455"/>
      <c r="C831" s="455"/>
      <c r="E831" s="456"/>
      <c r="F831" s="459"/>
      <c r="G831" s="459"/>
      <c r="H831" s="461"/>
      <c r="I831" s="460"/>
      <c r="J831" s="460"/>
      <c r="K831" s="459"/>
      <c r="L831" s="3986"/>
      <c r="M831" s="3986"/>
      <c r="O831" s="458"/>
      <c r="P831" s="456"/>
      <c r="Q831" s="456"/>
      <c r="R831" s="457"/>
      <c r="S831" s="455"/>
      <c r="T831" s="456"/>
      <c r="U831" s="455"/>
    </row>
    <row r="832" spans="2:21" s="454" customFormat="1" ht="10.199999999999999" customHeight="1">
      <c r="B832" s="455"/>
      <c r="C832" s="455"/>
      <c r="E832" s="456"/>
      <c r="F832" s="459"/>
      <c r="G832" s="459"/>
      <c r="H832" s="461"/>
      <c r="I832" s="460"/>
      <c r="J832" s="460"/>
      <c r="K832" s="459"/>
      <c r="L832" s="3986"/>
      <c r="M832" s="3986"/>
      <c r="O832" s="458"/>
      <c r="P832" s="456"/>
      <c r="Q832" s="456"/>
      <c r="R832" s="457"/>
      <c r="S832" s="455"/>
      <c r="T832" s="456"/>
      <c r="U832" s="455"/>
    </row>
    <row r="833" spans="2:21" s="454" customFormat="1" ht="10.199999999999999" customHeight="1">
      <c r="B833" s="455"/>
      <c r="C833" s="455"/>
      <c r="E833" s="456"/>
      <c r="F833" s="459"/>
      <c r="G833" s="459"/>
      <c r="H833" s="461"/>
      <c r="I833" s="460"/>
      <c r="J833" s="460"/>
      <c r="K833" s="459"/>
      <c r="L833" s="3986"/>
      <c r="M833" s="3986"/>
      <c r="O833" s="458"/>
      <c r="P833" s="456"/>
      <c r="Q833" s="456"/>
      <c r="R833" s="457"/>
      <c r="S833" s="455"/>
      <c r="T833" s="456"/>
      <c r="U833" s="455"/>
    </row>
    <row r="834" spans="2:21" s="454" customFormat="1" ht="10.199999999999999" customHeight="1">
      <c r="B834" s="455"/>
      <c r="C834" s="455"/>
      <c r="E834" s="456"/>
      <c r="F834" s="459"/>
      <c r="G834" s="459"/>
      <c r="H834" s="461"/>
      <c r="I834" s="460"/>
      <c r="J834" s="460"/>
      <c r="K834" s="459"/>
      <c r="L834" s="3986"/>
      <c r="M834" s="3986"/>
      <c r="O834" s="458"/>
      <c r="P834" s="456"/>
      <c r="Q834" s="456"/>
      <c r="R834" s="457"/>
      <c r="S834" s="455"/>
      <c r="T834" s="456"/>
      <c r="U834" s="455"/>
    </row>
    <row r="835" spans="2:21" s="454" customFormat="1" ht="10.199999999999999" customHeight="1">
      <c r="B835" s="455"/>
      <c r="C835" s="455"/>
      <c r="E835" s="456"/>
      <c r="F835" s="459"/>
      <c r="G835" s="459"/>
      <c r="H835" s="461"/>
      <c r="I835" s="460"/>
      <c r="J835" s="460"/>
      <c r="K835" s="459"/>
      <c r="L835" s="3986"/>
      <c r="M835" s="3986"/>
      <c r="O835" s="458"/>
      <c r="P835" s="456"/>
      <c r="Q835" s="456"/>
      <c r="R835" s="457"/>
      <c r="S835" s="455"/>
      <c r="T835" s="456"/>
      <c r="U835" s="455"/>
    </row>
    <row r="836" spans="2:21" s="454" customFormat="1" ht="10.199999999999999" customHeight="1">
      <c r="B836" s="455"/>
      <c r="C836" s="455"/>
      <c r="E836" s="456"/>
      <c r="F836" s="459"/>
      <c r="G836" s="459"/>
      <c r="H836" s="461"/>
      <c r="I836" s="460"/>
      <c r="J836" s="460"/>
      <c r="K836" s="459"/>
      <c r="L836" s="3986"/>
      <c r="M836" s="3986"/>
      <c r="O836" s="458"/>
      <c r="P836" s="456"/>
      <c r="Q836" s="456"/>
      <c r="R836" s="457"/>
      <c r="S836" s="455"/>
      <c r="T836" s="456"/>
      <c r="U836" s="455"/>
    </row>
    <row r="837" spans="2:21" s="454" customFormat="1" ht="10.199999999999999" customHeight="1">
      <c r="B837" s="455"/>
      <c r="C837" s="455"/>
      <c r="E837" s="456"/>
      <c r="F837" s="459"/>
      <c r="G837" s="459"/>
      <c r="H837" s="461"/>
      <c r="I837" s="460"/>
      <c r="J837" s="460"/>
      <c r="K837" s="459"/>
      <c r="L837" s="3986"/>
      <c r="M837" s="3986"/>
      <c r="O837" s="458"/>
      <c r="P837" s="456"/>
      <c r="Q837" s="456"/>
      <c r="R837" s="457"/>
      <c r="S837" s="455"/>
      <c r="T837" s="456"/>
      <c r="U837" s="455"/>
    </row>
    <row r="838" spans="2:21" s="454" customFormat="1" ht="10.199999999999999" customHeight="1">
      <c r="B838" s="455"/>
      <c r="C838" s="455"/>
      <c r="E838" s="456"/>
      <c r="F838" s="459"/>
      <c r="G838" s="459"/>
      <c r="H838" s="461"/>
      <c r="I838" s="460"/>
      <c r="J838" s="460"/>
      <c r="K838" s="459"/>
      <c r="L838" s="3986"/>
      <c r="M838" s="3986"/>
      <c r="O838" s="458"/>
      <c r="P838" s="456"/>
      <c r="Q838" s="456"/>
      <c r="R838" s="457"/>
      <c r="S838" s="455"/>
      <c r="T838" s="456"/>
      <c r="U838" s="455"/>
    </row>
    <row r="839" spans="2:21" s="454" customFormat="1" ht="10.199999999999999" customHeight="1">
      <c r="B839" s="455"/>
      <c r="C839" s="455"/>
      <c r="E839" s="456"/>
      <c r="F839" s="459"/>
      <c r="G839" s="459"/>
      <c r="H839" s="461"/>
      <c r="I839" s="460"/>
      <c r="J839" s="460"/>
      <c r="K839" s="459"/>
      <c r="L839" s="3986"/>
      <c r="M839" s="3986"/>
      <c r="O839" s="458"/>
      <c r="P839" s="456"/>
      <c r="Q839" s="456"/>
      <c r="R839" s="457"/>
      <c r="S839" s="455"/>
      <c r="T839" s="456"/>
      <c r="U839" s="455"/>
    </row>
    <row r="840" spans="2:21" s="454" customFormat="1" ht="10.199999999999999" customHeight="1">
      <c r="B840" s="455"/>
      <c r="C840" s="455"/>
      <c r="E840" s="456"/>
      <c r="F840" s="459"/>
      <c r="G840" s="459"/>
      <c r="H840" s="461"/>
      <c r="I840" s="460"/>
      <c r="J840" s="460"/>
      <c r="K840" s="459"/>
      <c r="L840" s="3986"/>
      <c r="M840" s="3986"/>
      <c r="O840" s="458"/>
      <c r="P840" s="456"/>
      <c r="Q840" s="456"/>
      <c r="R840" s="457"/>
      <c r="S840" s="455"/>
      <c r="T840" s="456"/>
      <c r="U840" s="455"/>
    </row>
    <row r="841" spans="2:21" s="454" customFormat="1" ht="10.199999999999999" customHeight="1">
      <c r="B841" s="455"/>
      <c r="C841" s="455"/>
      <c r="E841" s="456"/>
      <c r="F841" s="459"/>
      <c r="G841" s="459"/>
      <c r="H841" s="461"/>
      <c r="I841" s="460"/>
      <c r="J841" s="460"/>
      <c r="K841" s="459"/>
      <c r="L841" s="3986"/>
      <c r="M841" s="3986"/>
      <c r="O841" s="458"/>
      <c r="P841" s="456"/>
      <c r="Q841" s="456"/>
      <c r="R841" s="457"/>
      <c r="S841" s="455"/>
      <c r="T841" s="456"/>
      <c r="U841" s="455"/>
    </row>
    <row r="842" spans="2:21" s="454" customFormat="1" ht="10.199999999999999" customHeight="1">
      <c r="B842" s="455"/>
      <c r="C842" s="455"/>
      <c r="E842" s="456"/>
      <c r="F842" s="459"/>
      <c r="G842" s="459"/>
      <c r="H842" s="461"/>
      <c r="I842" s="460"/>
      <c r="J842" s="460"/>
      <c r="K842" s="459"/>
      <c r="L842" s="3986"/>
      <c r="M842" s="3986"/>
      <c r="O842" s="458"/>
      <c r="P842" s="456"/>
      <c r="Q842" s="456"/>
      <c r="R842" s="457"/>
      <c r="S842" s="455"/>
      <c r="T842" s="456"/>
      <c r="U842" s="455"/>
    </row>
    <row r="843" spans="2:21" s="454" customFormat="1" ht="10.199999999999999" customHeight="1">
      <c r="B843" s="455"/>
      <c r="C843" s="455"/>
      <c r="E843" s="456"/>
      <c r="F843" s="459"/>
      <c r="G843" s="459"/>
      <c r="H843" s="461"/>
      <c r="I843" s="460"/>
      <c r="J843" s="460"/>
      <c r="K843" s="459"/>
      <c r="L843" s="3986"/>
      <c r="M843" s="3986"/>
      <c r="O843" s="458"/>
      <c r="P843" s="456"/>
      <c r="Q843" s="456"/>
      <c r="R843" s="457"/>
      <c r="S843" s="455"/>
      <c r="T843" s="456"/>
      <c r="U843" s="455"/>
    </row>
    <row r="844" spans="2:21" s="454" customFormat="1" ht="10.199999999999999" customHeight="1">
      <c r="B844" s="455"/>
      <c r="C844" s="455"/>
      <c r="E844" s="456"/>
      <c r="F844" s="459"/>
      <c r="G844" s="459"/>
      <c r="H844" s="461"/>
      <c r="I844" s="460"/>
      <c r="J844" s="460"/>
      <c r="K844" s="459"/>
      <c r="L844" s="3986"/>
      <c r="M844" s="3986"/>
      <c r="O844" s="458"/>
      <c r="P844" s="456"/>
      <c r="Q844" s="456"/>
      <c r="R844" s="457"/>
      <c r="S844" s="455"/>
      <c r="T844" s="456"/>
      <c r="U844" s="455"/>
    </row>
    <row r="845" spans="2:21" s="454" customFormat="1" ht="10.199999999999999" customHeight="1">
      <c r="B845" s="455"/>
      <c r="C845" s="455"/>
      <c r="E845" s="456"/>
      <c r="F845" s="459"/>
      <c r="G845" s="459"/>
      <c r="H845" s="461"/>
      <c r="I845" s="460"/>
      <c r="J845" s="460"/>
      <c r="K845" s="459"/>
      <c r="L845" s="3986"/>
      <c r="M845" s="3986"/>
      <c r="O845" s="458"/>
      <c r="P845" s="456"/>
      <c r="Q845" s="456"/>
      <c r="R845" s="457"/>
      <c r="S845" s="455"/>
      <c r="T845" s="456"/>
      <c r="U845" s="455"/>
    </row>
    <row r="846" spans="2:21" s="454" customFormat="1" ht="10.199999999999999" customHeight="1">
      <c r="B846" s="455"/>
      <c r="C846" s="455"/>
      <c r="E846" s="456"/>
      <c r="F846" s="459"/>
      <c r="G846" s="459"/>
      <c r="H846" s="461"/>
      <c r="I846" s="460"/>
      <c r="J846" s="460"/>
      <c r="K846" s="459"/>
      <c r="L846" s="3986"/>
      <c r="M846" s="3986"/>
      <c r="O846" s="458"/>
      <c r="P846" s="456"/>
      <c r="Q846" s="456"/>
      <c r="R846" s="457"/>
      <c r="S846" s="455"/>
      <c r="T846" s="456"/>
      <c r="U846" s="455"/>
    </row>
    <row r="847" spans="2:21" s="454" customFormat="1" ht="10.199999999999999" customHeight="1">
      <c r="B847" s="455"/>
      <c r="C847" s="455"/>
      <c r="E847" s="456"/>
      <c r="F847" s="459"/>
      <c r="G847" s="459"/>
      <c r="H847" s="461"/>
      <c r="I847" s="460"/>
      <c r="J847" s="460"/>
      <c r="K847" s="459"/>
      <c r="L847" s="3986"/>
      <c r="M847" s="3986"/>
      <c r="O847" s="458"/>
      <c r="P847" s="456"/>
      <c r="Q847" s="456"/>
      <c r="R847" s="457"/>
      <c r="S847" s="455"/>
      <c r="T847" s="456"/>
      <c r="U847" s="455"/>
    </row>
    <row r="848" spans="2:21" s="454" customFormat="1" ht="10.199999999999999" customHeight="1">
      <c r="B848" s="455"/>
      <c r="C848" s="455"/>
      <c r="E848" s="456"/>
      <c r="F848" s="459"/>
      <c r="G848" s="459"/>
      <c r="H848" s="461"/>
      <c r="I848" s="460"/>
      <c r="J848" s="460"/>
      <c r="K848" s="459"/>
      <c r="L848" s="3986"/>
      <c r="M848" s="3986"/>
      <c r="O848" s="458"/>
      <c r="P848" s="456"/>
      <c r="Q848" s="456"/>
      <c r="R848" s="457"/>
      <c r="S848" s="455"/>
      <c r="T848" s="456"/>
      <c r="U848" s="455"/>
    </row>
    <row r="849" spans="2:21" s="454" customFormat="1" ht="10.199999999999999" customHeight="1">
      <c r="B849" s="455"/>
      <c r="C849" s="455"/>
      <c r="E849" s="456"/>
      <c r="F849" s="459"/>
      <c r="G849" s="459"/>
      <c r="H849" s="461"/>
      <c r="I849" s="460"/>
      <c r="J849" s="460"/>
      <c r="K849" s="459"/>
      <c r="L849" s="3986"/>
      <c r="M849" s="3986"/>
      <c r="O849" s="458"/>
      <c r="P849" s="456"/>
      <c r="Q849" s="456"/>
      <c r="R849" s="457"/>
      <c r="S849" s="455"/>
      <c r="T849" s="456"/>
      <c r="U849" s="455"/>
    </row>
    <row r="850" spans="2:21" s="454" customFormat="1" ht="10.199999999999999" customHeight="1">
      <c r="B850" s="455"/>
      <c r="C850" s="455"/>
      <c r="E850" s="456"/>
      <c r="F850" s="459"/>
      <c r="G850" s="459"/>
      <c r="H850" s="461"/>
      <c r="I850" s="460"/>
      <c r="J850" s="460"/>
      <c r="K850" s="459"/>
      <c r="L850" s="3986"/>
      <c r="M850" s="3986"/>
      <c r="O850" s="458"/>
      <c r="P850" s="456"/>
      <c r="Q850" s="456"/>
      <c r="R850" s="457"/>
      <c r="S850" s="455"/>
      <c r="T850" s="456"/>
      <c r="U850" s="455"/>
    </row>
    <row r="851" spans="2:21" s="454" customFormat="1" ht="10.199999999999999" customHeight="1">
      <c r="B851" s="455"/>
      <c r="C851" s="455"/>
      <c r="E851" s="456"/>
      <c r="F851" s="459"/>
      <c r="G851" s="459"/>
      <c r="H851" s="461"/>
      <c r="I851" s="460"/>
      <c r="J851" s="460"/>
      <c r="K851" s="459"/>
      <c r="L851" s="3986"/>
      <c r="M851" s="3986"/>
      <c r="O851" s="458"/>
      <c r="P851" s="456"/>
      <c r="Q851" s="456"/>
      <c r="R851" s="457"/>
      <c r="S851" s="455"/>
      <c r="T851" s="456"/>
      <c r="U851" s="455"/>
    </row>
    <row r="852" spans="2:21" s="454" customFormat="1" ht="10.199999999999999" customHeight="1">
      <c r="B852" s="455"/>
      <c r="C852" s="455"/>
      <c r="E852" s="456"/>
      <c r="F852" s="459"/>
      <c r="G852" s="459"/>
      <c r="H852" s="461"/>
      <c r="I852" s="460"/>
      <c r="J852" s="460"/>
      <c r="K852" s="459"/>
      <c r="L852" s="3986"/>
      <c r="M852" s="3986"/>
      <c r="O852" s="458"/>
      <c r="P852" s="456"/>
      <c r="Q852" s="456"/>
      <c r="R852" s="457"/>
      <c r="S852" s="455"/>
      <c r="T852" s="456"/>
      <c r="U852" s="455"/>
    </row>
    <row r="853" spans="2:21" s="454" customFormat="1" ht="10.199999999999999" customHeight="1">
      <c r="B853" s="455"/>
      <c r="C853" s="455"/>
      <c r="E853" s="456"/>
      <c r="F853" s="459"/>
      <c r="G853" s="459"/>
      <c r="H853" s="461"/>
      <c r="I853" s="460"/>
      <c r="J853" s="460"/>
      <c r="K853" s="459"/>
      <c r="L853" s="3986"/>
      <c r="M853" s="3986"/>
      <c r="O853" s="458"/>
      <c r="P853" s="456"/>
      <c r="Q853" s="456"/>
      <c r="R853" s="457"/>
      <c r="S853" s="455"/>
      <c r="T853" s="456"/>
      <c r="U853" s="455"/>
    </row>
    <row r="854" spans="2:21" s="454" customFormat="1" ht="10.199999999999999" customHeight="1">
      <c r="B854" s="455"/>
      <c r="C854" s="455"/>
      <c r="E854" s="456"/>
      <c r="F854" s="459"/>
      <c r="G854" s="459"/>
      <c r="H854" s="461"/>
      <c r="I854" s="460"/>
      <c r="J854" s="460"/>
      <c r="K854" s="459"/>
      <c r="L854" s="3986"/>
      <c r="M854" s="3986"/>
      <c r="O854" s="458"/>
      <c r="P854" s="456"/>
      <c r="Q854" s="456"/>
      <c r="R854" s="457"/>
      <c r="S854" s="455"/>
      <c r="T854" s="456"/>
      <c r="U854" s="455"/>
    </row>
    <row r="855" spans="2:21" s="454" customFormat="1" ht="10.199999999999999" customHeight="1">
      <c r="B855" s="455"/>
      <c r="C855" s="455"/>
      <c r="E855" s="456"/>
      <c r="F855" s="459"/>
      <c r="G855" s="459"/>
      <c r="H855" s="461"/>
      <c r="I855" s="460"/>
      <c r="J855" s="460"/>
      <c r="K855" s="459"/>
      <c r="L855" s="3986"/>
      <c r="M855" s="3986"/>
      <c r="O855" s="458"/>
      <c r="P855" s="456"/>
      <c r="Q855" s="456"/>
      <c r="R855" s="457"/>
      <c r="S855" s="455"/>
      <c r="T855" s="456"/>
      <c r="U855" s="455"/>
    </row>
    <row r="856" spans="2:21" s="454" customFormat="1" ht="10.199999999999999" customHeight="1">
      <c r="B856" s="455"/>
      <c r="C856" s="455"/>
      <c r="E856" s="456"/>
      <c r="F856" s="459"/>
      <c r="G856" s="459"/>
      <c r="H856" s="461"/>
      <c r="I856" s="460"/>
      <c r="J856" s="460"/>
      <c r="K856" s="459"/>
      <c r="L856" s="3986"/>
      <c r="M856" s="3986"/>
      <c r="O856" s="458"/>
      <c r="P856" s="456"/>
      <c r="Q856" s="456"/>
      <c r="R856" s="457"/>
      <c r="S856" s="455"/>
      <c r="T856" s="456"/>
      <c r="U856" s="455"/>
    </row>
    <row r="857" spans="2:21" s="454" customFormat="1" ht="10.199999999999999" customHeight="1">
      <c r="B857" s="455"/>
      <c r="C857" s="455"/>
      <c r="E857" s="456"/>
      <c r="F857" s="459"/>
      <c r="G857" s="459"/>
      <c r="H857" s="461"/>
      <c r="I857" s="460"/>
      <c r="J857" s="460"/>
      <c r="K857" s="459"/>
      <c r="L857" s="3986"/>
      <c r="M857" s="3986"/>
      <c r="O857" s="458"/>
      <c r="P857" s="456"/>
      <c r="Q857" s="456"/>
      <c r="R857" s="457"/>
      <c r="S857" s="455"/>
      <c r="T857" s="456"/>
      <c r="U857" s="455"/>
    </row>
    <row r="858" spans="2:21" s="454" customFormat="1" ht="10.199999999999999" customHeight="1">
      <c r="B858" s="455"/>
      <c r="C858" s="455"/>
      <c r="E858" s="456"/>
      <c r="F858" s="459"/>
      <c r="G858" s="459"/>
      <c r="H858" s="461"/>
      <c r="I858" s="460"/>
      <c r="J858" s="460"/>
      <c r="K858" s="459"/>
      <c r="L858" s="3986"/>
      <c r="M858" s="3986"/>
      <c r="O858" s="458"/>
      <c r="P858" s="456"/>
      <c r="Q858" s="456"/>
      <c r="R858" s="457"/>
      <c r="S858" s="455"/>
      <c r="T858" s="456"/>
      <c r="U858" s="455"/>
    </row>
    <row r="859" spans="2:21" s="454" customFormat="1" ht="10.199999999999999" customHeight="1">
      <c r="B859" s="455"/>
      <c r="C859" s="455"/>
      <c r="E859" s="456"/>
      <c r="F859" s="459"/>
      <c r="G859" s="459"/>
      <c r="H859" s="461"/>
      <c r="I859" s="460"/>
      <c r="J859" s="460"/>
      <c r="K859" s="459"/>
      <c r="L859" s="3986"/>
      <c r="M859" s="3986"/>
      <c r="O859" s="458"/>
      <c r="P859" s="456"/>
      <c r="Q859" s="456"/>
      <c r="R859" s="457"/>
      <c r="S859" s="455"/>
      <c r="T859" s="456"/>
      <c r="U859" s="455"/>
    </row>
    <row r="860" spans="2:21" s="454" customFormat="1" ht="10.199999999999999" customHeight="1">
      <c r="B860" s="455"/>
      <c r="C860" s="455"/>
      <c r="E860" s="456"/>
      <c r="F860" s="459"/>
      <c r="G860" s="459"/>
      <c r="H860" s="461"/>
      <c r="I860" s="460"/>
      <c r="J860" s="460"/>
      <c r="K860" s="459"/>
      <c r="L860" s="3986"/>
      <c r="M860" s="3986"/>
      <c r="O860" s="458"/>
      <c r="P860" s="456"/>
      <c r="Q860" s="456"/>
      <c r="R860" s="457"/>
      <c r="S860" s="455"/>
      <c r="T860" s="456"/>
      <c r="U860" s="455"/>
    </row>
    <row r="861" spans="2:21" s="454" customFormat="1" ht="10.199999999999999" customHeight="1">
      <c r="B861" s="455"/>
      <c r="C861" s="455"/>
      <c r="E861" s="456"/>
      <c r="F861" s="459"/>
      <c r="G861" s="459"/>
      <c r="H861" s="461"/>
      <c r="I861" s="460"/>
      <c r="J861" s="460"/>
      <c r="K861" s="459"/>
      <c r="L861" s="3986"/>
      <c r="M861" s="3986"/>
      <c r="O861" s="458"/>
      <c r="P861" s="456"/>
      <c r="Q861" s="456"/>
      <c r="R861" s="457"/>
      <c r="S861" s="455"/>
      <c r="T861" s="456"/>
      <c r="U861" s="455"/>
    </row>
    <row r="862" spans="2:21" s="454" customFormat="1" ht="10.199999999999999" customHeight="1">
      <c r="B862" s="455"/>
      <c r="C862" s="455"/>
      <c r="E862" s="456"/>
      <c r="F862" s="459"/>
      <c r="G862" s="459"/>
      <c r="H862" s="461"/>
      <c r="I862" s="460"/>
      <c r="J862" s="460"/>
      <c r="K862" s="459"/>
      <c r="L862" s="3986"/>
      <c r="M862" s="3986"/>
      <c r="O862" s="458"/>
      <c r="P862" s="456"/>
      <c r="Q862" s="456"/>
      <c r="R862" s="457"/>
      <c r="S862" s="455"/>
      <c r="T862" s="456"/>
      <c r="U862" s="455"/>
    </row>
    <row r="863" spans="2:21" s="454" customFormat="1" ht="10.199999999999999" customHeight="1">
      <c r="B863" s="455"/>
      <c r="C863" s="455"/>
      <c r="E863" s="456"/>
      <c r="F863" s="459"/>
      <c r="G863" s="459"/>
      <c r="H863" s="461"/>
      <c r="I863" s="460"/>
      <c r="J863" s="460"/>
      <c r="K863" s="459"/>
      <c r="L863" s="3986"/>
      <c r="M863" s="3986"/>
      <c r="O863" s="458"/>
      <c r="P863" s="456"/>
      <c r="Q863" s="456"/>
      <c r="R863" s="457"/>
      <c r="S863" s="455"/>
      <c r="T863" s="456"/>
      <c r="U863" s="455"/>
    </row>
    <row r="864" spans="2:21" s="454" customFormat="1" ht="10.199999999999999" customHeight="1">
      <c r="B864" s="455"/>
      <c r="C864" s="455"/>
      <c r="E864" s="456"/>
      <c r="F864" s="459"/>
      <c r="G864" s="459"/>
      <c r="H864" s="461"/>
      <c r="I864" s="460"/>
      <c r="J864" s="460"/>
      <c r="K864" s="459"/>
      <c r="L864" s="3986"/>
      <c r="M864" s="3986"/>
      <c r="O864" s="458"/>
      <c r="P864" s="456"/>
      <c r="Q864" s="456"/>
      <c r="R864" s="457"/>
      <c r="S864" s="455"/>
      <c r="T864" s="456"/>
      <c r="U864" s="455"/>
    </row>
    <row r="865" spans="2:21" s="454" customFormat="1" ht="10.199999999999999" customHeight="1">
      <c r="B865" s="455"/>
      <c r="C865" s="455"/>
      <c r="E865" s="456"/>
      <c r="F865" s="459"/>
      <c r="G865" s="459"/>
      <c r="H865" s="461"/>
      <c r="I865" s="460"/>
      <c r="J865" s="460"/>
      <c r="K865" s="459"/>
      <c r="L865" s="3986"/>
      <c r="M865" s="3986"/>
      <c r="O865" s="458"/>
      <c r="P865" s="456"/>
      <c r="Q865" s="456"/>
      <c r="R865" s="457"/>
      <c r="S865" s="455"/>
      <c r="T865" s="456"/>
      <c r="U865" s="455"/>
    </row>
    <row r="866" spans="2:21" s="454" customFormat="1" ht="10.199999999999999" customHeight="1">
      <c r="B866" s="455"/>
      <c r="C866" s="455"/>
      <c r="E866" s="456"/>
      <c r="F866" s="459"/>
      <c r="G866" s="459"/>
      <c r="H866" s="461"/>
      <c r="I866" s="460"/>
      <c r="J866" s="460"/>
      <c r="K866" s="459"/>
      <c r="L866" s="3986"/>
      <c r="M866" s="3986"/>
      <c r="O866" s="458"/>
      <c r="P866" s="456"/>
      <c r="Q866" s="456"/>
      <c r="R866" s="457"/>
      <c r="S866" s="455"/>
      <c r="T866" s="456"/>
      <c r="U866" s="455"/>
    </row>
    <row r="867" spans="2:21" s="454" customFormat="1" ht="10.199999999999999" customHeight="1">
      <c r="B867" s="455"/>
      <c r="C867" s="455"/>
      <c r="E867" s="456"/>
      <c r="F867" s="459"/>
      <c r="G867" s="459"/>
      <c r="H867" s="461"/>
      <c r="I867" s="460"/>
      <c r="J867" s="460"/>
      <c r="K867" s="459"/>
      <c r="L867" s="3986"/>
      <c r="M867" s="3986"/>
      <c r="O867" s="458"/>
      <c r="P867" s="456"/>
      <c r="Q867" s="456"/>
      <c r="R867" s="457"/>
      <c r="S867" s="455"/>
      <c r="T867" s="456"/>
      <c r="U867" s="455"/>
    </row>
    <row r="868" spans="2:21" s="454" customFormat="1" ht="10.199999999999999" customHeight="1">
      <c r="B868" s="455"/>
      <c r="C868" s="455"/>
      <c r="E868" s="456"/>
      <c r="F868" s="459"/>
      <c r="G868" s="459"/>
      <c r="H868" s="461"/>
      <c r="I868" s="460"/>
      <c r="J868" s="460"/>
      <c r="K868" s="459"/>
      <c r="L868" s="3986"/>
      <c r="M868" s="3986"/>
      <c r="O868" s="458"/>
      <c r="P868" s="456"/>
      <c r="Q868" s="456"/>
      <c r="R868" s="457"/>
      <c r="S868" s="455"/>
      <c r="T868" s="456"/>
      <c r="U868" s="455"/>
    </row>
    <row r="869" spans="2:21" s="454" customFormat="1" ht="10.199999999999999" customHeight="1">
      <c r="B869" s="455"/>
      <c r="C869" s="455"/>
      <c r="E869" s="456"/>
      <c r="F869" s="459"/>
      <c r="G869" s="459"/>
      <c r="H869" s="461"/>
      <c r="I869" s="460"/>
      <c r="J869" s="460"/>
      <c r="K869" s="459"/>
      <c r="L869" s="3986"/>
      <c r="M869" s="3986"/>
      <c r="O869" s="458"/>
      <c r="P869" s="456"/>
      <c r="Q869" s="456"/>
      <c r="R869" s="457"/>
      <c r="S869" s="455"/>
      <c r="T869" s="456"/>
      <c r="U869" s="455"/>
    </row>
    <row r="870" spans="2:21" s="454" customFormat="1" ht="10.199999999999999" customHeight="1">
      <c r="B870" s="455"/>
      <c r="C870" s="455"/>
      <c r="E870" s="456"/>
      <c r="F870" s="459"/>
      <c r="G870" s="459"/>
      <c r="H870" s="461"/>
      <c r="I870" s="460"/>
      <c r="J870" s="460"/>
      <c r="K870" s="459"/>
      <c r="L870" s="3986"/>
      <c r="M870" s="3986"/>
      <c r="O870" s="458"/>
      <c r="P870" s="456"/>
      <c r="Q870" s="456"/>
      <c r="R870" s="457"/>
      <c r="S870" s="455"/>
      <c r="T870" s="456"/>
      <c r="U870" s="455"/>
    </row>
    <row r="871" spans="2:21" s="454" customFormat="1" ht="10.199999999999999" customHeight="1">
      <c r="B871" s="455"/>
      <c r="C871" s="455"/>
      <c r="E871" s="456"/>
      <c r="F871" s="459"/>
      <c r="G871" s="459"/>
      <c r="H871" s="461"/>
      <c r="I871" s="460"/>
      <c r="J871" s="460"/>
      <c r="K871" s="459"/>
      <c r="L871" s="3986"/>
      <c r="M871" s="3986"/>
      <c r="O871" s="458"/>
      <c r="P871" s="456"/>
      <c r="Q871" s="456"/>
      <c r="R871" s="457"/>
      <c r="S871" s="455"/>
      <c r="T871" s="456"/>
      <c r="U871" s="455"/>
    </row>
    <row r="872" spans="2:21" s="454" customFormat="1" ht="10.199999999999999" customHeight="1">
      <c r="B872" s="455"/>
      <c r="C872" s="455"/>
      <c r="E872" s="456"/>
      <c r="F872" s="459"/>
      <c r="G872" s="459"/>
      <c r="H872" s="461"/>
      <c r="I872" s="460"/>
      <c r="J872" s="460"/>
      <c r="K872" s="459"/>
      <c r="L872" s="3986"/>
      <c r="M872" s="3986"/>
      <c r="O872" s="458"/>
      <c r="P872" s="456"/>
      <c r="Q872" s="456"/>
      <c r="R872" s="457"/>
      <c r="S872" s="455"/>
      <c r="T872" s="456"/>
      <c r="U872" s="455"/>
    </row>
    <row r="873" spans="2:21" s="454" customFormat="1" ht="10.199999999999999" customHeight="1">
      <c r="B873" s="455"/>
      <c r="C873" s="455"/>
      <c r="E873" s="456"/>
      <c r="F873" s="459"/>
      <c r="G873" s="459"/>
      <c r="H873" s="461"/>
      <c r="I873" s="460"/>
      <c r="J873" s="460"/>
      <c r="K873" s="459"/>
      <c r="L873" s="3986"/>
      <c r="M873" s="3986"/>
      <c r="O873" s="458"/>
      <c r="P873" s="456"/>
      <c r="Q873" s="456"/>
      <c r="R873" s="457"/>
      <c r="S873" s="455"/>
      <c r="T873" s="456"/>
      <c r="U873" s="455"/>
    </row>
    <row r="874" spans="2:21" s="454" customFormat="1" ht="10.199999999999999" customHeight="1">
      <c r="B874" s="455"/>
      <c r="C874" s="455"/>
      <c r="E874" s="456"/>
      <c r="F874" s="459"/>
      <c r="G874" s="459"/>
      <c r="H874" s="461"/>
      <c r="I874" s="460"/>
      <c r="J874" s="460"/>
      <c r="K874" s="459"/>
      <c r="L874" s="3986"/>
      <c r="M874" s="3986"/>
      <c r="O874" s="458"/>
      <c r="P874" s="456"/>
      <c r="Q874" s="456"/>
      <c r="R874" s="457"/>
      <c r="S874" s="455"/>
      <c r="T874" s="456"/>
      <c r="U874" s="455"/>
    </row>
    <row r="875" spans="2:21" s="454" customFormat="1" ht="10.199999999999999" customHeight="1">
      <c r="B875" s="455"/>
      <c r="C875" s="455"/>
      <c r="E875" s="456"/>
      <c r="F875" s="459"/>
      <c r="G875" s="459"/>
      <c r="H875" s="461"/>
      <c r="I875" s="460"/>
      <c r="J875" s="460"/>
      <c r="K875" s="459"/>
      <c r="L875" s="3986"/>
      <c r="M875" s="3986"/>
      <c r="O875" s="458"/>
      <c r="P875" s="456"/>
      <c r="Q875" s="456"/>
      <c r="R875" s="457"/>
      <c r="S875" s="455"/>
      <c r="T875" s="456"/>
      <c r="U875" s="455"/>
    </row>
    <row r="876" spans="2:21" s="454" customFormat="1" ht="10.199999999999999" customHeight="1">
      <c r="B876" s="455"/>
      <c r="C876" s="455"/>
      <c r="E876" s="456"/>
      <c r="F876" s="459"/>
      <c r="G876" s="459"/>
      <c r="H876" s="461"/>
      <c r="I876" s="460"/>
      <c r="J876" s="460"/>
      <c r="K876" s="459"/>
      <c r="L876" s="3986"/>
      <c r="M876" s="3986"/>
      <c r="O876" s="458"/>
      <c r="P876" s="456"/>
      <c r="Q876" s="456"/>
      <c r="R876" s="457"/>
      <c r="S876" s="455"/>
      <c r="T876" s="456"/>
      <c r="U876" s="455"/>
    </row>
    <row r="877" spans="2:21" s="454" customFormat="1" ht="10.199999999999999" customHeight="1">
      <c r="B877" s="455"/>
      <c r="C877" s="455"/>
      <c r="E877" s="456"/>
      <c r="F877" s="459"/>
      <c r="G877" s="459"/>
      <c r="H877" s="461"/>
      <c r="I877" s="460"/>
      <c r="J877" s="460"/>
      <c r="K877" s="459"/>
      <c r="L877" s="3986"/>
      <c r="M877" s="3986"/>
      <c r="O877" s="458"/>
      <c r="P877" s="456"/>
      <c r="Q877" s="456"/>
      <c r="R877" s="457"/>
      <c r="S877" s="455"/>
      <c r="T877" s="456"/>
      <c r="U877" s="455"/>
    </row>
    <row r="878" spans="2:21" s="454" customFormat="1" ht="10.199999999999999" customHeight="1">
      <c r="B878" s="455"/>
      <c r="C878" s="455"/>
      <c r="E878" s="456"/>
      <c r="F878" s="459"/>
      <c r="G878" s="459"/>
      <c r="H878" s="461"/>
      <c r="I878" s="460"/>
      <c r="J878" s="460"/>
      <c r="K878" s="459"/>
      <c r="L878" s="3986"/>
      <c r="M878" s="3986"/>
      <c r="O878" s="458"/>
      <c r="P878" s="456"/>
      <c r="Q878" s="456"/>
      <c r="R878" s="457"/>
      <c r="S878" s="455"/>
      <c r="T878" s="456"/>
      <c r="U878" s="455"/>
    </row>
    <row r="879" spans="2:21" s="454" customFormat="1" ht="10.199999999999999" customHeight="1">
      <c r="B879" s="455"/>
      <c r="C879" s="455"/>
      <c r="E879" s="456"/>
      <c r="F879" s="459"/>
      <c r="G879" s="459"/>
      <c r="H879" s="461"/>
      <c r="I879" s="460"/>
      <c r="J879" s="460"/>
      <c r="K879" s="459"/>
      <c r="L879" s="3986"/>
      <c r="M879" s="3986"/>
      <c r="O879" s="458"/>
      <c r="P879" s="456"/>
      <c r="Q879" s="456"/>
      <c r="R879" s="457"/>
      <c r="S879" s="455"/>
      <c r="T879" s="456"/>
      <c r="U879" s="455"/>
    </row>
    <row r="880" spans="2:21" s="454" customFormat="1" ht="10.199999999999999" customHeight="1">
      <c r="B880" s="455"/>
      <c r="C880" s="455"/>
      <c r="E880" s="456"/>
      <c r="F880" s="459"/>
      <c r="G880" s="459"/>
      <c r="H880" s="461"/>
      <c r="I880" s="460"/>
      <c r="J880" s="460"/>
      <c r="K880" s="459"/>
      <c r="L880" s="3986"/>
      <c r="M880" s="3986"/>
      <c r="O880" s="458"/>
      <c r="P880" s="456"/>
      <c r="Q880" s="456"/>
      <c r="R880" s="457"/>
      <c r="S880" s="455"/>
      <c r="T880" s="456"/>
      <c r="U880" s="455"/>
    </row>
    <row r="881" spans="2:21" s="454" customFormat="1" ht="10.199999999999999" customHeight="1">
      <c r="B881" s="455"/>
      <c r="C881" s="455"/>
      <c r="E881" s="456"/>
      <c r="F881" s="459"/>
      <c r="G881" s="459"/>
      <c r="H881" s="461"/>
      <c r="I881" s="460"/>
      <c r="J881" s="460"/>
      <c r="K881" s="459"/>
      <c r="L881" s="3986"/>
      <c r="M881" s="3986"/>
      <c r="O881" s="458"/>
      <c r="P881" s="456"/>
      <c r="Q881" s="456"/>
      <c r="R881" s="457"/>
      <c r="S881" s="455"/>
      <c r="T881" s="456"/>
      <c r="U881" s="455"/>
    </row>
    <row r="882" spans="2:21" s="454" customFormat="1" ht="10.199999999999999" customHeight="1">
      <c r="B882" s="455"/>
      <c r="C882" s="455"/>
      <c r="E882" s="456"/>
      <c r="F882" s="459"/>
      <c r="G882" s="459"/>
      <c r="H882" s="461"/>
      <c r="I882" s="460"/>
      <c r="J882" s="460"/>
      <c r="K882" s="459"/>
      <c r="L882" s="3986"/>
      <c r="M882" s="3986"/>
      <c r="O882" s="458"/>
      <c r="P882" s="456"/>
      <c r="Q882" s="456"/>
      <c r="R882" s="457"/>
      <c r="S882" s="455"/>
      <c r="T882" s="456"/>
      <c r="U882" s="455"/>
    </row>
    <row r="883" spans="2:21" s="454" customFormat="1" ht="10.199999999999999" customHeight="1">
      <c r="B883" s="455"/>
      <c r="C883" s="455"/>
      <c r="E883" s="456"/>
      <c r="F883" s="459"/>
      <c r="G883" s="459"/>
      <c r="H883" s="461"/>
      <c r="I883" s="460"/>
      <c r="J883" s="460"/>
      <c r="K883" s="459"/>
      <c r="L883" s="3986"/>
      <c r="M883" s="3986"/>
      <c r="O883" s="458"/>
      <c r="P883" s="456"/>
      <c r="Q883" s="456"/>
      <c r="R883" s="457"/>
      <c r="S883" s="455"/>
      <c r="T883" s="456"/>
      <c r="U883" s="455"/>
    </row>
    <row r="884" spans="2:21" s="454" customFormat="1" ht="10.199999999999999" customHeight="1">
      <c r="B884" s="455"/>
      <c r="C884" s="455"/>
      <c r="E884" s="456"/>
      <c r="F884" s="459"/>
      <c r="G884" s="459"/>
      <c r="H884" s="461"/>
      <c r="I884" s="460"/>
      <c r="J884" s="460"/>
      <c r="K884" s="459"/>
      <c r="L884" s="3986"/>
      <c r="M884" s="3986"/>
      <c r="O884" s="458"/>
      <c r="P884" s="456"/>
      <c r="Q884" s="456"/>
      <c r="R884" s="457"/>
      <c r="S884" s="455"/>
      <c r="T884" s="456"/>
      <c r="U884" s="455"/>
    </row>
    <row r="885" spans="2:21" s="454" customFormat="1" ht="10.199999999999999" customHeight="1">
      <c r="B885" s="455"/>
      <c r="C885" s="455"/>
      <c r="E885" s="456"/>
      <c r="F885" s="459"/>
      <c r="G885" s="459"/>
      <c r="H885" s="461"/>
      <c r="I885" s="460"/>
      <c r="J885" s="460"/>
      <c r="K885" s="459"/>
      <c r="L885" s="3986"/>
      <c r="M885" s="3986"/>
      <c r="O885" s="458"/>
      <c r="P885" s="456"/>
      <c r="Q885" s="456"/>
      <c r="R885" s="457"/>
      <c r="S885" s="455"/>
      <c r="T885" s="456"/>
      <c r="U885" s="455"/>
    </row>
    <row r="886" spans="2:21" s="454" customFormat="1" ht="10.199999999999999" customHeight="1">
      <c r="B886" s="455"/>
      <c r="C886" s="455"/>
      <c r="E886" s="456"/>
      <c r="F886" s="459"/>
      <c r="G886" s="459"/>
      <c r="H886" s="461"/>
      <c r="I886" s="460"/>
      <c r="J886" s="460"/>
      <c r="K886" s="459"/>
      <c r="L886" s="3986"/>
      <c r="M886" s="3986"/>
      <c r="O886" s="458"/>
      <c r="P886" s="456"/>
      <c r="Q886" s="456"/>
      <c r="R886" s="457"/>
      <c r="S886" s="455"/>
      <c r="T886" s="456"/>
      <c r="U886" s="455"/>
    </row>
    <row r="887" spans="2:21" s="454" customFormat="1" ht="10.199999999999999" customHeight="1">
      <c r="B887" s="455"/>
      <c r="C887" s="455"/>
      <c r="E887" s="456"/>
      <c r="F887" s="459"/>
      <c r="G887" s="459"/>
      <c r="H887" s="461"/>
      <c r="I887" s="460"/>
      <c r="J887" s="460"/>
      <c r="K887" s="459"/>
      <c r="L887" s="3986"/>
      <c r="M887" s="3986"/>
      <c r="O887" s="458"/>
      <c r="P887" s="456"/>
      <c r="Q887" s="456"/>
      <c r="R887" s="457"/>
      <c r="S887" s="455"/>
      <c r="T887" s="456"/>
      <c r="U887" s="455"/>
    </row>
    <row r="888" spans="2:21" s="454" customFormat="1" ht="10.199999999999999" customHeight="1">
      <c r="B888" s="455"/>
      <c r="C888" s="455"/>
      <c r="E888" s="456"/>
      <c r="F888" s="459"/>
      <c r="G888" s="459"/>
      <c r="H888" s="461"/>
      <c r="I888" s="460"/>
      <c r="J888" s="460"/>
      <c r="K888" s="459"/>
      <c r="L888" s="3986"/>
      <c r="M888" s="3986"/>
      <c r="O888" s="458"/>
      <c r="P888" s="456"/>
      <c r="Q888" s="456"/>
      <c r="R888" s="457"/>
      <c r="S888" s="455"/>
      <c r="T888" s="456"/>
      <c r="U888" s="455"/>
    </row>
    <row r="889" spans="2:21" s="454" customFormat="1" ht="10.199999999999999" customHeight="1">
      <c r="B889" s="455"/>
      <c r="C889" s="455"/>
      <c r="E889" s="456"/>
      <c r="F889" s="459"/>
      <c r="G889" s="459"/>
      <c r="H889" s="461"/>
      <c r="I889" s="460"/>
      <c r="J889" s="460"/>
      <c r="K889" s="459"/>
      <c r="L889" s="3986"/>
      <c r="M889" s="3986"/>
      <c r="O889" s="458"/>
      <c r="P889" s="456"/>
      <c r="Q889" s="456"/>
      <c r="R889" s="457"/>
      <c r="S889" s="455"/>
      <c r="T889" s="456"/>
      <c r="U889" s="455"/>
    </row>
    <row r="890" spans="2:21" s="454" customFormat="1" ht="10.199999999999999" customHeight="1">
      <c r="B890" s="455"/>
      <c r="C890" s="455"/>
      <c r="E890" s="456"/>
      <c r="F890" s="459"/>
      <c r="G890" s="459"/>
      <c r="H890" s="461"/>
      <c r="I890" s="460"/>
      <c r="J890" s="460"/>
      <c r="K890" s="459"/>
      <c r="L890" s="3986"/>
      <c r="M890" s="3986"/>
      <c r="O890" s="458"/>
      <c r="P890" s="456"/>
      <c r="Q890" s="456"/>
      <c r="R890" s="457"/>
      <c r="S890" s="455"/>
      <c r="T890" s="456"/>
      <c r="U890" s="455"/>
    </row>
    <row r="891" spans="2:21" s="454" customFormat="1" ht="10.199999999999999" customHeight="1">
      <c r="B891" s="455"/>
      <c r="C891" s="455"/>
      <c r="E891" s="456"/>
      <c r="F891" s="459"/>
      <c r="G891" s="459"/>
      <c r="H891" s="461"/>
      <c r="I891" s="460"/>
      <c r="J891" s="460"/>
      <c r="K891" s="459"/>
      <c r="L891" s="3986"/>
      <c r="M891" s="3986"/>
      <c r="O891" s="458"/>
      <c r="P891" s="456"/>
      <c r="Q891" s="456"/>
      <c r="R891" s="457"/>
      <c r="S891" s="455"/>
      <c r="T891" s="456"/>
      <c r="U891" s="455"/>
    </row>
    <row r="892" spans="2:21" s="454" customFormat="1" ht="10.199999999999999" customHeight="1">
      <c r="B892" s="455"/>
      <c r="C892" s="455"/>
      <c r="E892" s="456"/>
      <c r="F892" s="459"/>
      <c r="G892" s="459"/>
      <c r="H892" s="461"/>
      <c r="I892" s="460"/>
      <c r="J892" s="460"/>
      <c r="K892" s="459"/>
      <c r="L892" s="3986"/>
      <c r="M892" s="3986"/>
      <c r="O892" s="458"/>
      <c r="P892" s="456"/>
      <c r="Q892" s="456"/>
      <c r="R892" s="457"/>
      <c r="S892" s="455"/>
      <c r="T892" s="456"/>
      <c r="U892" s="455"/>
    </row>
    <row r="893" spans="2:21" s="454" customFormat="1" ht="10.199999999999999" customHeight="1">
      <c r="B893" s="455"/>
      <c r="C893" s="455"/>
      <c r="E893" s="456"/>
      <c r="F893" s="459"/>
      <c r="G893" s="459"/>
      <c r="H893" s="461"/>
      <c r="I893" s="460"/>
      <c r="J893" s="460"/>
      <c r="K893" s="459"/>
      <c r="L893" s="3986"/>
      <c r="M893" s="3986"/>
      <c r="O893" s="458"/>
      <c r="P893" s="456"/>
      <c r="Q893" s="456"/>
      <c r="R893" s="457"/>
      <c r="S893" s="455"/>
      <c r="T893" s="456"/>
      <c r="U893" s="455"/>
    </row>
    <row r="894" spans="2:21" s="454" customFormat="1" ht="10.199999999999999" customHeight="1">
      <c r="B894" s="455"/>
      <c r="C894" s="455"/>
      <c r="E894" s="456"/>
      <c r="F894" s="459"/>
      <c r="G894" s="459"/>
      <c r="H894" s="461"/>
      <c r="I894" s="460"/>
      <c r="J894" s="460"/>
      <c r="K894" s="459"/>
      <c r="L894" s="3986"/>
      <c r="M894" s="3986"/>
      <c r="O894" s="458"/>
      <c r="P894" s="456"/>
      <c r="Q894" s="456"/>
      <c r="R894" s="457"/>
      <c r="S894" s="455"/>
      <c r="T894" s="456"/>
      <c r="U894" s="455"/>
    </row>
    <row r="895" spans="2:21" s="454" customFormat="1" ht="10.199999999999999" customHeight="1">
      <c r="B895" s="455"/>
      <c r="C895" s="455"/>
      <c r="E895" s="456"/>
      <c r="F895" s="459"/>
      <c r="G895" s="459"/>
      <c r="H895" s="461"/>
      <c r="I895" s="460"/>
      <c r="J895" s="460"/>
      <c r="K895" s="459"/>
      <c r="L895" s="3986"/>
      <c r="M895" s="3986"/>
      <c r="O895" s="458"/>
      <c r="P895" s="456"/>
      <c r="Q895" s="456"/>
      <c r="R895" s="457"/>
      <c r="S895" s="455"/>
      <c r="T895" s="456"/>
      <c r="U895" s="455"/>
    </row>
    <row r="896" spans="2:21" s="454" customFormat="1" ht="10.199999999999999" customHeight="1">
      <c r="B896" s="455"/>
      <c r="C896" s="455"/>
      <c r="E896" s="456"/>
      <c r="F896" s="459"/>
      <c r="G896" s="459"/>
      <c r="H896" s="461"/>
      <c r="I896" s="460"/>
      <c r="J896" s="460"/>
      <c r="K896" s="459"/>
      <c r="L896" s="3986"/>
      <c r="M896" s="3986"/>
      <c r="O896" s="458"/>
      <c r="P896" s="456"/>
      <c r="Q896" s="456"/>
      <c r="R896" s="457"/>
      <c r="S896" s="455"/>
      <c r="T896" s="456"/>
      <c r="U896" s="455"/>
    </row>
    <row r="897" spans="2:21" s="454" customFormat="1" ht="10.199999999999999" customHeight="1">
      <c r="B897" s="455"/>
      <c r="C897" s="455"/>
      <c r="E897" s="456"/>
      <c r="F897" s="459"/>
      <c r="G897" s="459"/>
      <c r="H897" s="461"/>
      <c r="I897" s="460"/>
      <c r="J897" s="460"/>
      <c r="K897" s="459"/>
      <c r="L897" s="3986"/>
      <c r="M897" s="3986"/>
      <c r="O897" s="458"/>
      <c r="P897" s="456"/>
      <c r="Q897" s="456"/>
      <c r="R897" s="457"/>
      <c r="S897" s="455"/>
      <c r="T897" s="456"/>
      <c r="U897" s="455"/>
    </row>
    <row r="898" spans="2:21" s="454" customFormat="1" ht="10.199999999999999" customHeight="1">
      <c r="B898" s="455"/>
      <c r="C898" s="455"/>
      <c r="E898" s="456"/>
      <c r="F898" s="459"/>
      <c r="G898" s="459"/>
      <c r="H898" s="461"/>
      <c r="I898" s="460"/>
      <c r="J898" s="460"/>
      <c r="K898" s="459"/>
      <c r="L898" s="3986"/>
      <c r="M898" s="3986"/>
      <c r="O898" s="458"/>
      <c r="P898" s="456"/>
      <c r="Q898" s="456"/>
      <c r="R898" s="457"/>
      <c r="S898" s="455"/>
      <c r="T898" s="456"/>
      <c r="U898" s="455"/>
    </row>
    <row r="899" spans="2:21" s="454" customFormat="1" ht="10.199999999999999" customHeight="1">
      <c r="B899" s="455"/>
      <c r="C899" s="455"/>
      <c r="E899" s="456"/>
      <c r="F899" s="459"/>
      <c r="G899" s="459"/>
      <c r="H899" s="461"/>
      <c r="I899" s="460"/>
      <c r="J899" s="460"/>
      <c r="K899" s="459"/>
      <c r="L899" s="3986"/>
      <c r="M899" s="3986"/>
      <c r="O899" s="458"/>
      <c r="P899" s="456"/>
      <c r="Q899" s="456"/>
      <c r="R899" s="457"/>
      <c r="S899" s="455"/>
      <c r="T899" s="456"/>
      <c r="U899" s="455"/>
    </row>
    <row r="900" spans="2:21" s="454" customFormat="1" ht="10.199999999999999" customHeight="1">
      <c r="B900" s="455"/>
      <c r="C900" s="455"/>
      <c r="E900" s="456"/>
      <c r="F900" s="459"/>
      <c r="G900" s="459"/>
      <c r="H900" s="461"/>
      <c r="I900" s="460"/>
      <c r="J900" s="460"/>
      <c r="K900" s="459"/>
      <c r="L900" s="3986"/>
      <c r="M900" s="3986"/>
      <c r="O900" s="458"/>
      <c r="P900" s="456"/>
      <c r="Q900" s="456"/>
      <c r="R900" s="457"/>
      <c r="S900" s="455"/>
      <c r="T900" s="456"/>
      <c r="U900" s="455"/>
    </row>
    <row r="901" spans="2:21" s="454" customFormat="1" ht="10.199999999999999" customHeight="1">
      <c r="B901" s="455"/>
      <c r="C901" s="455"/>
      <c r="E901" s="456"/>
      <c r="F901" s="459"/>
      <c r="G901" s="459"/>
      <c r="H901" s="461"/>
      <c r="I901" s="460"/>
      <c r="J901" s="460"/>
      <c r="K901" s="459"/>
      <c r="L901" s="3986"/>
      <c r="M901" s="3986"/>
      <c r="O901" s="458"/>
      <c r="P901" s="456"/>
      <c r="Q901" s="456"/>
      <c r="R901" s="457"/>
      <c r="S901" s="455"/>
      <c r="T901" s="456"/>
      <c r="U901" s="455"/>
    </row>
    <row r="902" spans="2:21" s="454" customFormat="1" ht="10.199999999999999" customHeight="1">
      <c r="B902" s="455"/>
      <c r="C902" s="455"/>
      <c r="E902" s="456"/>
      <c r="F902" s="459"/>
      <c r="G902" s="459"/>
      <c r="H902" s="461"/>
      <c r="I902" s="460"/>
      <c r="J902" s="460"/>
      <c r="K902" s="459"/>
      <c r="L902" s="3986"/>
      <c r="M902" s="3986"/>
      <c r="O902" s="458"/>
      <c r="P902" s="456"/>
      <c r="Q902" s="456"/>
      <c r="R902" s="457"/>
      <c r="S902" s="455"/>
      <c r="T902" s="456"/>
      <c r="U902" s="455"/>
    </row>
    <row r="903" spans="2:21" s="454" customFormat="1" ht="10.199999999999999" customHeight="1">
      <c r="B903" s="455"/>
      <c r="C903" s="455"/>
      <c r="E903" s="456"/>
      <c r="F903" s="459"/>
      <c r="G903" s="459"/>
      <c r="H903" s="461"/>
      <c r="I903" s="460"/>
      <c r="J903" s="460"/>
      <c r="K903" s="459"/>
      <c r="L903" s="3986"/>
      <c r="M903" s="3986"/>
      <c r="O903" s="458"/>
      <c r="P903" s="456"/>
      <c r="Q903" s="456"/>
      <c r="R903" s="457"/>
      <c r="S903" s="455"/>
      <c r="T903" s="456"/>
      <c r="U903" s="455"/>
    </row>
    <row r="904" spans="2:21" s="454" customFormat="1" ht="10.199999999999999" customHeight="1">
      <c r="B904" s="455"/>
      <c r="C904" s="455"/>
      <c r="E904" s="456"/>
      <c r="F904" s="459"/>
      <c r="G904" s="459"/>
      <c r="H904" s="461"/>
      <c r="I904" s="460"/>
      <c r="J904" s="460"/>
      <c r="K904" s="459"/>
      <c r="L904" s="3986"/>
      <c r="M904" s="3986"/>
      <c r="O904" s="458"/>
      <c r="P904" s="456"/>
      <c r="Q904" s="456"/>
      <c r="R904" s="457"/>
      <c r="S904" s="455"/>
      <c r="T904" s="456"/>
      <c r="U904" s="455"/>
    </row>
    <row r="905" spans="2:21" s="454" customFormat="1" ht="10.199999999999999" customHeight="1">
      <c r="B905" s="455"/>
      <c r="C905" s="455"/>
      <c r="E905" s="456"/>
      <c r="F905" s="459"/>
      <c r="G905" s="459"/>
      <c r="H905" s="461"/>
      <c r="I905" s="460"/>
      <c r="J905" s="460"/>
      <c r="K905" s="459"/>
      <c r="L905" s="3986"/>
      <c r="M905" s="3986"/>
      <c r="O905" s="458"/>
      <c r="P905" s="456"/>
      <c r="Q905" s="456"/>
      <c r="R905" s="457"/>
      <c r="S905" s="455"/>
      <c r="T905" s="456"/>
      <c r="U905" s="455"/>
    </row>
    <row r="906" spans="2:21" s="454" customFormat="1" ht="10.199999999999999" customHeight="1">
      <c r="B906" s="455"/>
      <c r="C906" s="455"/>
      <c r="E906" s="456"/>
      <c r="F906" s="459"/>
      <c r="G906" s="459"/>
      <c r="H906" s="461"/>
      <c r="I906" s="460"/>
      <c r="J906" s="460"/>
      <c r="K906" s="459"/>
      <c r="L906" s="3986"/>
      <c r="M906" s="3986"/>
      <c r="O906" s="458"/>
      <c r="P906" s="456"/>
      <c r="Q906" s="456"/>
      <c r="R906" s="457"/>
      <c r="S906" s="455"/>
      <c r="T906" s="456"/>
      <c r="U906" s="455"/>
    </row>
    <row r="907" spans="2:21" s="454" customFormat="1" ht="10.199999999999999" customHeight="1">
      <c r="B907" s="455"/>
      <c r="C907" s="455"/>
      <c r="E907" s="456"/>
      <c r="F907" s="459"/>
      <c r="G907" s="459"/>
      <c r="H907" s="461"/>
      <c r="I907" s="460"/>
      <c r="J907" s="460"/>
      <c r="K907" s="459"/>
      <c r="L907" s="3986"/>
      <c r="M907" s="3986"/>
      <c r="O907" s="458"/>
      <c r="P907" s="456"/>
      <c r="Q907" s="456"/>
      <c r="R907" s="457"/>
      <c r="S907" s="455"/>
      <c r="T907" s="456"/>
      <c r="U907" s="455"/>
    </row>
    <row r="908" spans="2:21" s="454" customFormat="1" ht="10.199999999999999" customHeight="1">
      <c r="B908" s="455"/>
      <c r="C908" s="455"/>
      <c r="E908" s="456"/>
      <c r="F908" s="459"/>
      <c r="G908" s="459"/>
      <c r="H908" s="461"/>
      <c r="I908" s="460"/>
      <c r="J908" s="460"/>
      <c r="K908" s="459"/>
      <c r="L908" s="3986"/>
      <c r="M908" s="3986"/>
      <c r="O908" s="458"/>
      <c r="P908" s="456"/>
      <c r="Q908" s="456"/>
      <c r="R908" s="457"/>
      <c r="S908" s="455"/>
      <c r="T908" s="456"/>
      <c r="U908" s="455"/>
    </row>
    <row r="909" spans="2:21" s="454" customFormat="1" ht="10.199999999999999" customHeight="1">
      <c r="B909" s="455"/>
      <c r="C909" s="455"/>
      <c r="E909" s="456"/>
      <c r="F909" s="459"/>
      <c r="G909" s="459"/>
      <c r="H909" s="461"/>
      <c r="I909" s="460"/>
      <c r="J909" s="460"/>
      <c r="K909" s="459"/>
      <c r="L909" s="3986"/>
      <c r="M909" s="3986"/>
      <c r="O909" s="458"/>
      <c r="P909" s="456"/>
      <c r="Q909" s="456"/>
      <c r="R909" s="457"/>
      <c r="S909" s="455"/>
      <c r="T909" s="456"/>
      <c r="U909" s="455"/>
    </row>
    <row r="910" spans="2:21" s="454" customFormat="1" ht="10.199999999999999" customHeight="1">
      <c r="B910" s="455"/>
      <c r="C910" s="455"/>
      <c r="E910" s="456"/>
      <c r="F910" s="459"/>
      <c r="G910" s="459"/>
      <c r="H910" s="461"/>
      <c r="I910" s="460"/>
      <c r="J910" s="460"/>
      <c r="K910" s="459"/>
      <c r="L910" s="3986"/>
      <c r="M910" s="3986"/>
      <c r="O910" s="458"/>
      <c r="P910" s="456"/>
      <c r="Q910" s="456"/>
      <c r="R910" s="457"/>
      <c r="S910" s="455"/>
      <c r="T910" s="456"/>
      <c r="U910" s="455"/>
    </row>
    <row r="911" spans="2:21" s="454" customFormat="1" ht="10.199999999999999" customHeight="1">
      <c r="B911" s="455"/>
      <c r="C911" s="455"/>
      <c r="E911" s="456"/>
      <c r="F911" s="459"/>
      <c r="G911" s="459"/>
      <c r="H911" s="461"/>
      <c r="I911" s="460"/>
      <c r="J911" s="460"/>
      <c r="K911" s="459"/>
      <c r="L911" s="3986"/>
      <c r="M911" s="3986"/>
      <c r="O911" s="458"/>
      <c r="P911" s="456"/>
      <c r="Q911" s="456"/>
      <c r="R911" s="457"/>
      <c r="S911" s="455"/>
      <c r="T911" s="456"/>
      <c r="U911" s="455"/>
    </row>
    <row r="912" spans="2:21" s="454" customFormat="1" ht="10.199999999999999" customHeight="1">
      <c r="B912" s="455"/>
      <c r="C912" s="455"/>
      <c r="E912" s="456"/>
      <c r="F912" s="459"/>
      <c r="G912" s="459"/>
      <c r="H912" s="461"/>
      <c r="I912" s="460"/>
      <c r="J912" s="460"/>
      <c r="K912" s="459"/>
      <c r="L912" s="3986"/>
      <c r="M912" s="3986"/>
      <c r="O912" s="458"/>
      <c r="P912" s="456"/>
      <c r="Q912" s="456"/>
      <c r="R912" s="457"/>
      <c r="S912" s="455"/>
      <c r="T912" s="456"/>
      <c r="U912" s="455"/>
    </row>
    <row r="913" spans="2:21" s="454" customFormat="1" ht="10.199999999999999" customHeight="1">
      <c r="B913" s="455"/>
      <c r="C913" s="455"/>
      <c r="E913" s="456"/>
      <c r="F913" s="459"/>
      <c r="G913" s="459"/>
      <c r="H913" s="461"/>
      <c r="I913" s="460"/>
      <c r="J913" s="460"/>
      <c r="K913" s="459"/>
      <c r="L913" s="3986"/>
      <c r="M913" s="3986"/>
      <c r="O913" s="458"/>
      <c r="P913" s="456"/>
      <c r="Q913" s="456"/>
      <c r="R913" s="457"/>
      <c r="S913" s="455"/>
      <c r="T913" s="456"/>
      <c r="U913" s="455"/>
    </row>
    <row r="914" spans="2:21" s="454" customFormat="1" ht="10.199999999999999" customHeight="1">
      <c r="B914" s="455"/>
      <c r="C914" s="455"/>
      <c r="E914" s="456"/>
      <c r="F914" s="459"/>
      <c r="G914" s="459"/>
      <c r="H914" s="461"/>
      <c r="I914" s="460"/>
      <c r="J914" s="460"/>
      <c r="K914" s="459"/>
      <c r="L914" s="3986"/>
      <c r="M914" s="3986"/>
      <c r="O914" s="458"/>
      <c r="P914" s="456"/>
      <c r="Q914" s="456"/>
      <c r="R914" s="457"/>
      <c r="S914" s="455"/>
      <c r="T914" s="456"/>
      <c r="U914" s="455"/>
    </row>
    <row r="915" spans="2:21" s="454" customFormat="1" ht="10.199999999999999" customHeight="1">
      <c r="B915" s="455"/>
      <c r="C915" s="455"/>
      <c r="E915" s="456"/>
      <c r="F915" s="459"/>
      <c r="G915" s="459"/>
      <c r="H915" s="461"/>
      <c r="I915" s="460"/>
      <c r="J915" s="460"/>
      <c r="K915" s="459"/>
      <c r="L915" s="3986"/>
      <c r="M915" s="3986"/>
      <c r="O915" s="458"/>
      <c r="P915" s="456"/>
      <c r="Q915" s="456"/>
      <c r="R915" s="457"/>
      <c r="S915" s="455"/>
      <c r="T915" s="456"/>
      <c r="U915" s="455"/>
    </row>
    <row r="916" spans="2:21" s="454" customFormat="1" ht="10.199999999999999" customHeight="1">
      <c r="B916" s="455"/>
      <c r="C916" s="455"/>
      <c r="E916" s="456"/>
      <c r="F916" s="459"/>
      <c r="G916" s="459"/>
      <c r="H916" s="461"/>
      <c r="I916" s="460"/>
      <c r="J916" s="460"/>
      <c r="K916" s="459"/>
      <c r="L916" s="3986"/>
      <c r="M916" s="3986"/>
      <c r="O916" s="458"/>
      <c r="P916" s="456"/>
      <c r="Q916" s="456"/>
      <c r="R916" s="457"/>
      <c r="S916" s="455"/>
      <c r="T916" s="456"/>
      <c r="U916" s="455"/>
    </row>
    <row r="917" spans="2:21" s="454" customFormat="1" ht="10.199999999999999" customHeight="1">
      <c r="B917" s="455"/>
      <c r="C917" s="455"/>
      <c r="E917" s="456"/>
      <c r="F917" s="459"/>
      <c r="G917" s="459"/>
      <c r="H917" s="461"/>
      <c r="I917" s="460"/>
      <c r="J917" s="460"/>
      <c r="K917" s="459"/>
      <c r="L917" s="3986"/>
      <c r="M917" s="3986"/>
      <c r="O917" s="458"/>
      <c r="P917" s="456"/>
      <c r="Q917" s="456"/>
      <c r="R917" s="457"/>
      <c r="S917" s="455"/>
      <c r="T917" s="456"/>
      <c r="U917" s="455"/>
    </row>
    <row r="918" spans="2:21" s="454" customFormat="1" ht="10.199999999999999" customHeight="1">
      <c r="B918" s="455"/>
      <c r="C918" s="455"/>
      <c r="E918" s="456"/>
      <c r="F918" s="459"/>
      <c r="G918" s="459"/>
      <c r="H918" s="461"/>
      <c r="I918" s="460"/>
      <c r="J918" s="460"/>
      <c r="K918" s="459"/>
      <c r="L918" s="3986"/>
      <c r="M918" s="3986"/>
      <c r="O918" s="458"/>
      <c r="P918" s="456"/>
      <c r="Q918" s="456"/>
      <c r="R918" s="457"/>
      <c r="S918" s="455"/>
      <c r="T918" s="456"/>
      <c r="U918" s="455"/>
    </row>
    <row r="919" spans="2:21" s="454" customFormat="1" ht="10.199999999999999" customHeight="1">
      <c r="B919" s="455"/>
      <c r="C919" s="455"/>
      <c r="E919" s="456"/>
      <c r="F919" s="459"/>
      <c r="G919" s="459"/>
      <c r="H919" s="461"/>
      <c r="I919" s="460"/>
      <c r="J919" s="460"/>
      <c r="K919" s="459"/>
      <c r="L919" s="3986"/>
      <c r="M919" s="3986"/>
      <c r="O919" s="458"/>
      <c r="P919" s="456"/>
      <c r="Q919" s="456"/>
      <c r="R919" s="457"/>
      <c r="S919" s="455"/>
      <c r="T919" s="456"/>
      <c r="U919" s="455"/>
    </row>
    <row r="920" spans="2:21" s="454" customFormat="1" ht="10.199999999999999" customHeight="1">
      <c r="B920" s="455"/>
      <c r="C920" s="455"/>
      <c r="E920" s="456"/>
      <c r="F920" s="459"/>
      <c r="G920" s="459"/>
      <c r="H920" s="461"/>
      <c r="I920" s="460"/>
      <c r="J920" s="460"/>
      <c r="K920" s="459"/>
      <c r="L920" s="3986"/>
      <c r="M920" s="3986"/>
      <c r="O920" s="458"/>
      <c r="P920" s="456"/>
      <c r="Q920" s="456"/>
      <c r="R920" s="457"/>
      <c r="S920" s="455"/>
      <c r="T920" s="456"/>
      <c r="U920" s="455"/>
    </row>
    <row r="921" spans="2:21" s="454" customFormat="1" ht="10.199999999999999" customHeight="1">
      <c r="B921" s="455"/>
      <c r="C921" s="455"/>
      <c r="E921" s="456"/>
      <c r="F921" s="459"/>
      <c r="G921" s="459"/>
      <c r="H921" s="461"/>
      <c r="I921" s="460"/>
      <c r="J921" s="460"/>
      <c r="K921" s="459"/>
      <c r="L921" s="3986"/>
      <c r="M921" s="3986"/>
      <c r="O921" s="458"/>
      <c r="P921" s="456"/>
      <c r="Q921" s="456"/>
      <c r="R921" s="457"/>
      <c r="S921" s="455"/>
      <c r="T921" s="456"/>
      <c r="U921" s="455"/>
    </row>
    <row r="922" spans="2:21" s="454" customFormat="1" ht="10.199999999999999" customHeight="1">
      <c r="B922" s="455"/>
      <c r="C922" s="455"/>
      <c r="E922" s="456"/>
      <c r="F922" s="459"/>
      <c r="G922" s="459"/>
      <c r="H922" s="461"/>
      <c r="I922" s="460"/>
      <c r="J922" s="460"/>
      <c r="K922" s="459"/>
      <c r="L922" s="3986"/>
      <c r="M922" s="3986"/>
      <c r="O922" s="458"/>
      <c r="P922" s="456"/>
      <c r="Q922" s="456"/>
      <c r="R922" s="457"/>
      <c r="S922" s="455"/>
      <c r="T922" s="456"/>
      <c r="U922" s="455"/>
    </row>
    <row r="923" spans="2:21" s="454" customFormat="1" ht="10.199999999999999" customHeight="1">
      <c r="B923" s="455"/>
      <c r="C923" s="455"/>
      <c r="E923" s="456"/>
      <c r="F923" s="459"/>
      <c r="G923" s="459"/>
      <c r="H923" s="461"/>
      <c r="I923" s="460"/>
      <c r="J923" s="460"/>
      <c r="K923" s="459"/>
      <c r="L923" s="3986"/>
      <c r="M923" s="3986"/>
      <c r="O923" s="458"/>
      <c r="P923" s="456"/>
      <c r="Q923" s="456"/>
      <c r="R923" s="457"/>
      <c r="S923" s="455"/>
      <c r="T923" s="456"/>
      <c r="U923" s="455"/>
    </row>
    <row r="924" spans="2:21" s="454" customFormat="1" ht="10.199999999999999" customHeight="1">
      <c r="B924" s="455"/>
      <c r="C924" s="455"/>
      <c r="E924" s="456"/>
      <c r="F924" s="459"/>
      <c r="G924" s="459"/>
      <c r="H924" s="461"/>
      <c r="I924" s="460"/>
      <c r="J924" s="460"/>
      <c r="K924" s="459"/>
      <c r="L924" s="3986"/>
      <c r="M924" s="3986"/>
      <c r="O924" s="458"/>
      <c r="P924" s="456"/>
      <c r="Q924" s="456"/>
      <c r="R924" s="457"/>
      <c r="S924" s="455"/>
      <c r="T924" s="456"/>
      <c r="U924" s="455"/>
    </row>
    <row r="925" spans="2:21" s="454" customFormat="1" ht="10.199999999999999" customHeight="1">
      <c r="B925" s="455"/>
      <c r="C925" s="455"/>
      <c r="E925" s="456"/>
      <c r="F925" s="459"/>
      <c r="G925" s="459"/>
      <c r="H925" s="461"/>
      <c r="I925" s="460"/>
      <c r="J925" s="460"/>
      <c r="K925" s="459"/>
      <c r="L925" s="3986"/>
      <c r="M925" s="3986"/>
      <c r="O925" s="458"/>
      <c r="P925" s="456"/>
      <c r="Q925" s="456"/>
      <c r="R925" s="457"/>
      <c r="S925" s="455"/>
      <c r="T925" s="456"/>
      <c r="U925" s="455"/>
    </row>
    <row r="926" spans="2:21" s="454" customFormat="1" ht="10.199999999999999" customHeight="1">
      <c r="B926" s="455"/>
      <c r="C926" s="455"/>
      <c r="E926" s="456"/>
      <c r="F926" s="459"/>
      <c r="G926" s="459"/>
      <c r="H926" s="461"/>
      <c r="I926" s="460"/>
      <c r="J926" s="460"/>
      <c r="K926" s="459"/>
      <c r="L926" s="3986"/>
      <c r="M926" s="3986"/>
      <c r="O926" s="458"/>
      <c r="P926" s="456"/>
      <c r="Q926" s="456"/>
      <c r="R926" s="457"/>
      <c r="S926" s="455"/>
      <c r="T926" s="456"/>
      <c r="U926" s="455"/>
    </row>
    <row r="927" spans="2:21" s="454" customFormat="1" ht="10.199999999999999" customHeight="1">
      <c r="B927" s="455"/>
      <c r="C927" s="455"/>
      <c r="E927" s="456"/>
      <c r="F927" s="459"/>
      <c r="G927" s="459"/>
      <c r="H927" s="461"/>
      <c r="I927" s="460"/>
      <c r="J927" s="460"/>
      <c r="K927" s="459"/>
      <c r="L927" s="3986"/>
      <c r="M927" s="3986"/>
      <c r="O927" s="458"/>
      <c r="P927" s="456"/>
      <c r="Q927" s="456"/>
      <c r="R927" s="457"/>
      <c r="S927" s="455"/>
      <c r="T927" s="456"/>
      <c r="U927" s="455"/>
    </row>
    <row r="928" spans="2:21" s="454" customFormat="1" ht="10.199999999999999" customHeight="1">
      <c r="B928" s="455"/>
      <c r="C928" s="455"/>
      <c r="E928" s="456"/>
      <c r="F928" s="459"/>
      <c r="G928" s="459"/>
      <c r="H928" s="461"/>
      <c r="I928" s="460"/>
      <c r="J928" s="460"/>
      <c r="K928" s="459"/>
      <c r="L928" s="3986"/>
      <c r="M928" s="3986"/>
      <c r="O928" s="458"/>
      <c r="P928" s="456"/>
      <c r="Q928" s="456"/>
      <c r="R928" s="457"/>
      <c r="S928" s="455"/>
      <c r="T928" s="456"/>
      <c r="U928" s="455"/>
    </row>
    <row r="929" spans="2:21" s="454" customFormat="1" ht="10.199999999999999" customHeight="1">
      <c r="B929" s="455"/>
      <c r="C929" s="455"/>
      <c r="E929" s="456"/>
      <c r="F929" s="459"/>
      <c r="G929" s="459"/>
      <c r="H929" s="461"/>
      <c r="I929" s="460"/>
      <c r="J929" s="460"/>
      <c r="K929" s="459"/>
      <c r="L929" s="3986"/>
      <c r="M929" s="3986"/>
      <c r="O929" s="458"/>
      <c r="P929" s="456"/>
      <c r="Q929" s="456"/>
      <c r="R929" s="457"/>
      <c r="S929" s="455"/>
      <c r="T929" s="456"/>
      <c r="U929" s="455"/>
    </row>
    <row r="930" spans="2:21" s="448" customFormat="1">
      <c r="B930" s="452"/>
      <c r="C930" s="449"/>
      <c r="D930" s="449"/>
      <c r="E930" s="451"/>
      <c r="F930" s="453"/>
      <c r="G930" s="453"/>
      <c r="I930" s="449"/>
      <c r="N930" s="449"/>
    </row>
    <row r="931" spans="2:21" s="448" customFormat="1">
      <c r="B931" s="452"/>
      <c r="C931" s="449"/>
      <c r="D931" s="449"/>
      <c r="E931" s="451"/>
      <c r="F931" s="453"/>
      <c r="G931" s="453"/>
      <c r="I931" s="449"/>
      <c r="N931" s="449"/>
    </row>
    <row r="932" spans="2:21" s="448" customFormat="1">
      <c r="B932" s="452"/>
      <c r="C932" s="449"/>
      <c r="D932" s="449"/>
      <c r="E932" s="451"/>
      <c r="F932" s="453"/>
      <c r="G932" s="453"/>
      <c r="I932" s="449"/>
      <c r="N932" s="449"/>
    </row>
    <row r="933" spans="2:21" s="448" customFormat="1">
      <c r="B933" s="452"/>
      <c r="C933" s="449"/>
      <c r="D933" s="449"/>
      <c r="E933" s="451"/>
      <c r="F933" s="453"/>
      <c r="G933" s="453"/>
      <c r="I933" s="449"/>
      <c r="N933" s="449"/>
    </row>
    <row r="934" spans="2:21" s="448" customFormat="1">
      <c r="B934" s="452"/>
      <c r="C934" s="449"/>
      <c r="D934" s="449"/>
      <c r="E934" s="451"/>
      <c r="F934" s="453"/>
      <c r="G934" s="453"/>
      <c r="I934" s="449"/>
      <c r="N934" s="449"/>
    </row>
    <row r="935" spans="2:21" s="448" customFormat="1">
      <c r="B935" s="452"/>
      <c r="C935" s="449"/>
      <c r="D935" s="449"/>
      <c r="E935" s="451"/>
      <c r="F935" s="453"/>
      <c r="G935" s="453"/>
      <c r="I935" s="449"/>
      <c r="N935" s="449"/>
    </row>
    <row r="936" spans="2:21" s="448" customFormat="1">
      <c r="B936" s="452"/>
      <c r="C936" s="449"/>
      <c r="D936" s="449"/>
      <c r="E936" s="451"/>
      <c r="F936" s="453"/>
      <c r="G936" s="453"/>
      <c r="I936" s="449"/>
      <c r="N936" s="449"/>
    </row>
    <row r="937" spans="2:21" s="448" customFormat="1">
      <c r="B937" s="452"/>
      <c r="C937" s="449"/>
      <c r="D937" s="449"/>
      <c r="E937" s="451"/>
      <c r="F937" s="453"/>
      <c r="G937" s="453"/>
      <c r="I937" s="449"/>
      <c r="N937" s="449"/>
    </row>
    <row r="938" spans="2:21" s="448" customFormat="1">
      <c r="B938" s="452"/>
      <c r="C938" s="449"/>
      <c r="D938" s="449"/>
      <c r="E938" s="451"/>
      <c r="F938" s="453"/>
      <c r="G938" s="453"/>
      <c r="I938" s="449"/>
      <c r="N938" s="449"/>
    </row>
    <row r="939" spans="2:21" s="448" customFormat="1">
      <c r="B939" s="452"/>
      <c r="C939" s="449"/>
      <c r="D939" s="449"/>
      <c r="E939" s="451"/>
      <c r="F939" s="453"/>
      <c r="G939" s="453"/>
      <c r="I939" s="449"/>
      <c r="N939" s="449"/>
    </row>
    <row r="940" spans="2:21" s="448" customFormat="1">
      <c r="B940" s="452"/>
      <c r="C940" s="449"/>
      <c r="D940" s="449"/>
      <c r="E940" s="451"/>
      <c r="F940" s="453"/>
      <c r="G940" s="453"/>
      <c r="I940" s="449"/>
      <c r="N940" s="449"/>
    </row>
    <row r="941" spans="2:21" s="448" customFormat="1">
      <c r="B941" s="452"/>
      <c r="C941" s="449"/>
      <c r="D941" s="449"/>
      <c r="E941" s="451"/>
      <c r="F941" s="453"/>
      <c r="G941" s="453"/>
      <c r="I941" s="449"/>
      <c r="N941" s="449"/>
    </row>
    <row r="942" spans="2:21" s="448" customFormat="1">
      <c r="B942" s="452"/>
      <c r="C942" s="449"/>
      <c r="D942" s="449"/>
      <c r="E942" s="451"/>
      <c r="F942" s="453"/>
      <c r="G942" s="453"/>
      <c r="I942" s="449"/>
      <c r="N942" s="449"/>
    </row>
    <row r="943" spans="2:21" s="448" customFormat="1">
      <c r="B943" s="452"/>
      <c r="C943" s="449"/>
      <c r="D943" s="449"/>
      <c r="E943" s="451"/>
      <c r="F943" s="453"/>
      <c r="G943" s="453"/>
      <c r="I943" s="449"/>
      <c r="N943" s="449"/>
    </row>
    <row r="944" spans="2:21" s="448" customFormat="1">
      <c r="B944" s="452"/>
      <c r="C944" s="449"/>
      <c r="D944" s="449"/>
      <c r="E944" s="451"/>
      <c r="F944" s="453"/>
      <c r="G944" s="453"/>
      <c r="I944" s="449"/>
      <c r="N944" s="449"/>
    </row>
    <row r="945" spans="2:14" s="448" customFormat="1">
      <c r="B945" s="452"/>
      <c r="C945" s="449"/>
      <c r="D945" s="449"/>
      <c r="E945" s="451"/>
      <c r="F945" s="453"/>
      <c r="G945" s="453"/>
      <c r="I945" s="449"/>
      <c r="N945" s="449"/>
    </row>
    <row r="946" spans="2:14" s="448" customFormat="1">
      <c r="B946" s="452"/>
      <c r="C946" s="449"/>
      <c r="D946" s="449"/>
      <c r="E946" s="451"/>
      <c r="F946" s="453"/>
      <c r="G946" s="453"/>
      <c r="I946" s="449"/>
      <c r="N946" s="449"/>
    </row>
    <row r="947" spans="2:14" s="448" customFormat="1">
      <c r="B947" s="452"/>
      <c r="C947" s="449"/>
      <c r="D947" s="449"/>
      <c r="E947" s="451"/>
      <c r="F947" s="453"/>
      <c r="G947" s="453"/>
      <c r="I947" s="449"/>
      <c r="N947" s="449"/>
    </row>
    <row r="948" spans="2:14" s="448" customFormat="1">
      <c r="B948" s="452"/>
      <c r="C948" s="449"/>
      <c r="D948" s="449"/>
      <c r="E948" s="451"/>
      <c r="F948" s="453"/>
      <c r="G948" s="453"/>
      <c r="I948" s="449"/>
      <c r="N948" s="449"/>
    </row>
    <row r="949" spans="2:14" s="448" customFormat="1">
      <c r="B949" s="452"/>
      <c r="C949" s="449"/>
      <c r="D949" s="449"/>
      <c r="E949" s="451"/>
      <c r="F949" s="453"/>
      <c r="G949" s="453"/>
      <c r="I949" s="449"/>
      <c r="N949" s="449"/>
    </row>
    <row r="950" spans="2:14" s="448" customFormat="1">
      <c r="B950" s="452"/>
      <c r="C950" s="449"/>
      <c r="D950" s="449"/>
      <c r="E950" s="451"/>
      <c r="F950" s="453"/>
      <c r="G950" s="453"/>
      <c r="I950" s="449"/>
      <c r="N950" s="449"/>
    </row>
    <row r="951" spans="2:14" s="448" customFormat="1">
      <c r="B951" s="452"/>
      <c r="C951" s="449"/>
      <c r="D951" s="449"/>
      <c r="E951" s="451"/>
      <c r="F951" s="453"/>
      <c r="G951" s="453"/>
      <c r="I951" s="449"/>
      <c r="N951" s="449"/>
    </row>
    <row r="952" spans="2:14" s="448" customFormat="1">
      <c r="B952" s="452"/>
      <c r="C952" s="449"/>
      <c r="D952" s="449"/>
      <c r="E952" s="451"/>
      <c r="F952" s="453"/>
      <c r="G952" s="453"/>
      <c r="I952" s="449"/>
      <c r="N952" s="449"/>
    </row>
    <row r="953" spans="2:14" s="448" customFormat="1">
      <c r="B953" s="452"/>
      <c r="C953" s="449"/>
      <c r="D953" s="449"/>
      <c r="E953" s="451"/>
      <c r="F953" s="453"/>
      <c r="G953" s="453"/>
      <c r="I953" s="449"/>
      <c r="N953" s="449"/>
    </row>
    <row r="954" spans="2:14" s="448" customFormat="1">
      <c r="B954" s="452"/>
      <c r="C954" s="449"/>
      <c r="D954" s="449"/>
      <c r="E954" s="451"/>
      <c r="F954" s="453"/>
      <c r="G954" s="453"/>
      <c r="I954" s="449"/>
      <c r="N954" s="449"/>
    </row>
    <row r="955" spans="2:14" s="448" customFormat="1">
      <c r="B955" s="452"/>
      <c r="C955" s="449"/>
      <c r="D955" s="449"/>
      <c r="E955" s="451"/>
      <c r="F955" s="453"/>
      <c r="G955" s="453"/>
      <c r="I955" s="449"/>
      <c r="N955" s="449"/>
    </row>
    <row r="956" spans="2:14" s="448" customFormat="1">
      <c r="B956" s="452"/>
      <c r="C956" s="449"/>
      <c r="D956" s="449"/>
      <c r="E956" s="451"/>
      <c r="F956" s="453"/>
      <c r="G956" s="453"/>
      <c r="I956" s="449"/>
      <c r="N956" s="449"/>
    </row>
    <row r="957" spans="2:14" s="448" customFormat="1">
      <c r="B957" s="452"/>
      <c r="C957" s="449"/>
      <c r="D957" s="449"/>
      <c r="E957" s="451"/>
      <c r="F957" s="453"/>
      <c r="G957" s="453"/>
      <c r="I957" s="449"/>
      <c r="N957" s="449"/>
    </row>
    <row r="958" spans="2:14" s="448" customFormat="1">
      <c r="B958" s="452"/>
      <c r="C958" s="449"/>
      <c r="D958" s="449"/>
      <c r="E958" s="451"/>
      <c r="F958" s="453"/>
      <c r="G958" s="453"/>
      <c r="I958" s="449"/>
      <c r="N958" s="449"/>
    </row>
    <row r="959" spans="2:14" s="448" customFormat="1">
      <c r="B959" s="452"/>
      <c r="C959" s="449"/>
      <c r="D959" s="449"/>
      <c r="E959" s="451"/>
      <c r="F959" s="453"/>
      <c r="G959" s="453"/>
      <c r="I959" s="449"/>
      <c r="N959" s="449"/>
    </row>
    <row r="960" spans="2:14" s="448" customFormat="1">
      <c r="B960" s="452"/>
      <c r="C960" s="449"/>
      <c r="D960" s="449"/>
      <c r="E960" s="451"/>
      <c r="F960" s="453"/>
      <c r="G960" s="453"/>
      <c r="I960" s="449"/>
      <c r="N960" s="449"/>
    </row>
    <row r="961" spans="2:14" s="448" customFormat="1">
      <c r="B961" s="452"/>
      <c r="C961" s="449"/>
      <c r="D961" s="449"/>
      <c r="E961" s="451"/>
      <c r="F961" s="453"/>
      <c r="G961" s="453"/>
      <c r="I961" s="449"/>
      <c r="N961" s="449"/>
    </row>
    <row r="962" spans="2:14" s="448" customFormat="1">
      <c r="B962" s="452"/>
      <c r="C962" s="449"/>
      <c r="D962" s="449"/>
      <c r="E962" s="451"/>
      <c r="F962" s="453"/>
      <c r="G962" s="453"/>
      <c r="I962" s="449"/>
      <c r="N962" s="449"/>
    </row>
    <row r="963" spans="2:14" s="448" customFormat="1">
      <c r="B963" s="452"/>
      <c r="C963" s="449"/>
      <c r="D963" s="449"/>
      <c r="E963" s="451"/>
      <c r="F963" s="453"/>
      <c r="G963" s="453"/>
      <c r="I963" s="449"/>
      <c r="N963" s="449"/>
    </row>
    <row r="964" spans="2:14" s="448" customFormat="1">
      <c r="B964" s="452"/>
      <c r="C964" s="449"/>
      <c r="D964" s="449"/>
      <c r="E964" s="451"/>
      <c r="F964" s="453"/>
      <c r="G964" s="453"/>
      <c r="I964" s="449"/>
      <c r="N964" s="449"/>
    </row>
    <row r="965" spans="2:14" s="448" customFormat="1">
      <c r="B965" s="452"/>
      <c r="C965" s="449"/>
      <c r="D965" s="449"/>
      <c r="E965" s="451"/>
      <c r="F965" s="453"/>
      <c r="G965" s="453"/>
      <c r="I965" s="449"/>
      <c r="N965" s="449"/>
    </row>
    <row r="966" spans="2:14" s="448" customFormat="1">
      <c r="B966" s="452"/>
      <c r="C966" s="449"/>
      <c r="D966" s="449"/>
      <c r="E966" s="451"/>
      <c r="F966" s="453"/>
      <c r="G966" s="453"/>
      <c r="I966" s="449"/>
      <c r="N966" s="449"/>
    </row>
    <row r="967" spans="2:14" s="448" customFormat="1">
      <c r="B967" s="452"/>
      <c r="C967" s="449"/>
      <c r="D967" s="449"/>
      <c r="E967" s="451"/>
      <c r="F967" s="453"/>
      <c r="G967" s="453"/>
      <c r="I967" s="449"/>
      <c r="N967" s="449"/>
    </row>
    <row r="968" spans="2:14" s="448" customFormat="1">
      <c r="B968" s="452"/>
      <c r="C968" s="449"/>
      <c r="D968" s="449"/>
      <c r="E968" s="451"/>
      <c r="F968" s="453"/>
      <c r="G968" s="453"/>
      <c r="I968" s="449"/>
      <c r="N968" s="449"/>
    </row>
    <row r="969" spans="2:14" s="448" customFormat="1">
      <c r="B969" s="452"/>
      <c r="C969" s="449"/>
      <c r="D969" s="449"/>
      <c r="E969" s="451"/>
      <c r="F969" s="453"/>
      <c r="G969" s="453"/>
      <c r="I969" s="449"/>
      <c r="N969" s="449"/>
    </row>
    <row r="970" spans="2:14" s="448" customFormat="1">
      <c r="B970" s="452"/>
      <c r="C970" s="449"/>
      <c r="D970" s="449"/>
      <c r="E970" s="451"/>
      <c r="F970" s="453"/>
      <c r="G970" s="453"/>
      <c r="I970" s="449"/>
      <c r="N970" s="449"/>
    </row>
    <row r="971" spans="2:14" s="448" customFormat="1">
      <c r="B971" s="452"/>
      <c r="C971" s="449"/>
      <c r="D971" s="449"/>
      <c r="E971" s="451"/>
      <c r="F971" s="453"/>
      <c r="G971" s="453"/>
      <c r="I971" s="449"/>
      <c r="N971" s="449"/>
    </row>
    <row r="972" spans="2:14" s="448" customFormat="1">
      <c r="B972" s="452"/>
      <c r="C972" s="449"/>
      <c r="D972" s="449"/>
      <c r="E972" s="451"/>
      <c r="F972" s="453"/>
      <c r="G972" s="453"/>
      <c r="I972" s="449"/>
      <c r="N972" s="449"/>
    </row>
    <row r="973" spans="2:14" s="448" customFormat="1">
      <c r="B973" s="452"/>
      <c r="C973" s="449"/>
      <c r="D973" s="449"/>
      <c r="E973" s="451"/>
      <c r="F973" s="453"/>
      <c r="G973" s="453"/>
      <c r="I973" s="449"/>
      <c r="N973" s="449"/>
    </row>
    <row r="974" spans="2:14" s="448" customFormat="1">
      <c r="B974" s="452"/>
      <c r="C974" s="449"/>
      <c r="D974" s="449"/>
      <c r="E974" s="451"/>
      <c r="F974" s="453"/>
      <c r="G974" s="453"/>
      <c r="I974" s="449"/>
      <c r="N974" s="449"/>
    </row>
    <row r="975" spans="2:14" s="448" customFormat="1">
      <c r="B975" s="452"/>
      <c r="C975" s="449"/>
      <c r="D975" s="449"/>
      <c r="E975" s="451"/>
      <c r="F975" s="453"/>
      <c r="G975" s="453"/>
      <c r="I975" s="449"/>
      <c r="N975" s="449"/>
    </row>
    <row r="976" spans="2:14" s="448" customFormat="1">
      <c r="B976" s="452"/>
      <c r="C976" s="449"/>
      <c r="D976" s="449"/>
      <c r="E976" s="451"/>
      <c r="F976" s="453"/>
      <c r="G976" s="453"/>
      <c r="I976" s="449"/>
      <c r="N976" s="449"/>
    </row>
    <row r="977" spans="2:14" s="448" customFormat="1">
      <c r="B977" s="452"/>
      <c r="C977" s="449"/>
      <c r="D977" s="449"/>
      <c r="E977" s="451"/>
      <c r="F977" s="453"/>
      <c r="G977" s="453"/>
      <c r="I977" s="449"/>
      <c r="N977" s="449"/>
    </row>
    <row r="978" spans="2:14" s="448" customFormat="1">
      <c r="B978" s="452"/>
      <c r="C978" s="449"/>
      <c r="D978" s="449"/>
      <c r="E978" s="451"/>
      <c r="F978" s="453"/>
      <c r="G978" s="453"/>
      <c r="I978" s="449"/>
      <c r="N978" s="449"/>
    </row>
    <row r="979" spans="2:14" s="448" customFormat="1">
      <c r="B979" s="452"/>
      <c r="C979" s="449"/>
      <c r="D979" s="449"/>
      <c r="E979" s="451"/>
      <c r="F979" s="453"/>
      <c r="G979" s="453"/>
      <c r="I979" s="449"/>
      <c r="N979" s="449"/>
    </row>
    <row r="980" spans="2:14" s="448" customFormat="1">
      <c r="B980" s="452"/>
      <c r="C980" s="449"/>
      <c r="D980" s="449"/>
      <c r="E980" s="451"/>
      <c r="F980" s="453"/>
      <c r="G980" s="453"/>
      <c r="I980" s="449"/>
      <c r="N980" s="449"/>
    </row>
    <row r="981" spans="2:14" s="448" customFormat="1">
      <c r="B981" s="452"/>
      <c r="C981" s="449"/>
      <c r="D981" s="449"/>
      <c r="E981" s="451"/>
      <c r="F981" s="453"/>
      <c r="G981" s="453"/>
      <c r="I981" s="449"/>
      <c r="N981" s="449"/>
    </row>
    <row r="982" spans="2:14" s="448" customFormat="1">
      <c r="B982" s="452"/>
      <c r="C982" s="449"/>
      <c r="D982" s="449"/>
      <c r="E982" s="451"/>
      <c r="F982" s="453"/>
      <c r="G982" s="453"/>
      <c r="I982" s="449"/>
      <c r="N982" s="449"/>
    </row>
    <row r="983" spans="2:14" s="448" customFormat="1">
      <c r="B983" s="452"/>
      <c r="C983" s="449"/>
      <c r="D983" s="449"/>
      <c r="E983" s="451"/>
      <c r="F983" s="453"/>
      <c r="G983" s="453"/>
      <c r="I983" s="449"/>
      <c r="N983" s="449"/>
    </row>
    <row r="984" spans="2:14" s="448" customFormat="1">
      <c r="B984" s="452"/>
      <c r="C984" s="449"/>
      <c r="D984" s="449"/>
      <c r="E984" s="451"/>
      <c r="F984" s="453"/>
      <c r="G984" s="453"/>
      <c r="I984" s="449"/>
      <c r="N984" s="449"/>
    </row>
    <row r="985" spans="2:14" s="448" customFormat="1">
      <c r="B985" s="452"/>
      <c r="C985" s="449"/>
      <c r="D985" s="449"/>
      <c r="E985" s="451"/>
      <c r="F985" s="453"/>
      <c r="G985" s="453"/>
      <c r="I985" s="449"/>
      <c r="N985" s="449"/>
    </row>
    <row r="986" spans="2:14" s="448" customFormat="1">
      <c r="B986" s="452"/>
      <c r="C986" s="449"/>
      <c r="D986" s="449"/>
      <c r="E986" s="451"/>
      <c r="F986" s="453"/>
      <c r="G986" s="453"/>
      <c r="I986" s="449"/>
      <c r="N986" s="449"/>
    </row>
    <row r="987" spans="2:14" s="448" customFormat="1">
      <c r="B987" s="452"/>
      <c r="C987" s="449"/>
      <c r="D987" s="449"/>
      <c r="E987" s="451"/>
      <c r="F987" s="453"/>
      <c r="G987" s="453"/>
      <c r="I987" s="449"/>
      <c r="N987" s="449"/>
    </row>
    <row r="988" spans="2:14" s="448" customFormat="1">
      <c r="B988" s="452"/>
      <c r="C988" s="449"/>
      <c r="D988" s="449"/>
      <c r="E988" s="451"/>
      <c r="F988" s="453"/>
      <c r="G988" s="453"/>
      <c r="I988" s="449"/>
      <c r="N988" s="449"/>
    </row>
    <row r="989" spans="2:14" s="448" customFormat="1">
      <c r="B989" s="452"/>
      <c r="C989" s="449"/>
      <c r="D989" s="449"/>
      <c r="E989" s="451"/>
      <c r="F989" s="453"/>
      <c r="G989" s="453"/>
      <c r="I989" s="449"/>
      <c r="N989" s="449"/>
    </row>
    <row r="990" spans="2:14" s="448" customFormat="1">
      <c r="B990" s="452"/>
      <c r="C990" s="449"/>
      <c r="D990" s="449"/>
      <c r="E990" s="451"/>
      <c r="F990" s="453"/>
      <c r="G990" s="453"/>
      <c r="I990" s="449"/>
      <c r="N990" s="449"/>
    </row>
    <row r="991" spans="2:14" s="448" customFormat="1">
      <c r="B991" s="452"/>
      <c r="C991" s="449"/>
      <c r="D991" s="449"/>
      <c r="E991" s="451"/>
      <c r="F991" s="453"/>
      <c r="G991" s="453"/>
      <c r="I991" s="449"/>
      <c r="N991" s="449"/>
    </row>
    <row r="992" spans="2:14" s="448" customFormat="1">
      <c r="B992" s="452"/>
      <c r="C992" s="449"/>
      <c r="D992" s="449"/>
      <c r="E992" s="451"/>
      <c r="F992" s="453"/>
      <c r="G992" s="453"/>
      <c r="I992" s="449"/>
      <c r="N992" s="449"/>
    </row>
    <row r="993" spans="2:14" s="448" customFormat="1">
      <c r="B993" s="452"/>
      <c r="C993" s="449"/>
      <c r="D993" s="449"/>
      <c r="E993" s="451"/>
      <c r="F993" s="453"/>
      <c r="G993" s="453"/>
      <c r="I993" s="449"/>
      <c r="N993" s="449"/>
    </row>
    <row r="994" spans="2:14" s="448" customFormat="1">
      <c r="B994" s="452"/>
      <c r="C994" s="449"/>
      <c r="D994" s="449"/>
      <c r="E994" s="451"/>
      <c r="F994" s="453"/>
      <c r="G994" s="453"/>
      <c r="I994" s="449"/>
      <c r="N994" s="449"/>
    </row>
    <row r="995" spans="2:14" s="448" customFormat="1">
      <c r="B995" s="452"/>
      <c r="C995" s="449"/>
      <c r="D995" s="449"/>
      <c r="E995" s="451"/>
      <c r="F995" s="453"/>
      <c r="G995" s="453"/>
      <c r="I995" s="449"/>
      <c r="N995" s="449"/>
    </row>
    <row r="996" spans="2:14" s="448" customFormat="1">
      <c r="B996" s="452"/>
      <c r="C996" s="449"/>
      <c r="D996" s="449"/>
      <c r="E996" s="451"/>
      <c r="F996" s="453"/>
      <c r="G996" s="453"/>
      <c r="I996" s="449"/>
      <c r="N996" s="449"/>
    </row>
    <row r="997" spans="2:14" s="448" customFormat="1">
      <c r="B997" s="452"/>
      <c r="C997" s="449"/>
      <c r="D997" s="449"/>
      <c r="E997" s="451"/>
      <c r="F997" s="453"/>
      <c r="G997" s="453"/>
      <c r="I997" s="449"/>
      <c r="N997" s="449"/>
    </row>
    <row r="998" spans="2:14" s="448" customFormat="1">
      <c r="B998" s="452"/>
      <c r="C998" s="449"/>
      <c r="D998" s="449"/>
      <c r="E998" s="451"/>
      <c r="F998" s="453"/>
      <c r="G998" s="453"/>
      <c r="I998" s="449"/>
      <c r="N998" s="449"/>
    </row>
    <row r="999" spans="2:14" s="448" customFormat="1">
      <c r="B999" s="452"/>
      <c r="C999" s="449"/>
      <c r="D999" s="449"/>
      <c r="E999" s="451"/>
      <c r="F999" s="453"/>
      <c r="G999" s="453"/>
      <c r="I999" s="449"/>
      <c r="N999" s="449"/>
    </row>
    <row r="1000" spans="2:14" s="448" customFormat="1">
      <c r="B1000" s="452"/>
      <c r="C1000" s="449"/>
      <c r="D1000" s="449"/>
      <c r="E1000" s="451"/>
      <c r="F1000" s="453"/>
      <c r="G1000" s="453"/>
      <c r="I1000" s="449"/>
      <c r="N1000" s="449"/>
    </row>
    <row r="1001" spans="2:14" s="448" customFormat="1">
      <c r="B1001" s="452"/>
      <c r="C1001" s="449"/>
      <c r="D1001" s="449"/>
      <c r="E1001" s="451"/>
      <c r="F1001" s="453"/>
      <c r="G1001" s="453"/>
      <c r="I1001" s="449"/>
      <c r="N1001" s="449"/>
    </row>
    <row r="1002" spans="2:14" s="448" customFormat="1">
      <c r="B1002" s="452"/>
      <c r="C1002" s="449"/>
      <c r="D1002" s="449"/>
      <c r="E1002" s="451"/>
      <c r="F1002" s="453"/>
      <c r="G1002" s="453"/>
      <c r="I1002" s="449"/>
      <c r="N1002" s="449"/>
    </row>
    <row r="1003" spans="2:14" s="448" customFormat="1">
      <c r="B1003" s="452"/>
      <c r="C1003" s="449"/>
      <c r="D1003" s="449"/>
      <c r="E1003" s="451"/>
      <c r="F1003" s="453"/>
      <c r="G1003" s="453"/>
      <c r="I1003" s="449"/>
      <c r="N1003" s="449"/>
    </row>
    <row r="1004" spans="2:14" s="448" customFormat="1">
      <c r="B1004" s="452"/>
      <c r="C1004" s="449"/>
      <c r="D1004" s="449"/>
      <c r="E1004" s="451"/>
      <c r="F1004" s="453"/>
      <c r="G1004" s="453"/>
      <c r="I1004" s="449"/>
      <c r="N1004" s="449"/>
    </row>
    <row r="1005" spans="2:14" s="448" customFormat="1">
      <c r="B1005" s="452"/>
      <c r="C1005" s="449"/>
      <c r="D1005" s="449"/>
      <c r="E1005" s="451"/>
      <c r="F1005" s="453"/>
      <c r="G1005" s="453"/>
      <c r="I1005" s="449"/>
      <c r="N1005" s="449"/>
    </row>
    <row r="1006" spans="2:14" s="448" customFormat="1">
      <c r="B1006" s="452"/>
      <c r="C1006" s="449"/>
      <c r="D1006" s="449"/>
      <c r="E1006" s="451"/>
      <c r="F1006" s="453"/>
      <c r="G1006" s="453"/>
      <c r="I1006" s="449"/>
      <c r="N1006" s="449"/>
    </row>
    <row r="1007" spans="2:14" s="448" customFormat="1">
      <c r="B1007" s="452"/>
      <c r="C1007" s="449"/>
      <c r="D1007" s="449"/>
      <c r="E1007" s="451"/>
      <c r="F1007" s="453"/>
      <c r="G1007" s="453"/>
      <c r="I1007" s="449"/>
      <c r="N1007" s="449"/>
    </row>
    <row r="1008" spans="2:14" s="448" customFormat="1">
      <c r="B1008" s="452"/>
      <c r="C1008" s="449"/>
      <c r="D1008" s="449"/>
      <c r="E1008" s="451"/>
      <c r="F1008" s="453"/>
      <c r="G1008" s="453"/>
      <c r="I1008" s="449"/>
      <c r="N1008" s="449"/>
    </row>
    <row r="1009" spans="2:14" s="448" customFormat="1">
      <c r="B1009" s="452"/>
      <c r="C1009" s="449"/>
      <c r="D1009" s="449"/>
      <c r="E1009" s="451"/>
      <c r="F1009" s="453"/>
      <c r="G1009" s="453"/>
      <c r="I1009" s="449"/>
      <c r="N1009" s="449"/>
    </row>
    <row r="1010" spans="2:14" s="448" customFormat="1">
      <c r="B1010" s="452"/>
      <c r="C1010" s="449"/>
      <c r="D1010" s="449"/>
      <c r="E1010" s="451"/>
      <c r="F1010" s="453"/>
      <c r="G1010" s="453"/>
      <c r="I1010" s="449"/>
      <c r="N1010" s="449"/>
    </row>
    <row r="1011" spans="2:14" s="448" customFormat="1">
      <c r="B1011" s="452"/>
      <c r="C1011" s="449"/>
      <c r="D1011" s="449"/>
      <c r="E1011" s="451"/>
      <c r="F1011" s="453"/>
      <c r="G1011" s="453"/>
      <c r="I1011" s="449"/>
      <c r="N1011" s="449"/>
    </row>
    <row r="1012" spans="2:14" s="448" customFormat="1">
      <c r="B1012" s="452"/>
      <c r="C1012" s="449"/>
      <c r="D1012" s="449"/>
      <c r="E1012" s="451"/>
      <c r="F1012" s="453"/>
      <c r="G1012" s="453"/>
      <c r="I1012" s="449"/>
      <c r="N1012" s="449"/>
    </row>
    <row r="1013" spans="2:14" s="448" customFormat="1">
      <c r="B1013" s="452"/>
      <c r="C1013" s="449"/>
      <c r="D1013" s="449"/>
      <c r="E1013" s="451"/>
      <c r="F1013" s="453"/>
      <c r="G1013" s="453"/>
      <c r="I1013" s="449"/>
      <c r="N1013" s="449"/>
    </row>
    <row r="1014" spans="2:14" s="448" customFormat="1">
      <c r="B1014" s="452"/>
      <c r="C1014" s="449"/>
      <c r="D1014" s="449"/>
      <c r="E1014" s="451"/>
      <c r="F1014" s="453"/>
      <c r="G1014" s="453"/>
      <c r="I1014" s="449"/>
      <c r="N1014" s="449"/>
    </row>
    <row r="1015" spans="2:14" s="448" customFormat="1">
      <c r="B1015" s="452"/>
      <c r="C1015" s="449"/>
      <c r="D1015" s="449"/>
      <c r="E1015" s="451"/>
      <c r="F1015" s="453"/>
      <c r="G1015" s="453"/>
      <c r="I1015" s="449"/>
      <c r="N1015" s="449"/>
    </row>
    <row r="1016" spans="2:14" s="448" customFormat="1">
      <c r="B1016" s="452"/>
      <c r="C1016" s="449"/>
      <c r="D1016" s="449"/>
      <c r="E1016" s="451"/>
      <c r="F1016" s="453"/>
      <c r="G1016" s="453"/>
      <c r="I1016" s="449"/>
      <c r="N1016" s="449"/>
    </row>
    <row r="1017" spans="2:14" s="448" customFormat="1">
      <c r="B1017" s="452"/>
      <c r="C1017" s="449"/>
      <c r="D1017" s="449"/>
      <c r="E1017" s="451"/>
      <c r="F1017" s="453"/>
      <c r="G1017" s="453"/>
      <c r="I1017" s="449"/>
      <c r="N1017" s="449"/>
    </row>
    <row r="1018" spans="2:14" s="448" customFormat="1">
      <c r="B1018" s="452"/>
      <c r="C1018" s="449"/>
      <c r="D1018" s="449"/>
      <c r="E1018" s="451"/>
      <c r="F1018" s="453"/>
      <c r="G1018" s="453"/>
      <c r="I1018" s="449"/>
      <c r="N1018" s="449"/>
    </row>
    <row r="1019" spans="2:14" s="448" customFormat="1">
      <c r="B1019" s="452"/>
      <c r="C1019" s="449"/>
      <c r="D1019" s="449"/>
      <c r="E1019" s="451"/>
      <c r="F1019" s="453"/>
      <c r="G1019" s="453"/>
      <c r="I1019" s="449"/>
      <c r="N1019" s="449"/>
    </row>
    <row r="1020" spans="2:14" s="448" customFormat="1">
      <c r="B1020" s="452"/>
      <c r="C1020" s="449"/>
      <c r="D1020" s="449"/>
      <c r="E1020" s="451"/>
      <c r="F1020" s="453"/>
      <c r="G1020" s="453"/>
      <c r="I1020" s="449"/>
      <c r="N1020" s="449"/>
    </row>
    <row r="1021" spans="2:14" s="448" customFormat="1">
      <c r="B1021" s="452"/>
      <c r="C1021" s="449"/>
      <c r="D1021" s="449"/>
      <c r="E1021" s="451"/>
      <c r="F1021" s="453"/>
      <c r="G1021" s="453"/>
      <c r="I1021" s="449"/>
      <c r="N1021" s="449"/>
    </row>
    <row r="1022" spans="2:14" s="448" customFormat="1">
      <c r="B1022" s="452"/>
      <c r="C1022" s="449"/>
      <c r="D1022" s="449"/>
      <c r="E1022" s="451"/>
      <c r="F1022" s="453"/>
      <c r="G1022" s="453"/>
      <c r="I1022" s="449"/>
      <c r="N1022" s="449"/>
    </row>
    <row r="1023" spans="2:14" s="448" customFormat="1">
      <c r="B1023" s="452"/>
      <c r="C1023" s="449"/>
      <c r="D1023" s="449"/>
      <c r="E1023" s="451"/>
      <c r="F1023" s="453"/>
      <c r="G1023" s="453"/>
      <c r="I1023" s="449"/>
      <c r="N1023" s="449"/>
    </row>
    <row r="1024" spans="2:14" s="448" customFormat="1">
      <c r="B1024" s="452"/>
      <c r="C1024" s="449"/>
      <c r="D1024" s="449"/>
      <c r="E1024" s="451"/>
      <c r="F1024" s="453"/>
      <c r="G1024" s="453"/>
      <c r="I1024" s="449"/>
      <c r="N1024" s="449"/>
    </row>
    <row r="1025" spans="2:14" s="448" customFormat="1">
      <c r="B1025" s="452"/>
      <c r="C1025" s="449"/>
      <c r="D1025" s="449"/>
      <c r="E1025" s="451"/>
      <c r="F1025" s="453"/>
      <c r="G1025" s="453"/>
      <c r="I1025" s="449"/>
      <c r="N1025" s="449"/>
    </row>
    <row r="1026" spans="2:14" s="448" customFormat="1">
      <c r="B1026" s="452"/>
      <c r="C1026" s="449"/>
      <c r="D1026" s="449"/>
      <c r="E1026" s="451"/>
      <c r="F1026" s="453"/>
      <c r="G1026" s="453"/>
      <c r="I1026" s="449"/>
      <c r="N1026" s="449"/>
    </row>
    <row r="1027" spans="2:14" s="448" customFormat="1">
      <c r="B1027" s="452"/>
      <c r="C1027" s="449"/>
      <c r="D1027" s="449"/>
      <c r="E1027" s="451"/>
      <c r="F1027" s="453"/>
      <c r="G1027" s="453"/>
      <c r="I1027" s="449"/>
      <c r="N1027" s="449"/>
    </row>
    <row r="1028" spans="2:14" s="448" customFormat="1">
      <c r="B1028" s="452"/>
      <c r="C1028" s="449"/>
      <c r="D1028" s="449"/>
      <c r="E1028" s="451"/>
      <c r="F1028" s="453"/>
      <c r="G1028" s="453"/>
      <c r="I1028" s="449"/>
      <c r="N1028" s="449"/>
    </row>
    <row r="1029" spans="2:14" s="448" customFormat="1">
      <c r="B1029" s="452"/>
      <c r="C1029" s="449"/>
      <c r="D1029" s="449"/>
      <c r="E1029" s="451"/>
      <c r="F1029" s="453"/>
      <c r="G1029" s="453"/>
      <c r="I1029" s="449"/>
      <c r="N1029" s="449"/>
    </row>
    <row r="1030" spans="2:14" s="448" customFormat="1">
      <c r="B1030" s="452"/>
      <c r="C1030" s="449"/>
      <c r="D1030" s="449"/>
      <c r="E1030" s="451"/>
      <c r="F1030" s="453"/>
      <c r="G1030" s="453"/>
      <c r="I1030" s="449"/>
      <c r="N1030" s="449"/>
    </row>
    <row r="1031" spans="2:14" s="448" customFormat="1">
      <c r="B1031" s="452"/>
      <c r="C1031" s="449"/>
      <c r="D1031" s="449"/>
      <c r="E1031" s="451"/>
      <c r="F1031" s="453"/>
      <c r="G1031" s="453"/>
      <c r="I1031" s="449"/>
      <c r="N1031" s="449"/>
    </row>
    <row r="1032" spans="2:14" s="448" customFormat="1">
      <c r="B1032" s="452"/>
      <c r="C1032" s="449"/>
      <c r="D1032" s="449"/>
      <c r="E1032" s="451"/>
      <c r="F1032" s="453"/>
      <c r="G1032" s="453"/>
      <c r="I1032" s="449"/>
      <c r="N1032" s="449"/>
    </row>
    <row r="1033" spans="2:14" s="448" customFormat="1">
      <c r="B1033" s="452"/>
      <c r="C1033" s="449"/>
      <c r="D1033" s="449"/>
      <c r="E1033" s="451"/>
      <c r="F1033" s="453"/>
      <c r="G1033" s="453"/>
      <c r="I1033" s="449"/>
      <c r="N1033" s="449"/>
    </row>
    <row r="1034" spans="2:14" s="448" customFormat="1">
      <c r="B1034" s="452"/>
      <c r="C1034" s="449"/>
      <c r="D1034" s="449"/>
      <c r="E1034" s="451"/>
      <c r="F1034" s="453"/>
      <c r="G1034" s="453"/>
      <c r="I1034" s="449"/>
      <c r="N1034" s="449"/>
    </row>
    <row r="1035" spans="2:14" s="448" customFormat="1">
      <c r="B1035" s="452"/>
      <c r="C1035" s="449"/>
      <c r="D1035" s="449"/>
      <c r="E1035" s="451"/>
      <c r="F1035" s="453"/>
      <c r="G1035" s="453"/>
      <c r="I1035" s="449"/>
      <c r="N1035" s="449"/>
    </row>
    <row r="1036" spans="2:14" s="448" customFormat="1">
      <c r="B1036" s="452"/>
      <c r="C1036" s="449"/>
      <c r="D1036" s="449"/>
      <c r="E1036" s="451"/>
      <c r="F1036" s="453"/>
      <c r="G1036" s="453"/>
      <c r="I1036" s="449"/>
      <c r="N1036" s="449"/>
    </row>
    <row r="1037" spans="2:14" s="448" customFormat="1">
      <c r="B1037" s="452"/>
      <c r="C1037" s="449"/>
      <c r="D1037" s="449"/>
      <c r="E1037" s="451"/>
      <c r="F1037" s="453"/>
      <c r="G1037" s="453"/>
      <c r="I1037" s="449"/>
      <c r="N1037" s="449"/>
    </row>
    <row r="1038" spans="2:14" s="448" customFormat="1">
      <c r="B1038" s="452"/>
      <c r="C1038" s="449"/>
      <c r="D1038" s="449"/>
      <c r="E1038" s="451"/>
      <c r="F1038" s="453"/>
      <c r="G1038" s="453"/>
      <c r="I1038" s="449"/>
      <c r="N1038" s="449"/>
    </row>
    <row r="1039" spans="2:14" s="448" customFormat="1">
      <c r="B1039" s="452"/>
      <c r="C1039" s="449"/>
      <c r="D1039" s="449"/>
      <c r="E1039" s="451"/>
      <c r="F1039" s="453"/>
      <c r="G1039" s="453"/>
      <c r="I1039" s="449"/>
      <c r="N1039" s="449"/>
    </row>
    <row r="1040" spans="2:14" s="448" customFormat="1">
      <c r="B1040" s="452"/>
      <c r="C1040" s="449"/>
      <c r="D1040" s="449"/>
      <c r="E1040" s="451"/>
      <c r="F1040" s="453"/>
      <c r="G1040" s="453"/>
      <c r="I1040" s="449"/>
      <c r="N1040" s="449"/>
    </row>
    <row r="1041" spans="2:14" s="448" customFormat="1">
      <c r="B1041" s="452"/>
      <c r="C1041" s="449"/>
      <c r="D1041" s="449"/>
      <c r="E1041" s="451"/>
      <c r="F1041" s="453"/>
      <c r="G1041" s="453"/>
      <c r="I1041" s="449"/>
      <c r="N1041" s="449"/>
    </row>
    <row r="1042" spans="2:14" s="448" customFormat="1">
      <c r="B1042" s="452"/>
      <c r="C1042" s="449"/>
      <c r="D1042" s="449"/>
      <c r="E1042" s="451"/>
      <c r="F1042" s="453"/>
      <c r="G1042" s="453"/>
      <c r="I1042" s="449"/>
      <c r="N1042" s="449"/>
    </row>
    <row r="1043" spans="2:14" s="448" customFormat="1">
      <c r="B1043" s="452"/>
      <c r="C1043" s="449"/>
      <c r="D1043" s="449"/>
      <c r="E1043" s="451"/>
      <c r="F1043" s="453"/>
      <c r="G1043" s="453"/>
      <c r="I1043" s="449"/>
      <c r="N1043" s="449"/>
    </row>
    <row r="1044" spans="2:14" s="448" customFormat="1">
      <c r="B1044" s="452"/>
      <c r="C1044" s="449"/>
      <c r="D1044" s="449"/>
      <c r="E1044" s="451"/>
      <c r="F1044" s="453"/>
      <c r="G1044" s="453"/>
      <c r="I1044" s="449"/>
      <c r="N1044" s="449"/>
    </row>
    <row r="1045" spans="2:14" s="448" customFormat="1">
      <c r="B1045" s="452"/>
      <c r="C1045" s="449"/>
      <c r="D1045" s="449"/>
      <c r="E1045" s="451"/>
      <c r="F1045" s="453"/>
      <c r="G1045" s="453"/>
      <c r="I1045" s="449"/>
      <c r="N1045" s="449"/>
    </row>
    <row r="1046" spans="2:14" s="448" customFormat="1">
      <c r="B1046" s="452"/>
      <c r="C1046" s="449"/>
      <c r="D1046" s="449"/>
      <c r="E1046" s="451"/>
      <c r="F1046" s="453"/>
      <c r="G1046" s="453"/>
      <c r="I1046" s="449"/>
      <c r="N1046" s="449"/>
    </row>
    <row r="1047" spans="2:14" s="448" customFormat="1">
      <c r="B1047" s="452"/>
      <c r="C1047" s="449"/>
      <c r="D1047" s="449"/>
      <c r="E1047" s="451"/>
      <c r="F1047" s="453"/>
      <c r="G1047" s="453"/>
      <c r="I1047" s="449"/>
      <c r="N1047" s="449"/>
    </row>
    <row r="1048" spans="2:14" s="448" customFormat="1">
      <c r="B1048" s="452"/>
      <c r="C1048" s="449"/>
      <c r="D1048" s="449"/>
      <c r="E1048" s="451"/>
      <c r="F1048" s="453"/>
      <c r="G1048" s="453"/>
      <c r="I1048" s="449"/>
      <c r="N1048" s="449"/>
    </row>
    <row r="1049" spans="2:14" s="448" customFormat="1">
      <c r="B1049" s="452"/>
      <c r="C1049" s="449"/>
      <c r="D1049" s="449"/>
      <c r="E1049" s="451"/>
      <c r="F1049" s="453"/>
      <c r="G1049" s="453"/>
      <c r="I1049" s="449"/>
      <c r="N1049" s="449"/>
    </row>
    <row r="1050" spans="2:14" s="448" customFormat="1">
      <c r="B1050" s="452"/>
      <c r="C1050" s="449"/>
      <c r="D1050" s="449"/>
      <c r="E1050" s="451"/>
      <c r="F1050" s="453"/>
      <c r="G1050" s="453"/>
      <c r="I1050" s="449"/>
      <c r="N1050" s="449"/>
    </row>
    <row r="1051" spans="2:14" s="448" customFormat="1">
      <c r="B1051" s="452"/>
      <c r="C1051" s="449"/>
      <c r="D1051" s="449"/>
      <c r="E1051" s="451"/>
      <c r="F1051" s="453"/>
      <c r="G1051" s="453"/>
      <c r="I1051" s="449"/>
      <c r="N1051" s="449"/>
    </row>
    <row r="1052" spans="2:14" s="448" customFormat="1">
      <c r="B1052" s="452"/>
      <c r="C1052" s="449"/>
      <c r="D1052" s="449"/>
      <c r="E1052" s="451"/>
      <c r="F1052" s="453"/>
      <c r="G1052" s="453"/>
      <c r="I1052" s="449"/>
      <c r="N1052" s="449"/>
    </row>
    <row r="1053" spans="2:14" s="448" customFormat="1">
      <c r="B1053" s="452"/>
      <c r="C1053" s="449"/>
      <c r="D1053" s="449"/>
      <c r="E1053" s="451"/>
      <c r="F1053" s="453"/>
      <c r="G1053" s="453"/>
      <c r="I1053" s="449"/>
      <c r="N1053" s="449"/>
    </row>
    <row r="1054" spans="2:14" s="448" customFormat="1">
      <c r="B1054" s="452"/>
      <c r="C1054" s="449"/>
      <c r="D1054" s="449"/>
      <c r="E1054" s="451"/>
      <c r="F1054" s="453"/>
      <c r="G1054" s="453"/>
      <c r="I1054" s="449"/>
      <c r="N1054" s="449"/>
    </row>
    <row r="1055" spans="2:14" s="448" customFormat="1">
      <c r="B1055" s="452"/>
      <c r="C1055" s="449"/>
      <c r="D1055" s="449"/>
      <c r="E1055" s="451"/>
      <c r="F1055" s="453"/>
      <c r="G1055" s="453"/>
      <c r="I1055" s="449"/>
      <c r="N1055" s="449"/>
    </row>
    <row r="1056" spans="2:14" s="448" customFormat="1">
      <c r="B1056" s="452"/>
      <c r="C1056" s="449"/>
      <c r="D1056" s="449"/>
      <c r="E1056" s="451"/>
      <c r="F1056" s="453"/>
      <c r="G1056" s="453"/>
      <c r="I1056" s="449"/>
      <c r="N1056" s="449"/>
    </row>
    <row r="1057" spans="2:14" s="448" customFormat="1">
      <c r="B1057" s="452"/>
      <c r="C1057" s="449"/>
      <c r="D1057" s="449"/>
      <c r="E1057" s="451"/>
      <c r="F1057" s="453"/>
      <c r="G1057" s="453"/>
      <c r="I1057" s="449"/>
      <c r="N1057" s="449"/>
    </row>
    <row r="1058" spans="2:14" s="448" customFormat="1">
      <c r="B1058" s="452"/>
      <c r="C1058" s="449"/>
      <c r="D1058" s="449"/>
      <c r="E1058" s="451"/>
      <c r="F1058" s="453"/>
      <c r="G1058" s="453"/>
      <c r="I1058" s="449"/>
      <c r="N1058" s="449"/>
    </row>
    <row r="1059" spans="2:14" s="448" customFormat="1">
      <c r="B1059" s="452"/>
      <c r="C1059" s="449"/>
      <c r="D1059" s="449"/>
      <c r="E1059" s="451"/>
      <c r="F1059" s="453"/>
      <c r="G1059" s="453"/>
      <c r="I1059" s="449"/>
      <c r="N1059" s="449"/>
    </row>
    <row r="1060" spans="2:14" s="448" customFormat="1">
      <c r="B1060" s="452"/>
      <c r="C1060" s="449"/>
      <c r="D1060" s="449"/>
      <c r="E1060" s="451"/>
      <c r="F1060" s="453"/>
      <c r="G1060" s="453"/>
      <c r="I1060" s="449"/>
      <c r="N1060" s="449"/>
    </row>
    <row r="1061" spans="2:14" s="448" customFormat="1">
      <c r="B1061" s="452"/>
      <c r="C1061" s="449"/>
      <c r="D1061" s="449"/>
      <c r="E1061" s="451"/>
      <c r="F1061" s="453"/>
      <c r="G1061" s="453"/>
      <c r="I1061" s="449"/>
      <c r="N1061" s="449"/>
    </row>
    <row r="1062" spans="2:14" s="448" customFormat="1">
      <c r="B1062" s="452"/>
      <c r="C1062" s="449"/>
      <c r="D1062" s="449"/>
      <c r="E1062" s="451"/>
      <c r="F1062" s="453"/>
      <c r="G1062" s="453"/>
      <c r="I1062" s="449"/>
      <c r="N1062" s="449"/>
    </row>
    <row r="1063" spans="2:14" s="448" customFormat="1">
      <c r="B1063" s="452"/>
      <c r="C1063" s="449"/>
      <c r="D1063" s="449"/>
      <c r="E1063" s="451"/>
      <c r="F1063" s="453"/>
      <c r="G1063" s="453"/>
      <c r="I1063" s="449"/>
      <c r="N1063" s="449"/>
    </row>
    <row r="1064" spans="2:14" s="448" customFormat="1">
      <c r="B1064" s="452"/>
      <c r="C1064" s="449"/>
      <c r="D1064" s="449"/>
      <c r="E1064" s="451"/>
      <c r="F1064" s="453"/>
      <c r="G1064" s="453"/>
      <c r="I1064" s="449"/>
      <c r="N1064" s="449"/>
    </row>
    <row r="1065" spans="2:14" s="448" customFormat="1">
      <c r="B1065" s="452"/>
      <c r="C1065" s="449"/>
      <c r="D1065" s="449"/>
      <c r="E1065" s="451"/>
      <c r="F1065" s="453"/>
      <c r="G1065" s="453"/>
      <c r="I1065" s="449"/>
      <c r="N1065" s="449"/>
    </row>
    <row r="1066" spans="2:14" s="448" customFormat="1">
      <c r="B1066" s="452"/>
      <c r="C1066" s="449"/>
      <c r="D1066" s="449"/>
      <c r="E1066" s="451"/>
      <c r="F1066" s="453"/>
      <c r="G1066" s="453"/>
      <c r="I1066" s="449"/>
      <c r="N1066" s="449"/>
    </row>
    <row r="1067" spans="2:14" s="448" customFormat="1">
      <c r="B1067" s="452"/>
      <c r="C1067" s="449"/>
      <c r="D1067" s="449"/>
      <c r="E1067" s="451"/>
      <c r="F1067" s="453"/>
      <c r="G1067" s="453"/>
      <c r="I1067" s="449"/>
      <c r="N1067" s="449"/>
    </row>
    <row r="1068" spans="2:14" s="448" customFormat="1">
      <c r="B1068" s="452"/>
      <c r="C1068" s="449"/>
      <c r="D1068" s="449"/>
      <c r="E1068" s="451"/>
      <c r="F1068" s="453"/>
      <c r="G1068" s="453"/>
      <c r="I1068" s="449"/>
      <c r="N1068" s="449"/>
    </row>
    <row r="1069" spans="2:14" s="448" customFormat="1">
      <c r="B1069" s="452"/>
      <c r="C1069" s="449"/>
      <c r="D1069" s="449"/>
      <c r="E1069" s="451"/>
      <c r="F1069" s="453"/>
      <c r="G1069" s="453"/>
      <c r="I1069" s="449"/>
      <c r="N1069" s="449"/>
    </row>
    <row r="1070" spans="2:14" s="448" customFormat="1">
      <c r="B1070" s="452"/>
      <c r="C1070" s="449"/>
      <c r="D1070" s="449"/>
      <c r="E1070" s="451"/>
      <c r="F1070" s="453"/>
      <c r="G1070" s="453"/>
      <c r="I1070" s="449"/>
      <c r="N1070" s="449"/>
    </row>
    <row r="1071" spans="2:14" s="448" customFormat="1">
      <c r="B1071" s="452"/>
      <c r="C1071" s="449"/>
      <c r="D1071" s="449"/>
      <c r="E1071" s="451"/>
      <c r="F1071" s="453"/>
      <c r="G1071" s="453"/>
      <c r="I1071" s="449"/>
      <c r="N1071" s="449"/>
    </row>
    <row r="1072" spans="2:14" s="448" customFormat="1">
      <c r="B1072" s="452"/>
      <c r="C1072" s="449"/>
      <c r="D1072" s="449"/>
      <c r="E1072" s="451"/>
      <c r="F1072" s="453"/>
      <c r="G1072" s="453"/>
      <c r="I1072" s="449"/>
      <c r="N1072" s="449"/>
    </row>
    <row r="1073" spans="2:14" s="448" customFormat="1">
      <c r="B1073" s="452"/>
      <c r="C1073" s="449"/>
      <c r="D1073" s="449"/>
      <c r="E1073" s="451"/>
      <c r="F1073" s="453"/>
      <c r="G1073" s="453"/>
      <c r="I1073" s="449"/>
      <c r="N1073" s="449"/>
    </row>
    <row r="1074" spans="2:14" s="448" customFormat="1">
      <c r="B1074" s="452"/>
      <c r="C1074" s="449"/>
      <c r="D1074" s="449"/>
      <c r="E1074" s="451"/>
      <c r="F1074" s="453"/>
      <c r="G1074" s="453"/>
      <c r="I1074" s="449"/>
      <c r="N1074" s="449"/>
    </row>
    <row r="1075" spans="2:14" s="448" customFormat="1">
      <c r="B1075" s="452"/>
      <c r="C1075" s="449"/>
      <c r="D1075" s="449"/>
      <c r="E1075" s="451"/>
      <c r="F1075" s="453"/>
      <c r="G1075" s="453"/>
      <c r="I1075" s="449"/>
      <c r="N1075" s="449"/>
    </row>
    <row r="1076" spans="2:14" s="448" customFormat="1">
      <c r="B1076" s="452"/>
      <c r="C1076" s="449"/>
      <c r="D1076" s="449"/>
      <c r="E1076" s="451"/>
      <c r="F1076" s="453"/>
      <c r="G1076" s="453"/>
      <c r="I1076" s="449"/>
      <c r="N1076" s="449"/>
    </row>
    <row r="1077" spans="2:14" s="448" customFormat="1">
      <c r="B1077" s="452"/>
      <c r="C1077" s="449"/>
      <c r="D1077" s="449"/>
      <c r="E1077" s="451"/>
      <c r="F1077" s="453"/>
      <c r="G1077" s="453"/>
      <c r="I1077" s="449"/>
      <c r="N1077" s="449"/>
    </row>
    <row r="1078" spans="2:14" s="448" customFormat="1">
      <c r="B1078" s="452"/>
      <c r="C1078" s="449"/>
      <c r="D1078" s="449"/>
      <c r="E1078" s="451"/>
      <c r="F1078" s="453"/>
      <c r="G1078" s="453"/>
      <c r="I1078" s="449"/>
      <c r="N1078" s="449"/>
    </row>
    <row r="1079" spans="2:14" s="448" customFormat="1">
      <c r="B1079" s="452"/>
      <c r="C1079" s="449"/>
      <c r="D1079" s="449"/>
      <c r="E1079" s="451"/>
      <c r="F1079" s="453"/>
      <c r="G1079" s="453"/>
      <c r="I1079" s="449"/>
      <c r="N1079" s="449"/>
    </row>
    <row r="1080" spans="2:14" s="448" customFormat="1">
      <c r="B1080" s="452"/>
      <c r="C1080" s="449"/>
      <c r="D1080" s="449"/>
      <c r="E1080" s="451"/>
      <c r="F1080" s="453"/>
      <c r="G1080" s="453"/>
      <c r="I1080" s="449"/>
      <c r="N1080" s="449"/>
    </row>
    <row r="1081" spans="2:14" s="448" customFormat="1">
      <c r="B1081" s="452"/>
      <c r="C1081" s="449"/>
      <c r="D1081" s="449"/>
      <c r="E1081" s="451"/>
      <c r="F1081" s="453"/>
      <c r="G1081" s="453"/>
      <c r="I1081" s="449"/>
      <c r="N1081" s="449"/>
    </row>
    <row r="1082" spans="2:14" s="448" customFormat="1">
      <c r="B1082" s="452"/>
      <c r="C1082" s="449"/>
      <c r="D1082" s="449"/>
      <c r="E1082" s="451"/>
      <c r="F1082" s="453"/>
      <c r="G1082" s="453"/>
      <c r="I1082" s="449"/>
      <c r="N1082" s="449"/>
    </row>
    <row r="1083" spans="2:14" s="448" customFormat="1">
      <c r="B1083" s="452"/>
      <c r="C1083" s="449"/>
      <c r="D1083" s="449"/>
      <c r="E1083" s="451"/>
      <c r="F1083" s="453"/>
      <c r="G1083" s="453"/>
      <c r="I1083" s="449"/>
      <c r="N1083" s="449"/>
    </row>
    <row r="1084" spans="2:14" s="448" customFormat="1">
      <c r="B1084" s="452"/>
      <c r="C1084" s="449"/>
      <c r="D1084" s="449"/>
      <c r="E1084" s="451"/>
      <c r="F1084" s="453"/>
      <c r="G1084" s="453"/>
      <c r="I1084" s="449"/>
      <c r="N1084" s="449"/>
    </row>
    <row r="1085" spans="2:14" s="448" customFormat="1">
      <c r="B1085" s="452"/>
      <c r="C1085" s="449"/>
      <c r="D1085" s="449"/>
      <c r="E1085" s="451"/>
      <c r="F1085" s="453"/>
      <c r="G1085" s="453"/>
      <c r="I1085" s="449"/>
      <c r="N1085" s="449"/>
    </row>
    <row r="1086" spans="2:14" s="448" customFormat="1">
      <c r="B1086" s="452"/>
      <c r="C1086" s="449"/>
      <c r="D1086" s="449"/>
      <c r="E1086" s="451"/>
      <c r="F1086" s="453"/>
      <c r="G1086" s="453"/>
      <c r="I1086" s="449"/>
      <c r="N1086" s="449"/>
    </row>
    <row r="1087" spans="2:14" s="448" customFormat="1">
      <c r="B1087" s="452"/>
      <c r="C1087" s="449"/>
      <c r="D1087" s="449"/>
      <c r="E1087" s="451"/>
      <c r="F1087" s="453"/>
      <c r="G1087" s="453"/>
      <c r="I1087" s="449"/>
      <c r="N1087" s="449"/>
    </row>
    <row r="1088" spans="2:14" s="448" customFormat="1">
      <c r="B1088" s="452"/>
      <c r="C1088" s="449"/>
      <c r="D1088" s="449"/>
      <c r="E1088" s="451"/>
      <c r="F1088" s="453"/>
      <c r="G1088" s="453"/>
      <c r="I1088" s="449"/>
      <c r="N1088" s="449"/>
    </row>
    <row r="1089" spans="2:14" s="448" customFormat="1">
      <c r="B1089" s="452"/>
      <c r="C1089" s="449"/>
      <c r="D1089" s="449"/>
      <c r="E1089" s="451"/>
      <c r="F1089" s="453"/>
      <c r="G1089" s="453"/>
      <c r="I1089" s="449"/>
      <c r="N1089" s="449"/>
    </row>
    <row r="1090" spans="2:14" s="448" customFormat="1">
      <c r="B1090" s="452"/>
      <c r="C1090" s="449"/>
      <c r="D1090" s="449"/>
      <c r="E1090" s="451"/>
      <c r="F1090" s="453"/>
      <c r="G1090" s="453"/>
      <c r="I1090" s="449"/>
      <c r="N1090" s="449"/>
    </row>
    <row r="1091" spans="2:14" s="448" customFormat="1">
      <c r="B1091" s="452"/>
      <c r="C1091" s="449"/>
      <c r="D1091" s="449"/>
      <c r="E1091" s="451"/>
      <c r="F1091" s="453"/>
      <c r="G1091" s="453"/>
      <c r="I1091" s="449"/>
      <c r="N1091" s="449"/>
    </row>
    <row r="1092" spans="2:14" s="448" customFormat="1">
      <c r="B1092" s="452"/>
      <c r="C1092" s="449"/>
      <c r="D1092" s="449"/>
      <c r="E1092" s="451"/>
      <c r="F1092" s="453"/>
      <c r="G1092" s="453"/>
      <c r="I1092" s="449"/>
      <c r="N1092" s="449"/>
    </row>
    <row r="1093" spans="2:14" s="448" customFormat="1">
      <c r="B1093" s="452"/>
      <c r="C1093" s="449"/>
      <c r="D1093" s="449"/>
      <c r="E1093" s="451"/>
      <c r="F1093" s="453"/>
      <c r="G1093" s="453"/>
      <c r="I1093" s="449"/>
      <c r="N1093" s="449"/>
    </row>
    <row r="1094" spans="2:14" s="448" customFormat="1">
      <c r="B1094" s="452"/>
      <c r="C1094" s="449"/>
      <c r="D1094" s="449"/>
      <c r="E1094" s="451"/>
      <c r="F1094" s="453"/>
      <c r="G1094" s="453"/>
      <c r="I1094" s="449"/>
      <c r="N1094" s="449"/>
    </row>
    <row r="1095" spans="2:14" s="448" customFormat="1">
      <c r="B1095" s="452"/>
      <c r="C1095" s="449"/>
      <c r="D1095" s="449"/>
      <c r="E1095" s="451"/>
      <c r="F1095" s="453"/>
      <c r="G1095" s="453"/>
      <c r="I1095" s="449"/>
      <c r="N1095" s="449"/>
    </row>
    <row r="1096" spans="2:14" s="448" customFormat="1">
      <c r="B1096" s="452"/>
      <c r="C1096" s="449"/>
      <c r="D1096" s="449"/>
      <c r="E1096" s="451"/>
      <c r="F1096" s="453"/>
      <c r="G1096" s="453"/>
      <c r="I1096" s="449"/>
      <c r="N1096" s="449"/>
    </row>
    <row r="1097" spans="2:14" s="448" customFormat="1">
      <c r="B1097" s="452"/>
      <c r="C1097" s="449"/>
      <c r="D1097" s="449"/>
      <c r="E1097" s="451"/>
      <c r="F1097" s="453"/>
      <c r="G1097" s="453"/>
      <c r="I1097" s="449"/>
      <c r="N1097" s="449"/>
    </row>
    <row r="1098" spans="2:14" s="448" customFormat="1">
      <c r="B1098" s="452"/>
      <c r="C1098" s="449"/>
      <c r="D1098" s="449"/>
      <c r="E1098" s="451"/>
      <c r="F1098" s="453"/>
      <c r="G1098" s="453"/>
      <c r="I1098" s="449"/>
      <c r="N1098" s="449"/>
    </row>
    <row r="1099" spans="2:14" s="448" customFormat="1">
      <c r="B1099" s="452"/>
      <c r="C1099" s="449"/>
      <c r="D1099" s="449"/>
      <c r="E1099" s="451"/>
      <c r="F1099" s="453"/>
      <c r="G1099" s="453"/>
      <c r="I1099" s="449"/>
      <c r="N1099" s="449"/>
    </row>
    <row r="1100" spans="2:14" s="448" customFormat="1">
      <c r="B1100" s="452"/>
      <c r="C1100" s="449"/>
      <c r="D1100" s="449"/>
      <c r="E1100" s="451"/>
      <c r="F1100" s="453"/>
      <c r="G1100" s="453"/>
      <c r="I1100" s="449"/>
      <c r="N1100" s="449"/>
    </row>
    <row r="1101" spans="2:14" s="448" customFormat="1">
      <c r="B1101" s="452"/>
      <c r="C1101" s="449"/>
      <c r="D1101" s="449"/>
      <c r="E1101" s="451"/>
      <c r="F1101" s="453"/>
      <c r="G1101" s="453"/>
      <c r="I1101" s="449"/>
      <c r="N1101" s="449"/>
    </row>
    <row r="1102" spans="2:14" s="448" customFormat="1">
      <c r="B1102" s="452"/>
      <c r="C1102" s="449"/>
      <c r="D1102" s="449"/>
      <c r="E1102" s="451"/>
      <c r="F1102" s="453"/>
      <c r="G1102" s="453"/>
      <c r="I1102" s="449"/>
      <c r="N1102" s="449"/>
    </row>
    <row r="1103" spans="2:14" s="448" customFormat="1">
      <c r="B1103" s="452"/>
      <c r="C1103" s="449"/>
      <c r="D1103" s="449"/>
      <c r="E1103" s="451"/>
      <c r="F1103" s="453"/>
      <c r="G1103" s="453"/>
      <c r="I1103" s="449"/>
      <c r="N1103" s="449"/>
    </row>
    <row r="1104" spans="2:14" s="448" customFormat="1">
      <c r="B1104" s="452"/>
      <c r="C1104" s="449"/>
      <c r="D1104" s="449"/>
      <c r="E1104" s="451"/>
      <c r="F1104" s="453"/>
      <c r="G1104" s="453"/>
      <c r="I1104" s="449"/>
      <c r="N1104" s="449"/>
    </row>
    <row r="1105" spans="2:14" s="448" customFormat="1">
      <c r="B1105" s="452"/>
      <c r="C1105" s="449"/>
      <c r="D1105" s="449"/>
      <c r="E1105" s="451"/>
      <c r="F1105" s="453"/>
      <c r="G1105" s="453"/>
      <c r="I1105" s="449"/>
      <c r="N1105" s="449"/>
    </row>
    <row r="1106" spans="2:14" s="448" customFormat="1">
      <c r="B1106" s="452"/>
      <c r="C1106" s="449"/>
      <c r="D1106" s="449"/>
      <c r="E1106" s="451"/>
      <c r="F1106" s="453"/>
      <c r="G1106" s="453"/>
      <c r="I1106" s="449"/>
      <c r="N1106" s="449"/>
    </row>
    <row r="1107" spans="2:14" s="448" customFormat="1">
      <c r="B1107" s="452"/>
      <c r="C1107" s="449"/>
      <c r="D1107" s="449"/>
      <c r="E1107" s="451"/>
      <c r="F1107" s="453"/>
      <c r="G1107" s="453"/>
      <c r="I1107" s="449"/>
      <c r="N1107" s="449"/>
    </row>
    <row r="1108" spans="2:14" s="448" customFormat="1">
      <c r="B1108" s="452"/>
      <c r="C1108" s="449"/>
      <c r="D1108" s="449"/>
      <c r="E1108" s="451"/>
      <c r="F1108" s="453"/>
      <c r="G1108" s="453"/>
      <c r="I1108" s="449"/>
      <c r="N1108" s="449"/>
    </row>
    <row r="1109" spans="2:14" s="448" customFormat="1">
      <c r="B1109" s="452"/>
      <c r="C1109" s="449"/>
      <c r="D1109" s="449"/>
      <c r="E1109" s="451"/>
      <c r="F1109" s="453"/>
      <c r="G1109" s="453"/>
      <c r="I1109" s="449"/>
      <c r="N1109" s="449"/>
    </row>
    <row r="1110" spans="2:14" s="448" customFormat="1">
      <c r="B1110" s="452"/>
      <c r="C1110" s="449"/>
      <c r="D1110" s="449"/>
      <c r="E1110" s="451"/>
      <c r="F1110" s="453"/>
      <c r="G1110" s="453"/>
      <c r="I1110" s="449"/>
      <c r="N1110" s="449"/>
    </row>
    <row r="1111" spans="2:14" s="448" customFormat="1">
      <c r="B1111" s="452"/>
      <c r="C1111" s="449"/>
      <c r="D1111" s="449"/>
      <c r="E1111" s="451"/>
      <c r="F1111" s="453"/>
      <c r="G1111" s="453"/>
      <c r="I1111" s="449"/>
      <c r="N1111" s="449"/>
    </row>
    <row r="1112" spans="2:14" s="448" customFormat="1">
      <c r="B1112" s="452"/>
      <c r="C1112" s="449"/>
      <c r="D1112" s="449"/>
      <c r="E1112" s="451"/>
      <c r="F1112" s="453"/>
      <c r="G1112" s="453"/>
      <c r="I1112" s="449"/>
      <c r="N1112" s="449"/>
    </row>
    <row r="1113" spans="2:14" s="448" customFormat="1">
      <c r="B1113" s="452"/>
      <c r="C1113" s="449"/>
      <c r="D1113" s="449"/>
      <c r="E1113" s="451"/>
      <c r="F1113" s="453"/>
      <c r="G1113" s="453"/>
      <c r="I1113" s="449"/>
      <c r="N1113" s="449"/>
    </row>
    <row r="1114" spans="2:14" s="448" customFormat="1">
      <c r="B1114" s="452"/>
      <c r="C1114" s="449"/>
      <c r="D1114" s="449"/>
      <c r="E1114" s="451"/>
      <c r="F1114" s="453"/>
      <c r="G1114" s="453"/>
      <c r="I1114" s="449"/>
      <c r="N1114" s="449"/>
    </row>
    <row r="1115" spans="2:14" s="448" customFormat="1">
      <c r="B1115" s="452"/>
      <c r="C1115" s="449"/>
      <c r="D1115" s="449"/>
      <c r="E1115" s="451"/>
      <c r="F1115" s="453"/>
      <c r="G1115" s="453"/>
      <c r="I1115" s="449"/>
      <c r="N1115" s="449"/>
    </row>
    <row r="1116" spans="2:14" s="448" customFormat="1">
      <c r="B1116" s="452"/>
      <c r="C1116" s="449"/>
      <c r="D1116" s="449"/>
      <c r="E1116" s="451"/>
      <c r="F1116" s="453"/>
      <c r="G1116" s="453"/>
      <c r="I1116" s="449"/>
      <c r="N1116" s="449"/>
    </row>
    <row r="1117" spans="2:14" s="448" customFormat="1">
      <c r="B1117" s="452"/>
      <c r="C1117" s="449"/>
      <c r="D1117" s="449"/>
      <c r="E1117" s="451"/>
      <c r="F1117" s="453"/>
      <c r="G1117" s="453"/>
      <c r="I1117" s="449"/>
      <c r="N1117" s="449"/>
    </row>
    <row r="1118" spans="2:14" s="448" customFormat="1">
      <c r="B1118" s="452"/>
      <c r="C1118" s="449"/>
      <c r="D1118" s="449"/>
      <c r="E1118" s="451"/>
      <c r="F1118" s="453"/>
      <c r="G1118" s="453"/>
      <c r="I1118" s="449"/>
      <c r="N1118" s="449"/>
    </row>
    <row r="1119" spans="2:14" s="448" customFormat="1">
      <c r="B1119" s="452"/>
      <c r="C1119" s="449"/>
      <c r="D1119" s="449"/>
      <c r="E1119" s="451"/>
      <c r="F1119" s="453"/>
      <c r="G1119" s="453"/>
      <c r="I1119" s="449"/>
      <c r="N1119" s="449"/>
    </row>
    <row r="1120" spans="2:14" s="448" customFormat="1">
      <c r="B1120" s="452"/>
      <c r="C1120" s="449"/>
      <c r="D1120" s="449"/>
      <c r="E1120" s="451"/>
      <c r="F1120" s="453"/>
      <c r="G1120" s="453"/>
      <c r="I1120" s="449"/>
      <c r="N1120" s="449"/>
    </row>
    <row r="1121" spans="2:14" s="448" customFormat="1">
      <c r="B1121" s="452"/>
      <c r="C1121" s="449"/>
      <c r="D1121" s="449"/>
      <c r="E1121" s="451"/>
      <c r="F1121" s="453"/>
      <c r="G1121" s="453"/>
      <c r="I1121" s="449"/>
      <c r="N1121" s="449"/>
    </row>
    <row r="1122" spans="2:14" s="448" customFormat="1">
      <c r="B1122" s="452"/>
      <c r="C1122" s="449"/>
      <c r="D1122" s="449"/>
      <c r="E1122" s="451"/>
      <c r="F1122" s="453"/>
      <c r="G1122" s="453"/>
      <c r="I1122" s="449"/>
      <c r="N1122" s="449"/>
    </row>
    <row r="1123" spans="2:14" s="448" customFormat="1">
      <c r="B1123" s="452"/>
      <c r="C1123" s="449"/>
      <c r="D1123" s="449"/>
      <c r="E1123" s="451"/>
      <c r="F1123" s="453"/>
      <c r="G1123" s="453"/>
      <c r="I1123" s="449"/>
      <c r="N1123" s="449"/>
    </row>
    <row r="1124" spans="2:14" s="448" customFormat="1">
      <c r="B1124" s="452"/>
      <c r="C1124" s="449"/>
      <c r="D1124" s="449"/>
      <c r="E1124" s="451"/>
      <c r="F1124" s="453"/>
      <c r="G1124" s="453"/>
      <c r="I1124" s="449"/>
      <c r="N1124" s="449"/>
    </row>
    <row r="1125" spans="2:14" s="448" customFormat="1">
      <c r="B1125" s="452"/>
      <c r="C1125" s="449"/>
      <c r="D1125" s="449"/>
      <c r="E1125" s="451"/>
      <c r="F1125" s="453"/>
      <c r="G1125" s="453"/>
      <c r="I1125" s="449"/>
      <c r="N1125" s="449"/>
    </row>
    <row r="1126" spans="2:14" s="448" customFormat="1">
      <c r="B1126" s="452"/>
      <c r="C1126" s="449"/>
      <c r="D1126" s="449"/>
      <c r="E1126" s="451"/>
      <c r="F1126" s="453"/>
      <c r="G1126" s="453"/>
      <c r="I1126" s="449"/>
      <c r="N1126" s="449"/>
    </row>
    <row r="1127" spans="2:14" s="448" customFormat="1">
      <c r="B1127" s="452"/>
      <c r="C1127" s="449"/>
      <c r="D1127" s="449"/>
      <c r="E1127" s="451"/>
      <c r="F1127" s="450"/>
      <c r="G1127" s="450"/>
      <c r="I1127" s="449"/>
      <c r="N1127" s="449"/>
    </row>
    <row r="1128" spans="2:14" s="448" customFormat="1">
      <c r="B1128" s="452"/>
      <c r="C1128" s="449"/>
      <c r="D1128" s="449"/>
      <c r="E1128" s="451"/>
      <c r="F1128" s="450"/>
      <c r="G1128" s="450"/>
      <c r="I1128" s="449"/>
      <c r="N1128" s="449"/>
    </row>
    <row r="1129" spans="2:14" s="448" customFormat="1">
      <c r="B1129" s="452"/>
      <c r="C1129" s="449"/>
      <c r="D1129" s="449"/>
      <c r="E1129" s="451"/>
      <c r="F1129" s="450"/>
      <c r="G1129" s="450"/>
      <c r="I1129" s="449"/>
      <c r="N1129" s="449"/>
    </row>
    <row r="1130" spans="2:14" s="448" customFormat="1">
      <c r="B1130" s="452"/>
      <c r="C1130" s="449"/>
      <c r="D1130" s="449"/>
      <c r="E1130" s="451"/>
      <c r="F1130" s="450"/>
      <c r="G1130" s="450"/>
      <c r="I1130" s="449"/>
      <c r="N1130" s="449"/>
    </row>
    <row r="1131" spans="2:14" s="448" customFormat="1">
      <c r="B1131" s="452"/>
      <c r="C1131" s="449"/>
      <c r="D1131" s="449"/>
      <c r="E1131" s="451"/>
      <c r="F1131" s="450"/>
      <c r="G1131" s="450"/>
      <c r="I1131" s="449"/>
      <c r="N1131" s="449"/>
    </row>
    <row r="1132" spans="2:14" s="448" customFormat="1">
      <c r="B1132" s="452"/>
      <c r="C1132" s="449"/>
      <c r="D1132" s="449"/>
      <c r="E1132" s="451"/>
      <c r="F1132" s="450"/>
      <c r="G1132" s="450"/>
      <c r="I1132" s="449"/>
      <c r="N1132" s="449"/>
    </row>
    <row r="1133" spans="2:14" s="448" customFormat="1">
      <c r="B1133" s="452"/>
      <c r="C1133" s="449"/>
      <c r="D1133" s="449"/>
      <c r="E1133" s="451"/>
      <c r="F1133" s="450"/>
      <c r="G1133" s="450"/>
      <c r="I1133" s="449"/>
      <c r="N1133" s="449"/>
    </row>
    <row r="1134" spans="2:14" s="448" customFormat="1">
      <c r="B1134" s="452"/>
      <c r="C1134" s="449"/>
      <c r="D1134" s="449"/>
      <c r="E1134" s="451"/>
      <c r="F1134" s="450"/>
      <c r="G1134" s="450"/>
      <c r="I1134" s="449"/>
      <c r="N1134" s="449"/>
    </row>
    <row r="1135" spans="2:14" s="448" customFormat="1">
      <c r="B1135" s="452"/>
      <c r="C1135" s="449"/>
      <c r="D1135" s="449"/>
      <c r="E1135" s="451"/>
      <c r="F1135" s="450"/>
      <c r="G1135" s="450"/>
      <c r="I1135" s="449"/>
      <c r="N1135" s="449"/>
    </row>
    <row r="1136" spans="2:14" s="448" customFormat="1">
      <c r="B1136" s="452"/>
      <c r="C1136" s="449"/>
      <c r="D1136" s="449"/>
      <c r="E1136" s="451"/>
      <c r="F1136" s="450"/>
      <c r="G1136" s="450"/>
      <c r="I1136" s="449"/>
      <c r="N1136" s="449"/>
    </row>
    <row r="1137" spans="2:14" s="448" customFormat="1">
      <c r="B1137" s="452"/>
      <c r="C1137" s="449"/>
      <c r="D1137" s="449"/>
      <c r="E1137" s="451"/>
      <c r="F1137" s="450"/>
      <c r="G1137" s="450"/>
      <c r="I1137" s="449"/>
      <c r="N1137" s="449"/>
    </row>
    <row r="1138" spans="2:14" s="448" customFormat="1">
      <c r="B1138" s="452"/>
      <c r="C1138" s="449"/>
      <c r="D1138" s="449"/>
      <c r="E1138" s="451"/>
      <c r="F1138" s="450"/>
      <c r="G1138" s="450"/>
      <c r="I1138" s="449"/>
      <c r="N1138" s="449"/>
    </row>
    <row r="1139" spans="2:14" s="448" customFormat="1">
      <c r="B1139" s="452"/>
      <c r="C1139" s="449"/>
      <c r="D1139" s="449"/>
      <c r="E1139" s="451"/>
      <c r="F1139" s="450"/>
      <c r="G1139" s="450"/>
      <c r="I1139" s="449"/>
      <c r="N1139" s="449"/>
    </row>
    <row r="1140" spans="2:14" s="448" customFormat="1">
      <c r="B1140" s="452"/>
      <c r="C1140" s="449"/>
      <c r="D1140" s="449"/>
      <c r="E1140" s="451"/>
      <c r="F1140" s="450"/>
      <c r="G1140" s="450"/>
      <c r="I1140" s="449"/>
      <c r="N1140" s="449"/>
    </row>
    <row r="1141" spans="2:14" s="448" customFormat="1">
      <c r="B1141" s="452"/>
      <c r="C1141" s="449"/>
      <c r="D1141" s="449"/>
      <c r="E1141" s="451"/>
      <c r="F1141" s="450"/>
      <c r="G1141" s="450"/>
      <c r="I1141" s="449"/>
      <c r="N1141" s="449"/>
    </row>
    <row r="1142" spans="2:14" s="448" customFormat="1">
      <c r="B1142" s="452"/>
      <c r="C1142" s="449"/>
      <c r="D1142" s="449"/>
      <c r="E1142" s="451"/>
      <c r="F1142" s="450"/>
      <c r="G1142" s="450"/>
      <c r="I1142" s="449"/>
      <c r="N1142" s="449"/>
    </row>
    <row r="1143" spans="2:14" s="448" customFormat="1">
      <c r="B1143" s="452"/>
      <c r="C1143" s="449"/>
      <c r="D1143" s="449"/>
      <c r="E1143" s="451"/>
      <c r="F1143" s="450"/>
      <c r="G1143" s="450"/>
      <c r="I1143" s="449"/>
      <c r="N1143" s="449"/>
    </row>
    <row r="1144" spans="2:14" s="448" customFormat="1">
      <c r="B1144" s="452"/>
      <c r="C1144" s="449"/>
      <c r="D1144" s="449"/>
      <c r="E1144" s="451"/>
      <c r="F1144" s="450"/>
      <c r="G1144" s="450"/>
      <c r="I1144" s="449"/>
      <c r="N1144" s="449"/>
    </row>
    <row r="1145" spans="2:14" s="448" customFormat="1">
      <c r="B1145" s="452"/>
      <c r="C1145" s="449"/>
      <c r="D1145" s="449"/>
      <c r="E1145" s="451"/>
      <c r="F1145" s="450"/>
      <c r="G1145" s="450"/>
      <c r="I1145" s="449"/>
      <c r="N1145" s="449"/>
    </row>
    <row r="1146" spans="2:14" s="448" customFormat="1">
      <c r="B1146" s="452"/>
      <c r="C1146" s="449"/>
      <c r="D1146" s="449"/>
      <c r="E1146" s="451"/>
      <c r="F1146" s="450"/>
      <c r="G1146" s="450"/>
      <c r="I1146" s="449"/>
      <c r="N1146" s="449"/>
    </row>
    <row r="1147" spans="2:14" s="448" customFormat="1">
      <c r="B1147" s="452"/>
      <c r="C1147" s="449"/>
      <c r="D1147" s="449"/>
      <c r="E1147" s="451"/>
      <c r="F1147" s="450"/>
      <c r="G1147" s="450"/>
      <c r="I1147" s="449"/>
      <c r="N1147" s="449"/>
    </row>
    <row r="1148" spans="2:14" s="448" customFormat="1">
      <c r="B1148" s="452"/>
      <c r="C1148" s="449"/>
      <c r="D1148" s="449"/>
      <c r="E1148" s="451"/>
      <c r="F1148" s="450"/>
      <c r="G1148" s="450"/>
      <c r="I1148" s="449"/>
      <c r="N1148" s="449"/>
    </row>
    <row r="1149" spans="2:14" s="448" customFormat="1">
      <c r="B1149" s="452"/>
      <c r="C1149" s="449"/>
      <c r="D1149" s="449"/>
      <c r="E1149" s="451"/>
      <c r="F1149" s="450"/>
      <c r="G1149" s="450"/>
      <c r="I1149" s="449"/>
      <c r="N1149" s="449"/>
    </row>
    <row r="1150" spans="2:14" s="448" customFormat="1">
      <c r="B1150" s="452"/>
      <c r="C1150" s="449"/>
      <c r="D1150" s="449"/>
      <c r="E1150" s="451"/>
      <c r="F1150" s="450"/>
      <c r="G1150" s="450"/>
      <c r="I1150" s="449"/>
      <c r="N1150" s="449"/>
    </row>
    <row r="1151" spans="2:14" s="448" customFormat="1">
      <c r="B1151" s="452"/>
      <c r="C1151" s="449"/>
      <c r="D1151" s="449"/>
      <c r="E1151" s="451"/>
      <c r="F1151" s="450"/>
      <c r="G1151" s="450"/>
      <c r="I1151" s="449"/>
      <c r="N1151" s="449"/>
    </row>
    <row r="1152" spans="2:14" s="448" customFormat="1">
      <c r="B1152" s="452"/>
      <c r="C1152" s="449"/>
      <c r="D1152" s="449"/>
      <c r="E1152" s="451"/>
      <c r="F1152" s="450"/>
      <c r="G1152" s="450"/>
      <c r="I1152" s="449"/>
      <c r="N1152" s="449"/>
    </row>
    <row r="1153" spans="2:14" s="448" customFormat="1">
      <c r="B1153" s="452"/>
      <c r="C1153" s="449"/>
      <c r="D1153" s="449"/>
      <c r="E1153" s="451"/>
      <c r="F1153" s="450"/>
      <c r="G1153" s="450"/>
      <c r="I1153" s="449"/>
      <c r="N1153" s="449"/>
    </row>
    <row r="1154" spans="2:14" s="448" customFormat="1">
      <c r="B1154" s="452"/>
      <c r="C1154" s="449"/>
      <c r="D1154" s="449"/>
      <c r="E1154" s="451"/>
      <c r="F1154" s="450"/>
      <c r="G1154" s="450"/>
      <c r="I1154" s="449"/>
      <c r="N1154" s="449"/>
    </row>
    <row r="1155" spans="2:14" s="448" customFormat="1">
      <c r="B1155" s="452"/>
      <c r="C1155" s="449"/>
      <c r="D1155" s="449"/>
      <c r="E1155" s="451"/>
      <c r="F1155" s="450"/>
      <c r="G1155" s="450"/>
      <c r="I1155" s="449"/>
      <c r="N1155" s="449"/>
    </row>
    <row r="1156" spans="2:14" s="448" customFormat="1">
      <c r="B1156" s="452"/>
      <c r="C1156" s="449"/>
      <c r="D1156" s="449"/>
      <c r="E1156" s="451"/>
      <c r="F1156" s="450"/>
      <c r="G1156" s="450"/>
      <c r="I1156" s="449"/>
      <c r="N1156" s="449"/>
    </row>
    <row r="1157" spans="2:14" s="448" customFormat="1">
      <c r="B1157" s="452"/>
      <c r="C1157" s="449"/>
      <c r="D1157" s="449"/>
      <c r="E1157" s="451"/>
      <c r="F1157" s="450"/>
      <c r="G1157" s="450"/>
      <c r="I1157" s="449"/>
      <c r="N1157" s="449"/>
    </row>
    <row r="1158" spans="2:14" s="448" customFormat="1">
      <c r="B1158" s="452"/>
      <c r="C1158" s="449"/>
      <c r="D1158" s="449"/>
      <c r="E1158" s="451"/>
      <c r="F1158" s="450"/>
      <c r="G1158" s="450"/>
      <c r="I1158" s="449"/>
      <c r="N1158" s="449"/>
    </row>
    <row r="1159" spans="2:14" s="448" customFormat="1">
      <c r="B1159" s="452"/>
      <c r="C1159" s="449"/>
      <c r="D1159" s="449"/>
      <c r="E1159" s="451"/>
      <c r="F1159" s="450"/>
      <c r="G1159" s="450"/>
      <c r="I1159" s="449"/>
      <c r="N1159" s="449"/>
    </row>
    <row r="1160" spans="2:14" s="448" customFormat="1">
      <c r="B1160" s="452"/>
      <c r="C1160" s="449"/>
      <c r="D1160" s="449"/>
      <c r="E1160" s="451"/>
      <c r="F1160" s="450"/>
      <c r="G1160" s="450"/>
      <c r="I1160" s="449"/>
      <c r="N1160" s="449"/>
    </row>
    <row r="1161" spans="2:14" s="448" customFormat="1">
      <c r="B1161" s="452"/>
      <c r="C1161" s="449"/>
      <c r="D1161" s="449"/>
      <c r="E1161" s="451"/>
      <c r="F1161" s="450"/>
      <c r="G1161" s="450"/>
      <c r="I1161" s="449"/>
      <c r="N1161" s="449"/>
    </row>
    <row r="1162" spans="2:14" s="448" customFormat="1">
      <c r="B1162" s="452"/>
      <c r="C1162" s="449"/>
      <c r="D1162" s="449"/>
      <c r="E1162" s="451"/>
      <c r="F1162" s="450"/>
      <c r="G1162" s="450"/>
      <c r="I1162" s="449"/>
      <c r="N1162" s="449"/>
    </row>
    <row r="1163" spans="2:14" s="448" customFormat="1">
      <c r="B1163" s="452"/>
      <c r="C1163" s="449"/>
      <c r="D1163" s="449"/>
      <c r="E1163" s="451"/>
      <c r="F1163" s="450"/>
      <c r="G1163" s="450"/>
      <c r="I1163" s="449"/>
      <c r="N1163" s="449"/>
    </row>
    <row r="1164" spans="2:14" s="448" customFormat="1">
      <c r="B1164" s="452"/>
      <c r="C1164" s="449"/>
      <c r="D1164" s="449"/>
      <c r="E1164" s="451"/>
      <c r="F1164" s="450"/>
      <c r="G1164" s="450"/>
      <c r="I1164" s="449"/>
      <c r="N1164" s="449"/>
    </row>
    <row r="1165" spans="2:14" s="448" customFormat="1">
      <c r="B1165" s="452"/>
      <c r="C1165" s="449"/>
      <c r="D1165" s="449"/>
      <c r="E1165" s="451"/>
      <c r="F1165" s="450"/>
      <c r="G1165" s="450"/>
      <c r="I1165" s="449"/>
      <c r="N1165" s="449"/>
    </row>
    <row r="1166" spans="2:14" s="448" customFormat="1">
      <c r="B1166" s="452"/>
      <c r="C1166" s="449"/>
      <c r="D1166" s="449"/>
      <c r="E1166" s="451"/>
      <c r="F1166" s="450"/>
      <c r="G1166" s="450"/>
      <c r="I1166" s="449"/>
      <c r="N1166" s="449"/>
    </row>
    <row r="1167" spans="2:14" s="448" customFormat="1">
      <c r="B1167" s="452"/>
      <c r="C1167" s="449"/>
      <c r="D1167" s="449"/>
      <c r="E1167" s="451"/>
      <c r="F1167" s="450"/>
      <c r="G1167" s="450"/>
      <c r="I1167" s="449"/>
      <c r="N1167" s="449"/>
    </row>
    <row r="1168" spans="2:14" s="448" customFormat="1">
      <c r="B1168" s="452"/>
      <c r="C1168" s="449"/>
      <c r="D1168" s="449"/>
      <c r="E1168" s="451"/>
      <c r="F1168" s="450"/>
      <c r="G1168" s="450"/>
      <c r="I1168" s="449"/>
      <c r="N1168" s="449"/>
    </row>
    <row r="1169" spans="2:14" s="448" customFormat="1">
      <c r="B1169" s="452"/>
      <c r="C1169" s="449"/>
      <c r="D1169" s="449"/>
      <c r="E1169" s="451"/>
      <c r="F1169" s="450"/>
      <c r="G1169" s="450"/>
      <c r="I1169" s="449"/>
      <c r="N1169" s="449"/>
    </row>
    <row r="1170" spans="2:14" s="448" customFormat="1">
      <c r="B1170" s="452"/>
      <c r="C1170" s="449"/>
      <c r="D1170" s="449"/>
      <c r="E1170" s="451"/>
      <c r="F1170" s="450"/>
      <c r="G1170" s="450"/>
      <c r="I1170" s="449"/>
      <c r="N1170" s="449"/>
    </row>
    <row r="1171" spans="2:14" s="448" customFormat="1">
      <c r="B1171" s="452"/>
      <c r="C1171" s="449"/>
      <c r="D1171" s="449"/>
      <c r="E1171" s="451"/>
      <c r="F1171" s="450"/>
      <c r="G1171" s="450"/>
      <c r="I1171" s="449"/>
      <c r="N1171" s="449"/>
    </row>
    <row r="1172" spans="2:14" s="448" customFormat="1">
      <c r="B1172" s="452"/>
      <c r="C1172" s="449"/>
      <c r="D1172" s="449"/>
      <c r="E1172" s="451"/>
      <c r="F1172" s="450"/>
      <c r="G1172" s="450"/>
      <c r="I1172" s="449"/>
      <c r="N1172" s="449"/>
    </row>
    <row r="1173" spans="2:14" s="448" customFormat="1">
      <c r="B1173" s="452"/>
      <c r="C1173" s="449"/>
      <c r="D1173" s="449"/>
      <c r="E1173" s="451"/>
      <c r="F1173" s="450"/>
      <c r="G1173" s="450"/>
      <c r="I1173" s="449"/>
      <c r="N1173" s="449"/>
    </row>
    <row r="1174" spans="2:14" s="448" customFormat="1">
      <c r="B1174" s="452"/>
      <c r="C1174" s="449"/>
      <c r="D1174" s="449"/>
      <c r="E1174" s="451"/>
      <c r="F1174" s="450"/>
      <c r="G1174" s="450"/>
      <c r="I1174" s="449"/>
      <c r="N1174" s="449"/>
    </row>
    <row r="1175" spans="2:14" s="448" customFormat="1">
      <c r="B1175" s="452"/>
      <c r="C1175" s="449"/>
      <c r="D1175" s="449"/>
      <c r="E1175" s="451"/>
      <c r="F1175" s="450"/>
      <c r="G1175" s="450"/>
      <c r="I1175" s="449"/>
      <c r="N1175" s="449"/>
    </row>
    <row r="1176" spans="2:14" s="448" customFormat="1">
      <c r="B1176" s="452"/>
      <c r="C1176" s="449"/>
      <c r="D1176" s="449"/>
      <c r="E1176" s="451"/>
      <c r="F1176" s="450"/>
      <c r="G1176" s="450"/>
      <c r="I1176" s="449"/>
      <c r="N1176" s="449"/>
    </row>
    <row r="1177" spans="2:14" s="448" customFormat="1">
      <c r="B1177" s="452"/>
      <c r="C1177" s="449"/>
      <c r="D1177" s="449"/>
      <c r="E1177" s="451"/>
      <c r="F1177" s="450"/>
      <c r="G1177" s="450"/>
      <c r="I1177" s="449"/>
      <c r="N1177" s="449"/>
    </row>
    <row r="1178" spans="2:14" s="448" customFormat="1">
      <c r="B1178" s="452"/>
      <c r="C1178" s="449"/>
      <c r="D1178" s="449"/>
      <c r="E1178" s="451"/>
      <c r="F1178" s="450"/>
      <c r="G1178" s="450"/>
      <c r="I1178" s="449"/>
      <c r="N1178" s="449"/>
    </row>
    <row r="1179" spans="2:14" s="448" customFormat="1">
      <c r="B1179" s="452"/>
      <c r="C1179" s="449"/>
      <c r="D1179" s="449"/>
      <c r="E1179" s="451"/>
      <c r="F1179" s="450"/>
      <c r="G1179" s="450"/>
      <c r="I1179" s="449"/>
      <c r="N1179" s="449"/>
    </row>
    <row r="1180" spans="2:14" s="448" customFormat="1">
      <c r="B1180" s="452"/>
      <c r="C1180" s="449"/>
      <c r="D1180" s="449"/>
      <c r="E1180" s="451"/>
      <c r="F1180" s="450"/>
      <c r="G1180" s="450"/>
      <c r="I1180" s="449"/>
      <c r="N1180" s="449"/>
    </row>
    <row r="1181" spans="2:14" s="448" customFormat="1">
      <c r="B1181" s="452"/>
      <c r="C1181" s="449"/>
      <c r="D1181" s="449"/>
      <c r="E1181" s="451"/>
      <c r="F1181" s="450"/>
      <c r="G1181" s="450"/>
      <c r="I1181" s="449"/>
      <c r="N1181" s="449"/>
    </row>
    <row r="1182" spans="2:14" s="448" customFormat="1">
      <c r="B1182" s="452"/>
      <c r="C1182" s="449"/>
      <c r="D1182" s="449"/>
      <c r="E1182" s="451"/>
      <c r="F1182" s="450"/>
      <c r="G1182" s="450"/>
      <c r="I1182" s="449"/>
      <c r="N1182" s="449"/>
    </row>
    <row r="1183" spans="2:14" s="448" customFormat="1">
      <c r="B1183" s="452"/>
      <c r="C1183" s="449"/>
      <c r="D1183" s="449"/>
      <c r="E1183" s="451"/>
      <c r="F1183" s="450"/>
      <c r="G1183" s="450"/>
      <c r="I1183" s="449"/>
      <c r="N1183" s="449"/>
    </row>
    <row r="1184" spans="2:14" s="448" customFormat="1">
      <c r="B1184" s="452"/>
      <c r="C1184" s="449"/>
      <c r="D1184" s="449"/>
      <c r="E1184" s="451"/>
      <c r="F1184" s="450"/>
      <c r="G1184" s="450"/>
      <c r="I1184" s="449"/>
      <c r="N1184" s="449"/>
    </row>
    <row r="1185" spans="2:14" s="448" customFormat="1">
      <c r="B1185" s="452"/>
      <c r="C1185" s="449"/>
      <c r="D1185" s="449"/>
      <c r="E1185" s="451"/>
      <c r="F1185" s="450"/>
      <c r="G1185" s="450"/>
      <c r="I1185" s="449"/>
      <c r="N1185" s="449"/>
    </row>
    <row r="1186" spans="2:14" s="448" customFormat="1">
      <c r="B1186" s="452"/>
      <c r="C1186" s="449"/>
      <c r="D1186" s="449"/>
      <c r="E1186" s="451"/>
      <c r="F1186" s="450"/>
      <c r="G1186" s="450"/>
      <c r="I1186" s="449"/>
      <c r="N1186" s="449"/>
    </row>
    <row r="1187" spans="2:14" s="448" customFormat="1">
      <c r="B1187" s="452"/>
      <c r="C1187" s="449"/>
      <c r="D1187" s="449"/>
      <c r="E1187" s="451"/>
      <c r="F1187" s="450"/>
      <c r="G1187" s="450"/>
      <c r="I1187" s="449"/>
      <c r="N1187" s="449"/>
    </row>
    <row r="1188" spans="2:14" s="448" customFormat="1">
      <c r="B1188" s="452"/>
      <c r="C1188" s="449"/>
      <c r="D1188" s="449"/>
      <c r="E1188" s="451"/>
      <c r="F1188" s="450"/>
      <c r="G1188" s="450"/>
      <c r="I1188" s="449"/>
      <c r="N1188" s="449"/>
    </row>
    <row r="1189" spans="2:14" s="448" customFormat="1">
      <c r="B1189" s="452"/>
      <c r="C1189" s="449"/>
      <c r="D1189" s="449"/>
      <c r="E1189" s="451"/>
      <c r="F1189" s="450"/>
      <c r="G1189" s="450"/>
      <c r="I1189" s="449"/>
      <c r="N1189" s="449"/>
    </row>
    <row r="1190" spans="2:14" s="448" customFormat="1">
      <c r="B1190" s="452"/>
      <c r="C1190" s="449"/>
      <c r="D1190" s="449"/>
      <c r="E1190" s="451"/>
      <c r="F1190" s="450"/>
      <c r="G1190" s="450"/>
      <c r="I1190" s="449"/>
      <c r="N1190" s="449"/>
    </row>
    <row r="1191" spans="2:14" s="448" customFormat="1">
      <c r="B1191" s="452"/>
      <c r="C1191" s="449"/>
      <c r="D1191" s="449"/>
      <c r="E1191" s="451"/>
      <c r="F1191" s="450"/>
      <c r="G1191" s="450"/>
      <c r="I1191" s="449"/>
      <c r="N1191" s="449"/>
    </row>
    <row r="1192" spans="2:14" s="448" customFormat="1">
      <c r="B1192" s="452"/>
      <c r="C1192" s="449"/>
      <c r="D1192" s="449"/>
      <c r="E1192" s="451"/>
      <c r="F1192" s="450"/>
      <c r="G1192" s="450"/>
      <c r="I1192" s="449"/>
      <c r="N1192" s="449"/>
    </row>
    <row r="1193" spans="2:14" s="448" customFormat="1">
      <c r="B1193" s="452"/>
      <c r="C1193" s="449"/>
      <c r="D1193" s="449"/>
      <c r="E1193" s="451"/>
      <c r="F1193" s="450"/>
      <c r="G1193" s="450"/>
      <c r="I1193" s="449"/>
      <c r="N1193" s="449"/>
    </row>
    <row r="1194" spans="2:14" s="448" customFormat="1">
      <c r="B1194" s="452"/>
      <c r="C1194" s="449"/>
      <c r="D1194" s="449"/>
      <c r="E1194" s="451"/>
      <c r="F1194" s="450"/>
      <c r="G1194" s="450"/>
      <c r="I1194" s="449"/>
      <c r="N1194" s="449"/>
    </row>
    <row r="1195" spans="2:14" s="448" customFormat="1">
      <c r="B1195" s="452"/>
      <c r="C1195" s="449"/>
      <c r="D1195" s="449"/>
      <c r="E1195" s="451"/>
      <c r="F1195" s="450"/>
      <c r="G1195" s="450"/>
      <c r="I1195" s="449"/>
      <c r="N1195" s="449"/>
    </row>
    <row r="1196" spans="2:14" s="448" customFormat="1">
      <c r="B1196" s="452"/>
      <c r="C1196" s="449"/>
      <c r="D1196" s="449"/>
      <c r="E1196" s="451"/>
      <c r="F1196" s="450"/>
      <c r="G1196" s="450"/>
      <c r="I1196" s="449"/>
      <c r="N1196" s="449"/>
    </row>
    <row r="1197" spans="2:14" s="448" customFormat="1">
      <c r="B1197" s="452"/>
      <c r="C1197" s="449"/>
      <c r="D1197" s="449"/>
      <c r="E1197" s="451"/>
      <c r="F1197" s="450"/>
      <c r="G1197" s="450"/>
      <c r="I1197" s="449"/>
      <c r="N1197" s="449"/>
    </row>
    <row r="1198" spans="2:14" s="448" customFormat="1">
      <c r="B1198" s="452"/>
      <c r="C1198" s="449"/>
      <c r="D1198" s="449"/>
      <c r="E1198" s="451"/>
      <c r="F1198" s="450"/>
      <c r="G1198" s="450"/>
      <c r="I1198" s="449"/>
      <c r="N1198" s="449"/>
    </row>
    <row r="1199" spans="2:14" s="448" customFormat="1">
      <c r="B1199" s="452"/>
      <c r="C1199" s="449"/>
      <c r="D1199" s="449"/>
      <c r="E1199" s="451"/>
      <c r="F1199" s="450"/>
      <c r="G1199" s="450"/>
      <c r="I1199" s="449"/>
      <c r="N1199" s="449"/>
    </row>
    <row r="1200" spans="2:14" s="448" customFormat="1">
      <c r="B1200" s="452"/>
      <c r="C1200" s="449"/>
      <c r="D1200" s="449"/>
      <c r="E1200" s="451"/>
      <c r="F1200" s="450"/>
      <c r="G1200" s="450"/>
      <c r="I1200" s="449"/>
      <c r="N1200" s="449"/>
    </row>
    <row r="1201" spans="2:14" s="448" customFormat="1">
      <c r="B1201" s="452"/>
      <c r="C1201" s="449"/>
      <c r="D1201" s="449"/>
      <c r="E1201" s="451"/>
      <c r="F1201" s="450"/>
      <c r="G1201" s="450"/>
      <c r="I1201" s="449"/>
      <c r="N1201" s="449"/>
    </row>
    <row r="1202" spans="2:14" s="448" customFormat="1">
      <c r="B1202" s="452"/>
      <c r="C1202" s="449"/>
      <c r="D1202" s="449"/>
      <c r="E1202" s="451"/>
      <c r="F1202" s="450"/>
      <c r="G1202" s="450"/>
      <c r="I1202" s="449"/>
      <c r="N1202" s="449"/>
    </row>
    <row r="1203" spans="2:14" s="448" customFormat="1">
      <c r="B1203" s="452"/>
      <c r="C1203" s="449"/>
      <c r="D1203" s="449"/>
      <c r="E1203" s="451"/>
      <c r="F1203" s="450"/>
      <c r="G1203" s="450"/>
      <c r="I1203" s="449"/>
      <c r="N1203" s="449"/>
    </row>
    <row r="1204" spans="2:14" s="448" customFormat="1">
      <c r="B1204" s="452"/>
      <c r="C1204" s="449"/>
      <c r="D1204" s="449"/>
      <c r="E1204" s="451"/>
      <c r="F1204" s="450"/>
      <c r="G1204" s="450"/>
      <c r="I1204" s="449"/>
      <c r="N1204" s="449"/>
    </row>
    <row r="1205" spans="2:14" s="448" customFormat="1">
      <c r="B1205" s="452"/>
      <c r="C1205" s="449"/>
      <c r="D1205" s="449"/>
      <c r="E1205" s="451"/>
      <c r="F1205" s="450"/>
      <c r="G1205" s="450"/>
      <c r="I1205" s="449"/>
      <c r="N1205" s="449"/>
    </row>
    <row r="1206" spans="2:14" s="448" customFormat="1">
      <c r="B1206" s="452"/>
      <c r="C1206" s="449"/>
      <c r="D1206" s="449"/>
      <c r="E1206" s="451"/>
      <c r="F1206" s="450"/>
      <c r="G1206" s="450"/>
      <c r="I1206" s="449"/>
      <c r="N1206" s="449"/>
    </row>
    <row r="1207" spans="2:14" s="448" customFormat="1">
      <c r="B1207" s="452"/>
      <c r="C1207" s="449"/>
      <c r="D1207" s="449"/>
      <c r="E1207" s="451"/>
      <c r="F1207" s="450"/>
      <c r="G1207" s="450"/>
      <c r="I1207" s="449"/>
      <c r="N1207" s="449"/>
    </row>
    <row r="1208" spans="2:14" s="448" customFormat="1">
      <c r="B1208" s="452"/>
      <c r="C1208" s="449"/>
      <c r="D1208" s="449"/>
      <c r="E1208" s="451"/>
      <c r="F1208" s="450"/>
      <c r="G1208" s="450"/>
      <c r="I1208" s="449"/>
      <c r="N1208" s="449"/>
    </row>
    <row r="1209" spans="2:14" s="448" customFormat="1">
      <c r="B1209" s="452"/>
      <c r="C1209" s="449"/>
      <c r="D1209" s="449"/>
      <c r="E1209" s="451"/>
      <c r="F1209" s="450"/>
      <c r="G1209" s="450"/>
      <c r="I1209" s="449"/>
      <c r="N1209" s="449"/>
    </row>
    <row r="1210" spans="2:14" s="448" customFormat="1">
      <c r="B1210" s="452"/>
      <c r="C1210" s="449"/>
      <c r="D1210" s="449"/>
      <c r="E1210" s="451"/>
      <c r="F1210" s="450"/>
      <c r="G1210" s="450"/>
      <c r="I1210" s="449"/>
      <c r="N1210" s="449"/>
    </row>
    <row r="1211" spans="2:14" s="448" customFormat="1">
      <c r="B1211" s="452"/>
      <c r="C1211" s="449"/>
      <c r="D1211" s="449"/>
      <c r="E1211" s="451"/>
      <c r="F1211" s="450"/>
      <c r="G1211" s="450"/>
      <c r="I1211" s="449"/>
      <c r="N1211" s="449"/>
    </row>
    <row r="1212" spans="2:14" s="448" customFormat="1">
      <c r="B1212" s="452"/>
      <c r="C1212" s="449"/>
      <c r="D1212" s="449"/>
      <c r="E1212" s="451"/>
      <c r="F1212" s="450"/>
      <c r="G1212" s="450"/>
      <c r="I1212" s="449"/>
      <c r="N1212" s="449"/>
    </row>
    <row r="1213" spans="2:14" s="448" customFormat="1">
      <c r="B1213" s="452"/>
      <c r="C1213" s="449"/>
      <c r="D1213" s="449"/>
      <c r="E1213" s="451"/>
      <c r="F1213" s="450"/>
      <c r="G1213" s="450"/>
      <c r="I1213" s="449"/>
      <c r="N1213" s="449"/>
    </row>
    <row r="1214" spans="2:14" s="448" customFormat="1">
      <c r="B1214" s="452"/>
      <c r="C1214" s="449"/>
      <c r="D1214" s="449"/>
      <c r="E1214" s="451"/>
      <c r="F1214" s="450"/>
      <c r="G1214" s="450"/>
      <c r="I1214" s="449"/>
      <c r="N1214" s="449"/>
    </row>
    <row r="1215" spans="2:14" s="448" customFormat="1">
      <c r="B1215" s="452"/>
      <c r="C1215" s="449"/>
      <c r="D1215" s="449"/>
      <c r="E1215" s="451"/>
      <c r="F1215" s="450"/>
      <c r="G1215" s="450"/>
      <c r="I1215" s="449"/>
      <c r="N1215" s="449"/>
    </row>
    <row r="1216" spans="2:14" s="448" customFormat="1">
      <c r="B1216" s="452"/>
      <c r="C1216" s="449"/>
      <c r="D1216" s="449"/>
      <c r="E1216" s="451"/>
      <c r="F1216" s="450"/>
      <c r="G1216" s="450"/>
      <c r="I1216" s="449"/>
      <c r="N1216" s="449"/>
    </row>
    <row r="1217" spans="2:14" s="448" customFormat="1">
      <c r="B1217" s="452"/>
      <c r="C1217" s="449"/>
      <c r="D1217" s="449"/>
      <c r="E1217" s="451"/>
      <c r="F1217" s="450"/>
      <c r="G1217" s="450"/>
      <c r="I1217" s="449"/>
      <c r="N1217" s="449"/>
    </row>
    <row r="1218" spans="2:14" s="448" customFormat="1">
      <c r="B1218" s="452"/>
      <c r="C1218" s="449"/>
      <c r="D1218" s="449"/>
      <c r="E1218" s="451"/>
      <c r="F1218" s="450"/>
      <c r="G1218" s="450"/>
      <c r="I1218" s="449"/>
      <c r="N1218" s="449"/>
    </row>
    <row r="1219" spans="2:14" s="448" customFormat="1">
      <c r="B1219" s="452"/>
      <c r="C1219" s="449"/>
      <c r="D1219" s="449"/>
      <c r="E1219" s="451"/>
      <c r="F1219" s="450"/>
      <c r="G1219" s="450"/>
      <c r="I1219" s="449"/>
      <c r="N1219" s="449"/>
    </row>
    <row r="1220" spans="2:14" s="448" customFormat="1">
      <c r="B1220" s="452"/>
      <c r="C1220" s="449"/>
      <c r="D1220" s="449"/>
      <c r="E1220" s="451"/>
      <c r="F1220" s="450"/>
      <c r="G1220" s="450"/>
      <c r="I1220" s="449"/>
      <c r="N1220" s="449"/>
    </row>
    <row r="1221" spans="2:14" s="448" customFormat="1">
      <c r="B1221" s="452"/>
      <c r="C1221" s="449"/>
      <c r="D1221" s="449"/>
      <c r="E1221" s="451"/>
      <c r="F1221" s="450"/>
      <c r="G1221" s="450"/>
      <c r="I1221" s="449"/>
      <c r="N1221" s="449"/>
    </row>
    <row r="1222" spans="2:14" s="448" customFormat="1">
      <c r="B1222" s="452"/>
      <c r="C1222" s="449"/>
      <c r="D1222" s="449"/>
      <c r="E1222" s="451"/>
      <c r="F1222" s="450"/>
      <c r="G1222" s="450"/>
      <c r="I1222" s="449"/>
      <c r="N1222" s="449"/>
    </row>
    <row r="1223" spans="2:14" s="448" customFormat="1">
      <c r="B1223" s="452"/>
      <c r="C1223" s="449"/>
      <c r="D1223" s="449"/>
      <c r="E1223" s="451"/>
      <c r="F1223" s="450"/>
      <c r="G1223" s="450"/>
      <c r="I1223" s="449"/>
      <c r="N1223" s="449"/>
    </row>
    <row r="1224" spans="2:14" s="448" customFormat="1">
      <c r="B1224" s="452"/>
      <c r="C1224" s="449"/>
      <c r="D1224" s="449"/>
      <c r="E1224" s="451"/>
      <c r="F1224" s="450"/>
      <c r="G1224" s="450"/>
      <c r="I1224" s="449"/>
      <c r="N1224" s="449"/>
    </row>
    <row r="1225" spans="2:14" s="448" customFormat="1">
      <c r="B1225" s="452"/>
      <c r="C1225" s="449"/>
      <c r="D1225" s="449"/>
      <c r="E1225" s="451"/>
      <c r="F1225" s="450"/>
      <c r="G1225" s="450"/>
      <c r="I1225" s="449"/>
      <c r="N1225" s="449"/>
    </row>
    <row r="1226" spans="2:14" s="448" customFormat="1">
      <c r="B1226" s="452"/>
      <c r="C1226" s="449"/>
      <c r="D1226" s="449"/>
      <c r="E1226" s="451"/>
      <c r="F1226" s="450"/>
      <c r="G1226" s="450"/>
      <c r="I1226" s="449"/>
      <c r="N1226" s="449"/>
    </row>
    <row r="1227" spans="2:14" s="448" customFormat="1">
      <c r="B1227" s="452"/>
      <c r="C1227" s="449"/>
      <c r="D1227" s="449"/>
      <c r="E1227" s="451"/>
      <c r="F1227" s="450"/>
      <c r="G1227" s="450"/>
      <c r="I1227" s="449"/>
      <c r="N1227" s="449"/>
    </row>
    <row r="1228" spans="2:14" s="448" customFormat="1">
      <c r="B1228" s="452"/>
      <c r="C1228" s="449"/>
      <c r="D1228" s="449"/>
      <c r="E1228" s="451"/>
      <c r="F1228" s="450"/>
      <c r="G1228" s="450"/>
      <c r="I1228" s="449"/>
      <c r="N1228" s="449"/>
    </row>
    <row r="1229" spans="2:14" s="448" customFormat="1">
      <c r="B1229" s="452"/>
      <c r="C1229" s="449"/>
      <c r="D1229" s="449"/>
      <c r="E1229" s="451"/>
      <c r="F1229" s="450"/>
      <c r="G1229" s="450"/>
      <c r="I1229" s="449"/>
      <c r="N1229" s="449"/>
    </row>
    <row r="1230" spans="2:14" s="448" customFormat="1">
      <c r="B1230" s="452"/>
      <c r="C1230" s="449"/>
      <c r="D1230" s="449"/>
      <c r="E1230" s="451"/>
      <c r="F1230" s="450"/>
      <c r="G1230" s="450"/>
      <c r="I1230" s="449"/>
      <c r="N1230" s="449"/>
    </row>
    <row r="1231" spans="2:14" s="448" customFormat="1">
      <c r="B1231" s="452"/>
      <c r="C1231" s="449"/>
      <c r="D1231" s="449"/>
      <c r="E1231" s="451"/>
      <c r="F1231" s="450"/>
      <c r="G1231" s="450"/>
      <c r="I1231" s="449"/>
      <c r="N1231" s="449"/>
    </row>
    <row r="1232" spans="2:14" s="448" customFormat="1">
      <c r="B1232" s="452"/>
      <c r="C1232" s="449"/>
      <c r="D1232" s="449"/>
      <c r="E1232" s="451"/>
      <c r="F1232" s="450"/>
      <c r="G1232" s="450"/>
      <c r="I1232" s="449"/>
      <c r="N1232" s="449"/>
    </row>
  </sheetData>
  <sheetProtection sheet="1" objects="1" scenarios="1"/>
  <customSheetViews>
    <customSheetView guid="{8063F48F-80B5-4ECD-B18A-51CBF126E780}" fitToPage="1">
      <selection activeCell="AL26" sqref="AL26"/>
      <pageMargins left="0.59055118110236227" right="0.59055118110236227" top="0.59055118110236227" bottom="0.59055118110236227" header="0.39370078740157483" footer="0.39370078740157483"/>
      <printOptions horizontalCentered="1"/>
      <pageSetup paperSize="9" scale="80" firstPageNumber="12" fitToHeight="0" orientation="portrait" r:id="rId1"/>
      <headerFooter alignWithMargins="0">
        <oddFooter>&amp;L&amp;11LEL Schwäbisch Gmünd&amp;C&amp;P+8&amp;R&amp;11&amp;F</oddFooter>
      </headerFooter>
    </customSheetView>
    <customSheetView guid="{5D5C9B61-9ABD-4513-AAEB-8333A9D6196C}" fitToPage="1">
      <selection activeCell="AL26" sqref="AL26"/>
      <pageMargins left="0.59055118110236227" right="0.59055118110236227" top="0.59055118110236227" bottom="0.59055118110236227" header="0.39370078740157483" footer="0.39370078740157483"/>
      <printOptions horizontalCentered="1"/>
      <pageSetup paperSize="9" scale="80" firstPageNumber="12" fitToHeight="0" orientation="portrait" r:id="rId2"/>
      <headerFooter alignWithMargins="0">
        <oddFooter>&amp;L&amp;11LEL Schwäbisch Gmünd&amp;C&amp;P+8&amp;R&amp;11&amp;F</oddFooter>
      </headerFooter>
    </customSheetView>
    <customSheetView guid="{22A73C4F-9004-4CEF-8499-B1F91BE1B569}" fitToPage="1">
      <selection activeCell="AL26" sqref="AL26"/>
      <pageMargins left="0.59055118110236227" right="0.59055118110236227" top="0.59055118110236227" bottom="0.59055118110236227" header="0.39370078740157483" footer="0.39370078740157483"/>
      <printOptions horizontalCentered="1"/>
      <pageSetup paperSize="9" scale="80" firstPageNumber="12" fitToHeight="0" orientation="portrait" r:id="rId3"/>
      <headerFooter alignWithMargins="0">
        <oddFooter>&amp;L&amp;11LEL Schwäbisch Gmünd&amp;C&amp;P+8&amp;R&amp;11&amp;F</oddFooter>
      </headerFooter>
    </customSheetView>
  </customSheetViews>
  <mergeCells count="465">
    <mergeCell ref="F2:H2"/>
    <mergeCell ref="F4:G5"/>
    <mergeCell ref="N5:O5"/>
    <mergeCell ref="L486:M486"/>
    <mergeCell ref="P4:Q5"/>
    <mergeCell ref="B4:C5"/>
    <mergeCell ref="D4:E5"/>
    <mergeCell ref="H4:I5"/>
    <mergeCell ref="J4:K5"/>
    <mergeCell ref="L4:M5"/>
    <mergeCell ref="N4:O4"/>
    <mergeCell ref="L478:M478"/>
    <mergeCell ref="L479:M479"/>
    <mergeCell ref="L480:M480"/>
    <mergeCell ref="L481:M481"/>
    <mergeCell ref="L475:M475"/>
    <mergeCell ref="L476:M476"/>
    <mergeCell ref="L477:M477"/>
    <mergeCell ref="L487:M487"/>
    <mergeCell ref="L488:M488"/>
    <mergeCell ref="L489:M489"/>
    <mergeCell ref="L482:M482"/>
    <mergeCell ref="L483:M483"/>
    <mergeCell ref="L484:M484"/>
    <mergeCell ref="L485:M485"/>
    <mergeCell ref="L496:M496"/>
    <mergeCell ref="L497:M497"/>
    <mergeCell ref="L490:M490"/>
    <mergeCell ref="L491:M491"/>
    <mergeCell ref="L492:M492"/>
    <mergeCell ref="L493:M493"/>
    <mergeCell ref="L494:M494"/>
    <mergeCell ref="L495:M495"/>
    <mergeCell ref="L511:M511"/>
    <mergeCell ref="L512:M512"/>
    <mergeCell ref="L513:M513"/>
    <mergeCell ref="L506:M506"/>
    <mergeCell ref="L507:M507"/>
    <mergeCell ref="L508:M508"/>
    <mergeCell ref="L509:M509"/>
    <mergeCell ref="L505:M505"/>
    <mergeCell ref="L498:M498"/>
    <mergeCell ref="L499:M499"/>
    <mergeCell ref="L500:M500"/>
    <mergeCell ref="L501:M501"/>
    <mergeCell ref="L510:M510"/>
    <mergeCell ref="L502:M502"/>
    <mergeCell ref="L503:M503"/>
    <mergeCell ref="L504:M504"/>
    <mergeCell ref="L518:M518"/>
    <mergeCell ref="L519:M519"/>
    <mergeCell ref="L520:M520"/>
    <mergeCell ref="L521:M521"/>
    <mergeCell ref="L514:M514"/>
    <mergeCell ref="L515:M515"/>
    <mergeCell ref="L516:M516"/>
    <mergeCell ref="L517:M517"/>
    <mergeCell ref="L527:M527"/>
    <mergeCell ref="L528:M528"/>
    <mergeCell ref="L529:M529"/>
    <mergeCell ref="L522:M522"/>
    <mergeCell ref="L523:M523"/>
    <mergeCell ref="L524:M524"/>
    <mergeCell ref="L525:M525"/>
    <mergeCell ref="L526:M526"/>
    <mergeCell ref="L536:M536"/>
    <mergeCell ref="L537:M537"/>
    <mergeCell ref="L530:M530"/>
    <mergeCell ref="L531:M531"/>
    <mergeCell ref="L532:M532"/>
    <mergeCell ref="L533:M533"/>
    <mergeCell ref="L534:M534"/>
    <mergeCell ref="L535:M535"/>
    <mergeCell ref="L551:M551"/>
    <mergeCell ref="L552:M552"/>
    <mergeCell ref="L553:M553"/>
    <mergeCell ref="L546:M546"/>
    <mergeCell ref="L547:M547"/>
    <mergeCell ref="L548:M548"/>
    <mergeCell ref="L549:M549"/>
    <mergeCell ref="L545:M545"/>
    <mergeCell ref="L538:M538"/>
    <mergeCell ref="L539:M539"/>
    <mergeCell ref="L540:M540"/>
    <mergeCell ref="L541:M541"/>
    <mergeCell ref="L550:M550"/>
    <mergeCell ref="L542:M542"/>
    <mergeCell ref="L543:M543"/>
    <mergeCell ref="L544:M544"/>
    <mergeCell ref="L558:M558"/>
    <mergeCell ref="L559:M559"/>
    <mergeCell ref="L560:M560"/>
    <mergeCell ref="L561:M561"/>
    <mergeCell ref="L554:M554"/>
    <mergeCell ref="L555:M555"/>
    <mergeCell ref="L556:M556"/>
    <mergeCell ref="L557:M557"/>
    <mergeCell ref="L567:M567"/>
    <mergeCell ref="L568:M568"/>
    <mergeCell ref="L569:M569"/>
    <mergeCell ref="L562:M562"/>
    <mergeCell ref="L563:M563"/>
    <mergeCell ref="L564:M564"/>
    <mergeCell ref="L565:M565"/>
    <mergeCell ref="L566:M566"/>
    <mergeCell ref="L576:M576"/>
    <mergeCell ref="L577:M577"/>
    <mergeCell ref="L570:M570"/>
    <mergeCell ref="L571:M571"/>
    <mergeCell ref="L572:M572"/>
    <mergeCell ref="L573:M573"/>
    <mergeCell ref="L574:M574"/>
    <mergeCell ref="L575:M575"/>
    <mergeCell ref="L591:M591"/>
    <mergeCell ref="L592:M592"/>
    <mergeCell ref="L593:M593"/>
    <mergeCell ref="L586:M586"/>
    <mergeCell ref="L587:M587"/>
    <mergeCell ref="L588:M588"/>
    <mergeCell ref="L589:M589"/>
    <mergeCell ref="L585:M585"/>
    <mergeCell ref="L578:M578"/>
    <mergeCell ref="L579:M579"/>
    <mergeCell ref="L580:M580"/>
    <mergeCell ref="L581:M581"/>
    <mergeCell ref="L590:M590"/>
    <mergeCell ref="L582:M582"/>
    <mergeCell ref="L583:M583"/>
    <mergeCell ref="L584:M584"/>
    <mergeCell ref="L598:M598"/>
    <mergeCell ref="L599:M599"/>
    <mergeCell ref="L600:M600"/>
    <mergeCell ref="L601:M601"/>
    <mergeCell ref="L594:M594"/>
    <mergeCell ref="L595:M595"/>
    <mergeCell ref="L596:M596"/>
    <mergeCell ref="L597:M597"/>
    <mergeCell ref="L607:M607"/>
    <mergeCell ref="L608:M608"/>
    <mergeCell ref="L609:M609"/>
    <mergeCell ref="L602:M602"/>
    <mergeCell ref="L603:M603"/>
    <mergeCell ref="L604:M604"/>
    <mergeCell ref="L605:M605"/>
    <mergeCell ref="L606:M606"/>
    <mergeCell ref="L616:M616"/>
    <mergeCell ref="L617:M617"/>
    <mergeCell ref="L610:M610"/>
    <mergeCell ref="L611:M611"/>
    <mergeCell ref="L612:M612"/>
    <mergeCell ref="L613:M613"/>
    <mergeCell ref="L614:M614"/>
    <mergeCell ref="L615:M615"/>
    <mergeCell ref="L631:M631"/>
    <mergeCell ref="L632:M632"/>
    <mergeCell ref="L633:M633"/>
    <mergeCell ref="L626:M626"/>
    <mergeCell ref="L627:M627"/>
    <mergeCell ref="L628:M628"/>
    <mergeCell ref="L629:M629"/>
    <mergeCell ref="L625:M625"/>
    <mergeCell ref="L618:M618"/>
    <mergeCell ref="L619:M619"/>
    <mergeCell ref="L620:M620"/>
    <mergeCell ref="L621:M621"/>
    <mergeCell ref="L630:M630"/>
    <mergeCell ref="L622:M622"/>
    <mergeCell ref="L623:M623"/>
    <mergeCell ref="L624:M624"/>
    <mergeCell ref="L638:M638"/>
    <mergeCell ref="L639:M639"/>
    <mergeCell ref="L640:M640"/>
    <mergeCell ref="L641:M641"/>
    <mergeCell ref="L634:M634"/>
    <mergeCell ref="L635:M635"/>
    <mergeCell ref="L636:M636"/>
    <mergeCell ref="L637:M637"/>
    <mergeCell ref="L647:M647"/>
    <mergeCell ref="L648:M648"/>
    <mergeCell ref="L649:M649"/>
    <mergeCell ref="L642:M642"/>
    <mergeCell ref="L643:M643"/>
    <mergeCell ref="L644:M644"/>
    <mergeCell ref="L645:M645"/>
    <mergeCell ref="L646:M646"/>
    <mergeCell ref="L656:M656"/>
    <mergeCell ref="L657:M657"/>
    <mergeCell ref="L650:M650"/>
    <mergeCell ref="L651:M651"/>
    <mergeCell ref="L652:M652"/>
    <mergeCell ref="L653:M653"/>
    <mergeCell ref="L654:M654"/>
    <mergeCell ref="L655:M655"/>
    <mergeCell ref="L671:M671"/>
    <mergeCell ref="L672:M672"/>
    <mergeCell ref="L673:M673"/>
    <mergeCell ref="L666:M666"/>
    <mergeCell ref="L667:M667"/>
    <mergeCell ref="L668:M668"/>
    <mergeCell ref="L669:M669"/>
    <mergeCell ref="L665:M665"/>
    <mergeCell ref="L658:M658"/>
    <mergeCell ref="L659:M659"/>
    <mergeCell ref="L660:M660"/>
    <mergeCell ref="L661:M661"/>
    <mergeCell ref="L670:M670"/>
    <mergeCell ref="L662:M662"/>
    <mergeCell ref="L663:M663"/>
    <mergeCell ref="L664:M664"/>
    <mergeCell ref="L678:M678"/>
    <mergeCell ref="L679:M679"/>
    <mergeCell ref="L680:M680"/>
    <mergeCell ref="L681:M681"/>
    <mergeCell ref="L674:M674"/>
    <mergeCell ref="L675:M675"/>
    <mergeCell ref="L676:M676"/>
    <mergeCell ref="L677:M677"/>
    <mergeCell ref="L687:M687"/>
    <mergeCell ref="L688:M688"/>
    <mergeCell ref="L689:M689"/>
    <mergeCell ref="L682:M682"/>
    <mergeCell ref="L683:M683"/>
    <mergeCell ref="L684:M684"/>
    <mergeCell ref="L685:M685"/>
    <mergeCell ref="L686:M686"/>
    <mergeCell ref="L696:M696"/>
    <mergeCell ref="L697:M697"/>
    <mergeCell ref="L690:M690"/>
    <mergeCell ref="L691:M691"/>
    <mergeCell ref="L692:M692"/>
    <mergeCell ref="L693:M693"/>
    <mergeCell ref="L694:M694"/>
    <mergeCell ref="L695:M695"/>
    <mergeCell ref="L711:M711"/>
    <mergeCell ref="L712:M712"/>
    <mergeCell ref="L713:M713"/>
    <mergeCell ref="L706:M706"/>
    <mergeCell ref="L707:M707"/>
    <mergeCell ref="L708:M708"/>
    <mergeCell ref="L709:M709"/>
    <mergeCell ref="L705:M705"/>
    <mergeCell ref="L698:M698"/>
    <mergeCell ref="L699:M699"/>
    <mergeCell ref="L700:M700"/>
    <mergeCell ref="L701:M701"/>
    <mergeCell ref="L710:M710"/>
    <mergeCell ref="L702:M702"/>
    <mergeCell ref="L703:M703"/>
    <mergeCell ref="L704:M704"/>
    <mergeCell ref="L718:M718"/>
    <mergeCell ref="L719:M719"/>
    <mergeCell ref="L720:M720"/>
    <mergeCell ref="L721:M721"/>
    <mergeCell ref="L714:M714"/>
    <mergeCell ref="L715:M715"/>
    <mergeCell ref="L716:M716"/>
    <mergeCell ref="L717:M717"/>
    <mergeCell ref="L727:M727"/>
    <mergeCell ref="L728:M728"/>
    <mergeCell ref="L729:M729"/>
    <mergeCell ref="L722:M722"/>
    <mergeCell ref="L723:M723"/>
    <mergeCell ref="L724:M724"/>
    <mergeCell ref="L725:M725"/>
    <mergeCell ref="L726:M726"/>
    <mergeCell ref="L736:M736"/>
    <mergeCell ref="L737:M737"/>
    <mergeCell ref="L730:M730"/>
    <mergeCell ref="L731:M731"/>
    <mergeCell ref="L732:M732"/>
    <mergeCell ref="L733:M733"/>
    <mergeCell ref="L734:M734"/>
    <mergeCell ref="L735:M735"/>
    <mergeCell ref="L751:M751"/>
    <mergeCell ref="L752:M752"/>
    <mergeCell ref="L753:M753"/>
    <mergeCell ref="L746:M746"/>
    <mergeCell ref="L747:M747"/>
    <mergeCell ref="L748:M748"/>
    <mergeCell ref="L749:M749"/>
    <mergeCell ref="L745:M745"/>
    <mergeCell ref="L738:M738"/>
    <mergeCell ref="L739:M739"/>
    <mergeCell ref="L740:M740"/>
    <mergeCell ref="L741:M741"/>
    <mergeCell ref="L750:M750"/>
    <mergeCell ref="L742:M742"/>
    <mergeCell ref="L743:M743"/>
    <mergeCell ref="L744:M744"/>
    <mergeCell ref="L758:M758"/>
    <mergeCell ref="L759:M759"/>
    <mergeCell ref="L760:M760"/>
    <mergeCell ref="L761:M761"/>
    <mergeCell ref="L754:M754"/>
    <mergeCell ref="L755:M755"/>
    <mergeCell ref="L756:M756"/>
    <mergeCell ref="L757:M757"/>
    <mergeCell ref="L767:M767"/>
    <mergeCell ref="L768:M768"/>
    <mergeCell ref="L769:M769"/>
    <mergeCell ref="L762:M762"/>
    <mergeCell ref="L763:M763"/>
    <mergeCell ref="L764:M764"/>
    <mergeCell ref="L765:M765"/>
    <mergeCell ref="L766:M766"/>
    <mergeCell ref="L776:M776"/>
    <mergeCell ref="L777:M777"/>
    <mergeCell ref="L770:M770"/>
    <mergeCell ref="L771:M771"/>
    <mergeCell ref="L772:M772"/>
    <mergeCell ref="L773:M773"/>
    <mergeCell ref="L774:M774"/>
    <mergeCell ref="L775:M775"/>
    <mergeCell ref="L791:M791"/>
    <mergeCell ref="L792:M792"/>
    <mergeCell ref="L793:M793"/>
    <mergeCell ref="L786:M786"/>
    <mergeCell ref="L787:M787"/>
    <mergeCell ref="L788:M788"/>
    <mergeCell ref="L789:M789"/>
    <mergeCell ref="L785:M785"/>
    <mergeCell ref="L778:M778"/>
    <mergeCell ref="L779:M779"/>
    <mergeCell ref="L780:M780"/>
    <mergeCell ref="L781:M781"/>
    <mergeCell ref="L790:M790"/>
    <mergeCell ref="L782:M782"/>
    <mergeCell ref="L783:M783"/>
    <mergeCell ref="L784:M784"/>
    <mergeCell ref="L798:M798"/>
    <mergeCell ref="L799:M799"/>
    <mergeCell ref="L800:M800"/>
    <mergeCell ref="L801:M801"/>
    <mergeCell ref="L794:M794"/>
    <mergeCell ref="L795:M795"/>
    <mergeCell ref="L796:M796"/>
    <mergeCell ref="L797:M797"/>
    <mergeCell ref="L807:M807"/>
    <mergeCell ref="L808:M808"/>
    <mergeCell ref="L809:M809"/>
    <mergeCell ref="L802:M802"/>
    <mergeCell ref="L803:M803"/>
    <mergeCell ref="L804:M804"/>
    <mergeCell ref="L805:M805"/>
    <mergeCell ref="L806:M806"/>
    <mergeCell ref="L816:M816"/>
    <mergeCell ref="L817:M817"/>
    <mergeCell ref="L810:M810"/>
    <mergeCell ref="L811:M811"/>
    <mergeCell ref="L812:M812"/>
    <mergeCell ref="L813:M813"/>
    <mergeCell ref="L814:M814"/>
    <mergeCell ref="L815:M815"/>
    <mergeCell ref="L831:M831"/>
    <mergeCell ref="L832:M832"/>
    <mergeCell ref="L833:M833"/>
    <mergeCell ref="L826:M826"/>
    <mergeCell ref="L827:M827"/>
    <mergeCell ref="L828:M828"/>
    <mergeCell ref="L829:M829"/>
    <mergeCell ref="L825:M825"/>
    <mergeCell ref="L818:M818"/>
    <mergeCell ref="L819:M819"/>
    <mergeCell ref="L820:M820"/>
    <mergeCell ref="L821:M821"/>
    <mergeCell ref="L830:M830"/>
    <mergeCell ref="L822:M822"/>
    <mergeCell ref="L823:M823"/>
    <mergeCell ref="L824:M824"/>
    <mergeCell ref="L838:M838"/>
    <mergeCell ref="L839:M839"/>
    <mergeCell ref="L840:M840"/>
    <mergeCell ref="L841:M841"/>
    <mergeCell ref="L834:M834"/>
    <mergeCell ref="L835:M835"/>
    <mergeCell ref="L836:M836"/>
    <mergeCell ref="L837:M837"/>
    <mergeCell ref="L847:M847"/>
    <mergeCell ref="L848:M848"/>
    <mergeCell ref="L849:M849"/>
    <mergeCell ref="L842:M842"/>
    <mergeCell ref="L843:M843"/>
    <mergeCell ref="L844:M844"/>
    <mergeCell ref="L845:M845"/>
    <mergeCell ref="L846:M846"/>
    <mergeCell ref="L856:M856"/>
    <mergeCell ref="L857:M857"/>
    <mergeCell ref="L850:M850"/>
    <mergeCell ref="L851:M851"/>
    <mergeCell ref="L852:M852"/>
    <mergeCell ref="L853:M853"/>
    <mergeCell ref="L854:M854"/>
    <mergeCell ref="L855:M855"/>
    <mergeCell ref="L871:M871"/>
    <mergeCell ref="L872:M872"/>
    <mergeCell ref="L873:M873"/>
    <mergeCell ref="L866:M866"/>
    <mergeCell ref="L867:M867"/>
    <mergeCell ref="L868:M868"/>
    <mergeCell ref="L869:M869"/>
    <mergeCell ref="L865:M865"/>
    <mergeCell ref="L858:M858"/>
    <mergeCell ref="L859:M859"/>
    <mergeCell ref="L860:M860"/>
    <mergeCell ref="L861:M861"/>
    <mergeCell ref="L870:M870"/>
    <mergeCell ref="L862:M862"/>
    <mergeCell ref="L863:M863"/>
    <mergeCell ref="L864:M864"/>
    <mergeCell ref="L878:M878"/>
    <mergeCell ref="L879:M879"/>
    <mergeCell ref="L880:M880"/>
    <mergeCell ref="L881:M881"/>
    <mergeCell ref="L874:M874"/>
    <mergeCell ref="L875:M875"/>
    <mergeCell ref="L876:M876"/>
    <mergeCell ref="L877:M877"/>
    <mergeCell ref="L887:M887"/>
    <mergeCell ref="L888:M888"/>
    <mergeCell ref="L889:M889"/>
    <mergeCell ref="L882:M882"/>
    <mergeCell ref="L883:M883"/>
    <mergeCell ref="L884:M884"/>
    <mergeCell ref="L885:M885"/>
    <mergeCell ref="L886:M886"/>
    <mergeCell ref="L896:M896"/>
    <mergeCell ref="L897:M897"/>
    <mergeCell ref="L890:M890"/>
    <mergeCell ref="L891:M891"/>
    <mergeCell ref="L892:M892"/>
    <mergeCell ref="L893:M893"/>
    <mergeCell ref="L894:M894"/>
    <mergeCell ref="L895:M895"/>
    <mergeCell ref="L911:M911"/>
    <mergeCell ref="L912:M912"/>
    <mergeCell ref="L906:M906"/>
    <mergeCell ref="L907:M907"/>
    <mergeCell ref="L908:M908"/>
    <mergeCell ref="L909:M909"/>
    <mergeCell ref="L905:M905"/>
    <mergeCell ref="L898:M898"/>
    <mergeCell ref="L899:M899"/>
    <mergeCell ref="L900:M900"/>
    <mergeCell ref="L901:M901"/>
    <mergeCell ref="L910:M910"/>
    <mergeCell ref="L902:M902"/>
    <mergeCell ref="L903:M903"/>
    <mergeCell ref="L904:M904"/>
    <mergeCell ref="L927:M927"/>
    <mergeCell ref="L928:M928"/>
    <mergeCell ref="L929:M929"/>
    <mergeCell ref="L922:M922"/>
    <mergeCell ref="L923:M923"/>
    <mergeCell ref="L924:M924"/>
    <mergeCell ref="L925:M925"/>
    <mergeCell ref="L926:M926"/>
    <mergeCell ref="L913:M913"/>
    <mergeCell ref="L918:M918"/>
    <mergeCell ref="L919:M919"/>
    <mergeCell ref="L920:M920"/>
    <mergeCell ref="L921:M921"/>
    <mergeCell ref="L914:M914"/>
    <mergeCell ref="L915:M915"/>
    <mergeCell ref="L916:M916"/>
    <mergeCell ref="L917:M917"/>
  </mergeCells>
  <printOptions horizontalCentered="1"/>
  <pageMargins left="0.59055118110236227" right="0.59055118110236227" top="0.59055118110236227" bottom="0.59055118110236227" header="0.39370078740157483" footer="0.39370078740157483"/>
  <pageSetup paperSize="9" scale="80" firstPageNumber="12" fitToHeight="0" orientation="portrait" r:id="rId4"/>
  <headerFooter alignWithMargins="0">
    <oddFooter>&amp;L&amp;11LEL Schwäbisch Gmünd&amp;C&amp;P+8&amp;R&amp;11&amp;F</oddFooter>
  </headerFooter>
  <drawing r:id="rId5"/>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1">
    <tabColor rgb="FF00B0F0"/>
    <pageSetUpPr fitToPage="1"/>
  </sheetPr>
  <dimension ref="B1:AL254"/>
  <sheetViews>
    <sheetView workbookViewId="0">
      <selection activeCell="B2" sqref="B2"/>
    </sheetView>
  </sheetViews>
  <sheetFormatPr baseColWidth="10" defaultColWidth="10.5" defaultRowHeight="13.2"/>
  <cols>
    <col min="1" max="1" width="1.5" style="27" customWidth="1"/>
    <col min="2" max="2" width="2.3984375" style="27" customWidth="1"/>
    <col min="3" max="3" width="10.5" style="27" customWidth="1"/>
    <col min="4" max="4" width="8.69921875" style="27" customWidth="1"/>
    <col min="5" max="5" width="12.59765625" style="27" customWidth="1"/>
    <col min="6" max="6" width="7.69921875" style="27" customWidth="1"/>
    <col min="7" max="7" width="11.19921875" style="27" customWidth="1"/>
    <col min="8" max="8" width="5.69921875" style="27" customWidth="1"/>
    <col min="9" max="9" width="14.09765625" style="27" customWidth="1"/>
    <col min="10" max="10" width="7.69921875" style="27" customWidth="1"/>
    <col min="11" max="11" width="11.19921875" style="27" customWidth="1"/>
    <col min="12" max="13" width="6.59765625" style="27" customWidth="1"/>
    <col min="14" max="14" width="6.8984375" style="27" customWidth="1"/>
    <col min="15" max="15" width="10.5" style="27" customWidth="1"/>
    <col min="16" max="16" width="15.19921875" style="27" customWidth="1"/>
    <col min="17" max="17" width="10.5" style="27" customWidth="1"/>
    <col min="18" max="18" width="14.19921875" style="27" customWidth="1"/>
    <col min="19" max="23" width="10.5" style="27" customWidth="1"/>
    <col min="24" max="24" width="6" style="27" customWidth="1"/>
    <col min="25" max="16384" width="10.5" style="27"/>
  </cols>
  <sheetData>
    <row r="1" spans="2:9" ht="8.6999999999999993" customHeight="1"/>
    <row r="2" spans="2:9" ht="21">
      <c r="C2" s="524" t="s">
        <v>673</v>
      </c>
    </row>
    <row r="3" spans="2:9" ht="9" hidden="1" customHeight="1">
      <c r="B3" s="42"/>
      <c r="C3" s="504"/>
      <c r="D3" s="503"/>
      <c r="E3" s="503"/>
    </row>
    <row r="4" spans="2:9" ht="15" hidden="1" customHeight="1">
      <c r="C4" s="523"/>
      <c r="D4" s="503"/>
      <c r="E4" s="503"/>
    </row>
    <row r="5" spans="2:9" ht="15" hidden="1" customHeight="1">
      <c r="C5" s="523"/>
      <c r="D5" s="503"/>
      <c r="E5" s="503"/>
    </row>
    <row r="6" spans="2:9" ht="9" hidden="1" customHeight="1">
      <c r="C6" s="504"/>
      <c r="D6" s="503"/>
      <c r="E6" s="503"/>
      <c r="H6" s="3008"/>
      <c r="I6" s="3008"/>
    </row>
    <row r="7" spans="2:9" ht="12.9" hidden="1" customHeight="1"/>
    <row r="8" spans="2:9" ht="13.65" hidden="1" customHeight="1"/>
    <row r="9" spans="2:9" ht="13.65" hidden="1" customHeight="1"/>
    <row r="10" spans="2:9" ht="13.65" hidden="1" customHeight="1"/>
    <row r="11" spans="2:9" ht="13.65" hidden="1" customHeight="1"/>
    <row r="12" spans="2:9" ht="13.65" hidden="1" customHeight="1"/>
    <row r="13" spans="2:9" ht="13.65" hidden="1" customHeight="1"/>
    <row r="14" spans="2:9" ht="13.65" hidden="1" customHeight="1"/>
    <row r="15" spans="2:9" ht="13.65" hidden="1" customHeight="1"/>
    <row r="16" spans="2:9" ht="13.65" hidden="1" customHeight="1"/>
    <row r="17" spans="22:22" ht="13.65" hidden="1" customHeight="1"/>
    <row r="18" spans="22:22" ht="13.65" hidden="1" customHeight="1"/>
    <row r="19" spans="22:22" ht="13.65" hidden="1" customHeight="1"/>
    <row r="20" spans="22:22" ht="13.65" hidden="1" customHeight="1"/>
    <row r="21" spans="22:22" ht="13.65" hidden="1" customHeight="1"/>
    <row r="22" spans="22:22" ht="13.65" hidden="1" customHeight="1"/>
    <row r="23" spans="22:22" ht="13.65" hidden="1" customHeight="1">
      <c r="V23" s="29"/>
    </row>
    <row r="24" spans="22:22" ht="13.65" hidden="1" customHeight="1"/>
    <row r="25" spans="22:22" ht="13.65" hidden="1" customHeight="1"/>
    <row r="26" spans="22:22" ht="13.65" hidden="1" customHeight="1"/>
    <row r="27" spans="22:22" ht="13.65" hidden="1" customHeight="1"/>
    <row r="28" spans="22:22" ht="13.65" hidden="1" customHeight="1"/>
    <row r="29" spans="22:22" ht="13.65" hidden="1" customHeight="1"/>
    <row r="30" spans="22:22" ht="13.65" hidden="1" customHeight="1"/>
    <row r="31" spans="22:22" ht="13.65" hidden="1" customHeight="1"/>
    <row r="32" spans="22:22" ht="13.65" hidden="1" customHeight="1"/>
    <row r="33" spans="2:19" ht="13.65" hidden="1" customHeight="1"/>
    <row r="34" spans="2:19" ht="13.65" hidden="1" customHeight="1"/>
    <row r="35" spans="2:19" ht="13.65" hidden="1" customHeight="1"/>
    <row r="36" spans="2:19" ht="13.65" hidden="1" customHeight="1"/>
    <row r="37" spans="2:19" ht="13.65" hidden="1" customHeight="1"/>
    <row r="38" spans="2:19" ht="13.65" hidden="1" customHeight="1"/>
    <row r="39" spans="2:19" ht="13.65" hidden="1" customHeight="1"/>
    <row r="40" spans="2:19">
      <c r="B40" s="3008"/>
    </row>
    <row r="41" spans="2:19" ht="13.65" customHeight="1">
      <c r="B41" s="3008"/>
      <c r="C41" s="3486" t="s">
        <v>670</v>
      </c>
      <c r="D41" s="3487"/>
      <c r="E41" s="3487"/>
      <c r="F41" s="3487"/>
      <c r="G41" s="3487"/>
      <c r="H41" s="3487"/>
      <c r="I41" s="3488"/>
    </row>
    <row r="42" spans="2:19" ht="13.65" customHeight="1">
      <c r="B42" s="3008"/>
      <c r="C42" s="3489"/>
      <c r="D42" s="3490"/>
      <c r="E42" s="3490"/>
      <c r="F42" s="3490"/>
      <c r="G42" s="3490"/>
      <c r="H42" s="3490"/>
      <c r="I42" s="3491"/>
      <c r="K42" s="3448" t="s">
        <v>669</v>
      </c>
      <c r="L42" s="3396"/>
      <c r="M42" s="3396"/>
      <c r="N42" s="3396"/>
      <c r="O42" s="3396"/>
      <c r="P42" s="3396"/>
      <c r="Q42" s="3396"/>
      <c r="R42" s="3397"/>
      <c r="S42" s="3008"/>
    </row>
    <row r="43" spans="2:19" ht="13.65" customHeight="1">
      <c r="B43" s="3008"/>
      <c r="C43" s="3492" t="s">
        <v>668</v>
      </c>
      <c r="D43" s="3493"/>
      <c r="E43" s="208"/>
      <c r="F43" s="3492" t="s">
        <v>667</v>
      </c>
      <c r="G43" s="3518"/>
      <c r="H43" s="4016" t="s">
        <v>1628</v>
      </c>
      <c r="I43" s="4017"/>
      <c r="J43" s="3008"/>
      <c r="K43" s="3398"/>
      <c r="L43" s="3399"/>
      <c r="M43" s="3400"/>
      <c r="N43" s="3400"/>
      <c r="O43" s="3400"/>
      <c r="P43" s="3400"/>
      <c r="Q43" s="3400"/>
      <c r="R43" s="3401"/>
      <c r="S43" s="3008"/>
    </row>
    <row r="44" spans="2:19" ht="13.65" customHeight="1">
      <c r="B44" s="3008"/>
      <c r="C44" s="3263"/>
      <c r="D44" s="2783"/>
      <c r="E44" s="2783"/>
      <c r="F44" s="3519" t="s">
        <v>662</v>
      </c>
      <c r="G44" s="3517"/>
      <c r="H44" s="4018" t="s">
        <v>1629</v>
      </c>
      <c r="I44" s="4019"/>
      <c r="J44" s="36"/>
      <c r="K44" s="3259" t="s">
        <v>666</v>
      </c>
      <c r="L44" s="3260"/>
      <c r="M44" s="3260"/>
      <c r="N44" s="3260"/>
      <c r="O44" s="3260"/>
      <c r="P44" s="3261" t="s">
        <v>665</v>
      </c>
      <c r="Q44" s="3495" t="s">
        <v>664</v>
      </c>
      <c r="R44" s="3262" t="s">
        <v>663</v>
      </c>
      <c r="S44" s="3008"/>
    </row>
    <row r="45" spans="2:19" ht="13.65" customHeight="1">
      <c r="B45" s="3008"/>
      <c r="C45" s="3233" t="s">
        <v>259</v>
      </c>
      <c r="D45" s="3234"/>
      <c r="E45" s="3235" t="s">
        <v>661</v>
      </c>
      <c r="F45" s="4012">
        <v>75</v>
      </c>
      <c r="G45" s="4013"/>
      <c r="H45" s="4014">
        <v>160</v>
      </c>
      <c r="I45" s="4015"/>
      <c r="J45" s="36"/>
      <c r="K45" s="217"/>
      <c r="L45" s="2783"/>
      <c r="M45" s="2783"/>
      <c r="N45" s="2783"/>
      <c r="O45" s="2783"/>
      <c r="P45" s="3494" t="s">
        <v>612</v>
      </c>
      <c r="Q45" s="3494" t="s">
        <v>1689</v>
      </c>
      <c r="R45" s="3264" t="s">
        <v>220</v>
      </c>
      <c r="S45" s="3008"/>
    </row>
    <row r="46" spans="2:19" ht="13.65" customHeight="1">
      <c r="B46" s="3008"/>
      <c r="C46" s="3240" t="s">
        <v>259</v>
      </c>
      <c r="D46" s="2276"/>
      <c r="E46" s="3201" t="s">
        <v>647</v>
      </c>
      <c r="F46" s="4012">
        <v>80</v>
      </c>
      <c r="G46" s="4013"/>
      <c r="H46" s="4014">
        <v>160</v>
      </c>
      <c r="I46" s="4015"/>
      <c r="J46" s="2274"/>
      <c r="K46" s="3236" t="s">
        <v>660</v>
      </c>
      <c r="L46" s="3234"/>
      <c r="M46" s="3447" t="s">
        <v>51</v>
      </c>
      <c r="N46" s="3447"/>
      <c r="O46" s="3234"/>
      <c r="P46" s="3237" t="s">
        <v>1630</v>
      </c>
      <c r="Q46" s="3238" t="s">
        <v>621</v>
      </c>
      <c r="R46" s="3239">
        <v>77</v>
      </c>
      <c r="S46" s="3008"/>
    </row>
    <row r="47" spans="2:19" ht="13.65" customHeight="1">
      <c r="B47" s="3008"/>
      <c r="C47" s="3240" t="s">
        <v>259</v>
      </c>
      <c r="D47" s="2276"/>
      <c r="E47" s="3201" t="s">
        <v>658</v>
      </c>
      <c r="F47" s="4012">
        <v>82</v>
      </c>
      <c r="G47" s="4013"/>
      <c r="H47" s="4014">
        <v>160</v>
      </c>
      <c r="I47" s="4015"/>
      <c r="J47" s="2274"/>
      <c r="K47" s="3240"/>
      <c r="L47" s="2276"/>
      <c r="M47" s="3024" t="s">
        <v>659</v>
      </c>
      <c r="N47" s="3024"/>
      <c r="O47" s="2276"/>
      <c r="P47" s="3241" t="s">
        <v>1631</v>
      </c>
      <c r="Q47" s="3242" t="s">
        <v>623</v>
      </c>
      <c r="R47" s="3243">
        <v>70</v>
      </c>
      <c r="S47" s="3008"/>
    </row>
    <row r="48" spans="2:19" ht="13.65" customHeight="1">
      <c r="B48" s="3008"/>
      <c r="C48" s="3240" t="s">
        <v>259</v>
      </c>
      <c r="D48" s="2276"/>
      <c r="E48" s="3201" t="s">
        <v>656</v>
      </c>
      <c r="F48" s="4012">
        <v>85</v>
      </c>
      <c r="G48" s="4013"/>
      <c r="H48" s="4014">
        <v>160</v>
      </c>
      <c r="I48" s="4015"/>
      <c r="J48" s="2274"/>
      <c r="K48" s="3240"/>
      <c r="L48" s="2276"/>
      <c r="M48" s="3024" t="s">
        <v>657</v>
      </c>
      <c r="N48" s="3024"/>
      <c r="O48" s="2276"/>
      <c r="P48" s="3241" t="s">
        <v>1632</v>
      </c>
      <c r="Q48" s="3242" t="s">
        <v>621</v>
      </c>
      <c r="R48" s="3243">
        <v>187</v>
      </c>
      <c r="S48" s="3008"/>
    </row>
    <row r="49" spans="2:20" ht="13.65" customHeight="1">
      <c r="B49" s="3008"/>
      <c r="C49" s="3240" t="s">
        <v>89</v>
      </c>
      <c r="D49" s="2276"/>
      <c r="E49" s="3201" t="s">
        <v>654</v>
      </c>
      <c r="F49" s="4012">
        <v>77</v>
      </c>
      <c r="G49" s="4013"/>
      <c r="H49" s="4014">
        <v>100</v>
      </c>
      <c r="I49" s="4015"/>
      <c r="J49" s="2274"/>
      <c r="K49" s="3240"/>
      <c r="L49" s="2276"/>
      <c r="M49" s="3024" t="s">
        <v>655</v>
      </c>
      <c r="N49" s="3024"/>
      <c r="O49" s="2276"/>
      <c r="P49" s="3648">
        <v>125</v>
      </c>
      <c r="Q49" s="3242" t="s">
        <v>619</v>
      </c>
      <c r="R49" s="3243">
        <v>240</v>
      </c>
      <c r="S49" s="3008"/>
    </row>
    <row r="50" spans="2:20" ht="13.65" customHeight="1">
      <c r="B50" s="3008"/>
      <c r="C50" s="3240" t="s">
        <v>89</v>
      </c>
      <c r="D50" s="2276"/>
      <c r="E50" s="3201" t="s">
        <v>635</v>
      </c>
      <c r="F50" s="4012">
        <v>76</v>
      </c>
      <c r="G50" s="4013"/>
      <c r="H50" s="4014">
        <v>220</v>
      </c>
      <c r="I50" s="4015"/>
      <c r="J50" s="2274"/>
      <c r="K50" s="3240"/>
      <c r="L50" s="2276"/>
      <c r="M50" s="3024" t="s">
        <v>49</v>
      </c>
      <c r="N50" s="3024"/>
      <c r="O50" s="2276"/>
      <c r="P50" s="3648">
        <v>175</v>
      </c>
      <c r="Q50" s="3242" t="s">
        <v>621</v>
      </c>
      <c r="R50" s="3243">
        <v>83</v>
      </c>
      <c r="S50" s="3008"/>
    </row>
    <row r="51" spans="2:20" ht="13.65" customHeight="1">
      <c r="B51" s="3008"/>
      <c r="C51" s="3240" t="s">
        <v>87</v>
      </c>
      <c r="D51" s="2276"/>
      <c r="E51" s="3201"/>
      <c r="F51" s="4012">
        <v>74</v>
      </c>
      <c r="G51" s="4013"/>
      <c r="H51" s="4014">
        <v>150</v>
      </c>
      <c r="I51" s="4015"/>
      <c r="J51" s="2274"/>
      <c r="K51" s="3240"/>
      <c r="L51" s="2276"/>
      <c r="M51" s="3024" t="s">
        <v>653</v>
      </c>
      <c r="N51" s="3024"/>
      <c r="O51" s="2276"/>
      <c r="P51" s="3241">
        <v>150</v>
      </c>
      <c r="Q51" s="3244" t="s">
        <v>623</v>
      </c>
      <c r="R51" s="3243">
        <v>263</v>
      </c>
      <c r="S51" s="3008"/>
    </row>
    <row r="52" spans="2:20" ht="13.65" customHeight="1">
      <c r="B52" s="3008"/>
      <c r="C52" s="3240" t="s">
        <v>85</v>
      </c>
      <c r="D52" s="2276"/>
      <c r="E52" s="3201" t="s">
        <v>645</v>
      </c>
      <c r="F52" s="4012">
        <v>75</v>
      </c>
      <c r="G52" s="4013"/>
      <c r="H52" s="4014">
        <v>125</v>
      </c>
      <c r="I52" s="4015"/>
      <c r="J52" s="2274"/>
      <c r="K52" s="3245" t="s">
        <v>652</v>
      </c>
      <c r="L52" s="3246"/>
      <c r="M52" s="3445" t="s">
        <v>651</v>
      </c>
      <c r="N52" s="3445"/>
      <c r="O52" s="3246"/>
      <c r="P52" s="3649">
        <v>25</v>
      </c>
      <c r="Q52" s="3248" t="s">
        <v>623</v>
      </c>
      <c r="R52" s="3249">
        <v>400</v>
      </c>
      <c r="S52" s="3008"/>
    </row>
    <row r="53" spans="2:20" ht="13.65" customHeight="1">
      <c r="B53" s="3008"/>
      <c r="C53" s="3240" t="s">
        <v>83</v>
      </c>
      <c r="D53" s="2276"/>
      <c r="E53" s="3201"/>
      <c r="F53" s="4012">
        <v>95</v>
      </c>
      <c r="G53" s="4013"/>
      <c r="H53" s="4014">
        <v>185</v>
      </c>
      <c r="I53" s="4015"/>
      <c r="J53" s="2274"/>
      <c r="K53" s="3240"/>
      <c r="L53" s="2276"/>
      <c r="M53" s="3024" t="s">
        <v>650</v>
      </c>
      <c r="N53" s="3024"/>
      <c r="O53" s="2276"/>
      <c r="P53" s="3648">
        <v>45</v>
      </c>
      <c r="Q53" s="3244" t="s">
        <v>619</v>
      </c>
      <c r="R53" s="3243">
        <v>350</v>
      </c>
      <c r="S53" s="3008"/>
    </row>
    <row r="54" spans="2:20" ht="13.65" customHeight="1">
      <c r="B54" s="3008"/>
      <c r="C54" s="3240" t="s">
        <v>80</v>
      </c>
      <c r="D54" s="2276"/>
      <c r="E54" s="3201" t="s">
        <v>647</v>
      </c>
      <c r="F54" s="4012">
        <v>75</v>
      </c>
      <c r="G54" s="4013"/>
      <c r="H54" s="4014">
        <v>195</v>
      </c>
      <c r="I54" s="4015"/>
      <c r="J54" s="2274"/>
      <c r="K54" s="3245" t="s">
        <v>649</v>
      </c>
      <c r="L54" s="3246"/>
      <c r="M54" s="3445" t="s">
        <v>648</v>
      </c>
      <c r="N54" s="3445"/>
      <c r="O54" s="3246"/>
      <c r="P54" s="3649">
        <v>20</v>
      </c>
      <c r="Q54" s="3248" t="s">
        <v>623</v>
      </c>
      <c r="R54" s="3249">
        <v>105</v>
      </c>
      <c r="S54" s="3008"/>
    </row>
    <row r="55" spans="2:20" ht="13.65" customHeight="1">
      <c r="B55" s="3008"/>
      <c r="C55" s="3240" t="s">
        <v>257</v>
      </c>
      <c r="D55" s="2276"/>
      <c r="E55" s="3201" t="s">
        <v>645</v>
      </c>
      <c r="F55" s="4012">
        <v>77</v>
      </c>
      <c r="G55" s="4013"/>
      <c r="H55" s="4014">
        <v>165</v>
      </c>
      <c r="I55" s="4015"/>
      <c r="J55" s="2274"/>
      <c r="K55" s="3240"/>
      <c r="L55" s="2276"/>
      <c r="M55" s="3024" t="s">
        <v>646</v>
      </c>
      <c r="N55" s="3024"/>
      <c r="O55" s="2276"/>
      <c r="P55" s="3648">
        <v>35</v>
      </c>
      <c r="Q55" s="3242" t="s">
        <v>623</v>
      </c>
      <c r="R55" s="3243">
        <v>360</v>
      </c>
      <c r="S55" s="3008"/>
    </row>
    <row r="56" spans="2:20" ht="13.65" customHeight="1">
      <c r="B56" s="3008"/>
      <c r="C56" s="3240" t="s">
        <v>76</v>
      </c>
      <c r="D56" s="2276"/>
      <c r="E56" s="3201"/>
      <c r="F56" s="4012">
        <v>87</v>
      </c>
      <c r="G56" s="4013"/>
      <c r="H56" s="4014">
        <v>160</v>
      </c>
      <c r="I56" s="4015"/>
      <c r="J56" s="2274"/>
      <c r="K56" s="3240"/>
      <c r="L56" s="2276"/>
      <c r="M56" s="3024" t="s">
        <v>644</v>
      </c>
      <c r="N56" s="3024"/>
      <c r="O56" s="2276"/>
      <c r="P56" s="3648">
        <v>30</v>
      </c>
      <c r="Q56" s="3244" t="s">
        <v>619</v>
      </c>
      <c r="R56" s="3243">
        <v>330</v>
      </c>
      <c r="S56" s="3008"/>
    </row>
    <row r="57" spans="2:20" ht="13.65" customHeight="1">
      <c r="B57" s="3008"/>
      <c r="C57" s="3240" t="s">
        <v>74</v>
      </c>
      <c r="D57" s="2276"/>
      <c r="E57" s="3201"/>
      <c r="F57" s="4012">
        <v>71</v>
      </c>
      <c r="G57" s="4013"/>
      <c r="H57" s="4014">
        <v>133</v>
      </c>
      <c r="I57" s="4015"/>
      <c r="J57" s="2274"/>
      <c r="K57" s="3245" t="s">
        <v>643</v>
      </c>
      <c r="L57" s="3246"/>
      <c r="M57" s="3445" t="s">
        <v>63</v>
      </c>
      <c r="N57" s="3445"/>
      <c r="O57" s="3246"/>
      <c r="P57" s="3649">
        <v>16</v>
      </c>
      <c r="Q57" s="3248" t="s">
        <v>623</v>
      </c>
      <c r="R57" s="3249">
        <v>600</v>
      </c>
      <c r="S57" s="3008"/>
    </row>
    <row r="58" spans="2:20" ht="13.65" customHeight="1">
      <c r="B58" s="3008"/>
      <c r="C58" s="3187" t="s">
        <v>72</v>
      </c>
      <c r="D58" s="3024"/>
      <c r="E58" s="3057"/>
      <c r="F58" s="4012">
        <v>95</v>
      </c>
      <c r="G58" s="4013"/>
      <c r="H58" s="4014">
        <v>170</v>
      </c>
      <c r="I58" s="4015"/>
      <c r="J58" s="2274"/>
      <c r="K58" s="3240"/>
      <c r="L58" s="2276"/>
      <c r="M58" s="3024" t="s">
        <v>61</v>
      </c>
      <c r="N58" s="3024"/>
      <c r="O58" s="2276"/>
      <c r="P58" s="3648">
        <v>16</v>
      </c>
      <c r="Q58" s="3242" t="s">
        <v>623</v>
      </c>
      <c r="R58" s="3243">
        <v>580</v>
      </c>
      <c r="S58" s="3008"/>
    </row>
    <row r="59" spans="2:20" ht="13.65" customHeight="1">
      <c r="B59" s="3008"/>
      <c r="C59" s="3187" t="s">
        <v>69</v>
      </c>
      <c r="D59" s="3024"/>
      <c r="E59" s="3057" t="s">
        <v>640</v>
      </c>
      <c r="F59" s="4012">
        <v>135</v>
      </c>
      <c r="G59" s="4013"/>
      <c r="H59" s="4014"/>
      <c r="I59" s="4015"/>
      <c r="J59" s="2274"/>
      <c r="K59" s="3240"/>
      <c r="L59" s="2276"/>
      <c r="M59" s="3024" t="s">
        <v>642</v>
      </c>
      <c r="N59" s="3024"/>
      <c r="O59" s="2276"/>
      <c r="P59" s="3648">
        <v>10</v>
      </c>
      <c r="Q59" s="3242" t="s">
        <v>641</v>
      </c>
      <c r="R59" s="3243">
        <v>313</v>
      </c>
      <c r="S59" s="3008"/>
    </row>
    <row r="60" spans="2:20" ht="13.65" customHeight="1">
      <c r="B60" s="3008"/>
      <c r="C60" s="3187" t="s">
        <v>66</v>
      </c>
      <c r="D60" s="3024"/>
      <c r="E60" s="3057" t="s">
        <v>637</v>
      </c>
      <c r="F60" s="4012">
        <v>125</v>
      </c>
      <c r="G60" s="4013"/>
      <c r="H60" s="4014"/>
      <c r="I60" s="4015"/>
      <c r="J60" s="2274"/>
      <c r="K60" s="3240"/>
      <c r="L60" s="2276"/>
      <c r="M60" s="3024" t="s">
        <v>639</v>
      </c>
      <c r="N60" s="3024"/>
      <c r="O60" s="2276"/>
      <c r="P60" s="3241" t="s">
        <v>638</v>
      </c>
      <c r="Q60" s="3242" t="s">
        <v>621</v>
      </c>
      <c r="R60" s="3243"/>
      <c r="S60" s="3008"/>
    </row>
    <row r="61" spans="2:20" s="29" customFormat="1" ht="13.65" customHeight="1">
      <c r="B61" s="3008"/>
      <c r="C61" s="3187" t="s">
        <v>63</v>
      </c>
      <c r="D61" s="3024"/>
      <c r="E61" s="3057" t="s">
        <v>635</v>
      </c>
      <c r="F61" s="4012">
        <v>300</v>
      </c>
      <c r="G61" s="4013"/>
      <c r="H61" s="4014"/>
      <c r="I61" s="4015"/>
      <c r="J61" s="3443"/>
      <c r="K61" s="3187"/>
      <c r="L61" s="3024"/>
      <c r="M61" s="3024" t="s">
        <v>636</v>
      </c>
      <c r="N61" s="3024"/>
      <c r="O61" s="3024"/>
      <c r="P61" s="3648">
        <v>22</v>
      </c>
      <c r="Q61" s="3242" t="s">
        <v>623</v>
      </c>
      <c r="R61" s="3243">
        <v>340</v>
      </c>
      <c r="S61" s="3008"/>
      <c r="T61" s="27"/>
    </row>
    <row r="62" spans="2:20" ht="13.65" customHeight="1">
      <c r="B62" s="3008"/>
      <c r="C62" s="3187"/>
      <c r="D62" s="3024"/>
      <c r="E62" s="3057" t="s">
        <v>633</v>
      </c>
      <c r="F62" s="4012">
        <v>182</v>
      </c>
      <c r="G62" s="4013"/>
      <c r="H62" s="4014"/>
      <c r="I62" s="4015"/>
      <c r="J62" s="3443"/>
      <c r="K62" s="3187"/>
      <c r="L62" s="3024"/>
      <c r="M62" s="3024" t="s">
        <v>634</v>
      </c>
      <c r="N62" s="3024"/>
      <c r="O62" s="3024"/>
      <c r="P62" s="3648">
        <v>22</v>
      </c>
      <c r="Q62" s="3242" t="s">
        <v>623</v>
      </c>
      <c r="R62" s="3243">
        <v>520</v>
      </c>
      <c r="S62" s="3008"/>
    </row>
    <row r="63" spans="2:20" ht="13.65" customHeight="1">
      <c r="B63" s="3008"/>
      <c r="C63" s="3187" t="s">
        <v>61</v>
      </c>
      <c r="D63" s="3024"/>
      <c r="E63" s="3057"/>
      <c r="F63" s="4012">
        <v>1200</v>
      </c>
      <c r="G63" s="4013"/>
      <c r="H63" s="4014">
        <v>5</v>
      </c>
      <c r="I63" s="4015"/>
      <c r="J63" s="3443"/>
      <c r="K63" s="3187"/>
      <c r="L63" s="3024"/>
      <c r="M63" s="3024" t="s">
        <v>632</v>
      </c>
      <c r="N63" s="3024"/>
      <c r="O63" s="3024"/>
      <c r="P63" s="3648">
        <v>18</v>
      </c>
      <c r="Q63" s="3242" t="s">
        <v>623</v>
      </c>
      <c r="R63" s="3243">
        <v>250</v>
      </c>
      <c r="S63" s="3008"/>
    </row>
    <row r="64" spans="2:20" ht="13.65" customHeight="1">
      <c r="B64" s="3008"/>
      <c r="C64" s="3187" t="s">
        <v>59</v>
      </c>
      <c r="D64" s="3024"/>
      <c r="E64" s="3057" t="s">
        <v>1642</v>
      </c>
      <c r="F64" s="4012">
        <v>250</v>
      </c>
      <c r="G64" s="4013"/>
      <c r="H64" s="4014" t="s">
        <v>1641</v>
      </c>
      <c r="I64" s="4015"/>
      <c r="J64" s="3443"/>
      <c r="K64" s="3187"/>
      <c r="L64" s="3024"/>
      <c r="M64" s="3024" t="s">
        <v>631</v>
      </c>
      <c r="N64" s="3024"/>
      <c r="O64" s="3024"/>
      <c r="P64" s="3648">
        <v>18</v>
      </c>
      <c r="Q64" s="3244" t="s">
        <v>623</v>
      </c>
      <c r="R64" s="3243">
        <v>310</v>
      </c>
      <c r="S64" s="3008"/>
    </row>
    <row r="65" spans="2:29" ht="13.65" customHeight="1">
      <c r="B65" s="3008"/>
      <c r="C65" s="3187" t="s">
        <v>253</v>
      </c>
      <c r="D65" s="3024"/>
      <c r="E65" s="3057"/>
      <c r="F65" s="4012">
        <v>250</v>
      </c>
      <c r="G65" s="4013"/>
      <c r="H65" s="4014">
        <v>139</v>
      </c>
      <c r="I65" s="4015"/>
      <c r="J65" s="3443"/>
      <c r="K65" s="3444" t="s">
        <v>630</v>
      </c>
      <c r="L65" s="3445"/>
      <c r="M65" s="3445" t="s">
        <v>629</v>
      </c>
      <c r="N65" s="3445"/>
      <c r="O65" s="3445"/>
      <c r="P65" s="3247" t="s">
        <v>628</v>
      </c>
      <c r="Q65" s="3248" t="s">
        <v>619</v>
      </c>
      <c r="R65" s="3249">
        <v>450</v>
      </c>
      <c r="S65" s="3008"/>
    </row>
    <row r="66" spans="2:29" ht="13.65" customHeight="1">
      <c r="B66" s="3008"/>
      <c r="C66" s="3187" t="s">
        <v>56</v>
      </c>
      <c r="D66" s="3024"/>
      <c r="E66" s="3057"/>
      <c r="F66" s="4012">
        <v>70</v>
      </c>
      <c r="G66" s="4013"/>
      <c r="H66" s="4014">
        <v>50</v>
      </c>
      <c r="I66" s="4015"/>
      <c r="J66" s="3443"/>
      <c r="K66" s="3187"/>
      <c r="L66" s="3024"/>
      <c r="M66" s="3024" t="s">
        <v>627</v>
      </c>
      <c r="N66" s="3024"/>
      <c r="O66" s="3024"/>
      <c r="P66" s="3648">
        <v>35</v>
      </c>
      <c r="Q66" s="3244" t="s">
        <v>616</v>
      </c>
      <c r="R66" s="3243">
        <v>157.5</v>
      </c>
      <c r="S66" s="3008"/>
    </row>
    <row r="67" spans="2:29" ht="13.65" customHeight="1">
      <c r="B67" s="3008"/>
      <c r="C67" s="3187" t="s">
        <v>53</v>
      </c>
      <c r="D67" s="3024"/>
      <c r="E67" s="3057"/>
      <c r="F67" s="4012">
        <v>70</v>
      </c>
      <c r="G67" s="4013"/>
      <c r="H67" s="4014">
        <v>200</v>
      </c>
      <c r="I67" s="4015"/>
      <c r="J67" s="3443"/>
      <c r="K67" s="3444" t="s">
        <v>582</v>
      </c>
      <c r="L67" s="3445"/>
      <c r="M67" s="3445" t="s">
        <v>626</v>
      </c>
      <c r="N67" s="3445"/>
      <c r="O67" s="3445"/>
      <c r="P67" s="3250" t="s">
        <v>625</v>
      </c>
      <c r="Q67" s="3248" t="s">
        <v>621</v>
      </c>
      <c r="R67" s="3249"/>
      <c r="S67" s="3008"/>
    </row>
    <row r="68" spans="2:29" ht="13.65" customHeight="1">
      <c r="B68" s="3008"/>
      <c r="C68" s="3187" t="s">
        <v>51</v>
      </c>
      <c r="D68" s="3024"/>
      <c r="E68" s="3057"/>
      <c r="F68" s="4012">
        <v>77</v>
      </c>
      <c r="G68" s="4013"/>
      <c r="H68" s="4014">
        <v>250</v>
      </c>
      <c r="I68" s="4015"/>
      <c r="J68" s="3443"/>
      <c r="K68" s="3187"/>
      <c r="L68" s="3024"/>
      <c r="M68" s="3024" t="s">
        <v>624</v>
      </c>
      <c r="N68" s="3024"/>
      <c r="O68" s="3024"/>
      <c r="P68" s="3251">
        <v>3</v>
      </c>
      <c r="Q68" s="3242" t="s">
        <v>623</v>
      </c>
      <c r="R68" s="3252" t="s">
        <v>1633</v>
      </c>
      <c r="S68" s="3008"/>
    </row>
    <row r="69" spans="2:29" ht="13.65" customHeight="1">
      <c r="B69" s="3008"/>
      <c r="C69" s="3187" t="s">
        <v>49</v>
      </c>
      <c r="D69" s="3024"/>
      <c r="E69" s="3057" t="s">
        <v>620</v>
      </c>
      <c r="F69" s="4012">
        <v>83</v>
      </c>
      <c r="G69" s="4013"/>
      <c r="H69" s="4014">
        <v>133</v>
      </c>
      <c r="I69" s="4015"/>
      <c r="J69" s="3443"/>
      <c r="K69" s="3187"/>
      <c r="L69" s="3024"/>
      <c r="M69" s="3024" t="s">
        <v>622</v>
      </c>
      <c r="N69" s="3024"/>
      <c r="O69" s="3024"/>
      <c r="P69" s="3251">
        <v>10</v>
      </c>
      <c r="Q69" s="3242" t="s">
        <v>621</v>
      </c>
      <c r="R69" s="3243">
        <v>450</v>
      </c>
      <c r="S69" s="3008"/>
    </row>
    <row r="70" spans="2:29" ht="13.65" customHeight="1">
      <c r="B70" s="3008"/>
      <c r="C70" s="3187" t="s">
        <v>44</v>
      </c>
      <c r="D70" s="3024"/>
      <c r="E70" s="3057" t="s">
        <v>1639</v>
      </c>
      <c r="F70" s="4012">
        <v>187</v>
      </c>
      <c r="G70" s="4013"/>
      <c r="H70" s="4014" t="s">
        <v>1640</v>
      </c>
      <c r="I70" s="4015"/>
      <c r="J70" s="3443"/>
      <c r="K70" s="3187"/>
      <c r="L70" s="3024"/>
      <c r="M70" s="3024"/>
      <c r="N70" s="3024"/>
      <c r="O70" s="3024"/>
      <c r="P70" s="3251"/>
      <c r="Q70" s="3242"/>
      <c r="R70" s="3243"/>
      <c r="S70" s="3008"/>
    </row>
    <row r="71" spans="2:29" ht="13.65" customHeight="1">
      <c r="B71" s="3008"/>
      <c r="C71" s="3187" t="s">
        <v>618</v>
      </c>
      <c r="D71" s="3024"/>
      <c r="E71" s="3057"/>
      <c r="F71" s="4012">
        <v>60</v>
      </c>
      <c r="G71" s="4013"/>
      <c r="H71" s="4014">
        <v>280</v>
      </c>
      <c r="I71" s="4015"/>
      <c r="J71" s="3443"/>
      <c r="K71" s="3187"/>
      <c r="L71" s="3024"/>
      <c r="M71" s="3024"/>
      <c r="N71" s="3024"/>
      <c r="O71" s="3024"/>
      <c r="P71" s="3251"/>
      <c r="Q71" s="3242"/>
      <c r="R71" s="3243"/>
      <c r="S71" s="3008"/>
    </row>
    <row r="72" spans="2:29" ht="13.65" customHeight="1">
      <c r="B72" s="3008"/>
      <c r="C72" s="3240" t="s">
        <v>615</v>
      </c>
      <c r="D72" s="2276"/>
      <c r="E72" s="3201"/>
      <c r="F72" s="4012">
        <v>185</v>
      </c>
      <c r="G72" s="4013"/>
      <c r="H72" s="4014"/>
      <c r="I72" s="4015"/>
      <c r="J72" s="3443"/>
      <c r="K72" s="3446"/>
      <c r="L72" s="3410"/>
      <c r="M72" s="3410" t="s">
        <v>89</v>
      </c>
      <c r="N72" s="3410"/>
      <c r="O72" s="3410"/>
      <c r="P72" s="3254" t="s">
        <v>617</v>
      </c>
      <c r="Q72" s="3255" t="s">
        <v>616</v>
      </c>
      <c r="R72" s="3256" t="s">
        <v>1634</v>
      </c>
      <c r="S72" s="3008"/>
    </row>
    <row r="73" spans="2:29" ht="13.65" customHeight="1">
      <c r="B73" s="3008"/>
      <c r="C73" s="3408"/>
      <c r="D73" s="3024"/>
      <c r="E73" s="3057"/>
      <c r="F73" s="4012"/>
      <c r="G73" s="4013"/>
      <c r="H73" s="4014"/>
      <c r="I73" s="4015"/>
      <c r="J73" s="2274"/>
      <c r="K73" s="3240" t="s">
        <v>614</v>
      </c>
      <c r="L73" s="2276"/>
      <c r="M73" s="2276"/>
      <c r="N73" s="2276"/>
      <c r="O73" s="2276"/>
      <c r="P73" s="2276"/>
      <c r="Q73" s="2276"/>
      <c r="R73" s="3257"/>
      <c r="S73" s="3008"/>
    </row>
    <row r="74" spans="2:29" ht="13.65" customHeight="1">
      <c r="B74" s="3008"/>
      <c r="C74" s="3408"/>
      <c r="D74" s="3024"/>
      <c r="E74" s="3057"/>
      <c r="F74" s="4012"/>
      <c r="G74" s="4013"/>
      <c r="H74" s="4014"/>
      <c r="I74" s="4015"/>
      <c r="J74" s="2274"/>
      <c r="K74" s="3240"/>
      <c r="L74" s="2276"/>
      <c r="M74" s="2276"/>
      <c r="N74" s="2276"/>
      <c r="O74" s="2276"/>
      <c r="P74" s="2276"/>
      <c r="Q74" s="2276"/>
      <c r="R74" s="3257"/>
      <c r="S74" s="3008"/>
    </row>
    <row r="75" spans="2:29" ht="13.65" customHeight="1">
      <c r="B75" s="3008"/>
      <c r="C75" s="3409" t="s">
        <v>613</v>
      </c>
      <c r="D75" s="3410"/>
      <c r="E75" s="3411"/>
      <c r="F75" s="4012">
        <v>1300</v>
      </c>
      <c r="G75" s="4013"/>
      <c r="H75" s="4026">
        <v>15</v>
      </c>
      <c r="I75" s="4027"/>
      <c r="J75" s="2274"/>
      <c r="K75" s="3240"/>
      <c r="L75" s="2276"/>
      <c r="M75" s="2276"/>
      <c r="N75" s="2276"/>
      <c r="O75" s="2276"/>
      <c r="P75" s="2276"/>
      <c r="Q75" s="2276"/>
      <c r="R75" s="3257"/>
      <c r="S75" s="3008"/>
    </row>
    <row r="76" spans="2:29" ht="13.65" customHeight="1">
      <c r="B76" s="3008"/>
      <c r="C76" s="3008"/>
      <c r="D76" s="3008"/>
      <c r="E76" s="3008"/>
      <c r="F76" s="3008"/>
      <c r="G76" s="3008"/>
      <c r="H76" s="3008"/>
      <c r="I76" s="3008"/>
      <c r="J76" s="2274"/>
      <c r="K76" s="3253"/>
      <c r="L76" s="2347"/>
      <c r="M76" s="2347"/>
      <c r="N76" s="2347"/>
      <c r="O76" s="2347"/>
      <c r="P76" s="2347"/>
      <c r="Q76" s="2347"/>
      <c r="R76" s="3258"/>
      <c r="S76" s="3008"/>
    </row>
    <row r="77" spans="2:29" ht="13.65" customHeight="1">
      <c r="B77" s="3008"/>
      <c r="C77" s="3008"/>
      <c r="D77" s="3008"/>
      <c r="E77" s="3008"/>
      <c r="F77" s="3008"/>
      <c r="G77" s="3008"/>
      <c r="H77" s="3008"/>
      <c r="I77" s="3008"/>
      <c r="J77" s="3008"/>
      <c r="K77" s="3008"/>
      <c r="L77" s="3008"/>
      <c r="M77" s="3008"/>
      <c r="N77" s="3008"/>
      <c r="O77" s="3008"/>
      <c r="P77" s="3008"/>
      <c r="Q77" s="3008"/>
      <c r="R77" s="29"/>
      <c r="S77" s="3008"/>
    </row>
    <row r="78" spans="2:29" ht="13.65" hidden="1" customHeight="1">
      <c r="B78" s="3008"/>
      <c r="C78" s="3008"/>
      <c r="D78" s="3008"/>
      <c r="E78" s="3008"/>
      <c r="F78" s="3008"/>
      <c r="G78" s="3008"/>
      <c r="H78" s="3008"/>
      <c r="I78" s="3008"/>
      <c r="J78" s="3008"/>
      <c r="K78" s="3008"/>
      <c r="L78" s="3008"/>
      <c r="M78" s="3008"/>
      <c r="N78" s="3008"/>
      <c r="O78" s="3008"/>
      <c r="P78" s="3008"/>
      <c r="Q78" s="3008"/>
      <c r="R78" s="29"/>
      <c r="S78" s="3008"/>
      <c r="V78" s="329"/>
      <c r="W78" s="317"/>
      <c r="Y78" s="520"/>
      <c r="Z78" s="520"/>
      <c r="AA78" s="520"/>
      <c r="AB78" s="520"/>
      <c r="AC78" s="520"/>
    </row>
    <row r="79" spans="2:29" ht="13.65" hidden="1" customHeight="1">
      <c r="B79" s="3008"/>
      <c r="M79" s="3008"/>
      <c r="N79" s="3008"/>
      <c r="O79" s="3008"/>
      <c r="P79" s="3008"/>
      <c r="Q79" s="3008"/>
      <c r="R79" s="29"/>
      <c r="S79" s="3008"/>
    </row>
    <row r="80" spans="2:29" ht="19.2" hidden="1" customHeight="1">
      <c r="B80" s="3008"/>
      <c r="M80" s="3008"/>
      <c r="N80" s="3008"/>
      <c r="O80" s="3008"/>
      <c r="P80" s="3008"/>
      <c r="Q80" s="3008"/>
      <c r="R80" s="29"/>
      <c r="S80" s="3008"/>
    </row>
    <row r="81" spans="2:19" ht="21" hidden="1" customHeight="1">
      <c r="B81" s="3008"/>
      <c r="M81" s="3008"/>
      <c r="N81" s="3008"/>
      <c r="O81" s="3008"/>
      <c r="P81" s="3008"/>
      <c r="Q81" s="3008"/>
      <c r="R81" s="29"/>
      <c r="S81" s="3008"/>
    </row>
    <row r="82" spans="2:19" ht="13.65" hidden="1" customHeight="1">
      <c r="B82" s="3008"/>
      <c r="M82" s="3008"/>
      <c r="N82" s="3008"/>
      <c r="O82" s="3008"/>
      <c r="P82" s="3008"/>
      <c r="Q82" s="3008"/>
      <c r="R82" s="29"/>
      <c r="S82" s="3008"/>
    </row>
    <row r="83" spans="2:19" ht="13.65" hidden="1" customHeight="1">
      <c r="B83" s="3008"/>
      <c r="M83" s="3008"/>
      <c r="N83" s="3008"/>
      <c r="O83" s="3008"/>
      <c r="P83" s="3008"/>
      <c r="Q83" s="3008"/>
      <c r="R83" s="29"/>
      <c r="S83" s="3008"/>
    </row>
    <row r="84" spans="2:19" ht="13.65" hidden="1" customHeight="1">
      <c r="B84" s="3008"/>
      <c r="M84" s="3008"/>
      <c r="N84" s="3008"/>
      <c r="O84" s="3008"/>
      <c r="P84" s="3008"/>
      <c r="Q84" s="3008"/>
      <c r="R84" s="29"/>
      <c r="S84" s="3008"/>
    </row>
    <row r="85" spans="2:19" ht="13.65" hidden="1" customHeight="1">
      <c r="B85" s="3008"/>
      <c r="M85" s="3008"/>
      <c r="N85" s="3008"/>
      <c r="O85" s="3008"/>
      <c r="P85" s="3008"/>
      <c r="Q85" s="3008"/>
      <c r="R85" s="3008"/>
      <c r="S85" s="3008"/>
    </row>
    <row r="86" spans="2:19" ht="13.65" hidden="1" customHeight="1">
      <c r="B86" s="3008"/>
      <c r="M86" s="3008"/>
      <c r="N86" s="3008"/>
      <c r="O86" s="3008"/>
      <c r="P86" s="3008"/>
      <c r="Q86" s="3008"/>
      <c r="R86" s="3008"/>
      <c r="S86" s="3008"/>
    </row>
    <row r="87" spans="2:19" ht="13.65" hidden="1" customHeight="1">
      <c r="B87" s="3008"/>
      <c r="M87" s="3008"/>
      <c r="N87" s="3008"/>
      <c r="O87" s="3008"/>
      <c r="P87" s="3008"/>
      <c r="Q87" s="3008"/>
      <c r="R87" s="3008"/>
      <c r="S87" s="3008"/>
    </row>
    <row r="88" spans="2:19" ht="13.65" hidden="1" customHeight="1">
      <c r="B88" s="3008"/>
      <c r="M88" s="3008"/>
      <c r="N88" s="3008"/>
      <c r="O88" s="3008"/>
      <c r="P88" s="3008"/>
      <c r="Q88" s="3008"/>
      <c r="R88" s="3008"/>
      <c r="S88" s="3008"/>
    </row>
    <row r="89" spans="2:19" ht="13.65" hidden="1" customHeight="1">
      <c r="B89" s="3008"/>
      <c r="M89" s="3008"/>
      <c r="N89" s="3008"/>
      <c r="O89" s="3008"/>
      <c r="P89" s="3008"/>
      <c r="Q89" s="3008"/>
      <c r="R89" s="3008"/>
      <c r="S89" s="3008"/>
    </row>
    <row r="90" spans="2:19" ht="13.65" hidden="1" customHeight="1">
      <c r="B90" s="3008"/>
      <c r="M90" s="3008"/>
      <c r="N90" s="3008"/>
      <c r="O90" s="3008"/>
      <c r="P90" s="3008"/>
      <c r="Q90" s="3008"/>
      <c r="R90" s="3008"/>
      <c r="S90" s="3008"/>
    </row>
    <row r="91" spans="2:19" ht="13.65" hidden="1" customHeight="1">
      <c r="B91" s="3008"/>
      <c r="M91" s="3008"/>
      <c r="N91" s="3008"/>
      <c r="O91" s="3008"/>
      <c r="P91" s="3008"/>
      <c r="Q91" s="3008"/>
      <c r="R91" s="3008"/>
      <c r="S91" s="3008"/>
    </row>
    <row r="92" spans="2:19" ht="13.65" hidden="1" customHeight="1">
      <c r="B92" s="3008"/>
      <c r="M92" s="3008"/>
      <c r="N92" s="3008"/>
      <c r="O92" s="3008"/>
      <c r="P92" s="3008"/>
      <c r="Q92" s="3008"/>
      <c r="R92" s="3008"/>
      <c r="S92" s="3008"/>
    </row>
    <row r="93" spans="2:19" ht="13.65" hidden="1" customHeight="1">
      <c r="B93" s="29"/>
      <c r="M93" s="3008"/>
      <c r="N93" s="3008"/>
      <c r="O93" s="3008"/>
      <c r="P93" s="3008"/>
      <c r="Q93" s="3008"/>
      <c r="R93" s="3008"/>
      <c r="S93" s="3008"/>
    </row>
    <row r="94" spans="2:19" ht="13.65" hidden="1" customHeight="1">
      <c r="B94" s="3008"/>
      <c r="M94" s="3008"/>
      <c r="N94" s="3008"/>
      <c r="O94" s="3008"/>
      <c r="P94" s="3008"/>
      <c r="Q94" s="3008"/>
      <c r="R94" s="3008"/>
    </row>
    <row r="95" spans="2:19" ht="13.65" hidden="1" customHeight="1">
      <c r="B95" s="3008"/>
      <c r="M95" s="29"/>
      <c r="N95" s="29"/>
      <c r="O95" s="29"/>
      <c r="P95" s="3008"/>
      <c r="Q95" s="3008"/>
      <c r="R95" s="3008"/>
    </row>
    <row r="96" spans="2:19" ht="13.65" hidden="1" customHeight="1">
      <c r="M96" s="3008"/>
      <c r="N96" s="3008"/>
      <c r="O96" s="3008"/>
      <c r="P96" s="3008"/>
      <c r="Q96" s="3008"/>
      <c r="R96" s="3008"/>
    </row>
    <row r="97" spans="2:33" ht="13.65" customHeight="1">
      <c r="B97" s="3008"/>
      <c r="M97" s="3008"/>
      <c r="N97" s="3008"/>
      <c r="O97" s="3008"/>
      <c r="P97" s="3008"/>
      <c r="Q97" s="3008"/>
      <c r="R97" s="3008"/>
      <c r="S97" s="3008"/>
      <c r="T97" s="3008"/>
      <c r="U97" s="3008"/>
      <c r="V97" s="3008"/>
      <c r="W97" s="3008"/>
      <c r="X97" s="3008"/>
      <c r="Y97" s="3008"/>
      <c r="Z97" s="3008"/>
      <c r="AA97" s="3008"/>
      <c r="AB97" s="3008"/>
      <c r="AC97" s="3008"/>
      <c r="AD97" s="3008"/>
      <c r="AE97" s="3008"/>
      <c r="AF97" s="3008"/>
      <c r="AG97" s="3008"/>
    </row>
    <row r="98" spans="2:33" ht="13.65" customHeight="1">
      <c r="B98" s="3008"/>
      <c r="C98" s="3041" t="s">
        <v>609</v>
      </c>
      <c r="D98" s="3042"/>
      <c r="E98" s="3042"/>
      <c r="F98" s="3042"/>
      <c r="G98" s="3042"/>
      <c r="H98" s="3042"/>
      <c r="I98" s="3042"/>
      <c r="J98" s="3526"/>
      <c r="K98" s="3042"/>
      <c r="L98" s="3042"/>
      <c r="M98" s="3042"/>
      <c r="N98" s="3043"/>
      <c r="O98" s="3008"/>
      <c r="P98" s="3008"/>
      <c r="Q98" s="3008"/>
      <c r="R98" s="3008"/>
      <c r="S98" s="3008"/>
      <c r="T98" s="3008"/>
      <c r="U98" s="3008"/>
      <c r="V98" s="3008"/>
      <c r="W98" s="3008"/>
      <c r="X98" s="3008"/>
      <c r="Y98" s="3008"/>
      <c r="Z98" s="3008"/>
      <c r="AA98" s="3008"/>
      <c r="AB98" s="3008"/>
      <c r="AC98" s="3008"/>
      <c r="AD98" s="3008"/>
      <c r="AE98" s="3008"/>
      <c r="AF98" s="3008"/>
      <c r="AG98" s="3008"/>
    </row>
    <row r="99" spans="2:33" ht="13.65" customHeight="1">
      <c r="B99" s="3008"/>
      <c r="C99" s="3044" t="s">
        <v>608</v>
      </c>
      <c r="D99" s="3045"/>
      <c r="E99" s="3532"/>
      <c r="F99" s="3533"/>
      <c r="G99" s="3534" t="s">
        <v>607</v>
      </c>
      <c r="H99" s="3532"/>
      <c r="I99" s="3527"/>
      <c r="J99" s="3044" t="s">
        <v>608</v>
      </c>
      <c r="K99" s="3045"/>
      <c r="L99" s="3527"/>
      <c r="M99" s="3528" t="s">
        <v>607</v>
      </c>
      <c r="N99" s="3527"/>
      <c r="O99" s="3008"/>
      <c r="P99" s="3008"/>
      <c r="Q99" s="3008"/>
      <c r="R99" s="3008"/>
      <c r="S99" s="3008"/>
      <c r="T99" s="3008"/>
      <c r="U99" s="3008"/>
      <c r="V99" s="3008"/>
      <c r="W99" s="3008"/>
      <c r="X99" s="3008"/>
      <c r="Y99" s="3008"/>
      <c r="Z99" s="3008"/>
      <c r="AA99" s="3008"/>
      <c r="AB99" s="3008"/>
      <c r="AC99" s="3008"/>
      <c r="AD99" s="3008"/>
      <c r="AE99" s="3008"/>
      <c r="AF99" s="3008"/>
      <c r="AG99" s="3008"/>
    </row>
    <row r="100" spans="2:33" ht="13.65" customHeight="1">
      <c r="B100" s="3008"/>
      <c r="C100" s="3047"/>
      <c r="D100" s="3048"/>
      <c r="E100" s="4020" t="s">
        <v>606</v>
      </c>
      <c r="F100" s="4021"/>
      <c r="G100" s="4022"/>
      <c r="H100" s="3269"/>
      <c r="I100" s="3269"/>
      <c r="J100" s="3047"/>
      <c r="K100" s="3050"/>
      <c r="L100" s="3529"/>
      <c r="M100" s="3530" t="s">
        <v>606</v>
      </c>
      <c r="N100" s="3531"/>
      <c r="O100" s="3008"/>
      <c r="P100" s="3008"/>
      <c r="Q100" s="3008"/>
      <c r="R100" s="3008"/>
      <c r="S100" s="3008"/>
      <c r="T100" s="3008"/>
      <c r="U100" s="3008"/>
      <c r="V100" s="3008"/>
      <c r="W100" s="3008"/>
      <c r="X100" s="3008"/>
      <c r="Y100" s="3008"/>
      <c r="Z100" s="3008"/>
      <c r="AA100" s="3008"/>
      <c r="AB100" s="3008"/>
      <c r="AC100" s="3008"/>
      <c r="AD100" s="3008"/>
      <c r="AE100" s="3008"/>
      <c r="AF100" s="3008"/>
      <c r="AG100" s="3008"/>
    </row>
    <row r="101" spans="2:33" ht="13.65" customHeight="1">
      <c r="B101" s="3008"/>
      <c r="C101" s="3029" t="s">
        <v>605</v>
      </c>
      <c r="E101" s="3521"/>
      <c r="F101" s="3520"/>
      <c r="G101" s="3265">
        <v>16</v>
      </c>
      <c r="H101" s="3269"/>
      <c r="I101" s="3269"/>
      <c r="J101" s="4023" t="s">
        <v>604</v>
      </c>
      <c r="K101" s="4024"/>
      <c r="L101" s="4025"/>
      <c r="M101" s="3524"/>
      <c r="N101" s="3525">
        <v>33</v>
      </c>
      <c r="O101" s="3008"/>
      <c r="P101" s="3008"/>
      <c r="Q101" s="3008"/>
      <c r="R101" s="3008"/>
      <c r="S101" s="3008"/>
      <c r="T101" s="3008"/>
      <c r="U101" s="3008"/>
      <c r="V101" s="3008"/>
      <c r="W101" s="3008"/>
      <c r="X101" s="3008"/>
      <c r="Y101" s="3008"/>
      <c r="Z101" s="3008"/>
      <c r="AA101" s="3008"/>
      <c r="AB101" s="3008"/>
      <c r="AC101" s="3008"/>
      <c r="AD101" s="3008"/>
      <c r="AE101" s="3008"/>
      <c r="AF101" s="3008"/>
      <c r="AG101" s="3008"/>
    </row>
    <row r="102" spans="2:33" ht="13.65" customHeight="1">
      <c r="B102" s="3008"/>
      <c r="C102" s="3033" t="s">
        <v>603</v>
      </c>
      <c r="E102" s="3521"/>
      <c r="F102" s="3520"/>
      <c r="G102" s="3265">
        <v>16</v>
      </c>
      <c r="H102" s="3269"/>
      <c r="I102" s="3269"/>
      <c r="J102" s="4023" t="s">
        <v>602</v>
      </c>
      <c r="K102" s="4024"/>
      <c r="L102" s="4025"/>
      <c r="M102" s="3524"/>
      <c r="N102" s="3265">
        <v>12</v>
      </c>
      <c r="O102" s="3008"/>
      <c r="P102" s="3008"/>
      <c r="Q102" s="3008"/>
      <c r="R102" s="3008"/>
      <c r="S102" s="3008"/>
      <c r="T102" s="3008"/>
      <c r="U102" s="3008"/>
      <c r="V102" s="3008"/>
      <c r="W102" s="3008"/>
      <c r="X102" s="3008"/>
      <c r="Y102" s="3008"/>
      <c r="Z102" s="3008"/>
      <c r="AA102" s="3008"/>
      <c r="AB102" s="3008"/>
      <c r="AC102" s="3008"/>
      <c r="AD102" s="3008"/>
      <c r="AE102" s="3008"/>
      <c r="AF102" s="3008"/>
      <c r="AG102" s="3008"/>
    </row>
    <row r="103" spans="2:33" ht="13.65" customHeight="1">
      <c r="B103" s="3008"/>
      <c r="C103" s="3033" t="s">
        <v>601</v>
      </c>
      <c r="E103" s="3521"/>
      <c r="F103" s="3520"/>
      <c r="G103" s="3265">
        <v>18</v>
      </c>
      <c r="H103" s="3269"/>
      <c r="I103" s="3269"/>
      <c r="J103" s="4023" t="s">
        <v>600</v>
      </c>
      <c r="K103" s="4024"/>
      <c r="L103" s="4025"/>
      <c r="M103" s="3524"/>
      <c r="N103" s="3265">
        <v>12</v>
      </c>
      <c r="O103" s="3008"/>
      <c r="P103" s="3008"/>
      <c r="Q103" s="3008"/>
      <c r="R103" s="3008"/>
      <c r="S103" s="3008"/>
      <c r="T103" s="3008"/>
      <c r="U103" s="3008"/>
      <c r="V103" s="3008"/>
      <c r="W103" s="3008"/>
      <c r="X103" s="3008"/>
      <c r="Y103" s="3008"/>
      <c r="Z103" s="3008"/>
      <c r="AA103" s="3008"/>
      <c r="AB103" s="3008"/>
      <c r="AC103" s="3008"/>
      <c r="AD103" s="3008"/>
      <c r="AE103" s="3008"/>
      <c r="AF103" s="3008"/>
      <c r="AG103" s="3008"/>
    </row>
    <row r="104" spans="2:33" ht="13.65" customHeight="1">
      <c r="B104" s="3008"/>
      <c r="C104" s="3033" t="s">
        <v>599</v>
      </c>
      <c r="E104" s="3521"/>
      <c r="F104" s="3520"/>
      <c r="G104" s="3265">
        <v>18</v>
      </c>
      <c r="H104" s="3269"/>
      <c r="I104" s="3269"/>
      <c r="J104" s="4023" t="s">
        <v>598</v>
      </c>
      <c r="K104" s="4024"/>
      <c r="L104" s="4025"/>
      <c r="M104" s="3524"/>
      <c r="N104" s="3265">
        <v>12</v>
      </c>
      <c r="O104" s="3008"/>
      <c r="P104" s="3008"/>
      <c r="Q104" s="3008"/>
      <c r="R104" s="3008"/>
      <c r="S104" s="3008"/>
      <c r="T104" s="3008"/>
      <c r="U104" s="3008"/>
      <c r="V104" s="3008"/>
      <c r="W104" s="3008"/>
      <c r="X104" s="3008"/>
      <c r="Y104" s="3008"/>
      <c r="Z104" s="3008"/>
      <c r="AA104" s="3008"/>
      <c r="AB104" s="3008"/>
      <c r="AC104" s="3008"/>
      <c r="AD104" s="3008"/>
      <c r="AE104" s="3008"/>
      <c r="AF104" s="3008"/>
      <c r="AG104" s="3008"/>
    </row>
    <row r="105" spans="2:33" ht="13.65" customHeight="1">
      <c r="B105" s="3008"/>
      <c r="C105" s="3033" t="s">
        <v>597</v>
      </c>
      <c r="E105" s="3521"/>
      <c r="F105" s="3520"/>
      <c r="G105" s="3265">
        <v>45</v>
      </c>
      <c r="H105" s="3269"/>
      <c r="I105" s="3269"/>
      <c r="J105" s="4023" t="s">
        <v>596</v>
      </c>
      <c r="K105" s="4024"/>
      <c r="L105" s="4025"/>
      <c r="M105" s="3524"/>
      <c r="N105" s="3265">
        <v>12</v>
      </c>
      <c r="O105" s="3008"/>
      <c r="P105" s="3008"/>
      <c r="Q105" s="3008"/>
      <c r="R105" s="3008"/>
      <c r="S105" s="3008"/>
      <c r="T105" s="3008"/>
      <c r="U105" s="3008"/>
      <c r="V105" s="3008"/>
      <c r="W105" s="3008"/>
      <c r="X105" s="3008"/>
      <c r="Y105" s="3008"/>
      <c r="Z105" s="3008"/>
      <c r="AA105" s="3008"/>
      <c r="AB105" s="3008"/>
      <c r="AC105" s="3008"/>
      <c r="AD105" s="3008"/>
      <c r="AE105" s="3008"/>
      <c r="AF105" s="3008"/>
      <c r="AG105" s="3008"/>
    </row>
    <row r="106" spans="2:33" ht="13.65" customHeight="1">
      <c r="B106" s="3008"/>
      <c r="C106" s="3033" t="s">
        <v>595</v>
      </c>
      <c r="E106" s="3522"/>
      <c r="F106" s="3520"/>
      <c r="G106" s="3265">
        <v>40</v>
      </c>
      <c r="H106" s="3269"/>
      <c r="I106" s="3269"/>
      <c r="J106" s="4023" t="s">
        <v>594</v>
      </c>
      <c r="K106" s="4024"/>
      <c r="L106" s="4025"/>
      <c r="M106" s="3524"/>
      <c r="N106" s="3265">
        <v>12</v>
      </c>
      <c r="O106" s="3008"/>
      <c r="P106" s="3008"/>
      <c r="Q106" s="3008"/>
      <c r="R106" s="3008"/>
      <c r="S106" s="3008"/>
      <c r="T106" s="3008"/>
      <c r="U106" s="3008"/>
      <c r="V106" s="3008"/>
      <c r="W106" s="3008"/>
      <c r="X106" s="3008"/>
      <c r="Y106" s="3008"/>
      <c r="Z106" s="3008"/>
      <c r="AA106" s="3008"/>
      <c r="AB106" s="3008"/>
      <c r="AC106" s="3008"/>
      <c r="AD106" s="3008"/>
      <c r="AE106" s="3008"/>
      <c r="AF106" s="3008"/>
      <c r="AG106" s="3008"/>
    </row>
    <row r="107" spans="2:33" ht="13.65" customHeight="1">
      <c r="B107" s="3008"/>
      <c r="C107" s="3033" t="s">
        <v>593</v>
      </c>
      <c r="E107" s="3522"/>
      <c r="F107" s="3520"/>
      <c r="G107" s="3265">
        <v>42</v>
      </c>
      <c r="H107" s="3269"/>
      <c r="I107" s="3269"/>
      <c r="J107" s="4023" t="s">
        <v>592</v>
      </c>
      <c r="K107" s="4024"/>
      <c r="L107" s="4025"/>
      <c r="M107" s="3524"/>
      <c r="N107" s="3265">
        <v>27</v>
      </c>
      <c r="O107" s="3008"/>
      <c r="P107" s="3008"/>
      <c r="Q107" s="3008"/>
      <c r="R107" s="3008"/>
      <c r="S107" s="3008"/>
      <c r="T107" s="3008"/>
      <c r="U107" s="3008"/>
      <c r="V107" s="3008"/>
      <c r="W107" s="3008"/>
      <c r="X107" s="3008"/>
      <c r="Y107" s="3008"/>
      <c r="Z107" s="3008"/>
      <c r="AA107" s="3008"/>
      <c r="AB107" s="3008"/>
      <c r="AC107" s="3008"/>
      <c r="AD107" s="3008"/>
      <c r="AE107" s="3008"/>
      <c r="AF107" s="3008"/>
      <c r="AG107" s="3008"/>
    </row>
    <row r="108" spans="2:33" ht="13.65" customHeight="1">
      <c r="B108" s="3008"/>
      <c r="C108" s="3033" t="s">
        <v>591</v>
      </c>
      <c r="E108" s="3522"/>
      <c r="F108" s="3520"/>
      <c r="G108" s="3265">
        <v>30</v>
      </c>
      <c r="H108" s="3269"/>
      <c r="I108" s="3269"/>
      <c r="J108" s="4023" t="s">
        <v>590</v>
      </c>
      <c r="K108" s="4024"/>
      <c r="L108" s="4025"/>
      <c r="M108" s="3524"/>
      <c r="N108" s="3265">
        <v>10</v>
      </c>
      <c r="O108" s="3008"/>
      <c r="P108" s="3008"/>
      <c r="Q108" s="3008"/>
      <c r="R108" s="3008"/>
      <c r="S108" s="3008"/>
      <c r="T108" s="3008"/>
      <c r="U108" s="3008"/>
      <c r="V108" s="3008"/>
      <c r="W108" s="3008"/>
      <c r="X108" s="3008"/>
      <c r="Y108" s="3008"/>
      <c r="Z108" s="3008"/>
      <c r="AA108" s="3008"/>
      <c r="AB108" s="3008"/>
      <c r="AC108" s="3008"/>
      <c r="AD108" s="3008"/>
      <c r="AE108" s="3008"/>
      <c r="AF108" s="3008"/>
      <c r="AG108" s="3008"/>
    </row>
    <row r="109" spans="2:33" ht="13.65" customHeight="1">
      <c r="B109" s="3008"/>
      <c r="C109" s="3033" t="s">
        <v>589</v>
      </c>
      <c r="E109" s="3522"/>
      <c r="F109" s="3520"/>
      <c r="G109" s="3265">
        <v>30</v>
      </c>
      <c r="H109" s="3269"/>
      <c r="I109" s="3269"/>
      <c r="J109" s="4023" t="s">
        <v>588</v>
      </c>
      <c r="K109" s="4024"/>
      <c r="L109" s="4025"/>
      <c r="M109" s="3524"/>
      <c r="N109" s="3265">
        <v>26</v>
      </c>
      <c r="O109" s="3008"/>
      <c r="P109" s="3008"/>
      <c r="Q109" s="3008"/>
      <c r="R109" s="3008"/>
      <c r="S109" s="3008"/>
      <c r="T109" s="3008"/>
      <c r="U109" s="3008"/>
      <c r="V109" s="3008"/>
      <c r="W109" s="3008"/>
      <c r="X109" s="3008"/>
      <c r="Y109" s="3008"/>
      <c r="Z109" s="3008"/>
      <c r="AA109" s="3008"/>
      <c r="AB109" s="3008"/>
      <c r="AC109" s="3008"/>
      <c r="AD109" s="3008"/>
      <c r="AE109" s="3008"/>
      <c r="AF109" s="3008"/>
      <c r="AG109" s="3008"/>
    </row>
    <row r="110" spans="2:33" ht="13.65" customHeight="1">
      <c r="B110" s="3008"/>
      <c r="C110" s="3033" t="s">
        <v>587</v>
      </c>
      <c r="E110" s="3522"/>
      <c r="F110" s="3520"/>
      <c r="G110" s="3265">
        <v>28</v>
      </c>
      <c r="H110" s="3269"/>
      <c r="I110" s="3269"/>
      <c r="J110" s="4023" t="s">
        <v>586</v>
      </c>
      <c r="K110" s="4024"/>
      <c r="L110" s="4025"/>
      <c r="M110" s="3524"/>
      <c r="N110" s="3265">
        <v>16</v>
      </c>
      <c r="O110" s="3008"/>
      <c r="P110" s="3008"/>
      <c r="Q110" s="3008"/>
      <c r="R110" s="3008"/>
      <c r="S110" s="3008"/>
      <c r="T110" s="3008"/>
      <c r="U110" s="3008"/>
      <c r="V110" s="3008"/>
      <c r="W110" s="3008"/>
      <c r="X110" s="3008"/>
      <c r="Y110" s="3008"/>
      <c r="Z110" s="3008"/>
      <c r="AA110" s="3008"/>
      <c r="AB110" s="3008"/>
      <c r="AC110" s="3008"/>
      <c r="AD110" s="3008"/>
      <c r="AE110" s="3008"/>
      <c r="AF110" s="3008"/>
      <c r="AG110" s="3008"/>
    </row>
    <row r="111" spans="2:33" ht="13.65" customHeight="1">
      <c r="B111" s="3008"/>
      <c r="C111" s="3033" t="s">
        <v>585</v>
      </c>
      <c r="E111" s="3522"/>
      <c r="F111" s="3520"/>
      <c r="G111" s="3265">
        <v>22</v>
      </c>
      <c r="H111" s="3269"/>
      <c r="I111" s="3269"/>
      <c r="J111" s="4023" t="s">
        <v>584</v>
      </c>
      <c r="K111" s="4024"/>
      <c r="L111" s="4025"/>
      <c r="M111" s="3524"/>
      <c r="N111" s="3265">
        <v>13</v>
      </c>
      <c r="O111" s="3008"/>
      <c r="P111" s="3008"/>
      <c r="Q111" s="3008"/>
      <c r="R111" s="3008"/>
      <c r="S111" s="3008"/>
      <c r="T111" s="3008"/>
      <c r="U111" s="3008"/>
      <c r="V111" s="3008"/>
      <c r="W111" s="3008"/>
      <c r="X111" s="3008"/>
      <c r="Y111" s="3008"/>
      <c r="Z111" s="3008"/>
      <c r="AA111" s="3008"/>
      <c r="AB111" s="3008"/>
      <c r="AC111" s="3008"/>
      <c r="AD111" s="3008"/>
      <c r="AE111" s="3008"/>
      <c r="AF111" s="3008"/>
      <c r="AG111" s="3008"/>
    </row>
    <row r="112" spans="2:33" ht="13.65" customHeight="1">
      <c r="B112" s="3008"/>
      <c r="C112" s="3033" t="s">
        <v>583</v>
      </c>
      <c r="E112" s="3522"/>
      <c r="F112" s="3520"/>
      <c r="G112" s="3265">
        <v>18</v>
      </c>
      <c r="H112" s="3269"/>
      <c r="I112" s="3269"/>
      <c r="J112" s="4023" t="s">
        <v>1502</v>
      </c>
      <c r="K112" s="4024"/>
      <c r="L112" s="4025"/>
      <c r="M112" s="3524"/>
      <c r="N112" s="3265">
        <v>9</v>
      </c>
      <c r="O112" s="3008"/>
      <c r="P112" s="3008"/>
      <c r="Q112" s="3008"/>
      <c r="R112" s="3008"/>
      <c r="S112" s="3008"/>
      <c r="T112" s="3008"/>
      <c r="U112" s="3008"/>
      <c r="V112" s="3008"/>
      <c r="W112" s="3008"/>
      <c r="X112" s="3008"/>
      <c r="Y112" s="3008"/>
      <c r="Z112" s="3008"/>
      <c r="AA112" s="3008"/>
      <c r="AB112" s="3008"/>
      <c r="AC112" s="3008"/>
      <c r="AD112" s="3008"/>
      <c r="AE112" s="3008"/>
      <c r="AF112" s="3008"/>
      <c r="AG112" s="3008"/>
    </row>
    <row r="113" spans="2:33" ht="13.65" customHeight="1">
      <c r="B113" s="3008"/>
      <c r="C113" s="3037" t="s">
        <v>581</v>
      </c>
      <c r="E113" s="3522"/>
      <c r="F113" s="3520"/>
      <c r="G113" s="3265">
        <v>11</v>
      </c>
      <c r="H113" s="3269"/>
      <c r="I113" s="3269"/>
      <c r="J113" s="4028"/>
      <c r="K113" s="4029"/>
      <c r="L113" s="4030"/>
      <c r="M113" s="3502"/>
      <c r="N113" s="3503"/>
      <c r="O113" s="3008"/>
      <c r="P113" s="3008"/>
      <c r="Q113" s="3008"/>
      <c r="R113" s="3008"/>
      <c r="S113" s="3008"/>
      <c r="T113" s="3008"/>
      <c r="U113" s="3008"/>
      <c r="V113" s="3008"/>
      <c r="W113" s="3008"/>
      <c r="X113" s="3008"/>
      <c r="Y113" s="3008"/>
      <c r="Z113" s="3008"/>
      <c r="AA113" s="3008"/>
      <c r="AB113" s="3008"/>
      <c r="AC113" s="3008"/>
      <c r="AD113" s="3008"/>
      <c r="AE113" s="3008"/>
      <c r="AF113" s="3008"/>
      <c r="AG113" s="3008"/>
    </row>
    <row r="114" spans="2:33" ht="13.65" customHeight="1">
      <c r="B114" s="3008"/>
      <c r="C114" s="3037"/>
      <c r="D114" s="3523"/>
      <c r="E114" s="3523"/>
      <c r="F114" s="3268"/>
      <c r="G114" s="3523"/>
      <c r="H114" s="3535"/>
      <c r="I114" s="3535"/>
      <c r="J114" s="3266" t="s">
        <v>580</v>
      </c>
      <c r="K114" s="3266"/>
      <c r="L114" s="3266"/>
      <c r="M114" s="3266"/>
      <c r="N114" s="3267"/>
      <c r="O114" s="3008"/>
      <c r="P114" s="3008"/>
      <c r="Q114" s="3008"/>
      <c r="R114" s="3008"/>
      <c r="S114" s="3008"/>
      <c r="T114" s="3008"/>
      <c r="U114" s="3008"/>
      <c r="V114" s="3008"/>
      <c r="W114" s="3008"/>
      <c r="X114" s="3008"/>
      <c r="Y114" s="3008"/>
      <c r="Z114" s="3008"/>
      <c r="AA114" s="3008"/>
      <c r="AB114" s="3008"/>
      <c r="AC114" s="3008"/>
      <c r="AD114" s="3008"/>
      <c r="AE114" s="3008"/>
      <c r="AF114" s="3008"/>
      <c r="AG114" s="3008"/>
    </row>
    <row r="115" spans="2:33" ht="13.65" customHeight="1">
      <c r="B115" s="3008"/>
      <c r="M115" s="3008"/>
      <c r="N115" s="3008"/>
      <c r="O115" s="3008"/>
      <c r="P115" s="3008"/>
      <c r="Q115" s="3008"/>
      <c r="R115" s="3008"/>
      <c r="S115" s="3008"/>
      <c r="T115" s="3008"/>
      <c r="U115" s="3008"/>
      <c r="V115" s="3008"/>
      <c r="W115" s="3008"/>
      <c r="X115" s="3008"/>
      <c r="Y115" s="3008"/>
      <c r="Z115" s="3008"/>
      <c r="AA115" s="3008"/>
      <c r="AB115" s="3008"/>
      <c r="AC115" s="3008"/>
      <c r="AD115" s="3008"/>
      <c r="AE115" s="3008"/>
      <c r="AF115" s="3008"/>
      <c r="AG115" s="3008"/>
    </row>
    <row r="116" spans="2:33" ht="13.65" hidden="1" customHeight="1">
      <c r="B116" s="3008">
        <f>ROWS($B$99:$B116)</f>
        <v>18</v>
      </c>
      <c r="C116" s="3008"/>
      <c r="D116" s="3008"/>
      <c r="E116" s="3008"/>
      <c r="F116" s="3008"/>
      <c r="G116" s="3008"/>
      <c r="H116" s="3008"/>
      <c r="I116" s="3008"/>
      <c r="J116" s="3008"/>
      <c r="K116" s="3008"/>
      <c r="L116" s="3008"/>
      <c r="M116" s="3008"/>
      <c r="N116" s="3008"/>
      <c r="O116" s="3008"/>
      <c r="P116" s="3008"/>
      <c r="Q116" s="3008"/>
      <c r="R116" s="3008"/>
      <c r="S116" s="3008"/>
      <c r="T116" s="3008"/>
      <c r="U116" s="3008"/>
      <c r="V116" s="3008"/>
      <c r="W116" s="3008"/>
      <c r="X116" s="3008"/>
      <c r="Y116" s="3008"/>
      <c r="Z116" s="3008"/>
      <c r="AA116" s="3008"/>
      <c r="AB116" s="3008"/>
      <c r="AC116" s="3008"/>
      <c r="AD116" s="3008"/>
      <c r="AE116" s="3008"/>
      <c r="AF116" s="3008"/>
      <c r="AG116" s="3008"/>
    </row>
    <row r="117" spans="2:33" ht="13.65" hidden="1" customHeight="1">
      <c r="B117" s="3008"/>
      <c r="C117" s="3008"/>
      <c r="D117" s="3008"/>
      <c r="E117" s="3008"/>
      <c r="F117" s="3008"/>
      <c r="G117" s="3008"/>
      <c r="H117" s="3008"/>
      <c r="I117" s="3008"/>
      <c r="J117" s="3008"/>
      <c r="K117" s="3008"/>
      <c r="L117" s="3008"/>
      <c r="M117" s="3008"/>
      <c r="N117" s="3008"/>
      <c r="O117" s="3008"/>
      <c r="P117" s="3008"/>
      <c r="Q117" s="3008"/>
      <c r="R117" s="3008"/>
      <c r="S117" s="3008"/>
      <c r="T117" s="3008"/>
      <c r="U117" s="3008"/>
      <c r="V117" s="3008"/>
      <c r="W117" s="3008"/>
      <c r="X117" s="3008"/>
      <c r="Y117" s="3008"/>
      <c r="Z117" s="3008"/>
      <c r="AA117" s="3008"/>
      <c r="AB117" s="3008"/>
      <c r="AC117" s="3008"/>
      <c r="AD117" s="3008"/>
      <c r="AE117" s="3008"/>
      <c r="AF117" s="3008"/>
      <c r="AG117" s="3008"/>
    </row>
    <row r="118" spans="2:33" ht="13.65" hidden="1" customHeight="1">
      <c r="B118" s="3008"/>
      <c r="C118" s="3008"/>
      <c r="D118" s="3008"/>
      <c r="E118" s="3008"/>
      <c r="F118" s="3008"/>
      <c r="G118" s="3008"/>
      <c r="H118" s="3008"/>
      <c r="I118" s="3008"/>
      <c r="J118" s="3008"/>
      <c r="K118" s="3008"/>
      <c r="L118" s="3008"/>
      <c r="M118" s="3008"/>
      <c r="N118" s="3008"/>
      <c r="O118" s="3008"/>
      <c r="P118" s="3008"/>
      <c r="Q118" s="3008"/>
      <c r="R118" s="3008"/>
      <c r="S118" s="3008"/>
      <c r="T118" s="3008"/>
      <c r="U118" s="3008"/>
      <c r="V118" s="3008"/>
      <c r="W118" s="3008"/>
      <c r="X118" s="3008"/>
      <c r="Y118" s="3008"/>
      <c r="Z118" s="3008"/>
      <c r="AA118" s="3008"/>
      <c r="AB118" s="3008"/>
      <c r="AC118" s="3008"/>
      <c r="AD118" s="3008"/>
      <c r="AE118" s="3008"/>
      <c r="AF118" s="3008"/>
      <c r="AG118" s="3008"/>
    </row>
    <row r="119" spans="2:33" ht="13.65" hidden="1" customHeight="1">
      <c r="B119" s="3008"/>
      <c r="C119" s="3008"/>
      <c r="D119" s="3008"/>
      <c r="E119" s="3008"/>
      <c r="F119" s="3008"/>
      <c r="G119" s="3008"/>
      <c r="H119" s="3008"/>
      <c r="I119" s="3008"/>
      <c r="J119" s="3008"/>
      <c r="K119" s="3008"/>
      <c r="L119" s="3008"/>
      <c r="M119" s="3008"/>
      <c r="N119" s="3008"/>
      <c r="O119" s="3008"/>
      <c r="P119" s="3008"/>
      <c r="Q119" s="3008"/>
      <c r="R119" s="3008"/>
      <c r="S119" s="3008"/>
      <c r="T119" s="3008"/>
      <c r="U119" s="3008"/>
      <c r="V119" s="3008"/>
      <c r="W119" s="3008"/>
      <c r="X119" s="3008"/>
      <c r="Y119" s="3008"/>
      <c r="Z119" s="3008"/>
      <c r="AA119" s="3008"/>
      <c r="AB119" s="3008"/>
      <c r="AC119" s="3008"/>
      <c r="AD119" s="3008"/>
      <c r="AE119" s="3008"/>
      <c r="AF119" s="3008"/>
      <c r="AG119" s="3008"/>
    </row>
    <row r="120" spans="2:33" ht="13.65" hidden="1" customHeight="1">
      <c r="B120" s="3008"/>
      <c r="C120" s="3008"/>
      <c r="D120" s="3008"/>
      <c r="E120" s="3008"/>
      <c r="F120" s="3008"/>
      <c r="G120" s="3008"/>
      <c r="H120" s="3008"/>
      <c r="I120" s="3008"/>
      <c r="J120" s="3008"/>
      <c r="K120" s="3008"/>
      <c r="L120" s="3008"/>
      <c r="M120" s="3008"/>
      <c r="N120" s="3008"/>
      <c r="O120" s="3008"/>
      <c r="P120" s="3008"/>
      <c r="Q120" s="3008"/>
      <c r="R120" s="3008"/>
      <c r="S120" s="3008"/>
      <c r="T120" s="3008"/>
      <c r="U120" s="3008"/>
      <c r="V120" s="3008"/>
      <c r="W120" s="3008"/>
      <c r="X120" s="3008"/>
      <c r="Y120" s="3008"/>
      <c r="Z120" s="3008"/>
      <c r="AA120" s="3008"/>
      <c r="AB120" s="3008"/>
      <c r="AC120" s="3008"/>
      <c r="AD120" s="3008"/>
      <c r="AE120" s="3008"/>
      <c r="AF120" s="3008"/>
      <c r="AG120" s="3008"/>
    </row>
    <row r="121" spans="2:33" ht="13.65" hidden="1" customHeight="1">
      <c r="B121" s="3008"/>
      <c r="C121" s="3008"/>
      <c r="D121" s="3008"/>
      <c r="E121" s="3008"/>
      <c r="F121" s="3008"/>
      <c r="G121" s="3008"/>
      <c r="H121" s="3008"/>
      <c r="I121" s="3008"/>
      <c r="J121" s="3008"/>
      <c r="K121" s="3008"/>
      <c r="L121" s="3008"/>
      <c r="M121" s="3008"/>
      <c r="N121" s="3008"/>
      <c r="O121" s="3008"/>
      <c r="P121" s="3008"/>
      <c r="Q121" s="3008"/>
      <c r="R121" s="3008"/>
      <c r="S121" s="3008"/>
      <c r="T121" s="3008"/>
      <c r="U121" s="3008"/>
      <c r="V121" s="3008"/>
      <c r="W121" s="3008"/>
      <c r="X121" s="3008"/>
      <c r="Y121" s="3008"/>
      <c r="Z121" s="3008"/>
      <c r="AA121" s="3008"/>
      <c r="AB121" s="3008"/>
      <c r="AC121" s="3008"/>
      <c r="AD121" s="3008"/>
      <c r="AE121" s="3008"/>
      <c r="AF121" s="3008"/>
      <c r="AG121" s="3008"/>
    </row>
    <row r="122" spans="2:33" ht="13.65" hidden="1" customHeight="1">
      <c r="B122" s="3008"/>
      <c r="C122" s="3008"/>
      <c r="D122" s="3008"/>
      <c r="E122" s="3008"/>
      <c r="F122" s="3008"/>
      <c r="G122" s="3008"/>
      <c r="H122" s="3008"/>
      <c r="I122" s="3008"/>
      <c r="J122" s="3008"/>
      <c r="K122" s="3008"/>
      <c r="L122" s="3008"/>
      <c r="M122" s="3008"/>
      <c r="N122" s="3008"/>
      <c r="O122" s="3008"/>
      <c r="P122" s="3008"/>
      <c r="Q122" s="3008"/>
      <c r="R122" s="3008"/>
      <c r="S122" s="3008"/>
      <c r="T122" s="3008"/>
      <c r="U122" s="3008"/>
      <c r="V122" s="3008"/>
      <c r="W122" s="3008"/>
      <c r="X122" s="3008"/>
      <c r="Y122" s="3008"/>
      <c r="Z122" s="3008"/>
      <c r="AA122" s="3008"/>
      <c r="AB122" s="3008"/>
      <c r="AC122" s="3008"/>
      <c r="AD122" s="3008"/>
      <c r="AE122" s="3008"/>
      <c r="AF122" s="3008"/>
      <c r="AG122" s="3008"/>
    </row>
    <row r="123" spans="2:33" ht="13.65" hidden="1" customHeight="1">
      <c r="B123" s="3008"/>
      <c r="C123" s="3008"/>
      <c r="D123" s="3008"/>
      <c r="E123" s="3008"/>
      <c r="F123" s="3008"/>
      <c r="G123" s="3008"/>
      <c r="H123" s="3008"/>
      <c r="I123" s="3008"/>
      <c r="J123" s="3008"/>
      <c r="K123" s="3008"/>
      <c r="L123" s="3008"/>
      <c r="M123" s="3008"/>
      <c r="N123" s="3008"/>
      <c r="O123" s="3008"/>
      <c r="P123" s="3008"/>
      <c r="Q123" s="3008"/>
      <c r="R123" s="3008"/>
      <c r="S123" s="3008"/>
      <c r="T123" s="3008"/>
      <c r="U123" s="3008"/>
      <c r="V123" s="3008"/>
      <c r="W123" s="3008"/>
      <c r="X123" s="3008"/>
      <c r="Y123" s="3008"/>
      <c r="Z123" s="3008"/>
      <c r="AA123" s="3008"/>
      <c r="AB123" s="3008"/>
      <c r="AC123" s="3008"/>
      <c r="AD123" s="3008"/>
      <c r="AE123" s="3008"/>
      <c r="AF123" s="3008"/>
      <c r="AG123" s="3008"/>
    </row>
    <row r="124" spans="2:33" ht="13.65" hidden="1" customHeight="1">
      <c r="B124" s="3008"/>
      <c r="C124" s="3008"/>
      <c r="D124" s="3008"/>
      <c r="E124" s="3008"/>
      <c r="F124" s="3008"/>
      <c r="G124" s="3008"/>
      <c r="H124" s="3008"/>
      <c r="I124" s="3008"/>
      <c r="J124" s="3008"/>
      <c r="K124" s="3008"/>
      <c r="L124" s="3008"/>
      <c r="M124" s="3008"/>
      <c r="N124" s="3008"/>
      <c r="O124" s="3008"/>
      <c r="P124" s="3008"/>
      <c r="Q124" s="3008"/>
      <c r="R124" s="3008"/>
      <c r="S124" s="3008"/>
      <c r="T124" s="3008"/>
      <c r="U124" s="3008"/>
      <c r="V124" s="3008"/>
      <c r="W124" s="3008"/>
      <c r="X124" s="3008"/>
      <c r="Y124" s="3008"/>
      <c r="Z124" s="3008"/>
      <c r="AA124" s="3008"/>
      <c r="AB124" s="3008"/>
      <c r="AC124" s="3008"/>
      <c r="AD124" s="3008"/>
      <c r="AE124" s="3008"/>
      <c r="AF124" s="3008"/>
      <c r="AG124" s="3008"/>
    </row>
    <row r="125" spans="2:33" ht="13.65" hidden="1" customHeight="1">
      <c r="B125" s="3008"/>
      <c r="C125" s="3008"/>
      <c r="D125" s="3008"/>
      <c r="E125" s="3008"/>
      <c r="F125" s="3008"/>
      <c r="G125" s="3008"/>
      <c r="H125" s="3008"/>
      <c r="I125" s="3008"/>
      <c r="J125" s="3008"/>
      <c r="K125" s="3008"/>
      <c r="L125" s="3008"/>
      <c r="M125" s="3008"/>
      <c r="N125" s="3008"/>
      <c r="O125" s="3008"/>
      <c r="P125" s="3008"/>
      <c r="Q125" s="3008"/>
      <c r="R125" s="3008"/>
      <c r="S125" s="3008"/>
      <c r="T125" s="3008"/>
      <c r="U125" s="3008"/>
      <c r="V125" s="3008"/>
      <c r="W125" s="3008"/>
      <c r="X125" s="3008"/>
      <c r="Y125" s="3008"/>
      <c r="Z125" s="3008"/>
      <c r="AA125" s="3008"/>
      <c r="AB125" s="3008"/>
      <c r="AC125" s="3008"/>
      <c r="AD125" s="3008"/>
      <c r="AE125" s="3008"/>
      <c r="AF125" s="3008"/>
      <c r="AG125" s="3008"/>
    </row>
    <row r="126" spans="2:33" ht="13.65" hidden="1" customHeight="1">
      <c r="B126" s="3008"/>
      <c r="C126" s="3008"/>
      <c r="D126" s="3008"/>
      <c r="E126" s="3008"/>
      <c r="F126" s="3008"/>
      <c r="G126" s="3008"/>
      <c r="H126" s="3008"/>
      <c r="I126" s="3008"/>
      <c r="J126" s="3008"/>
      <c r="K126" s="3008"/>
      <c r="L126" s="3008"/>
      <c r="M126" s="3008"/>
      <c r="N126" s="3008"/>
      <c r="O126" s="3008"/>
      <c r="P126" s="3008"/>
      <c r="Q126" s="3008"/>
      <c r="R126" s="3008"/>
      <c r="S126" s="3008"/>
      <c r="T126" s="3008"/>
      <c r="U126" s="3008"/>
      <c r="V126" s="3008"/>
      <c r="W126" s="3008"/>
      <c r="X126" s="3008"/>
      <c r="Y126" s="3008"/>
      <c r="Z126" s="3008"/>
      <c r="AA126" s="3008"/>
      <c r="AB126" s="3008"/>
      <c r="AC126" s="3008"/>
      <c r="AD126" s="3008"/>
      <c r="AE126" s="3008"/>
      <c r="AF126" s="3008"/>
      <c r="AG126" s="3008"/>
    </row>
    <row r="127" spans="2:33" ht="13.65" hidden="1" customHeight="1">
      <c r="B127" s="3008"/>
      <c r="C127" s="3008"/>
      <c r="D127" s="3008"/>
      <c r="E127" s="3008"/>
      <c r="F127" s="3008"/>
      <c r="G127" s="3008"/>
      <c r="H127" s="3008"/>
      <c r="I127" s="3008"/>
      <c r="J127" s="3008"/>
      <c r="K127" s="3008"/>
      <c r="L127" s="3008"/>
      <c r="M127" s="3008"/>
      <c r="N127" s="3008"/>
      <c r="O127" s="3008"/>
      <c r="P127" s="3008"/>
      <c r="Q127" s="3008"/>
      <c r="R127" s="3008"/>
      <c r="S127" s="3008"/>
      <c r="T127" s="3008"/>
      <c r="U127" s="3008"/>
      <c r="V127" s="3008"/>
      <c r="W127" s="3008"/>
      <c r="X127" s="3008"/>
      <c r="Y127" s="3008"/>
      <c r="Z127" s="3008"/>
      <c r="AA127" s="3008"/>
      <c r="AB127" s="3008"/>
      <c r="AC127" s="3008"/>
      <c r="AD127" s="3008"/>
      <c r="AE127" s="3008"/>
      <c r="AF127" s="3008"/>
      <c r="AG127" s="3008"/>
    </row>
    <row r="128" spans="2:33" ht="13.65" hidden="1" customHeight="1">
      <c r="B128" s="3008"/>
      <c r="C128" s="3008"/>
      <c r="D128" s="3008"/>
      <c r="E128" s="3008"/>
      <c r="F128" s="3008"/>
      <c r="G128" s="3008"/>
      <c r="H128" s="3008"/>
      <c r="I128" s="3008"/>
      <c r="J128" s="3008"/>
      <c r="K128" s="3008"/>
      <c r="L128" s="3008"/>
      <c r="M128" s="3008"/>
      <c r="N128" s="3008"/>
      <c r="O128" s="3008"/>
      <c r="P128" s="3008"/>
      <c r="Q128" s="3008"/>
      <c r="R128" s="3008"/>
      <c r="S128" s="3008"/>
      <c r="T128" s="3008"/>
      <c r="U128" s="3008"/>
      <c r="V128" s="3008"/>
      <c r="W128" s="3008"/>
      <c r="X128" s="3008"/>
      <c r="Y128" s="3008"/>
      <c r="Z128" s="3008"/>
      <c r="AA128" s="3008"/>
      <c r="AB128" s="3008"/>
      <c r="AC128" s="3008"/>
      <c r="AD128" s="3008"/>
      <c r="AE128" s="3008"/>
      <c r="AF128" s="3008"/>
      <c r="AG128" s="3008"/>
    </row>
    <row r="129" spans="2:33" ht="13.65" hidden="1" customHeight="1">
      <c r="B129" s="3008"/>
      <c r="C129" s="3008"/>
      <c r="D129" s="3008"/>
      <c r="E129" s="3008"/>
      <c r="F129" s="3008"/>
      <c r="G129" s="3008"/>
      <c r="H129" s="3008"/>
      <c r="I129" s="3008"/>
      <c r="J129" s="3008"/>
      <c r="K129" s="3008"/>
      <c r="L129" s="3008"/>
      <c r="M129" s="3008"/>
      <c r="N129" s="3008"/>
      <c r="O129" s="3008"/>
      <c r="P129" s="3008"/>
      <c r="Q129" s="3008"/>
      <c r="R129" s="3008"/>
      <c r="S129" s="3008"/>
      <c r="T129" s="3008"/>
      <c r="U129" s="3008"/>
      <c r="V129" s="3008"/>
      <c r="W129" s="3008"/>
      <c r="X129" s="3008"/>
      <c r="Y129" s="3008"/>
      <c r="Z129" s="3008"/>
      <c r="AA129" s="3008"/>
      <c r="AB129" s="3008"/>
      <c r="AC129" s="3008"/>
      <c r="AD129" s="3008"/>
      <c r="AE129" s="3008"/>
      <c r="AF129" s="3008"/>
      <c r="AG129" s="3008"/>
    </row>
    <row r="130" spans="2:33" ht="13.65" hidden="1" customHeight="1">
      <c r="B130" s="3008"/>
      <c r="C130" s="3008"/>
      <c r="D130" s="3008"/>
      <c r="E130" s="3008"/>
      <c r="F130" s="3008"/>
      <c r="G130" s="3008"/>
      <c r="H130" s="3008"/>
      <c r="I130" s="3008"/>
      <c r="J130" s="3008"/>
      <c r="K130" s="3008"/>
      <c r="L130" s="3008"/>
      <c r="M130" s="3008"/>
      <c r="N130" s="3008"/>
      <c r="O130" s="3008"/>
      <c r="P130" s="3008"/>
      <c r="Q130" s="3008"/>
      <c r="R130" s="3008"/>
      <c r="S130" s="3008"/>
      <c r="T130" s="3008"/>
      <c r="U130" s="3008"/>
      <c r="V130" s="3008"/>
      <c r="W130" s="3008"/>
      <c r="X130" s="3008"/>
      <c r="Y130" s="3008"/>
      <c r="Z130" s="3008"/>
      <c r="AA130" s="3008"/>
      <c r="AB130" s="3008"/>
      <c r="AC130" s="3008"/>
      <c r="AD130" s="3008"/>
      <c r="AE130" s="3008"/>
      <c r="AF130" s="3008"/>
      <c r="AG130" s="3008"/>
    </row>
    <row r="131" spans="2:33" ht="13.65" hidden="1" customHeight="1">
      <c r="B131" s="3008"/>
      <c r="C131" s="3008"/>
      <c r="D131" s="3008"/>
      <c r="E131" s="3008"/>
      <c r="F131" s="3008"/>
      <c r="G131" s="3008"/>
      <c r="H131" s="3008"/>
      <c r="I131" s="3008"/>
      <c r="J131" s="3008"/>
      <c r="K131" s="3008"/>
      <c r="L131" s="3008"/>
      <c r="M131" s="3008"/>
      <c r="N131" s="3008"/>
      <c r="O131" s="3008"/>
      <c r="P131" s="3008"/>
      <c r="Q131" s="3008"/>
      <c r="R131" s="3008"/>
      <c r="S131" s="3008"/>
      <c r="T131" s="3008"/>
      <c r="U131" s="3008"/>
      <c r="V131" s="3008"/>
      <c r="W131" s="3008"/>
      <c r="X131" s="3008"/>
      <c r="Y131" s="3008"/>
      <c r="Z131" s="3008"/>
      <c r="AA131" s="3008"/>
      <c r="AB131" s="3008"/>
      <c r="AC131" s="3008"/>
      <c r="AD131" s="3008"/>
      <c r="AE131" s="3008"/>
      <c r="AF131" s="3008"/>
      <c r="AG131" s="3008"/>
    </row>
    <row r="132" spans="2:33" ht="13.65" hidden="1" customHeight="1">
      <c r="B132" s="3008"/>
      <c r="C132" s="3008"/>
      <c r="D132" s="3008"/>
      <c r="E132" s="3008"/>
      <c r="F132" s="3008"/>
      <c r="G132" s="3008"/>
      <c r="H132" s="3008"/>
      <c r="I132" s="3008"/>
      <c r="J132" s="3008"/>
      <c r="K132" s="3008"/>
      <c r="L132" s="3008"/>
      <c r="M132" s="3008"/>
      <c r="N132" s="3008"/>
      <c r="O132" s="3008"/>
      <c r="P132" s="3008"/>
      <c r="Q132" s="3008"/>
      <c r="R132" s="3008"/>
      <c r="S132" s="3008"/>
      <c r="T132" s="3008"/>
      <c r="U132" s="3008"/>
      <c r="V132" s="3008"/>
      <c r="W132" s="3008"/>
      <c r="X132" s="3008"/>
      <c r="Y132" s="3008"/>
      <c r="Z132" s="3008"/>
      <c r="AA132" s="3008"/>
      <c r="AB132" s="3008"/>
      <c r="AC132" s="3008"/>
      <c r="AD132" s="3008"/>
      <c r="AE132" s="3008"/>
      <c r="AF132" s="3008"/>
      <c r="AG132" s="3008"/>
    </row>
    <row r="133" spans="2:33" ht="13.65" hidden="1" customHeight="1">
      <c r="B133" s="3008"/>
      <c r="C133" s="3008"/>
      <c r="D133" s="3008"/>
      <c r="E133" s="3008"/>
      <c r="F133" s="3008"/>
      <c r="G133" s="3008"/>
      <c r="H133" s="3008"/>
      <c r="I133" s="3008"/>
      <c r="J133" s="3008"/>
      <c r="K133" s="3008"/>
      <c r="L133" s="3008"/>
      <c r="M133" s="3008"/>
      <c r="N133" s="3008"/>
      <c r="O133" s="3008"/>
      <c r="P133" s="3008"/>
      <c r="Q133" s="3008"/>
      <c r="R133" s="3008"/>
      <c r="S133" s="3008"/>
      <c r="T133" s="3008"/>
      <c r="U133" s="3008"/>
      <c r="V133" s="3008"/>
      <c r="W133" s="3008"/>
      <c r="X133" s="3008"/>
      <c r="Y133" s="3008"/>
      <c r="Z133" s="3008"/>
      <c r="AA133" s="3008"/>
      <c r="AB133" s="3008"/>
      <c r="AC133" s="3008"/>
      <c r="AD133" s="3008"/>
      <c r="AE133" s="3008"/>
      <c r="AF133" s="3008"/>
      <c r="AG133" s="3008"/>
    </row>
    <row r="134" spans="2:33" ht="13.65" hidden="1" customHeight="1">
      <c r="B134" s="3008"/>
      <c r="C134" s="3008"/>
      <c r="D134" s="3008"/>
      <c r="E134" s="3008"/>
      <c r="F134" s="3008"/>
      <c r="G134" s="3008"/>
      <c r="H134" s="3008"/>
      <c r="I134" s="3008"/>
      <c r="J134" s="3008"/>
      <c r="K134" s="3008"/>
      <c r="L134" s="3008"/>
      <c r="M134" s="3008"/>
      <c r="N134" s="3008"/>
      <c r="O134" s="3008"/>
      <c r="P134" s="3008"/>
      <c r="Q134" s="3008"/>
      <c r="R134" s="3008"/>
      <c r="S134" s="3008"/>
      <c r="T134" s="3008"/>
      <c r="U134" s="3008"/>
      <c r="V134" s="3008"/>
      <c r="W134" s="3008"/>
      <c r="X134" s="3008"/>
      <c r="Y134" s="3008"/>
      <c r="Z134" s="3008"/>
      <c r="AA134" s="3008"/>
      <c r="AB134" s="3008"/>
      <c r="AC134" s="3008"/>
      <c r="AD134" s="3008"/>
      <c r="AE134" s="3008"/>
      <c r="AF134" s="3008"/>
      <c r="AG134" s="3008"/>
    </row>
    <row r="135" spans="2:33" ht="13.65" hidden="1" customHeight="1">
      <c r="B135" s="3008"/>
      <c r="C135" s="3008"/>
      <c r="D135" s="3008"/>
      <c r="E135" s="3008"/>
      <c r="F135" s="3008"/>
      <c r="G135" s="3008"/>
      <c r="H135" s="3008"/>
      <c r="I135" s="3008"/>
      <c r="J135" s="3008"/>
      <c r="K135" s="3008"/>
      <c r="L135" s="3008"/>
      <c r="M135" s="3008"/>
      <c r="N135" s="3008"/>
      <c r="O135" s="3008"/>
      <c r="P135" s="3008"/>
      <c r="Q135" s="3008"/>
      <c r="R135" s="3008"/>
      <c r="S135" s="3008"/>
      <c r="T135" s="3008"/>
      <c r="U135" s="3008"/>
      <c r="V135" s="3008"/>
      <c r="W135" s="3008"/>
      <c r="X135" s="3008"/>
      <c r="Y135" s="3008"/>
      <c r="Z135" s="3008"/>
      <c r="AA135" s="3008"/>
      <c r="AB135" s="3008"/>
      <c r="AC135" s="3008"/>
      <c r="AD135" s="3008"/>
      <c r="AE135" s="3008"/>
      <c r="AF135" s="3008"/>
      <c r="AG135" s="3008"/>
    </row>
    <row r="136" spans="2:33" ht="13.65" hidden="1" customHeight="1">
      <c r="B136" s="3008"/>
      <c r="C136" s="3008"/>
      <c r="D136" s="3008"/>
      <c r="E136" s="3008"/>
      <c r="F136" s="3008"/>
      <c r="G136" s="3008"/>
      <c r="H136" s="3008"/>
      <c r="I136" s="3008"/>
      <c r="J136" s="3008"/>
      <c r="K136" s="3008"/>
      <c r="L136" s="3008"/>
      <c r="M136" s="3008"/>
      <c r="N136" s="3008"/>
      <c r="O136" s="3008"/>
      <c r="P136" s="3008"/>
      <c r="Q136" s="3008"/>
      <c r="R136" s="3008"/>
      <c r="S136" s="3008"/>
      <c r="T136" s="3008"/>
      <c r="U136" s="3008"/>
      <c r="V136" s="3008"/>
      <c r="W136" s="3008"/>
      <c r="X136" s="3008"/>
      <c r="Y136" s="3008"/>
      <c r="Z136" s="3008"/>
      <c r="AA136" s="3008"/>
      <c r="AB136" s="3008"/>
      <c r="AC136" s="3008"/>
      <c r="AD136" s="3008"/>
      <c r="AE136" s="3008"/>
      <c r="AF136" s="3008"/>
      <c r="AG136" s="3008"/>
    </row>
    <row r="137" spans="2:33" ht="13.65" hidden="1" customHeight="1">
      <c r="B137" s="3008"/>
      <c r="C137" s="3008"/>
      <c r="D137" s="3008"/>
      <c r="E137" s="3008"/>
      <c r="F137" s="3008"/>
      <c r="G137" s="3008"/>
      <c r="H137" s="3008"/>
      <c r="I137" s="3008"/>
      <c r="J137" s="3008"/>
      <c r="K137" s="3008"/>
      <c r="L137" s="3008"/>
      <c r="M137" s="3008"/>
      <c r="N137" s="3008"/>
      <c r="O137" s="3008"/>
      <c r="P137" s="3008"/>
      <c r="Q137" s="3008"/>
      <c r="R137" s="3008"/>
      <c r="S137" s="3008"/>
      <c r="T137" s="3008"/>
      <c r="U137" s="3008"/>
      <c r="V137" s="3008"/>
      <c r="W137" s="3008"/>
      <c r="X137" s="3008"/>
      <c r="Y137" s="3008"/>
      <c r="Z137" s="3008"/>
      <c r="AA137" s="3008"/>
      <c r="AB137" s="3008"/>
      <c r="AC137" s="3008"/>
      <c r="AD137" s="3008"/>
      <c r="AE137" s="3008"/>
      <c r="AF137" s="3008"/>
      <c r="AG137" s="3008"/>
    </row>
    <row r="138" spans="2:33" ht="13.65" hidden="1" customHeight="1">
      <c r="B138" s="3008"/>
      <c r="C138" s="3008"/>
      <c r="D138" s="3008"/>
      <c r="E138" s="3008"/>
      <c r="F138" s="3008"/>
      <c r="G138" s="3008"/>
      <c r="H138" s="3008"/>
      <c r="I138" s="3008"/>
      <c r="J138" s="3008"/>
      <c r="K138" s="3008"/>
      <c r="L138" s="3008"/>
      <c r="M138" s="3008"/>
      <c r="N138" s="3008"/>
      <c r="O138" s="3008"/>
      <c r="P138" s="3008"/>
      <c r="Q138" s="3008"/>
      <c r="R138" s="3008"/>
      <c r="S138" s="3008"/>
      <c r="T138" s="3008"/>
      <c r="U138" s="3008"/>
      <c r="V138" s="3008"/>
      <c r="W138" s="3008"/>
      <c r="X138" s="3008"/>
      <c r="Y138" s="3008"/>
      <c r="Z138" s="3008"/>
      <c r="AA138" s="3008"/>
      <c r="AB138" s="3008"/>
      <c r="AC138" s="3008"/>
      <c r="AD138" s="3008"/>
      <c r="AE138" s="3008"/>
      <c r="AF138" s="3008"/>
      <c r="AG138" s="3008"/>
    </row>
    <row r="139" spans="2:33" ht="13.65" hidden="1" customHeight="1">
      <c r="B139" s="3008"/>
      <c r="C139" s="3008"/>
      <c r="D139" s="3008"/>
      <c r="E139" s="3008"/>
      <c r="F139" s="3008"/>
      <c r="G139" s="3008"/>
      <c r="H139" s="3008"/>
      <c r="I139" s="3008"/>
      <c r="J139" s="3008"/>
      <c r="K139" s="3008"/>
      <c r="L139" s="3008"/>
      <c r="M139" s="3008"/>
      <c r="N139" s="3008"/>
      <c r="O139" s="3008"/>
      <c r="P139" s="3008"/>
      <c r="Q139" s="3008"/>
      <c r="R139" s="3008"/>
      <c r="S139" s="3008"/>
      <c r="T139" s="3008"/>
      <c r="U139" s="3008"/>
      <c r="V139" s="3008"/>
      <c r="W139" s="3008"/>
      <c r="X139" s="3008"/>
      <c r="Y139" s="3008"/>
      <c r="Z139" s="3008"/>
      <c r="AA139" s="3008"/>
      <c r="AB139" s="3008"/>
      <c r="AC139" s="3008"/>
      <c r="AD139" s="3008"/>
      <c r="AE139" s="3008"/>
      <c r="AF139" s="3008"/>
      <c r="AG139" s="3008"/>
    </row>
    <row r="140" spans="2:33" ht="13.65" hidden="1" customHeight="1">
      <c r="B140" s="3008"/>
      <c r="C140" s="3008"/>
      <c r="D140" s="3008"/>
      <c r="E140" s="3008"/>
      <c r="F140" s="3008"/>
      <c r="G140" s="3008"/>
      <c r="H140" s="3008"/>
      <c r="I140" s="3008"/>
      <c r="J140" s="3008"/>
      <c r="K140" s="3008"/>
      <c r="L140" s="3008"/>
      <c r="M140" s="3008"/>
      <c r="N140" s="3008"/>
      <c r="O140" s="3008"/>
      <c r="P140" s="3008"/>
      <c r="Q140" s="3008"/>
      <c r="R140" s="3008"/>
      <c r="S140" s="3008"/>
      <c r="T140" s="3008"/>
      <c r="U140" s="3008"/>
      <c r="V140" s="3008"/>
      <c r="W140" s="3008"/>
      <c r="X140" s="3008"/>
      <c r="Y140" s="3008"/>
      <c r="Z140" s="3008"/>
      <c r="AA140" s="3008"/>
      <c r="AB140" s="3008"/>
      <c r="AC140" s="3008"/>
      <c r="AD140" s="3008"/>
      <c r="AE140" s="3008"/>
      <c r="AF140" s="3008"/>
      <c r="AG140" s="3008"/>
    </row>
    <row r="141" spans="2:33" ht="13.65" hidden="1" customHeight="1">
      <c r="B141" s="3008"/>
      <c r="C141" s="3008"/>
      <c r="D141" s="3008"/>
      <c r="E141" s="3008"/>
      <c r="F141" s="3008"/>
      <c r="G141" s="3008"/>
      <c r="H141" s="3008"/>
      <c r="I141" s="3008"/>
      <c r="J141" s="3008"/>
      <c r="K141" s="3008"/>
      <c r="L141" s="3008"/>
      <c r="M141" s="3008"/>
      <c r="N141" s="3008"/>
      <c r="O141" s="3008"/>
      <c r="P141" s="3008"/>
      <c r="Q141" s="3008"/>
      <c r="R141" s="3008"/>
      <c r="S141" s="3008"/>
      <c r="T141" s="3008"/>
      <c r="U141" s="3008"/>
      <c r="V141" s="3008"/>
      <c r="W141" s="3008"/>
      <c r="X141" s="3008"/>
      <c r="Y141" s="3008"/>
      <c r="Z141" s="3008"/>
      <c r="AA141" s="3008"/>
      <c r="AB141" s="3008"/>
      <c r="AC141" s="3008"/>
      <c r="AD141" s="3008"/>
      <c r="AE141" s="3008"/>
      <c r="AF141" s="3008"/>
      <c r="AG141" s="3008"/>
    </row>
    <row r="142" spans="2:33" ht="13.65" hidden="1" customHeight="1">
      <c r="B142" s="3008"/>
      <c r="C142" s="3008"/>
      <c r="D142" s="3008"/>
      <c r="E142" s="3008"/>
      <c r="F142" s="3008"/>
      <c r="G142" s="3008"/>
      <c r="H142" s="3008"/>
      <c r="I142" s="3008"/>
      <c r="J142" s="3008"/>
      <c r="K142" s="3008"/>
      <c r="L142" s="3008"/>
      <c r="M142" s="3008"/>
      <c r="N142" s="3008"/>
      <c r="O142" s="3008"/>
      <c r="P142" s="3008"/>
      <c r="Q142" s="3008"/>
      <c r="R142" s="3008"/>
      <c r="S142" s="3008"/>
      <c r="T142" s="3008"/>
      <c r="U142" s="3008"/>
      <c r="V142" s="3008"/>
      <c r="W142" s="3008"/>
      <c r="X142" s="3008"/>
      <c r="Y142" s="3008"/>
      <c r="Z142" s="3008"/>
      <c r="AA142" s="3008"/>
      <c r="AB142" s="3008"/>
      <c r="AC142" s="3008"/>
      <c r="AD142" s="3008"/>
      <c r="AE142" s="3008"/>
      <c r="AF142" s="3008"/>
      <c r="AG142" s="3008"/>
    </row>
    <row r="143" spans="2:33" ht="13.65" hidden="1" customHeight="1">
      <c r="B143" s="3008"/>
      <c r="C143" s="3008"/>
      <c r="D143" s="3008"/>
      <c r="E143" s="3008"/>
      <c r="F143" s="3008"/>
      <c r="G143" s="3008"/>
      <c r="H143" s="3008"/>
      <c r="I143" s="3008"/>
      <c r="J143" s="3008"/>
      <c r="K143" s="3008"/>
      <c r="L143" s="3008"/>
      <c r="M143" s="3008"/>
      <c r="N143" s="3008"/>
      <c r="O143" s="3008"/>
      <c r="P143" s="3008"/>
      <c r="Q143" s="3008"/>
      <c r="R143" s="3008"/>
      <c r="S143" s="3008"/>
      <c r="T143" s="3008"/>
      <c r="U143" s="3008"/>
      <c r="V143" s="3008"/>
      <c r="W143" s="3008"/>
      <c r="X143" s="3008"/>
      <c r="Y143" s="3008"/>
      <c r="Z143" s="3008"/>
      <c r="AA143" s="3008"/>
      <c r="AB143" s="3008"/>
      <c r="AC143" s="3008"/>
      <c r="AD143" s="3008"/>
      <c r="AE143" s="3008"/>
      <c r="AF143" s="3008"/>
      <c r="AG143" s="3008"/>
    </row>
    <row r="144" spans="2:33" ht="13.65" hidden="1" customHeight="1">
      <c r="B144" s="3008"/>
      <c r="C144" s="3008"/>
      <c r="D144" s="3008"/>
      <c r="E144" s="3008"/>
      <c r="F144" s="3008"/>
      <c r="G144" s="3008"/>
      <c r="H144" s="3008"/>
      <c r="I144" s="3008"/>
      <c r="J144" s="3008"/>
      <c r="K144" s="3008"/>
      <c r="L144" s="3008"/>
      <c r="M144" s="3008"/>
      <c r="N144" s="3008"/>
      <c r="O144" s="3008"/>
      <c r="P144" s="3008"/>
      <c r="Q144" s="3008"/>
      <c r="R144" s="3008"/>
      <c r="S144" s="3008"/>
      <c r="T144" s="3008"/>
      <c r="U144" s="3008"/>
      <c r="V144" s="3008"/>
      <c r="W144" s="3008"/>
      <c r="X144" s="3008"/>
      <c r="Y144" s="3008"/>
      <c r="Z144" s="3008"/>
      <c r="AA144" s="3008"/>
      <c r="AB144" s="3008"/>
      <c r="AC144" s="3008"/>
      <c r="AD144" s="3008"/>
      <c r="AE144" s="3008"/>
      <c r="AF144" s="3008"/>
      <c r="AG144" s="3008"/>
    </row>
    <row r="145" spans="2:33" ht="13.65" hidden="1" customHeight="1">
      <c r="B145" s="3008"/>
      <c r="C145" s="3008"/>
      <c r="D145" s="3008"/>
      <c r="E145" s="3008"/>
      <c r="F145" s="3008"/>
      <c r="G145" s="3008"/>
      <c r="H145" s="3008"/>
      <c r="I145" s="3008"/>
      <c r="J145" s="3008"/>
      <c r="K145" s="3008"/>
      <c r="L145" s="3008"/>
      <c r="M145" s="3008"/>
      <c r="N145" s="3008"/>
      <c r="O145" s="3008"/>
      <c r="P145" s="3008"/>
      <c r="Q145" s="3008"/>
      <c r="R145" s="3008"/>
      <c r="S145" s="3008"/>
      <c r="T145" s="3008"/>
      <c r="U145" s="3008"/>
      <c r="V145" s="3008"/>
      <c r="W145" s="3008"/>
      <c r="X145" s="3008"/>
      <c r="Y145" s="3008"/>
      <c r="Z145" s="3008"/>
      <c r="AA145" s="3008"/>
      <c r="AB145" s="3008"/>
      <c r="AC145" s="3008"/>
      <c r="AD145" s="3008"/>
      <c r="AE145" s="3008"/>
      <c r="AF145" s="3008"/>
      <c r="AG145" s="3008"/>
    </row>
    <row r="146" spans="2:33" ht="13.65" hidden="1" customHeight="1">
      <c r="B146" s="3008"/>
      <c r="C146" s="3008"/>
      <c r="D146" s="3008"/>
      <c r="E146" s="3008"/>
      <c r="F146" s="3008"/>
      <c r="G146" s="3008"/>
      <c r="H146" s="3008"/>
      <c r="I146" s="3008"/>
      <c r="J146" s="3008"/>
      <c r="K146" s="3008"/>
      <c r="L146" s="3008"/>
      <c r="M146" s="3008"/>
      <c r="N146" s="3008"/>
      <c r="O146" s="3008"/>
      <c r="P146" s="3008"/>
      <c r="Q146" s="3008"/>
      <c r="R146" s="3008"/>
      <c r="S146" s="3008"/>
      <c r="T146" s="3008"/>
      <c r="U146" s="3008"/>
      <c r="V146" s="3008"/>
      <c r="W146" s="3008"/>
      <c r="X146" s="3008"/>
      <c r="Y146" s="3008"/>
      <c r="Z146" s="3008"/>
      <c r="AA146" s="3008"/>
      <c r="AB146" s="3008"/>
      <c r="AC146" s="3008"/>
      <c r="AD146" s="3008"/>
      <c r="AE146" s="3008"/>
      <c r="AF146" s="3008"/>
      <c r="AG146" s="3008"/>
    </row>
    <row r="147" spans="2:33" ht="13.65" hidden="1" customHeight="1">
      <c r="B147" s="3008"/>
      <c r="C147" s="3008"/>
      <c r="D147" s="3008"/>
      <c r="E147" s="3008"/>
      <c r="F147" s="3008"/>
      <c r="G147" s="3008"/>
      <c r="H147" s="3008"/>
      <c r="I147" s="3008"/>
      <c r="J147" s="3008"/>
      <c r="K147" s="3008"/>
      <c r="L147" s="3008"/>
      <c r="M147" s="3008"/>
      <c r="N147" s="3008"/>
      <c r="O147" s="3008"/>
      <c r="P147" s="3008"/>
      <c r="Q147" s="3008"/>
      <c r="R147" s="3008"/>
      <c r="S147" s="3008"/>
      <c r="T147" s="3008"/>
      <c r="U147" s="3008"/>
      <c r="V147" s="3008"/>
      <c r="W147" s="3008"/>
      <c r="X147" s="3008"/>
      <c r="Y147" s="3008"/>
      <c r="Z147" s="3008"/>
      <c r="AA147" s="3008"/>
      <c r="AB147" s="3008"/>
      <c r="AC147" s="3008"/>
      <c r="AD147" s="3008"/>
      <c r="AE147" s="3008"/>
      <c r="AF147" s="3008"/>
      <c r="AG147" s="3008"/>
    </row>
    <row r="148" spans="2:33" ht="13.65" hidden="1" customHeight="1">
      <c r="B148" s="3008"/>
      <c r="C148" s="3008"/>
      <c r="D148" s="3008"/>
      <c r="E148" s="3008"/>
      <c r="F148" s="3008"/>
      <c r="G148" s="3008"/>
      <c r="H148" s="3008"/>
      <c r="I148" s="3008"/>
      <c r="J148" s="3008"/>
      <c r="K148" s="3008"/>
      <c r="L148" s="3008"/>
      <c r="M148" s="3008"/>
      <c r="N148" s="3008"/>
      <c r="O148" s="3008"/>
      <c r="P148" s="3008"/>
      <c r="Q148" s="3008"/>
      <c r="R148" s="3008"/>
      <c r="S148" s="3008"/>
      <c r="T148" s="3008"/>
      <c r="U148" s="3008"/>
      <c r="V148" s="3008"/>
      <c r="W148" s="3008"/>
      <c r="X148" s="3008"/>
      <c r="Y148" s="3008"/>
      <c r="Z148" s="3008"/>
      <c r="AA148" s="3008"/>
      <c r="AB148" s="3008"/>
      <c r="AC148" s="3008"/>
      <c r="AD148" s="3008"/>
      <c r="AE148" s="3008"/>
      <c r="AF148" s="3008"/>
      <c r="AG148" s="3008"/>
    </row>
    <row r="149" spans="2:33" ht="13.65" hidden="1" customHeight="1">
      <c r="B149" s="3008"/>
      <c r="C149" s="3008"/>
      <c r="D149" s="3008"/>
      <c r="E149" s="3008"/>
      <c r="F149" s="3008"/>
      <c r="G149" s="3008"/>
      <c r="H149" s="3008"/>
      <c r="I149" s="3008"/>
      <c r="J149" s="3008"/>
      <c r="K149" s="3008"/>
      <c r="L149" s="3008"/>
      <c r="M149" s="3008"/>
      <c r="N149" s="3008"/>
      <c r="O149" s="3008"/>
      <c r="P149" s="3008"/>
      <c r="Q149" s="3008"/>
      <c r="R149" s="3008"/>
      <c r="S149" s="3008"/>
      <c r="T149" s="3008"/>
      <c r="U149" s="3008"/>
      <c r="V149" s="3008"/>
      <c r="W149" s="3008"/>
      <c r="X149" s="3008"/>
      <c r="Y149" s="3008"/>
      <c r="Z149" s="3008"/>
      <c r="AA149" s="3008"/>
      <c r="AB149" s="3008"/>
      <c r="AC149" s="3008"/>
      <c r="AD149" s="3008"/>
      <c r="AE149" s="3008"/>
      <c r="AF149" s="3008"/>
      <c r="AG149" s="3008"/>
    </row>
    <row r="150" spans="2:33" ht="13.65" hidden="1" customHeight="1">
      <c r="B150" s="3008"/>
      <c r="C150" s="3008"/>
      <c r="D150" s="3008"/>
      <c r="E150" s="3008"/>
      <c r="F150" s="3008"/>
      <c r="G150" s="3008"/>
      <c r="H150" s="3008"/>
      <c r="I150" s="3008"/>
      <c r="J150" s="3008"/>
      <c r="K150" s="3008"/>
      <c r="L150" s="3008"/>
      <c r="M150" s="3008"/>
      <c r="N150" s="3008"/>
      <c r="O150" s="3008"/>
      <c r="P150" s="3008"/>
      <c r="Q150" s="3008"/>
      <c r="R150" s="3008"/>
      <c r="S150" s="3008"/>
      <c r="T150" s="3008"/>
      <c r="U150" s="3008"/>
      <c r="V150" s="3008"/>
      <c r="W150" s="3008"/>
      <c r="X150" s="3008"/>
      <c r="Y150" s="3008"/>
      <c r="Z150" s="3008"/>
      <c r="AA150" s="3008"/>
      <c r="AB150" s="3008"/>
      <c r="AC150" s="3008"/>
      <c r="AD150" s="3008"/>
      <c r="AE150" s="3008"/>
      <c r="AF150" s="3008"/>
      <c r="AG150" s="3008"/>
    </row>
    <row r="151" spans="2:33" ht="13.65" hidden="1" customHeight="1">
      <c r="B151" s="3008"/>
      <c r="C151" s="3008"/>
      <c r="D151" s="3008"/>
      <c r="E151" s="3008"/>
      <c r="F151" s="3008"/>
      <c r="G151" s="3008"/>
      <c r="H151" s="3008"/>
      <c r="I151" s="3008"/>
      <c r="J151" s="3008"/>
      <c r="K151" s="3008"/>
      <c r="L151" s="3008"/>
      <c r="M151" s="3008"/>
      <c r="N151" s="3008"/>
      <c r="O151" s="3008"/>
      <c r="P151" s="3008"/>
      <c r="Q151" s="3008"/>
      <c r="R151" s="3008"/>
      <c r="S151" s="3008"/>
      <c r="T151" s="3008"/>
      <c r="U151" s="3008"/>
      <c r="V151" s="3008"/>
      <c r="W151" s="3008"/>
      <c r="X151" s="3008"/>
      <c r="Y151" s="3008"/>
      <c r="Z151" s="3008"/>
      <c r="AA151" s="3008"/>
      <c r="AB151" s="3008"/>
      <c r="AC151" s="3008"/>
      <c r="AD151" s="3008"/>
      <c r="AE151" s="3008"/>
      <c r="AF151" s="3008"/>
      <c r="AG151" s="3008"/>
    </row>
    <row r="152" spans="2:33" ht="13.65" hidden="1" customHeight="1">
      <c r="B152" s="3008"/>
      <c r="C152" s="3008"/>
      <c r="D152" s="3008"/>
      <c r="E152" s="3008"/>
      <c r="F152" s="3008"/>
      <c r="G152" s="3008"/>
      <c r="H152" s="3008"/>
      <c r="I152" s="3008"/>
      <c r="J152" s="3008"/>
      <c r="K152" s="3008"/>
      <c r="L152" s="3008"/>
      <c r="M152" s="3008"/>
      <c r="N152" s="3008"/>
      <c r="O152" s="3008"/>
      <c r="P152" s="3008"/>
      <c r="Q152" s="3008"/>
      <c r="R152" s="3008"/>
      <c r="S152" s="3008"/>
      <c r="T152" s="3008"/>
      <c r="U152" s="3008"/>
      <c r="V152" s="3008"/>
      <c r="W152" s="3008"/>
      <c r="X152" s="3008"/>
      <c r="Y152" s="3008"/>
      <c r="Z152" s="3008"/>
      <c r="AA152" s="3008"/>
      <c r="AB152" s="3008"/>
      <c r="AC152" s="3008"/>
      <c r="AD152" s="3008"/>
      <c r="AE152" s="3008"/>
      <c r="AF152" s="3008"/>
      <c r="AG152" s="3008"/>
    </row>
    <row r="153" spans="2:33" ht="13.65" hidden="1" customHeight="1">
      <c r="B153" s="3008"/>
      <c r="C153" s="3008"/>
      <c r="D153" s="3008"/>
      <c r="E153" s="3008"/>
      <c r="F153" s="3008"/>
      <c r="G153" s="3008"/>
      <c r="H153" s="3008"/>
      <c r="I153" s="3008"/>
      <c r="J153" s="3008"/>
      <c r="K153" s="3008"/>
      <c r="L153" s="3008"/>
      <c r="M153" s="3008"/>
      <c r="N153" s="3008"/>
      <c r="O153" s="3008"/>
      <c r="P153" s="3008"/>
      <c r="Q153" s="3008"/>
      <c r="R153" s="3008"/>
      <c r="S153" s="3008"/>
      <c r="T153" s="3008"/>
      <c r="U153" s="3008"/>
      <c r="V153" s="3008"/>
      <c r="W153" s="3008"/>
      <c r="X153" s="3008"/>
      <c r="Y153" s="3008"/>
      <c r="Z153" s="3008"/>
      <c r="AA153" s="3008"/>
      <c r="AB153" s="3008"/>
      <c r="AC153" s="3008"/>
      <c r="AD153" s="3008"/>
      <c r="AE153" s="3008"/>
      <c r="AF153" s="3008"/>
      <c r="AG153" s="3008"/>
    </row>
    <row r="154" spans="2:33" ht="13.65" hidden="1" customHeight="1">
      <c r="B154" s="3008"/>
      <c r="C154" s="3008"/>
      <c r="D154" s="3008"/>
      <c r="E154" s="3008"/>
      <c r="F154" s="3008"/>
      <c r="G154" s="3008"/>
      <c r="H154" s="3008"/>
      <c r="I154" s="3008"/>
      <c r="J154" s="3008"/>
      <c r="K154" s="3008"/>
      <c r="L154" s="3008"/>
      <c r="M154" s="3008"/>
      <c r="N154" s="3008"/>
      <c r="O154" s="3008"/>
      <c r="P154" s="3008"/>
      <c r="Q154" s="3008"/>
      <c r="R154" s="3008"/>
      <c r="S154" s="3008"/>
      <c r="T154" s="3008"/>
      <c r="U154" s="3008"/>
      <c r="V154" s="3008"/>
      <c r="W154" s="3008"/>
      <c r="X154" s="3008"/>
      <c r="Y154" s="3008"/>
      <c r="Z154" s="3008"/>
      <c r="AA154" s="3008"/>
      <c r="AB154" s="3008"/>
      <c r="AC154" s="3008"/>
      <c r="AD154" s="3008"/>
      <c r="AE154" s="3008"/>
      <c r="AF154" s="3008"/>
      <c r="AG154" s="3008"/>
    </row>
    <row r="155" spans="2:33" ht="13.65" hidden="1" customHeight="1">
      <c r="B155" s="3008"/>
      <c r="C155" s="3008"/>
      <c r="D155" s="3008"/>
      <c r="E155" s="3008"/>
      <c r="F155" s="3008"/>
      <c r="G155" s="3008"/>
      <c r="H155" s="3008"/>
      <c r="I155" s="3008"/>
      <c r="J155" s="3008"/>
      <c r="K155" s="3008"/>
      <c r="L155" s="3008"/>
      <c r="M155" s="3008"/>
      <c r="N155" s="3008"/>
      <c r="O155" s="3008"/>
      <c r="P155" s="3008"/>
      <c r="Q155" s="3008"/>
      <c r="R155" s="3008"/>
      <c r="S155" s="3008"/>
      <c r="T155" s="3008"/>
      <c r="U155" s="3008"/>
      <c r="V155" s="3008"/>
      <c r="W155" s="3008"/>
      <c r="X155" s="3008"/>
      <c r="Y155" s="3008"/>
      <c r="Z155" s="3008"/>
      <c r="AA155" s="3008"/>
      <c r="AB155" s="3008"/>
      <c r="AC155" s="3008"/>
      <c r="AD155" s="3008"/>
      <c r="AE155" s="3008"/>
      <c r="AF155" s="3008"/>
      <c r="AG155" s="3008"/>
    </row>
    <row r="156" spans="2:33" ht="13.65" hidden="1" customHeight="1">
      <c r="B156" s="3008"/>
      <c r="C156" s="3008"/>
      <c r="D156" s="3008"/>
      <c r="E156" s="3008"/>
      <c r="F156" s="3008"/>
      <c r="G156" s="3008"/>
      <c r="H156" s="3008"/>
      <c r="I156" s="3008"/>
      <c r="J156" s="3008"/>
      <c r="K156" s="3008"/>
      <c r="L156" s="3008"/>
      <c r="M156" s="3008"/>
      <c r="N156" s="3008"/>
      <c r="O156" s="3008"/>
      <c r="P156" s="3008"/>
      <c r="Q156" s="3008"/>
      <c r="R156" s="3008"/>
      <c r="S156" s="3008"/>
      <c r="T156" s="3008"/>
      <c r="U156" s="3008"/>
      <c r="V156" s="3008"/>
      <c r="W156" s="3008"/>
      <c r="X156" s="3008"/>
      <c r="Y156" s="3008"/>
      <c r="Z156" s="3008"/>
      <c r="AA156" s="3008"/>
      <c r="AB156" s="3008"/>
      <c r="AC156" s="3008"/>
      <c r="AD156" s="3008"/>
      <c r="AE156" s="3008"/>
      <c r="AF156" s="3008"/>
      <c r="AG156" s="3008"/>
    </row>
    <row r="157" spans="2:33" ht="13.65" hidden="1" customHeight="1">
      <c r="B157" s="3008"/>
      <c r="C157" s="3008"/>
      <c r="D157" s="3008"/>
      <c r="E157" s="3008"/>
      <c r="F157" s="3008"/>
      <c r="G157" s="3008"/>
      <c r="H157" s="3008"/>
      <c r="I157" s="3008"/>
      <c r="J157" s="3008"/>
      <c r="K157" s="3008"/>
      <c r="L157" s="3008"/>
      <c r="M157" s="3008"/>
      <c r="N157" s="3008"/>
      <c r="O157" s="3008"/>
      <c r="P157" s="3008"/>
      <c r="Q157" s="3008"/>
      <c r="R157" s="3008"/>
      <c r="S157" s="3008"/>
      <c r="T157" s="3008"/>
      <c r="U157" s="3008"/>
      <c r="V157" s="3008"/>
      <c r="W157" s="3008"/>
      <c r="X157" s="3008"/>
      <c r="Y157" s="3008"/>
      <c r="Z157" s="3008"/>
      <c r="AA157" s="3008"/>
      <c r="AB157" s="3008"/>
      <c r="AC157" s="3008"/>
      <c r="AD157" s="3008"/>
      <c r="AE157" s="3008"/>
      <c r="AF157" s="3008"/>
      <c r="AG157" s="3008"/>
    </row>
    <row r="158" spans="2:33" ht="13.65" hidden="1" customHeight="1">
      <c r="B158" s="3008"/>
      <c r="C158" s="3008"/>
      <c r="D158" s="3008"/>
      <c r="E158" s="3008"/>
      <c r="F158" s="3008"/>
      <c r="G158" s="3008"/>
      <c r="H158" s="3008"/>
      <c r="I158" s="3008"/>
      <c r="J158" s="3008"/>
      <c r="K158" s="3008"/>
      <c r="L158" s="3008"/>
      <c r="M158" s="3008"/>
      <c r="N158" s="3008"/>
      <c r="O158" s="3008"/>
      <c r="P158" s="3008"/>
      <c r="Q158" s="3008"/>
      <c r="R158" s="3008"/>
      <c r="S158" s="3008"/>
      <c r="T158" s="3008"/>
      <c r="U158" s="3008"/>
      <c r="V158" s="3008"/>
      <c r="W158" s="3008"/>
      <c r="X158" s="3008"/>
      <c r="Y158" s="3008"/>
      <c r="Z158" s="3008"/>
      <c r="AA158" s="3008"/>
      <c r="AB158" s="3008"/>
      <c r="AC158" s="3008"/>
      <c r="AD158" s="3008"/>
      <c r="AE158" s="3008"/>
      <c r="AF158" s="3008"/>
      <c r="AG158" s="3008"/>
    </row>
    <row r="159" spans="2:33" ht="13.65" hidden="1" customHeight="1">
      <c r="B159" s="3008"/>
      <c r="C159" s="3008"/>
      <c r="D159" s="3008"/>
      <c r="E159" s="3008"/>
      <c r="F159" s="3008"/>
      <c r="G159" s="3008"/>
      <c r="H159" s="3008"/>
      <c r="I159" s="3008"/>
      <c r="J159" s="3008"/>
      <c r="K159" s="3008"/>
      <c r="L159" s="3008"/>
      <c r="M159" s="3008"/>
      <c r="N159" s="3008"/>
      <c r="O159" s="3008"/>
      <c r="P159" s="3008"/>
      <c r="Q159" s="3008"/>
      <c r="R159" s="3008"/>
      <c r="S159" s="3008"/>
      <c r="T159" s="3008"/>
      <c r="U159" s="3008"/>
      <c r="V159" s="3008"/>
      <c r="W159" s="3008"/>
      <c r="X159" s="3008"/>
      <c r="Y159" s="3008"/>
      <c r="Z159" s="3008"/>
      <c r="AA159" s="3008"/>
      <c r="AB159" s="3008"/>
      <c r="AC159" s="3008"/>
      <c r="AD159" s="3008"/>
      <c r="AE159" s="3008"/>
      <c r="AF159" s="3008"/>
      <c r="AG159" s="3008"/>
    </row>
    <row r="160" spans="2:33" ht="13.65" hidden="1" customHeight="1">
      <c r="B160" s="3008"/>
      <c r="C160" s="3008"/>
      <c r="D160" s="3008"/>
      <c r="E160" s="3008"/>
      <c r="F160" s="3008"/>
      <c r="G160" s="3008"/>
      <c r="H160" s="3008"/>
      <c r="I160" s="3008"/>
      <c r="J160" s="3008"/>
      <c r="K160" s="3008"/>
      <c r="L160" s="3008"/>
      <c r="M160" s="3008"/>
      <c r="N160" s="3008"/>
      <c r="O160" s="3008"/>
      <c r="P160" s="3008"/>
      <c r="Q160" s="3008"/>
      <c r="R160" s="3008"/>
      <c r="S160" s="3008"/>
      <c r="T160" s="3008"/>
      <c r="U160" s="3008"/>
      <c r="V160" s="3008"/>
      <c r="W160" s="3008"/>
      <c r="X160" s="3008"/>
      <c r="Y160" s="3008"/>
      <c r="Z160" s="3008"/>
      <c r="AA160" s="3008"/>
      <c r="AB160" s="3008"/>
      <c r="AC160" s="3008"/>
      <c r="AD160" s="3008"/>
      <c r="AE160" s="3008"/>
      <c r="AF160" s="3008"/>
      <c r="AG160" s="3008"/>
    </row>
    <row r="161" spans="2:38" ht="13.65" hidden="1" customHeight="1">
      <c r="B161" s="3008"/>
      <c r="C161" s="3008"/>
      <c r="D161" s="3008"/>
      <c r="E161" s="3008"/>
      <c r="F161" s="3008"/>
      <c r="G161" s="3008"/>
      <c r="H161" s="3008"/>
      <c r="I161" s="3008"/>
      <c r="J161" s="3008"/>
      <c r="K161" s="3008"/>
      <c r="L161" s="3008"/>
      <c r="M161" s="3008"/>
      <c r="N161" s="3008"/>
      <c r="O161" s="3008"/>
      <c r="P161" s="3008"/>
      <c r="Q161" s="3008"/>
      <c r="R161" s="3008"/>
      <c r="S161" s="3008"/>
      <c r="T161" s="3008"/>
      <c r="U161" s="3008"/>
      <c r="V161" s="3008"/>
      <c r="W161" s="3008"/>
      <c r="X161" s="3008"/>
      <c r="Y161" s="3008"/>
      <c r="Z161" s="3008"/>
      <c r="AA161" s="3008"/>
      <c r="AB161" s="3008"/>
      <c r="AC161" s="3008"/>
      <c r="AD161" s="3008"/>
      <c r="AE161" s="3008"/>
      <c r="AF161" s="3008"/>
      <c r="AG161" s="3008"/>
    </row>
    <row r="162" spans="2:38" ht="13.65" hidden="1" customHeight="1">
      <c r="B162" s="3008"/>
      <c r="C162" s="3008"/>
      <c r="D162" s="3008"/>
      <c r="E162" s="3008"/>
      <c r="F162" s="3008"/>
      <c r="G162" s="3008"/>
      <c r="H162" s="3008"/>
      <c r="I162" s="3008"/>
      <c r="J162" s="3008"/>
      <c r="K162" s="3008"/>
      <c r="L162" s="3008"/>
      <c r="M162" s="3008"/>
      <c r="N162" s="3008"/>
      <c r="O162" s="3008"/>
      <c r="P162" s="3008"/>
      <c r="Q162" s="3008"/>
      <c r="R162" s="3008"/>
      <c r="S162" s="3008"/>
      <c r="T162" s="3008"/>
      <c r="U162" s="3008"/>
      <c r="V162" s="3008"/>
      <c r="W162" s="3008"/>
      <c r="X162" s="3008"/>
      <c r="Y162" s="3008"/>
      <c r="Z162" s="3008"/>
      <c r="AA162" s="3008"/>
      <c r="AB162" s="3008"/>
      <c r="AC162" s="3008"/>
      <c r="AD162" s="3008"/>
      <c r="AE162" s="3008"/>
      <c r="AF162" s="3008"/>
      <c r="AG162" s="3008"/>
    </row>
    <row r="163" spans="2:38" ht="13.65" hidden="1" customHeight="1">
      <c r="B163" s="3008"/>
      <c r="C163" s="3008"/>
      <c r="D163" s="3008"/>
      <c r="E163" s="3008"/>
      <c r="F163" s="3008"/>
      <c r="G163" s="3008"/>
      <c r="H163" s="3008"/>
      <c r="I163" s="3008"/>
      <c r="J163" s="3008"/>
      <c r="K163" s="3008"/>
      <c r="L163" s="3008"/>
      <c r="M163" s="3008"/>
      <c r="N163" s="3008"/>
      <c r="O163" s="3008"/>
      <c r="P163" s="3008"/>
      <c r="Q163" s="3008"/>
      <c r="R163" s="3008"/>
      <c r="S163" s="3008"/>
      <c r="T163" s="3008"/>
      <c r="U163" s="3008"/>
      <c r="V163" s="3008"/>
      <c r="W163" s="3008"/>
      <c r="X163" s="3008"/>
      <c r="Y163" s="3008"/>
      <c r="Z163" s="3008"/>
      <c r="AA163" s="3008"/>
      <c r="AB163" s="3008"/>
      <c r="AC163" s="3008"/>
      <c r="AD163" s="3008"/>
      <c r="AE163" s="3008"/>
      <c r="AF163" s="3008"/>
      <c r="AG163" s="3008"/>
    </row>
    <row r="164" spans="2:38" ht="13.65" hidden="1" customHeight="1">
      <c r="B164" s="3008"/>
      <c r="C164" s="3008"/>
      <c r="D164" s="3008"/>
      <c r="E164" s="3008"/>
      <c r="F164" s="3008"/>
      <c r="G164" s="3008"/>
      <c r="H164" s="3008"/>
      <c r="I164" s="3008"/>
      <c r="J164" s="3008"/>
      <c r="K164" s="3008"/>
      <c r="L164" s="3008"/>
      <c r="M164" s="3008"/>
      <c r="N164" s="3008"/>
      <c r="O164" s="3008"/>
      <c r="P164" s="3008"/>
      <c r="Q164" s="3008"/>
      <c r="R164" s="3008"/>
      <c r="S164" s="3008"/>
      <c r="T164" s="3008"/>
      <c r="U164" s="3008"/>
      <c r="V164" s="3008"/>
      <c r="W164" s="3008"/>
      <c r="X164" s="3008"/>
      <c r="Y164" s="3008"/>
      <c r="Z164" s="3008"/>
      <c r="AA164" s="3008"/>
      <c r="AB164" s="3008"/>
      <c r="AC164" s="3008"/>
      <c r="AD164" s="3008"/>
      <c r="AE164" s="3008"/>
      <c r="AF164" s="3008"/>
      <c r="AG164" s="3008"/>
    </row>
    <row r="165" spans="2:38" ht="13.65" hidden="1" customHeight="1">
      <c r="B165" s="3008"/>
      <c r="C165" s="3008"/>
      <c r="D165" s="3008"/>
      <c r="E165" s="3008"/>
      <c r="F165" s="3008"/>
      <c r="G165" s="3008"/>
      <c r="H165" s="3008"/>
      <c r="I165" s="3008"/>
      <c r="J165" s="3008"/>
      <c r="K165" s="3008"/>
      <c r="L165" s="3008"/>
      <c r="M165" s="3008"/>
      <c r="N165" s="3008"/>
      <c r="O165" s="3008"/>
      <c r="P165" s="3008"/>
      <c r="Q165" s="3008"/>
      <c r="R165" s="3008"/>
      <c r="S165" s="3008"/>
      <c r="T165" s="3008"/>
      <c r="U165" s="3008"/>
      <c r="V165" s="3008"/>
      <c r="W165" s="3008"/>
      <c r="X165" s="3008"/>
      <c r="Y165" s="3008"/>
      <c r="Z165" s="3008"/>
      <c r="AA165" s="3008"/>
      <c r="AB165" s="3008"/>
      <c r="AC165" s="3008"/>
      <c r="AD165" s="3008"/>
      <c r="AE165" s="3008"/>
      <c r="AF165" s="3008"/>
      <c r="AG165" s="3008"/>
    </row>
    <row r="166" spans="2:38" ht="13.65" hidden="1" customHeight="1">
      <c r="B166" s="3008"/>
      <c r="C166" s="3008"/>
      <c r="D166" s="3008"/>
      <c r="E166" s="3008"/>
      <c r="F166" s="3008"/>
      <c r="G166" s="3008"/>
      <c r="H166" s="3008"/>
      <c r="I166" s="3008"/>
      <c r="J166" s="3008"/>
      <c r="K166" s="3008"/>
      <c r="L166" s="3008"/>
      <c r="M166" s="3008"/>
      <c r="N166" s="3008"/>
      <c r="O166" s="3008"/>
      <c r="P166" s="3008"/>
      <c r="Q166" s="3008"/>
      <c r="R166" s="3008"/>
      <c r="S166" s="3008"/>
      <c r="T166" s="3008"/>
      <c r="U166" s="3008"/>
      <c r="V166" s="3008"/>
      <c r="W166" s="3008"/>
      <c r="X166" s="3008"/>
      <c r="Y166" s="3008"/>
      <c r="Z166" s="3008"/>
      <c r="AA166" s="3008"/>
      <c r="AB166" s="3008"/>
      <c r="AC166" s="3008"/>
      <c r="AD166" s="3008"/>
      <c r="AE166" s="3008"/>
      <c r="AF166" s="3008"/>
      <c r="AG166" s="3008"/>
    </row>
    <row r="167" spans="2:38" ht="13.65" hidden="1" customHeight="1">
      <c r="B167" s="3008"/>
      <c r="C167" s="3008"/>
      <c r="D167" s="3008"/>
      <c r="E167" s="3008"/>
      <c r="F167" s="3008"/>
      <c r="G167" s="3008"/>
      <c r="H167" s="3008"/>
      <c r="I167" s="3008"/>
      <c r="J167" s="3008"/>
      <c r="K167" s="3008"/>
      <c r="L167" s="3008"/>
      <c r="M167" s="3008"/>
      <c r="N167" s="3008"/>
      <c r="O167" s="3008"/>
      <c r="P167" s="3008"/>
      <c r="Q167" s="3008"/>
      <c r="R167" s="3008"/>
      <c r="S167" s="3008"/>
      <c r="T167" s="3008"/>
      <c r="U167" s="3008"/>
      <c r="V167" s="3008"/>
      <c r="W167" s="3008"/>
      <c r="X167" s="3008"/>
      <c r="Y167" s="3008"/>
      <c r="Z167" s="3008"/>
      <c r="AA167" s="3008"/>
      <c r="AB167" s="3008"/>
      <c r="AC167" s="3008"/>
      <c r="AD167" s="3008"/>
      <c r="AE167" s="3008"/>
      <c r="AF167" s="3008"/>
      <c r="AG167" s="3008"/>
    </row>
    <row r="168" spans="2:38" ht="13.65" hidden="1" customHeight="1">
      <c r="B168" s="3008"/>
      <c r="C168" s="3008"/>
      <c r="D168" s="3008"/>
      <c r="E168" s="3008"/>
      <c r="F168" s="3008"/>
      <c r="G168" s="3008"/>
      <c r="H168" s="3008"/>
      <c r="I168" s="3008"/>
      <c r="J168" s="3008"/>
      <c r="K168" s="3008"/>
      <c r="L168" s="3008"/>
      <c r="M168" s="3008"/>
      <c r="N168" s="3008"/>
      <c r="O168" s="3008"/>
      <c r="P168" s="3008"/>
      <c r="Q168" s="3008"/>
      <c r="R168" s="3008"/>
      <c r="S168" s="3008"/>
      <c r="T168" s="3008"/>
      <c r="U168" s="3008"/>
      <c r="V168" s="3008"/>
      <c r="W168" s="3008"/>
      <c r="X168" s="3008"/>
      <c r="Y168" s="3008"/>
      <c r="Z168" s="3008"/>
      <c r="AA168" s="3008"/>
      <c r="AB168" s="3008"/>
      <c r="AC168" s="3008"/>
      <c r="AD168" s="3008"/>
      <c r="AE168" s="3008"/>
      <c r="AF168" s="3008"/>
      <c r="AG168" s="3008"/>
    </row>
    <row r="169" spans="2:38" ht="13.65" hidden="1" customHeight="1">
      <c r="B169" s="3008"/>
      <c r="C169" s="3008"/>
      <c r="D169" s="3008"/>
      <c r="E169" s="3008"/>
      <c r="F169" s="3008"/>
      <c r="G169" s="3008"/>
      <c r="H169" s="3008"/>
      <c r="I169" s="3008"/>
      <c r="J169" s="3008"/>
      <c r="K169" s="3008"/>
      <c r="L169" s="3008"/>
      <c r="M169" s="3008"/>
      <c r="N169" s="3008"/>
      <c r="O169" s="3008"/>
      <c r="P169" s="3008"/>
      <c r="Q169" s="3008"/>
      <c r="R169" s="3008"/>
      <c r="S169" s="3008"/>
      <c r="T169" s="3008"/>
      <c r="U169" s="3008"/>
      <c r="V169" s="3008"/>
      <c r="W169" s="3008"/>
      <c r="X169" s="3008"/>
      <c r="Y169" s="3008"/>
      <c r="Z169" s="3008"/>
      <c r="AA169" s="3008"/>
      <c r="AB169" s="3008"/>
      <c r="AC169" s="3008"/>
      <c r="AD169" s="3008"/>
      <c r="AE169" s="3008"/>
      <c r="AF169" s="3008"/>
      <c r="AG169" s="3008"/>
    </row>
    <row r="170" spans="2:38" ht="13.65" hidden="1" customHeight="1">
      <c r="B170" s="3008"/>
      <c r="C170" s="3008"/>
      <c r="D170" s="3008"/>
      <c r="E170" s="3008"/>
      <c r="F170" s="3008"/>
      <c r="G170" s="3008"/>
      <c r="H170" s="3008"/>
      <c r="I170" s="3008"/>
      <c r="J170" s="3008"/>
      <c r="K170" s="3008"/>
      <c r="L170" s="3008"/>
      <c r="M170" s="3008"/>
      <c r="N170" s="3008"/>
      <c r="O170" s="3008"/>
      <c r="P170" s="3008"/>
      <c r="Q170" s="3008"/>
      <c r="R170" s="3008"/>
      <c r="S170" s="3008"/>
      <c r="T170" s="3008"/>
      <c r="U170" s="3008"/>
      <c r="V170" s="3008"/>
      <c r="W170" s="3008"/>
      <c r="X170" s="3008"/>
      <c r="Y170" s="3008"/>
      <c r="Z170" s="3008"/>
      <c r="AA170" s="3008"/>
      <c r="AB170" s="3008"/>
      <c r="AC170" s="3008"/>
      <c r="AD170" s="3008"/>
      <c r="AE170" s="3008"/>
      <c r="AF170" s="3008"/>
      <c r="AG170" s="3008"/>
    </row>
    <row r="171" spans="2:38" ht="19.95" hidden="1" customHeight="1">
      <c r="B171" s="3008"/>
      <c r="C171" s="3008"/>
      <c r="D171" s="3008"/>
      <c r="E171" s="3008"/>
      <c r="F171" s="3008"/>
      <c r="G171" s="3008"/>
      <c r="H171" s="3008"/>
      <c r="I171" s="3008"/>
      <c r="J171" s="3008"/>
      <c r="K171" s="3008"/>
      <c r="L171" s="3008"/>
      <c r="M171" s="3008"/>
      <c r="N171" s="3008"/>
      <c r="O171" s="3008"/>
      <c r="P171" s="3008"/>
      <c r="Q171" s="3008"/>
      <c r="R171" s="3008"/>
      <c r="S171" s="3008"/>
      <c r="T171" s="3008"/>
      <c r="U171" s="3008"/>
      <c r="V171" s="3008"/>
      <c r="W171" s="3008"/>
      <c r="X171" s="3008"/>
      <c r="Y171" s="3008"/>
      <c r="Z171" s="3008"/>
      <c r="AA171" s="3008"/>
      <c r="AB171" s="3008"/>
      <c r="AC171" s="3008"/>
      <c r="AD171" s="3008"/>
      <c r="AE171" s="3008"/>
      <c r="AF171" s="3008"/>
      <c r="AG171" s="3008"/>
    </row>
    <row r="172" spans="2:38" ht="13.2" hidden="1" customHeight="1">
      <c r="B172" s="3008"/>
      <c r="C172" s="3008"/>
      <c r="D172" s="3008"/>
      <c r="E172" s="3008"/>
      <c r="F172" s="3008"/>
      <c r="G172" s="3008"/>
      <c r="H172" s="3008"/>
      <c r="I172" s="3008"/>
      <c r="J172" s="3008"/>
      <c r="K172" s="3008"/>
      <c r="L172" s="3008"/>
      <c r="M172" s="3008"/>
      <c r="N172" s="3008"/>
      <c r="O172" s="3008"/>
      <c r="P172" s="3008"/>
      <c r="Q172" s="3008"/>
      <c r="R172" s="3008"/>
      <c r="S172" s="3008"/>
      <c r="T172" s="3008"/>
      <c r="U172" s="3008"/>
      <c r="V172" s="3008"/>
      <c r="W172" s="3008"/>
      <c r="X172" s="3008"/>
      <c r="Y172" s="3008"/>
      <c r="Z172" s="3008"/>
      <c r="AA172" s="3008"/>
      <c r="AB172" s="3008"/>
      <c r="AC172" s="3008"/>
      <c r="AD172" s="3008"/>
      <c r="AE172" s="3008"/>
      <c r="AF172" s="3008"/>
      <c r="AG172" s="3008"/>
    </row>
    <row r="173" spans="2:38" ht="13.2" hidden="1" customHeight="1">
      <c r="B173" s="3008"/>
      <c r="C173" s="3008"/>
      <c r="D173" s="3008"/>
      <c r="E173" s="3008"/>
      <c r="F173" s="3008"/>
      <c r="G173" s="3008"/>
      <c r="H173" s="3008"/>
      <c r="I173" s="3008"/>
      <c r="J173" s="3008"/>
      <c r="K173" s="3008"/>
      <c r="L173" s="3008"/>
      <c r="M173" s="3008"/>
      <c r="N173" s="3008"/>
      <c r="O173" s="3008"/>
      <c r="P173" s="3008"/>
      <c r="Q173" s="3008"/>
      <c r="R173" s="3008"/>
      <c r="S173" s="3008"/>
      <c r="T173" s="3008"/>
      <c r="U173" s="3008"/>
      <c r="V173" s="3008"/>
      <c r="W173" s="3008"/>
      <c r="X173" s="3008"/>
      <c r="Y173" s="3008"/>
      <c r="Z173" s="3008"/>
      <c r="AA173" s="3008"/>
      <c r="AB173" s="3008"/>
      <c r="AC173" s="3008"/>
      <c r="AD173" s="3008"/>
      <c r="AE173" s="3008"/>
      <c r="AF173" s="3008"/>
      <c r="AG173" s="3008"/>
    </row>
    <row r="174" spans="2:38" ht="13.2" hidden="1" customHeight="1">
      <c r="B174" s="3008"/>
      <c r="C174" s="3008"/>
      <c r="D174" s="3008"/>
      <c r="E174" s="3008"/>
      <c r="F174" s="3008"/>
      <c r="G174" s="3008"/>
      <c r="H174" s="3008"/>
      <c r="I174" s="3008"/>
      <c r="J174" s="3008"/>
      <c r="K174" s="3008"/>
      <c r="L174" s="3008"/>
      <c r="M174" s="3008"/>
      <c r="N174" s="3008"/>
      <c r="O174" s="3008"/>
      <c r="P174" s="3008"/>
      <c r="Q174" s="3008"/>
      <c r="R174" s="3008"/>
      <c r="S174" s="3008"/>
      <c r="T174" s="3008"/>
      <c r="U174" s="3008"/>
      <c r="V174" s="3008"/>
      <c r="W174" s="3008"/>
      <c r="X174" s="3008"/>
      <c r="Y174" s="3008"/>
      <c r="Z174" s="3008"/>
      <c r="AA174" s="3008"/>
      <c r="AB174" s="3008"/>
      <c r="AC174" s="3008"/>
      <c r="AD174" s="3008"/>
      <c r="AE174" s="3008"/>
      <c r="AF174" s="3008"/>
      <c r="AG174" s="3008"/>
    </row>
    <row r="175" spans="2:38" ht="19.95" customHeight="1">
      <c r="B175" s="3008"/>
      <c r="C175" s="3008"/>
      <c r="D175" s="3008"/>
      <c r="E175" s="3008"/>
      <c r="F175" s="3008"/>
      <c r="G175" s="3008"/>
      <c r="H175" s="3008"/>
      <c r="I175" s="3008"/>
      <c r="J175" s="3008"/>
      <c r="K175" s="3008"/>
      <c r="L175" s="3008"/>
      <c r="M175" s="3008"/>
      <c r="N175" s="3008"/>
      <c r="O175" s="3008"/>
      <c r="P175" s="3008"/>
      <c r="Q175" s="3008"/>
      <c r="R175" s="3008"/>
      <c r="S175" s="3008"/>
      <c r="T175" s="3008"/>
      <c r="U175" s="3008"/>
      <c r="V175" s="3008"/>
      <c r="W175" s="3008"/>
      <c r="X175" s="3008"/>
      <c r="Y175" s="3008"/>
      <c r="Z175" s="3008"/>
      <c r="AA175" s="3008"/>
      <c r="AB175" s="3008"/>
      <c r="AC175" s="3008"/>
      <c r="AD175" s="3008"/>
      <c r="AE175" s="3008"/>
      <c r="AF175" s="3008"/>
      <c r="AG175" s="3008"/>
      <c r="AH175" s="29"/>
      <c r="AI175" s="29"/>
      <c r="AJ175" s="29"/>
      <c r="AK175" s="29"/>
      <c r="AL175" s="29"/>
    </row>
    <row r="176" spans="2:38" ht="13.65" customHeight="1">
      <c r="B176" s="3008"/>
      <c r="C176" s="3008"/>
      <c r="D176" s="3008"/>
      <c r="E176" s="3008"/>
      <c r="F176" s="3008"/>
      <c r="G176" s="3008"/>
      <c r="H176" s="3008"/>
      <c r="I176" s="3008"/>
      <c r="J176" s="3008"/>
      <c r="K176" s="3008"/>
      <c r="L176" s="3008"/>
      <c r="M176" s="3008"/>
      <c r="N176" s="3008"/>
      <c r="O176" s="3008"/>
      <c r="P176" s="3008"/>
      <c r="Q176" s="3008"/>
      <c r="R176" s="3008"/>
      <c r="S176" s="3008"/>
      <c r="T176" s="3008"/>
      <c r="U176" s="3008"/>
      <c r="V176" s="3008"/>
      <c r="W176" s="3008"/>
      <c r="X176" s="3008"/>
      <c r="Y176" s="3008"/>
      <c r="Z176" s="3008"/>
      <c r="AA176" s="3008"/>
      <c r="AB176" s="3008"/>
      <c r="AC176" s="3008"/>
      <c r="AD176" s="3008"/>
      <c r="AE176" s="3008"/>
      <c r="AF176" s="3008"/>
      <c r="AG176" s="3008"/>
      <c r="AH176" s="29"/>
      <c r="AI176" s="29"/>
      <c r="AJ176" s="29"/>
      <c r="AK176" s="29"/>
      <c r="AL176" s="29"/>
    </row>
    <row r="177" spans="2:38" ht="13.65" customHeight="1">
      <c r="B177" s="3008"/>
      <c r="C177" s="3008"/>
      <c r="D177" s="3008"/>
      <c r="E177" s="3008"/>
      <c r="F177" s="3008"/>
      <c r="G177" s="3008"/>
      <c r="H177" s="3008"/>
      <c r="I177" s="3008"/>
      <c r="J177" s="3008"/>
      <c r="K177" s="3008"/>
      <c r="L177" s="3008"/>
      <c r="M177" s="3008"/>
      <c r="N177" s="3008"/>
      <c r="O177" s="3008"/>
      <c r="P177" s="3008"/>
      <c r="Q177" s="3008"/>
      <c r="R177" s="3008"/>
      <c r="S177" s="3008"/>
      <c r="T177" s="3008"/>
      <c r="U177" s="3008"/>
      <c r="V177" s="3008"/>
      <c r="W177" s="3008"/>
      <c r="X177" s="3008"/>
      <c r="Y177" s="3008"/>
      <c r="Z177" s="3008"/>
      <c r="AA177" s="3008"/>
      <c r="AB177" s="3008"/>
      <c r="AC177" s="3008"/>
      <c r="AD177" s="3008"/>
      <c r="AE177" s="3008"/>
      <c r="AF177" s="3008"/>
      <c r="AG177" s="3008"/>
      <c r="AH177" s="29"/>
      <c r="AI177" s="29"/>
      <c r="AJ177" s="29"/>
      <c r="AK177" s="29"/>
      <c r="AL177" s="29"/>
    </row>
    <row r="178" spans="2:38">
      <c r="B178" s="3008"/>
      <c r="C178" s="3008"/>
      <c r="D178" s="3008"/>
      <c r="E178" s="3008"/>
      <c r="F178" s="3008"/>
      <c r="G178" s="3008"/>
      <c r="H178" s="3008"/>
      <c r="I178" s="3008"/>
      <c r="J178" s="3008"/>
      <c r="K178" s="3008"/>
      <c r="L178" s="3008"/>
      <c r="M178" s="3008"/>
      <c r="N178" s="3008"/>
      <c r="O178" s="3008"/>
      <c r="P178" s="3008"/>
      <c r="Q178" s="3008"/>
      <c r="R178" s="3008"/>
      <c r="S178" s="3008"/>
      <c r="T178" s="3008"/>
      <c r="U178" s="3008"/>
      <c r="V178" s="3008"/>
      <c r="W178" s="3008"/>
      <c r="X178" s="3008"/>
      <c r="Y178" s="3008"/>
      <c r="Z178" s="3008"/>
      <c r="AA178" s="3008"/>
      <c r="AB178" s="3008"/>
      <c r="AC178" s="3008"/>
      <c r="AD178" s="3008"/>
      <c r="AE178" s="3008"/>
      <c r="AF178" s="3008"/>
      <c r="AG178" s="3008"/>
      <c r="AH178" s="29"/>
      <c r="AI178" s="29"/>
      <c r="AJ178" s="29"/>
      <c r="AK178" s="29"/>
      <c r="AL178" s="29"/>
    </row>
    <row r="179" spans="2:38" ht="12.9" customHeight="1">
      <c r="B179" s="3008"/>
      <c r="C179" s="3008"/>
      <c r="D179" s="3008"/>
      <c r="E179" s="3008"/>
      <c r="F179" s="3008"/>
      <c r="G179" s="3008"/>
      <c r="H179" s="3008"/>
      <c r="I179" s="3008"/>
      <c r="J179" s="3008"/>
      <c r="K179" s="3008"/>
      <c r="L179" s="3008"/>
      <c r="M179" s="3008"/>
      <c r="N179" s="3008"/>
      <c r="O179" s="3008"/>
      <c r="P179" s="3008"/>
      <c r="Q179" s="3008"/>
      <c r="R179" s="3008"/>
      <c r="S179" s="3008"/>
      <c r="T179" s="3008"/>
      <c r="U179" s="3008"/>
      <c r="V179" s="3008"/>
      <c r="W179" s="3008"/>
      <c r="X179" s="3008"/>
      <c r="Y179" s="3008"/>
      <c r="Z179" s="3008"/>
      <c r="AA179" s="3008"/>
      <c r="AB179" s="3008"/>
      <c r="AC179" s="3008"/>
      <c r="AD179" s="3008"/>
      <c r="AE179" s="3008"/>
      <c r="AF179" s="3008"/>
      <c r="AG179" s="3008"/>
      <c r="AH179" s="29"/>
      <c r="AI179" s="29"/>
      <c r="AJ179" s="29"/>
      <c r="AK179" s="29"/>
      <c r="AL179" s="29"/>
    </row>
    <row r="180" spans="2:38" ht="12.9" customHeight="1">
      <c r="B180" s="3008"/>
      <c r="C180" s="3008"/>
      <c r="D180" s="3008"/>
      <c r="E180" s="3008"/>
      <c r="F180" s="3008"/>
      <c r="G180" s="3008"/>
      <c r="H180" s="3008"/>
      <c r="I180" s="3008"/>
      <c r="J180" s="3008"/>
      <c r="K180" s="3008"/>
      <c r="L180" s="3008"/>
      <c r="M180" s="3008"/>
      <c r="N180" s="3008"/>
      <c r="O180" s="3008"/>
      <c r="P180" s="3008"/>
      <c r="Q180" s="3008"/>
      <c r="R180" s="3008"/>
      <c r="S180" s="3008"/>
      <c r="T180" s="3008"/>
      <c r="U180" s="3008"/>
      <c r="V180" s="3008"/>
      <c r="W180" s="3008"/>
      <c r="X180" s="3008"/>
      <c r="Y180" s="3008"/>
      <c r="Z180" s="3008"/>
      <c r="AA180" s="3008"/>
      <c r="AB180" s="3008"/>
      <c r="AC180" s="3008"/>
      <c r="AD180" s="3008"/>
      <c r="AE180" s="3008"/>
      <c r="AF180" s="3008"/>
      <c r="AG180" s="3008"/>
      <c r="AH180" s="29"/>
      <c r="AI180" s="29"/>
      <c r="AJ180" s="29"/>
      <c r="AK180" s="29"/>
      <c r="AL180" s="29"/>
    </row>
    <row r="181" spans="2:38" ht="13.65" customHeight="1">
      <c r="B181" s="3008"/>
      <c r="C181" s="3008"/>
      <c r="D181" s="3008"/>
      <c r="E181" s="3008"/>
      <c r="F181" s="3008"/>
      <c r="G181" s="3008"/>
      <c r="H181" s="3008"/>
      <c r="I181" s="3008"/>
      <c r="J181" s="3008"/>
      <c r="K181" s="3008"/>
      <c r="L181" s="3008"/>
      <c r="M181" s="3008"/>
      <c r="N181" s="3008"/>
      <c r="O181" s="3008"/>
      <c r="P181" s="3008"/>
      <c r="Q181" s="3008"/>
      <c r="R181" s="3008"/>
      <c r="S181" s="3008"/>
      <c r="T181" s="3008"/>
      <c r="U181" s="3008"/>
      <c r="V181" s="3008"/>
      <c r="W181" s="3008"/>
      <c r="X181" s="3008"/>
      <c r="Y181" s="3008"/>
      <c r="Z181" s="3008"/>
      <c r="AA181" s="3008"/>
      <c r="AB181" s="3008"/>
      <c r="AC181" s="3008"/>
      <c r="AD181" s="3008"/>
      <c r="AE181" s="3008"/>
      <c r="AF181" s="3008"/>
      <c r="AG181" s="3008"/>
      <c r="AH181" s="29"/>
      <c r="AI181" s="29"/>
      <c r="AJ181" s="29"/>
      <c r="AK181" s="29"/>
      <c r="AL181" s="29"/>
    </row>
    <row r="182" spans="2:38">
      <c r="B182" s="3008"/>
      <c r="C182" s="3008"/>
      <c r="D182" s="3008"/>
      <c r="E182" s="3008"/>
      <c r="F182" s="3008"/>
      <c r="G182" s="3008"/>
      <c r="H182" s="3008"/>
      <c r="I182" s="3008"/>
      <c r="J182" s="3008"/>
      <c r="K182" s="3008"/>
      <c r="L182" s="3008"/>
      <c r="M182" s="3008"/>
      <c r="N182" s="3008"/>
      <c r="O182" s="3008"/>
      <c r="P182" s="3008"/>
      <c r="Q182" s="3008"/>
      <c r="R182" s="3008"/>
      <c r="S182" s="3008"/>
      <c r="T182" s="3008"/>
      <c r="U182" s="3008"/>
      <c r="V182" s="3008"/>
      <c r="W182" s="3008"/>
      <c r="X182" s="3008"/>
      <c r="Y182" s="3008"/>
      <c r="Z182" s="3008"/>
      <c r="AA182" s="3008"/>
      <c r="AB182" s="3008"/>
      <c r="AC182" s="3008"/>
      <c r="AD182" s="3008"/>
      <c r="AE182" s="3008"/>
      <c r="AF182" s="3008"/>
      <c r="AG182" s="3008"/>
      <c r="AH182" s="29"/>
      <c r="AI182" s="29"/>
      <c r="AJ182" s="29"/>
      <c r="AK182" s="29"/>
      <c r="AL182" s="29"/>
    </row>
    <row r="183" spans="2:38">
      <c r="B183" s="3008"/>
      <c r="C183" s="3008"/>
      <c r="D183" s="3008"/>
      <c r="E183" s="3008"/>
      <c r="F183" s="3008"/>
      <c r="G183" s="3008"/>
      <c r="H183" s="3008"/>
      <c r="I183" s="3008"/>
      <c r="J183" s="3008"/>
      <c r="K183" s="3008"/>
      <c r="L183" s="3008"/>
      <c r="M183" s="3008"/>
      <c r="N183" s="3008"/>
      <c r="O183" s="3008"/>
      <c r="P183" s="3008"/>
      <c r="Q183" s="3008"/>
      <c r="R183" s="3008"/>
      <c r="S183" s="3008"/>
      <c r="T183" s="3008"/>
      <c r="U183" s="3008"/>
      <c r="V183" s="3008"/>
      <c r="W183" s="3008"/>
      <c r="X183" s="3008"/>
      <c r="Y183" s="3008"/>
      <c r="Z183" s="3008"/>
      <c r="AA183" s="3008"/>
      <c r="AB183" s="3008"/>
      <c r="AC183" s="3008"/>
      <c r="AD183" s="3008"/>
      <c r="AE183" s="3008"/>
      <c r="AF183" s="3008"/>
      <c r="AG183" s="3008"/>
      <c r="AH183" s="29"/>
      <c r="AI183" s="29"/>
      <c r="AJ183" s="29"/>
      <c r="AK183" s="29"/>
      <c r="AL183" s="29"/>
    </row>
    <row r="184" spans="2:38">
      <c r="B184" s="3008"/>
      <c r="C184" s="3008"/>
      <c r="D184" s="3008"/>
      <c r="E184" s="3008"/>
      <c r="F184" s="3008"/>
      <c r="G184" s="3008"/>
      <c r="H184" s="3008"/>
      <c r="I184" s="3008"/>
      <c r="J184" s="3008"/>
      <c r="K184" s="3008"/>
      <c r="L184" s="3008"/>
      <c r="M184" s="3008"/>
      <c r="N184" s="3008"/>
      <c r="O184" s="3008"/>
      <c r="P184" s="3008"/>
      <c r="Q184" s="3008"/>
      <c r="R184" s="3008"/>
      <c r="S184" s="3008"/>
      <c r="T184" s="3008"/>
      <c r="U184" s="3008"/>
      <c r="V184" s="3008"/>
      <c r="W184" s="3008"/>
      <c r="X184" s="3008"/>
      <c r="Y184" s="3008"/>
      <c r="Z184" s="3008"/>
      <c r="AA184" s="3008"/>
      <c r="AB184" s="3008"/>
      <c r="AC184" s="3008"/>
      <c r="AD184" s="3008"/>
      <c r="AE184" s="3008"/>
      <c r="AF184" s="3008"/>
      <c r="AG184" s="3008"/>
      <c r="AH184" s="29"/>
      <c r="AI184" s="29"/>
      <c r="AJ184" s="29"/>
      <c r="AK184" s="29"/>
      <c r="AL184" s="29"/>
    </row>
    <row r="185" spans="2:38">
      <c r="B185" s="3008"/>
      <c r="C185" s="3008"/>
      <c r="D185" s="3008"/>
      <c r="E185" s="3008"/>
      <c r="F185" s="3008"/>
      <c r="G185" s="3008"/>
      <c r="H185" s="3008"/>
      <c r="I185" s="3008"/>
      <c r="J185" s="3008"/>
      <c r="K185" s="3008"/>
      <c r="L185" s="3008"/>
      <c r="M185" s="3008"/>
      <c r="N185" s="3008"/>
      <c r="O185" s="3008"/>
      <c r="P185" s="3008"/>
      <c r="Q185" s="3008"/>
      <c r="R185" s="3008"/>
      <c r="S185" s="3008"/>
      <c r="T185" s="3008"/>
      <c r="U185" s="3008"/>
      <c r="V185" s="3008"/>
      <c r="W185" s="3008"/>
      <c r="X185" s="3008"/>
      <c r="Y185" s="3008"/>
      <c r="Z185" s="3008"/>
      <c r="AA185" s="3008"/>
      <c r="AB185" s="3008"/>
      <c r="AC185" s="3008"/>
      <c r="AD185" s="3008"/>
      <c r="AE185" s="3008"/>
      <c r="AF185" s="3008"/>
      <c r="AG185" s="3008"/>
      <c r="AH185" s="29"/>
      <c r="AI185" s="29"/>
      <c r="AJ185" s="29"/>
      <c r="AK185" s="29"/>
      <c r="AL185" s="29"/>
    </row>
    <row r="186" spans="2:38">
      <c r="B186" s="3008"/>
      <c r="C186" s="3008"/>
      <c r="D186" s="3008"/>
      <c r="E186" s="3008"/>
      <c r="F186" s="3008"/>
      <c r="G186" s="3008"/>
      <c r="H186" s="3008"/>
      <c r="I186" s="3008"/>
      <c r="J186" s="3008"/>
      <c r="K186" s="3008"/>
      <c r="L186" s="3008"/>
      <c r="M186" s="3008"/>
      <c r="N186" s="3008"/>
      <c r="O186" s="3008"/>
      <c r="P186" s="3008"/>
      <c r="Q186" s="3008"/>
      <c r="R186" s="3008"/>
      <c r="S186" s="3008"/>
      <c r="T186" s="3008"/>
      <c r="U186" s="3008"/>
      <c r="V186" s="3008"/>
      <c r="W186" s="3008"/>
      <c r="X186" s="3008"/>
      <c r="Y186" s="3008"/>
      <c r="Z186" s="3008"/>
      <c r="AA186" s="3008"/>
      <c r="AB186" s="3008"/>
      <c r="AC186" s="3008"/>
      <c r="AD186" s="3008"/>
      <c r="AE186" s="3008"/>
      <c r="AF186" s="3008"/>
      <c r="AG186" s="3008"/>
      <c r="AH186" s="29"/>
      <c r="AI186" s="29"/>
      <c r="AJ186" s="29"/>
      <c r="AK186" s="29"/>
      <c r="AL186" s="29"/>
    </row>
    <row r="187" spans="2:38">
      <c r="B187" s="3008"/>
      <c r="C187" s="3008"/>
      <c r="D187" s="3008"/>
      <c r="E187" s="3008"/>
      <c r="F187" s="3008"/>
      <c r="G187" s="3008"/>
      <c r="H187" s="3008"/>
      <c r="I187" s="3008"/>
      <c r="J187" s="3008"/>
      <c r="K187" s="3008"/>
      <c r="L187" s="3008"/>
      <c r="M187" s="3008"/>
      <c r="N187" s="3008"/>
      <c r="O187" s="3008"/>
      <c r="P187" s="3008"/>
      <c r="Q187" s="3008"/>
      <c r="R187" s="3008"/>
      <c r="S187" s="3008"/>
      <c r="T187" s="3008"/>
      <c r="U187" s="3008"/>
      <c r="V187" s="3008"/>
      <c r="W187" s="3008"/>
      <c r="X187" s="3008"/>
      <c r="Y187" s="3008"/>
      <c r="Z187" s="3008"/>
      <c r="AA187" s="3008"/>
      <c r="AB187" s="3008"/>
      <c r="AC187" s="3008"/>
      <c r="AD187" s="3008"/>
      <c r="AE187" s="3008"/>
      <c r="AF187" s="3008"/>
      <c r="AG187" s="3008"/>
      <c r="AH187" s="29"/>
      <c r="AI187" s="29"/>
      <c r="AJ187" s="29"/>
      <c r="AK187" s="29"/>
      <c r="AL187" s="29"/>
    </row>
    <row r="188" spans="2:38">
      <c r="B188" s="3008"/>
      <c r="C188" s="3008"/>
      <c r="D188" s="3008"/>
      <c r="E188" s="3008"/>
      <c r="F188" s="3008"/>
      <c r="G188" s="3008"/>
      <c r="H188" s="3008"/>
      <c r="I188" s="3008"/>
      <c r="J188" s="3008"/>
      <c r="K188" s="3008"/>
      <c r="L188" s="3008"/>
      <c r="M188" s="3008"/>
      <c r="N188" s="3008"/>
      <c r="O188" s="3008"/>
      <c r="P188" s="3008"/>
      <c r="Q188" s="3008"/>
      <c r="R188" s="3008"/>
      <c r="S188" s="3008"/>
      <c r="T188" s="3008"/>
      <c r="U188" s="3008"/>
      <c r="V188" s="3008"/>
      <c r="W188" s="3008"/>
      <c r="X188" s="3008"/>
      <c r="Y188" s="3008"/>
      <c r="Z188" s="3008"/>
      <c r="AA188" s="3008"/>
      <c r="AB188" s="3008"/>
      <c r="AC188" s="3008"/>
      <c r="AD188" s="3008"/>
      <c r="AE188" s="3008"/>
      <c r="AF188" s="3008"/>
      <c r="AG188" s="3008"/>
      <c r="AH188" s="29"/>
      <c r="AI188" s="29"/>
      <c r="AJ188" s="29"/>
      <c r="AK188" s="29"/>
      <c r="AL188" s="29"/>
    </row>
    <row r="189" spans="2:38">
      <c r="B189" s="3008"/>
      <c r="C189" s="3008"/>
      <c r="D189" s="3008"/>
      <c r="E189" s="3008"/>
      <c r="F189" s="3008"/>
      <c r="G189" s="3008"/>
      <c r="H189" s="3008"/>
      <c r="I189" s="3008"/>
      <c r="J189" s="3008"/>
      <c r="K189" s="3008"/>
      <c r="L189" s="3008"/>
      <c r="M189" s="3008"/>
      <c r="N189" s="3008"/>
      <c r="O189" s="3008"/>
      <c r="P189" s="3008"/>
      <c r="Q189" s="3008"/>
      <c r="R189" s="3008"/>
      <c r="S189" s="3008"/>
      <c r="T189" s="3008"/>
      <c r="U189" s="3008"/>
      <c r="V189" s="3008"/>
      <c r="W189" s="3008"/>
      <c r="X189" s="3008"/>
      <c r="Y189" s="3008"/>
      <c r="Z189" s="3008"/>
      <c r="AA189" s="3008"/>
      <c r="AB189" s="3008"/>
      <c r="AC189" s="3008"/>
      <c r="AD189" s="3008"/>
      <c r="AE189" s="3008"/>
      <c r="AF189" s="3008"/>
      <c r="AG189" s="3008"/>
      <c r="AH189" s="29"/>
      <c r="AI189" s="29"/>
      <c r="AJ189" s="29"/>
      <c r="AK189" s="29"/>
      <c r="AL189" s="29"/>
    </row>
    <row r="190" spans="2:38">
      <c r="B190" s="3008"/>
      <c r="C190" s="3008"/>
      <c r="D190" s="3008"/>
      <c r="E190" s="3008"/>
      <c r="F190" s="3008"/>
      <c r="G190" s="3008"/>
      <c r="H190" s="3008"/>
      <c r="I190" s="3008"/>
      <c r="J190" s="3008"/>
      <c r="K190" s="3008"/>
      <c r="L190" s="3008"/>
      <c r="M190" s="3008"/>
      <c r="N190" s="3008"/>
      <c r="O190" s="3008"/>
      <c r="P190" s="3008"/>
      <c r="Q190" s="3008"/>
      <c r="R190" s="3008"/>
      <c r="S190" s="3008"/>
      <c r="T190" s="3008"/>
      <c r="U190" s="3008"/>
      <c r="V190" s="3008"/>
      <c r="W190" s="3008"/>
      <c r="X190" s="3008"/>
      <c r="Y190" s="3008"/>
      <c r="Z190" s="3008"/>
      <c r="AA190" s="3008"/>
      <c r="AB190" s="3008"/>
      <c r="AC190" s="3008"/>
      <c r="AD190" s="3008"/>
      <c r="AE190" s="3008"/>
      <c r="AF190" s="3008"/>
      <c r="AG190" s="3008"/>
      <c r="AH190" s="29"/>
      <c r="AI190" s="29"/>
      <c r="AJ190" s="29"/>
      <c r="AK190" s="29"/>
      <c r="AL190" s="29"/>
    </row>
    <row r="191" spans="2:38">
      <c r="B191" s="3008"/>
      <c r="C191" s="3008"/>
      <c r="D191" s="3008"/>
      <c r="E191" s="3008"/>
      <c r="F191" s="3008"/>
      <c r="G191" s="3008"/>
      <c r="H191" s="3008"/>
      <c r="I191" s="3008"/>
      <c r="J191" s="3008"/>
      <c r="K191" s="3008"/>
      <c r="L191" s="3008"/>
      <c r="M191" s="3008"/>
      <c r="N191" s="3008"/>
      <c r="O191" s="3008"/>
      <c r="P191" s="3008"/>
      <c r="Q191" s="3008"/>
      <c r="R191" s="3008"/>
      <c r="S191" s="3008"/>
      <c r="T191" s="3008"/>
      <c r="U191" s="3008"/>
      <c r="V191" s="3008"/>
      <c r="W191" s="3008"/>
      <c r="X191" s="3008"/>
      <c r="Y191" s="3008"/>
      <c r="Z191" s="3008"/>
      <c r="AA191" s="3008"/>
      <c r="AB191" s="3008"/>
      <c r="AC191" s="3008"/>
      <c r="AD191" s="3008"/>
      <c r="AE191" s="3008"/>
      <c r="AF191" s="3008"/>
      <c r="AG191" s="3008"/>
      <c r="AH191" s="29"/>
      <c r="AI191" s="29"/>
      <c r="AJ191" s="29"/>
      <c r="AK191" s="29"/>
      <c r="AL191" s="29"/>
    </row>
    <row r="192" spans="2:38">
      <c r="B192" s="3008"/>
      <c r="C192" s="3008"/>
      <c r="D192" s="3008"/>
      <c r="E192" s="3008"/>
      <c r="F192" s="3008"/>
      <c r="G192" s="3008"/>
      <c r="H192" s="3008"/>
      <c r="I192" s="3008"/>
      <c r="J192" s="3008"/>
      <c r="K192" s="3008"/>
      <c r="L192" s="3008"/>
      <c r="M192" s="3008"/>
      <c r="N192" s="3008"/>
      <c r="O192" s="3008"/>
      <c r="P192" s="3008"/>
      <c r="Q192" s="3008"/>
      <c r="R192" s="3008"/>
      <c r="S192" s="3008"/>
      <c r="T192" s="3008"/>
      <c r="U192" s="3008"/>
      <c r="V192" s="3008"/>
      <c r="W192" s="3008"/>
      <c r="X192" s="3008"/>
      <c r="Y192" s="3008"/>
      <c r="Z192" s="3008"/>
      <c r="AA192" s="3008"/>
      <c r="AB192" s="3008"/>
      <c r="AC192" s="3008"/>
      <c r="AD192" s="3008"/>
      <c r="AE192" s="3008"/>
      <c r="AF192" s="3008"/>
      <c r="AG192" s="3008"/>
      <c r="AH192" s="29"/>
      <c r="AI192" s="29"/>
      <c r="AJ192" s="29"/>
      <c r="AK192" s="29"/>
      <c r="AL192" s="29"/>
    </row>
    <row r="193" spans="2:38">
      <c r="B193" s="3008"/>
      <c r="C193" s="3008"/>
      <c r="D193" s="3008"/>
      <c r="E193" s="3008"/>
      <c r="F193" s="3008"/>
      <c r="G193" s="3008"/>
      <c r="H193" s="3008"/>
      <c r="I193" s="3008"/>
      <c r="J193" s="3008"/>
      <c r="K193" s="3008"/>
      <c r="L193" s="3008"/>
      <c r="M193" s="3008"/>
      <c r="N193" s="3008"/>
      <c r="O193" s="3008"/>
      <c r="P193" s="3008"/>
      <c r="Q193" s="3008"/>
      <c r="R193" s="3008"/>
      <c r="S193" s="3008"/>
      <c r="T193" s="3008"/>
      <c r="U193" s="3008"/>
      <c r="V193" s="3008"/>
      <c r="W193" s="3008"/>
      <c r="X193" s="3008"/>
      <c r="Y193" s="3008"/>
      <c r="Z193" s="3008"/>
      <c r="AA193" s="3008"/>
      <c r="AB193" s="3008"/>
      <c r="AC193" s="3008"/>
      <c r="AD193" s="3008"/>
      <c r="AE193" s="3008"/>
      <c r="AF193" s="3008"/>
      <c r="AG193" s="3008"/>
      <c r="AH193" s="29"/>
      <c r="AI193" s="29"/>
      <c r="AJ193" s="29"/>
      <c r="AK193" s="29"/>
      <c r="AL193" s="29"/>
    </row>
    <row r="194" spans="2:38" ht="19.95" customHeight="1">
      <c r="B194" s="3008"/>
      <c r="C194" s="3008"/>
      <c r="D194" s="3008"/>
      <c r="E194" s="3008"/>
      <c r="F194" s="3008"/>
      <c r="G194" s="3008"/>
      <c r="H194" s="3008"/>
      <c r="I194" s="3008"/>
      <c r="J194" s="3008"/>
      <c r="K194" s="3008"/>
      <c r="L194" s="3008"/>
      <c r="M194" s="3008"/>
      <c r="N194" s="3008"/>
      <c r="O194" s="3008"/>
      <c r="P194" s="3008"/>
      <c r="Q194" s="3008"/>
      <c r="R194" s="3008"/>
      <c r="S194" s="3008"/>
      <c r="T194" s="3008"/>
      <c r="U194" s="3008"/>
      <c r="V194" s="3008"/>
      <c r="W194" s="3008"/>
      <c r="X194" s="3008"/>
      <c r="Y194" s="3008"/>
      <c r="Z194" s="3008"/>
      <c r="AA194" s="3008"/>
      <c r="AB194" s="3008"/>
      <c r="AC194" s="3008"/>
      <c r="AD194" s="3008"/>
      <c r="AE194" s="3008"/>
      <c r="AF194" s="3008"/>
      <c r="AG194" s="3008"/>
      <c r="AH194" s="29"/>
      <c r="AI194" s="29"/>
      <c r="AJ194" s="29"/>
      <c r="AK194" s="29"/>
      <c r="AL194" s="29"/>
    </row>
    <row r="195" spans="2:38">
      <c r="B195" s="3008"/>
      <c r="C195" s="3008"/>
      <c r="D195" s="3008"/>
      <c r="E195" s="3008"/>
      <c r="F195" s="3008"/>
      <c r="G195" s="3008"/>
      <c r="H195" s="3008"/>
      <c r="I195" s="3008"/>
      <c r="J195" s="3008"/>
      <c r="K195" s="3008"/>
      <c r="L195" s="3008"/>
      <c r="M195" s="3008"/>
      <c r="N195" s="3008"/>
      <c r="O195" s="3008"/>
      <c r="P195" s="3008"/>
      <c r="Q195" s="3008"/>
      <c r="R195" s="3008"/>
      <c r="S195" s="3008"/>
      <c r="T195" s="3008"/>
      <c r="U195" s="3008"/>
      <c r="V195" s="3008"/>
      <c r="W195" s="3008"/>
      <c r="X195" s="3008"/>
      <c r="Y195" s="3008"/>
      <c r="Z195" s="3008"/>
      <c r="AA195" s="3008"/>
      <c r="AB195" s="3008"/>
      <c r="AC195" s="3008"/>
      <c r="AD195" s="3008"/>
      <c r="AE195" s="3008"/>
      <c r="AF195" s="3008"/>
      <c r="AG195" s="3008"/>
      <c r="AH195" s="29"/>
      <c r="AI195" s="29"/>
      <c r="AJ195" s="29"/>
      <c r="AK195" s="29"/>
      <c r="AL195" s="29"/>
    </row>
    <row r="196" spans="2:38">
      <c r="B196" s="3008"/>
      <c r="C196" s="3008"/>
      <c r="D196" s="3008"/>
      <c r="E196" s="3008"/>
      <c r="F196" s="3008"/>
      <c r="G196" s="3008"/>
      <c r="H196" s="3008"/>
      <c r="I196" s="3008"/>
      <c r="J196" s="3008"/>
      <c r="K196" s="3008"/>
      <c r="L196" s="3008"/>
      <c r="M196" s="3008"/>
      <c r="N196" s="3008"/>
      <c r="O196" s="3008"/>
      <c r="P196" s="3008"/>
      <c r="Q196" s="3008"/>
      <c r="R196" s="3008"/>
      <c r="S196" s="3008"/>
      <c r="T196" s="3008"/>
      <c r="U196" s="3008"/>
      <c r="V196" s="3008"/>
      <c r="W196" s="3008"/>
      <c r="X196" s="3008"/>
      <c r="Y196" s="3008"/>
      <c r="Z196" s="3008"/>
      <c r="AA196" s="3008"/>
      <c r="AB196" s="3008"/>
      <c r="AC196" s="3008"/>
      <c r="AD196" s="3008"/>
      <c r="AE196" s="3008"/>
      <c r="AF196" s="3008"/>
      <c r="AG196" s="3008"/>
      <c r="AH196" s="29"/>
      <c r="AI196" s="29"/>
      <c r="AJ196" s="29"/>
      <c r="AK196" s="29"/>
      <c r="AL196" s="29"/>
    </row>
    <row r="197" spans="2:38">
      <c r="B197" s="3008"/>
      <c r="C197" s="3008"/>
      <c r="D197" s="3008"/>
      <c r="E197" s="3008"/>
      <c r="F197" s="3008"/>
      <c r="G197" s="3008"/>
      <c r="H197" s="3008"/>
      <c r="I197" s="3008"/>
      <c r="J197" s="3008"/>
      <c r="K197" s="3008"/>
      <c r="L197" s="3008"/>
      <c r="M197" s="3008"/>
      <c r="N197" s="3008"/>
      <c r="O197" s="3008"/>
      <c r="P197" s="3008"/>
      <c r="Q197" s="3008"/>
      <c r="R197" s="3008"/>
      <c r="S197" s="3008"/>
      <c r="T197" s="3008"/>
      <c r="U197" s="3008"/>
      <c r="V197" s="3008"/>
      <c r="W197" s="3008"/>
      <c r="X197" s="3008"/>
      <c r="Y197" s="3008"/>
      <c r="Z197" s="3008"/>
      <c r="AA197" s="3008"/>
      <c r="AB197" s="3008"/>
      <c r="AC197" s="3008"/>
      <c r="AD197" s="3008"/>
      <c r="AE197" s="3008"/>
      <c r="AF197" s="3008"/>
      <c r="AG197" s="3008"/>
      <c r="AH197" s="29"/>
      <c r="AI197" s="29"/>
      <c r="AJ197" s="29"/>
      <c r="AK197" s="29"/>
      <c r="AL197" s="29"/>
    </row>
    <row r="198" spans="2:38">
      <c r="B198" s="3008"/>
      <c r="C198" s="3008"/>
      <c r="D198" s="3008"/>
      <c r="E198" s="3008"/>
      <c r="F198" s="3008"/>
      <c r="G198" s="3008"/>
      <c r="H198" s="3008"/>
      <c r="I198" s="3008"/>
      <c r="J198" s="3008"/>
      <c r="K198" s="3008"/>
      <c r="L198" s="3008"/>
      <c r="M198" s="3008"/>
      <c r="N198" s="3008"/>
      <c r="O198" s="3008"/>
      <c r="P198" s="3008"/>
      <c r="Q198" s="3008"/>
      <c r="R198" s="3008"/>
      <c r="S198" s="3008"/>
      <c r="T198" s="3008"/>
      <c r="U198" s="3008"/>
      <c r="V198" s="3008"/>
      <c r="W198" s="3008"/>
      <c r="X198" s="3008"/>
      <c r="Y198" s="3008"/>
      <c r="Z198" s="3008"/>
      <c r="AA198" s="3008"/>
      <c r="AB198" s="3008"/>
      <c r="AC198" s="3008"/>
      <c r="AD198" s="3008"/>
      <c r="AE198" s="3008"/>
      <c r="AF198" s="3008"/>
      <c r="AG198" s="3008"/>
      <c r="AH198" s="29"/>
      <c r="AI198" s="29"/>
      <c r="AJ198" s="29"/>
      <c r="AK198" s="29"/>
      <c r="AL198" s="29"/>
    </row>
    <row r="199" spans="2:38">
      <c r="B199" s="3008"/>
      <c r="C199" s="3008"/>
      <c r="D199" s="3008"/>
      <c r="E199" s="3008"/>
      <c r="F199" s="3008"/>
      <c r="G199" s="3008"/>
      <c r="H199" s="3008"/>
      <c r="I199" s="3008"/>
      <c r="J199" s="3008"/>
      <c r="K199" s="3008"/>
      <c r="L199" s="3008"/>
      <c r="M199" s="3008"/>
      <c r="N199" s="3008"/>
      <c r="O199" s="3008"/>
      <c r="P199" s="3008"/>
      <c r="Q199" s="3008"/>
      <c r="R199" s="3008"/>
      <c r="S199" s="3008"/>
      <c r="T199" s="3008"/>
      <c r="U199" s="3008"/>
      <c r="V199" s="3008"/>
      <c r="W199" s="3008"/>
      <c r="X199" s="3008"/>
      <c r="Y199" s="3008"/>
      <c r="Z199" s="3008"/>
      <c r="AA199" s="3008"/>
      <c r="AB199" s="3008"/>
      <c r="AC199" s="3008"/>
      <c r="AD199" s="3008"/>
      <c r="AE199" s="3008"/>
      <c r="AF199" s="3008"/>
      <c r="AG199" s="3008"/>
      <c r="AH199" s="29"/>
      <c r="AI199" s="29"/>
      <c r="AJ199" s="29"/>
      <c r="AK199" s="29"/>
      <c r="AL199" s="29"/>
    </row>
    <row r="200" spans="2:38">
      <c r="B200" s="3008"/>
      <c r="C200" s="3008"/>
      <c r="D200" s="3008"/>
      <c r="E200" s="3008"/>
      <c r="F200" s="3008"/>
      <c r="G200" s="3008"/>
      <c r="H200" s="3008"/>
      <c r="I200" s="3008"/>
      <c r="J200" s="3008"/>
      <c r="K200" s="3008"/>
      <c r="L200" s="3008"/>
      <c r="M200" s="3008"/>
      <c r="N200" s="3008"/>
      <c r="O200" s="3008"/>
      <c r="P200" s="3008"/>
      <c r="Q200" s="3008"/>
      <c r="R200" s="3008"/>
      <c r="S200" s="3008"/>
      <c r="T200" s="3008"/>
      <c r="U200" s="3008"/>
      <c r="V200" s="3008"/>
      <c r="W200" s="3008"/>
      <c r="X200" s="3008"/>
      <c r="Y200" s="3008"/>
      <c r="Z200" s="3008"/>
      <c r="AA200" s="3008"/>
      <c r="AB200" s="3008"/>
      <c r="AC200" s="3008"/>
      <c r="AD200" s="3008"/>
      <c r="AE200" s="3008"/>
      <c r="AF200" s="3008"/>
      <c r="AG200" s="3008"/>
      <c r="AH200" s="29"/>
      <c r="AI200" s="29"/>
      <c r="AJ200" s="29"/>
      <c r="AK200" s="29"/>
      <c r="AL200" s="29"/>
    </row>
    <row r="201" spans="2:38">
      <c r="B201" s="3008"/>
      <c r="C201" s="3008"/>
      <c r="D201" s="3008"/>
      <c r="E201" s="3008"/>
      <c r="F201" s="3008"/>
      <c r="G201" s="3008"/>
      <c r="H201" s="3008"/>
      <c r="I201" s="3008"/>
      <c r="J201" s="3008"/>
      <c r="K201" s="3008"/>
      <c r="L201" s="3008"/>
      <c r="M201" s="3008"/>
      <c r="N201" s="3008"/>
      <c r="O201" s="3008"/>
      <c r="P201" s="3008"/>
      <c r="Q201" s="3008"/>
      <c r="R201" s="3008"/>
      <c r="S201" s="3008"/>
      <c r="T201" s="3008"/>
      <c r="U201" s="3008"/>
      <c r="V201" s="3008"/>
      <c r="W201" s="3008"/>
      <c r="X201" s="3008"/>
      <c r="Y201" s="3008"/>
      <c r="Z201" s="3008"/>
      <c r="AA201" s="3008"/>
      <c r="AB201" s="3008"/>
      <c r="AC201" s="3008"/>
      <c r="AD201" s="3008"/>
      <c r="AE201" s="3008"/>
      <c r="AF201" s="3008"/>
      <c r="AG201" s="3008"/>
      <c r="AH201" s="29"/>
      <c r="AI201" s="29"/>
      <c r="AJ201" s="29"/>
      <c r="AK201" s="29"/>
      <c r="AL201" s="29"/>
    </row>
    <row r="202" spans="2:38">
      <c r="B202" s="3008"/>
      <c r="C202" s="3008"/>
      <c r="D202" s="3008"/>
      <c r="E202" s="3008"/>
      <c r="F202" s="3008"/>
      <c r="G202" s="3008"/>
      <c r="H202" s="3008"/>
      <c r="I202" s="3008"/>
      <c r="J202" s="3008"/>
      <c r="K202" s="3008"/>
      <c r="L202" s="3008"/>
      <c r="M202" s="3008"/>
      <c r="N202" s="3008"/>
      <c r="O202" s="3008"/>
      <c r="P202" s="3008"/>
      <c r="Q202" s="3008"/>
      <c r="R202" s="3008"/>
      <c r="S202" s="3008"/>
      <c r="T202" s="3008"/>
      <c r="U202" s="3008"/>
      <c r="V202" s="3008"/>
      <c r="W202" s="3008"/>
      <c r="X202" s="3008"/>
      <c r="Y202" s="3008"/>
      <c r="Z202" s="3008"/>
      <c r="AA202" s="3008"/>
      <c r="AB202" s="3008"/>
      <c r="AC202" s="3008"/>
      <c r="AD202" s="3008"/>
      <c r="AE202" s="3008"/>
      <c r="AF202" s="3008"/>
      <c r="AG202" s="3008"/>
      <c r="AH202" s="29"/>
      <c r="AI202" s="29"/>
      <c r="AJ202" s="29"/>
      <c r="AK202" s="29"/>
      <c r="AL202" s="29"/>
    </row>
    <row r="203" spans="2:38">
      <c r="B203" s="3008"/>
      <c r="C203" s="3008"/>
      <c r="D203" s="3008"/>
      <c r="E203" s="3008"/>
      <c r="F203" s="3008"/>
      <c r="G203" s="3008"/>
      <c r="H203" s="3008"/>
      <c r="I203" s="3008"/>
      <c r="J203" s="3008"/>
      <c r="K203" s="3008"/>
      <c r="L203" s="3008"/>
      <c r="M203" s="3008"/>
      <c r="N203" s="3008"/>
      <c r="O203" s="3008"/>
      <c r="P203" s="3008"/>
      <c r="Q203" s="3008"/>
      <c r="R203" s="3008"/>
      <c r="S203" s="3008"/>
      <c r="T203" s="3008"/>
      <c r="U203" s="3008"/>
      <c r="V203" s="3008"/>
      <c r="W203" s="3008"/>
      <c r="X203" s="3008"/>
      <c r="Y203" s="3008"/>
      <c r="Z203" s="3008"/>
      <c r="AA203" s="3008"/>
      <c r="AB203" s="3008"/>
      <c r="AC203" s="3008"/>
      <c r="AD203" s="3008"/>
      <c r="AE203" s="3008"/>
      <c r="AF203" s="3008"/>
      <c r="AG203" s="3008"/>
    </row>
    <row r="204" spans="2:38">
      <c r="B204" s="3008"/>
      <c r="C204" s="3008"/>
      <c r="D204" s="3008"/>
      <c r="E204" s="3008"/>
      <c r="F204" s="3008"/>
      <c r="G204" s="3008"/>
      <c r="H204" s="3008"/>
      <c r="I204" s="3008"/>
      <c r="J204" s="3008"/>
      <c r="K204" s="3008"/>
      <c r="L204" s="3008"/>
      <c r="M204" s="3008"/>
      <c r="N204" s="3008"/>
      <c r="O204" s="3008"/>
      <c r="P204" s="3008"/>
      <c r="Q204" s="3008"/>
      <c r="R204" s="3008"/>
      <c r="S204" s="3008"/>
      <c r="T204" s="3008"/>
      <c r="U204" s="3008"/>
      <c r="V204" s="3008"/>
      <c r="W204" s="3008"/>
      <c r="X204" s="3008"/>
      <c r="Y204" s="3008"/>
      <c r="Z204" s="3008"/>
      <c r="AA204" s="3008"/>
      <c r="AB204" s="3008"/>
      <c r="AC204" s="3008"/>
      <c r="AD204" s="3008"/>
      <c r="AE204" s="3008"/>
      <c r="AF204" s="3008"/>
      <c r="AG204" s="3008"/>
    </row>
    <row r="205" spans="2:38">
      <c r="B205" s="3008"/>
      <c r="C205" s="3008"/>
      <c r="D205" s="3008"/>
      <c r="E205" s="3008"/>
      <c r="F205" s="3008"/>
      <c r="G205" s="3008"/>
      <c r="H205" s="3008"/>
      <c r="I205" s="3008"/>
      <c r="J205" s="3008"/>
      <c r="K205" s="3008"/>
      <c r="L205" s="3008"/>
      <c r="M205" s="3008"/>
      <c r="N205" s="3008"/>
      <c r="O205" s="3008"/>
      <c r="P205" s="3008"/>
      <c r="Q205" s="3008"/>
      <c r="R205" s="3008"/>
      <c r="S205" s="3008"/>
      <c r="T205" s="3008"/>
      <c r="U205" s="3008"/>
      <c r="V205" s="3008"/>
      <c r="W205" s="3008"/>
      <c r="X205" s="3008"/>
      <c r="Y205" s="3008"/>
      <c r="Z205" s="3008"/>
      <c r="AA205" s="3008"/>
      <c r="AB205" s="3008"/>
      <c r="AC205" s="3008"/>
      <c r="AD205" s="3008"/>
      <c r="AE205" s="3008"/>
      <c r="AF205" s="3008"/>
      <c r="AG205" s="3008"/>
    </row>
    <row r="206" spans="2:38">
      <c r="B206" s="3008"/>
      <c r="C206" s="3008"/>
      <c r="D206" s="3008"/>
      <c r="E206" s="3008"/>
      <c r="F206" s="3008"/>
      <c r="G206" s="3008"/>
      <c r="H206" s="3008"/>
      <c r="I206" s="3008"/>
      <c r="J206" s="3008"/>
      <c r="K206" s="3008"/>
      <c r="L206" s="3008"/>
      <c r="M206" s="3008"/>
      <c r="N206" s="3008"/>
      <c r="O206" s="3008"/>
      <c r="P206" s="3008"/>
      <c r="Q206" s="3008"/>
      <c r="R206" s="3008"/>
      <c r="S206" s="3008"/>
      <c r="T206" s="3008"/>
      <c r="U206" s="3008"/>
      <c r="V206" s="3008"/>
      <c r="W206" s="3008"/>
      <c r="X206" s="3008"/>
      <c r="Y206" s="3008"/>
      <c r="Z206" s="3008"/>
      <c r="AA206" s="3008"/>
      <c r="AB206" s="3008"/>
      <c r="AC206" s="3008"/>
      <c r="AD206" s="3008"/>
      <c r="AE206" s="3008"/>
      <c r="AF206" s="3008"/>
      <c r="AG206" s="3008"/>
    </row>
    <row r="207" spans="2:38">
      <c r="B207" s="3008"/>
      <c r="C207" s="3008"/>
      <c r="D207" s="3008"/>
      <c r="E207" s="3008"/>
      <c r="F207" s="3008"/>
      <c r="G207" s="3008"/>
      <c r="H207" s="3008"/>
      <c r="I207" s="3008"/>
      <c r="J207" s="3008"/>
      <c r="K207" s="3008"/>
      <c r="L207" s="3008"/>
      <c r="M207" s="3008"/>
      <c r="N207" s="3008"/>
      <c r="O207" s="3008"/>
      <c r="P207" s="3008"/>
      <c r="Q207" s="3008"/>
      <c r="R207" s="3008"/>
      <c r="S207" s="3008"/>
      <c r="T207" s="3008"/>
      <c r="U207" s="3008"/>
      <c r="V207" s="3008"/>
      <c r="W207" s="3008"/>
      <c r="X207" s="3008"/>
      <c r="Y207" s="3008"/>
      <c r="Z207" s="3008"/>
      <c r="AA207" s="3008"/>
      <c r="AB207" s="3008"/>
      <c r="AC207" s="3008"/>
      <c r="AD207" s="3008"/>
      <c r="AE207" s="3008"/>
      <c r="AF207" s="3008"/>
      <c r="AG207" s="3008"/>
    </row>
    <row r="208" spans="2:38">
      <c r="B208" s="3008"/>
      <c r="C208" s="3008"/>
      <c r="D208" s="3008"/>
      <c r="E208" s="3008"/>
      <c r="F208" s="3008"/>
      <c r="G208" s="3008"/>
      <c r="H208" s="3008"/>
      <c r="I208" s="3008"/>
      <c r="J208" s="3008"/>
      <c r="K208" s="3008"/>
      <c r="L208" s="3008"/>
      <c r="M208" s="3008"/>
      <c r="N208" s="3008"/>
      <c r="O208" s="3008"/>
      <c r="P208" s="3008"/>
      <c r="Q208" s="3008"/>
      <c r="R208" s="3008"/>
      <c r="S208" s="3008"/>
      <c r="T208" s="3008"/>
      <c r="U208" s="3008"/>
      <c r="V208" s="3008"/>
      <c r="W208" s="3008"/>
      <c r="X208" s="3008"/>
      <c r="Y208" s="3008"/>
      <c r="Z208" s="3008"/>
      <c r="AA208" s="3008"/>
      <c r="AB208" s="3008"/>
      <c r="AC208" s="3008"/>
      <c r="AD208" s="3008"/>
      <c r="AE208" s="3008"/>
      <c r="AF208" s="3008"/>
      <c r="AG208" s="3008"/>
    </row>
    <row r="209" spans="2:33">
      <c r="B209" s="3008"/>
      <c r="C209" s="3008"/>
      <c r="D209" s="3008"/>
      <c r="E209" s="3008"/>
      <c r="F209" s="3008"/>
      <c r="G209" s="3008"/>
      <c r="H209" s="3008"/>
      <c r="I209" s="3008"/>
      <c r="J209" s="3008"/>
      <c r="K209" s="3008"/>
      <c r="L209" s="3008"/>
      <c r="M209" s="3008"/>
      <c r="N209" s="3008"/>
      <c r="O209" s="3008"/>
      <c r="P209" s="3008"/>
      <c r="Q209" s="3008"/>
      <c r="R209" s="3008"/>
      <c r="S209" s="3008"/>
      <c r="T209" s="3008"/>
      <c r="U209" s="3008"/>
      <c r="V209" s="3008"/>
      <c r="W209" s="3008"/>
      <c r="X209" s="3008"/>
      <c r="Y209" s="3008"/>
      <c r="Z209" s="3008"/>
      <c r="AA209" s="3008"/>
      <c r="AB209" s="3008"/>
      <c r="AC209" s="3008"/>
      <c r="AD209" s="3008"/>
      <c r="AE209" s="3008"/>
      <c r="AF209" s="3008"/>
      <c r="AG209" s="3008"/>
    </row>
    <row r="210" spans="2:33">
      <c r="B210" s="3008"/>
      <c r="C210" s="3008"/>
      <c r="D210" s="3008"/>
      <c r="E210" s="3008"/>
      <c r="F210" s="3008"/>
      <c r="G210" s="3008"/>
      <c r="H210" s="3008"/>
      <c r="I210" s="3008"/>
      <c r="J210" s="3008"/>
      <c r="K210" s="3008"/>
      <c r="L210" s="3008"/>
      <c r="M210" s="3008"/>
      <c r="N210" s="3008"/>
      <c r="O210" s="3008"/>
      <c r="P210" s="3008"/>
      <c r="Q210" s="3008"/>
      <c r="R210" s="3008"/>
      <c r="S210" s="3008"/>
      <c r="T210" s="3008"/>
      <c r="U210" s="3008"/>
      <c r="V210" s="3008"/>
      <c r="W210" s="3008"/>
      <c r="X210" s="3008"/>
      <c r="Y210" s="3008"/>
      <c r="Z210" s="3008"/>
      <c r="AA210" s="3008"/>
      <c r="AB210" s="3008"/>
      <c r="AC210" s="3008"/>
      <c r="AD210" s="3008"/>
      <c r="AE210" s="3008"/>
      <c r="AF210" s="3008"/>
      <c r="AG210" s="3008"/>
    </row>
    <row r="211" spans="2:33">
      <c r="B211" s="3008"/>
      <c r="C211" s="3008"/>
      <c r="D211" s="3008"/>
      <c r="E211" s="3008"/>
      <c r="F211" s="3008"/>
      <c r="G211" s="3008"/>
      <c r="H211" s="3008"/>
      <c r="I211" s="3008"/>
      <c r="J211" s="3008"/>
      <c r="K211" s="3008"/>
      <c r="L211" s="3008"/>
      <c r="M211" s="3008"/>
      <c r="N211" s="3008"/>
      <c r="O211" s="3008"/>
      <c r="P211" s="3008"/>
      <c r="Q211" s="3008"/>
      <c r="R211" s="3008"/>
      <c r="S211" s="3008"/>
      <c r="T211" s="3008"/>
      <c r="U211" s="3008"/>
      <c r="V211" s="3008"/>
      <c r="W211" s="3008"/>
      <c r="X211" s="3008"/>
      <c r="Y211" s="3008"/>
      <c r="Z211" s="3008"/>
      <c r="AA211" s="3008"/>
      <c r="AB211" s="3008"/>
      <c r="AC211" s="3008"/>
      <c r="AD211" s="3008"/>
      <c r="AE211" s="3008"/>
      <c r="AF211" s="3008"/>
      <c r="AG211" s="3008"/>
    </row>
    <row r="212" spans="2:33">
      <c r="B212" s="3008"/>
      <c r="C212" s="3008"/>
      <c r="D212" s="3008"/>
      <c r="E212" s="3008"/>
      <c r="F212" s="3008"/>
      <c r="G212" s="3008"/>
      <c r="H212" s="3008"/>
      <c r="I212" s="3008"/>
      <c r="J212" s="3008"/>
      <c r="K212" s="3008"/>
      <c r="L212" s="3008"/>
      <c r="M212" s="3008"/>
      <c r="N212" s="3008"/>
      <c r="O212" s="3008"/>
      <c r="P212" s="3008"/>
      <c r="Q212" s="3008"/>
      <c r="R212" s="3008"/>
      <c r="S212" s="3008"/>
      <c r="T212" s="3008"/>
      <c r="U212" s="3008"/>
      <c r="V212" s="3008"/>
      <c r="W212" s="3008"/>
      <c r="X212" s="3008"/>
      <c r="Y212" s="3008"/>
      <c r="Z212" s="3008"/>
      <c r="AA212" s="3008"/>
      <c r="AB212" s="3008"/>
      <c r="AC212" s="3008"/>
      <c r="AD212" s="3008"/>
      <c r="AE212" s="3008"/>
      <c r="AF212" s="3008"/>
      <c r="AG212" s="3008"/>
    </row>
    <row r="213" spans="2:33">
      <c r="B213" s="3008"/>
      <c r="C213" s="3008"/>
      <c r="D213" s="3008"/>
      <c r="E213" s="3008"/>
      <c r="F213" s="3008"/>
      <c r="G213" s="3008"/>
      <c r="H213" s="3008"/>
      <c r="I213" s="3008"/>
      <c r="J213" s="3008"/>
      <c r="K213" s="3008"/>
      <c r="L213" s="3008"/>
      <c r="M213" s="3008"/>
      <c r="N213" s="3008"/>
      <c r="O213" s="3008"/>
      <c r="P213" s="3008"/>
      <c r="Q213" s="3008"/>
      <c r="R213" s="3008"/>
      <c r="S213" s="3008"/>
      <c r="T213" s="3008"/>
      <c r="U213" s="3008"/>
      <c r="V213" s="3008"/>
      <c r="W213" s="3008"/>
      <c r="X213" s="3008"/>
      <c r="Y213" s="3008"/>
      <c r="Z213" s="3008"/>
      <c r="AA213" s="3008"/>
      <c r="AB213" s="3008"/>
      <c r="AC213" s="3008"/>
      <c r="AD213" s="3008"/>
      <c r="AE213" s="3008"/>
      <c r="AF213" s="3008"/>
      <c r="AG213" s="3008"/>
    </row>
    <row r="214" spans="2:33">
      <c r="B214" s="3008"/>
      <c r="C214" s="3008"/>
      <c r="D214" s="3008"/>
      <c r="E214" s="3008"/>
      <c r="F214" s="3008"/>
      <c r="G214" s="3008"/>
      <c r="H214" s="3008"/>
      <c r="I214" s="3008"/>
      <c r="J214" s="3008"/>
      <c r="K214" s="3008"/>
      <c r="L214" s="3008"/>
      <c r="M214" s="3008"/>
      <c r="N214" s="3008"/>
      <c r="O214" s="3008"/>
      <c r="P214" s="3008"/>
      <c r="Q214" s="3008"/>
      <c r="R214" s="3008"/>
      <c r="S214" s="3008"/>
      <c r="T214" s="3008"/>
      <c r="U214" s="3008"/>
      <c r="V214" s="3008"/>
      <c r="W214" s="3008"/>
      <c r="X214" s="3008"/>
      <c r="Y214" s="3008"/>
      <c r="Z214" s="3008"/>
      <c r="AA214" s="3008"/>
      <c r="AB214" s="3008"/>
      <c r="AC214" s="3008"/>
      <c r="AD214" s="3008"/>
      <c r="AE214" s="3008"/>
      <c r="AF214" s="3008"/>
      <c r="AG214" s="3008"/>
    </row>
    <row r="215" spans="2:33">
      <c r="B215" s="3008"/>
      <c r="C215" s="3008"/>
      <c r="D215" s="3008"/>
      <c r="E215" s="3008"/>
      <c r="F215" s="3008"/>
      <c r="G215" s="3008"/>
      <c r="H215" s="3008"/>
      <c r="I215" s="3008"/>
      <c r="J215" s="3008"/>
      <c r="K215" s="3008"/>
      <c r="L215" s="3008"/>
      <c r="M215" s="3008"/>
      <c r="N215" s="3008"/>
      <c r="O215" s="3008"/>
      <c r="P215" s="3008"/>
      <c r="Q215" s="3008"/>
      <c r="R215" s="3008"/>
      <c r="S215" s="3008"/>
      <c r="T215" s="3008"/>
      <c r="U215" s="3008"/>
      <c r="V215" s="3008"/>
      <c r="W215" s="3008"/>
      <c r="X215" s="3008"/>
      <c r="Y215" s="3008"/>
      <c r="Z215" s="3008"/>
      <c r="AA215" s="3008"/>
      <c r="AB215" s="3008"/>
      <c r="AC215" s="3008"/>
      <c r="AD215" s="3008"/>
      <c r="AE215" s="3008"/>
      <c r="AF215" s="3008"/>
      <c r="AG215" s="3008"/>
    </row>
    <row r="216" spans="2:33">
      <c r="B216" s="3008"/>
      <c r="C216" s="3008"/>
      <c r="D216" s="3008"/>
      <c r="E216" s="3008"/>
      <c r="F216" s="3008"/>
      <c r="G216" s="3008"/>
      <c r="H216" s="3008"/>
      <c r="I216" s="3008"/>
      <c r="J216" s="3008"/>
      <c r="K216" s="3008"/>
      <c r="L216" s="3008"/>
      <c r="M216" s="3008"/>
      <c r="N216" s="3008"/>
      <c r="O216" s="3008"/>
      <c r="P216" s="3008"/>
      <c r="Q216" s="3008"/>
      <c r="R216" s="3008"/>
      <c r="S216" s="3008"/>
      <c r="T216" s="3008"/>
      <c r="U216" s="3008"/>
      <c r="V216" s="3008"/>
      <c r="W216" s="3008"/>
      <c r="X216" s="3008"/>
      <c r="Y216" s="3008"/>
      <c r="Z216" s="3008"/>
      <c r="AA216" s="3008"/>
      <c r="AB216" s="3008"/>
      <c r="AC216" s="3008"/>
      <c r="AD216" s="3008"/>
      <c r="AE216" s="3008"/>
      <c r="AF216" s="3008"/>
      <c r="AG216" s="3008"/>
    </row>
    <row r="217" spans="2:33">
      <c r="B217" s="3008"/>
      <c r="C217" s="3008"/>
      <c r="D217" s="3008"/>
      <c r="E217" s="3008"/>
      <c r="F217" s="3008"/>
      <c r="G217" s="3008"/>
      <c r="H217" s="3008"/>
      <c r="I217" s="3008"/>
      <c r="J217" s="3008"/>
      <c r="K217" s="3008"/>
      <c r="L217" s="3008"/>
      <c r="M217" s="3008"/>
      <c r="N217" s="3008"/>
      <c r="O217" s="3008"/>
      <c r="P217" s="3008"/>
      <c r="Q217" s="3008"/>
      <c r="R217" s="3008"/>
      <c r="S217" s="3008"/>
      <c r="T217" s="3008"/>
      <c r="U217" s="3008"/>
      <c r="V217" s="3008"/>
      <c r="W217" s="3008"/>
      <c r="X217" s="3008"/>
      <c r="Y217" s="3008"/>
      <c r="Z217" s="3008"/>
      <c r="AA217" s="3008"/>
      <c r="AB217" s="3008"/>
      <c r="AC217" s="3008"/>
      <c r="AD217" s="3008"/>
      <c r="AE217" s="3008"/>
      <c r="AF217" s="3008"/>
      <c r="AG217" s="3008"/>
    </row>
    <row r="218" spans="2:33">
      <c r="B218" s="3008"/>
      <c r="C218" s="3008"/>
      <c r="D218" s="3008"/>
      <c r="E218" s="3008"/>
      <c r="F218" s="3008"/>
      <c r="G218" s="3008"/>
      <c r="H218" s="3008"/>
      <c r="I218" s="3008"/>
      <c r="J218" s="3008"/>
      <c r="K218" s="3008"/>
      <c r="L218" s="3008"/>
      <c r="M218" s="3008"/>
      <c r="N218" s="3008"/>
      <c r="O218" s="3008"/>
      <c r="P218" s="3008"/>
      <c r="Q218" s="3008"/>
      <c r="R218" s="3008"/>
      <c r="S218" s="3008"/>
      <c r="T218" s="3008"/>
      <c r="U218" s="3008"/>
      <c r="V218" s="3008"/>
      <c r="W218" s="3008"/>
      <c r="X218" s="3008"/>
      <c r="Y218" s="3008"/>
      <c r="Z218" s="3008"/>
      <c r="AA218" s="3008"/>
      <c r="AB218" s="3008"/>
      <c r="AC218" s="3008"/>
      <c r="AD218" s="3008"/>
      <c r="AE218" s="3008"/>
      <c r="AF218" s="3008"/>
      <c r="AG218" s="3008"/>
    </row>
    <row r="219" spans="2:33">
      <c r="B219" s="3008"/>
      <c r="C219" s="3008"/>
      <c r="D219" s="3008"/>
      <c r="E219" s="3008"/>
      <c r="F219" s="3008"/>
      <c r="G219" s="3008"/>
      <c r="H219" s="3008"/>
      <c r="I219" s="3008"/>
      <c r="J219" s="3008"/>
      <c r="K219" s="3008"/>
      <c r="L219" s="3008"/>
      <c r="M219" s="3008"/>
      <c r="N219" s="3008"/>
      <c r="O219" s="3008"/>
      <c r="P219" s="3008"/>
      <c r="Q219" s="3008"/>
      <c r="R219" s="3008"/>
      <c r="S219" s="3008"/>
      <c r="T219" s="3008"/>
      <c r="U219" s="3008"/>
      <c r="V219" s="3008"/>
      <c r="W219" s="3008"/>
      <c r="X219" s="3008"/>
      <c r="Y219" s="3008"/>
      <c r="Z219" s="3008"/>
      <c r="AA219" s="3008"/>
      <c r="AB219" s="3008"/>
      <c r="AC219" s="3008"/>
      <c r="AD219" s="3008"/>
      <c r="AE219" s="3008"/>
      <c r="AF219" s="3008"/>
      <c r="AG219" s="3008"/>
    </row>
    <row r="220" spans="2:33">
      <c r="B220" s="3008"/>
      <c r="C220" s="3008"/>
      <c r="D220" s="3008"/>
      <c r="E220" s="3008"/>
      <c r="F220" s="3008"/>
      <c r="G220" s="3008"/>
      <c r="H220" s="3008"/>
      <c r="I220" s="3008"/>
      <c r="J220" s="3008"/>
      <c r="K220" s="3008"/>
      <c r="L220" s="3008"/>
      <c r="M220" s="3008"/>
      <c r="N220" s="3008"/>
      <c r="O220" s="3008"/>
      <c r="P220" s="3008"/>
      <c r="Q220" s="3008"/>
      <c r="R220" s="3008"/>
      <c r="S220" s="3008"/>
      <c r="T220" s="3008"/>
      <c r="U220" s="3008"/>
      <c r="V220" s="3008"/>
      <c r="W220" s="3008"/>
      <c r="X220" s="3008"/>
      <c r="Y220" s="3008"/>
      <c r="Z220" s="3008"/>
      <c r="AA220" s="3008"/>
      <c r="AB220" s="3008"/>
      <c r="AC220" s="3008"/>
      <c r="AD220" s="3008"/>
      <c r="AE220" s="3008"/>
      <c r="AF220" s="3008"/>
      <c r="AG220" s="3008"/>
    </row>
    <row r="221" spans="2:33">
      <c r="B221" s="3008"/>
      <c r="C221" s="3008"/>
      <c r="D221" s="3008"/>
      <c r="E221" s="3008"/>
      <c r="F221" s="3008"/>
      <c r="G221" s="3008"/>
      <c r="H221" s="3008"/>
      <c r="I221" s="3008"/>
      <c r="J221" s="3008"/>
      <c r="K221" s="3008"/>
      <c r="L221" s="3008"/>
      <c r="M221" s="3008"/>
      <c r="N221" s="3008"/>
      <c r="O221" s="3008"/>
      <c r="P221" s="3008"/>
      <c r="Q221" s="3008"/>
      <c r="R221" s="3008"/>
      <c r="S221" s="3008"/>
      <c r="T221" s="3008"/>
      <c r="U221" s="3008"/>
      <c r="V221" s="3008"/>
      <c r="W221" s="3008"/>
      <c r="X221" s="3008"/>
      <c r="Y221" s="3008"/>
      <c r="Z221" s="3008"/>
      <c r="AA221" s="3008"/>
      <c r="AB221" s="3008"/>
      <c r="AC221" s="3008"/>
      <c r="AD221" s="3008"/>
      <c r="AE221" s="3008"/>
      <c r="AF221" s="3008"/>
      <c r="AG221" s="3008"/>
    </row>
    <row r="222" spans="2:33">
      <c r="B222" s="3008"/>
      <c r="C222" s="3008"/>
      <c r="D222" s="3008"/>
      <c r="E222" s="3008"/>
      <c r="F222" s="3008"/>
      <c r="G222" s="3008"/>
      <c r="H222" s="3008"/>
      <c r="I222" s="3008"/>
      <c r="J222" s="3008"/>
      <c r="K222" s="3008"/>
      <c r="L222" s="3008"/>
      <c r="M222" s="3008"/>
      <c r="N222" s="3008"/>
      <c r="O222" s="3008"/>
      <c r="P222" s="3008"/>
      <c r="Q222" s="3008"/>
      <c r="R222" s="3008"/>
      <c r="S222" s="3008"/>
      <c r="T222" s="3008"/>
      <c r="U222" s="3008"/>
      <c r="V222" s="3008"/>
      <c r="W222" s="3008"/>
      <c r="X222" s="3008"/>
      <c r="Y222" s="3008"/>
      <c r="Z222" s="3008"/>
      <c r="AA222" s="3008"/>
      <c r="AB222" s="3008"/>
      <c r="AC222" s="3008"/>
      <c r="AD222" s="3008"/>
      <c r="AE222" s="3008"/>
      <c r="AF222" s="3008"/>
      <c r="AG222" s="3008"/>
    </row>
    <row r="223" spans="2:33">
      <c r="B223" s="3008"/>
      <c r="C223" s="3008"/>
      <c r="D223" s="3008"/>
      <c r="E223" s="3008"/>
      <c r="F223" s="3008"/>
      <c r="G223" s="3008"/>
      <c r="H223" s="3008"/>
      <c r="I223" s="3008"/>
      <c r="J223" s="3008"/>
      <c r="K223" s="3008"/>
      <c r="L223" s="3008"/>
      <c r="M223" s="3008"/>
      <c r="N223" s="3008"/>
      <c r="O223" s="3008"/>
      <c r="P223" s="3008"/>
      <c r="Q223" s="3008"/>
      <c r="R223" s="3008"/>
      <c r="S223" s="3008"/>
      <c r="T223" s="3008"/>
      <c r="U223" s="3008"/>
      <c r="V223" s="3008"/>
      <c r="W223" s="3008"/>
      <c r="X223" s="3008"/>
      <c r="Y223" s="3008"/>
      <c r="Z223" s="3008"/>
      <c r="AA223" s="3008"/>
      <c r="AB223" s="3008"/>
      <c r="AC223" s="3008"/>
      <c r="AD223" s="3008"/>
      <c r="AE223" s="3008"/>
      <c r="AF223" s="3008"/>
      <c r="AG223" s="3008"/>
    </row>
    <row r="224" spans="2:33">
      <c r="B224" s="3008"/>
      <c r="C224" s="3008"/>
      <c r="D224" s="3008"/>
      <c r="E224" s="3008"/>
      <c r="F224" s="3008"/>
      <c r="G224" s="3008"/>
      <c r="H224" s="3008"/>
      <c r="I224" s="3008"/>
      <c r="J224" s="3008"/>
      <c r="K224" s="3008"/>
      <c r="L224" s="3008"/>
      <c r="M224" s="3008"/>
      <c r="N224" s="3008"/>
      <c r="O224" s="3008"/>
      <c r="P224" s="3008"/>
      <c r="Q224" s="3008"/>
      <c r="R224" s="3008"/>
      <c r="S224" s="3008"/>
      <c r="T224" s="3008"/>
      <c r="U224" s="3008"/>
      <c r="V224" s="3008"/>
      <c r="W224" s="3008"/>
      <c r="X224" s="3008"/>
      <c r="Y224" s="3008"/>
      <c r="Z224" s="3008"/>
      <c r="AA224" s="3008"/>
      <c r="AB224" s="3008"/>
      <c r="AC224" s="3008"/>
      <c r="AD224" s="3008"/>
      <c r="AE224" s="3008"/>
      <c r="AF224" s="3008"/>
      <c r="AG224" s="3008"/>
    </row>
    <row r="225" spans="2:33" ht="19.95" customHeight="1">
      <c r="B225" s="3008"/>
      <c r="C225" s="3008"/>
      <c r="D225" s="3008"/>
      <c r="E225" s="3008"/>
      <c r="F225" s="3008"/>
      <c r="G225" s="3008"/>
      <c r="H225" s="3008"/>
      <c r="I225" s="3008"/>
      <c r="J225" s="3008"/>
      <c r="K225" s="3008"/>
      <c r="L225" s="3008"/>
      <c r="M225" s="3008"/>
      <c r="N225" s="3008"/>
      <c r="O225" s="3008"/>
      <c r="P225" s="3008"/>
      <c r="Q225" s="3008"/>
      <c r="R225" s="3008"/>
      <c r="S225" s="3008"/>
      <c r="T225" s="3008"/>
      <c r="U225" s="3008"/>
      <c r="V225" s="3008"/>
      <c r="W225" s="3008"/>
      <c r="X225" s="3008"/>
      <c r="Y225" s="3008"/>
      <c r="Z225" s="3008"/>
      <c r="AA225" s="3008"/>
      <c r="AB225" s="3008"/>
      <c r="AC225" s="3008"/>
      <c r="AD225" s="3008"/>
      <c r="AE225" s="3008"/>
      <c r="AF225" s="3008"/>
      <c r="AG225" s="3008"/>
    </row>
    <row r="226" spans="2:33" ht="19.95" customHeight="1">
      <c r="B226" s="3008"/>
      <c r="C226" s="3008"/>
      <c r="D226" s="3008"/>
      <c r="E226" s="3008"/>
      <c r="F226" s="3008"/>
      <c r="G226" s="3008"/>
      <c r="H226" s="3008"/>
      <c r="I226" s="3008"/>
      <c r="J226" s="3008"/>
      <c r="K226" s="3008"/>
      <c r="L226" s="3008"/>
      <c r="M226" s="3008"/>
      <c r="N226" s="3008"/>
      <c r="O226" s="3008"/>
      <c r="P226" s="3008"/>
      <c r="Q226" s="3008"/>
      <c r="R226" s="3008"/>
      <c r="S226" s="3008"/>
      <c r="T226" s="3008"/>
      <c r="U226" s="3008"/>
      <c r="V226" s="3008"/>
      <c r="W226" s="3008"/>
      <c r="X226" s="3008"/>
      <c r="Y226" s="3008"/>
      <c r="Z226" s="3008"/>
      <c r="AA226" s="3008"/>
      <c r="AB226" s="3008"/>
      <c r="AC226" s="3008"/>
      <c r="AD226" s="3008"/>
      <c r="AE226" s="3008"/>
      <c r="AF226" s="3008"/>
      <c r="AG226" s="3008"/>
    </row>
    <row r="227" spans="2:33">
      <c r="B227" s="3008"/>
      <c r="C227" s="3008"/>
      <c r="D227" s="3008"/>
      <c r="E227" s="3008"/>
      <c r="F227" s="3008"/>
      <c r="G227" s="3008"/>
      <c r="H227" s="3008"/>
      <c r="I227" s="3008"/>
      <c r="J227" s="3008"/>
      <c r="K227" s="3008"/>
      <c r="L227" s="3008"/>
      <c r="M227" s="3008"/>
      <c r="N227" s="3008"/>
      <c r="O227" s="3008"/>
      <c r="P227" s="3008"/>
      <c r="Q227" s="3008"/>
      <c r="R227" s="3008"/>
      <c r="S227" s="3008"/>
      <c r="T227" s="3008"/>
      <c r="U227" s="3008"/>
      <c r="V227" s="3008"/>
      <c r="W227" s="3008"/>
      <c r="X227" s="3008"/>
      <c r="Y227" s="3008"/>
      <c r="Z227" s="3008"/>
      <c r="AA227" s="3008"/>
      <c r="AB227" s="3008"/>
      <c r="AC227" s="3008"/>
      <c r="AD227" s="3008"/>
      <c r="AE227" s="3008"/>
      <c r="AF227" s="3008"/>
      <c r="AG227" s="3008"/>
    </row>
    <row r="228" spans="2:33" ht="12.9" customHeight="1">
      <c r="B228" s="3008"/>
      <c r="C228" s="3008"/>
      <c r="D228" s="3008"/>
      <c r="E228" s="3008"/>
      <c r="F228" s="3008"/>
      <c r="G228" s="3008"/>
      <c r="H228" s="3008"/>
      <c r="I228" s="3008"/>
      <c r="J228" s="3008"/>
      <c r="K228" s="3008"/>
      <c r="L228" s="3008"/>
      <c r="M228" s="3008"/>
      <c r="N228" s="3008"/>
      <c r="O228" s="3008"/>
      <c r="P228" s="3008"/>
      <c r="Q228" s="3008"/>
      <c r="R228" s="3008"/>
      <c r="S228" s="3008"/>
      <c r="T228" s="3008"/>
      <c r="U228" s="3008"/>
      <c r="V228" s="3008"/>
      <c r="W228" s="3008"/>
      <c r="X228" s="3008"/>
      <c r="Y228" s="3008"/>
      <c r="Z228" s="3008"/>
      <c r="AA228" s="3008"/>
      <c r="AB228" s="3008"/>
      <c r="AC228" s="3008"/>
      <c r="AD228" s="3008"/>
      <c r="AE228" s="3008"/>
      <c r="AF228" s="3008"/>
      <c r="AG228" s="3008"/>
    </row>
    <row r="229" spans="2:33">
      <c r="B229" s="3008"/>
      <c r="C229" s="3008"/>
      <c r="D229" s="3008"/>
      <c r="E229" s="3008"/>
      <c r="F229" s="3008"/>
      <c r="G229" s="3008"/>
      <c r="H229" s="3008"/>
      <c r="I229" s="3008"/>
      <c r="J229" s="3008"/>
      <c r="K229" s="3008"/>
      <c r="L229" s="3008"/>
      <c r="M229" s="3008"/>
      <c r="N229" s="3008"/>
      <c r="O229" s="3008"/>
      <c r="P229" s="3008"/>
      <c r="Q229" s="3008"/>
      <c r="R229" s="3008"/>
      <c r="S229" s="3008"/>
      <c r="T229" s="3008"/>
      <c r="U229" s="3008"/>
      <c r="V229" s="3008"/>
      <c r="W229" s="3008"/>
      <c r="X229" s="3008"/>
      <c r="Y229" s="3008"/>
      <c r="Z229" s="3008"/>
      <c r="AA229" s="3008"/>
      <c r="AB229" s="3008"/>
      <c r="AC229" s="3008"/>
      <c r="AD229" s="3008"/>
      <c r="AE229" s="3008"/>
      <c r="AF229" s="3008"/>
      <c r="AG229" s="3008"/>
    </row>
    <row r="230" spans="2:33" ht="7.2" customHeight="1">
      <c r="B230" s="3008"/>
      <c r="C230" s="3008"/>
      <c r="D230" s="3008"/>
      <c r="E230" s="3008"/>
      <c r="F230" s="3008"/>
      <c r="G230" s="3008"/>
      <c r="H230" s="3008"/>
      <c r="I230" s="3008"/>
      <c r="J230" s="3008"/>
      <c r="K230" s="3008"/>
      <c r="L230" s="3008"/>
      <c r="M230" s="3008"/>
      <c r="N230" s="3008"/>
      <c r="O230" s="3008"/>
      <c r="P230" s="3008"/>
      <c r="Q230" s="3008"/>
      <c r="R230" s="3008"/>
      <c r="S230" s="3008"/>
      <c r="T230" s="3008"/>
      <c r="U230" s="3008"/>
      <c r="V230" s="3008"/>
      <c r="W230" s="3008"/>
      <c r="X230" s="3008"/>
      <c r="Y230" s="3008"/>
      <c r="Z230" s="3008"/>
      <c r="AA230" s="3008"/>
      <c r="AB230" s="3008"/>
      <c r="AC230" s="3008"/>
      <c r="AD230" s="3008"/>
      <c r="AE230" s="3008"/>
      <c r="AF230" s="3008"/>
      <c r="AG230" s="3008"/>
    </row>
    <row r="231" spans="2:33">
      <c r="B231" s="3008"/>
      <c r="C231" s="3008"/>
      <c r="D231" s="3008"/>
      <c r="E231" s="3008"/>
      <c r="F231" s="3008"/>
      <c r="G231" s="3008"/>
      <c r="H231" s="3008"/>
      <c r="I231" s="3008"/>
      <c r="J231" s="3008"/>
      <c r="K231" s="3008"/>
      <c r="L231" s="3008"/>
      <c r="M231" s="3008"/>
      <c r="N231" s="3008"/>
      <c r="O231" s="3008"/>
      <c r="P231" s="3008"/>
      <c r="Q231" s="3008"/>
      <c r="R231" s="3008"/>
      <c r="S231" s="3008"/>
      <c r="T231" s="3008"/>
      <c r="U231" s="3008"/>
      <c r="V231" s="3008"/>
      <c r="W231" s="3008"/>
      <c r="X231" s="3008"/>
      <c r="Y231" s="3008"/>
      <c r="Z231" s="3008"/>
      <c r="AA231" s="3008"/>
      <c r="AB231" s="3008"/>
      <c r="AC231" s="3008"/>
      <c r="AD231" s="3008"/>
      <c r="AE231" s="3008"/>
      <c r="AF231" s="3008"/>
      <c r="AG231" s="3008"/>
    </row>
    <row r="232" spans="2:33">
      <c r="B232" s="3008"/>
      <c r="C232" s="3008"/>
      <c r="D232" s="3008"/>
      <c r="E232" s="3008"/>
      <c r="F232" s="3008"/>
      <c r="G232" s="3008"/>
      <c r="H232" s="3008"/>
      <c r="I232" s="3008"/>
      <c r="J232" s="3008"/>
      <c r="K232" s="3008"/>
      <c r="L232" s="3008"/>
      <c r="M232" s="3008"/>
      <c r="N232" s="3008"/>
      <c r="O232" s="3008"/>
      <c r="P232" s="3008"/>
      <c r="Q232" s="3008"/>
      <c r="R232" s="3008"/>
      <c r="S232" s="3008"/>
      <c r="T232" s="3008"/>
      <c r="U232" s="3008"/>
      <c r="V232" s="3008"/>
      <c r="W232" s="3008"/>
      <c r="X232" s="3008"/>
      <c r="Y232" s="3008"/>
      <c r="Z232" s="3008"/>
      <c r="AA232" s="3008"/>
      <c r="AB232" s="3008"/>
      <c r="AC232" s="3008"/>
      <c r="AD232" s="3008"/>
      <c r="AE232" s="3008"/>
      <c r="AF232" s="3008"/>
      <c r="AG232" s="3008"/>
    </row>
    <row r="233" spans="2:33">
      <c r="B233" s="3008"/>
      <c r="C233" s="3008"/>
      <c r="D233" s="3008"/>
      <c r="E233" s="3008"/>
      <c r="F233" s="3008"/>
      <c r="G233" s="3008"/>
      <c r="H233" s="3008"/>
      <c r="I233" s="3008"/>
      <c r="J233" s="3008"/>
      <c r="K233" s="3008"/>
      <c r="L233" s="3008"/>
      <c r="M233" s="3008"/>
      <c r="N233" s="3008"/>
      <c r="O233" s="3008"/>
      <c r="P233" s="3008"/>
      <c r="Q233" s="3008"/>
      <c r="R233" s="3008"/>
      <c r="S233" s="3008"/>
      <c r="T233" s="3008"/>
      <c r="U233" s="3008"/>
      <c r="V233" s="3008"/>
      <c r="W233" s="3008"/>
      <c r="X233" s="3008"/>
      <c r="Y233" s="3008"/>
      <c r="Z233" s="3008"/>
      <c r="AA233" s="3008"/>
      <c r="AB233" s="3008"/>
      <c r="AC233" s="3008"/>
      <c r="AD233" s="3008"/>
      <c r="AE233" s="3008"/>
      <c r="AF233" s="3008"/>
      <c r="AG233" s="3008"/>
    </row>
    <row r="234" spans="2:33">
      <c r="B234" s="3008"/>
      <c r="C234" s="3008"/>
      <c r="D234" s="3008"/>
      <c r="E234" s="3008"/>
      <c r="F234" s="3008"/>
      <c r="G234" s="3008"/>
      <c r="H234" s="3008"/>
      <c r="I234" s="3008"/>
      <c r="J234" s="3008"/>
      <c r="K234" s="3008"/>
      <c r="L234" s="3008"/>
      <c r="M234" s="3008"/>
      <c r="N234" s="3008"/>
      <c r="O234" s="3008"/>
      <c r="P234" s="3008"/>
      <c r="Q234" s="3008"/>
      <c r="R234" s="3008"/>
      <c r="S234" s="3008"/>
      <c r="T234" s="3008"/>
      <c r="U234" s="3008"/>
      <c r="V234" s="3008"/>
      <c r="W234" s="3008"/>
      <c r="X234" s="3008"/>
      <c r="Y234" s="3008"/>
      <c r="Z234" s="3008"/>
      <c r="AA234" s="3008"/>
      <c r="AB234" s="3008"/>
      <c r="AC234" s="3008"/>
      <c r="AD234" s="3008"/>
      <c r="AE234" s="3008"/>
      <c r="AF234" s="3008"/>
      <c r="AG234" s="3008"/>
    </row>
    <row r="235" spans="2:33">
      <c r="B235" s="3008"/>
      <c r="C235" s="3008"/>
      <c r="D235" s="3008"/>
      <c r="E235" s="3008"/>
      <c r="F235" s="3008"/>
      <c r="G235" s="3008"/>
      <c r="H235" s="3008"/>
      <c r="I235" s="3008"/>
      <c r="J235" s="3008"/>
      <c r="K235" s="3008"/>
      <c r="L235" s="3008"/>
      <c r="M235" s="3008"/>
      <c r="N235" s="3008"/>
      <c r="O235" s="3008"/>
      <c r="P235" s="3008"/>
      <c r="Q235" s="3008"/>
      <c r="R235" s="3008"/>
      <c r="S235" s="3008"/>
      <c r="T235" s="3008"/>
      <c r="U235" s="3008"/>
      <c r="V235" s="3008"/>
      <c r="W235" s="3008"/>
      <c r="X235" s="3008"/>
      <c r="Y235" s="3008"/>
      <c r="Z235" s="3008"/>
      <c r="AA235" s="3008"/>
      <c r="AB235" s="3008"/>
      <c r="AC235" s="3008"/>
      <c r="AD235" s="3008"/>
      <c r="AE235" s="3008"/>
      <c r="AF235" s="3008"/>
      <c r="AG235" s="3008"/>
    </row>
    <row r="236" spans="2:33" ht="7.2" customHeight="1">
      <c r="B236" s="3008"/>
      <c r="C236" s="3008"/>
      <c r="D236" s="3008"/>
      <c r="E236" s="3008"/>
      <c r="F236" s="3008"/>
      <c r="G236" s="3008"/>
      <c r="H236" s="3008"/>
      <c r="I236" s="3008"/>
      <c r="J236" s="3008"/>
      <c r="K236" s="3008"/>
      <c r="L236" s="3008"/>
      <c r="M236" s="3008"/>
      <c r="N236" s="3008"/>
      <c r="O236" s="3008"/>
      <c r="P236" s="3008"/>
      <c r="Q236" s="3008"/>
      <c r="R236" s="3008"/>
      <c r="S236" s="3008"/>
      <c r="T236" s="3008"/>
      <c r="U236" s="3008"/>
      <c r="V236" s="3008"/>
      <c r="W236" s="3008"/>
      <c r="X236" s="3008"/>
      <c r="Y236" s="3008"/>
      <c r="Z236" s="3008"/>
      <c r="AA236" s="3008"/>
      <c r="AB236" s="3008"/>
      <c r="AC236" s="3008"/>
      <c r="AD236" s="3008"/>
      <c r="AE236" s="3008"/>
      <c r="AF236" s="3008"/>
      <c r="AG236" s="3008"/>
    </row>
    <row r="237" spans="2:33">
      <c r="B237" s="3008"/>
      <c r="C237" s="3008"/>
      <c r="D237" s="3008"/>
      <c r="E237" s="3008"/>
      <c r="F237" s="3008"/>
      <c r="G237" s="3008"/>
      <c r="H237" s="3008"/>
      <c r="I237" s="3008"/>
      <c r="J237" s="3008"/>
      <c r="K237" s="3008"/>
      <c r="L237" s="3008"/>
      <c r="M237" s="3008"/>
      <c r="N237" s="3008"/>
      <c r="O237" s="3008"/>
      <c r="P237" s="3008"/>
      <c r="Q237" s="3008"/>
      <c r="R237" s="3008"/>
      <c r="S237" s="3008"/>
      <c r="T237" s="3008"/>
      <c r="U237" s="3008"/>
      <c r="V237" s="3008"/>
      <c r="W237" s="3008"/>
      <c r="X237" s="3008"/>
      <c r="Y237" s="3008"/>
      <c r="Z237" s="3008"/>
      <c r="AA237" s="3008"/>
      <c r="AB237" s="3008"/>
      <c r="AC237" s="3008"/>
      <c r="AD237" s="3008"/>
      <c r="AE237" s="3008"/>
      <c r="AF237" s="3008"/>
      <c r="AG237" s="3008"/>
    </row>
    <row r="238" spans="2:33">
      <c r="B238" s="3008"/>
      <c r="C238" s="3008"/>
      <c r="D238" s="3008"/>
      <c r="E238" s="3008"/>
      <c r="F238" s="3008"/>
      <c r="G238" s="3008"/>
      <c r="H238" s="3008"/>
      <c r="I238" s="3008"/>
      <c r="J238" s="3008"/>
      <c r="K238" s="3008"/>
      <c r="L238" s="3008"/>
      <c r="M238" s="3008"/>
      <c r="N238" s="3008"/>
      <c r="O238" s="3008"/>
      <c r="P238" s="3008"/>
      <c r="Q238" s="3008"/>
      <c r="R238" s="3008"/>
      <c r="S238" s="3008"/>
      <c r="T238" s="3008"/>
      <c r="U238" s="3008"/>
      <c r="V238" s="3008"/>
      <c r="W238" s="3008"/>
      <c r="X238" s="3008"/>
      <c r="Y238" s="3008"/>
      <c r="Z238" s="3008"/>
      <c r="AA238" s="3008"/>
      <c r="AB238" s="3008"/>
      <c r="AC238" s="3008"/>
      <c r="AD238" s="3008"/>
      <c r="AE238" s="3008"/>
      <c r="AF238" s="3008"/>
      <c r="AG238" s="3008"/>
    </row>
    <row r="239" spans="2:33" ht="7.2" customHeight="1">
      <c r="B239" s="3008"/>
      <c r="C239" s="3008"/>
      <c r="D239" s="3008"/>
      <c r="E239" s="3008"/>
      <c r="F239" s="3008"/>
      <c r="G239" s="3008"/>
      <c r="H239" s="3008"/>
      <c r="I239" s="3008"/>
      <c r="J239" s="3008"/>
      <c r="K239" s="3008"/>
      <c r="L239" s="3008"/>
      <c r="M239" s="3008"/>
      <c r="N239" s="3008"/>
      <c r="O239" s="3008"/>
      <c r="P239" s="3008"/>
      <c r="Q239" s="3008"/>
      <c r="R239" s="3008"/>
      <c r="S239" s="3008"/>
      <c r="T239" s="3008"/>
      <c r="U239" s="3008"/>
      <c r="V239" s="3008"/>
      <c r="W239" s="3008"/>
      <c r="X239" s="3008"/>
      <c r="Y239" s="3008"/>
      <c r="Z239" s="3008"/>
      <c r="AA239" s="3008"/>
      <c r="AB239" s="3008"/>
      <c r="AC239" s="3008"/>
      <c r="AD239" s="3008"/>
      <c r="AE239" s="3008"/>
      <c r="AF239" s="3008"/>
      <c r="AG239" s="3008"/>
    </row>
    <row r="240" spans="2:33">
      <c r="B240" s="3008"/>
      <c r="C240" s="3008"/>
      <c r="D240" s="3008"/>
      <c r="E240" s="3008"/>
      <c r="F240" s="3008"/>
      <c r="G240" s="3008"/>
      <c r="H240" s="3008"/>
      <c r="I240" s="3008"/>
      <c r="J240" s="3008"/>
      <c r="K240" s="3008"/>
      <c r="L240" s="3008"/>
      <c r="M240" s="3008"/>
      <c r="N240" s="3008"/>
      <c r="O240" s="3008"/>
      <c r="P240" s="3008"/>
      <c r="Q240" s="3008"/>
      <c r="R240" s="3008"/>
      <c r="S240" s="3008"/>
      <c r="T240" s="3008"/>
      <c r="U240" s="3008"/>
      <c r="V240" s="3008"/>
      <c r="W240" s="3008"/>
      <c r="X240" s="3008"/>
      <c r="Y240" s="3008"/>
      <c r="Z240" s="3008"/>
      <c r="AA240" s="3008"/>
      <c r="AB240" s="3008"/>
      <c r="AC240" s="3008"/>
      <c r="AD240" s="3008"/>
      <c r="AE240" s="3008"/>
      <c r="AF240" s="3008"/>
      <c r="AG240" s="3008"/>
    </row>
    <row r="241" spans="2:33" ht="7.2" customHeight="1">
      <c r="B241" s="3008"/>
      <c r="C241" s="3008"/>
      <c r="D241" s="3008"/>
      <c r="E241" s="3008"/>
      <c r="F241" s="3008"/>
      <c r="G241" s="3008"/>
      <c r="H241" s="3008"/>
      <c r="I241" s="3008"/>
      <c r="J241" s="3008"/>
      <c r="K241" s="3008"/>
      <c r="L241" s="3008"/>
      <c r="M241" s="3008"/>
      <c r="N241" s="3008"/>
      <c r="O241" s="3008"/>
      <c r="P241" s="3008"/>
      <c r="Q241" s="3008"/>
      <c r="R241" s="3008"/>
      <c r="S241" s="3008"/>
      <c r="T241" s="3008"/>
      <c r="U241" s="3008"/>
      <c r="V241" s="3008"/>
      <c r="W241" s="3008"/>
      <c r="X241" s="3008"/>
      <c r="Y241" s="3008"/>
      <c r="Z241" s="3008"/>
      <c r="AA241" s="3008"/>
      <c r="AB241" s="3008"/>
      <c r="AC241" s="3008"/>
      <c r="AD241" s="3008"/>
      <c r="AE241" s="3008"/>
      <c r="AF241" s="3008"/>
      <c r="AG241" s="3008"/>
    </row>
    <row r="242" spans="2:33">
      <c r="B242" s="3008"/>
      <c r="C242" s="3008"/>
      <c r="D242" s="3008"/>
      <c r="E242" s="3008"/>
      <c r="F242" s="3008"/>
      <c r="G242" s="3008"/>
      <c r="H242" s="3008"/>
      <c r="I242" s="3008"/>
      <c r="J242" s="3008"/>
      <c r="K242" s="3008"/>
      <c r="L242" s="3008"/>
      <c r="M242" s="3008"/>
      <c r="N242" s="3008"/>
      <c r="O242" s="3008"/>
      <c r="P242" s="3008"/>
      <c r="Q242" s="3008"/>
      <c r="R242" s="3008"/>
      <c r="S242" s="3008"/>
      <c r="T242" s="3008"/>
      <c r="U242" s="3008"/>
      <c r="V242" s="3008"/>
      <c r="W242" s="3008"/>
      <c r="X242" s="3008"/>
      <c r="Y242" s="3008"/>
      <c r="Z242" s="3008"/>
      <c r="AA242" s="3008"/>
      <c r="AB242" s="3008"/>
      <c r="AC242" s="3008"/>
      <c r="AD242" s="3008"/>
      <c r="AE242" s="3008"/>
      <c r="AF242" s="3008"/>
      <c r="AG242" s="3008"/>
    </row>
    <row r="243" spans="2:33" ht="18" customHeight="1">
      <c r="B243" s="3008"/>
      <c r="C243" s="3008"/>
      <c r="D243" s="3008"/>
      <c r="E243" s="3008"/>
      <c r="F243" s="3008"/>
      <c r="G243" s="3008"/>
      <c r="H243" s="3008"/>
      <c r="I243" s="3008"/>
      <c r="J243" s="3008"/>
      <c r="K243" s="3008"/>
      <c r="L243" s="3008"/>
      <c r="M243" s="3008"/>
      <c r="N243" s="3008"/>
      <c r="O243" s="3008"/>
      <c r="P243" s="3008"/>
      <c r="Q243" s="3008"/>
      <c r="R243" s="3008"/>
      <c r="S243" s="3008"/>
      <c r="T243" s="3008"/>
      <c r="U243" s="3008"/>
      <c r="V243" s="3008"/>
      <c r="W243" s="3008"/>
      <c r="X243" s="3008"/>
      <c r="Y243" s="3008"/>
      <c r="Z243" s="3008"/>
      <c r="AA243" s="3008"/>
      <c r="AB243" s="3008"/>
      <c r="AC243" s="3008"/>
      <c r="AD243" s="3008"/>
      <c r="AE243" s="3008"/>
      <c r="AF243" s="3008"/>
      <c r="AG243" s="3008"/>
    </row>
    <row r="244" spans="2:33" ht="19.95" customHeight="1">
      <c r="B244" s="3008"/>
      <c r="C244" s="3008"/>
      <c r="D244" s="3008"/>
      <c r="E244" s="3008"/>
      <c r="F244" s="3008"/>
      <c r="G244" s="3008"/>
      <c r="H244" s="3008"/>
      <c r="I244" s="3008"/>
      <c r="J244" s="3008"/>
      <c r="K244" s="3008"/>
      <c r="L244" s="3008"/>
      <c r="M244" s="3008"/>
      <c r="N244" s="3008"/>
      <c r="O244" s="3008"/>
      <c r="P244" s="3008"/>
      <c r="Q244" s="3008"/>
      <c r="R244" s="3008"/>
      <c r="S244" s="3008"/>
      <c r="T244" s="3008"/>
      <c r="U244" s="3008"/>
      <c r="V244" s="3008"/>
      <c r="W244" s="3008"/>
      <c r="X244" s="3008"/>
      <c r="Y244" s="3008"/>
      <c r="Z244" s="3008"/>
      <c r="AA244" s="3008"/>
      <c r="AB244" s="3008"/>
      <c r="AC244" s="3008"/>
      <c r="AD244" s="3008"/>
      <c r="AE244" s="3008"/>
      <c r="AF244" s="3008"/>
      <c r="AG244" s="3008"/>
    </row>
    <row r="245" spans="2:33" ht="19.95" hidden="1" customHeight="1">
      <c r="C245" s="510" t="s">
        <v>575</v>
      </c>
      <c r="D245" s="509"/>
      <c r="E245" s="509"/>
      <c r="F245" s="509"/>
    </row>
    <row r="246" spans="2:33" hidden="1">
      <c r="C246" s="329" t="s">
        <v>574</v>
      </c>
      <c r="D246" s="317" t="s">
        <v>573</v>
      </c>
      <c r="E246" s="509"/>
      <c r="F246" s="509"/>
    </row>
    <row r="247" spans="2:33" ht="13.8" hidden="1" thickBot="1">
      <c r="C247" s="508" t="s">
        <v>572</v>
      </c>
      <c r="D247" s="507"/>
      <c r="E247" s="506">
        <v>2.5</v>
      </c>
      <c r="F247" s="505" t="s">
        <v>571</v>
      </c>
    </row>
    <row r="248" spans="2:33" ht="19.95" hidden="1" customHeight="1">
      <c r="C248" s="504"/>
      <c r="D248" s="503"/>
      <c r="E248" s="503"/>
    </row>
    <row r="249" spans="2:33" ht="19.95" hidden="1" customHeight="1">
      <c r="C249" s="502" t="s">
        <v>570</v>
      </c>
    </row>
    <row r="250" spans="2:33" hidden="1">
      <c r="C250" s="329" t="s">
        <v>569</v>
      </c>
      <c r="D250" s="501"/>
    </row>
    <row r="251" spans="2:33" hidden="1">
      <c r="C251" s="500" t="s">
        <v>568</v>
      </c>
      <c r="D251" s="499"/>
      <c r="E251" s="498"/>
      <c r="F251" s="496"/>
      <c r="G251" s="497" t="s">
        <v>567</v>
      </c>
      <c r="H251" s="496">
        <v>1.1000000000000001</v>
      </c>
      <c r="I251" s="495" t="s">
        <v>566</v>
      </c>
      <c r="J251" s="487"/>
      <c r="K251" s="487"/>
    </row>
    <row r="252" spans="2:33" ht="13.8" hidden="1" thickBot="1">
      <c r="C252" s="494" t="s">
        <v>565</v>
      </c>
      <c r="D252" s="493"/>
      <c r="E252" s="492"/>
      <c r="F252" s="491"/>
      <c r="G252" s="490" t="s">
        <v>410</v>
      </c>
      <c r="H252" s="489"/>
      <c r="I252" s="488"/>
      <c r="J252" s="487"/>
      <c r="K252" s="487"/>
    </row>
    <row r="253" spans="2:33" ht="19.95" customHeight="1"/>
    <row r="254" spans="2:33">
      <c r="C254" s="55"/>
    </row>
  </sheetData>
  <sheetProtection sheet="1" objects="1" scenarios="1"/>
  <customSheetViews>
    <customSheetView guid="{8063F48F-80B5-4ECD-B18A-51CBF126E780}" fitToPage="1" hiddenRows="1">
      <selection activeCell="AL26" sqref="AL26"/>
      <rowBreaks count="2" manualBreakCount="2">
        <brk id="75" min="2" max="14" man="1"/>
        <brk id="189" min="2" max="14" man="1"/>
      </rowBreaks>
      <pageMargins left="0.59055118110236227" right="0.59055118110236227" top="0.59055118110236227" bottom="0.59055118110236227" header="0.39370078740157483" footer="0.39370078740157483"/>
      <printOptions horizontalCentered="1"/>
      <pageSetup paperSize="9" scale="78" firstPageNumber="13" fitToHeight="0" orientation="portrait" r:id="rId1"/>
      <headerFooter alignWithMargins="0">
        <oddFooter>&amp;L&amp;11LEL Schwäbisch Gmünd&amp;C&amp;P+8&amp;R&amp;11&amp;F</oddFooter>
      </headerFooter>
    </customSheetView>
    <customSheetView guid="{5D5C9B61-9ABD-4513-AAEB-8333A9D6196C}" fitToPage="1" hiddenRows="1">
      <selection activeCell="AL26" sqref="AL26"/>
      <rowBreaks count="2" manualBreakCount="2">
        <brk id="75" min="2" max="14" man="1"/>
        <brk id="189" min="2" max="14" man="1"/>
      </rowBreaks>
      <pageMargins left="0.59055118110236227" right="0.59055118110236227" top="0.59055118110236227" bottom="0.59055118110236227" header="0.39370078740157483" footer="0.39370078740157483"/>
      <printOptions horizontalCentered="1"/>
      <pageSetup paperSize="9" scale="78" firstPageNumber="13" fitToHeight="0" orientation="portrait" r:id="rId2"/>
      <headerFooter alignWithMargins="0">
        <oddFooter>&amp;L&amp;11LEL Schwäbisch Gmünd&amp;C&amp;P+8&amp;R&amp;11&amp;F</oddFooter>
      </headerFooter>
    </customSheetView>
    <customSheetView guid="{22A73C4F-9004-4CEF-8499-B1F91BE1B569}" fitToPage="1" hiddenRows="1">
      <selection activeCell="AL26" sqref="AL26"/>
      <rowBreaks count="2" manualBreakCount="2">
        <brk id="75" min="2" max="14" man="1"/>
        <brk id="189" min="2" max="14" man="1"/>
      </rowBreaks>
      <pageMargins left="0.59055118110236227" right="0.59055118110236227" top="0.59055118110236227" bottom="0.59055118110236227" header="0.39370078740157483" footer="0.39370078740157483"/>
      <printOptions horizontalCentered="1"/>
      <pageSetup paperSize="9" scale="78" firstPageNumber="13" fitToHeight="0" orientation="portrait" r:id="rId3"/>
      <headerFooter alignWithMargins="0">
        <oddFooter>&amp;L&amp;11LEL Schwäbisch Gmünd&amp;C&amp;P+8&amp;R&amp;11&amp;F</oddFooter>
      </headerFooter>
    </customSheetView>
  </customSheetViews>
  <mergeCells count="78">
    <mergeCell ref="J109:L109"/>
    <mergeCell ref="J110:L110"/>
    <mergeCell ref="J111:L111"/>
    <mergeCell ref="J112:L112"/>
    <mergeCell ref="J113:L113"/>
    <mergeCell ref="J104:L104"/>
    <mergeCell ref="J105:L105"/>
    <mergeCell ref="J106:L106"/>
    <mergeCell ref="J107:L107"/>
    <mergeCell ref="J108:L108"/>
    <mergeCell ref="E100:G100"/>
    <mergeCell ref="J101:L101"/>
    <mergeCell ref="J102:L102"/>
    <mergeCell ref="J103:L103"/>
    <mergeCell ref="H73:I73"/>
    <mergeCell ref="H74:I74"/>
    <mergeCell ref="H75:I75"/>
    <mergeCell ref="F74:G74"/>
    <mergeCell ref="F75:G75"/>
    <mergeCell ref="F73:G73"/>
    <mergeCell ref="H43:I43"/>
    <mergeCell ref="H44:I44"/>
    <mergeCell ref="H68:I68"/>
    <mergeCell ref="H69:I69"/>
    <mergeCell ref="H70:I70"/>
    <mergeCell ref="H58:I58"/>
    <mergeCell ref="H59:I59"/>
    <mergeCell ref="H60:I60"/>
    <mergeCell ref="H61:I61"/>
    <mergeCell ref="H62:I62"/>
    <mergeCell ref="H45:I45"/>
    <mergeCell ref="H46:I46"/>
    <mergeCell ref="H47:I47"/>
    <mergeCell ref="H48:I48"/>
    <mergeCell ref="H49:I49"/>
    <mergeCell ref="H50:I50"/>
    <mergeCell ref="H72:I72"/>
    <mergeCell ref="H63:I63"/>
    <mergeCell ref="H64:I64"/>
    <mergeCell ref="H65:I65"/>
    <mergeCell ref="H66:I66"/>
    <mergeCell ref="H67:I67"/>
    <mergeCell ref="H51:I51"/>
    <mergeCell ref="H52:I52"/>
    <mergeCell ref="H53:I53"/>
    <mergeCell ref="H54:I54"/>
    <mergeCell ref="H55:I55"/>
    <mergeCell ref="H56:I56"/>
    <mergeCell ref="H57:I57"/>
    <mergeCell ref="F69:G69"/>
    <mergeCell ref="F70:G70"/>
    <mergeCell ref="F71:G71"/>
    <mergeCell ref="F59:G59"/>
    <mergeCell ref="F60:G60"/>
    <mergeCell ref="F61:G61"/>
    <mergeCell ref="F62:G62"/>
    <mergeCell ref="F63:G63"/>
    <mergeCell ref="H71:I71"/>
    <mergeCell ref="F64:G64"/>
    <mergeCell ref="F65:G65"/>
    <mergeCell ref="F66:G66"/>
    <mergeCell ref="F68:G68"/>
    <mergeCell ref="F67:G67"/>
    <mergeCell ref="F55:G55"/>
    <mergeCell ref="F56:G56"/>
    <mergeCell ref="F57:G57"/>
    <mergeCell ref="F58:G58"/>
    <mergeCell ref="F72:G72"/>
    <mergeCell ref="F50:G50"/>
    <mergeCell ref="F51:G51"/>
    <mergeCell ref="F52:G52"/>
    <mergeCell ref="F53:G53"/>
    <mergeCell ref="F54:G54"/>
    <mergeCell ref="F45:G45"/>
    <mergeCell ref="F46:G46"/>
    <mergeCell ref="F47:G47"/>
    <mergeCell ref="F48:G48"/>
    <mergeCell ref="F49:G49"/>
  </mergeCells>
  <printOptions horizontalCentered="1"/>
  <pageMargins left="0.59055118110236227" right="0.59055118110236227" top="0.59055118110236227" bottom="0.59055118110236227" header="0.39370078740157483" footer="0.39370078740157483"/>
  <pageSetup paperSize="9" scale="78" firstPageNumber="13" fitToHeight="0" orientation="portrait" r:id="rId4"/>
  <headerFooter alignWithMargins="0">
    <oddFooter>&amp;L&amp;11LEL Schwäbisch Gmünd&amp;C&amp;P+8&amp;R&amp;11&amp;F</oddFooter>
  </headerFooter>
  <rowBreaks count="1" manualBreakCount="1">
    <brk id="189" min="2" max="14" man="1"/>
  </rowBreaks>
  <ignoredErrors>
    <ignoredError sqref="P46:P48" numberStoredAsText="1"/>
  </ignoredErrors>
  <drawing r:id="rId5"/>
  <legacy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72">
    <tabColor rgb="FF00B0F0"/>
    <pageSetUpPr fitToPage="1"/>
  </sheetPr>
  <dimension ref="A1:AZ225"/>
  <sheetViews>
    <sheetView workbookViewId="0">
      <selection activeCell="B180" sqref="B180"/>
    </sheetView>
  </sheetViews>
  <sheetFormatPr baseColWidth="10" defaultColWidth="10.5" defaultRowHeight="13.2"/>
  <cols>
    <col min="1" max="1" width="0.69921875" style="27" customWidth="1"/>
    <col min="2" max="2" width="0.59765625" style="27" customWidth="1"/>
    <col min="3" max="3" width="11.09765625" style="27" customWidth="1"/>
    <col min="4" max="5" width="8.69921875" style="27" customWidth="1"/>
    <col min="6" max="6" width="23.69921875" style="27" customWidth="1"/>
    <col min="7" max="7" width="7.5" style="27" customWidth="1"/>
    <col min="8" max="8" width="5.5" style="27" customWidth="1"/>
    <col min="9" max="9" width="16.09765625" style="27" customWidth="1"/>
    <col min="10" max="10" width="9.19921875" style="27" customWidth="1"/>
    <col min="11" max="11" width="11.3984375" style="27" customWidth="1"/>
    <col min="12" max="12" width="7.09765625" style="27" customWidth="1"/>
    <col min="13" max="13" width="6.59765625" style="27" customWidth="1"/>
    <col min="14" max="14" width="7.5" style="27" customWidth="1"/>
    <col min="15" max="15" width="6.69921875" style="27" customWidth="1"/>
    <col min="16" max="16" width="11.69921875" style="27" customWidth="1"/>
    <col min="17" max="18" width="10.5" style="27" customWidth="1"/>
    <col min="19" max="23" width="10.5" style="27" hidden="1" customWidth="1"/>
    <col min="24" max="24" width="6" style="27" customWidth="1"/>
    <col min="25" max="26" width="10.5" style="27"/>
    <col min="27" max="27" width="0" style="27" hidden="1" customWidth="1"/>
    <col min="28" max="16384" width="10.5" style="27"/>
  </cols>
  <sheetData>
    <row r="1" spans="2:27" ht="16.5" customHeight="1">
      <c r="C1" s="1396"/>
      <c r="O1" s="226"/>
      <c r="P1" s="226"/>
      <c r="Q1" s="226"/>
      <c r="R1" s="226"/>
      <c r="S1" s="226"/>
      <c r="T1" s="226"/>
      <c r="U1" s="226"/>
      <c r="V1" s="226"/>
      <c r="W1" s="226"/>
      <c r="X1" s="226"/>
    </row>
    <row r="2" spans="2:27" ht="16.95" customHeight="1">
      <c r="C2" s="524" t="s">
        <v>673</v>
      </c>
      <c r="G2" s="1535" t="s">
        <v>950</v>
      </c>
      <c r="O2" s="226"/>
      <c r="P2" s="3384"/>
      <c r="Q2" s="3384"/>
      <c r="R2" s="226"/>
      <c r="S2" s="226"/>
      <c r="T2" s="226"/>
      <c r="U2" s="226"/>
      <c r="V2" s="226"/>
      <c r="W2" s="226"/>
      <c r="X2" s="226"/>
    </row>
    <row r="3" spans="2:27" ht="24.6" hidden="1" customHeight="1">
      <c r="B3" s="42"/>
      <c r="C3" s="504"/>
      <c r="D3" s="503"/>
      <c r="E3" s="503"/>
      <c r="O3" s="4035"/>
      <c r="P3" s="226"/>
      <c r="Q3" s="226"/>
      <c r="R3" s="226"/>
      <c r="S3" s="226"/>
      <c r="T3" s="226"/>
      <c r="U3" s="226"/>
      <c r="V3" s="226"/>
      <c r="W3" s="226"/>
      <c r="X3" s="226"/>
    </row>
    <row r="4" spans="2:27" ht="7.5" hidden="1" customHeight="1">
      <c r="C4" s="1558"/>
      <c r="D4" s="1557"/>
      <c r="E4" s="1557"/>
      <c r="F4" s="1556"/>
      <c r="G4" s="1556"/>
      <c r="H4" s="1556"/>
      <c r="I4" s="1556"/>
      <c r="J4" s="1556"/>
      <c r="K4" s="1556"/>
      <c r="L4" s="1556"/>
      <c r="M4" s="1556"/>
      <c r="N4" s="1556"/>
      <c r="O4" s="4035"/>
      <c r="P4" s="226"/>
      <c r="Q4" s="226"/>
      <c r="R4" s="226"/>
      <c r="S4" s="226"/>
      <c r="T4" s="226"/>
      <c r="U4" s="226"/>
      <c r="V4" s="226"/>
      <c r="W4" s="226"/>
      <c r="X4" s="226"/>
    </row>
    <row r="5" spans="2:27" ht="18.600000000000001" customHeight="1">
      <c r="C5" s="1555"/>
      <c r="D5" s="503"/>
      <c r="E5" s="503"/>
      <c r="O5" s="4035"/>
      <c r="P5" s="226"/>
      <c r="Q5" s="226"/>
      <c r="R5" s="226"/>
      <c r="S5" s="226"/>
      <c r="T5" s="226"/>
      <c r="U5" s="226"/>
      <c r="V5" s="226"/>
      <c r="W5" s="226"/>
      <c r="X5" s="226"/>
    </row>
    <row r="6" spans="2:27" ht="19.649999999999999" customHeight="1">
      <c r="C6" s="3041" t="s">
        <v>670</v>
      </c>
      <c r="D6" s="3406"/>
      <c r="E6" s="3406"/>
      <c r="F6" s="3406"/>
      <c r="G6" s="3406"/>
      <c r="H6" s="3407"/>
      <c r="J6" s="1554"/>
      <c r="K6" s="524"/>
      <c r="L6" s="524"/>
      <c r="N6" s="1553"/>
      <c r="O6" s="3385"/>
      <c r="P6" s="226"/>
      <c r="Q6" s="226"/>
      <c r="R6" s="226"/>
      <c r="S6" s="226"/>
      <c r="T6" s="226"/>
      <c r="U6" s="226"/>
      <c r="V6" s="226"/>
      <c r="W6" s="226"/>
      <c r="X6" s="226"/>
    </row>
    <row r="7" spans="2:27" s="3008" customFormat="1" ht="12" customHeight="1">
      <c r="C7" s="3402" t="s">
        <v>1621</v>
      </c>
      <c r="D7" s="3025"/>
      <c r="E7" s="3025"/>
      <c r="F7" s="3026"/>
      <c r="G7" s="3026"/>
      <c r="H7" s="3404"/>
      <c r="J7" s="1554"/>
      <c r="K7" s="524"/>
      <c r="L7" s="524"/>
      <c r="N7" s="1553"/>
      <c r="O7" s="3385"/>
      <c r="P7" s="226"/>
      <c r="Q7" s="226"/>
      <c r="R7" s="226"/>
      <c r="S7" s="226"/>
      <c r="T7" s="226"/>
      <c r="U7" s="226"/>
      <c r="V7" s="226"/>
      <c r="W7" s="226"/>
      <c r="X7" s="226"/>
    </row>
    <row r="8" spans="2:27" s="3008" customFormat="1" ht="16.2" customHeight="1" thickBot="1">
      <c r="C8" s="3403" t="s">
        <v>1622</v>
      </c>
      <c r="D8" s="3027"/>
      <c r="E8" s="3027"/>
      <c r="F8" s="3028"/>
      <c r="G8" s="3028"/>
      <c r="H8" s="3405"/>
      <c r="J8" s="1554"/>
      <c r="K8" s="524"/>
      <c r="L8" s="524"/>
      <c r="N8" s="1553"/>
      <c r="O8" s="3385"/>
      <c r="P8" s="226"/>
      <c r="Q8" s="226"/>
      <c r="R8" s="226"/>
      <c r="S8" s="226"/>
      <c r="T8" s="226"/>
      <c r="U8" s="226"/>
      <c r="V8" s="226"/>
      <c r="W8" s="226"/>
      <c r="X8" s="226"/>
    </row>
    <row r="9" spans="2:27" s="3008" customFormat="1" ht="25.2" customHeight="1">
      <c r="C9" s="3386" t="s">
        <v>668</v>
      </c>
      <c r="D9" s="3387"/>
      <c r="E9" s="3388"/>
      <c r="F9" s="3389" t="s">
        <v>1115</v>
      </c>
      <c r="G9" s="4036" t="s">
        <v>1114</v>
      </c>
      <c r="H9" s="4037"/>
      <c r="J9" s="1554"/>
      <c r="K9" s="524"/>
      <c r="L9" s="524"/>
      <c r="N9" s="1553"/>
      <c r="O9" s="3385"/>
      <c r="P9" s="226"/>
      <c r="Q9" s="226"/>
      <c r="R9" s="226"/>
      <c r="S9" s="226"/>
      <c r="T9" s="226"/>
      <c r="U9" s="226"/>
      <c r="V9" s="226"/>
      <c r="W9" s="226"/>
      <c r="X9" s="226"/>
    </row>
    <row r="10" spans="2:27" s="3008" customFormat="1" ht="34.950000000000003" customHeight="1" thickBot="1">
      <c r="C10" s="3390" t="s">
        <v>1113</v>
      </c>
      <c r="D10" s="3391"/>
      <c r="E10" s="3391"/>
      <c r="F10" s="3392" t="s">
        <v>1620</v>
      </c>
      <c r="G10" s="4038" t="s">
        <v>1112</v>
      </c>
      <c r="H10" s="4039"/>
      <c r="J10" s="1554"/>
      <c r="K10" s="524"/>
      <c r="L10" s="524"/>
      <c r="N10" s="1553"/>
      <c r="O10" s="3385"/>
      <c r="P10" s="226"/>
      <c r="Q10" s="226"/>
      <c r="R10" s="226"/>
      <c r="S10" s="226"/>
      <c r="T10" s="226"/>
      <c r="U10" s="226"/>
      <c r="V10" s="226"/>
      <c r="W10" s="226"/>
      <c r="X10" s="226"/>
    </row>
    <row r="11" spans="2:27" ht="13.8">
      <c r="C11" s="1552" t="s">
        <v>259</v>
      </c>
      <c r="D11" s="1517"/>
      <c r="E11" s="1551" t="s">
        <v>661</v>
      </c>
      <c r="F11" s="2890">
        <v>108</v>
      </c>
      <c r="G11" s="4040">
        <v>200</v>
      </c>
      <c r="H11" s="4041"/>
      <c r="J11" s="31"/>
      <c r="N11" s="1553"/>
      <c r="O11" s="3385"/>
      <c r="P11" s="226"/>
      <c r="Q11" s="226"/>
      <c r="R11" s="226"/>
      <c r="S11" s="226"/>
      <c r="T11" s="226"/>
      <c r="U11" s="226"/>
      <c r="V11" s="226"/>
      <c r="W11" s="226"/>
      <c r="X11" s="226"/>
    </row>
    <row r="12" spans="2:27">
      <c r="C12" s="1546" t="s">
        <v>259</v>
      </c>
      <c r="D12" s="1515"/>
      <c r="E12" s="230" t="s">
        <v>647</v>
      </c>
      <c r="F12" s="3485">
        <v>110</v>
      </c>
      <c r="G12" s="4031">
        <v>200</v>
      </c>
      <c r="H12" s="4032"/>
      <c r="J12" s="31"/>
    </row>
    <row r="13" spans="2:27">
      <c r="C13" s="1546" t="s">
        <v>89</v>
      </c>
      <c r="D13" s="1515"/>
      <c r="E13" s="230"/>
      <c r="F13" s="3485">
        <v>100</v>
      </c>
      <c r="G13" s="4031">
        <v>110</v>
      </c>
      <c r="H13" s="4032"/>
      <c r="I13" s="3008"/>
      <c r="J13" s="3008"/>
      <c r="K13" s="3008"/>
      <c r="M13" s="3008"/>
      <c r="N13" s="3008"/>
      <c r="O13" s="3008"/>
      <c r="P13" s="3008"/>
      <c r="Q13" s="29"/>
    </row>
    <row r="14" spans="2:27">
      <c r="C14" s="1546" t="s">
        <v>83</v>
      </c>
      <c r="D14" s="1515"/>
      <c r="E14" s="230"/>
      <c r="F14" s="3485">
        <v>122</v>
      </c>
      <c r="G14" s="4031">
        <v>200</v>
      </c>
      <c r="H14" s="4032"/>
      <c r="I14" s="3008"/>
      <c r="J14" s="3008"/>
      <c r="K14" s="3008"/>
      <c r="L14" s="3008"/>
      <c r="M14" s="3008"/>
      <c r="N14" s="3008"/>
      <c r="O14" s="3008"/>
      <c r="P14" s="3008"/>
      <c r="Q14" s="29"/>
      <c r="S14" s="31" t="s">
        <v>262</v>
      </c>
      <c r="AA14" s="31" t="s">
        <v>286</v>
      </c>
    </row>
    <row r="15" spans="2:27">
      <c r="C15" s="1546" t="s">
        <v>74</v>
      </c>
      <c r="D15" s="1515"/>
      <c r="E15" s="230"/>
      <c r="F15" s="3485">
        <v>113</v>
      </c>
      <c r="G15" s="4031">
        <v>160</v>
      </c>
      <c r="H15" s="4032"/>
      <c r="I15" s="3008"/>
      <c r="J15" s="3008"/>
      <c r="K15" s="3008"/>
      <c r="L15" s="3008"/>
      <c r="M15" s="3008"/>
      <c r="N15" s="3008"/>
      <c r="O15" s="3008"/>
      <c r="P15" s="3008"/>
      <c r="Q15" s="29"/>
      <c r="S15" s="1545" t="s">
        <v>1079</v>
      </c>
      <c r="AA15" s="31" t="s">
        <v>1111</v>
      </c>
    </row>
    <row r="16" spans="2:27">
      <c r="C16" s="2612" t="s">
        <v>85</v>
      </c>
      <c r="D16" s="1515"/>
      <c r="E16" s="230"/>
      <c r="F16" s="3485">
        <v>98</v>
      </c>
      <c r="G16" s="4031">
        <v>170</v>
      </c>
      <c r="H16" s="4032"/>
      <c r="I16" s="3008"/>
      <c r="J16" s="3008"/>
      <c r="K16" s="3008"/>
      <c r="L16" s="3008"/>
      <c r="M16" s="3008"/>
      <c r="N16" s="3008"/>
      <c r="O16" s="3008"/>
      <c r="P16" s="3008"/>
      <c r="Q16" s="29"/>
      <c r="S16" s="1545" t="s">
        <v>1110</v>
      </c>
      <c r="AA16" s="31" t="s">
        <v>1109</v>
      </c>
    </row>
    <row r="17" spans="1:27">
      <c r="C17" s="1546" t="s">
        <v>1105</v>
      </c>
      <c r="D17" s="1515"/>
      <c r="E17" s="230"/>
      <c r="F17" s="3485">
        <v>112</v>
      </c>
      <c r="G17" s="4031">
        <v>150</v>
      </c>
      <c r="H17" s="4032"/>
      <c r="I17" s="3008"/>
      <c r="J17" s="3008"/>
      <c r="K17" s="3008"/>
      <c r="L17" s="3008"/>
      <c r="M17" s="3008"/>
      <c r="N17" s="3008"/>
      <c r="O17" s="3008"/>
      <c r="P17" s="3008"/>
      <c r="Q17" s="29"/>
      <c r="S17" s="1545" t="s">
        <v>1079</v>
      </c>
      <c r="AA17" s="31" t="s">
        <v>1108</v>
      </c>
    </row>
    <row r="18" spans="1:27">
      <c r="C18" s="1546" t="s">
        <v>1102</v>
      </c>
      <c r="D18" s="1515"/>
      <c r="E18" s="230"/>
      <c r="F18" s="3485">
        <v>107</v>
      </c>
      <c r="G18" s="4031">
        <v>150</v>
      </c>
      <c r="H18" s="4032"/>
      <c r="I18" s="3008"/>
      <c r="J18" s="3008"/>
      <c r="K18" s="3008"/>
      <c r="L18" s="3008"/>
      <c r="M18" s="3008"/>
      <c r="N18" s="3008"/>
      <c r="O18" s="3008"/>
      <c r="P18" s="3008"/>
      <c r="Q18" s="29"/>
      <c r="S18" s="1545" t="s">
        <v>1107</v>
      </c>
      <c r="V18" s="1545" t="s">
        <v>1079</v>
      </c>
    </row>
    <row r="19" spans="1:27">
      <c r="C19" s="1546" t="s">
        <v>69</v>
      </c>
      <c r="D19" s="3008"/>
      <c r="E19" s="3057" t="s">
        <v>1650</v>
      </c>
      <c r="F19" s="3485">
        <v>146</v>
      </c>
      <c r="G19" s="4031">
        <v>2</v>
      </c>
      <c r="H19" s="4032"/>
      <c r="I19" s="3008"/>
      <c r="J19" s="3008"/>
      <c r="K19" s="3008"/>
      <c r="L19" s="3008"/>
      <c r="M19" s="3008"/>
      <c r="N19" s="3008"/>
      <c r="O19" s="3008"/>
      <c r="P19" s="3008"/>
      <c r="Q19" s="29"/>
      <c r="S19" s="1545" t="s">
        <v>1106</v>
      </c>
      <c r="V19" s="1545" t="s">
        <v>1079</v>
      </c>
    </row>
    <row r="20" spans="1:27" s="2610" customFormat="1">
      <c r="C20" s="1546" t="s">
        <v>253</v>
      </c>
      <c r="D20" s="1515"/>
      <c r="E20" s="3057" t="s">
        <v>1636</v>
      </c>
      <c r="F20" s="3485">
        <v>304</v>
      </c>
      <c r="G20" s="4031">
        <v>139</v>
      </c>
      <c r="H20" s="4032"/>
      <c r="I20" s="3008"/>
      <c r="J20" s="3008"/>
      <c r="K20" s="3008"/>
      <c r="L20" s="3008"/>
      <c r="M20" s="3008"/>
      <c r="N20" s="3008"/>
      <c r="O20" s="3008"/>
      <c r="P20" s="3008"/>
      <c r="Q20" s="29"/>
      <c r="S20" s="1545"/>
      <c r="V20" s="1545"/>
    </row>
    <row r="21" spans="1:27">
      <c r="C21" s="1546" t="s">
        <v>53</v>
      </c>
      <c r="D21" s="1515"/>
      <c r="E21" s="230"/>
      <c r="F21" s="3485">
        <v>141</v>
      </c>
      <c r="G21" s="4031">
        <v>210</v>
      </c>
      <c r="H21" s="4032"/>
      <c r="I21" s="3008"/>
      <c r="J21" s="3008"/>
      <c r="K21" s="3008"/>
      <c r="L21" s="3008"/>
      <c r="M21" s="3008"/>
      <c r="N21" s="3008"/>
      <c r="O21" s="3008"/>
      <c r="P21" s="3008"/>
      <c r="Q21" s="29"/>
      <c r="S21" s="1545" t="s">
        <v>1104</v>
      </c>
      <c r="AA21" s="31" t="s">
        <v>1103</v>
      </c>
    </row>
    <row r="22" spans="1:27">
      <c r="C22" s="1546" t="s">
        <v>51</v>
      </c>
      <c r="D22" s="1515"/>
      <c r="E22" s="230"/>
      <c r="F22" s="3485">
        <v>142</v>
      </c>
      <c r="G22" s="4031">
        <v>200</v>
      </c>
      <c r="H22" s="4032"/>
      <c r="I22" s="3008"/>
      <c r="J22" s="3008"/>
      <c r="K22" s="3008"/>
      <c r="L22" s="3008"/>
      <c r="M22" s="3008"/>
      <c r="N22" s="3008"/>
      <c r="O22" s="3008"/>
      <c r="P22" s="3008"/>
      <c r="Q22" s="29"/>
      <c r="S22" s="1545" t="s">
        <v>1079</v>
      </c>
    </row>
    <row r="23" spans="1:27">
      <c r="C23" s="2612" t="s">
        <v>1586</v>
      </c>
      <c r="D23" s="3024"/>
      <c r="E23" s="3057" t="s">
        <v>1637</v>
      </c>
      <c r="F23" s="3485">
        <v>135</v>
      </c>
      <c r="G23" s="4031">
        <v>155</v>
      </c>
      <c r="H23" s="4032"/>
      <c r="I23" s="3008"/>
      <c r="J23" s="3008"/>
      <c r="K23" s="3008"/>
      <c r="L23" s="3008"/>
      <c r="M23" s="3008"/>
      <c r="N23" s="3008"/>
      <c r="O23" s="3008"/>
      <c r="P23" s="3008"/>
      <c r="Q23" s="29"/>
      <c r="S23" s="1545" t="s">
        <v>1101</v>
      </c>
      <c r="V23" s="1545" t="s">
        <v>1079</v>
      </c>
    </row>
    <row r="24" spans="1:27">
      <c r="C24" s="1546" t="s">
        <v>63</v>
      </c>
      <c r="D24" s="1515"/>
      <c r="E24" s="3057" t="s">
        <v>417</v>
      </c>
      <c r="F24" s="3485">
        <v>160</v>
      </c>
      <c r="G24" s="4031">
        <v>0.38</v>
      </c>
      <c r="H24" s="4032"/>
      <c r="I24" s="3008"/>
      <c r="J24" s="3008"/>
      <c r="K24" s="3008"/>
      <c r="L24" s="3008"/>
      <c r="M24" s="3008"/>
      <c r="N24" s="3008"/>
      <c r="O24" s="3008"/>
      <c r="P24" s="3008"/>
      <c r="Q24" s="29"/>
      <c r="S24" s="1545" t="s">
        <v>1100</v>
      </c>
    </row>
    <row r="25" spans="1:27">
      <c r="C25" s="1546" t="s">
        <v>1094</v>
      </c>
      <c r="D25" s="1515"/>
      <c r="E25" s="230"/>
      <c r="F25" s="3485">
        <v>153</v>
      </c>
      <c r="G25" s="4031">
        <v>25</v>
      </c>
      <c r="H25" s="4032"/>
      <c r="I25" s="3008"/>
      <c r="J25" s="3008"/>
      <c r="K25" s="3008"/>
      <c r="L25" s="3008"/>
      <c r="M25" s="3008"/>
      <c r="N25" s="3008"/>
      <c r="O25" s="3008"/>
      <c r="P25" s="3008"/>
      <c r="Q25" s="29"/>
      <c r="S25" s="1545" t="s">
        <v>1099</v>
      </c>
      <c r="AA25" s="31" t="s">
        <v>1098</v>
      </c>
    </row>
    <row r="26" spans="1:27">
      <c r="A26" s="27">
        <v>1.25</v>
      </c>
      <c r="C26" s="1546"/>
      <c r="D26" s="1515"/>
      <c r="E26" s="230"/>
      <c r="F26" s="2892"/>
      <c r="G26" s="4031"/>
      <c r="H26" s="4032"/>
      <c r="I26" s="3008"/>
      <c r="J26" s="3008"/>
      <c r="K26" s="3008"/>
      <c r="L26" s="3008"/>
      <c r="M26" s="3008"/>
      <c r="N26" s="3008"/>
      <c r="O26" s="3008"/>
      <c r="P26" s="3008"/>
      <c r="Q26" s="29"/>
      <c r="S26" s="1545" t="s">
        <v>1097</v>
      </c>
      <c r="AA26" s="31" t="s">
        <v>1096</v>
      </c>
    </row>
    <row r="27" spans="1:27" ht="13.95" customHeight="1">
      <c r="C27" s="1550" t="s">
        <v>1089</v>
      </c>
      <c r="D27" s="1549"/>
      <c r="E27" s="1548"/>
      <c r="F27" s="2893">
        <v>800</v>
      </c>
      <c r="G27" s="4042">
        <v>25</v>
      </c>
      <c r="H27" s="4043"/>
      <c r="I27" s="3008"/>
      <c r="J27" s="3008"/>
      <c r="K27" s="3008"/>
      <c r="L27" s="3008"/>
      <c r="M27" s="3008"/>
      <c r="N27" s="3008"/>
      <c r="O27" s="3008"/>
      <c r="P27" s="3008"/>
      <c r="Q27" s="29"/>
      <c r="S27" s="31" t="s">
        <v>1095</v>
      </c>
    </row>
    <row r="28" spans="1:27" ht="13.95" customHeight="1">
      <c r="C28" s="1546" t="s">
        <v>1088</v>
      </c>
      <c r="D28" s="1515"/>
      <c r="E28" s="230"/>
      <c r="F28" s="3485">
        <v>815</v>
      </c>
      <c r="G28" s="4031">
        <v>30</v>
      </c>
      <c r="H28" s="4032"/>
      <c r="I28" s="3008"/>
      <c r="J28" s="3008"/>
      <c r="K28" s="3008"/>
      <c r="L28" s="3008"/>
      <c r="M28" s="3008"/>
      <c r="N28" s="3008"/>
      <c r="O28" s="3008"/>
      <c r="P28" s="3008"/>
      <c r="Q28" s="29"/>
      <c r="S28" s="31" t="s">
        <v>1095</v>
      </c>
    </row>
    <row r="29" spans="1:27">
      <c r="C29" s="1546" t="s">
        <v>1086</v>
      </c>
      <c r="D29" s="1515"/>
      <c r="E29" s="3057" t="s">
        <v>1638</v>
      </c>
      <c r="F29" s="3485">
        <v>674</v>
      </c>
      <c r="G29" s="4031">
        <v>30</v>
      </c>
      <c r="H29" s="4032"/>
      <c r="I29" s="3008"/>
      <c r="J29" s="3008"/>
      <c r="K29" s="3008"/>
      <c r="L29" s="3008"/>
      <c r="M29" s="3008"/>
      <c r="N29" s="3008"/>
      <c r="O29" s="3008"/>
      <c r="P29" s="3008"/>
      <c r="Q29" s="29"/>
      <c r="S29" s="1545" t="s">
        <v>1093</v>
      </c>
    </row>
    <row r="30" spans="1:27">
      <c r="C30" s="1546" t="s">
        <v>1085</v>
      </c>
      <c r="D30" s="1515"/>
      <c r="E30" s="230"/>
      <c r="F30" s="3485">
        <v>138</v>
      </c>
      <c r="G30" s="4031">
        <v>100</v>
      </c>
      <c r="H30" s="4032"/>
      <c r="I30" s="3008"/>
      <c r="J30" s="3008"/>
      <c r="K30" s="3008"/>
      <c r="L30" s="3008"/>
      <c r="M30" s="3008"/>
      <c r="N30" s="3008"/>
      <c r="O30" s="3008"/>
      <c r="P30" s="3008"/>
      <c r="Q30" s="29"/>
      <c r="S30" s="1545" t="s">
        <v>1092</v>
      </c>
      <c r="AA30" s="31" t="s">
        <v>1091</v>
      </c>
    </row>
    <row r="31" spans="1:27">
      <c r="C31" s="1546" t="s">
        <v>629</v>
      </c>
      <c r="D31" s="1515"/>
      <c r="E31" s="230"/>
      <c r="F31" s="3485">
        <v>366</v>
      </c>
      <c r="G31" s="4031">
        <v>50</v>
      </c>
      <c r="H31" s="4032"/>
      <c r="I31" s="3008"/>
      <c r="J31" s="3008"/>
      <c r="K31" s="3008"/>
      <c r="L31" s="3008"/>
      <c r="M31" s="3008"/>
      <c r="N31" s="3008"/>
      <c r="O31" s="3008"/>
      <c r="P31" s="3008"/>
      <c r="S31" s="31" t="s">
        <v>1090</v>
      </c>
    </row>
    <row r="32" spans="1:27" ht="12.75" customHeight="1">
      <c r="C32" s="1546" t="s">
        <v>1083</v>
      </c>
      <c r="D32" s="1515"/>
      <c r="E32" s="230"/>
      <c r="F32" s="2891">
        <v>586</v>
      </c>
      <c r="G32" s="4031">
        <v>20</v>
      </c>
      <c r="H32" s="4032"/>
      <c r="I32" s="3008"/>
      <c r="J32" s="3008"/>
      <c r="K32" s="3008"/>
      <c r="L32" s="3008"/>
      <c r="M32" s="3008"/>
      <c r="N32" s="3008"/>
      <c r="O32" s="3008"/>
      <c r="P32" s="3008"/>
      <c r="S32" s="1545" t="s">
        <v>1079</v>
      </c>
    </row>
    <row r="33" spans="2:27" ht="14.25" customHeight="1">
      <c r="C33" s="1546" t="s">
        <v>1082</v>
      </c>
      <c r="D33" s="1515"/>
      <c r="E33" s="230"/>
      <c r="F33" s="2891">
        <v>300</v>
      </c>
      <c r="G33" s="4031">
        <v>20</v>
      </c>
      <c r="H33" s="4032"/>
      <c r="I33" s="3008"/>
      <c r="J33" s="3008"/>
      <c r="K33" s="3008"/>
      <c r="L33" s="3008"/>
      <c r="M33" s="3008"/>
      <c r="N33" s="3008"/>
      <c r="O33" s="3008"/>
      <c r="P33" s="3008"/>
      <c r="S33" s="1545" t="s">
        <v>1079</v>
      </c>
      <c r="AA33" s="31" t="s">
        <v>1087</v>
      </c>
    </row>
    <row r="34" spans="2:27" ht="14.25" customHeight="1">
      <c r="C34" s="1546" t="s">
        <v>1081</v>
      </c>
      <c r="D34" s="1515"/>
      <c r="E34" s="230"/>
      <c r="F34" s="2891">
        <v>260</v>
      </c>
      <c r="G34" s="4031">
        <v>100</v>
      </c>
      <c r="H34" s="4032"/>
      <c r="I34" s="3008"/>
      <c r="J34" s="3008"/>
      <c r="K34" s="3008"/>
      <c r="L34" s="3008"/>
      <c r="M34" s="3008"/>
      <c r="N34" s="3008"/>
      <c r="O34" s="3008"/>
      <c r="P34" s="3008"/>
      <c r="S34" s="1545" t="s">
        <v>1079</v>
      </c>
    </row>
    <row r="35" spans="2:27" ht="13.8" thickBot="1">
      <c r="C35" s="1544" t="s">
        <v>1080</v>
      </c>
      <c r="D35" s="1543"/>
      <c r="E35" s="2896"/>
      <c r="F35" s="3536">
        <v>1850</v>
      </c>
      <c r="G35" s="4033">
        <v>15</v>
      </c>
      <c r="H35" s="4034"/>
      <c r="I35" s="3008"/>
      <c r="J35" s="3008"/>
      <c r="K35" s="3008"/>
      <c r="L35" s="3008"/>
      <c r="M35" s="3008"/>
      <c r="N35" s="3008"/>
      <c r="O35" s="3008"/>
      <c r="P35" s="3008"/>
      <c r="Q35" s="29"/>
      <c r="S35" s="1545" t="s">
        <v>1079</v>
      </c>
    </row>
    <row r="36" spans="2:27">
      <c r="I36" s="3008"/>
      <c r="J36" s="3008"/>
      <c r="K36" s="3008"/>
      <c r="L36" s="3008"/>
      <c r="M36" s="3008"/>
      <c r="N36" s="3008"/>
      <c r="O36" s="3008"/>
      <c r="P36" s="3008"/>
      <c r="Q36" s="29"/>
    </row>
    <row r="37" spans="2:27" ht="12.9" customHeight="1">
      <c r="I37" s="3008"/>
      <c r="J37" s="3008"/>
      <c r="K37" s="3008"/>
      <c r="L37" s="3008"/>
      <c r="M37" s="3008"/>
      <c r="N37" s="3008"/>
      <c r="O37" s="3008"/>
      <c r="P37" s="3008"/>
      <c r="Q37" s="29"/>
    </row>
    <row r="38" spans="2:27">
      <c r="I38" s="3008"/>
      <c r="J38" s="3008"/>
      <c r="K38" s="3008"/>
      <c r="L38" s="3008"/>
      <c r="M38" s="3008"/>
      <c r="N38" s="3008"/>
      <c r="O38" s="3008"/>
      <c r="P38" s="3008"/>
      <c r="Q38" s="29"/>
      <c r="S38" s="1545" t="s">
        <v>1084</v>
      </c>
    </row>
    <row r="39" spans="2:27">
      <c r="F39" s="2919"/>
      <c r="I39" s="3008"/>
      <c r="J39" s="3008"/>
      <c r="K39" s="3008"/>
      <c r="L39" s="3008"/>
      <c r="M39" s="3008"/>
      <c r="N39" s="3008"/>
      <c r="O39" s="3008"/>
      <c r="P39" s="3008"/>
      <c r="Q39" s="29"/>
    </row>
    <row r="40" spans="2:27">
      <c r="B40" s="42"/>
      <c r="F40" s="2919"/>
      <c r="H40" s="100"/>
      <c r="I40" s="3008"/>
      <c r="J40" s="3008"/>
      <c r="K40" s="3008"/>
      <c r="L40" s="3008"/>
      <c r="M40" s="3008"/>
      <c r="N40" s="3008"/>
      <c r="O40" s="3008"/>
      <c r="P40" s="3008"/>
    </row>
    <row r="41" spans="2:27" hidden="1">
      <c r="B41" s="42"/>
      <c r="C41" s="29"/>
      <c r="D41" s="29"/>
      <c r="E41" s="29"/>
      <c r="F41" s="29"/>
      <c r="G41" s="29"/>
      <c r="H41" s="29"/>
      <c r="I41" s="3008"/>
      <c r="J41" s="3008"/>
      <c r="K41" s="3008"/>
      <c r="L41" s="3008"/>
      <c r="M41" s="3008"/>
      <c r="N41" s="3008"/>
      <c r="O41" s="3008"/>
      <c r="P41" s="3008"/>
    </row>
    <row r="42" spans="2:27">
      <c r="C42" s="3008"/>
      <c r="D42" s="3008"/>
      <c r="E42" s="3008"/>
      <c r="F42" s="3008"/>
      <c r="G42" s="3008"/>
      <c r="H42" s="3008"/>
      <c r="I42" s="3008"/>
      <c r="J42" s="3008"/>
      <c r="K42" s="3008"/>
      <c r="L42" s="3008"/>
      <c r="M42" s="3008"/>
      <c r="N42" s="3008"/>
      <c r="O42" s="3008"/>
      <c r="P42" s="3008"/>
    </row>
    <row r="43" spans="2:27" ht="13.8">
      <c r="C43" s="3393" t="s">
        <v>1623</v>
      </c>
      <c r="D43" s="3394"/>
      <c r="E43" s="3394" t="s">
        <v>1624</v>
      </c>
      <c r="F43" s="3394"/>
      <c r="G43" s="3395" t="s">
        <v>163</v>
      </c>
      <c r="H43" s="3008"/>
      <c r="I43" s="3008"/>
      <c r="J43" s="3008"/>
    </row>
    <row r="44" spans="2:27">
      <c r="C44" s="3029" t="s">
        <v>57</v>
      </c>
      <c r="D44" s="3030"/>
      <c r="E44" s="3030" t="s">
        <v>1625</v>
      </c>
      <c r="F44" s="3031"/>
      <c r="G44" s="3032">
        <v>29.5</v>
      </c>
      <c r="H44" s="3008"/>
      <c r="I44" s="3008"/>
      <c r="J44" s="3008"/>
      <c r="Q44" s="29"/>
    </row>
    <row r="45" spans="2:27">
      <c r="C45" s="3033" t="s">
        <v>1586</v>
      </c>
      <c r="D45" s="3034"/>
      <c r="E45" s="3034" t="s">
        <v>1626</v>
      </c>
      <c r="F45" s="3035"/>
      <c r="G45" s="3036">
        <v>31.5</v>
      </c>
      <c r="H45" s="3008"/>
      <c r="I45" s="3008"/>
      <c r="J45" s="3008"/>
      <c r="Q45" s="29"/>
    </row>
    <row r="46" spans="2:27">
      <c r="C46" s="3037" t="s">
        <v>1188</v>
      </c>
      <c r="D46" s="3038"/>
      <c r="E46" s="3038" t="s">
        <v>1627</v>
      </c>
      <c r="F46" s="3039"/>
      <c r="G46" s="3040">
        <v>17.25</v>
      </c>
      <c r="H46" s="3008"/>
      <c r="I46" s="3008"/>
      <c r="J46" s="3008"/>
      <c r="Q46" s="29"/>
    </row>
    <row r="47" spans="2:27">
      <c r="C47" s="3008"/>
      <c r="D47" s="3008"/>
      <c r="E47" s="3008"/>
      <c r="F47" s="3008"/>
      <c r="G47" s="3008"/>
      <c r="H47" s="3008"/>
      <c r="I47" s="3008"/>
      <c r="J47" s="3008"/>
      <c r="Q47" s="29"/>
    </row>
    <row r="48" spans="2:27" hidden="1">
      <c r="C48" s="3008"/>
      <c r="D48" s="3008"/>
      <c r="E48" s="3008"/>
      <c r="F48" s="3008"/>
      <c r="G48" s="3008"/>
      <c r="H48" s="3008"/>
      <c r="I48" s="3008"/>
      <c r="J48" s="3008"/>
      <c r="Q48" s="29"/>
    </row>
    <row r="49" spans="2:20" hidden="1">
      <c r="C49" s="3008"/>
      <c r="D49" s="3008"/>
      <c r="E49" s="3008"/>
      <c r="F49" s="3008"/>
      <c r="G49" s="3008"/>
      <c r="H49" s="3008"/>
      <c r="I49" s="3008"/>
      <c r="J49" s="3008"/>
    </row>
    <row r="50" spans="2:20" hidden="1">
      <c r="Q50" s="29"/>
    </row>
    <row r="51" spans="2:20" hidden="1">
      <c r="Q51" s="29"/>
    </row>
    <row r="52" spans="2:20" hidden="1">
      <c r="Q52" s="29"/>
      <c r="T52" s="27" t="s">
        <v>892</v>
      </c>
    </row>
    <row r="53" spans="2:20" hidden="1">
      <c r="Q53" s="29"/>
    </row>
    <row r="54" spans="2:20" hidden="1">
      <c r="Q54" s="29"/>
    </row>
    <row r="55" spans="2:20" hidden="1">
      <c r="Q55" s="29"/>
    </row>
    <row r="56" spans="2:20" hidden="1">
      <c r="Q56" s="29"/>
    </row>
    <row r="57" spans="2:20" hidden="1">
      <c r="Q57" s="29"/>
    </row>
    <row r="58" spans="2:20">
      <c r="Q58" s="29"/>
    </row>
    <row r="59" spans="2:20" ht="15.6">
      <c r="C59" s="3041" t="s">
        <v>609</v>
      </c>
      <c r="D59" s="3042"/>
      <c r="E59" s="3042"/>
      <c r="F59" s="3042"/>
      <c r="G59" s="3042"/>
      <c r="H59" s="3042"/>
      <c r="I59" s="3042"/>
      <c r="J59" s="3042"/>
      <c r="K59" s="3042"/>
      <c r="L59" s="3043"/>
      <c r="Q59" s="29"/>
    </row>
    <row r="60" spans="2:20">
      <c r="C60" s="3044" t="s">
        <v>608</v>
      </c>
      <c r="D60" s="3045"/>
      <c r="E60" s="3496" t="s">
        <v>607</v>
      </c>
      <c r="F60" s="3497"/>
      <c r="G60" s="3543"/>
      <c r="H60" s="3527"/>
      <c r="I60" s="3046" t="s">
        <v>608</v>
      </c>
      <c r="J60" s="3496" t="s">
        <v>607</v>
      </c>
      <c r="K60" s="3497"/>
      <c r="L60" s="3504"/>
      <c r="Q60" s="29"/>
    </row>
    <row r="61" spans="2:20">
      <c r="C61" s="3047"/>
      <c r="D61" s="3048"/>
      <c r="E61" s="3498" t="s">
        <v>606</v>
      </c>
      <c r="F61" s="3499"/>
      <c r="G61" s="3545"/>
      <c r="H61" s="3544"/>
      <c r="I61" s="3049"/>
      <c r="J61" s="3500" t="s">
        <v>606</v>
      </c>
      <c r="K61" s="3499"/>
      <c r="L61" s="3501"/>
      <c r="M61" s="3008"/>
      <c r="Q61" s="29"/>
      <c r="T61" s="27" t="s">
        <v>892</v>
      </c>
    </row>
    <row r="62" spans="2:20">
      <c r="B62" s="29"/>
      <c r="C62" s="4044" t="s">
        <v>605</v>
      </c>
      <c r="D62" s="4045"/>
      <c r="E62" s="4046"/>
      <c r="F62" s="3054">
        <v>16</v>
      </c>
      <c r="G62" s="3546"/>
      <c r="H62" s="3544"/>
      <c r="I62" s="3052" t="s">
        <v>604</v>
      </c>
      <c r="J62" s="3539"/>
      <c r="K62" s="3520"/>
      <c r="L62" s="3055">
        <v>33</v>
      </c>
      <c r="M62" s="3008"/>
      <c r="N62" s="29"/>
      <c r="Q62" s="29"/>
      <c r="T62" s="27" t="s">
        <v>892</v>
      </c>
    </row>
    <row r="63" spans="2:20" ht="16.350000000000001" customHeight="1">
      <c r="C63" s="4047" t="s">
        <v>603</v>
      </c>
      <c r="D63" s="4048"/>
      <c r="E63" s="4049"/>
      <c r="F63" s="3055">
        <v>16</v>
      </c>
      <c r="G63" s="3546"/>
      <c r="H63" s="3544"/>
      <c r="I63" s="3053" t="s">
        <v>602</v>
      </c>
      <c r="J63" s="3540"/>
      <c r="K63" s="3520"/>
      <c r="L63" s="3055">
        <v>12</v>
      </c>
      <c r="M63" s="3008"/>
      <c r="N63" s="29"/>
      <c r="Q63" s="29"/>
    </row>
    <row r="64" spans="2:20" ht="15.6" customHeight="1">
      <c r="B64" s="518">
        <f>ROWS($B$64:$B64)</f>
        <v>1</v>
      </c>
      <c r="C64" s="4047" t="s">
        <v>601</v>
      </c>
      <c r="D64" s="4048"/>
      <c r="E64" s="4049"/>
      <c r="F64" s="3055">
        <v>18</v>
      </c>
      <c r="G64" s="3546"/>
      <c r="H64" s="3544"/>
      <c r="I64" s="3053" t="s">
        <v>600</v>
      </c>
      <c r="J64" s="3540"/>
      <c r="K64" s="3520"/>
      <c r="L64" s="3055">
        <v>12</v>
      </c>
      <c r="M64" s="3008"/>
      <c r="N64" s="29"/>
      <c r="Q64" s="29"/>
    </row>
    <row r="65" spans="1:17" ht="13.65" customHeight="1">
      <c r="B65" s="518">
        <f>ROWS($B$64:$B65)</f>
        <v>2</v>
      </c>
      <c r="C65" s="4047" t="s">
        <v>599</v>
      </c>
      <c r="D65" s="4048"/>
      <c r="E65" s="4049"/>
      <c r="F65" s="3055">
        <v>18</v>
      </c>
      <c r="G65" s="3546"/>
      <c r="H65" s="3544"/>
      <c r="I65" s="3053" t="s">
        <v>598</v>
      </c>
      <c r="J65" s="3540"/>
      <c r="K65" s="3520"/>
      <c r="L65" s="3055">
        <v>12</v>
      </c>
      <c r="M65" s="3008"/>
      <c r="N65" s="29"/>
      <c r="Q65" s="29"/>
    </row>
    <row r="66" spans="1:17">
      <c r="B66" s="518">
        <f>ROWS($B$64:$B66)</f>
        <v>3</v>
      </c>
      <c r="C66" s="4047" t="s">
        <v>597</v>
      </c>
      <c r="D66" s="4048"/>
      <c r="E66" s="4049"/>
      <c r="F66" s="3055">
        <v>45</v>
      </c>
      <c r="G66" s="3546"/>
      <c r="H66" s="3544"/>
      <c r="I66" s="3053" t="s">
        <v>596</v>
      </c>
      <c r="J66" s="3540"/>
      <c r="K66" s="3520"/>
      <c r="L66" s="3055">
        <v>12</v>
      </c>
      <c r="M66" s="3008"/>
      <c r="N66" s="29"/>
      <c r="Q66" s="29"/>
    </row>
    <row r="67" spans="1:17" ht="13.8">
      <c r="B67" s="518">
        <f>ROWS($B$64:$B67)</f>
        <v>4</v>
      </c>
      <c r="C67" s="4047" t="s">
        <v>595</v>
      </c>
      <c r="D67" s="4048"/>
      <c r="E67" s="4049"/>
      <c r="F67" s="3055">
        <v>40</v>
      </c>
      <c r="G67" s="3546"/>
      <c r="H67" s="3544"/>
      <c r="I67" s="3053" t="s">
        <v>594</v>
      </c>
      <c r="J67" s="3540"/>
      <c r="K67" s="3520"/>
      <c r="L67" s="3055">
        <v>12</v>
      </c>
      <c r="M67" s="3008"/>
      <c r="N67" s="29"/>
      <c r="P67" s="1542"/>
      <c r="Q67" s="29"/>
    </row>
    <row r="68" spans="1:17">
      <c r="B68" s="518">
        <f>ROWS($B$64:$B68)</f>
        <v>5</v>
      </c>
      <c r="C68" s="4047" t="s">
        <v>593</v>
      </c>
      <c r="D68" s="4048"/>
      <c r="E68" s="4049"/>
      <c r="F68" s="3055">
        <v>42</v>
      </c>
      <c r="G68" s="3546"/>
      <c r="H68" s="3544"/>
      <c r="I68" s="3053" t="s">
        <v>592</v>
      </c>
      <c r="J68" s="3540"/>
      <c r="K68" s="3520"/>
      <c r="L68" s="3055">
        <v>27</v>
      </c>
      <c r="M68" s="3008"/>
      <c r="N68" s="29"/>
    </row>
    <row r="69" spans="1:17">
      <c r="B69" s="518">
        <f>ROWS($B$64:$B69)</f>
        <v>6</v>
      </c>
      <c r="C69" s="4047" t="s">
        <v>591</v>
      </c>
      <c r="D69" s="4048"/>
      <c r="E69" s="4049"/>
      <c r="F69" s="3055">
        <v>30</v>
      </c>
      <c r="G69" s="3546"/>
      <c r="H69" s="3544"/>
      <c r="I69" s="3053" t="s">
        <v>590</v>
      </c>
      <c r="J69" s="3540"/>
      <c r="K69" s="3520"/>
      <c r="L69" s="3055">
        <v>10</v>
      </c>
      <c r="M69" s="3008"/>
      <c r="N69" s="29"/>
    </row>
    <row r="70" spans="1:17">
      <c r="B70" s="518">
        <f>ROWS($B$64:$B70)</f>
        <v>7</v>
      </c>
      <c r="C70" s="4047" t="s">
        <v>589</v>
      </c>
      <c r="D70" s="4048"/>
      <c r="E70" s="4049"/>
      <c r="F70" s="3055">
        <v>30</v>
      </c>
      <c r="G70" s="3546"/>
      <c r="H70" s="3544"/>
      <c r="I70" s="3053" t="s">
        <v>588</v>
      </c>
      <c r="J70" s="3540"/>
      <c r="K70" s="3520"/>
      <c r="L70" s="3055">
        <v>26</v>
      </c>
      <c r="M70" s="3008"/>
      <c r="N70" s="29"/>
    </row>
    <row r="71" spans="1:17" ht="13.2" customHeight="1">
      <c r="B71" s="518">
        <f>ROWS($B$64:$B71)</f>
        <v>8</v>
      </c>
      <c r="C71" s="4047" t="s">
        <v>587</v>
      </c>
      <c r="D71" s="4048"/>
      <c r="E71" s="4049"/>
      <c r="F71" s="3055">
        <v>28</v>
      </c>
      <c r="G71" s="3546"/>
      <c r="H71" s="3544"/>
      <c r="I71" s="3053" t="s">
        <v>586</v>
      </c>
      <c r="J71" s="3540"/>
      <c r="K71" s="3520"/>
      <c r="L71" s="3055">
        <v>16</v>
      </c>
      <c r="M71" s="3008"/>
      <c r="N71" s="29"/>
    </row>
    <row r="72" spans="1:17" ht="13.2" customHeight="1">
      <c r="B72" s="518">
        <f>ROWS($B$64:$B72)</f>
        <v>9</v>
      </c>
      <c r="C72" s="4047" t="s">
        <v>585</v>
      </c>
      <c r="D72" s="4048"/>
      <c r="E72" s="4049"/>
      <c r="F72" s="3055">
        <v>22</v>
      </c>
      <c r="G72" s="3546"/>
      <c r="H72" s="3544"/>
      <c r="I72" s="3053" t="s">
        <v>584</v>
      </c>
      <c r="J72" s="3540"/>
      <c r="K72" s="3520"/>
      <c r="L72" s="3055">
        <v>13</v>
      </c>
      <c r="M72" s="3008"/>
      <c r="N72" s="1518"/>
    </row>
    <row r="73" spans="1:17" ht="13.2" customHeight="1">
      <c r="B73" s="518">
        <f>ROWS($B$64:$B73)</f>
        <v>10</v>
      </c>
      <c r="C73" s="4047" t="s">
        <v>583</v>
      </c>
      <c r="D73" s="4048"/>
      <c r="E73" s="4049"/>
      <c r="F73" s="3055">
        <v>18</v>
      </c>
      <c r="G73" s="3546"/>
      <c r="H73" s="3544"/>
      <c r="I73" s="3053" t="s">
        <v>1502</v>
      </c>
      <c r="J73" s="3540"/>
      <c r="K73" s="3520"/>
      <c r="L73" s="3055">
        <v>9</v>
      </c>
      <c r="M73" s="3008"/>
      <c r="N73" s="1518"/>
    </row>
    <row r="74" spans="1:17" ht="13.2" customHeight="1">
      <c r="B74" s="518">
        <f>ROWS($B$64:$B74)</f>
        <v>11</v>
      </c>
      <c r="C74" s="4047" t="s">
        <v>581</v>
      </c>
      <c r="D74" s="4048"/>
      <c r="E74" s="4049"/>
      <c r="F74" s="3055">
        <v>11</v>
      </c>
      <c r="G74" s="3548"/>
      <c r="H74" s="3549"/>
      <c r="I74" s="3541" t="s">
        <v>431</v>
      </c>
      <c r="J74" s="3542"/>
      <c r="K74" s="3537"/>
      <c r="L74" s="3538"/>
      <c r="M74" s="3008"/>
      <c r="N74" s="1518"/>
    </row>
    <row r="75" spans="1:17" ht="13.2" customHeight="1">
      <c r="B75" s="518">
        <f>ROWS($B$64:$B75)</f>
        <v>12</v>
      </c>
      <c r="C75" s="4050"/>
      <c r="D75" s="4051"/>
      <c r="E75" s="4052"/>
      <c r="F75" s="3056"/>
      <c r="G75" s="3547"/>
      <c r="H75" s="3051" t="s">
        <v>580</v>
      </c>
      <c r="I75" s="3038"/>
      <c r="J75" s="3038"/>
      <c r="K75" s="3038"/>
      <c r="L75" s="3039"/>
      <c r="M75" s="3008"/>
      <c r="N75" s="1518"/>
    </row>
    <row r="76" spans="1:17" ht="13.2" customHeight="1">
      <c r="B76" s="518">
        <f>ROWS($B$64:$B76)</f>
        <v>13</v>
      </c>
      <c r="M76" s="3008"/>
      <c r="N76" s="1518"/>
    </row>
    <row r="77" spans="1:17" ht="13.2" customHeight="1">
      <c r="B77" s="518">
        <f>ROWS($B$64:$B77)</f>
        <v>14</v>
      </c>
      <c r="C77" s="3008"/>
      <c r="D77" s="3008"/>
      <c r="E77" s="3008"/>
      <c r="F77" s="3008"/>
      <c r="G77" s="3008"/>
      <c r="H77" s="3008"/>
      <c r="I77" s="3008"/>
      <c r="J77" s="3008"/>
      <c r="K77" s="3008"/>
      <c r="L77" s="3008"/>
      <c r="M77" s="3008"/>
      <c r="N77" s="1518"/>
    </row>
    <row r="78" spans="1:17" ht="13.2" customHeight="1">
      <c r="B78" s="518">
        <f>ROWS($B$64:$B78)</f>
        <v>15</v>
      </c>
      <c r="C78" s="3008"/>
      <c r="D78" s="3008"/>
      <c r="E78" s="3008"/>
      <c r="F78" s="3008"/>
      <c r="G78" s="3008"/>
      <c r="H78" s="3008"/>
      <c r="I78" s="3008"/>
      <c r="J78" s="3008"/>
      <c r="K78" s="3008"/>
      <c r="L78" s="3008"/>
      <c r="M78" s="3008"/>
      <c r="N78" s="1518"/>
    </row>
    <row r="79" spans="1:17" ht="13.2" customHeight="1">
      <c r="B79" s="1519"/>
      <c r="C79" s="3008"/>
      <c r="D79" s="3008"/>
      <c r="E79" s="3008"/>
      <c r="F79" s="3008"/>
      <c r="G79" s="3008"/>
      <c r="H79" s="3008"/>
      <c r="I79" s="3008"/>
      <c r="J79" s="3008"/>
      <c r="K79" s="3008"/>
      <c r="L79" s="3008"/>
      <c r="M79" s="3008"/>
      <c r="N79" s="1518"/>
    </row>
    <row r="80" spans="1:17" ht="15" hidden="1" customHeight="1">
      <c r="A80" s="1519"/>
      <c r="B80" s="1518"/>
      <c r="C80" s="3008"/>
      <c r="D80" s="3008"/>
      <c r="E80" s="3008"/>
      <c r="F80" s="3008"/>
      <c r="G80" s="3008"/>
      <c r="H80" s="3008"/>
      <c r="I80" s="3008"/>
      <c r="J80" s="3008"/>
      <c r="K80" s="3008"/>
      <c r="L80" s="3008"/>
      <c r="M80" s="3008"/>
    </row>
    <row r="81" spans="3:52" ht="13.2" hidden="1" customHeight="1">
      <c r="C81" s="3008"/>
      <c r="D81" s="3008"/>
      <c r="E81" s="3008"/>
      <c r="F81" s="3008"/>
      <c r="G81" s="3008"/>
      <c r="H81" s="3008"/>
      <c r="I81" s="3008"/>
      <c r="J81" s="3008"/>
      <c r="K81" s="3008"/>
      <c r="L81" s="3008"/>
      <c r="M81" s="3008"/>
    </row>
    <row r="82" spans="3:52" ht="7.2" hidden="1" customHeight="1">
      <c r="C82" s="3008"/>
      <c r="D82" s="3008"/>
      <c r="E82" s="3008"/>
      <c r="F82" s="3008"/>
      <c r="G82" s="3008"/>
      <c r="H82" s="3008"/>
      <c r="I82" s="3008"/>
      <c r="J82" s="3008"/>
      <c r="K82" s="3008"/>
      <c r="L82" s="3008"/>
      <c r="M82" s="3008"/>
    </row>
    <row r="83" spans="3:52" ht="14.4" hidden="1" customHeight="1">
      <c r="C83" s="3008"/>
      <c r="D83" s="3008"/>
      <c r="E83" s="3008"/>
      <c r="F83" s="3008"/>
      <c r="G83" s="3008"/>
      <c r="H83" s="3008"/>
      <c r="I83" s="3008"/>
      <c r="J83" s="3008"/>
      <c r="K83" s="3008"/>
      <c r="L83" s="3008"/>
      <c r="M83" s="3008"/>
    </row>
    <row r="84" spans="3:52" ht="12.75" hidden="1" customHeight="1">
      <c r="C84" s="3008"/>
      <c r="D84" s="3008"/>
      <c r="E84" s="3008"/>
      <c r="F84" s="3008"/>
      <c r="G84" s="3008"/>
      <c r="H84" s="3008"/>
      <c r="I84" s="3008"/>
      <c r="J84" s="3008"/>
      <c r="K84" s="3008"/>
      <c r="L84" s="3008"/>
      <c r="M84" s="3008"/>
    </row>
    <row r="85" spans="3:52" ht="12.75" hidden="1" customHeight="1">
      <c r="C85" s="3008"/>
      <c r="D85" s="3008"/>
      <c r="E85" s="3008"/>
      <c r="F85" s="3008"/>
      <c r="G85" s="3008"/>
      <c r="H85" s="3008"/>
      <c r="I85" s="3008"/>
      <c r="J85" s="3008"/>
      <c r="K85" s="3008"/>
      <c r="L85" s="3008"/>
      <c r="M85" s="3008"/>
    </row>
    <row r="86" spans="3:52" ht="12.75" hidden="1" customHeight="1">
      <c r="C86" s="3008"/>
      <c r="D86" s="3008"/>
      <c r="E86" s="3008"/>
      <c r="F86" s="3008"/>
      <c r="G86" s="3008"/>
      <c r="H86" s="3008"/>
      <c r="I86" s="3008"/>
      <c r="J86" s="3008"/>
      <c r="K86" s="3008"/>
      <c r="L86" s="3008"/>
      <c r="M86" s="3008"/>
    </row>
    <row r="87" spans="3:52" ht="12.75" hidden="1" customHeight="1">
      <c r="C87" s="3008"/>
      <c r="D87" s="3008"/>
      <c r="E87" s="3008"/>
      <c r="F87" s="3008"/>
      <c r="G87" s="3008"/>
      <c r="H87" s="3008"/>
      <c r="I87" s="3008"/>
      <c r="J87" s="3008"/>
      <c r="K87" s="3008"/>
      <c r="L87" s="3008"/>
      <c r="M87" s="3008"/>
    </row>
    <row r="88" spans="3:52">
      <c r="C88" s="3008"/>
      <c r="D88" s="3008"/>
      <c r="E88" s="3008"/>
      <c r="F88" s="3008"/>
      <c r="G88" s="3008"/>
      <c r="H88" s="3008"/>
      <c r="I88" s="3008"/>
      <c r="J88" s="3008"/>
      <c r="K88" s="3008"/>
      <c r="L88" s="3008"/>
      <c r="M88" s="3008"/>
    </row>
    <row r="89" spans="3:52">
      <c r="C89" s="3008"/>
      <c r="D89" s="3008"/>
      <c r="E89" s="3008"/>
      <c r="F89" s="3008"/>
      <c r="G89" s="3008"/>
      <c r="H89" s="3008"/>
      <c r="I89" s="3008"/>
      <c r="J89" s="3008"/>
      <c r="K89" s="3008"/>
      <c r="L89" s="3008"/>
      <c r="M89" s="3008"/>
      <c r="N89" s="3008"/>
      <c r="O89" s="3008"/>
      <c r="P89" s="3008"/>
      <c r="Q89" s="3008"/>
      <c r="R89" s="3008"/>
      <c r="S89" s="3008"/>
      <c r="T89" s="3008"/>
      <c r="U89" s="3008"/>
      <c r="V89" s="3008"/>
      <c r="W89" s="3008"/>
      <c r="X89" s="3008"/>
      <c r="Y89" s="3008"/>
      <c r="Z89" s="3008"/>
      <c r="AA89" s="3008"/>
      <c r="AB89" s="3008"/>
      <c r="AC89" s="3008"/>
      <c r="AD89" s="3008"/>
      <c r="AE89" s="3008"/>
      <c r="AF89" s="3008"/>
      <c r="AG89" s="3008"/>
      <c r="AH89" s="3008"/>
      <c r="AI89" s="3008"/>
      <c r="AJ89" s="3008"/>
      <c r="AK89" s="3008"/>
      <c r="AL89" s="3008"/>
      <c r="AM89" s="3008"/>
      <c r="AN89" s="3008"/>
      <c r="AO89" s="3008"/>
      <c r="AP89" s="3008"/>
      <c r="AQ89" s="3008"/>
      <c r="AR89" s="3008"/>
      <c r="AS89" s="3008"/>
      <c r="AT89" s="3008"/>
      <c r="AU89" s="3008"/>
      <c r="AV89" s="3008"/>
      <c r="AW89" s="3008"/>
      <c r="AX89" s="3008"/>
      <c r="AY89" s="3008"/>
      <c r="AZ89" s="3008"/>
    </row>
    <row r="90" spans="3:52">
      <c r="C90" s="3008"/>
      <c r="D90" s="3008"/>
      <c r="E90" s="3008"/>
      <c r="F90" s="3008"/>
      <c r="G90" s="3008"/>
      <c r="H90" s="3008"/>
      <c r="I90" s="3008"/>
      <c r="J90" s="3008"/>
      <c r="K90" s="3008"/>
      <c r="L90" s="3008"/>
      <c r="M90" s="3008"/>
      <c r="N90" s="3008"/>
      <c r="O90" s="3008"/>
      <c r="P90" s="3008"/>
      <c r="Q90" s="3008"/>
      <c r="R90" s="3008"/>
      <c r="S90" s="3008"/>
      <c r="T90" s="3008"/>
      <c r="U90" s="3008"/>
      <c r="V90" s="3008"/>
      <c r="W90" s="3008"/>
      <c r="X90" s="3008"/>
      <c r="Y90" s="3008"/>
      <c r="Z90" s="3008"/>
      <c r="AA90" s="3008"/>
      <c r="AB90" s="3008"/>
      <c r="AC90" s="3008"/>
      <c r="AD90" s="3008"/>
      <c r="AE90" s="3008"/>
      <c r="AF90" s="3008"/>
      <c r="AG90" s="3008"/>
      <c r="AH90" s="3008"/>
      <c r="AI90" s="3008"/>
      <c r="AJ90" s="3008"/>
      <c r="AK90" s="3008"/>
      <c r="AL90" s="3008"/>
      <c r="AM90" s="3008"/>
      <c r="AN90" s="3008"/>
      <c r="AO90" s="3008"/>
      <c r="AP90" s="3008"/>
      <c r="AQ90" s="3008"/>
      <c r="AR90" s="3008"/>
      <c r="AS90" s="3008"/>
      <c r="AT90" s="3008"/>
      <c r="AU90" s="3008"/>
      <c r="AV90" s="3008"/>
      <c r="AW90" s="3008"/>
      <c r="AX90" s="3008"/>
      <c r="AY90" s="3008"/>
      <c r="AZ90" s="3008"/>
    </row>
    <row r="91" spans="3:52">
      <c r="C91" s="3008"/>
      <c r="D91" s="3008"/>
      <c r="E91" s="3008"/>
      <c r="F91" s="3008"/>
      <c r="G91" s="3008"/>
      <c r="H91" s="3008"/>
      <c r="I91" s="3008"/>
      <c r="J91" s="3008"/>
      <c r="K91" s="3008"/>
      <c r="L91" s="3008"/>
      <c r="M91" s="3008"/>
      <c r="N91" s="3008"/>
      <c r="O91" s="3008"/>
      <c r="P91" s="3008"/>
      <c r="Q91" s="3008"/>
      <c r="R91" s="3008"/>
      <c r="S91" s="3008"/>
      <c r="T91" s="3008"/>
      <c r="U91" s="3008"/>
      <c r="V91" s="3008"/>
      <c r="W91" s="3008"/>
      <c r="X91" s="3008"/>
      <c r="Y91" s="3008"/>
      <c r="Z91" s="3008"/>
      <c r="AA91" s="3008"/>
      <c r="AB91" s="3008"/>
      <c r="AC91" s="3008"/>
      <c r="AD91" s="3008"/>
      <c r="AE91" s="3008"/>
      <c r="AF91" s="3008"/>
      <c r="AG91" s="3008"/>
      <c r="AH91" s="3008"/>
      <c r="AI91" s="3008"/>
      <c r="AJ91" s="3008"/>
      <c r="AK91" s="3008"/>
      <c r="AL91" s="3008"/>
      <c r="AM91" s="3008"/>
      <c r="AN91" s="3008"/>
      <c r="AO91" s="3008"/>
      <c r="AP91" s="3008"/>
      <c r="AQ91" s="3008"/>
      <c r="AR91" s="3008"/>
      <c r="AS91" s="3008"/>
      <c r="AT91" s="3008"/>
      <c r="AU91" s="3008"/>
      <c r="AV91" s="3008"/>
      <c r="AW91" s="3008"/>
      <c r="AX91" s="3008"/>
      <c r="AY91" s="3008"/>
      <c r="AZ91" s="3008"/>
    </row>
    <row r="92" spans="3:52" ht="4.95" customHeight="1">
      <c r="C92" s="3008"/>
      <c r="D92" s="3008"/>
      <c r="E92" s="3008"/>
      <c r="F92" s="3008"/>
      <c r="G92" s="3008"/>
      <c r="H92" s="3008"/>
      <c r="I92" s="3008"/>
      <c r="J92" s="3008"/>
      <c r="K92" s="3008"/>
      <c r="L92" s="3008"/>
      <c r="M92" s="3008"/>
      <c r="N92" s="3008"/>
      <c r="O92" s="3008"/>
      <c r="P92" s="3008"/>
      <c r="Q92" s="3008"/>
      <c r="R92" s="3008"/>
      <c r="S92" s="3008"/>
      <c r="T92" s="3008"/>
      <c r="U92" s="3008"/>
      <c r="V92" s="3008"/>
      <c r="W92" s="3008"/>
      <c r="X92" s="3008"/>
      <c r="Y92" s="3008"/>
      <c r="Z92" s="3008"/>
      <c r="AA92" s="3008"/>
      <c r="AB92" s="3008"/>
      <c r="AC92" s="3008"/>
      <c r="AD92" s="3008"/>
      <c r="AE92" s="3008"/>
      <c r="AF92" s="3008"/>
      <c r="AG92" s="3008"/>
      <c r="AH92" s="3008"/>
      <c r="AI92" s="3008"/>
      <c r="AJ92" s="3008"/>
      <c r="AK92" s="3008"/>
      <c r="AL92" s="3008"/>
      <c r="AM92" s="3008"/>
      <c r="AN92" s="3008"/>
      <c r="AO92" s="3008"/>
      <c r="AP92" s="3008"/>
      <c r="AQ92" s="3008"/>
      <c r="AR92" s="3008"/>
      <c r="AS92" s="3008"/>
      <c r="AT92" s="3008"/>
      <c r="AU92" s="3008"/>
      <c r="AV92" s="3008"/>
      <c r="AW92" s="3008"/>
      <c r="AX92" s="3008"/>
      <c r="AY92" s="3008"/>
      <c r="AZ92" s="3008"/>
    </row>
    <row r="93" spans="3:52">
      <c r="C93" s="3008"/>
      <c r="D93" s="3008"/>
      <c r="E93" s="3008"/>
      <c r="F93" s="3008"/>
      <c r="G93" s="3008"/>
      <c r="H93" s="3008"/>
      <c r="I93" s="3008"/>
      <c r="J93" s="3008"/>
      <c r="K93" s="3008"/>
      <c r="L93" s="3008"/>
      <c r="M93" s="3008"/>
      <c r="N93" s="3008"/>
      <c r="O93" s="3008"/>
      <c r="P93" s="3008"/>
      <c r="Q93" s="3008"/>
      <c r="R93" s="3008"/>
      <c r="S93" s="3008"/>
      <c r="T93" s="3008"/>
      <c r="U93" s="3008"/>
      <c r="V93" s="3008"/>
      <c r="W93" s="3008"/>
      <c r="X93" s="3008"/>
      <c r="Y93" s="3008"/>
      <c r="Z93" s="3008"/>
      <c r="AA93" s="3008"/>
      <c r="AB93" s="3008"/>
      <c r="AC93" s="3008"/>
      <c r="AD93" s="3008"/>
      <c r="AE93" s="3008"/>
      <c r="AF93" s="3008"/>
      <c r="AG93" s="3008"/>
      <c r="AH93" s="3008"/>
      <c r="AI93" s="3008"/>
      <c r="AJ93" s="3008"/>
      <c r="AK93" s="3008"/>
      <c r="AL93" s="3008"/>
      <c r="AM93" s="3008"/>
      <c r="AN93" s="3008"/>
      <c r="AO93" s="3008"/>
      <c r="AP93" s="3008"/>
      <c r="AQ93" s="3008"/>
      <c r="AR93" s="3008"/>
      <c r="AS93" s="3008"/>
      <c r="AT93" s="3008"/>
      <c r="AU93" s="3008"/>
      <c r="AV93" s="3008"/>
      <c r="AW93" s="3008"/>
      <c r="AX93" s="3008"/>
      <c r="AY93" s="3008"/>
      <c r="AZ93" s="3008"/>
    </row>
    <row r="94" spans="3:52">
      <c r="C94" s="3008"/>
      <c r="D94" s="3008"/>
      <c r="E94" s="3008"/>
      <c r="F94" s="3008"/>
      <c r="G94" s="3008"/>
      <c r="H94" s="3008"/>
      <c r="I94" s="3008"/>
      <c r="J94" s="3008"/>
      <c r="K94" s="3008"/>
      <c r="L94" s="3008"/>
      <c r="M94" s="3008"/>
      <c r="N94" s="3008"/>
      <c r="O94" s="3008"/>
      <c r="P94" s="3008"/>
      <c r="Q94" s="3008"/>
      <c r="R94" s="3008"/>
      <c r="S94" s="3008"/>
      <c r="T94" s="3008"/>
      <c r="U94" s="3008"/>
      <c r="V94" s="3008"/>
      <c r="W94" s="3008"/>
      <c r="X94" s="3008"/>
      <c r="Y94" s="3008"/>
      <c r="Z94" s="3008"/>
      <c r="AA94" s="3008"/>
      <c r="AB94" s="3008"/>
      <c r="AC94" s="3008"/>
      <c r="AD94" s="3008"/>
      <c r="AE94" s="3008"/>
      <c r="AF94" s="3008"/>
      <c r="AG94" s="3008"/>
      <c r="AH94" s="3008"/>
      <c r="AI94" s="3008"/>
      <c r="AJ94" s="3008"/>
      <c r="AK94" s="3008"/>
      <c r="AL94" s="3008"/>
      <c r="AM94" s="3008"/>
      <c r="AN94" s="3008"/>
      <c r="AO94" s="3008"/>
      <c r="AP94" s="3008"/>
      <c r="AQ94" s="3008"/>
      <c r="AR94" s="3008"/>
      <c r="AS94" s="3008"/>
      <c r="AT94" s="3008"/>
      <c r="AU94" s="3008"/>
      <c r="AV94" s="3008"/>
      <c r="AW94" s="3008"/>
      <c r="AX94" s="3008"/>
      <c r="AY94" s="3008"/>
      <c r="AZ94" s="3008"/>
    </row>
    <row r="95" spans="3:52" ht="18" customHeight="1">
      <c r="C95" s="3008"/>
      <c r="D95" s="3008"/>
      <c r="E95" s="3008"/>
      <c r="F95" s="3008"/>
      <c r="G95" s="3008"/>
      <c r="H95" s="3008"/>
      <c r="I95" s="3008"/>
      <c r="J95" s="3008"/>
      <c r="K95" s="3008"/>
      <c r="L95" s="3008"/>
      <c r="M95" s="3008"/>
      <c r="N95" s="3008"/>
      <c r="O95" s="3008"/>
      <c r="P95" s="3008"/>
      <c r="Q95" s="3008"/>
      <c r="R95" s="3008"/>
      <c r="S95" s="3008"/>
      <c r="T95" s="3008"/>
      <c r="U95" s="3008"/>
      <c r="V95" s="3008"/>
      <c r="W95" s="3008"/>
      <c r="X95" s="3008"/>
      <c r="Y95" s="3008"/>
      <c r="Z95" s="3008"/>
      <c r="AA95" s="3008"/>
      <c r="AB95" s="3008"/>
      <c r="AC95" s="3008"/>
      <c r="AD95" s="3008"/>
      <c r="AE95" s="3008"/>
      <c r="AF95" s="3008"/>
      <c r="AG95" s="3008"/>
      <c r="AH95" s="3008"/>
      <c r="AI95" s="3008"/>
      <c r="AJ95" s="3008"/>
      <c r="AK95" s="3008"/>
      <c r="AL95" s="3008"/>
      <c r="AM95" s="3008"/>
      <c r="AN95" s="3008"/>
      <c r="AO95" s="3008"/>
      <c r="AP95" s="3008"/>
      <c r="AQ95" s="3008"/>
      <c r="AR95" s="3008"/>
      <c r="AS95" s="3008"/>
      <c r="AT95" s="3008"/>
      <c r="AU95" s="3008"/>
      <c r="AV95" s="3008"/>
      <c r="AW95" s="3008"/>
      <c r="AX95" s="3008"/>
      <c r="AY95" s="3008"/>
      <c r="AZ95" s="3008"/>
    </row>
    <row r="96" spans="3:52" ht="10.95" customHeight="1">
      <c r="C96" s="3008"/>
      <c r="D96" s="3008"/>
      <c r="E96" s="3008"/>
      <c r="F96" s="3008"/>
      <c r="G96" s="3008"/>
      <c r="H96" s="3008"/>
      <c r="I96" s="3008"/>
      <c r="J96" s="3008"/>
      <c r="K96" s="3008"/>
      <c r="L96" s="3008"/>
      <c r="M96" s="3008"/>
      <c r="N96" s="3008"/>
      <c r="O96" s="3008"/>
      <c r="P96" s="3008"/>
      <c r="Q96" s="3008"/>
      <c r="R96" s="3008"/>
      <c r="S96" s="3008"/>
      <c r="T96" s="3008"/>
      <c r="U96" s="3008"/>
      <c r="V96" s="3008"/>
      <c r="W96" s="3008"/>
      <c r="X96" s="3008"/>
      <c r="Y96" s="3008"/>
      <c r="Z96" s="3008"/>
      <c r="AA96" s="3008"/>
      <c r="AB96" s="3008"/>
      <c r="AC96" s="3008"/>
      <c r="AD96" s="3008"/>
      <c r="AE96" s="3008"/>
      <c r="AF96" s="3008"/>
      <c r="AG96" s="3008"/>
      <c r="AH96" s="3008"/>
      <c r="AI96" s="3008"/>
      <c r="AJ96" s="3008"/>
      <c r="AK96" s="3008"/>
      <c r="AL96" s="3008"/>
      <c r="AM96" s="3008"/>
      <c r="AN96" s="3008"/>
      <c r="AO96" s="3008"/>
      <c r="AP96" s="3008"/>
      <c r="AQ96" s="3008"/>
      <c r="AR96" s="3008"/>
      <c r="AS96" s="3008"/>
      <c r="AT96" s="3008"/>
      <c r="AU96" s="3008"/>
      <c r="AV96" s="3008"/>
      <c r="AW96" s="3008"/>
      <c r="AX96" s="3008"/>
      <c r="AY96" s="3008"/>
      <c r="AZ96" s="3008"/>
    </row>
    <row r="97" spans="3:52" ht="19.95" customHeight="1">
      <c r="C97" s="3008"/>
      <c r="D97" s="3008"/>
      <c r="E97" s="3008"/>
      <c r="F97" s="3008"/>
      <c r="G97" s="3008"/>
      <c r="H97" s="3008"/>
      <c r="I97" s="3008"/>
      <c r="J97" s="3008"/>
      <c r="K97" s="3008"/>
      <c r="L97" s="3008"/>
      <c r="M97" s="3008"/>
      <c r="N97" s="3008"/>
      <c r="O97" s="3008"/>
      <c r="P97" s="3008"/>
      <c r="Q97" s="3008"/>
      <c r="R97" s="3008"/>
      <c r="S97" s="3008"/>
      <c r="T97" s="3008"/>
      <c r="U97" s="3008"/>
      <c r="V97" s="3008"/>
      <c r="W97" s="3008"/>
      <c r="X97" s="3008"/>
      <c r="Y97" s="3008"/>
      <c r="Z97" s="3008"/>
      <c r="AA97" s="3008"/>
      <c r="AB97" s="3008"/>
      <c r="AC97" s="3008"/>
      <c r="AD97" s="3008"/>
      <c r="AE97" s="3008"/>
      <c r="AF97" s="3008"/>
      <c r="AG97" s="3008"/>
      <c r="AH97" s="3008"/>
      <c r="AI97" s="3008"/>
      <c r="AJ97" s="3008"/>
      <c r="AK97" s="3008"/>
      <c r="AL97" s="3008"/>
      <c r="AM97" s="3008"/>
      <c r="AN97" s="3008"/>
      <c r="AO97" s="3008"/>
      <c r="AP97" s="3008"/>
      <c r="AQ97" s="3008"/>
      <c r="AR97" s="3008"/>
      <c r="AS97" s="3008"/>
      <c r="AT97" s="3008"/>
      <c r="AU97" s="3008"/>
      <c r="AV97" s="3008"/>
      <c r="AW97" s="3008"/>
      <c r="AX97" s="3008"/>
      <c r="AY97" s="3008"/>
      <c r="AZ97" s="3008"/>
    </row>
    <row r="98" spans="3:52">
      <c r="C98" s="3008"/>
      <c r="D98" s="3008"/>
      <c r="E98" s="3008"/>
      <c r="F98" s="3008"/>
      <c r="G98" s="3008"/>
      <c r="H98" s="3008"/>
      <c r="I98" s="3008"/>
      <c r="J98" s="3008"/>
      <c r="K98" s="3008"/>
      <c r="L98" s="3008"/>
      <c r="M98" s="3008"/>
      <c r="N98" s="3008"/>
      <c r="O98" s="3008"/>
      <c r="P98" s="3008"/>
      <c r="Q98" s="3008"/>
      <c r="R98" s="3008"/>
      <c r="S98" s="3008"/>
      <c r="T98" s="3008"/>
      <c r="U98" s="3008"/>
      <c r="V98" s="3008"/>
      <c r="W98" s="3008"/>
      <c r="X98" s="3008"/>
      <c r="Y98" s="3008"/>
      <c r="Z98" s="3008"/>
      <c r="AA98" s="3008"/>
      <c r="AB98" s="3008"/>
      <c r="AC98" s="3008"/>
      <c r="AD98" s="3008"/>
      <c r="AE98" s="3008"/>
      <c r="AF98" s="3008"/>
      <c r="AG98" s="3008"/>
      <c r="AH98" s="3008"/>
      <c r="AI98" s="3008"/>
      <c r="AJ98" s="3008"/>
      <c r="AK98" s="3008"/>
      <c r="AL98" s="3008"/>
      <c r="AM98" s="3008"/>
      <c r="AN98" s="3008"/>
      <c r="AO98" s="3008"/>
      <c r="AP98" s="3008"/>
      <c r="AQ98" s="3008"/>
      <c r="AR98" s="3008"/>
      <c r="AS98" s="3008"/>
      <c r="AT98" s="3008"/>
      <c r="AU98" s="3008"/>
      <c r="AV98" s="3008"/>
      <c r="AW98" s="3008"/>
      <c r="AX98" s="3008"/>
      <c r="AY98" s="3008"/>
      <c r="AZ98" s="3008"/>
    </row>
    <row r="99" spans="3:52" ht="9.6" customHeight="1">
      <c r="C99" s="3008"/>
      <c r="D99" s="3008"/>
      <c r="E99" s="3008"/>
      <c r="F99" s="3008"/>
      <c r="G99" s="3008"/>
      <c r="H99" s="3008"/>
      <c r="I99" s="3008"/>
      <c r="J99" s="3008"/>
      <c r="K99" s="3008"/>
      <c r="L99" s="3008"/>
      <c r="M99" s="3008"/>
      <c r="N99" s="3008"/>
      <c r="O99" s="3008"/>
      <c r="P99" s="3008"/>
      <c r="Q99" s="3008"/>
      <c r="R99" s="3008"/>
      <c r="S99" s="3008"/>
      <c r="T99" s="3008"/>
      <c r="U99" s="3008"/>
      <c r="V99" s="3008"/>
      <c r="W99" s="3008"/>
      <c r="X99" s="3008"/>
      <c r="Y99" s="3008"/>
      <c r="Z99" s="3008"/>
      <c r="AA99" s="3008"/>
      <c r="AB99" s="3008"/>
      <c r="AC99" s="3008"/>
      <c r="AD99" s="3008"/>
      <c r="AE99" s="3008"/>
      <c r="AF99" s="3008"/>
      <c r="AG99" s="3008"/>
      <c r="AH99" s="3008"/>
      <c r="AI99" s="3008"/>
      <c r="AJ99" s="3008"/>
      <c r="AK99" s="3008"/>
      <c r="AL99" s="3008"/>
      <c r="AM99" s="3008"/>
      <c r="AN99" s="3008"/>
      <c r="AO99" s="3008"/>
      <c r="AP99" s="3008"/>
      <c r="AQ99" s="3008"/>
      <c r="AR99" s="3008"/>
      <c r="AS99" s="3008"/>
      <c r="AT99" s="3008"/>
      <c r="AU99" s="3008"/>
      <c r="AV99" s="3008"/>
      <c r="AW99" s="3008"/>
      <c r="AX99" s="3008"/>
      <c r="AY99" s="3008"/>
      <c r="AZ99" s="3008"/>
    </row>
    <row r="100" spans="3:52">
      <c r="C100" s="3008"/>
      <c r="D100" s="3008"/>
      <c r="E100" s="3008"/>
      <c r="F100" s="3008"/>
      <c r="G100" s="3008"/>
      <c r="H100" s="3008"/>
      <c r="I100" s="3008"/>
      <c r="J100" s="3008"/>
      <c r="K100" s="3008"/>
      <c r="L100" s="3008"/>
      <c r="M100" s="3008"/>
      <c r="N100" s="3008"/>
      <c r="O100" s="3008"/>
      <c r="P100" s="3008"/>
      <c r="Q100" s="3008"/>
      <c r="R100" s="3008"/>
      <c r="S100" s="3008"/>
      <c r="T100" s="3008"/>
      <c r="U100" s="3008"/>
      <c r="V100" s="3008"/>
      <c r="W100" s="3008"/>
      <c r="X100" s="3008"/>
      <c r="Y100" s="3008"/>
      <c r="Z100" s="3008"/>
      <c r="AA100" s="3008"/>
      <c r="AB100" s="3008"/>
      <c r="AC100" s="3008"/>
      <c r="AD100" s="3008"/>
      <c r="AE100" s="3008"/>
      <c r="AF100" s="3008"/>
      <c r="AG100" s="3008"/>
      <c r="AH100" s="3008"/>
      <c r="AI100" s="3008"/>
      <c r="AJ100" s="3008"/>
      <c r="AK100" s="3008"/>
      <c r="AL100" s="3008"/>
      <c r="AM100" s="3008"/>
      <c r="AN100" s="3008"/>
      <c r="AO100" s="3008"/>
      <c r="AP100" s="3008"/>
      <c r="AQ100" s="3008"/>
      <c r="AR100" s="3008"/>
      <c r="AS100" s="3008"/>
      <c r="AT100" s="3008"/>
      <c r="AU100" s="3008"/>
      <c r="AV100" s="3008"/>
      <c r="AW100" s="3008"/>
      <c r="AX100" s="3008"/>
      <c r="AY100" s="3008"/>
      <c r="AZ100" s="3008"/>
    </row>
    <row r="101" spans="3:52" ht="6.75" customHeight="1">
      <c r="C101" s="3008"/>
      <c r="D101" s="3008"/>
      <c r="E101" s="3008"/>
      <c r="F101" s="3008"/>
      <c r="G101" s="3008"/>
      <c r="H101" s="3008"/>
      <c r="I101" s="3008"/>
      <c r="J101" s="3008"/>
      <c r="K101" s="3008"/>
      <c r="L101" s="3008"/>
      <c r="M101" s="3008"/>
      <c r="N101" s="3008"/>
      <c r="O101" s="3008"/>
      <c r="P101" s="3008"/>
      <c r="Q101" s="3008"/>
      <c r="R101" s="3008"/>
      <c r="S101" s="3008"/>
      <c r="T101" s="3008"/>
      <c r="U101" s="3008"/>
      <c r="V101" s="3008"/>
      <c r="W101" s="3008"/>
      <c r="X101" s="3008"/>
      <c r="Y101" s="3008"/>
      <c r="Z101" s="3008"/>
      <c r="AA101" s="3008"/>
      <c r="AB101" s="3008"/>
      <c r="AC101" s="3008"/>
      <c r="AD101" s="3008"/>
      <c r="AE101" s="3008"/>
      <c r="AF101" s="3008"/>
      <c r="AG101" s="3008"/>
      <c r="AH101" s="3008"/>
      <c r="AI101" s="3008"/>
      <c r="AJ101" s="3008"/>
      <c r="AK101" s="3008"/>
      <c r="AL101" s="3008"/>
      <c r="AM101" s="3008"/>
      <c r="AN101" s="3008"/>
      <c r="AO101" s="3008"/>
      <c r="AP101" s="3008"/>
      <c r="AQ101" s="3008"/>
      <c r="AR101" s="3008"/>
      <c r="AS101" s="3008"/>
      <c r="AT101" s="3008"/>
      <c r="AU101" s="3008"/>
      <c r="AV101" s="3008"/>
      <c r="AW101" s="3008"/>
      <c r="AX101" s="3008"/>
      <c r="AY101" s="3008"/>
      <c r="AZ101" s="3008"/>
    </row>
    <row r="102" spans="3:52">
      <c r="C102" s="3008"/>
      <c r="D102" s="3008"/>
      <c r="E102" s="3008"/>
      <c r="F102" s="3008"/>
      <c r="G102" s="3008"/>
      <c r="H102" s="3008"/>
      <c r="I102" s="3008"/>
      <c r="J102" s="3008"/>
      <c r="K102" s="3008"/>
      <c r="L102" s="3008"/>
      <c r="M102" s="3008"/>
      <c r="N102" s="3008"/>
      <c r="O102" s="3008"/>
      <c r="P102" s="3008"/>
      <c r="Q102" s="3008"/>
      <c r="R102" s="3008"/>
      <c r="S102" s="3008"/>
      <c r="T102" s="3008"/>
      <c r="U102" s="3008"/>
      <c r="V102" s="3008"/>
      <c r="W102" s="3008"/>
      <c r="X102" s="3008"/>
      <c r="Y102" s="3008"/>
      <c r="Z102" s="3008"/>
      <c r="AA102" s="3008"/>
      <c r="AB102" s="3008"/>
      <c r="AC102" s="3008"/>
      <c r="AD102" s="3008"/>
      <c r="AE102" s="3008"/>
      <c r="AF102" s="3008"/>
      <c r="AG102" s="3008"/>
      <c r="AH102" s="3008"/>
      <c r="AI102" s="3008"/>
      <c r="AJ102" s="3008"/>
      <c r="AK102" s="3008"/>
      <c r="AL102" s="3008"/>
      <c r="AM102" s="3008"/>
      <c r="AN102" s="3008"/>
      <c r="AO102" s="3008"/>
      <c r="AP102" s="3008"/>
      <c r="AQ102" s="3008"/>
      <c r="AR102" s="3008"/>
      <c r="AS102" s="3008"/>
      <c r="AT102" s="3008"/>
      <c r="AU102" s="3008"/>
      <c r="AV102" s="3008"/>
      <c r="AW102" s="3008"/>
      <c r="AX102" s="3008"/>
      <c r="AY102" s="3008"/>
      <c r="AZ102" s="3008"/>
    </row>
    <row r="103" spans="3:52">
      <c r="C103" s="3008"/>
      <c r="D103" s="3008"/>
      <c r="E103" s="3008"/>
      <c r="F103" s="3008"/>
      <c r="G103" s="3008"/>
      <c r="H103" s="3008"/>
      <c r="I103" s="3008"/>
      <c r="J103" s="3008"/>
      <c r="K103" s="3008"/>
      <c r="L103" s="3008"/>
      <c r="M103" s="3008"/>
      <c r="N103" s="3008"/>
      <c r="O103" s="3008"/>
      <c r="P103" s="3008"/>
      <c r="Q103" s="3008"/>
      <c r="R103" s="3008"/>
      <c r="S103" s="3008"/>
      <c r="T103" s="3008"/>
      <c r="U103" s="3008"/>
      <c r="V103" s="3008"/>
      <c r="W103" s="3008"/>
      <c r="X103" s="3008"/>
      <c r="Y103" s="3008"/>
      <c r="Z103" s="3008"/>
      <c r="AA103" s="3008"/>
      <c r="AB103" s="3008"/>
      <c r="AC103" s="3008"/>
      <c r="AD103" s="3008"/>
      <c r="AE103" s="3008"/>
      <c r="AF103" s="3008"/>
      <c r="AG103" s="3008"/>
      <c r="AH103" s="3008"/>
      <c r="AI103" s="3008"/>
      <c r="AJ103" s="3008"/>
      <c r="AK103" s="3008"/>
      <c r="AL103" s="3008"/>
      <c r="AM103" s="3008"/>
      <c r="AN103" s="3008"/>
      <c r="AO103" s="3008"/>
      <c r="AP103" s="3008"/>
      <c r="AQ103" s="3008"/>
      <c r="AR103" s="3008"/>
      <c r="AS103" s="3008"/>
      <c r="AT103" s="3008"/>
      <c r="AU103" s="3008"/>
      <c r="AV103" s="3008"/>
      <c r="AW103" s="3008"/>
      <c r="AX103" s="3008"/>
      <c r="AY103" s="3008"/>
      <c r="AZ103" s="3008"/>
    </row>
    <row r="104" spans="3:52">
      <c r="C104" s="3008"/>
      <c r="D104" s="3008"/>
      <c r="E104" s="3008"/>
      <c r="F104" s="3008"/>
      <c r="G104" s="3008"/>
      <c r="H104" s="3008"/>
      <c r="I104" s="3008"/>
      <c r="J104" s="3008"/>
      <c r="K104" s="3008"/>
      <c r="L104" s="3008"/>
      <c r="M104" s="3008"/>
      <c r="N104" s="3008"/>
      <c r="O104" s="3008"/>
      <c r="P104" s="3008"/>
      <c r="Q104" s="3008"/>
      <c r="R104" s="3008"/>
      <c r="S104" s="3008"/>
      <c r="T104" s="3008"/>
      <c r="U104" s="3008"/>
      <c r="V104" s="3008"/>
      <c r="W104" s="3008"/>
      <c r="X104" s="3008"/>
      <c r="Y104" s="3008"/>
      <c r="Z104" s="3008"/>
      <c r="AA104" s="3008"/>
      <c r="AB104" s="3008"/>
      <c r="AC104" s="3008"/>
      <c r="AD104" s="3008"/>
      <c r="AE104" s="3008"/>
      <c r="AF104" s="3008"/>
      <c r="AG104" s="3008"/>
      <c r="AH104" s="3008"/>
      <c r="AI104" s="3008"/>
      <c r="AJ104" s="3008"/>
      <c r="AK104" s="3008"/>
      <c r="AL104" s="3008"/>
      <c r="AM104" s="3008"/>
      <c r="AN104" s="3008"/>
      <c r="AO104" s="3008"/>
      <c r="AP104" s="3008"/>
      <c r="AQ104" s="3008"/>
      <c r="AR104" s="3008"/>
      <c r="AS104" s="3008"/>
      <c r="AT104" s="3008"/>
      <c r="AU104" s="3008"/>
      <c r="AV104" s="3008"/>
      <c r="AW104" s="3008"/>
      <c r="AX104" s="3008"/>
      <c r="AY104" s="3008"/>
      <c r="AZ104" s="3008"/>
    </row>
    <row r="105" spans="3:52">
      <c r="C105" s="3008"/>
      <c r="D105" s="3008"/>
      <c r="E105" s="3008"/>
      <c r="F105" s="3008"/>
      <c r="G105" s="3008"/>
      <c r="H105" s="3008"/>
      <c r="I105" s="3008"/>
      <c r="J105" s="3008"/>
      <c r="K105" s="3008"/>
      <c r="L105" s="3008"/>
      <c r="M105" s="3008"/>
      <c r="N105" s="3008"/>
      <c r="O105" s="3008"/>
      <c r="P105" s="3008"/>
      <c r="Q105" s="3008"/>
      <c r="R105" s="3008"/>
      <c r="S105" s="3008"/>
      <c r="T105" s="3008"/>
      <c r="U105" s="3008"/>
      <c r="V105" s="3008"/>
      <c r="W105" s="3008"/>
      <c r="X105" s="3008"/>
      <c r="Y105" s="3008"/>
      <c r="Z105" s="3008"/>
      <c r="AA105" s="3008"/>
      <c r="AB105" s="3008"/>
      <c r="AC105" s="3008"/>
      <c r="AD105" s="3008"/>
      <c r="AE105" s="3008"/>
      <c r="AF105" s="3008"/>
      <c r="AG105" s="3008"/>
      <c r="AH105" s="3008"/>
      <c r="AI105" s="3008"/>
      <c r="AJ105" s="3008"/>
      <c r="AK105" s="3008"/>
      <c r="AL105" s="3008"/>
      <c r="AM105" s="3008"/>
      <c r="AN105" s="3008"/>
      <c r="AO105" s="3008"/>
      <c r="AP105" s="3008"/>
      <c r="AQ105" s="3008"/>
      <c r="AR105" s="3008"/>
      <c r="AS105" s="3008"/>
      <c r="AT105" s="3008"/>
      <c r="AU105" s="3008"/>
      <c r="AV105" s="3008"/>
      <c r="AW105" s="3008"/>
      <c r="AX105" s="3008"/>
      <c r="AY105" s="3008"/>
      <c r="AZ105" s="3008"/>
    </row>
    <row r="106" spans="3:52">
      <c r="C106" s="3008"/>
      <c r="D106" s="3008"/>
      <c r="E106" s="3008"/>
      <c r="F106" s="3008"/>
      <c r="G106" s="3008"/>
      <c r="H106" s="3008"/>
      <c r="I106" s="3008"/>
      <c r="J106" s="3008"/>
      <c r="K106" s="3008"/>
      <c r="L106" s="3008"/>
      <c r="M106" s="3008"/>
      <c r="N106" s="3008"/>
      <c r="O106" s="3008"/>
      <c r="P106" s="3008"/>
      <c r="Q106" s="3008"/>
      <c r="R106" s="3008"/>
      <c r="S106" s="3008"/>
      <c r="T106" s="3008"/>
      <c r="U106" s="3008"/>
      <c r="V106" s="3008"/>
      <c r="W106" s="3008"/>
      <c r="X106" s="3008"/>
      <c r="Y106" s="3008"/>
      <c r="Z106" s="3008"/>
      <c r="AA106" s="3008"/>
      <c r="AB106" s="3008"/>
      <c r="AC106" s="3008"/>
      <c r="AD106" s="3008"/>
      <c r="AE106" s="3008"/>
      <c r="AF106" s="3008"/>
      <c r="AG106" s="3008"/>
      <c r="AH106" s="3008"/>
      <c r="AI106" s="3008"/>
      <c r="AJ106" s="3008"/>
      <c r="AK106" s="3008"/>
      <c r="AL106" s="3008"/>
      <c r="AM106" s="3008"/>
      <c r="AN106" s="3008"/>
      <c r="AO106" s="3008"/>
      <c r="AP106" s="3008"/>
      <c r="AQ106" s="3008"/>
      <c r="AR106" s="3008"/>
      <c r="AS106" s="3008"/>
      <c r="AT106" s="3008"/>
      <c r="AU106" s="3008"/>
      <c r="AV106" s="3008"/>
      <c r="AW106" s="3008"/>
      <c r="AX106" s="3008"/>
      <c r="AY106" s="3008"/>
      <c r="AZ106" s="3008"/>
    </row>
    <row r="107" spans="3:52">
      <c r="C107" s="3008"/>
      <c r="D107" s="3008"/>
      <c r="E107" s="3008"/>
      <c r="F107" s="3008"/>
      <c r="G107" s="3008"/>
      <c r="H107" s="3008"/>
      <c r="I107" s="3008"/>
      <c r="J107" s="3008"/>
      <c r="K107" s="3008"/>
      <c r="L107" s="3008"/>
      <c r="M107" s="3008"/>
      <c r="N107" s="3008"/>
      <c r="O107" s="3008"/>
      <c r="P107" s="3008"/>
      <c r="Q107" s="3008"/>
      <c r="R107" s="3008"/>
      <c r="S107" s="3008"/>
      <c r="T107" s="3008"/>
      <c r="U107" s="3008"/>
      <c r="V107" s="3008"/>
      <c r="W107" s="3008"/>
      <c r="X107" s="3008"/>
      <c r="Y107" s="3008"/>
      <c r="Z107" s="3008"/>
      <c r="AA107" s="3008"/>
      <c r="AB107" s="3008"/>
      <c r="AC107" s="3008"/>
      <c r="AD107" s="3008"/>
      <c r="AE107" s="3008"/>
      <c r="AF107" s="3008"/>
      <c r="AG107" s="3008"/>
      <c r="AH107" s="3008"/>
      <c r="AI107" s="3008"/>
      <c r="AJ107" s="3008"/>
      <c r="AK107" s="3008"/>
      <c r="AL107" s="3008"/>
      <c r="AM107" s="3008"/>
      <c r="AN107" s="3008"/>
      <c r="AO107" s="3008"/>
      <c r="AP107" s="3008"/>
      <c r="AQ107" s="3008"/>
      <c r="AR107" s="3008"/>
      <c r="AS107" s="3008"/>
      <c r="AT107" s="3008"/>
      <c r="AU107" s="3008"/>
      <c r="AV107" s="3008"/>
      <c r="AW107" s="3008"/>
      <c r="AX107" s="3008"/>
      <c r="AY107" s="3008"/>
      <c r="AZ107" s="3008"/>
    </row>
    <row r="108" spans="3:52">
      <c r="C108" s="3008"/>
      <c r="D108" s="3008"/>
      <c r="E108" s="3008"/>
      <c r="F108" s="3008"/>
      <c r="G108" s="3008"/>
      <c r="H108" s="3008"/>
      <c r="I108" s="3008"/>
      <c r="J108" s="3008"/>
      <c r="K108" s="3008"/>
      <c r="L108" s="3008"/>
      <c r="M108" s="3008"/>
      <c r="N108" s="3008"/>
      <c r="O108" s="3008"/>
      <c r="P108" s="3008"/>
      <c r="Q108" s="3008"/>
      <c r="R108" s="3008"/>
      <c r="S108" s="3008"/>
      <c r="T108" s="3008"/>
      <c r="U108" s="3008"/>
      <c r="V108" s="3008"/>
      <c r="W108" s="3008"/>
      <c r="X108" s="3008"/>
      <c r="Y108" s="3008"/>
      <c r="Z108" s="3008"/>
      <c r="AA108" s="3008"/>
      <c r="AB108" s="3008"/>
      <c r="AC108" s="3008"/>
      <c r="AD108" s="3008"/>
      <c r="AE108" s="3008"/>
      <c r="AF108" s="3008"/>
      <c r="AG108" s="3008"/>
      <c r="AH108" s="3008"/>
      <c r="AI108" s="3008"/>
      <c r="AJ108" s="3008"/>
      <c r="AK108" s="3008"/>
      <c r="AL108" s="3008"/>
      <c r="AM108" s="3008"/>
      <c r="AN108" s="3008"/>
      <c r="AO108" s="3008"/>
      <c r="AP108" s="3008"/>
      <c r="AQ108" s="3008"/>
      <c r="AR108" s="3008"/>
      <c r="AS108" s="3008"/>
      <c r="AT108" s="3008"/>
      <c r="AU108" s="3008"/>
      <c r="AV108" s="3008"/>
      <c r="AW108" s="3008"/>
      <c r="AX108" s="3008"/>
      <c r="AY108" s="3008"/>
      <c r="AZ108" s="3008"/>
    </row>
    <row r="109" spans="3:52">
      <c r="C109" s="3008"/>
      <c r="D109" s="3008"/>
      <c r="E109" s="3008"/>
      <c r="F109" s="3008"/>
      <c r="G109" s="3008"/>
      <c r="H109" s="3008"/>
      <c r="I109" s="3008"/>
      <c r="J109" s="3008"/>
      <c r="K109" s="3008"/>
      <c r="L109" s="3008"/>
      <c r="M109" s="3008"/>
      <c r="N109" s="3008"/>
      <c r="O109" s="3008"/>
      <c r="P109" s="3008"/>
      <c r="Q109" s="3008"/>
      <c r="R109" s="3008"/>
      <c r="S109" s="3008"/>
      <c r="T109" s="3008"/>
      <c r="U109" s="3008"/>
      <c r="V109" s="3008"/>
      <c r="W109" s="3008"/>
      <c r="X109" s="3008"/>
      <c r="Y109" s="3008"/>
      <c r="Z109" s="3008"/>
      <c r="AA109" s="3008"/>
      <c r="AB109" s="3008"/>
      <c r="AC109" s="3008"/>
      <c r="AD109" s="3008"/>
      <c r="AE109" s="3008"/>
      <c r="AF109" s="3008"/>
      <c r="AG109" s="3008"/>
      <c r="AH109" s="3008"/>
      <c r="AI109" s="3008"/>
      <c r="AJ109" s="3008"/>
      <c r="AK109" s="3008"/>
      <c r="AL109" s="3008"/>
      <c r="AM109" s="3008"/>
      <c r="AN109" s="3008"/>
      <c r="AO109" s="3008"/>
      <c r="AP109" s="3008"/>
      <c r="AQ109" s="3008"/>
      <c r="AR109" s="3008"/>
      <c r="AS109" s="3008"/>
      <c r="AT109" s="3008"/>
      <c r="AU109" s="3008"/>
      <c r="AV109" s="3008"/>
      <c r="AW109" s="3008"/>
      <c r="AX109" s="3008"/>
      <c r="AY109" s="3008"/>
      <c r="AZ109" s="3008"/>
    </row>
    <row r="110" spans="3:52">
      <c r="C110" s="3008"/>
      <c r="D110" s="3008"/>
      <c r="E110" s="3008"/>
      <c r="F110" s="3008"/>
      <c r="G110" s="3008"/>
      <c r="H110" s="3008"/>
      <c r="I110" s="3008"/>
      <c r="J110" s="3008"/>
      <c r="K110" s="3008"/>
      <c r="L110" s="3008"/>
      <c r="M110" s="3008"/>
      <c r="N110" s="3008"/>
      <c r="O110" s="3008"/>
      <c r="P110" s="3008"/>
      <c r="Q110" s="3008"/>
      <c r="R110" s="3008"/>
      <c r="S110" s="3008"/>
      <c r="T110" s="3008"/>
      <c r="U110" s="3008"/>
      <c r="V110" s="3008"/>
      <c r="W110" s="3008"/>
      <c r="X110" s="3008"/>
      <c r="Y110" s="3008"/>
      <c r="Z110" s="3008"/>
      <c r="AA110" s="3008"/>
      <c r="AB110" s="3008"/>
      <c r="AC110" s="3008"/>
      <c r="AD110" s="3008"/>
      <c r="AE110" s="3008"/>
      <c r="AF110" s="3008"/>
      <c r="AG110" s="3008"/>
      <c r="AH110" s="3008"/>
      <c r="AI110" s="3008"/>
      <c r="AJ110" s="3008"/>
      <c r="AK110" s="3008"/>
      <c r="AL110" s="3008"/>
      <c r="AM110" s="3008"/>
      <c r="AN110" s="3008"/>
      <c r="AO110" s="3008"/>
      <c r="AP110" s="3008"/>
      <c r="AQ110" s="3008"/>
      <c r="AR110" s="3008"/>
      <c r="AS110" s="3008"/>
      <c r="AT110" s="3008"/>
      <c r="AU110" s="3008"/>
      <c r="AV110" s="3008"/>
      <c r="AW110" s="3008"/>
      <c r="AX110" s="3008"/>
      <c r="AY110" s="3008"/>
      <c r="AZ110" s="3008"/>
    </row>
    <row r="111" spans="3:52">
      <c r="C111" s="3008"/>
      <c r="D111" s="3008"/>
      <c r="E111" s="3008"/>
      <c r="F111" s="3008"/>
      <c r="G111" s="3008"/>
      <c r="H111" s="3008"/>
      <c r="I111" s="3008"/>
      <c r="J111" s="3008"/>
      <c r="K111" s="3008"/>
      <c r="L111" s="3008"/>
      <c r="M111" s="3008"/>
      <c r="N111" s="3008"/>
      <c r="O111" s="3008"/>
      <c r="P111" s="3008"/>
      <c r="Q111" s="3008"/>
      <c r="R111" s="3008"/>
      <c r="S111" s="3008"/>
      <c r="T111" s="3008"/>
      <c r="U111" s="3008"/>
      <c r="V111" s="3008"/>
      <c r="W111" s="3008"/>
      <c r="X111" s="3008"/>
      <c r="Y111" s="3008"/>
      <c r="Z111" s="3008"/>
      <c r="AA111" s="3008"/>
      <c r="AB111" s="3008"/>
      <c r="AC111" s="3008"/>
      <c r="AD111" s="3008"/>
      <c r="AE111" s="3008"/>
      <c r="AF111" s="3008"/>
      <c r="AG111" s="3008"/>
      <c r="AH111" s="3008"/>
      <c r="AI111" s="3008"/>
      <c r="AJ111" s="3008"/>
      <c r="AK111" s="3008"/>
      <c r="AL111" s="3008"/>
      <c r="AM111" s="3008"/>
      <c r="AN111" s="3008"/>
      <c r="AO111" s="3008"/>
      <c r="AP111" s="3008"/>
      <c r="AQ111" s="3008"/>
      <c r="AR111" s="3008"/>
      <c r="AS111" s="3008"/>
      <c r="AT111" s="3008"/>
      <c r="AU111" s="3008"/>
      <c r="AV111" s="3008"/>
      <c r="AW111" s="3008"/>
      <c r="AX111" s="3008"/>
      <c r="AY111" s="3008"/>
      <c r="AZ111" s="3008"/>
    </row>
    <row r="112" spans="3:52">
      <c r="C112" s="3008"/>
      <c r="D112" s="3008"/>
      <c r="E112" s="3008"/>
      <c r="F112" s="3008"/>
      <c r="G112" s="3008"/>
      <c r="H112" s="3008"/>
      <c r="I112" s="3008"/>
      <c r="J112" s="3008"/>
      <c r="K112" s="3008"/>
      <c r="L112" s="3008"/>
      <c r="M112" s="3008"/>
      <c r="N112" s="3008"/>
      <c r="O112" s="3008"/>
      <c r="P112" s="3008"/>
      <c r="Q112" s="3008"/>
      <c r="R112" s="3008"/>
      <c r="S112" s="3008"/>
      <c r="T112" s="3008"/>
      <c r="U112" s="3008"/>
      <c r="V112" s="3008"/>
      <c r="W112" s="3008"/>
      <c r="X112" s="3008"/>
      <c r="Y112" s="3008"/>
      <c r="Z112" s="3008"/>
      <c r="AA112" s="3008"/>
      <c r="AB112" s="3008"/>
      <c r="AC112" s="3008"/>
      <c r="AD112" s="3008"/>
      <c r="AE112" s="3008"/>
      <c r="AF112" s="3008"/>
      <c r="AG112" s="3008"/>
      <c r="AH112" s="3008"/>
      <c r="AI112" s="3008"/>
      <c r="AJ112" s="3008"/>
      <c r="AK112" s="3008"/>
      <c r="AL112" s="3008"/>
      <c r="AM112" s="3008"/>
      <c r="AN112" s="3008"/>
      <c r="AO112" s="3008"/>
      <c r="AP112" s="3008"/>
      <c r="AQ112" s="3008"/>
      <c r="AR112" s="3008"/>
      <c r="AS112" s="3008"/>
      <c r="AT112" s="3008"/>
      <c r="AU112" s="3008"/>
      <c r="AV112" s="3008"/>
      <c r="AW112" s="3008"/>
      <c r="AX112" s="3008"/>
      <c r="AY112" s="3008"/>
      <c r="AZ112" s="3008"/>
    </row>
    <row r="113" spans="3:52" ht="4.95" customHeight="1">
      <c r="C113" s="3008"/>
      <c r="D113" s="3008"/>
      <c r="E113" s="3008"/>
      <c r="F113" s="3008"/>
      <c r="G113" s="3008"/>
      <c r="H113" s="3008"/>
      <c r="I113" s="3008"/>
      <c r="J113" s="3008"/>
      <c r="K113" s="3008"/>
      <c r="L113" s="3008"/>
      <c r="M113" s="3008"/>
      <c r="N113" s="3008"/>
      <c r="O113" s="3008"/>
      <c r="P113" s="3008"/>
      <c r="Q113" s="3008"/>
      <c r="R113" s="3008"/>
      <c r="S113" s="3008"/>
      <c r="T113" s="3008"/>
      <c r="U113" s="3008"/>
      <c r="V113" s="3008"/>
      <c r="W113" s="3008"/>
      <c r="X113" s="3008"/>
      <c r="Y113" s="3008"/>
      <c r="Z113" s="3008"/>
      <c r="AA113" s="3008"/>
      <c r="AB113" s="3008"/>
      <c r="AC113" s="3008"/>
      <c r="AD113" s="3008"/>
      <c r="AE113" s="3008"/>
      <c r="AF113" s="3008"/>
      <c r="AG113" s="3008"/>
      <c r="AH113" s="3008"/>
      <c r="AI113" s="3008"/>
      <c r="AJ113" s="3008"/>
      <c r="AK113" s="3008"/>
      <c r="AL113" s="3008"/>
      <c r="AM113" s="3008"/>
      <c r="AN113" s="3008"/>
      <c r="AO113" s="3008"/>
      <c r="AP113" s="3008"/>
      <c r="AQ113" s="3008"/>
      <c r="AR113" s="3008"/>
      <c r="AS113" s="3008"/>
      <c r="AT113" s="3008"/>
      <c r="AU113" s="3008"/>
      <c r="AV113" s="3008"/>
      <c r="AW113" s="3008"/>
      <c r="AX113" s="3008"/>
      <c r="AY113" s="3008"/>
      <c r="AZ113" s="3008"/>
    </row>
    <row r="114" spans="3:52">
      <c r="C114" s="3008"/>
      <c r="D114" s="3008"/>
      <c r="E114" s="3008"/>
      <c r="F114" s="3008"/>
      <c r="G114" s="3008"/>
      <c r="H114" s="3008"/>
      <c r="I114" s="3008"/>
      <c r="J114" s="3008"/>
      <c r="K114" s="3008"/>
      <c r="L114" s="3008"/>
      <c r="M114" s="3008"/>
      <c r="N114" s="3008"/>
      <c r="O114" s="3008"/>
      <c r="P114" s="3008"/>
      <c r="Q114" s="3008"/>
      <c r="R114" s="3008"/>
      <c r="S114" s="3008"/>
      <c r="T114" s="3008"/>
      <c r="U114" s="3008"/>
      <c r="V114" s="3008"/>
      <c r="W114" s="3008"/>
      <c r="X114" s="3008"/>
      <c r="Y114" s="3008"/>
      <c r="Z114" s="3008"/>
      <c r="AA114" s="3008"/>
      <c r="AB114" s="3008"/>
      <c r="AC114" s="3008"/>
      <c r="AD114" s="3008"/>
      <c r="AE114" s="3008"/>
      <c r="AF114" s="3008"/>
      <c r="AG114" s="3008"/>
      <c r="AH114" s="3008"/>
      <c r="AI114" s="3008"/>
      <c r="AJ114" s="3008"/>
      <c r="AK114" s="3008"/>
      <c r="AL114" s="3008"/>
      <c r="AM114" s="3008"/>
      <c r="AN114" s="3008"/>
      <c r="AO114" s="3008"/>
      <c r="AP114" s="3008"/>
      <c r="AQ114" s="3008"/>
      <c r="AR114" s="3008"/>
      <c r="AS114" s="3008"/>
      <c r="AT114" s="3008"/>
      <c r="AU114" s="3008"/>
      <c r="AV114" s="3008"/>
      <c r="AW114" s="3008"/>
      <c r="AX114" s="3008"/>
      <c r="AY114" s="3008"/>
      <c r="AZ114" s="3008"/>
    </row>
    <row r="115" spans="3:52" ht="8.85" customHeight="1">
      <c r="C115" s="3008"/>
      <c r="D115" s="3008"/>
      <c r="E115" s="3008"/>
      <c r="F115" s="3008"/>
      <c r="G115" s="3008"/>
      <c r="H115" s="3008"/>
      <c r="I115" s="3008"/>
      <c r="J115" s="3008"/>
      <c r="K115" s="3008"/>
      <c r="L115" s="3008"/>
      <c r="M115" s="3008"/>
      <c r="N115" s="3008"/>
      <c r="O115" s="3008"/>
      <c r="P115" s="3008"/>
      <c r="Q115" s="3008"/>
      <c r="R115" s="3008"/>
      <c r="S115" s="3008"/>
      <c r="T115" s="3008"/>
      <c r="U115" s="3008"/>
      <c r="V115" s="3008"/>
      <c r="W115" s="3008"/>
      <c r="X115" s="3008"/>
      <c r="Y115" s="3008"/>
      <c r="Z115" s="3008"/>
      <c r="AA115" s="3008"/>
      <c r="AB115" s="3008"/>
      <c r="AC115" s="3008"/>
      <c r="AD115" s="3008"/>
      <c r="AE115" s="3008"/>
      <c r="AF115" s="3008"/>
      <c r="AG115" s="3008"/>
      <c r="AH115" s="3008"/>
      <c r="AI115" s="3008"/>
      <c r="AJ115" s="3008"/>
      <c r="AK115" s="3008"/>
      <c r="AL115" s="3008"/>
      <c r="AM115" s="3008"/>
      <c r="AN115" s="3008"/>
      <c r="AO115" s="3008"/>
      <c r="AP115" s="3008"/>
      <c r="AQ115" s="3008"/>
      <c r="AR115" s="3008"/>
      <c r="AS115" s="3008"/>
      <c r="AT115" s="3008"/>
      <c r="AU115" s="3008"/>
      <c r="AV115" s="3008"/>
      <c r="AW115" s="3008"/>
      <c r="AX115" s="3008"/>
      <c r="AY115" s="3008"/>
      <c r="AZ115" s="3008"/>
    </row>
    <row r="116" spans="3:52">
      <c r="C116" s="3008"/>
      <c r="D116" s="3008"/>
      <c r="E116" s="3008"/>
      <c r="F116" s="3008"/>
      <c r="G116" s="3008"/>
      <c r="H116" s="3008"/>
      <c r="I116" s="3008"/>
      <c r="J116" s="3008"/>
      <c r="K116" s="3008"/>
      <c r="L116" s="3008"/>
      <c r="M116" s="3008"/>
      <c r="N116" s="3008"/>
      <c r="O116" s="3008"/>
      <c r="P116" s="3008"/>
      <c r="Q116" s="3008"/>
      <c r="R116" s="3008"/>
      <c r="S116" s="3008"/>
      <c r="T116" s="3008"/>
      <c r="U116" s="3008"/>
      <c r="V116" s="3008"/>
      <c r="W116" s="3008"/>
      <c r="X116" s="3008"/>
      <c r="Y116" s="3008"/>
      <c r="Z116" s="3008"/>
      <c r="AA116" s="3008"/>
      <c r="AB116" s="3008"/>
      <c r="AC116" s="3008"/>
      <c r="AD116" s="3008"/>
      <c r="AE116" s="3008"/>
      <c r="AF116" s="3008"/>
      <c r="AG116" s="3008"/>
      <c r="AH116" s="3008"/>
      <c r="AI116" s="3008"/>
      <c r="AJ116" s="3008"/>
      <c r="AK116" s="3008"/>
      <c r="AL116" s="3008"/>
      <c r="AM116" s="3008"/>
      <c r="AN116" s="3008"/>
      <c r="AO116" s="3008"/>
      <c r="AP116" s="3008"/>
      <c r="AQ116" s="3008"/>
      <c r="AR116" s="3008"/>
      <c r="AS116" s="3008"/>
      <c r="AT116" s="3008"/>
      <c r="AU116" s="3008"/>
      <c r="AV116" s="3008"/>
      <c r="AW116" s="3008"/>
      <c r="AX116" s="3008"/>
      <c r="AY116" s="3008"/>
      <c r="AZ116" s="3008"/>
    </row>
    <row r="117" spans="3:52" ht="21" hidden="1" customHeight="1" thickBot="1">
      <c r="C117" s="3008"/>
      <c r="D117" s="3008"/>
      <c r="E117" s="3008"/>
      <c r="F117" s="3008"/>
      <c r="G117" s="3008"/>
      <c r="H117" s="3008"/>
      <c r="I117" s="3008"/>
      <c r="J117" s="3008"/>
      <c r="K117" s="3008"/>
      <c r="L117" s="3008"/>
      <c r="M117" s="3008"/>
      <c r="N117" s="3008"/>
      <c r="O117" s="3008"/>
      <c r="P117" s="3008"/>
      <c r="Q117" s="3008"/>
      <c r="R117" s="3008"/>
      <c r="S117" s="3008"/>
      <c r="T117" s="3008"/>
      <c r="U117" s="3008"/>
      <c r="V117" s="3008"/>
      <c r="W117" s="3008"/>
      <c r="X117" s="3008"/>
      <c r="Y117" s="3008"/>
      <c r="Z117" s="3008"/>
      <c r="AA117" s="3008"/>
      <c r="AB117" s="3008"/>
      <c r="AC117" s="3008"/>
      <c r="AD117" s="3008"/>
      <c r="AE117" s="3008"/>
      <c r="AF117" s="3008"/>
      <c r="AG117" s="3008"/>
      <c r="AH117" s="3008"/>
      <c r="AI117" s="3008"/>
      <c r="AJ117" s="3008"/>
      <c r="AK117" s="3008"/>
      <c r="AL117" s="3008"/>
      <c r="AM117" s="3008"/>
      <c r="AN117" s="3008"/>
      <c r="AO117" s="3008"/>
      <c r="AP117" s="3008"/>
      <c r="AQ117" s="3008"/>
      <c r="AR117" s="3008"/>
      <c r="AS117" s="3008"/>
      <c r="AT117" s="3008"/>
      <c r="AU117" s="3008"/>
      <c r="AV117" s="3008"/>
      <c r="AW117" s="3008"/>
      <c r="AX117" s="3008"/>
      <c r="AY117" s="3008"/>
      <c r="AZ117" s="3008"/>
    </row>
    <row r="118" spans="3:52" ht="13.5" hidden="1" customHeight="1" thickBot="1">
      <c r="C118" s="3008"/>
      <c r="D118" s="3008"/>
      <c r="E118" s="3008"/>
      <c r="F118" s="3008"/>
      <c r="G118" s="3008"/>
      <c r="H118" s="3008"/>
      <c r="I118" s="3008"/>
      <c r="J118" s="3008"/>
      <c r="K118" s="3008"/>
      <c r="L118" s="3008"/>
      <c r="M118" s="3008"/>
      <c r="N118" s="3008"/>
      <c r="O118" s="3008"/>
      <c r="P118" s="3008"/>
      <c r="Q118" s="3008"/>
      <c r="R118" s="3008"/>
      <c r="S118" s="3008"/>
      <c r="T118" s="3008"/>
      <c r="U118" s="3008"/>
      <c r="V118" s="3008"/>
      <c r="W118" s="3008"/>
      <c r="X118" s="3008"/>
      <c r="Y118" s="3008"/>
      <c r="Z118" s="3008"/>
      <c r="AA118" s="3008"/>
      <c r="AB118" s="3008"/>
      <c r="AC118" s="3008"/>
      <c r="AD118" s="3008"/>
      <c r="AE118" s="3008"/>
      <c r="AF118" s="3008"/>
      <c r="AG118" s="3008"/>
      <c r="AH118" s="3008"/>
      <c r="AI118" s="3008"/>
      <c r="AJ118" s="3008"/>
      <c r="AK118" s="3008"/>
      <c r="AL118" s="3008"/>
      <c r="AM118" s="3008"/>
      <c r="AN118" s="3008"/>
      <c r="AO118" s="3008"/>
      <c r="AP118" s="3008"/>
      <c r="AQ118" s="3008"/>
      <c r="AR118" s="3008"/>
      <c r="AS118" s="3008"/>
      <c r="AT118" s="3008"/>
      <c r="AU118" s="3008"/>
      <c r="AV118" s="3008"/>
      <c r="AW118" s="3008"/>
      <c r="AX118" s="3008"/>
      <c r="AY118" s="3008"/>
      <c r="AZ118" s="3008"/>
    </row>
    <row r="119" spans="3:52">
      <c r="C119" s="3008"/>
      <c r="D119" s="3008"/>
      <c r="E119" s="3008"/>
      <c r="F119" s="3008"/>
      <c r="G119" s="3008"/>
      <c r="H119" s="3008"/>
      <c r="I119" s="3008"/>
      <c r="J119" s="3008"/>
      <c r="K119" s="3008"/>
      <c r="L119" s="3008"/>
      <c r="M119" s="3008"/>
      <c r="N119" s="3008"/>
      <c r="O119" s="3008"/>
      <c r="P119" s="3008"/>
      <c r="Q119" s="3008"/>
      <c r="R119" s="3008"/>
      <c r="S119" s="3008"/>
      <c r="T119" s="3008"/>
      <c r="U119" s="3008"/>
      <c r="V119" s="3008"/>
      <c r="W119" s="3008"/>
      <c r="X119" s="3008"/>
      <c r="Y119" s="3008"/>
      <c r="Z119" s="3008"/>
      <c r="AA119" s="3008"/>
      <c r="AB119" s="3008"/>
      <c r="AC119" s="3008"/>
      <c r="AD119" s="3008"/>
      <c r="AE119" s="3008"/>
      <c r="AF119" s="3008"/>
      <c r="AG119" s="3008"/>
      <c r="AH119" s="3008"/>
      <c r="AI119" s="3008"/>
      <c r="AJ119" s="3008"/>
      <c r="AK119" s="3008"/>
      <c r="AL119" s="3008"/>
      <c r="AM119" s="3008"/>
      <c r="AN119" s="3008"/>
      <c r="AO119" s="3008"/>
      <c r="AP119" s="3008"/>
      <c r="AQ119" s="3008"/>
      <c r="AR119" s="3008"/>
      <c r="AS119" s="3008"/>
      <c r="AT119" s="3008"/>
      <c r="AU119" s="3008"/>
      <c r="AV119" s="3008"/>
      <c r="AW119" s="3008"/>
      <c r="AX119" s="3008"/>
      <c r="AY119" s="3008"/>
      <c r="AZ119" s="3008"/>
    </row>
    <row r="120" spans="3:52" ht="18" customHeight="1">
      <c r="C120" s="3008"/>
      <c r="D120" s="3008"/>
      <c r="E120" s="3008"/>
      <c r="F120" s="3008"/>
      <c r="G120" s="3008"/>
      <c r="H120" s="3008"/>
      <c r="I120" s="3008"/>
      <c r="J120" s="3008"/>
      <c r="K120" s="3008"/>
      <c r="L120" s="3008"/>
      <c r="M120" s="3008"/>
      <c r="N120" s="3008"/>
      <c r="O120" s="3008"/>
      <c r="P120" s="3008"/>
      <c r="Q120" s="3008"/>
      <c r="R120" s="3008"/>
      <c r="S120" s="3008"/>
      <c r="T120" s="3008"/>
      <c r="U120" s="3008"/>
      <c r="V120" s="3008"/>
      <c r="W120" s="3008"/>
      <c r="X120" s="3008"/>
      <c r="Y120" s="3008"/>
      <c r="Z120" s="3008"/>
      <c r="AA120" s="3008"/>
      <c r="AB120" s="3008"/>
      <c r="AC120" s="3008"/>
      <c r="AD120" s="3008"/>
      <c r="AE120" s="3008"/>
      <c r="AF120" s="3008"/>
      <c r="AG120" s="3008"/>
      <c r="AH120" s="3008"/>
      <c r="AI120" s="3008"/>
      <c r="AJ120" s="3008"/>
      <c r="AK120" s="3008"/>
      <c r="AL120" s="3008"/>
      <c r="AM120" s="3008"/>
      <c r="AN120" s="3008"/>
      <c r="AO120" s="3008"/>
      <c r="AP120" s="3008"/>
      <c r="AQ120" s="3008"/>
      <c r="AR120" s="3008"/>
      <c r="AS120" s="3008"/>
      <c r="AT120" s="3008"/>
      <c r="AU120" s="3008"/>
      <c r="AV120" s="3008"/>
      <c r="AW120" s="3008"/>
      <c r="AX120" s="3008"/>
      <c r="AY120" s="3008"/>
      <c r="AZ120" s="3008"/>
    </row>
    <row r="121" spans="3:52" ht="9.75" customHeight="1">
      <c r="C121" s="3008"/>
      <c r="D121" s="3008"/>
      <c r="E121" s="3008"/>
      <c r="F121" s="3008"/>
      <c r="G121" s="3008"/>
      <c r="H121" s="3008"/>
      <c r="I121" s="3008"/>
      <c r="J121" s="3008"/>
      <c r="K121" s="3008"/>
      <c r="L121" s="3008"/>
      <c r="M121" s="3008"/>
      <c r="N121" s="3008"/>
      <c r="O121" s="3008"/>
      <c r="P121" s="3008"/>
      <c r="Q121" s="3008"/>
      <c r="R121" s="3008"/>
      <c r="S121" s="3008"/>
      <c r="T121" s="3008"/>
      <c r="U121" s="3008"/>
      <c r="V121" s="3008"/>
      <c r="W121" s="3008"/>
      <c r="X121" s="3008"/>
      <c r="Y121" s="3008"/>
      <c r="Z121" s="3008"/>
      <c r="AA121" s="3008"/>
      <c r="AB121" s="3008"/>
      <c r="AC121" s="3008"/>
      <c r="AD121" s="3008"/>
      <c r="AE121" s="3008"/>
      <c r="AF121" s="3008"/>
      <c r="AG121" s="3008"/>
      <c r="AH121" s="3008"/>
      <c r="AI121" s="3008"/>
      <c r="AJ121" s="3008"/>
      <c r="AK121" s="3008"/>
      <c r="AL121" s="3008"/>
      <c r="AM121" s="3008"/>
      <c r="AN121" s="3008"/>
      <c r="AO121" s="3008"/>
      <c r="AP121" s="3008"/>
      <c r="AQ121" s="3008"/>
      <c r="AR121" s="3008"/>
      <c r="AS121" s="3008"/>
      <c r="AT121" s="3008"/>
      <c r="AU121" s="3008"/>
      <c r="AV121" s="3008"/>
      <c r="AW121" s="3008"/>
      <c r="AX121" s="3008"/>
      <c r="AY121" s="3008"/>
      <c r="AZ121" s="3008"/>
    </row>
    <row r="122" spans="3:52" ht="16.95" customHeight="1">
      <c r="C122" s="3008"/>
      <c r="D122" s="3008"/>
      <c r="E122" s="3008"/>
      <c r="F122" s="3008"/>
      <c r="G122" s="3008"/>
      <c r="H122" s="3008"/>
      <c r="I122" s="3008"/>
      <c r="J122" s="3008"/>
      <c r="K122" s="3008"/>
      <c r="L122" s="3008"/>
      <c r="M122" s="3008"/>
      <c r="N122" s="3008"/>
      <c r="O122" s="3008"/>
      <c r="P122" s="3008"/>
      <c r="Q122" s="3008"/>
      <c r="R122" s="3008"/>
      <c r="S122" s="3008"/>
      <c r="T122" s="3008"/>
      <c r="U122" s="3008"/>
      <c r="V122" s="3008"/>
      <c r="W122" s="3008"/>
      <c r="X122" s="3008"/>
      <c r="Y122" s="3008"/>
      <c r="Z122" s="3008"/>
      <c r="AA122" s="3008"/>
      <c r="AB122" s="3008"/>
      <c r="AC122" s="3008"/>
      <c r="AD122" s="3008"/>
      <c r="AE122" s="3008"/>
      <c r="AF122" s="3008"/>
      <c r="AG122" s="3008"/>
      <c r="AH122" s="3008"/>
      <c r="AI122" s="3008"/>
      <c r="AJ122" s="3008"/>
      <c r="AK122" s="3008"/>
      <c r="AL122" s="3008"/>
      <c r="AM122" s="3008"/>
      <c r="AN122" s="3008"/>
      <c r="AO122" s="3008"/>
      <c r="AP122" s="3008"/>
      <c r="AQ122" s="3008"/>
      <c r="AR122" s="3008"/>
      <c r="AS122" s="3008"/>
      <c r="AT122" s="3008"/>
      <c r="AU122" s="3008"/>
      <c r="AV122" s="3008"/>
      <c r="AW122" s="3008"/>
      <c r="AX122" s="3008"/>
      <c r="AY122" s="3008"/>
      <c r="AZ122" s="3008"/>
    </row>
    <row r="123" spans="3:52">
      <c r="C123" s="3008"/>
      <c r="D123" s="3008"/>
      <c r="E123" s="3008"/>
      <c r="F123" s="3008"/>
      <c r="G123" s="3008"/>
      <c r="H123" s="3008"/>
      <c r="I123" s="3008"/>
      <c r="J123" s="3008"/>
      <c r="K123" s="3008"/>
      <c r="L123" s="3008"/>
      <c r="M123" s="3008"/>
      <c r="N123" s="3008"/>
      <c r="O123" s="3008"/>
      <c r="P123" s="3008"/>
      <c r="Q123" s="3008"/>
      <c r="R123" s="3008"/>
      <c r="S123" s="3008"/>
      <c r="T123" s="3008"/>
      <c r="U123" s="3008"/>
      <c r="V123" s="3008"/>
      <c r="W123" s="3008"/>
      <c r="X123" s="3008"/>
      <c r="Y123" s="3008"/>
      <c r="Z123" s="3008"/>
      <c r="AA123" s="3008"/>
      <c r="AB123" s="3008"/>
      <c r="AC123" s="3008"/>
      <c r="AD123" s="3008"/>
      <c r="AE123" s="3008"/>
      <c r="AF123" s="3008"/>
      <c r="AG123" s="3008"/>
      <c r="AH123" s="3008"/>
      <c r="AI123" s="3008"/>
      <c r="AJ123" s="3008"/>
      <c r="AK123" s="3008"/>
      <c r="AL123" s="3008"/>
      <c r="AM123" s="3008"/>
      <c r="AN123" s="3008"/>
      <c r="AO123" s="3008"/>
      <c r="AP123" s="3008"/>
      <c r="AQ123" s="3008"/>
      <c r="AR123" s="3008"/>
      <c r="AS123" s="3008"/>
      <c r="AT123" s="3008"/>
      <c r="AU123" s="3008"/>
      <c r="AV123" s="3008"/>
      <c r="AW123" s="3008"/>
      <c r="AX123" s="3008"/>
      <c r="AY123" s="3008"/>
      <c r="AZ123" s="3008"/>
    </row>
    <row r="124" spans="3:52">
      <c r="C124" s="3008"/>
      <c r="D124" s="3008"/>
      <c r="E124" s="3008"/>
      <c r="F124" s="3008"/>
      <c r="G124" s="3008"/>
      <c r="H124" s="3008"/>
      <c r="I124" s="3008"/>
      <c r="J124" s="3008"/>
      <c r="K124" s="3008"/>
      <c r="L124" s="3008"/>
      <c r="M124" s="3008"/>
      <c r="N124" s="3008"/>
      <c r="O124" s="3008"/>
      <c r="P124" s="3008"/>
      <c r="Q124" s="3008"/>
      <c r="R124" s="3008"/>
      <c r="S124" s="3008"/>
      <c r="T124" s="3008"/>
      <c r="U124" s="3008"/>
      <c r="V124" s="3008"/>
      <c r="W124" s="3008"/>
      <c r="X124" s="3008"/>
      <c r="Y124" s="3008"/>
      <c r="Z124" s="3008"/>
      <c r="AA124" s="3008"/>
      <c r="AB124" s="3008"/>
      <c r="AC124" s="3008"/>
      <c r="AD124" s="3008"/>
      <c r="AE124" s="3008"/>
      <c r="AF124" s="3008"/>
      <c r="AG124" s="3008"/>
      <c r="AH124" s="3008"/>
      <c r="AI124" s="3008"/>
      <c r="AJ124" s="3008"/>
      <c r="AK124" s="3008"/>
      <c r="AL124" s="3008"/>
      <c r="AM124" s="3008"/>
      <c r="AN124" s="3008"/>
      <c r="AO124" s="3008"/>
      <c r="AP124" s="3008"/>
      <c r="AQ124" s="3008"/>
      <c r="AR124" s="3008"/>
      <c r="AS124" s="3008"/>
      <c r="AT124" s="3008"/>
      <c r="AU124" s="3008"/>
      <c r="AV124" s="3008"/>
      <c r="AW124" s="3008"/>
      <c r="AX124" s="3008"/>
      <c r="AY124" s="3008"/>
      <c r="AZ124" s="3008"/>
    </row>
    <row r="125" spans="3:52">
      <c r="C125" s="3008"/>
      <c r="D125" s="3008"/>
      <c r="E125" s="3008"/>
      <c r="F125" s="3008"/>
      <c r="G125" s="3008"/>
      <c r="H125" s="3008"/>
      <c r="I125" s="3008"/>
      <c r="J125" s="3008"/>
      <c r="K125" s="3008"/>
      <c r="L125" s="3008"/>
      <c r="M125" s="3008"/>
      <c r="N125" s="3008"/>
      <c r="O125" s="3008"/>
      <c r="P125" s="3008"/>
      <c r="Q125" s="3008"/>
      <c r="R125" s="3008"/>
      <c r="S125" s="3008"/>
      <c r="T125" s="3008"/>
      <c r="U125" s="3008"/>
      <c r="V125" s="3008"/>
      <c r="W125" s="3008"/>
      <c r="X125" s="3008"/>
      <c r="Y125" s="3008"/>
      <c r="Z125" s="3008"/>
      <c r="AA125" s="3008"/>
      <c r="AB125" s="3008"/>
      <c r="AC125" s="3008"/>
      <c r="AD125" s="3008"/>
      <c r="AE125" s="3008"/>
      <c r="AF125" s="3008"/>
      <c r="AG125" s="3008"/>
      <c r="AH125" s="3008"/>
      <c r="AI125" s="3008"/>
      <c r="AJ125" s="3008"/>
      <c r="AK125" s="3008"/>
      <c r="AL125" s="3008"/>
      <c r="AM125" s="3008"/>
      <c r="AN125" s="3008"/>
      <c r="AO125" s="3008"/>
      <c r="AP125" s="3008"/>
      <c r="AQ125" s="3008"/>
      <c r="AR125" s="3008"/>
      <c r="AS125" s="3008"/>
      <c r="AT125" s="3008"/>
      <c r="AU125" s="3008"/>
      <c r="AV125" s="3008"/>
      <c r="AW125" s="3008"/>
      <c r="AX125" s="3008"/>
      <c r="AY125" s="3008"/>
      <c r="AZ125" s="3008"/>
    </row>
    <row r="126" spans="3:52">
      <c r="C126" s="3008"/>
      <c r="D126" s="3008"/>
      <c r="E126" s="3008"/>
      <c r="F126" s="3008"/>
      <c r="G126" s="3008"/>
      <c r="H126" s="3008"/>
      <c r="I126" s="3008"/>
      <c r="J126" s="3008"/>
      <c r="K126" s="3008"/>
      <c r="L126" s="3008"/>
      <c r="M126" s="3008"/>
      <c r="N126" s="3008"/>
      <c r="O126" s="3008"/>
      <c r="P126" s="3008"/>
      <c r="Q126" s="3008"/>
      <c r="R126" s="3008"/>
      <c r="S126" s="3008"/>
      <c r="T126" s="3008"/>
      <c r="U126" s="3008"/>
      <c r="V126" s="3008"/>
      <c r="W126" s="3008"/>
      <c r="X126" s="3008"/>
      <c r="Y126" s="3008"/>
      <c r="Z126" s="3008"/>
      <c r="AA126" s="3008"/>
      <c r="AB126" s="3008"/>
      <c r="AC126" s="3008"/>
      <c r="AD126" s="3008"/>
      <c r="AE126" s="3008"/>
      <c r="AF126" s="3008"/>
      <c r="AG126" s="3008"/>
      <c r="AH126" s="3008"/>
      <c r="AI126" s="3008"/>
      <c r="AJ126" s="3008"/>
      <c r="AK126" s="3008"/>
      <c r="AL126" s="3008"/>
      <c r="AM126" s="3008"/>
      <c r="AN126" s="3008"/>
      <c r="AO126" s="3008"/>
      <c r="AP126" s="3008"/>
      <c r="AQ126" s="3008"/>
      <c r="AR126" s="3008"/>
      <c r="AS126" s="3008"/>
      <c r="AT126" s="3008"/>
      <c r="AU126" s="3008"/>
      <c r="AV126" s="3008"/>
      <c r="AW126" s="3008"/>
      <c r="AX126" s="3008"/>
      <c r="AY126" s="3008"/>
      <c r="AZ126" s="3008"/>
    </row>
    <row r="127" spans="3:52">
      <c r="C127" s="3008"/>
      <c r="D127" s="3008"/>
      <c r="E127" s="3008"/>
      <c r="F127" s="3008"/>
      <c r="G127" s="3008"/>
      <c r="H127" s="3008"/>
      <c r="I127" s="3008"/>
      <c r="J127" s="3008"/>
      <c r="K127" s="3008"/>
      <c r="L127" s="3008"/>
      <c r="M127" s="3008"/>
      <c r="N127" s="3008"/>
      <c r="O127" s="3008"/>
      <c r="P127" s="3008"/>
      <c r="Q127" s="3008"/>
      <c r="R127" s="3008"/>
      <c r="S127" s="3008"/>
      <c r="T127" s="3008"/>
      <c r="U127" s="3008"/>
      <c r="V127" s="3008"/>
      <c r="W127" s="3008"/>
      <c r="X127" s="3008"/>
      <c r="Y127" s="3008"/>
      <c r="Z127" s="3008"/>
      <c r="AA127" s="3008"/>
      <c r="AB127" s="3008"/>
      <c r="AC127" s="3008"/>
      <c r="AD127" s="3008"/>
      <c r="AE127" s="3008"/>
      <c r="AF127" s="3008"/>
      <c r="AG127" s="3008"/>
      <c r="AH127" s="3008"/>
      <c r="AI127" s="3008"/>
      <c r="AJ127" s="3008"/>
      <c r="AK127" s="3008"/>
      <c r="AL127" s="3008"/>
      <c r="AM127" s="3008"/>
      <c r="AN127" s="3008"/>
      <c r="AO127" s="3008"/>
      <c r="AP127" s="3008"/>
      <c r="AQ127" s="3008"/>
      <c r="AR127" s="3008"/>
      <c r="AS127" s="3008"/>
      <c r="AT127" s="3008"/>
      <c r="AU127" s="3008"/>
      <c r="AV127" s="3008"/>
      <c r="AW127" s="3008"/>
      <c r="AX127" s="3008"/>
      <c r="AY127" s="3008"/>
      <c r="AZ127" s="3008"/>
    </row>
    <row r="128" spans="3:52">
      <c r="C128" s="3008"/>
      <c r="D128" s="3008"/>
      <c r="E128" s="3008"/>
      <c r="F128" s="3008"/>
      <c r="G128" s="3008"/>
      <c r="H128" s="3008"/>
      <c r="I128" s="3008"/>
      <c r="J128" s="3008"/>
      <c r="K128" s="3008"/>
      <c r="L128" s="3008"/>
      <c r="M128" s="3008"/>
      <c r="N128" s="3008"/>
      <c r="O128" s="3008"/>
      <c r="P128" s="3008"/>
      <c r="Q128" s="3008"/>
      <c r="R128" s="3008"/>
      <c r="S128" s="3008"/>
      <c r="T128" s="3008"/>
      <c r="U128" s="3008"/>
      <c r="V128" s="3008"/>
      <c r="W128" s="3008"/>
      <c r="X128" s="3008"/>
      <c r="Y128" s="3008"/>
      <c r="Z128" s="3008"/>
      <c r="AA128" s="3008"/>
      <c r="AB128" s="3008"/>
      <c r="AC128" s="3008"/>
      <c r="AD128" s="3008"/>
      <c r="AE128" s="3008"/>
      <c r="AF128" s="3008"/>
      <c r="AG128" s="3008"/>
      <c r="AH128" s="3008"/>
      <c r="AI128" s="3008"/>
      <c r="AJ128" s="3008"/>
      <c r="AK128" s="3008"/>
      <c r="AL128" s="3008"/>
      <c r="AM128" s="3008"/>
      <c r="AN128" s="3008"/>
      <c r="AO128" s="3008"/>
      <c r="AP128" s="3008"/>
      <c r="AQ128" s="3008"/>
      <c r="AR128" s="3008"/>
      <c r="AS128" s="3008"/>
      <c r="AT128" s="3008"/>
      <c r="AU128" s="3008"/>
      <c r="AV128" s="3008"/>
      <c r="AW128" s="3008"/>
      <c r="AX128" s="3008"/>
      <c r="AY128" s="3008"/>
      <c r="AZ128" s="3008"/>
    </row>
    <row r="129" spans="2:52">
      <c r="C129" s="3008"/>
      <c r="D129" s="3008"/>
      <c r="E129" s="3008"/>
      <c r="F129" s="3008"/>
      <c r="G129" s="3008"/>
      <c r="H129" s="3008"/>
      <c r="I129" s="3008"/>
      <c r="J129" s="3008"/>
      <c r="K129" s="3008"/>
      <c r="L129" s="3008"/>
      <c r="M129" s="3008"/>
      <c r="N129" s="3008"/>
      <c r="O129" s="3008"/>
      <c r="P129" s="3008"/>
      <c r="Q129" s="3008"/>
      <c r="R129" s="3008"/>
      <c r="S129" s="3008"/>
      <c r="T129" s="3008"/>
      <c r="U129" s="3008"/>
      <c r="V129" s="3008"/>
      <c r="W129" s="3008"/>
      <c r="X129" s="3008"/>
      <c r="Y129" s="3008"/>
      <c r="Z129" s="3008"/>
      <c r="AA129" s="3008"/>
      <c r="AB129" s="3008"/>
      <c r="AC129" s="3008"/>
      <c r="AD129" s="3008"/>
      <c r="AE129" s="3008"/>
      <c r="AF129" s="3008"/>
      <c r="AG129" s="3008"/>
      <c r="AH129" s="3008"/>
      <c r="AI129" s="3008"/>
      <c r="AJ129" s="3008"/>
      <c r="AK129" s="3008"/>
      <c r="AL129" s="3008"/>
      <c r="AM129" s="3008"/>
      <c r="AN129" s="3008"/>
      <c r="AO129" s="3008"/>
      <c r="AP129" s="3008"/>
      <c r="AQ129" s="3008"/>
      <c r="AR129" s="3008"/>
      <c r="AS129" s="3008"/>
      <c r="AT129" s="3008"/>
      <c r="AU129" s="3008"/>
      <c r="AV129" s="3008"/>
      <c r="AW129" s="3008"/>
      <c r="AX129" s="3008"/>
      <c r="AY129" s="3008"/>
      <c r="AZ129" s="3008"/>
    </row>
    <row r="130" spans="2:52">
      <c r="C130" s="3008"/>
      <c r="D130" s="3008"/>
      <c r="E130" s="3008"/>
      <c r="F130" s="3008"/>
      <c r="G130" s="3008"/>
      <c r="H130" s="3008"/>
      <c r="I130" s="3008"/>
      <c r="J130" s="3008"/>
      <c r="K130" s="3008"/>
      <c r="L130" s="3008"/>
      <c r="M130" s="3008"/>
      <c r="N130" s="3008"/>
      <c r="O130" s="3008"/>
      <c r="P130" s="3008"/>
      <c r="Q130" s="3008"/>
      <c r="R130" s="3008"/>
      <c r="S130" s="3008"/>
      <c r="T130" s="3008"/>
      <c r="U130" s="3008"/>
      <c r="V130" s="3008"/>
      <c r="W130" s="3008"/>
      <c r="X130" s="3008"/>
      <c r="Y130" s="3008"/>
      <c r="Z130" s="3008"/>
      <c r="AA130" s="3008"/>
      <c r="AB130" s="3008"/>
      <c r="AC130" s="3008"/>
      <c r="AD130" s="3008"/>
      <c r="AE130" s="3008"/>
      <c r="AF130" s="3008"/>
      <c r="AG130" s="3008"/>
      <c r="AH130" s="3008"/>
      <c r="AI130" s="3008"/>
      <c r="AJ130" s="3008"/>
      <c r="AK130" s="3008"/>
      <c r="AL130" s="3008"/>
      <c r="AM130" s="3008"/>
      <c r="AN130" s="3008"/>
      <c r="AO130" s="3008"/>
      <c r="AP130" s="3008"/>
      <c r="AQ130" s="3008"/>
      <c r="AR130" s="3008"/>
      <c r="AS130" s="3008"/>
      <c r="AT130" s="3008"/>
      <c r="AU130" s="3008"/>
      <c r="AV130" s="3008"/>
      <c r="AW130" s="3008"/>
      <c r="AX130" s="3008"/>
      <c r="AY130" s="3008"/>
      <c r="AZ130" s="3008"/>
    </row>
    <row r="131" spans="2:52">
      <c r="C131" s="3008"/>
      <c r="D131" s="3008"/>
      <c r="E131" s="3008"/>
      <c r="F131" s="3008"/>
      <c r="G131" s="3008"/>
      <c r="H131" s="3008"/>
      <c r="I131" s="3008"/>
      <c r="J131" s="3008"/>
      <c r="K131" s="3008"/>
      <c r="L131" s="3008"/>
      <c r="M131" s="3008"/>
      <c r="N131" s="3008"/>
      <c r="O131" s="3008"/>
      <c r="P131" s="3008"/>
      <c r="Q131" s="3008"/>
      <c r="R131" s="3008"/>
      <c r="S131" s="3008"/>
      <c r="T131" s="3008"/>
      <c r="U131" s="3008"/>
      <c r="V131" s="3008"/>
      <c r="W131" s="3008"/>
      <c r="X131" s="3008"/>
      <c r="Y131" s="3008"/>
      <c r="Z131" s="3008"/>
      <c r="AA131" s="3008"/>
      <c r="AB131" s="3008"/>
      <c r="AC131" s="3008"/>
      <c r="AD131" s="3008"/>
      <c r="AE131" s="3008"/>
      <c r="AF131" s="3008"/>
      <c r="AG131" s="3008"/>
      <c r="AH131" s="3008"/>
      <c r="AI131" s="3008"/>
      <c r="AJ131" s="3008"/>
      <c r="AK131" s="3008"/>
      <c r="AL131" s="3008"/>
      <c r="AM131" s="3008"/>
      <c r="AN131" s="3008"/>
      <c r="AO131" s="3008"/>
      <c r="AP131" s="3008"/>
      <c r="AQ131" s="3008"/>
      <c r="AR131" s="3008"/>
      <c r="AS131" s="3008"/>
      <c r="AT131" s="3008"/>
      <c r="AU131" s="3008"/>
      <c r="AV131" s="3008"/>
      <c r="AW131" s="3008"/>
      <c r="AX131" s="3008"/>
      <c r="AY131" s="3008"/>
      <c r="AZ131" s="3008"/>
    </row>
    <row r="132" spans="2:52" ht="12.9" customHeight="1">
      <c r="C132" s="3008"/>
      <c r="D132" s="3008"/>
      <c r="E132" s="3008"/>
      <c r="F132" s="3008"/>
      <c r="G132" s="3008"/>
      <c r="H132" s="3008"/>
      <c r="I132" s="3008"/>
      <c r="J132" s="3008"/>
      <c r="K132" s="3008"/>
      <c r="L132" s="3008"/>
      <c r="M132" s="3008"/>
      <c r="N132" s="3008"/>
      <c r="O132" s="3008"/>
      <c r="P132" s="3008"/>
      <c r="Q132" s="3008"/>
      <c r="R132" s="3008"/>
      <c r="S132" s="3008"/>
      <c r="T132" s="3008"/>
      <c r="U132" s="3008"/>
      <c r="V132" s="3008"/>
      <c r="W132" s="3008"/>
      <c r="X132" s="3008"/>
      <c r="Y132" s="3008"/>
      <c r="Z132" s="3008"/>
      <c r="AA132" s="3008"/>
      <c r="AB132" s="3008"/>
      <c r="AC132" s="3008"/>
      <c r="AD132" s="3008"/>
      <c r="AE132" s="3008"/>
      <c r="AF132" s="3008"/>
      <c r="AG132" s="3008"/>
      <c r="AH132" s="3008"/>
      <c r="AI132" s="3008"/>
      <c r="AJ132" s="3008"/>
      <c r="AK132" s="3008"/>
      <c r="AL132" s="3008"/>
      <c r="AM132" s="3008"/>
      <c r="AN132" s="3008"/>
      <c r="AO132" s="3008"/>
      <c r="AP132" s="3008"/>
      <c r="AQ132" s="3008"/>
      <c r="AR132" s="3008"/>
      <c r="AS132" s="3008"/>
      <c r="AT132" s="3008"/>
      <c r="AU132" s="3008"/>
      <c r="AV132" s="3008"/>
      <c r="AW132" s="3008"/>
      <c r="AX132" s="3008"/>
      <c r="AY132" s="3008"/>
      <c r="AZ132" s="3008"/>
    </row>
    <row r="133" spans="2:52">
      <c r="C133" s="3008"/>
      <c r="D133" s="3008"/>
      <c r="E133" s="3008"/>
      <c r="F133" s="3008"/>
      <c r="G133" s="3008"/>
      <c r="H133" s="3008"/>
      <c r="I133" s="3008"/>
      <c r="J133" s="3008"/>
      <c r="K133" s="3008"/>
      <c r="L133" s="3008"/>
      <c r="M133" s="3008"/>
      <c r="N133" s="3008"/>
      <c r="O133" s="3008"/>
      <c r="P133" s="3008"/>
      <c r="Q133" s="3008"/>
      <c r="R133" s="3008"/>
      <c r="S133" s="3008"/>
      <c r="T133" s="3008"/>
      <c r="U133" s="3008"/>
      <c r="V133" s="3008"/>
      <c r="W133" s="3008"/>
      <c r="X133" s="3008"/>
      <c r="Y133" s="3008"/>
      <c r="Z133" s="3008"/>
      <c r="AA133" s="3008"/>
      <c r="AB133" s="3008"/>
      <c r="AC133" s="3008"/>
      <c r="AD133" s="3008"/>
      <c r="AE133" s="3008"/>
      <c r="AF133" s="3008"/>
      <c r="AG133" s="3008"/>
      <c r="AH133" s="3008"/>
      <c r="AI133" s="3008"/>
      <c r="AJ133" s="3008"/>
      <c r="AK133" s="3008"/>
      <c r="AL133" s="3008"/>
      <c r="AM133" s="3008"/>
      <c r="AN133" s="3008"/>
      <c r="AO133" s="3008"/>
      <c r="AP133" s="3008"/>
      <c r="AQ133" s="3008"/>
      <c r="AR133" s="3008"/>
      <c r="AS133" s="3008"/>
      <c r="AT133" s="3008"/>
      <c r="AU133" s="3008"/>
      <c r="AV133" s="3008"/>
      <c r="AW133" s="3008"/>
      <c r="AX133" s="3008"/>
      <c r="AY133" s="3008"/>
      <c r="AZ133" s="3008"/>
    </row>
    <row r="134" spans="2:52">
      <c r="B134" s="28"/>
      <c r="C134" s="3008"/>
      <c r="D134" s="3008"/>
      <c r="E134" s="3008"/>
      <c r="F134" s="3008"/>
      <c r="G134" s="3008"/>
      <c r="H134" s="3008"/>
      <c r="I134" s="3008"/>
      <c r="J134" s="3008"/>
      <c r="K134" s="3008"/>
      <c r="L134" s="3008"/>
      <c r="M134" s="3008"/>
      <c r="N134" s="3008"/>
      <c r="O134" s="3008"/>
      <c r="P134" s="3008"/>
      <c r="Q134" s="3008"/>
      <c r="R134" s="3008"/>
      <c r="S134" s="3008"/>
      <c r="T134" s="3008"/>
      <c r="U134" s="3008"/>
      <c r="V134" s="3008"/>
      <c r="W134" s="3008"/>
      <c r="X134" s="3008"/>
      <c r="Y134" s="3008"/>
      <c r="Z134" s="3008"/>
      <c r="AA134" s="3008"/>
      <c r="AB134" s="3008"/>
      <c r="AC134" s="3008"/>
      <c r="AD134" s="3008"/>
      <c r="AE134" s="3008"/>
      <c r="AF134" s="3008"/>
      <c r="AG134" s="3008"/>
      <c r="AH134" s="3008"/>
      <c r="AI134" s="3008"/>
      <c r="AJ134" s="3008"/>
      <c r="AK134" s="3008"/>
      <c r="AL134" s="3008"/>
      <c r="AM134" s="3008"/>
      <c r="AN134" s="3008"/>
      <c r="AO134" s="3008"/>
      <c r="AP134" s="3008"/>
      <c r="AQ134" s="3008"/>
      <c r="AR134" s="3008"/>
      <c r="AS134" s="3008"/>
      <c r="AT134" s="3008"/>
      <c r="AU134" s="3008"/>
      <c r="AV134" s="3008"/>
      <c r="AW134" s="3008"/>
      <c r="AX134" s="3008"/>
      <c r="AY134" s="3008"/>
      <c r="AZ134" s="3008"/>
    </row>
    <row r="135" spans="2:52">
      <c r="C135" s="3008"/>
      <c r="D135" s="3008"/>
      <c r="E135" s="3008"/>
      <c r="F135" s="3008"/>
      <c r="G135" s="3008"/>
      <c r="H135" s="3008"/>
      <c r="I135" s="3008"/>
      <c r="J135" s="3008"/>
      <c r="K135" s="3008"/>
      <c r="L135" s="3008"/>
      <c r="M135" s="3008"/>
      <c r="N135" s="3008"/>
      <c r="O135" s="3008"/>
      <c r="P135" s="3008"/>
      <c r="Q135" s="3008"/>
      <c r="R135" s="3008"/>
      <c r="S135" s="3008"/>
      <c r="T135" s="3008"/>
      <c r="U135" s="3008"/>
      <c r="V135" s="3008"/>
      <c r="W135" s="3008"/>
      <c r="X135" s="3008"/>
      <c r="Y135" s="3008"/>
      <c r="Z135" s="3008"/>
      <c r="AA135" s="3008"/>
      <c r="AB135" s="3008"/>
      <c r="AC135" s="3008"/>
      <c r="AD135" s="3008"/>
      <c r="AE135" s="3008"/>
      <c r="AF135" s="3008"/>
      <c r="AG135" s="3008"/>
      <c r="AH135" s="3008"/>
      <c r="AI135" s="3008"/>
      <c r="AJ135" s="3008"/>
      <c r="AK135" s="3008"/>
      <c r="AL135" s="3008"/>
      <c r="AM135" s="3008"/>
      <c r="AN135" s="3008"/>
      <c r="AO135" s="3008"/>
      <c r="AP135" s="3008"/>
      <c r="AQ135" s="3008"/>
      <c r="AR135" s="3008"/>
      <c r="AS135" s="3008"/>
      <c r="AT135" s="3008"/>
      <c r="AU135" s="3008"/>
      <c r="AV135" s="3008"/>
      <c r="AW135" s="3008"/>
      <c r="AX135" s="3008"/>
      <c r="AY135" s="3008"/>
      <c r="AZ135" s="3008"/>
    </row>
    <row r="136" spans="2:52">
      <c r="C136" s="3008"/>
      <c r="D136" s="3008"/>
      <c r="E136" s="3008"/>
      <c r="F136" s="3008"/>
      <c r="G136" s="3008"/>
      <c r="H136" s="3008"/>
      <c r="I136" s="3008"/>
      <c r="J136" s="3008"/>
      <c r="K136" s="3008"/>
      <c r="L136" s="3008"/>
      <c r="M136" s="3008"/>
      <c r="N136" s="3008"/>
      <c r="O136" s="3008"/>
      <c r="P136" s="3008"/>
      <c r="Q136" s="3008"/>
      <c r="R136" s="3008"/>
      <c r="S136" s="3008"/>
      <c r="T136" s="3008"/>
      <c r="U136" s="3008"/>
      <c r="V136" s="3008"/>
      <c r="W136" s="3008"/>
      <c r="X136" s="3008"/>
      <c r="Y136" s="3008"/>
      <c r="Z136" s="3008"/>
      <c r="AA136" s="3008"/>
      <c r="AB136" s="3008"/>
      <c r="AC136" s="3008"/>
      <c r="AD136" s="3008"/>
      <c r="AE136" s="3008"/>
      <c r="AF136" s="3008"/>
      <c r="AG136" s="3008"/>
      <c r="AH136" s="3008"/>
      <c r="AI136" s="3008"/>
      <c r="AJ136" s="3008"/>
      <c r="AK136" s="3008"/>
      <c r="AL136" s="3008"/>
      <c r="AM136" s="3008"/>
      <c r="AN136" s="3008"/>
      <c r="AO136" s="3008"/>
      <c r="AP136" s="3008"/>
      <c r="AQ136" s="3008"/>
      <c r="AR136" s="3008"/>
      <c r="AS136" s="3008"/>
      <c r="AT136" s="3008"/>
      <c r="AU136" s="3008"/>
      <c r="AV136" s="3008"/>
      <c r="AW136" s="3008"/>
      <c r="AX136" s="3008"/>
      <c r="AY136" s="3008"/>
      <c r="AZ136" s="3008"/>
    </row>
    <row r="137" spans="2:52">
      <c r="C137" s="3008"/>
      <c r="D137" s="3008"/>
      <c r="E137" s="3008"/>
      <c r="F137" s="3008"/>
      <c r="G137" s="3008"/>
      <c r="H137" s="3008"/>
      <c r="I137" s="3008"/>
      <c r="J137" s="3008"/>
      <c r="K137" s="3008"/>
      <c r="L137" s="3008"/>
      <c r="M137" s="3008"/>
      <c r="N137" s="3008"/>
      <c r="O137" s="3008"/>
      <c r="P137" s="3008"/>
      <c r="Q137" s="3008"/>
      <c r="R137" s="3008"/>
      <c r="S137" s="3008"/>
      <c r="T137" s="3008"/>
      <c r="U137" s="3008"/>
      <c r="V137" s="3008"/>
      <c r="W137" s="3008"/>
      <c r="X137" s="3008"/>
      <c r="Y137" s="3008"/>
      <c r="Z137" s="3008"/>
      <c r="AA137" s="3008"/>
      <c r="AB137" s="3008"/>
      <c r="AC137" s="3008"/>
      <c r="AD137" s="3008"/>
      <c r="AE137" s="3008"/>
      <c r="AF137" s="3008"/>
      <c r="AG137" s="3008"/>
      <c r="AH137" s="3008"/>
      <c r="AI137" s="3008"/>
      <c r="AJ137" s="3008"/>
      <c r="AK137" s="3008"/>
      <c r="AL137" s="3008"/>
      <c r="AM137" s="3008"/>
      <c r="AN137" s="3008"/>
      <c r="AO137" s="3008"/>
      <c r="AP137" s="3008"/>
      <c r="AQ137" s="3008"/>
      <c r="AR137" s="3008"/>
      <c r="AS137" s="3008"/>
      <c r="AT137" s="3008"/>
      <c r="AU137" s="3008"/>
      <c r="AV137" s="3008"/>
      <c r="AW137" s="3008"/>
      <c r="AX137" s="3008"/>
      <c r="AY137" s="3008"/>
      <c r="AZ137" s="3008"/>
    </row>
    <row r="138" spans="2:52">
      <c r="C138" s="3008"/>
      <c r="D138" s="3008"/>
      <c r="E138" s="3008"/>
      <c r="F138" s="3008"/>
      <c r="G138" s="3008"/>
      <c r="H138" s="3008"/>
      <c r="I138" s="3008"/>
      <c r="J138" s="3008"/>
      <c r="K138" s="3008"/>
      <c r="L138" s="3008"/>
      <c r="M138" s="3008"/>
      <c r="N138" s="3008"/>
      <c r="O138" s="3008"/>
      <c r="P138" s="3008"/>
      <c r="Q138" s="3008"/>
      <c r="R138" s="3008"/>
      <c r="S138" s="3008"/>
      <c r="T138" s="3008"/>
      <c r="U138" s="3008"/>
      <c r="V138" s="3008"/>
      <c r="W138" s="3008"/>
      <c r="X138" s="3008"/>
      <c r="Y138" s="3008"/>
      <c r="Z138" s="3008"/>
      <c r="AA138" s="3008"/>
      <c r="AB138" s="3008"/>
      <c r="AC138" s="3008"/>
      <c r="AD138" s="3008"/>
      <c r="AE138" s="3008"/>
      <c r="AF138" s="3008"/>
      <c r="AG138" s="3008"/>
      <c r="AH138" s="3008"/>
      <c r="AI138" s="3008"/>
      <c r="AJ138" s="3008"/>
      <c r="AK138" s="3008"/>
      <c r="AL138" s="3008"/>
      <c r="AM138" s="3008"/>
      <c r="AN138" s="3008"/>
      <c r="AO138" s="3008"/>
      <c r="AP138" s="3008"/>
      <c r="AQ138" s="3008"/>
      <c r="AR138" s="3008"/>
      <c r="AS138" s="3008"/>
      <c r="AT138" s="3008"/>
      <c r="AU138" s="3008"/>
      <c r="AV138" s="3008"/>
      <c r="AW138" s="3008"/>
      <c r="AX138" s="3008"/>
      <c r="AY138" s="3008"/>
      <c r="AZ138" s="3008"/>
    </row>
    <row r="139" spans="2:52" ht="8.1" customHeight="1">
      <c r="C139" s="3008"/>
      <c r="D139" s="3008"/>
      <c r="E139" s="3008"/>
      <c r="F139" s="3008"/>
      <c r="G139" s="3008"/>
      <c r="H139" s="3008"/>
      <c r="I139" s="3008"/>
      <c r="J139" s="3008"/>
      <c r="K139" s="3008"/>
      <c r="L139" s="3008"/>
      <c r="M139" s="3008"/>
      <c r="N139" s="3008"/>
      <c r="O139" s="3008"/>
      <c r="P139" s="3008"/>
      <c r="Q139" s="3008"/>
      <c r="R139" s="3008"/>
      <c r="S139" s="3008"/>
      <c r="T139" s="3008"/>
      <c r="U139" s="3008"/>
      <c r="V139" s="3008"/>
      <c r="W139" s="3008"/>
      <c r="X139" s="3008"/>
      <c r="Y139" s="3008"/>
      <c r="Z139" s="3008"/>
      <c r="AA139" s="3008"/>
      <c r="AB139" s="3008"/>
      <c r="AC139" s="3008"/>
      <c r="AD139" s="3008"/>
      <c r="AE139" s="3008"/>
      <c r="AF139" s="3008"/>
      <c r="AG139" s="3008"/>
      <c r="AH139" s="3008"/>
      <c r="AI139" s="3008"/>
      <c r="AJ139" s="3008"/>
      <c r="AK139" s="3008"/>
      <c r="AL139" s="3008"/>
      <c r="AM139" s="3008"/>
      <c r="AN139" s="3008"/>
      <c r="AO139" s="3008"/>
      <c r="AP139" s="3008"/>
      <c r="AQ139" s="3008"/>
      <c r="AR139" s="3008"/>
      <c r="AS139" s="3008"/>
      <c r="AT139" s="3008"/>
      <c r="AU139" s="3008"/>
      <c r="AV139" s="3008"/>
      <c r="AW139" s="3008"/>
      <c r="AX139" s="3008"/>
      <c r="AY139" s="3008"/>
      <c r="AZ139" s="3008"/>
    </row>
    <row r="140" spans="2:52">
      <c r="C140" s="3008"/>
      <c r="D140" s="3008"/>
      <c r="E140" s="3008"/>
      <c r="F140" s="3008"/>
      <c r="G140" s="3008"/>
      <c r="H140" s="3008"/>
      <c r="I140" s="3008"/>
      <c r="J140" s="3008"/>
      <c r="K140" s="3008"/>
      <c r="L140" s="3008"/>
      <c r="M140" s="3008"/>
      <c r="N140" s="3008"/>
      <c r="O140" s="3008"/>
      <c r="P140" s="3008"/>
      <c r="Q140" s="3008"/>
      <c r="R140" s="3008"/>
      <c r="S140" s="3008"/>
      <c r="T140" s="3008"/>
      <c r="U140" s="3008"/>
      <c r="V140" s="3008"/>
      <c r="W140" s="3008"/>
      <c r="X140" s="3008"/>
      <c r="Y140" s="3008"/>
      <c r="Z140" s="3008"/>
      <c r="AA140" s="3008"/>
      <c r="AB140" s="3008"/>
      <c r="AC140" s="3008"/>
      <c r="AD140" s="3008"/>
      <c r="AE140" s="3008"/>
      <c r="AF140" s="3008"/>
      <c r="AG140" s="3008"/>
      <c r="AH140" s="3008"/>
      <c r="AI140" s="3008"/>
      <c r="AJ140" s="3008"/>
      <c r="AK140" s="3008"/>
      <c r="AL140" s="3008"/>
      <c r="AM140" s="3008"/>
      <c r="AN140" s="3008"/>
      <c r="AO140" s="3008"/>
      <c r="AP140" s="3008"/>
      <c r="AQ140" s="3008"/>
      <c r="AR140" s="3008"/>
      <c r="AS140" s="3008"/>
      <c r="AT140" s="3008"/>
      <c r="AU140" s="3008"/>
      <c r="AV140" s="3008"/>
      <c r="AW140" s="3008"/>
      <c r="AX140" s="3008"/>
      <c r="AY140" s="3008"/>
      <c r="AZ140" s="3008"/>
    </row>
    <row r="141" spans="2:52" ht="13.5" hidden="1" customHeight="1" thickBot="1">
      <c r="C141" s="3008"/>
      <c r="D141" s="3008"/>
      <c r="E141" s="3008"/>
      <c r="F141" s="3008"/>
      <c r="G141" s="3008"/>
      <c r="H141" s="3008"/>
      <c r="I141" s="3008"/>
      <c r="J141" s="3008"/>
      <c r="K141" s="3008"/>
      <c r="L141" s="3008"/>
      <c r="M141" s="3008"/>
      <c r="N141" s="3008"/>
      <c r="O141" s="3008"/>
      <c r="P141" s="3008"/>
      <c r="Q141" s="3008"/>
      <c r="R141" s="3008"/>
      <c r="S141" s="3008"/>
      <c r="T141" s="3008"/>
      <c r="U141" s="3008"/>
      <c r="V141" s="3008"/>
      <c r="W141" s="3008"/>
      <c r="X141" s="3008"/>
      <c r="Y141" s="3008"/>
      <c r="Z141" s="3008"/>
      <c r="AA141" s="3008"/>
      <c r="AB141" s="3008"/>
      <c r="AC141" s="3008"/>
      <c r="AD141" s="3008"/>
      <c r="AE141" s="3008"/>
      <c r="AF141" s="3008"/>
      <c r="AG141" s="3008"/>
      <c r="AH141" s="3008"/>
      <c r="AI141" s="3008"/>
      <c r="AJ141" s="3008"/>
      <c r="AK141" s="3008"/>
      <c r="AL141" s="3008"/>
      <c r="AM141" s="3008"/>
      <c r="AN141" s="3008"/>
      <c r="AO141" s="3008"/>
      <c r="AP141" s="3008"/>
      <c r="AQ141" s="3008"/>
      <c r="AR141" s="3008"/>
      <c r="AS141" s="3008"/>
      <c r="AT141" s="3008"/>
      <c r="AU141" s="3008"/>
      <c r="AV141" s="3008"/>
      <c r="AW141" s="3008"/>
      <c r="AX141" s="3008"/>
      <c r="AY141" s="3008"/>
      <c r="AZ141" s="3008"/>
    </row>
    <row r="142" spans="2:52">
      <c r="C142" s="3008"/>
      <c r="D142" s="3008"/>
      <c r="E142" s="3008"/>
      <c r="F142" s="3008"/>
      <c r="G142" s="3008"/>
      <c r="H142" s="3008"/>
      <c r="I142" s="3008"/>
      <c r="J142" s="3008"/>
      <c r="K142" s="3008"/>
      <c r="L142" s="3008"/>
      <c r="M142" s="3008"/>
      <c r="N142" s="3008"/>
      <c r="O142" s="3008"/>
      <c r="P142" s="3008"/>
      <c r="Q142" s="3008"/>
      <c r="R142" s="3008"/>
      <c r="S142" s="3008"/>
      <c r="T142" s="3008"/>
      <c r="U142" s="3008"/>
      <c r="V142" s="3008"/>
      <c r="W142" s="3008"/>
      <c r="X142" s="3008"/>
      <c r="Y142" s="3008"/>
      <c r="Z142" s="3008"/>
      <c r="AA142" s="3008"/>
      <c r="AB142" s="3008"/>
      <c r="AC142" s="3008"/>
      <c r="AD142" s="3008"/>
      <c r="AE142" s="3008"/>
      <c r="AF142" s="3008"/>
      <c r="AG142" s="3008"/>
      <c r="AH142" s="3008"/>
      <c r="AI142" s="3008"/>
      <c r="AJ142" s="3008"/>
      <c r="AK142" s="3008"/>
      <c r="AL142" s="3008"/>
      <c r="AM142" s="3008"/>
      <c r="AN142" s="3008"/>
      <c r="AO142" s="3008"/>
      <c r="AP142" s="3008"/>
      <c r="AQ142" s="3008"/>
      <c r="AR142" s="3008"/>
      <c r="AS142" s="3008"/>
      <c r="AT142" s="3008"/>
      <c r="AU142" s="3008"/>
      <c r="AV142" s="3008"/>
      <c r="AW142" s="3008"/>
      <c r="AX142" s="3008"/>
      <c r="AY142" s="3008"/>
      <c r="AZ142" s="3008"/>
    </row>
    <row r="143" spans="2:52">
      <c r="C143" s="3008"/>
      <c r="D143" s="3008"/>
      <c r="E143" s="3008"/>
      <c r="F143" s="3008"/>
      <c r="G143" s="3008"/>
      <c r="H143" s="3008"/>
      <c r="I143" s="3008"/>
      <c r="J143" s="3008"/>
      <c r="K143" s="3008"/>
      <c r="L143" s="3008"/>
      <c r="M143" s="3008"/>
      <c r="N143" s="3008"/>
      <c r="O143" s="3008"/>
      <c r="P143" s="3008"/>
      <c r="Q143" s="3008"/>
      <c r="R143" s="3008"/>
      <c r="S143" s="3008"/>
      <c r="T143" s="3008"/>
      <c r="U143" s="3008"/>
      <c r="V143" s="3008"/>
      <c r="W143" s="3008"/>
      <c r="X143" s="3008"/>
      <c r="Y143" s="3008"/>
      <c r="Z143" s="3008"/>
      <c r="AA143" s="3008"/>
      <c r="AB143" s="3008"/>
      <c r="AC143" s="3008"/>
      <c r="AD143" s="3008"/>
      <c r="AE143" s="3008"/>
      <c r="AF143" s="3008"/>
      <c r="AG143" s="3008"/>
      <c r="AH143" s="3008"/>
      <c r="AI143" s="3008"/>
      <c r="AJ143" s="3008"/>
      <c r="AK143" s="3008"/>
      <c r="AL143" s="3008"/>
      <c r="AM143" s="3008"/>
      <c r="AN143" s="3008"/>
      <c r="AO143" s="3008"/>
      <c r="AP143" s="3008"/>
      <c r="AQ143" s="3008"/>
      <c r="AR143" s="3008"/>
      <c r="AS143" s="3008"/>
      <c r="AT143" s="3008"/>
      <c r="AU143" s="3008"/>
      <c r="AV143" s="3008"/>
      <c r="AW143" s="3008"/>
      <c r="AX143" s="3008"/>
      <c r="AY143" s="3008"/>
      <c r="AZ143" s="3008"/>
    </row>
    <row r="144" spans="2:52">
      <c r="C144" s="3008"/>
      <c r="D144" s="3008"/>
      <c r="E144" s="3008"/>
      <c r="F144" s="3008"/>
      <c r="G144" s="3008"/>
      <c r="H144" s="3008"/>
      <c r="I144" s="3008"/>
      <c r="J144" s="3008"/>
      <c r="K144" s="3008"/>
      <c r="L144" s="3008"/>
      <c r="M144" s="3008"/>
      <c r="N144" s="3008"/>
      <c r="O144" s="3008"/>
      <c r="P144" s="3008"/>
      <c r="Q144" s="3008"/>
      <c r="R144" s="3008"/>
      <c r="S144" s="3008"/>
      <c r="T144" s="3008"/>
      <c r="U144" s="3008"/>
      <c r="V144" s="3008"/>
      <c r="W144" s="3008"/>
      <c r="X144" s="3008"/>
      <c r="Y144" s="3008"/>
      <c r="Z144" s="3008"/>
      <c r="AA144" s="3008"/>
      <c r="AB144" s="3008"/>
      <c r="AC144" s="3008"/>
      <c r="AD144" s="3008"/>
      <c r="AE144" s="3008"/>
      <c r="AF144" s="3008"/>
      <c r="AG144" s="3008"/>
      <c r="AH144" s="3008"/>
      <c r="AI144" s="3008"/>
      <c r="AJ144" s="3008"/>
      <c r="AK144" s="3008"/>
      <c r="AL144" s="3008"/>
      <c r="AM144" s="3008"/>
      <c r="AN144" s="3008"/>
      <c r="AO144" s="3008"/>
      <c r="AP144" s="3008"/>
      <c r="AQ144" s="3008"/>
      <c r="AR144" s="3008"/>
      <c r="AS144" s="3008"/>
      <c r="AT144" s="3008"/>
      <c r="AU144" s="3008"/>
      <c r="AV144" s="3008"/>
      <c r="AW144" s="3008"/>
      <c r="AX144" s="3008"/>
      <c r="AY144" s="3008"/>
      <c r="AZ144" s="3008"/>
    </row>
    <row r="145" spans="3:52">
      <c r="C145" s="3008"/>
      <c r="D145" s="3008"/>
      <c r="E145" s="3008"/>
      <c r="F145" s="3008"/>
      <c r="G145" s="3008"/>
      <c r="H145" s="3008"/>
      <c r="I145" s="3008"/>
      <c r="J145" s="3008"/>
      <c r="K145" s="3008"/>
      <c r="L145" s="3008"/>
      <c r="M145" s="3008"/>
      <c r="N145" s="3008"/>
      <c r="O145" s="3008"/>
      <c r="P145" s="3008"/>
      <c r="Q145" s="3008"/>
      <c r="R145" s="3008"/>
      <c r="S145" s="3008"/>
      <c r="T145" s="3008"/>
      <c r="U145" s="3008"/>
      <c r="V145" s="3008"/>
      <c r="W145" s="3008"/>
      <c r="X145" s="3008"/>
      <c r="Y145" s="3008"/>
      <c r="Z145" s="3008"/>
      <c r="AA145" s="3008"/>
      <c r="AB145" s="3008"/>
      <c r="AC145" s="3008"/>
      <c r="AD145" s="3008"/>
      <c r="AE145" s="3008"/>
      <c r="AF145" s="3008"/>
      <c r="AG145" s="3008"/>
      <c r="AH145" s="3008"/>
      <c r="AI145" s="3008"/>
      <c r="AJ145" s="3008"/>
      <c r="AK145" s="3008"/>
      <c r="AL145" s="3008"/>
      <c r="AM145" s="3008"/>
      <c r="AN145" s="3008"/>
      <c r="AO145" s="3008"/>
      <c r="AP145" s="3008"/>
      <c r="AQ145" s="3008"/>
      <c r="AR145" s="3008"/>
      <c r="AS145" s="3008"/>
      <c r="AT145" s="3008"/>
      <c r="AU145" s="3008"/>
      <c r="AV145" s="3008"/>
      <c r="AW145" s="3008"/>
      <c r="AX145" s="3008"/>
      <c r="AY145" s="3008"/>
      <c r="AZ145" s="3008"/>
    </row>
    <row r="146" spans="3:52" ht="19.95" customHeight="1">
      <c r="C146" s="3008"/>
      <c r="D146" s="3008"/>
      <c r="E146" s="3008"/>
      <c r="F146" s="3008"/>
      <c r="G146" s="3008"/>
      <c r="H146" s="3008"/>
      <c r="I146" s="3008"/>
      <c r="J146" s="3008"/>
      <c r="K146" s="3008"/>
      <c r="L146" s="3008"/>
      <c r="M146" s="3008"/>
      <c r="N146" s="3008"/>
      <c r="O146" s="3008"/>
      <c r="P146" s="3008"/>
      <c r="Q146" s="3008"/>
      <c r="R146" s="3008"/>
      <c r="S146" s="3008"/>
      <c r="T146" s="3008"/>
      <c r="U146" s="3008"/>
      <c r="V146" s="3008"/>
      <c r="W146" s="3008"/>
      <c r="X146" s="3008"/>
      <c r="Y146" s="3008"/>
      <c r="Z146" s="3008"/>
      <c r="AA146" s="3008"/>
      <c r="AB146" s="3008"/>
      <c r="AC146" s="3008"/>
      <c r="AD146" s="3008"/>
      <c r="AE146" s="3008"/>
      <c r="AF146" s="3008"/>
      <c r="AG146" s="3008"/>
      <c r="AH146" s="3008"/>
      <c r="AI146" s="3008"/>
      <c r="AJ146" s="3008"/>
      <c r="AK146" s="3008"/>
      <c r="AL146" s="3008"/>
      <c r="AM146" s="3008"/>
      <c r="AN146" s="3008"/>
      <c r="AO146" s="3008"/>
      <c r="AP146" s="3008"/>
      <c r="AQ146" s="3008"/>
      <c r="AR146" s="3008"/>
      <c r="AS146" s="3008"/>
      <c r="AT146" s="3008"/>
      <c r="AU146" s="3008"/>
      <c r="AV146" s="3008"/>
      <c r="AW146" s="3008"/>
      <c r="AX146" s="3008"/>
      <c r="AY146" s="3008"/>
      <c r="AZ146" s="3008"/>
    </row>
    <row r="147" spans="3:52" ht="25.5" customHeight="1">
      <c r="C147" s="3008"/>
      <c r="D147" s="3008"/>
      <c r="E147" s="3008"/>
      <c r="F147" s="3008"/>
      <c r="G147" s="3008"/>
      <c r="H147" s="3008"/>
      <c r="I147" s="3008"/>
      <c r="J147" s="3008"/>
      <c r="K147" s="3008"/>
      <c r="L147" s="3008"/>
      <c r="M147" s="3008"/>
      <c r="N147" s="3008"/>
      <c r="O147" s="3008"/>
      <c r="P147" s="3008"/>
      <c r="Q147" s="3008"/>
      <c r="R147" s="3008"/>
      <c r="S147" s="3008"/>
      <c r="T147" s="3008"/>
      <c r="U147" s="3008"/>
      <c r="V147" s="3008"/>
      <c r="W147" s="3008"/>
      <c r="X147" s="3008"/>
      <c r="Y147" s="3008"/>
      <c r="Z147" s="3008"/>
      <c r="AA147" s="3008"/>
      <c r="AB147" s="3008"/>
      <c r="AC147" s="3008"/>
      <c r="AD147" s="3008"/>
      <c r="AE147" s="3008"/>
      <c r="AF147" s="3008"/>
      <c r="AG147" s="3008"/>
      <c r="AH147" s="3008"/>
      <c r="AI147" s="3008"/>
      <c r="AJ147" s="3008"/>
      <c r="AK147" s="3008"/>
      <c r="AL147" s="3008"/>
      <c r="AM147" s="3008"/>
      <c r="AN147" s="3008"/>
      <c r="AO147" s="3008"/>
      <c r="AP147" s="3008"/>
      <c r="AQ147" s="3008"/>
      <c r="AR147" s="3008"/>
      <c r="AS147" s="3008"/>
      <c r="AT147" s="3008"/>
      <c r="AU147" s="3008"/>
      <c r="AV147" s="3008"/>
      <c r="AW147" s="3008"/>
      <c r="AX147" s="3008"/>
      <c r="AY147" s="3008"/>
      <c r="AZ147" s="3008"/>
    </row>
    <row r="148" spans="3:52">
      <c r="C148" s="3008"/>
      <c r="D148" s="3008"/>
      <c r="E148" s="3008"/>
      <c r="F148" s="3008"/>
      <c r="G148" s="3008"/>
      <c r="H148" s="3008"/>
      <c r="I148" s="3008"/>
      <c r="J148" s="3008"/>
      <c r="K148" s="3008"/>
      <c r="L148" s="3008"/>
      <c r="M148" s="3008"/>
      <c r="N148" s="3008"/>
      <c r="O148" s="3008"/>
      <c r="P148" s="3008"/>
      <c r="Q148" s="3008"/>
      <c r="R148" s="3008"/>
      <c r="S148" s="3008"/>
      <c r="T148" s="3008"/>
      <c r="U148" s="3008"/>
      <c r="V148" s="3008"/>
      <c r="W148" s="3008"/>
      <c r="X148" s="3008"/>
      <c r="Y148" s="3008"/>
      <c r="Z148" s="3008"/>
      <c r="AA148" s="3008"/>
      <c r="AB148" s="3008"/>
      <c r="AC148" s="3008"/>
      <c r="AD148" s="3008"/>
      <c r="AE148" s="3008"/>
      <c r="AF148" s="3008"/>
      <c r="AG148" s="3008"/>
      <c r="AH148" s="3008"/>
      <c r="AI148" s="3008"/>
      <c r="AJ148" s="3008"/>
      <c r="AK148" s="3008"/>
      <c r="AL148" s="3008"/>
      <c r="AM148" s="3008"/>
      <c r="AN148" s="3008"/>
      <c r="AO148" s="3008"/>
      <c r="AP148" s="3008"/>
      <c r="AQ148" s="3008"/>
      <c r="AR148" s="3008"/>
      <c r="AS148" s="3008"/>
      <c r="AT148" s="3008"/>
      <c r="AU148" s="3008"/>
      <c r="AV148" s="3008"/>
      <c r="AW148" s="3008"/>
      <c r="AX148" s="3008"/>
      <c r="AY148" s="3008"/>
      <c r="AZ148" s="3008"/>
    </row>
    <row r="149" spans="3:52">
      <c r="C149" s="3008"/>
      <c r="D149" s="3008"/>
      <c r="E149" s="3008"/>
      <c r="F149" s="3008"/>
      <c r="G149" s="3008"/>
      <c r="H149" s="3008"/>
      <c r="I149" s="3008"/>
      <c r="J149" s="3008"/>
      <c r="K149" s="3008"/>
      <c r="L149" s="3008"/>
      <c r="M149" s="3008"/>
      <c r="N149" s="3008"/>
      <c r="O149" s="3008"/>
      <c r="P149" s="3008"/>
      <c r="Q149" s="3008"/>
      <c r="R149" s="3008"/>
      <c r="S149" s="3008"/>
      <c r="T149" s="3008"/>
      <c r="U149" s="3008"/>
      <c r="V149" s="3008"/>
      <c r="W149" s="3008"/>
      <c r="X149" s="3008"/>
      <c r="Y149" s="3008"/>
      <c r="Z149" s="3008"/>
      <c r="AA149" s="3008"/>
      <c r="AB149" s="3008"/>
      <c r="AC149" s="3008"/>
      <c r="AD149" s="3008"/>
      <c r="AE149" s="3008"/>
      <c r="AF149" s="3008"/>
      <c r="AG149" s="3008"/>
      <c r="AH149" s="3008"/>
      <c r="AI149" s="3008"/>
      <c r="AJ149" s="3008"/>
      <c r="AK149" s="3008"/>
      <c r="AL149" s="3008"/>
      <c r="AM149" s="3008"/>
      <c r="AN149" s="3008"/>
      <c r="AO149" s="3008"/>
      <c r="AP149" s="3008"/>
      <c r="AQ149" s="3008"/>
      <c r="AR149" s="3008"/>
      <c r="AS149" s="3008"/>
      <c r="AT149" s="3008"/>
      <c r="AU149" s="3008"/>
      <c r="AV149" s="3008"/>
      <c r="AW149" s="3008"/>
      <c r="AX149" s="3008"/>
      <c r="AY149" s="3008"/>
      <c r="AZ149" s="3008"/>
    </row>
    <row r="150" spans="3:52">
      <c r="C150" s="3008"/>
      <c r="D150" s="3008"/>
      <c r="E150" s="3008"/>
      <c r="F150" s="3008"/>
      <c r="G150" s="3008"/>
      <c r="H150" s="3008"/>
      <c r="I150" s="3008"/>
      <c r="J150" s="3008"/>
      <c r="K150" s="3008"/>
      <c r="L150" s="3008"/>
      <c r="M150" s="3008"/>
      <c r="N150" s="3008"/>
      <c r="O150" s="3008"/>
      <c r="P150" s="3008"/>
      <c r="Q150" s="3008"/>
      <c r="R150" s="3008"/>
      <c r="S150" s="3008"/>
      <c r="T150" s="3008"/>
      <c r="U150" s="3008"/>
      <c r="V150" s="3008"/>
      <c r="W150" s="3008"/>
      <c r="X150" s="3008"/>
      <c r="Y150" s="3008"/>
      <c r="Z150" s="3008"/>
      <c r="AA150" s="3008"/>
      <c r="AB150" s="3008"/>
      <c r="AC150" s="3008"/>
      <c r="AD150" s="3008"/>
      <c r="AE150" s="3008"/>
      <c r="AF150" s="3008"/>
      <c r="AG150" s="3008"/>
      <c r="AH150" s="3008"/>
      <c r="AI150" s="3008"/>
      <c r="AJ150" s="3008"/>
      <c r="AK150" s="3008"/>
      <c r="AL150" s="3008"/>
      <c r="AM150" s="3008"/>
      <c r="AN150" s="3008"/>
      <c r="AO150" s="3008"/>
      <c r="AP150" s="3008"/>
      <c r="AQ150" s="3008"/>
      <c r="AR150" s="3008"/>
      <c r="AS150" s="3008"/>
      <c r="AT150" s="3008"/>
      <c r="AU150" s="3008"/>
      <c r="AV150" s="3008"/>
      <c r="AW150" s="3008"/>
      <c r="AX150" s="3008"/>
      <c r="AY150" s="3008"/>
      <c r="AZ150" s="3008"/>
    </row>
    <row r="151" spans="3:52">
      <c r="C151" s="3008"/>
      <c r="D151" s="3008"/>
      <c r="E151" s="3008"/>
      <c r="F151" s="3008"/>
      <c r="G151" s="3008"/>
      <c r="H151" s="3008"/>
      <c r="I151" s="3008"/>
      <c r="J151" s="3008"/>
      <c r="K151" s="3008"/>
      <c r="L151" s="3008"/>
      <c r="M151" s="3008"/>
      <c r="N151" s="3008"/>
      <c r="O151" s="3008"/>
      <c r="P151" s="3008"/>
      <c r="Q151" s="3008"/>
      <c r="R151" s="3008"/>
      <c r="S151" s="3008"/>
      <c r="T151" s="3008"/>
      <c r="U151" s="3008"/>
      <c r="V151" s="3008"/>
      <c r="W151" s="3008"/>
      <c r="X151" s="3008"/>
      <c r="Y151" s="3008"/>
      <c r="Z151" s="3008"/>
      <c r="AA151" s="3008"/>
      <c r="AB151" s="3008"/>
      <c r="AC151" s="3008"/>
      <c r="AD151" s="3008"/>
      <c r="AE151" s="3008"/>
      <c r="AF151" s="3008"/>
      <c r="AG151" s="3008"/>
      <c r="AH151" s="3008"/>
      <c r="AI151" s="3008"/>
      <c r="AJ151" s="3008"/>
      <c r="AK151" s="3008"/>
      <c r="AL151" s="3008"/>
      <c r="AM151" s="3008"/>
      <c r="AN151" s="3008"/>
      <c r="AO151" s="3008"/>
      <c r="AP151" s="3008"/>
      <c r="AQ151" s="3008"/>
      <c r="AR151" s="3008"/>
      <c r="AS151" s="3008"/>
      <c r="AT151" s="3008"/>
      <c r="AU151" s="3008"/>
      <c r="AV151" s="3008"/>
      <c r="AW151" s="3008"/>
      <c r="AX151" s="3008"/>
      <c r="AY151" s="3008"/>
      <c r="AZ151" s="3008"/>
    </row>
    <row r="152" spans="3:52">
      <c r="C152" s="3008"/>
      <c r="D152" s="3008"/>
      <c r="E152" s="3008"/>
      <c r="F152" s="3008"/>
      <c r="G152" s="3008"/>
      <c r="H152" s="3008"/>
      <c r="I152" s="3008"/>
      <c r="J152" s="3008"/>
      <c r="K152" s="3008"/>
      <c r="L152" s="3008"/>
      <c r="M152" s="3008"/>
      <c r="N152" s="3008"/>
      <c r="O152" s="3008"/>
      <c r="P152" s="3008"/>
      <c r="Q152" s="3008"/>
      <c r="R152" s="3008"/>
      <c r="S152" s="3008"/>
      <c r="T152" s="3008"/>
      <c r="U152" s="3008"/>
      <c r="V152" s="3008"/>
      <c r="W152" s="3008"/>
      <c r="X152" s="3008"/>
      <c r="Y152" s="3008"/>
      <c r="Z152" s="3008"/>
      <c r="AA152" s="3008"/>
      <c r="AB152" s="3008"/>
      <c r="AC152" s="3008"/>
      <c r="AD152" s="3008"/>
      <c r="AE152" s="3008"/>
      <c r="AF152" s="3008"/>
      <c r="AG152" s="3008"/>
      <c r="AH152" s="3008"/>
      <c r="AI152" s="3008"/>
      <c r="AJ152" s="3008"/>
      <c r="AK152" s="3008"/>
      <c r="AL152" s="3008"/>
      <c r="AM152" s="3008"/>
      <c r="AN152" s="3008"/>
      <c r="AO152" s="3008"/>
      <c r="AP152" s="3008"/>
      <c r="AQ152" s="3008"/>
      <c r="AR152" s="3008"/>
      <c r="AS152" s="3008"/>
      <c r="AT152" s="3008"/>
      <c r="AU152" s="3008"/>
      <c r="AV152" s="3008"/>
      <c r="AW152" s="3008"/>
      <c r="AX152" s="3008"/>
      <c r="AY152" s="3008"/>
      <c r="AZ152" s="3008"/>
    </row>
    <row r="153" spans="3:52">
      <c r="C153" s="3008"/>
      <c r="D153" s="3008"/>
      <c r="E153" s="3008"/>
      <c r="F153" s="3008"/>
      <c r="G153" s="3008"/>
      <c r="H153" s="3008"/>
      <c r="I153" s="3008"/>
      <c r="J153" s="3008"/>
      <c r="K153" s="3008"/>
      <c r="L153" s="3008"/>
      <c r="M153" s="3008"/>
      <c r="N153" s="3008"/>
      <c r="O153" s="3008"/>
      <c r="P153" s="3008"/>
      <c r="Q153" s="3008"/>
      <c r="R153" s="3008"/>
      <c r="S153" s="3008"/>
      <c r="T153" s="3008"/>
      <c r="U153" s="3008"/>
      <c r="V153" s="3008"/>
      <c r="W153" s="3008"/>
      <c r="X153" s="3008"/>
      <c r="Y153" s="3008"/>
      <c r="Z153" s="3008"/>
      <c r="AA153" s="3008"/>
      <c r="AB153" s="3008"/>
      <c r="AC153" s="3008"/>
      <c r="AD153" s="3008"/>
      <c r="AE153" s="3008"/>
      <c r="AF153" s="3008"/>
      <c r="AG153" s="3008"/>
      <c r="AH153" s="3008"/>
      <c r="AI153" s="3008"/>
      <c r="AJ153" s="3008"/>
      <c r="AK153" s="3008"/>
      <c r="AL153" s="3008"/>
      <c r="AM153" s="3008"/>
      <c r="AN153" s="3008"/>
      <c r="AO153" s="3008"/>
      <c r="AP153" s="3008"/>
      <c r="AQ153" s="3008"/>
      <c r="AR153" s="3008"/>
      <c r="AS153" s="3008"/>
      <c r="AT153" s="3008"/>
      <c r="AU153" s="3008"/>
      <c r="AV153" s="3008"/>
      <c r="AW153" s="3008"/>
      <c r="AX153" s="3008"/>
      <c r="AY153" s="3008"/>
      <c r="AZ153" s="3008"/>
    </row>
    <row r="154" spans="3:52">
      <c r="C154" s="3008"/>
      <c r="D154" s="3008"/>
      <c r="E154" s="3008"/>
      <c r="F154" s="3008"/>
      <c r="G154" s="3008"/>
      <c r="H154" s="3008"/>
      <c r="I154" s="3008"/>
      <c r="J154" s="3008"/>
      <c r="K154" s="3008"/>
      <c r="L154" s="3008"/>
      <c r="M154" s="3008"/>
      <c r="N154" s="3008"/>
      <c r="O154" s="3008"/>
      <c r="P154" s="3008"/>
      <c r="Q154" s="3008"/>
      <c r="R154" s="3008"/>
      <c r="S154" s="3008"/>
      <c r="T154" s="3008"/>
      <c r="U154" s="3008"/>
      <c r="V154" s="3008"/>
      <c r="W154" s="3008"/>
      <c r="X154" s="3008"/>
      <c r="Y154" s="3008"/>
      <c r="Z154" s="3008"/>
      <c r="AA154" s="3008"/>
      <c r="AB154" s="3008"/>
      <c r="AC154" s="3008"/>
      <c r="AD154" s="3008"/>
      <c r="AE154" s="3008"/>
      <c r="AF154" s="3008"/>
      <c r="AG154" s="3008"/>
      <c r="AH154" s="3008"/>
      <c r="AI154" s="3008"/>
      <c r="AJ154" s="3008"/>
      <c r="AK154" s="3008"/>
      <c r="AL154" s="3008"/>
      <c r="AM154" s="3008"/>
      <c r="AN154" s="3008"/>
      <c r="AO154" s="3008"/>
      <c r="AP154" s="3008"/>
      <c r="AQ154" s="3008"/>
      <c r="AR154" s="3008"/>
      <c r="AS154" s="3008"/>
      <c r="AT154" s="3008"/>
      <c r="AU154" s="3008"/>
      <c r="AV154" s="3008"/>
      <c r="AW154" s="3008"/>
      <c r="AX154" s="3008"/>
      <c r="AY154" s="3008"/>
      <c r="AZ154" s="3008"/>
    </row>
    <row r="155" spans="3:52">
      <c r="C155" s="3008"/>
      <c r="D155" s="3008"/>
      <c r="E155" s="3008"/>
      <c r="F155" s="3008"/>
      <c r="G155" s="3008"/>
      <c r="H155" s="3008"/>
      <c r="I155" s="3008"/>
      <c r="J155" s="3008"/>
      <c r="K155" s="3008"/>
      <c r="L155" s="3008"/>
      <c r="M155" s="3008"/>
      <c r="N155" s="3008"/>
      <c r="O155" s="3008"/>
      <c r="P155" s="3008"/>
      <c r="Q155" s="3008"/>
      <c r="R155" s="3008"/>
      <c r="S155" s="3008"/>
      <c r="T155" s="3008"/>
      <c r="U155" s="3008"/>
      <c r="V155" s="3008"/>
      <c r="W155" s="3008"/>
      <c r="X155" s="3008"/>
      <c r="Y155" s="3008"/>
      <c r="Z155" s="3008"/>
      <c r="AA155" s="3008"/>
      <c r="AB155" s="3008"/>
      <c r="AC155" s="3008"/>
      <c r="AD155" s="3008"/>
      <c r="AE155" s="3008"/>
      <c r="AF155" s="3008"/>
      <c r="AG155" s="3008"/>
      <c r="AH155" s="3008"/>
      <c r="AI155" s="3008"/>
      <c r="AJ155" s="3008"/>
      <c r="AK155" s="3008"/>
      <c r="AL155" s="3008"/>
      <c r="AM155" s="3008"/>
      <c r="AN155" s="3008"/>
      <c r="AO155" s="3008"/>
      <c r="AP155" s="3008"/>
      <c r="AQ155" s="3008"/>
      <c r="AR155" s="3008"/>
      <c r="AS155" s="3008"/>
      <c r="AT155" s="3008"/>
      <c r="AU155" s="3008"/>
      <c r="AV155" s="3008"/>
      <c r="AW155" s="3008"/>
      <c r="AX155" s="3008"/>
      <c r="AY155" s="3008"/>
      <c r="AZ155" s="3008"/>
    </row>
    <row r="156" spans="3:52">
      <c r="C156" s="3008"/>
      <c r="D156" s="3008"/>
      <c r="E156" s="3008"/>
      <c r="F156" s="3008"/>
      <c r="G156" s="3008"/>
      <c r="H156" s="3008"/>
      <c r="I156" s="3008"/>
      <c r="J156" s="3008"/>
      <c r="K156" s="3008"/>
      <c r="L156" s="3008"/>
      <c r="M156" s="3008"/>
      <c r="N156" s="3008"/>
      <c r="O156" s="3008"/>
      <c r="P156" s="3008"/>
      <c r="Q156" s="3008"/>
      <c r="R156" s="3008"/>
      <c r="S156" s="3008"/>
      <c r="T156" s="3008"/>
      <c r="U156" s="3008"/>
      <c r="V156" s="3008"/>
      <c r="W156" s="3008"/>
      <c r="X156" s="3008"/>
      <c r="Y156" s="3008"/>
      <c r="Z156" s="3008"/>
      <c r="AA156" s="3008"/>
      <c r="AB156" s="3008"/>
      <c r="AC156" s="3008"/>
      <c r="AD156" s="3008"/>
      <c r="AE156" s="3008"/>
      <c r="AF156" s="3008"/>
      <c r="AG156" s="3008"/>
      <c r="AH156" s="3008"/>
      <c r="AI156" s="3008"/>
      <c r="AJ156" s="3008"/>
      <c r="AK156" s="3008"/>
      <c r="AL156" s="3008"/>
      <c r="AM156" s="3008"/>
      <c r="AN156" s="3008"/>
      <c r="AO156" s="3008"/>
      <c r="AP156" s="3008"/>
      <c r="AQ156" s="3008"/>
      <c r="AR156" s="3008"/>
      <c r="AS156" s="3008"/>
      <c r="AT156" s="3008"/>
      <c r="AU156" s="3008"/>
      <c r="AV156" s="3008"/>
      <c r="AW156" s="3008"/>
      <c r="AX156" s="3008"/>
      <c r="AY156" s="3008"/>
      <c r="AZ156" s="3008"/>
    </row>
    <row r="157" spans="3:52">
      <c r="C157" s="3008"/>
      <c r="D157" s="3008"/>
      <c r="E157" s="3008"/>
      <c r="F157" s="3008"/>
      <c r="G157" s="3008"/>
      <c r="H157" s="3008"/>
      <c r="I157" s="3008"/>
      <c r="J157" s="3008"/>
      <c r="K157" s="3008"/>
      <c r="L157" s="3008"/>
      <c r="M157" s="3008"/>
      <c r="N157" s="3008"/>
      <c r="O157" s="3008"/>
      <c r="P157" s="3008"/>
      <c r="Q157" s="3008"/>
      <c r="R157" s="3008"/>
      <c r="S157" s="3008"/>
      <c r="T157" s="3008"/>
      <c r="U157" s="3008"/>
      <c r="V157" s="3008"/>
      <c r="W157" s="3008"/>
      <c r="X157" s="3008"/>
      <c r="Y157" s="3008"/>
      <c r="Z157" s="3008"/>
      <c r="AA157" s="3008"/>
      <c r="AB157" s="3008"/>
      <c r="AC157" s="3008"/>
      <c r="AD157" s="3008"/>
      <c r="AE157" s="3008"/>
      <c r="AF157" s="3008"/>
      <c r="AG157" s="3008"/>
      <c r="AH157" s="3008"/>
      <c r="AI157" s="3008"/>
      <c r="AJ157" s="3008"/>
      <c r="AK157" s="3008"/>
      <c r="AL157" s="3008"/>
      <c r="AM157" s="3008"/>
      <c r="AN157" s="3008"/>
      <c r="AO157" s="3008"/>
      <c r="AP157" s="3008"/>
      <c r="AQ157" s="3008"/>
      <c r="AR157" s="3008"/>
      <c r="AS157" s="3008"/>
      <c r="AT157" s="3008"/>
      <c r="AU157" s="3008"/>
      <c r="AV157" s="3008"/>
      <c r="AW157" s="3008"/>
      <c r="AX157" s="3008"/>
      <c r="AY157" s="3008"/>
      <c r="AZ157" s="3008"/>
    </row>
    <row r="158" spans="3:52">
      <c r="C158" s="3008"/>
      <c r="D158" s="3008"/>
      <c r="E158" s="3008"/>
      <c r="F158" s="3008"/>
      <c r="G158" s="3008"/>
      <c r="H158" s="3008"/>
      <c r="I158" s="3008"/>
      <c r="J158" s="3008"/>
      <c r="K158" s="3008"/>
      <c r="L158" s="3008"/>
      <c r="M158" s="3008"/>
      <c r="N158" s="3008"/>
      <c r="O158" s="3008"/>
      <c r="P158" s="3008"/>
      <c r="Q158" s="3008"/>
      <c r="R158" s="3008"/>
      <c r="S158" s="3008"/>
      <c r="T158" s="3008"/>
      <c r="U158" s="3008"/>
      <c r="V158" s="3008"/>
      <c r="W158" s="3008"/>
      <c r="X158" s="3008"/>
      <c r="Y158" s="3008"/>
      <c r="Z158" s="3008"/>
      <c r="AA158" s="3008"/>
      <c r="AB158" s="3008"/>
      <c r="AC158" s="3008"/>
      <c r="AD158" s="3008"/>
      <c r="AE158" s="3008"/>
      <c r="AF158" s="3008"/>
      <c r="AG158" s="3008"/>
      <c r="AH158" s="3008"/>
      <c r="AI158" s="3008"/>
      <c r="AJ158" s="3008"/>
      <c r="AK158" s="3008"/>
      <c r="AL158" s="3008"/>
      <c r="AM158" s="3008"/>
      <c r="AN158" s="3008"/>
      <c r="AO158" s="3008"/>
      <c r="AP158" s="3008"/>
      <c r="AQ158" s="3008"/>
      <c r="AR158" s="3008"/>
      <c r="AS158" s="3008"/>
      <c r="AT158" s="3008"/>
      <c r="AU158" s="3008"/>
      <c r="AV158" s="3008"/>
      <c r="AW158" s="3008"/>
      <c r="AX158" s="3008"/>
      <c r="AY158" s="3008"/>
      <c r="AZ158" s="3008"/>
    </row>
    <row r="159" spans="3:52">
      <c r="C159" s="3008"/>
      <c r="D159" s="3008"/>
      <c r="E159" s="3008"/>
      <c r="F159" s="3008"/>
      <c r="G159" s="3008"/>
      <c r="H159" s="3008"/>
      <c r="I159" s="3008"/>
      <c r="J159" s="3008"/>
      <c r="K159" s="3008"/>
      <c r="L159" s="3008"/>
      <c r="M159" s="3008"/>
      <c r="N159" s="3008"/>
      <c r="O159" s="3008"/>
      <c r="P159" s="3008"/>
      <c r="Q159" s="3008"/>
      <c r="R159" s="3008"/>
      <c r="S159" s="3008"/>
      <c r="T159" s="3008"/>
      <c r="U159" s="3008"/>
      <c r="V159" s="3008"/>
      <c r="W159" s="3008"/>
      <c r="X159" s="3008"/>
      <c r="Y159" s="3008"/>
      <c r="Z159" s="3008"/>
      <c r="AA159" s="3008"/>
      <c r="AB159" s="3008"/>
      <c r="AC159" s="3008"/>
      <c r="AD159" s="3008"/>
      <c r="AE159" s="3008"/>
      <c r="AF159" s="3008"/>
      <c r="AG159" s="3008"/>
      <c r="AH159" s="3008"/>
      <c r="AI159" s="3008"/>
      <c r="AJ159" s="3008"/>
      <c r="AK159" s="3008"/>
      <c r="AL159" s="3008"/>
      <c r="AM159" s="3008"/>
      <c r="AN159" s="3008"/>
      <c r="AO159" s="3008"/>
      <c r="AP159" s="3008"/>
      <c r="AQ159" s="3008"/>
      <c r="AR159" s="3008"/>
      <c r="AS159" s="3008"/>
      <c r="AT159" s="3008"/>
      <c r="AU159" s="3008"/>
      <c r="AV159" s="3008"/>
      <c r="AW159" s="3008"/>
      <c r="AX159" s="3008"/>
      <c r="AY159" s="3008"/>
      <c r="AZ159" s="3008"/>
    </row>
    <row r="160" spans="3:52">
      <c r="C160" s="3008"/>
      <c r="D160" s="3008"/>
      <c r="E160" s="3008"/>
      <c r="F160" s="3008"/>
      <c r="G160" s="3008"/>
      <c r="H160" s="3008"/>
      <c r="I160" s="3008"/>
      <c r="J160" s="3008"/>
      <c r="K160" s="3008"/>
      <c r="L160" s="3008"/>
      <c r="M160" s="3008"/>
      <c r="N160" s="3008"/>
      <c r="O160" s="3008"/>
      <c r="P160" s="3008"/>
      <c r="Q160" s="3008"/>
      <c r="R160" s="3008"/>
      <c r="S160" s="3008"/>
      <c r="T160" s="3008"/>
      <c r="U160" s="3008"/>
      <c r="V160" s="3008"/>
      <c r="W160" s="3008"/>
      <c r="X160" s="3008"/>
      <c r="Y160" s="3008"/>
      <c r="Z160" s="3008"/>
      <c r="AA160" s="3008"/>
      <c r="AB160" s="3008"/>
      <c r="AC160" s="3008"/>
      <c r="AD160" s="3008"/>
      <c r="AE160" s="3008"/>
      <c r="AF160" s="3008"/>
      <c r="AG160" s="3008"/>
      <c r="AH160" s="3008"/>
      <c r="AI160" s="3008"/>
      <c r="AJ160" s="3008"/>
      <c r="AK160" s="3008"/>
      <c r="AL160" s="3008"/>
      <c r="AM160" s="3008"/>
      <c r="AN160" s="3008"/>
      <c r="AO160" s="3008"/>
      <c r="AP160" s="3008"/>
      <c r="AQ160" s="3008"/>
      <c r="AR160" s="3008"/>
      <c r="AS160" s="3008"/>
      <c r="AT160" s="3008"/>
      <c r="AU160" s="3008"/>
      <c r="AV160" s="3008"/>
      <c r="AW160" s="3008"/>
      <c r="AX160" s="3008"/>
      <c r="AY160" s="3008"/>
      <c r="AZ160" s="3008"/>
    </row>
    <row r="161" spans="3:52">
      <c r="C161" s="3008"/>
      <c r="D161" s="3008"/>
      <c r="E161" s="3008"/>
      <c r="F161" s="3008"/>
      <c r="G161" s="3008"/>
      <c r="H161" s="3008"/>
      <c r="I161" s="3008"/>
      <c r="J161" s="3008"/>
      <c r="K161" s="3008"/>
      <c r="L161" s="3008"/>
      <c r="M161" s="3008"/>
      <c r="N161" s="3008"/>
      <c r="O161" s="3008"/>
      <c r="P161" s="3008"/>
      <c r="Q161" s="3008"/>
      <c r="R161" s="3008"/>
      <c r="S161" s="3008"/>
      <c r="T161" s="3008"/>
      <c r="U161" s="3008"/>
      <c r="V161" s="3008"/>
      <c r="W161" s="3008"/>
      <c r="X161" s="3008"/>
      <c r="Y161" s="3008"/>
      <c r="Z161" s="3008"/>
      <c r="AA161" s="3008"/>
      <c r="AB161" s="3008"/>
      <c r="AC161" s="3008"/>
      <c r="AD161" s="3008"/>
      <c r="AE161" s="3008"/>
      <c r="AF161" s="3008"/>
      <c r="AG161" s="3008"/>
      <c r="AH161" s="3008"/>
      <c r="AI161" s="3008"/>
      <c r="AJ161" s="3008"/>
      <c r="AK161" s="3008"/>
      <c r="AL161" s="3008"/>
      <c r="AM161" s="3008"/>
      <c r="AN161" s="3008"/>
      <c r="AO161" s="3008"/>
      <c r="AP161" s="3008"/>
      <c r="AQ161" s="3008"/>
      <c r="AR161" s="3008"/>
      <c r="AS161" s="3008"/>
      <c r="AT161" s="3008"/>
      <c r="AU161" s="3008"/>
      <c r="AV161" s="3008"/>
      <c r="AW161" s="3008"/>
      <c r="AX161" s="3008"/>
      <c r="AY161" s="3008"/>
      <c r="AZ161" s="3008"/>
    </row>
    <row r="162" spans="3:52">
      <c r="P162" s="29"/>
      <c r="Q162" s="29"/>
      <c r="R162" s="29"/>
      <c r="S162" s="29"/>
      <c r="T162" s="29"/>
      <c r="U162" s="29"/>
      <c r="V162" s="29"/>
    </row>
    <row r="163" spans="3:52">
      <c r="P163" s="29"/>
      <c r="Q163" s="29"/>
      <c r="R163" s="29"/>
      <c r="S163" s="29"/>
      <c r="T163" s="29"/>
      <c r="U163" s="29"/>
      <c r="V163" s="29"/>
    </row>
    <row r="164" spans="3:52">
      <c r="P164" s="29"/>
      <c r="Q164" s="29"/>
      <c r="R164" s="29"/>
      <c r="S164" s="29"/>
      <c r="T164" s="29"/>
      <c r="U164" s="29"/>
      <c r="V164" s="29"/>
    </row>
    <row r="165" spans="3:52">
      <c r="P165" s="29"/>
      <c r="Q165" s="29"/>
      <c r="R165" s="29"/>
      <c r="S165" s="29"/>
      <c r="T165" s="29"/>
      <c r="U165" s="29"/>
      <c r="V165" s="29"/>
    </row>
    <row r="166" spans="3:52">
      <c r="P166" s="29"/>
      <c r="Q166" s="29"/>
      <c r="R166" s="29"/>
      <c r="S166" s="29"/>
      <c r="T166" s="29"/>
      <c r="U166" s="29"/>
      <c r="V166" s="29"/>
    </row>
    <row r="167" spans="3:52">
      <c r="P167" s="29"/>
      <c r="Q167" s="29"/>
      <c r="R167" s="29"/>
      <c r="S167" s="29"/>
      <c r="T167" s="29"/>
      <c r="U167" s="29"/>
      <c r="V167" s="29"/>
    </row>
    <row r="168" spans="3:52">
      <c r="P168" s="29"/>
      <c r="Q168" s="29"/>
      <c r="R168" s="29"/>
      <c r="S168" s="29"/>
      <c r="T168" s="29"/>
      <c r="U168" s="29"/>
      <c r="V168" s="29"/>
    </row>
    <row r="169" spans="3:52">
      <c r="N169" s="29"/>
      <c r="O169" s="29"/>
      <c r="P169" s="29"/>
      <c r="Q169" s="29"/>
      <c r="R169" s="29"/>
      <c r="S169" s="29"/>
      <c r="T169" s="29"/>
      <c r="U169" s="29"/>
      <c r="V169" s="29"/>
    </row>
    <row r="170" spans="3:52">
      <c r="N170" s="29"/>
      <c r="O170" s="29"/>
      <c r="P170" s="29"/>
      <c r="Q170" s="29"/>
      <c r="R170" s="29"/>
      <c r="S170" s="29"/>
      <c r="T170" s="29"/>
      <c r="U170" s="29"/>
      <c r="V170" s="29"/>
    </row>
    <row r="171" spans="3:52">
      <c r="N171" s="29"/>
      <c r="O171" s="29"/>
      <c r="P171" s="29"/>
      <c r="Q171" s="29"/>
      <c r="R171" s="29"/>
      <c r="S171" s="29"/>
      <c r="T171" s="29"/>
      <c r="U171" s="29"/>
      <c r="V171" s="29"/>
    </row>
    <row r="172" spans="3:52">
      <c r="N172" s="29"/>
      <c r="O172" s="29"/>
      <c r="P172" s="29"/>
      <c r="Q172" s="29"/>
      <c r="R172" s="29"/>
      <c r="S172" s="29"/>
      <c r="T172" s="29"/>
      <c r="U172" s="29"/>
      <c r="V172" s="29"/>
    </row>
    <row r="173" spans="3:52">
      <c r="N173" s="29"/>
      <c r="O173" s="29"/>
      <c r="P173" s="29"/>
      <c r="Q173" s="29"/>
      <c r="R173" s="29"/>
      <c r="S173" s="29"/>
      <c r="T173" s="29"/>
      <c r="U173" s="29"/>
      <c r="V173" s="29"/>
    </row>
    <row r="174" spans="3:52">
      <c r="N174" s="29"/>
      <c r="O174" s="29"/>
      <c r="P174" s="29"/>
      <c r="Q174" s="29"/>
      <c r="R174" s="29"/>
      <c r="S174" s="29"/>
      <c r="T174" s="29"/>
      <c r="U174" s="29"/>
      <c r="V174" s="29"/>
    </row>
    <row r="175" spans="3:52">
      <c r="N175" s="29"/>
      <c r="O175" s="29"/>
      <c r="P175" s="29"/>
      <c r="Q175" s="29"/>
      <c r="R175" s="29"/>
      <c r="S175" s="29"/>
      <c r="T175" s="29"/>
      <c r="U175" s="29"/>
      <c r="V175" s="29"/>
    </row>
    <row r="176" spans="3:52">
      <c r="N176" s="29"/>
      <c r="O176" s="29"/>
      <c r="P176" s="29"/>
      <c r="Q176" s="29"/>
      <c r="R176" s="29"/>
      <c r="S176" s="29"/>
      <c r="T176" s="29"/>
      <c r="U176" s="29"/>
      <c r="V176" s="29"/>
    </row>
    <row r="177" spans="2:22">
      <c r="N177" s="29"/>
      <c r="O177" s="29"/>
      <c r="P177" s="29"/>
      <c r="Q177" s="29"/>
      <c r="R177" s="29"/>
      <c r="S177" s="29"/>
      <c r="T177" s="29"/>
      <c r="U177" s="29"/>
      <c r="V177" s="29"/>
    </row>
    <row r="178" spans="2:22">
      <c r="N178" s="29"/>
      <c r="O178" s="29"/>
      <c r="P178" s="29"/>
      <c r="Q178" s="29"/>
      <c r="R178" s="29"/>
      <c r="S178" s="29"/>
      <c r="T178" s="29"/>
      <c r="U178" s="29"/>
      <c r="V178" s="29"/>
    </row>
    <row r="179" spans="2:22">
      <c r="N179" s="29"/>
      <c r="O179" s="29"/>
      <c r="P179" s="29"/>
      <c r="Q179" s="29"/>
      <c r="R179" s="29"/>
      <c r="S179" s="29"/>
      <c r="T179" s="29"/>
      <c r="U179" s="29"/>
      <c r="V179" s="29"/>
    </row>
    <row r="180" spans="2:22" ht="7.2" customHeight="1">
      <c r="B180" s="42"/>
      <c r="N180" s="29"/>
      <c r="O180" s="29"/>
      <c r="P180" s="29"/>
      <c r="Q180" s="29"/>
      <c r="R180" s="29"/>
      <c r="S180" s="29"/>
      <c r="T180" s="29"/>
      <c r="U180" s="29"/>
      <c r="V180" s="29"/>
    </row>
    <row r="181" spans="2:22">
      <c r="N181" s="29"/>
      <c r="O181" s="29"/>
      <c r="P181" s="29"/>
      <c r="Q181" s="29"/>
      <c r="R181" s="29"/>
      <c r="S181" s="29"/>
      <c r="T181" s="29"/>
      <c r="U181" s="29"/>
      <c r="V181" s="29"/>
    </row>
    <row r="182" spans="2:22" ht="7.2" customHeight="1">
      <c r="N182" s="29"/>
      <c r="O182" s="29"/>
      <c r="P182" s="29"/>
      <c r="Q182" s="29"/>
      <c r="R182" s="29"/>
      <c r="S182" s="29"/>
      <c r="T182" s="29"/>
      <c r="U182" s="29"/>
      <c r="V182" s="29"/>
    </row>
    <row r="183" spans="2:22">
      <c r="O183" s="29"/>
      <c r="P183" s="29"/>
      <c r="Q183" s="29"/>
      <c r="R183" s="29"/>
      <c r="S183" s="29"/>
      <c r="T183" s="29"/>
      <c r="U183" s="29"/>
      <c r="V183" s="29"/>
    </row>
    <row r="184" spans="2:22">
      <c r="O184" s="29"/>
      <c r="P184" s="29"/>
      <c r="Q184" s="29"/>
      <c r="R184" s="29"/>
      <c r="S184" s="29"/>
      <c r="T184" s="29"/>
      <c r="U184" s="29"/>
      <c r="V184" s="29"/>
    </row>
    <row r="185" spans="2:22">
      <c r="O185" s="29"/>
      <c r="P185" s="29"/>
      <c r="Q185" s="29"/>
      <c r="R185" s="29"/>
      <c r="S185" s="29"/>
      <c r="T185" s="29"/>
      <c r="U185" s="29"/>
      <c r="V185" s="29"/>
    </row>
    <row r="186" spans="2:22">
      <c r="J186" s="29"/>
      <c r="O186" s="29"/>
      <c r="P186" s="29"/>
      <c r="Q186" s="29"/>
      <c r="R186" s="29"/>
      <c r="S186" s="29"/>
      <c r="T186" s="29"/>
      <c r="U186" s="29"/>
      <c r="V186" s="29"/>
    </row>
    <row r="187" spans="2:22">
      <c r="O187" s="29"/>
      <c r="P187" s="29"/>
      <c r="Q187" s="29"/>
      <c r="R187" s="29"/>
      <c r="S187" s="29"/>
      <c r="T187" s="29"/>
      <c r="U187" s="29"/>
      <c r="V187" s="29"/>
    </row>
    <row r="188" spans="2:22" ht="7.2" customHeight="1">
      <c r="K188" s="29"/>
      <c r="L188" s="29"/>
      <c r="M188" s="29"/>
      <c r="O188" s="29"/>
      <c r="P188" s="29"/>
      <c r="Q188" s="29"/>
      <c r="R188" s="29"/>
      <c r="S188" s="29"/>
      <c r="T188" s="29"/>
      <c r="U188" s="29"/>
      <c r="V188" s="29"/>
    </row>
    <row r="189" spans="2:22">
      <c r="K189" s="29"/>
      <c r="L189" s="29"/>
      <c r="M189" s="29"/>
      <c r="O189" s="29"/>
      <c r="P189" s="29"/>
      <c r="Q189" s="29"/>
      <c r="R189" s="29"/>
      <c r="S189" s="29"/>
      <c r="T189" s="29"/>
      <c r="U189" s="29"/>
      <c r="V189" s="29"/>
    </row>
    <row r="190" spans="2:22">
      <c r="K190" s="29"/>
      <c r="L190" s="29"/>
      <c r="M190" s="29"/>
      <c r="O190" s="29"/>
      <c r="P190" s="29"/>
      <c r="Q190" s="29"/>
      <c r="R190" s="29"/>
      <c r="S190" s="29"/>
      <c r="T190" s="29"/>
      <c r="U190" s="29"/>
      <c r="V190" s="29"/>
    </row>
    <row r="191" spans="2:22" ht="7.2" customHeight="1">
      <c r="K191" s="29"/>
      <c r="L191" s="29"/>
      <c r="M191" s="29"/>
      <c r="O191" s="29"/>
      <c r="P191" s="29"/>
      <c r="Q191" s="29"/>
      <c r="R191" s="29"/>
      <c r="S191" s="29"/>
      <c r="T191" s="29"/>
      <c r="U191" s="29"/>
      <c r="V191" s="29"/>
    </row>
    <row r="192" spans="2:22">
      <c r="K192" s="29"/>
      <c r="L192" s="29"/>
      <c r="M192" s="29"/>
      <c r="O192" s="29"/>
      <c r="P192" s="29"/>
      <c r="Q192" s="29"/>
      <c r="R192" s="29"/>
      <c r="S192" s="29"/>
      <c r="T192" s="29"/>
      <c r="U192" s="29"/>
      <c r="V192" s="29"/>
    </row>
    <row r="193" spans="11:22" ht="7.2" customHeight="1">
      <c r="K193" s="29"/>
      <c r="L193" s="29"/>
      <c r="M193" s="29"/>
      <c r="O193" s="29"/>
      <c r="P193" s="29"/>
      <c r="Q193" s="29"/>
      <c r="R193" s="29"/>
      <c r="S193" s="29"/>
      <c r="T193" s="29"/>
      <c r="U193" s="29"/>
      <c r="V193" s="29"/>
    </row>
    <row r="194" spans="11:22">
      <c r="K194" s="29"/>
      <c r="L194" s="29"/>
      <c r="M194" s="29"/>
      <c r="O194" s="29"/>
      <c r="P194" s="29"/>
      <c r="Q194" s="29"/>
      <c r="R194" s="29"/>
      <c r="S194" s="29"/>
      <c r="T194" s="29"/>
      <c r="U194" s="29"/>
      <c r="V194" s="29"/>
    </row>
    <row r="195" spans="11:22" ht="18" customHeight="1">
      <c r="K195" s="29"/>
      <c r="L195" s="29"/>
      <c r="M195" s="29"/>
      <c r="O195" s="29"/>
      <c r="P195" s="29"/>
      <c r="Q195" s="29"/>
      <c r="R195" s="29"/>
      <c r="S195" s="29"/>
      <c r="T195" s="29"/>
      <c r="U195" s="29"/>
      <c r="V195" s="29"/>
    </row>
    <row r="196" spans="11:22" ht="19.95" customHeight="1">
      <c r="K196" s="29"/>
      <c r="L196" s="29"/>
      <c r="M196" s="29"/>
      <c r="N196" s="29"/>
      <c r="P196" s="29"/>
      <c r="Q196" s="29"/>
      <c r="R196" s="29"/>
      <c r="S196" s="29"/>
      <c r="T196" s="29"/>
      <c r="U196" s="29"/>
      <c r="V196" s="29"/>
    </row>
    <row r="197" spans="11:22" ht="19.95" hidden="1" customHeight="1">
      <c r="K197" s="29"/>
      <c r="L197" s="29"/>
      <c r="M197" s="29"/>
    </row>
    <row r="198" spans="11:22" hidden="1">
      <c r="K198" s="29"/>
      <c r="L198" s="29"/>
      <c r="M198" s="29"/>
    </row>
    <row r="199" spans="11:22" hidden="1">
      <c r="K199" s="29"/>
      <c r="L199" s="29"/>
      <c r="M199" s="29"/>
    </row>
    <row r="200" spans="11:22" ht="19.95" hidden="1" customHeight="1">
      <c r="K200" s="29"/>
      <c r="L200" s="29"/>
      <c r="M200" s="29"/>
    </row>
    <row r="201" spans="11:22" ht="19.95" hidden="1" customHeight="1">
      <c r="K201" s="29"/>
      <c r="L201" s="29"/>
      <c r="M201" s="29"/>
    </row>
    <row r="202" spans="11:22" hidden="1"/>
    <row r="203" spans="11:22" hidden="1"/>
    <row r="204" spans="11:22" hidden="1"/>
    <row r="205" spans="11:22" ht="19.95" customHeight="1"/>
    <row r="214" spans="3:13">
      <c r="C214" s="29"/>
      <c r="D214" s="29"/>
      <c r="E214" s="29"/>
      <c r="F214" s="29"/>
      <c r="G214" s="29"/>
      <c r="H214" s="29"/>
      <c r="I214" s="29"/>
    </row>
    <row r="215" spans="3:13">
      <c r="C215" s="29"/>
      <c r="D215" s="29"/>
      <c r="E215" s="29"/>
      <c r="F215" s="29"/>
      <c r="G215" s="29"/>
      <c r="H215" s="29"/>
      <c r="I215" s="29"/>
      <c r="J215" s="29"/>
      <c r="K215" s="29"/>
      <c r="L215" s="29"/>
      <c r="M215" s="29"/>
    </row>
    <row r="216" spans="3:13" ht="13.8">
      <c r="C216" s="510" t="s">
        <v>575</v>
      </c>
      <c r="D216" s="509"/>
      <c r="E216" s="509"/>
      <c r="F216" s="509"/>
    </row>
    <row r="217" spans="3:13" ht="13.8" thickBot="1">
      <c r="C217" s="329" t="s">
        <v>574</v>
      </c>
      <c r="D217" s="317" t="s">
        <v>573</v>
      </c>
      <c r="E217" s="509"/>
      <c r="F217" s="509"/>
    </row>
    <row r="218" spans="3:13" ht="13.8" thickBot="1">
      <c r="C218" s="508" t="s">
        <v>572</v>
      </c>
      <c r="D218" s="507"/>
      <c r="E218" s="506">
        <v>2.5</v>
      </c>
      <c r="F218" s="505" t="s">
        <v>571</v>
      </c>
    </row>
    <row r="219" spans="3:13">
      <c r="C219" s="504"/>
      <c r="D219" s="503"/>
      <c r="E219" s="503"/>
    </row>
    <row r="220" spans="3:13" ht="15.6">
      <c r="C220" s="502" t="s">
        <v>570</v>
      </c>
    </row>
    <row r="221" spans="3:13" ht="13.8" thickBot="1">
      <c r="C221" s="329" t="s">
        <v>569</v>
      </c>
      <c r="D221" s="501"/>
    </row>
    <row r="222" spans="3:13">
      <c r="C222" s="500" t="s">
        <v>568</v>
      </c>
      <c r="D222" s="499"/>
      <c r="E222" s="498"/>
      <c r="F222" s="496"/>
      <c r="G222" s="497" t="s">
        <v>567</v>
      </c>
      <c r="H222" s="496">
        <v>1.1000000000000001</v>
      </c>
      <c r="I222" s="495" t="s">
        <v>566</v>
      </c>
      <c r="J222" s="487"/>
      <c r="K222" s="487"/>
    </row>
    <row r="223" spans="3:13" ht="13.8" thickBot="1">
      <c r="C223" s="494" t="s">
        <v>565</v>
      </c>
      <c r="D223" s="493"/>
      <c r="E223" s="492"/>
      <c r="F223" s="491"/>
      <c r="G223" s="490" t="s">
        <v>410</v>
      </c>
      <c r="H223" s="489"/>
      <c r="I223" s="488"/>
      <c r="J223" s="487"/>
      <c r="K223" s="487"/>
    </row>
    <row r="225" spans="3:3">
      <c r="C225" s="42"/>
    </row>
  </sheetData>
  <sheetProtection sheet="1" selectLockedCells="1"/>
  <customSheetViews>
    <customSheetView guid="{8063F48F-80B5-4ECD-B18A-51CBF126E780}" fitToPage="1" hiddenRows="1" hiddenColumns="1">
      <rowBreaks count="2" manualBreakCount="2">
        <brk id="57" min="2" max="14" man="1"/>
        <brk id="141" min="2" max="14" man="1"/>
      </rowBreaks>
      <pageMargins left="0.59055118110236227" right="0.59055118110236227" top="0.59055118110236227" bottom="0.59055118110236227" header="0.39370078740157483" footer="0.39370078740157483"/>
      <printOptions horizontalCentered="1"/>
      <pageSetup paperSize="9" scale="78" firstPageNumber="13" fitToHeight="0" orientation="portrait" r:id="rId1"/>
      <headerFooter alignWithMargins="0">
        <oddFooter>&amp;L&amp;11LEL Schwäbisch Gmünd&amp;R&amp;11&amp;F</oddFooter>
      </headerFooter>
    </customSheetView>
    <customSheetView guid="{5D5C9B61-9ABD-4513-AAEB-8333A9D6196C}" fitToPage="1" hiddenRows="1" hiddenColumns="1">
      <rowBreaks count="2" manualBreakCount="2">
        <brk id="57" min="2" max="14" man="1"/>
        <brk id="141" min="2" max="14" man="1"/>
      </rowBreaks>
      <pageMargins left="0.59055118110236227" right="0.59055118110236227" top="0.59055118110236227" bottom="0.59055118110236227" header="0.39370078740157483" footer="0.39370078740157483"/>
      <printOptions horizontalCentered="1"/>
      <pageSetup paperSize="9" scale="78" firstPageNumber="13" fitToHeight="0" orientation="portrait" r:id="rId2"/>
      <headerFooter alignWithMargins="0">
        <oddFooter>&amp;L&amp;11LEL Schwäbisch Gmünd&amp;R&amp;11&amp;F</oddFooter>
      </headerFooter>
    </customSheetView>
    <customSheetView guid="{22A73C4F-9004-4CEF-8499-B1F91BE1B569}" fitToPage="1" hiddenRows="1" hiddenColumns="1">
      <rowBreaks count="2" manualBreakCount="2">
        <brk id="57" min="2" max="14" man="1"/>
        <brk id="141" min="2" max="14" man="1"/>
      </rowBreaks>
      <pageMargins left="0.59055118110236227" right="0.59055118110236227" top="0.59055118110236227" bottom="0.59055118110236227" header="0.39370078740157483" footer="0.39370078740157483"/>
      <printOptions horizontalCentered="1"/>
      <pageSetup paperSize="9" scale="78" firstPageNumber="13" fitToHeight="0" orientation="portrait" r:id="rId3"/>
      <headerFooter alignWithMargins="0">
        <oddFooter>&amp;L&amp;11LEL Schwäbisch Gmünd&amp;R&amp;11&amp;F</oddFooter>
      </headerFooter>
    </customSheetView>
  </customSheetViews>
  <mergeCells count="42">
    <mergeCell ref="C73:E73"/>
    <mergeCell ref="C75:E75"/>
    <mergeCell ref="C74:E74"/>
    <mergeCell ref="C68:E68"/>
    <mergeCell ref="C69:E69"/>
    <mergeCell ref="C70:E70"/>
    <mergeCell ref="C71:E71"/>
    <mergeCell ref="C72:E72"/>
    <mergeCell ref="C62:E62"/>
    <mergeCell ref="C63:E63"/>
    <mergeCell ref="C64:E64"/>
    <mergeCell ref="C65:E65"/>
    <mergeCell ref="C67:E67"/>
    <mergeCell ref="C66:E66"/>
    <mergeCell ref="G16:H16"/>
    <mergeCell ref="G31:H31"/>
    <mergeCell ref="G32:H32"/>
    <mergeCell ref="G29:H29"/>
    <mergeCell ref="G27:H27"/>
    <mergeCell ref="G28:H28"/>
    <mergeCell ref="G30:H30"/>
    <mergeCell ref="G11:H11"/>
    <mergeCell ref="G12:H12"/>
    <mergeCell ref="G13:H13"/>
    <mergeCell ref="G14:H14"/>
    <mergeCell ref="G15:H15"/>
    <mergeCell ref="G33:H33"/>
    <mergeCell ref="G34:H34"/>
    <mergeCell ref="G35:H35"/>
    <mergeCell ref="O3:O5"/>
    <mergeCell ref="G17:H17"/>
    <mergeCell ref="G19:H19"/>
    <mergeCell ref="G18:H18"/>
    <mergeCell ref="G26:H26"/>
    <mergeCell ref="G20:H20"/>
    <mergeCell ref="G23:H23"/>
    <mergeCell ref="G24:H24"/>
    <mergeCell ref="G25:H25"/>
    <mergeCell ref="G21:H21"/>
    <mergeCell ref="G22:H22"/>
    <mergeCell ref="G9:H9"/>
    <mergeCell ref="G10:H10"/>
  </mergeCells>
  <printOptions horizontalCentered="1"/>
  <pageMargins left="0.59055118110236227" right="0.59055118110236227" top="0.59055118110236227" bottom="0.59055118110236227" header="0.39370078740157483" footer="0.39370078740157483"/>
  <pageSetup paperSize="9" scale="78" firstPageNumber="13" fitToHeight="0" orientation="portrait" r:id="rId4"/>
  <headerFooter alignWithMargins="0">
    <oddFooter>&amp;L&amp;11LEL Schwäbisch Gmünd&amp;R&amp;11&amp;F</oddFooter>
  </headerFooter>
  <rowBreaks count="1" manualBreakCount="1">
    <brk id="145" min="2" max="14" man="1"/>
  </rowBreaks>
  <drawing r:id="rId5"/>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2">
    <tabColor rgb="FF00B0F0"/>
    <pageSetUpPr fitToPage="1"/>
  </sheetPr>
  <dimension ref="A1:AF116"/>
  <sheetViews>
    <sheetView workbookViewId="0">
      <selection activeCell="H59" sqref="H59"/>
    </sheetView>
  </sheetViews>
  <sheetFormatPr baseColWidth="10" defaultColWidth="10.19921875" defaultRowHeight="13.2"/>
  <cols>
    <col min="1" max="1" width="2.3984375" style="4" customWidth="1"/>
    <col min="2" max="2" width="38.59765625" style="4" bestFit="1" customWidth="1"/>
    <col min="3" max="3" width="7.09765625" style="4" hidden="1" customWidth="1"/>
    <col min="4" max="4" width="11.19921875" style="526" bestFit="1" customWidth="1"/>
    <col min="5" max="5" width="8.69921875" style="4" customWidth="1"/>
    <col min="6" max="6" width="8.69921875" style="527" customWidth="1"/>
    <col min="7" max="7" width="9.59765625" style="4" customWidth="1"/>
    <col min="8" max="8" width="9.59765625" style="526" customWidth="1"/>
    <col min="9" max="9" width="9.59765625" style="16" customWidth="1"/>
    <col min="10" max="11" width="10.19921875" style="448"/>
    <col min="12" max="12" width="18.59765625" style="525" customWidth="1"/>
    <col min="13" max="13" width="10.19921875" style="448" customWidth="1"/>
    <col min="14" max="15" width="10.19921875" style="448"/>
    <col min="16" max="16" width="12.19921875" style="448" customWidth="1"/>
    <col min="17" max="18" width="10.19921875" style="448"/>
    <col min="19" max="19" width="0" style="448" hidden="1" customWidth="1"/>
    <col min="20" max="16384" width="10.19921875" style="448"/>
  </cols>
  <sheetData>
    <row r="1" spans="1:17" s="4" customFormat="1">
      <c r="A1" s="594"/>
      <c r="D1" s="526"/>
      <c r="F1" s="527"/>
      <c r="H1" s="526"/>
      <c r="I1" s="16"/>
      <c r="L1" s="526"/>
    </row>
    <row r="2" spans="1:17" s="4" customFormat="1" ht="22.2" customHeight="1">
      <c r="A2" s="552"/>
      <c r="B2" s="91" t="s">
        <v>689</v>
      </c>
      <c r="C2" s="593"/>
      <c r="D2" s="557"/>
      <c r="E2" s="556"/>
      <c r="F2" s="558"/>
      <c r="G2" s="556"/>
      <c r="H2" s="557"/>
      <c r="I2" s="588"/>
      <c r="L2" s="526"/>
    </row>
    <row r="3" spans="1:17" s="4" customFormat="1" ht="26.4" customHeight="1">
      <c r="A3" s="552"/>
      <c r="B3" s="2916" t="s">
        <v>1643</v>
      </c>
      <c r="D3" s="592"/>
      <c r="E3" s="590"/>
      <c r="F3" s="591"/>
      <c r="G3" s="590"/>
      <c r="H3" s="589"/>
      <c r="I3" s="588"/>
      <c r="J3" s="547"/>
      <c r="K3" s="547"/>
      <c r="L3" s="548"/>
      <c r="M3" s="547"/>
      <c r="N3" s="547"/>
      <c r="O3" s="547"/>
    </row>
    <row r="4" spans="1:17" s="4" customFormat="1" ht="19.95" customHeight="1">
      <c r="A4" s="552"/>
      <c r="B4" s="2917"/>
      <c r="C4" s="556"/>
      <c r="E4" s="556"/>
      <c r="F4" s="558"/>
      <c r="G4" s="556"/>
      <c r="H4" s="557"/>
      <c r="I4" s="556"/>
      <c r="J4" s="547"/>
      <c r="K4" s="547"/>
      <c r="L4" s="548"/>
      <c r="M4" s="547"/>
      <c r="N4" s="547"/>
      <c r="O4" s="547"/>
    </row>
    <row r="5" spans="1:17" s="4" customFormat="1" ht="15.6" customHeight="1">
      <c r="A5" s="552"/>
      <c r="C5" s="556"/>
      <c r="D5" s="557"/>
      <c r="E5" s="587"/>
      <c r="F5" s="587"/>
      <c r="G5" s="586"/>
      <c r="H5" s="553"/>
      <c r="I5" s="554"/>
      <c r="J5" s="547"/>
      <c r="K5" s="547"/>
      <c r="L5" s="548"/>
      <c r="M5" s="574"/>
      <c r="N5" s="574"/>
      <c r="O5" s="574"/>
      <c r="P5" s="8"/>
    </row>
    <row r="6" spans="1:17" s="4" customFormat="1" ht="19.95" customHeight="1">
      <c r="A6" s="541"/>
      <c r="B6" s="585"/>
      <c r="C6" s="584"/>
      <c r="D6" s="583" t="s">
        <v>688</v>
      </c>
      <c r="E6" s="582"/>
      <c r="F6" s="582"/>
      <c r="G6" s="581"/>
      <c r="H6" s="583" t="s">
        <v>1469</v>
      </c>
      <c r="I6" s="582"/>
      <c r="J6" s="582"/>
      <c r="K6" s="581"/>
      <c r="L6" s="4053" t="s">
        <v>687</v>
      </c>
      <c r="M6" s="4055" t="s">
        <v>1573</v>
      </c>
      <c r="N6" s="4056"/>
      <c r="O6" s="4056"/>
      <c r="P6" s="4056"/>
      <c r="Q6" s="4053" t="s">
        <v>1574</v>
      </c>
    </row>
    <row r="7" spans="1:17" s="8" customFormat="1" ht="15.6" customHeight="1">
      <c r="A7" s="580"/>
      <c r="B7" s="579" t="s">
        <v>666</v>
      </c>
      <c r="C7" s="578" t="s">
        <v>686</v>
      </c>
      <c r="D7" s="577" t="s">
        <v>236</v>
      </c>
      <c r="E7" s="576" t="s">
        <v>685</v>
      </c>
      <c r="F7" s="576" t="s">
        <v>684</v>
      </c>
      <c r="G7" s="575" t="s">
        <v>230</v>
      </c>
      <c r="H7" s="577" t="s">
        <v>236</v>
      </c>
      <c r="I7" s="576" t="s">
        <v>685</v>
      </c>
      <c r="J7" s="576" t="s">
        <v>684</v>
      </c>
      <c r="K7" s="575" t="s">
        <v>230</v>
      </c>
      <c r="L7" s="4054"/>
      <c r="M7" s="577" t="s">
        <v>236</v>
      </c>
      <c r="N7" s="576" t="s">
        <v>685</v>
      </c>
      <c r="O7" s="576" t="s">
        <v>684</v>
      </c>
      <c r="P7" s="575" t="s">
        <v>230</v>
      </c>
      <c r="Q7" s="4054"/>
    </row>
    <row r="8" spans="1:17" s="545" customFormat="1" ht="15.6" hidden="1" customHeight="1">
      <c r="A8" s="541"/>
      <c r="C8" s="448"/>
      <c r="D8" s="573" t="s">
        <v>683</v>
      </c>
      <c r="E8" s="30" t="s">
        <v>682</v>
      </c>
      <c r="F8" s="30" t="s">
        <v>681</v>
      </c>
      <c r="G8" s="30" t="s">
        <v>680</v>
      </c>
      <c r="H8" s="573" t="s">
        <v>679</v>
      </c>
      <c r="I8" s="30" t="s">
        <v>678</v>
      </c>
      <c r="J8" s="30" t="s">
        <v>677</v>
      </c>
      <c r="K8" s="30" t="s">
        <v>676</v>
      </c>
      <c r="L8" s="573"/>
    </row>
    <row r="9" spans="1:17" s="533" customFormat="1" ht="15.6" customHeight="1">
      <c r="A9" s="541">
        <v>1</v>
      </c>
      <c r="B9" s="572"/>
      <c r="C9" s="568"/>
      <c r="D9" s="571"/>
      <c r="E9" s="570"/>
      <c r="F9" s="569"/>
      <c r="G9" s="568"/>
      <c r="H9" s="521"/>
      <c r="I9" s="569"/>
      <c r="J9" s="569"/>
      <c r="K9" s="568"/>
      <c r="L9" s="519"/>
      <c r="P9" s="1464"/>
      <c r="Q9" s="1462"/>
    </row>
    <row r="10" spans="1:17" s="533" customFormat="1" ht="15.6" customHeight="1">
      <c r="A10" s="541">
        <f>A9+1</f>
        <v>2</v>
      </c>
      <c r="B10" s="567" t="s">
        <v>97</v>
      </c>
      <c r="C10" s="566" t="s">
        <v>96</v>
      </c>
      <c r="D10" s="3718">
        <v>1.81</v>
      </c>
      <c r="E10" s="3719">
        <v>0.8</v>
      </c>
      <c r="F10" s="3719">
        <v>0.6</v>
      </c>
      <c r="G10" s="3720">
        <v>0.2</v>
      </c>
      <c r="H10" s="3718">
        <f t="shared" ref="H10:K27" si="0">M10-D10</f>
        <v>0.39999999999999991</v>
      </c>
      <c r="I10" s="3719">
        <f t="shared" si="0"/>
        <v>0.24</v>
      </c>
      <c r="J10" s="3719">
        <f t="shared" si="0"/>
        <v>1.1200000000000001</v>
      </c>
      <c r="K10" s="3720">
        <f t="shared" si="0"/>
        <v>0.15999999999999998</v>
      </c>
      <c r="L10" s="3721">
        <v>80</v>
      </c>
      <c r="M10" s="3719">
        <v>2.21</v>
      </c>
      <c r="N10" s="3719">
        <v>1.04</v>
      </c>
      <c r="O10" s="3719">
        <v>1.72</v>
      </c>
      <c r="P10" s="3720">
        <v>0.36</v>
      </c>
      <c r="Q10" s="3722"/>
    </row>
    <row r="11" spans="1:17" s="533" customFormat="1" ht="15.6" customHeight="1">
      <c r="A11" s="541">
        <f t="shared" ref="A11:A44" si="1">A10+1</f>
        <v>3</v>
      </c>
      <c r="B11" s="567" t="s">
        <v>95</v>
      </c>
      <c r="C11" s="566" t="s">
        <v>94</v>
      </c>
      <c r="D11" s="3718">
        <v>2.11</v>
      </c>
      <c r="E11" s="3719">
        <v>0.8</v>
      </c>
      <c r="F11" s="3719">
        <v>0.6</v>
      </c>
      <c r="G11" s="3720">
        <v>0.2</v>
      </c>
      <c r="H11" s="3718">
        <f t="shared" si="0"/>
        <v>0.39999999999999991</v>
      </c>
      <c r="I11" s="3719">
        <f t="shared" si="0"/>
        <v>0.24</v>
      </c>
      <c r="J11" s="3719">
        <f t="shared" si="0"/>
        <v>1.1200000000000001</v>
      </c>
      <c r="K11" s="3720">
        <f t="shared" si="0"/>
        <v>0.15999999999999998</v>
      </c>
      <c r="L11" s="3721">
        <v>80</v>
      </c>
      <c r="M11" s="3719">
        <v>2.5099999999999998</v>
      </c>
      <c r="N11" s="3719">
        <v>1.04</v>
      </c>
      <c r="O11" s="3719">
        <v>1.72</v>
      </c>
      <c r="P11" s="3720">
        <v>0.36</v>
      </c>
      <c r="Q11" s="3722"/>
    </row>
    <row r="12" spans="1:17" s="533" customFormat="1" ht="15" customHeight="1">
      <c r="A12" s="541">
        <f t="shared" si="1"/>
        <v>4</v>
      </c>
      <c r="B12" s="567" t="s">
        <v>203</v>
      </c>
      <c r="C12" s="566" t="s">
        <v>92</v>
      </c>
      <c r="D12" s="3718">
        <v>2.11</v>
      </c>
      <c r="E12" s="3719">
        <v>0.8</v>
      </c>
      <c r="F12" s="3719">
        <v>0.6</v>
      </c>
      <c r="G12" s="3720">
        <v>0.2</v>
      </c>
      <c r="H12" s="3718">
        <f t="shared" si="0"/>
        <v>0.39999999999999991</v>
      </c>
      <c r="I12" s="3719">
        <f t="shared" si="0"/>
        <v>0.24</v>
      </c>
      <c r="J12" s="3719">
        <f t="shared" si="0"/>
        <v>1.1200000000000001</v>
      </c>
      <c r="K12" s="3720">
        <f t="shared" si="0"/>
        <v>0.15999999999999998</v>
      </c>
      <c r="L12" s="3721">
        <v>80</v>
      </c>
      <c r="M12" s="3719">
        <v>2.5099999999999998</v>
      </c>
      <c r="N12" s="3719">
        <v>1.04</v>
      </c>
      <c r="O12" s="3719">
        <v>1.72</v>
      </c>
      <c r="P12" s="3720">
        <v>0.36</v>
      </c>
      <c r="Q12" s="3722"/>
    </row>
    <row r="13" spans="1:17" s="533" customFormat="1" ht="15.6" customHeight="1">
      <c r="A13" s="541">
        <f t="shared" si="1"/>
        <v>5</v>
      </c>
      <c r="B13" s="567" t="s">
        <v>201</v>
      </c>
      <c r="C13" s="566" t="s">
        <v>90</v>
      </c>
      <c r="D13" s="3718">
        <v>2.41</v>
      </c>
      <c r="E13" s="3719">
        <v>0.8</v>
      </c>
      <c r="F13" s="3719">
        <v>0.6</v>
      </c>
      <c r="G13" s="3720">
        <v>0.2</v>
      </c>
      <c r="H13" s="3718">
        <f t="shared" si="0"/>
        <v>0.39999999999999991</v>
      </c>
      <c r="I13" s="3719">
        <f t="shared" si="0"/>
        <v>0.24</v>
      </c>
      <c r="J13" s="3719">
        <f t="shared" si="0"/>
        <v>1.1200000000000001</v>
      </c>
      <c r="K13" s="3720">
        <f t="shared" si="0"/>
        <v>0.15999999999999998</v>
      </c>
      <c r="L13" s="3721">
        <v>80</v>
      </c>
      <c r="M13" s="3719">
        <v>2.81</v>
      </c>
      <c r="N13" s="3719">
        <v>1.04</v>
      </c>
      <c r="O13" s="3719">
        <v>1.72</v>
      </c>
      <c r="P13" s="3720">
        <v>0.36</v>
      </c>
      <c r="Q13" s="3722"/>
    </row>
    <row r="14" spans="1:17" s="533" customFormat="1" ht="15.6" customHeight="1">
      <c r="A14" s="541">
        <f t="shared" si="1"/>
        <v>6</v>
      </c>
      <c r="B14" s="567" t="s">
        <v>89</v>
      </c>
      <c r="C14" s="566" t="s">
        <v>88</v>
      </c>
      <c r="D14" s="3718">
        <v>1.51</v>
      </c>
      <c r="E14" s="3719">
        <v>0.8</v>
      </c>
      <c r="F14" s="3719">
        <v>0.6</v>
      </c>
      <c r="G14" s="3720">
        <v>0.2</v>
      </c>
      <c r="H14" s="3718">
        <f t="shared" si="0"/>
        <v>0.44999999999999996</v>
      </c>
      <c r="I14" s="3719">
        <f t="shared" si="0"/>
        <v>0.27</v>
      </c>
      <c r="J14" s="3719">
        <f t="shared" si="0"/>
        <v>1.7999999999999998</v>
      </c>
      <c r="K14" s="3720">
        <f t="shared" si="0"/>
        <v>0.18</v>
      </c>
      <c r="L14" s="3721">
        <v>90</v>
      </c>
      <c r="M14" s="3719">
        <v>1.96</v>
      </c>
      <c r="N14" s="3719">
        <v>1.07</v>
      </c>
      <c r="O14" s="3719">
        <v>2.4</v>
      </c>
      <c r="P14" s="3720">
        <v>0.38</v>
      </c>
      <c r="Q14" s="3722"/>
    </row>
    <row r="15" spans="1:17" s="533" customFormat="1" ht="15.6" customHeight="1">
      <c r="A15" s="541">
        <f t="shared" si="1"/>
        <v>7</v>
      </c>
      <c r="B15" s="567" t="s">
        <v>87</v>
      </c>
      <c r="C15" s="566" t="s">
        <v>86</v>
      </c>
      <c r="D15" s="3718">
        <v>1.79</v>
      </c>
      <c r="E15" s="3719">
        <v>0.8</v>
      </c>
      <c r="F15" s="3723">
        <v>0.6</v>
      </c>
      <c r="G15" s="3720">
        <v>0.2</v>
      </c>
      <c r="H15" s="3718">
        <f t="shared" si="0"/>
        <v>0.45000000000000018</v>
      </c>
      <c r="I15" s="3719">
        <f t="shared" si="0"/>
        <v>0.27</v>
      </c>
      <c r="J15" s="3719">
        <f t="shared" si="0"/>
        <v>1.5299999999999998</v>
      </c>
      <c r="K15" s="3720">
        <f t="shared" si="0"/>
        <v>0.18</v>
      </c>
      <c r="L15" s="3721">
        <v>90</v>
      </c>
      <c r="M15" s="3719">
        <v>2.2400000000000002</v>
      </c>
      <c r="N15" s="3719">
        <v>1.07</v>
      </c>
      <c r="O15" s="3719">
        <v>2.13</v>
      </c>
      <c r="P15" s="3720">
        <v>0.38</v>
      </c>
      <c r="Q15" s="3722"/>
    </row>
    <row r="16" spans="1:17" s="533" customFormat="1" ht="15.6" customHeight="1">
      <c r="A16" s="541">
        <f t="shared" si="1"/>
        <v>8</v>
      </c>
      <c r="B16" s="567" t="s">
        <v>85</v>
      </c>
      <c r="C16" s="566" t="s">
        <v>84</v>
      </c>
      <c r="D16" s="3718">
        <v>1.79</v>
      </c>
      <c r="E16" s="3719">
        <v>0.8</v>
      </c>
      <c r="F16" s="3723">
        <v>0.6</v>
      </c>
      <c r="G16" s="3720">
        <v>0.2</v>
      </c>
      <c r="H16" s="3718">
        <f t="shared" si="0"/>
        <v>0.35000000000000009</v>
      </c>
      <c r="I16" s="3719">
        <f t="shared" si="0"/>
        <v>0.20999999999999996</v>
      </c>
      <c r="J16" s="3719">
        <f t="shared" si="0"/>
        <v>1.19</v>
      </c>
      <c r="K16" s="3720">
        <f t="shared" si="0"/>
        <v>7.0000000000000007E-2</v>
      </c>
      <c r="L16" s="3721">
        <v>70</v>
      </c>
      <c r="M16" s="3719">
        <v>2.14</v>
      </c>
      <c r="N16" s="3719">
        <v>1.01</v>
      </c>
      <c r="O16" s="3719">
        <v>1.79</v>
      </c>
      <c r="P16" s="3720">
        <v>0.27</v>
      </c>
      <c r="Q16" s="3722"/>
    </row>
    <row r="17" spans="1:17" s="533" customFormat="1" ht="15.6" customHeight="1">
      <c r="A17" s="541">
        <f t="shared" si="1"/>
        <v>9</v>
      </c>
      <c r="B17" s="567" t="s">
        <v>83</v>
      </c>
      <c r="C17" s="566" t="s">
        <v>82</v>
      </c>
      <c r="D17" s="3718">
        <v>1.6</v>
      </c>
      <c r="E17" s="3719">
        <v>0.8</v>
      </c>
      <c r="F17" s="3719">
        <v>0.8</v>
      </c>
      <c r="G17" s="3720">
        <v>0.2</v>
      </c>
      <c r="H17" s="3718">
        <f t="shared" si="0"/>
        <v>0.5</v>
      </c>
      <c r="I17" s="3719">
        <f t="shared" si="0"/>
        <v>0.30000000000000004</v>
      </c>
      <c r="J17" s="3719">
        <f t="shared" si="0"/>
        <v>1.7</v>
      </c>
      <c r="K17" s="3720">
        <f t="shared" si="0"/>
        <v>0.15999999999999998</v>
      </c>
      <c r="L17" s="3721">
        <v>90</v>
      </c>
      <c r="M17" s="3719">
        <v>2.1</v>
      </c>
      <c r="N17" s="3719">
        <v>1.1000000000000001</v>
      </c>
      <c r="O17" s="3719">
        <v>2.5</v>
      </c>
      <c r="P17" s="3720">
        <v>0.36</v>
      </c>
      <c r="Q17" s="3722"/>
    </row>
    <row r="18" spans="1:17" s="533" customFormat="1" ht="15.6" customHeight="1">
      <c r="A18" s="541">
        <f t="shared" si="1"/>
        <v>10</v>
      </c>
      <c r="B18" s="567" t="s">
        <v>200</v>
      </c>
      <c r="C18" s="566" t="s">
        <v>79</v>
      </c>
      <c r="D18" s="3718">
        <v>2.11</v>
      </c>
      <c r="E18" s="3719">
        <v>0.8</v>
      </c>
      <c r="F18" s="3719">
        <v>0.6</v>
      </c>
      <c r="G18" s="3720">
        <v>0.2</v>
      </c>
      <c r="H18" s="3718">
        <f t="shared" si="0"/>
        <v>0.39999999999999991</v>
      </c>
      <c r="I18" s="3719">
        <f t="shared" si="0"/>
        <v>0.24</v>
      </c>
      <c r="J18" s="3719">
        <f t="shared" si="0"/>
        <v>1.1200000000000001</v>
      </c>
      <c r="K18" s="3720">
        <f t="shared" si="0"/>
        <v>0.15999999999999998</v>
      </c>
      <c r="L18" s="3721">
        <v>80</v>
      </c>
      <c r="M18" s="3719">
        <v>2.5099999999999998</v>
      </c>
      <c r="N18" s="3719">
        <v>1.04</v>
      </c>
      <c r="O18" s="3719">
        <v>1.72</v>
      </c>
      <c r="P18" s="3720">
        <v>0.36</v>
      </c>
      <c r="Q18" s="3722"/>
    </row>
    <row r="19" spans="1:17" s="533" customFormat="1" ht="15.6" customHeight="1">
      <c r="A19" s="541">
        <f t="shared" si="1"/>
        <v>11</v>
      </c>
      <c r="B19" s="567" t="s">
        <v>199</v>
      </c>
      <c r="C19" s="566" t="s">
        <v>77</v>
      </c>
      <c r="D19" s="3718">
        <v>1.79</v>
      </c>
      <c r="E19" s="3719">
        <v>0.8</v>
      </c>
      <c r="F19" s="3719">
        <v>0.6</v>
      </c>
      <c r="G19" s="3720">
        <v>0.2</v>
      </c>
      <c r="H19" s="3718">
        <f t="shared" si="0"/>
        <v>0.39999999999999991</v>
      </c>
      <c r="I19" s="3719">
        <f t="shared" si="0"/>
        <v>0.24</v>
      </c>
      <c r="J19" s="3719">
        <f t="shared" si="0"/>
        <v>1.3599999999999999</v>
      </c>
      <c r="K19" s="3720">
        <f t="shared" si="0"/>
        <v>8.0000000000000016E-2</v>
      </c>
      <c r="L19" s="3721">
        <v>80</v>
      </c>
      <c r="M19" s="3719">
        <v>2.19</v>
      </c>
      <c r="N19" s="3719">
        <v>1.04</v>
      </c>
      <c r="O19" s="3719">
        <v>1.96</v>
      </c>
      <c r="P19" s="3720">
        <v>0.28000000000000003</v>
      </c>
      <c r="Q19" s="3722"/>
    </row>
    <row r="20" spans="1:17" s="533" customFormat="1" ht="15.6" customHeight="1">
      <c r="A20" s="541">
        <f t="shared" si="1"/>
        <v>12</v>
      </c>
      <c r="B20" s="567" t="s">
        <v>76</v>
      </c>
      <c r="C20" s="566" t="s">
        <v>75</v>
      </c>
      <c r="D20" s="3718">
        <v>1.38</v>
      </c>
      <c r="E20" s="3719">
        <v>0.8</v>
      </c>
      <c r="F20" s="3723">
        <v>0.6</v>
      </c>
      <c r="G20" s="3720">
        <v>0.2</v>
      </c>
      <c r="H20" s="3718">
        <f t="shared" si="0"/>
        <v>0.35000000000000009</v>
      </c>
      <c r="I20" s="3719">
        <f t="shared" si="0"/>
        <v>0.20999999999999996</v>
      </c>
      <c r="J20" s="3719">
        <f t="shared" si="0"/>
        <v>1.19</v>
      </c>
      <c r="K20" s="3720">
        <f t="shared" si="0"/>
        <v>7.0000000000000007E-2</v>
      </c>
      <c r="L20" s="3721">
        <v>70</v>
      </c>
      <c r="M20" s="3719">
        <v>1.73</v>
      </c>
      <c r="N20" s="3719">
        <v>1.01</v>
      </c>
      <c r="O20" s="3719">
        <v>1.79</v>
      </c>
      <c r="P20" s="3720">
        <v>0.27</v>
      </c>
      <c r="Q20" s="3722"/>
    </row>
    <row r="21" spans="1:17" s="533" customFormat="1" ht="15.6" customHeight="1">
      <c r="A21" s="541">
        <f t="shared" si="1"/>
        <v>13</v>
      </c>
      <c r="B21" s="567" t="s">
        <v>198</v>
      </c>
      <c r="C21" s="566" t="s">
        <v>73</v>
      </c>
      <c r="D21" s="3718">
        <v>1.51</v>
      </c>
      <c r="E21" s="3719">
        <v>0.8</v>
      </c>
      <c r="F21" s="3723">
        <v>0.6</v>
      </c>
      <c r="G21" s="3720">
        <v>0.2</v>
      </c>
      <c r="H21" s="3718">
        <f t="shared" si="0"/>
        <v>0.55000000000000004</v>
      </c>
      <c r="I21" s="3719">
        <f t="shared" si="0"/>
        <v>0.32999999999999985</v>
      </c>
      <c r="J21" s="3719">
        <f t="shared" si="0"/>
        <v>1.87</v>
      </c>
      <c r="K21" s="3720">
        <f t="shared" si="0"/>
        <v>0.21999999999999997</v>
      </c>
      <c r="L21" s="3721">
        <v>110</v>
      </c>
      <c r="M21" s="3719">
        <v>2.06</v>
      </c>
      <c r="N21" s="3719">
        <v>1.1299999999999999</v>
      </c>
      <c r="O21" s="3719">
        <v>2.4700000000000002</v>
      </c>
      <c r="P21" s="3720">
        <v>0.42</v>
      </c>
      <c r="Q21" s="3722"/>
    </row>
    <row r="22" spans="1:17" s="533" customFormat="1" ht="15.6" customHeight="1">
      <c r="A22" s="541">
        <f t="shared" si="1"/>
        <v>14</v>
      </c>
      <c r="B22" s="567" t="s">
        <v>72</v>
      </c>
      <c r="C22" s="566" t="s">
        <v>71</v>
      </c>
      <c r="D22" s="3718">
        <v>2.2599999999999998</v>
      </c>
      <c r="E22" s="3719">
        <v>0.8</v>
      </c>
      <c r="F22" s="3723">
        <v>0.6</v>
      </c>
      <c r="G22" s="3720">
        <v>0.2</v>
      </c>
      <c r="H22" s="3718">
        <f t="shared" si="0"/>
        <v>0.40000000000000036</v>
      </c>
      <c r="I22" s="3719">
        <f t="shared" si="0"/>
        <v>0.24</v>
      </c>
      <c r="J22" s="3719">
        <f t="shared" si="0"/>
        <v>1.3599999999999999</v>
      </c>
      <c r="K22" s="3720">
        <f t="shared" si="0"/>
        <v>0.15999999999999998</v>
      </c>
      <c r="L22" s="3721">
        <v>80</v>
      </c>
      <c r="M22" s="3719">
        <v>2.66</v>
      </c>
      <c r="N22" s="3719">
        <v>1.04</v>
      </c>
      <c r="O22" s="3719">
        <v>1.96</v>
      </c>
      <c r="P22" s="3720">
        <v>0.36</v>
      </c>
      <c r="Q22" s="3720"/>
    </row>
    <row r="23" spans="1:17" s="533" customFormat="1" ht="15.6" customHeight="1">
      <c r="A23" s="541">
        <f t="shared" si="1"/>
        <v>15</v>
      </c>
      <c r="B23" s="567" t="s">
        <v>197</v>
      </c>
      <c r="C23" s="566" t="s">
        <v>68</v>
      </c>
      <c r="D23" s="3718">
        <v>1.38</v>
      </c>
      <c r="E23" s="3719">
        <v>0.8</v>
      </c>
      <c r="F23" s="3719">
        <v>0.5</v>
      </c>
      <c r="G23" s="3720">
        <v>0.2</v>
      </c>
      <c r="H23" s="3718">
        <f t="shared" si="0"/>
        <v>0.89999999999999991</v>
      </c>
      <c r="I23" s="3719">
        <f t="shared" si="0"/>
        <v>0.19999999999999996</v>
      </c>
      <c r="J23" s="3719">
        <f t="shared" si="0"/>
        <v>2</v>
      </c>
      <c r="K23" s="3720">
        <f t="shared" si="0"/>
        <v>0.39999999999999997</v>
      </c>
      <c r="L23" s="3721">
        <v>100</v>
      </c>
      <c r="M23" s="3719">
        <v>2.2799999999999998</v>
      </c>
      <c r="N23" s="3719">
        <v>1</v>
      </c>
      <c r="O23" s="3719">
        <v>2.5</v>
      </c>
      <c r="P23" s="3720">
        <v>0.6</v>
      </c>
      <c r="Q23" s="3720"/>
    </row>
    <row r="24" spans="1:17" s="533" customFormat="1" ht="15.6" customHeight="1">
      <c r="A24" s="541">
        <f t="shared" si="1"/>
        <v>16</v>
      </c>
      <c r="B24" s="567" t="s">
        <v>196</v>
      </c>
      <c r="C24" s="566" t="s">
        <v>65</v>
      </c>
      <c r="D24" s="3718">
        <v>2.0699999999999998</v>
      </c>
      <c r="E24" s="3719">
        <v>0.75</v>
      </c>
      <c r="F24" s="3723">
        <v>0.48</v>
      </c>
      <c r="G24" s="3720">
        <v>0.26</v>
      </c>
      <c r="H24" s="3718">
        <f t="shared" si="0"/>
        <v>0.11000000000000032</v>
      </c>
      <c r="I24" s="3719">
        <f t="shared" si="0"/>
        <v>0.29000000000000004</v>
      </c>
      <c r="J24" s="3719">
        <f t="shared" si="0"/>
        <v>2.09</v>
      </c>
      <c r="K24" s="3720">
        <f t="shared" si="0"/>
        <v>0.29000000000000004</v>
      </c>
      <c r="L24" s="3721"/>
      <c r="M24" s="3719">
        <v>2.1800000000000002</v>
      </c>
      <c r="N24" s="3719">
        <v>1.04</v>
      </c>
      <c r="O24" s="3719">
        <v>2.57</v>
      </c>
      <c r="P24" s="3720">
        <v>0.55000000000000004</v>
      </c>
      <c r="Q24" s="3720"/>
    </row>
    <row r="25" spans="1:17" s="533" customFormat="1" ht="15.6" customHeight="1">
      <c r="A25" s="541">
        <f t="shared" si="1"/>
        <v>17</v>
      </c>
      <c r="B25" s="567" t="s">
        <v>63</v>
      </c>
      <c r="C25" s="566" t="s">
        <v>62</v>
      </c>
      <c r="D25" s="3718">
        <v>3.35</v>
      </c>
      <c r="E25" s="3719">
        <v>1.8</v>
      </c>
      <c r="F25" s="3719">
        <v>1</v>
      </c>
      <c r="G25" s="3720">
        <v>0.5</v>
      </c>
      <c r="H25" s="3718">
        <f t="shared" si="0"/>
        <v>1.19</v>
      </c>
      <c r="I25" s="3719">
        <f t="shared" si="0"/>
        <v>0.67999999999999994</v>
      </c>
      <c r="J25" s="3719">
        <f t="shared" si="0"/>
        <v>4.25</v>
      </c>
      <c r="K25" s="3720">
        <f t="shared" si="0"/>
        <v>0.7</v>
      </c>
      <c r="L25" s="3721">
        <v>170</v>
      </c>
      <c r="M25" s="3719">
        <v>4.54</v>
      </c>
      <c r="N25" s="3719">
        <v>2.48</v>
      </c>
      <c r="O25" s="3719">
        <v>5.25</v>
      </c>
      <c r="P25" s="3720">
        <v>1.2</v>
      </c>
      <c r="Q25" s="3720"/>
    </row>
    <row r="26" spans="1:17" s="533" customFormat="1" ht="15.6" customHeight="1">
      <c r="A26" s="541">
        <f t="shared" si="1"/>
        <v>18</v>
      </c>
      <c r="B26" s="567" t="s">
        <v>195</v>
      </c>
      <c r="C26" s="566" t="s">
        <v>60</v>
      </c>
      <c r="D26" s="3718">
        <v>3.35</v>
      </c>
      <c r="E26" s="3723">
        <v>1.8</v>
      </c>
      <c r="F26" s="3719">
        <v>1</v>
      </c>
      <c r="G26" s="3720">
        <v>0.5</v>
      </c>
      <c r="H26" s="3718">
        <f t="shared" si="0"/>
        <v>1.19</v>
      </c>
      <c r="I26" s="3719">
        <f t="shared" si="0"/>
        <v>0.67999999999999994</v>
      </c>
      <c r="J26" s="3719">
        <f t="shared" si="0"/>
        <v>4.25</v>
      </c>
      <c r="K26" s="3720">
        <f t="shared" si="0"/>
        <v>0.7</v>
      </c>
      <c r="L26" s="3721">
        <v>170</v>
      </c>
      <c r="M26" s="3719">
        <v>4.54</v>
      </c>
      <c r="N26" s="3719">
        <v>2.48</v>
      </c>
      <c r="O26" s="3719">
        <v>5.25</v>
      </c>
      <c r="P26" s="3720">
        <v>1.2</v>
      </c>
      <c r="Q26" s="3720"/>
    </row>
    <row r="27" spans="1:17" s="533" customFormat="1" ht="15.6" customHeight="1">
      <c r="A27" s="541">
        <f t="shared" si="1"/>
        <v>19</v>
      </c>
      <c r="B27" s="567" t="s">
        <v>194</v>
      </c>
      <c r="C27" s="566" t="s">
        <v>58</v>
      </c>
      <c r="D27" s="3718">
        <v>2.91</v>
      </c>
      <c r="E27" s="3719">
        <v>1.6</v>
      </c>
      <c r="F27" s="3719">
        <v>2.4</v>
      </c>
      <c r="G27" s="3720">
        <v>0.7</v>
      </c>
      <c r="H27" s="3724">
        <f t="shared" si="0"/>
        <v>2</v>
      </c>
      <c r="I27" s="3724">
        <f t="shared" si="0"/>
        <v>1.7999999999999998</v>
      </c>
      <c r="J27" s="3724">
        <f t="shared" si="0"/>
        <v>10</v>
      </c>
      <c r="K27" s="3724">
        <f t="shared" si="0"/>
        <v>0.5</v>
      </c>
      <c r="L27" s="3721">
        <v>200</v>
      </c>
      <c r="M27" s="3724">
        <v>4.91</v>
      </c>
      <c r="N27" s="3724">
        <v>3.4</v>
      </c>
      <c r="O27" s="3724">
        <v>12.4</v>
      </c>
      <c r="P27" s="3725">
        <v>1.2</v>
      </c>
      <c r="Q27" s="3720"/>
    </row>
    <row r="28" spans="1:17" s="533" customFormat="1" ht="15.6" customHeight="1">
      <c r="A28" s="541">
        <f t="shared" si="1"/>
        <v>20</v>
      </c>
      <c r="B28" s="567" t="s">
        <v>193</v>
      </c>
      <c r="C28" s="566" t="s">
        <v>57</v>
      </c>
      <c r="D28" s="3718">
        <f>4.4-Q28</f>
        <v>-0.89999999999999947</v>
      </c>
      <c r="E28" s="3719">
        <v>1.5</v>
      </c>
      <c r="F28" s="3719">
        <v>1.9359999999999999</v>
      </c>
      <c r="G28" s="3720">
        <v>0.3</v>
      </c>
      <c r="H28" s="3724">
        <f>M28-4.4</f>
        <v>1.5</v>
      </c>
      <c r="I28" s="3724">
        <f t="shared" ref="I28:K30" si="2">N28-E28</f>
        <v>0.30000000000000004</v>
      </c>
      <c r="J28" s="3724">
        <f t="shared" si="2"/>
        <v>3.2839999999999998</v>
      </c>
      <c r="K28" s="3724">
        <f t="shared" si="2"/>
        <v>0.66999999999999993</v>
      </c>
      <c r="L28" s="3721">
        <v>100</v>
      </c>
      <c r="M28" s="3724">
        <v>5.9</v>
      </c>
      <c r="N28" s="3724">
        <v>1.8</v>
      </c>
      <c r="O28" s="3724">
        <v>5.22</v>
      </c>
      <c r="P28" s="3725">
        <v>0.97</v>
      </c>
      <c r="Q28" s="3725">
        <v>5.3</v>
      </c>
    </row>
    <row r="29" spans="1:17" s="533" customFormat="1" ht="15.6" customHeight="1">
      <c r="A29" s="541">
        <f t="shared" si="1"/>
        <v>21</v>
      </c>
      <c r="B29" s="567" t="s">
        <v>192</v>
      </c>
      <c r="C29" s="566" t="s">
        <v>55</v>
      </c>
      <c r="D29" s="3718">
        <v>3.5</v>
      </c>
      <c r="E29" s="3719">
        <v>1.2</v>
      </c>
      <c r="F29" s="3719">
        <v>1</v>
      </c>
      <c r="G29" s="3720">
        <v>0.8</v>
      </c>
      <c r="H29" s="3724">
        <f>M29-D29</f>
        <v>0.79999999999999982</v>
      </c>
      <c r="I29" s="3724">
        <f t="shared" si="2"/>
        <v>0.30000000000000004</v>
      </c>
      <c r="J29" s="3724">
        <f t="shared" si="2"/>
        <v>2.1</v>
      </c>
      <c r="K29" s="3724">
        <f t="shared" si="2"/>
        <v>0.14999999999999991</v>
      </c>
      <c r="L29" s="3721">
        <v>150</v>
      </c>
      <c r="M29" s="3724">
        <v>4.3</v>
      </c>
      <c r="N29" s="3724">
        <v>1.5</v>
      </c>
      <c r="O29" s="3724">
        <v>3.1</v>
      </c>
      <c r="P29" s="3725">
        <v>0.95</v>
      </c>
      <c r="Q29" s="3720"/>
    </row>
    <row r="30" spans="1:17" s="533" customFormat="1" ht="15.6" customHeight="1">
      <c r="A30" s="541">
        <f t="shared" si="1"/>
        <v>22</v>
      </c>
      <c r="B30" s="567" t="s">
        <v>191</v>
      </c>
      <c r="C30" s="566" t="s">
        <v>52</v>
      </c>
      <c r="D30" s="3718">
        <f>3.6-Q30</f>
        <v>-0.80000000000000027</v>
      </c>
      <c r="E30" s="3719">
        <v>1.1000000000000001</v>
      </c>
      <c r="F30" s="3719">
        <v>1.4</v>
      </c>
      <c r="G30" s="3720">
        <v>0.2</v>
      </c>
      <c r="H30" s="3724">
        <f>M30-3.6</f>
        <v>1.4999999999999996</v>
      </c>
      <c r="I30" s="3724">
        <f t="shared" si="2"/>
        <v>0.29999999999999982</v>
      </c>
      <c r="J30" s="3724">
        <f t="shared" si="2"/>
        <v>2.6</v>
      </c>
      <c r="K30" s="3724">
        <f t="shared" si="2"/>
        <v>0.3</v>
      </c>
      <c r="L30" s="3721">
        <v>100</v>
      </c>
      <c r="M30" s="3724">
        <v>5.0999999999999996</v>
      </c>
      <c r="N30" s="3724">
        <v>1.4</v>
      </c>
      <c r="O30" s="3724">
        <v>4</v>
      </c>
      <c r="P30" s="3725">
        <v>0.5</v>
      </c>
      <c r="Q30" s="3725">
        <v>4.4000000000000004</v>
      </c>
    </row>
    <row r="31" spans="1:17" s="533" customFormat="1" ht="15.6" customHeight="1">
      <c r="A31" s="541">
        <f t="shared" si="1"/>
        <v>23</v>
      </c>
      <c r="B31" s="567" t="s">
        <v>190</v>
      </c>
      <c r="C31" s="566" t="s">
        <v>50</v>
      </c>
      <c r="D31" s="3718">
        <f>4.1-Q31</f>
        <v>-0.90000000000000036</v>
      </c>
      <c r="E31" s="3719">
        <v>1.2</v>
      </c>
      <c r="F31" s="3719">
        <v>1.4</v>
      </c>
      <c r="G31" s="3720">
        <v>0.2</v>
      </c>
      <c r="H31" s="3724">
        <f>M31-4.1</f>
        <v>1.5</v>
      </c>
      <c r="I31" s="3724">
        <v>0.3</v>
      </c>
      <c r="J31" s="3724">
        <v>1.7</v>
      </c>
      <c r="K31" s="3724">
        <v>0.15</v>
      </c>
      <c r="L31" s="3721">
        <v>100</v>
      </c>
      <c r="M31" s="3724">
        <v>5.6</v>
      </c>
      <c r="N31" s="3724">
        <v>1.5</v>
      </c>
      <c r="O31" s="3724">
        <v>4</v>
      </c>
      <c r="P31" s="3725">
        <v>0.5</v>
      </c>
      <c r="Q31" s="3725">
        <v>5</v>
      </c>
    </row>
    <row r="32" spans="1:17" s="533" customFormat="1" ht="15.6" customHeight="1">
      <c r="A32" s="541">
        <f t="shared" si="1"/>
        <v>24</v>
      </c>
      <c r="B32" s="567" t="s">
        <v>189</v>
      </c>
      <c r="C32" s="566" t="s">
        <v>48</v>
      </c>
      <c r="D32" s="3718">
        <f>4.48-Q32</f>
        <v>-0.51999999999999957</v>
      </c>
      <c r="E32" s="3719">
        <v>1.02</v>
      </c>
      <c r="F32" s="3719">
        <v>1.66</v>
      </c>
      <c r="G32" s="3720">
        <v>0.2</v>
      </c>
      <c r="H32" s="3724">
        <f>M32-4.48</f>
        <v>1.5</v>
      </c>
      <c r="I32" s="3724">
        <v>0.3</v>
      </c>
      <c r="J32" s="3724">
        <v>1.7</v>
      </c>
      <c r="K32" s="3724">
        <v>0.15</v>
      </c>
      <c r="L32" s="3721">
        <v>100</v>
      </c>
      <c r="M32" s="3724">
        <v>5.98</v>
      </c>
      <c r="N32" s="3724">
        <v>1.32</v>
      </c>
      <c r="O32" s="3724">
        <v>3.29</v>
      </c>
      <c r="P32" s="3725">
        <v>0.5</v>
      </c>
      <c r="Q32" s="3725">
        <v>5</v>
      </c>
    </row>
    <row r="33" spans="1:19" s="533" customFormat="1" ht="15.6" customHeight="1">
      <c r="A33" s="541">
        <f t="shared" si="1"/>
        <v>25</v>
      </c>
      <c r="B33" s="567" t="s">
        <v>188</v>
      </c>
      <c r="C33" s="566" t="s">
        <v>43</v>
      </c>
      <c r="D33" s="3718">
        <v>0.18</v>
      </c>
      <c r="E33" s="3719">
        <v>0.1</v>
      </c>
      <c r="F33" s="3719">
        <v>0.25</v>
      </c>
      <c r="G33" s="3720">
        <v>0.08</v>
      </c>
      <c r="H33" s="3724">
        <f>M33-D33</f>
        <v>0.26</v>
      </c>
      <c r="I33" s="3724">
        <f>N33-E33</f>
        <v>7.9999999999999988E-2</v>
      </c>
      <c r="J33" s="3724">
        <f>O33-F33</f>
        <v>0.42000000000000004</v>
      </c>
      <c r="K33" s="3724">
        <f>P33-G33</f>
        <v>6.9999999999999993E-2</v>
      </c>
      <c r="L33" s="3721">
        <v>70</v>
      </c>
      <c r="M33" s="3724">
        <v>0.44</v>
      </c>
      <c r="N33" s="3724">
        <v>0.18</v>
      </c>
      <c r="O33" s="3724">
        <v>0.67</v>
      </c>
      <c r="P33" s="3725">
        <v>0.15</v>
      </c>
      <c r="Q33" s="3720"/>
    </row>
    <row r="34" spans="1:19" s="533" customFormat="1" ht="15.6" customHeight="1">
      <c r="A34" s="541">
        <f t="shared" si="1"/>
        <v>26</v>
      </c>
      <c r="B34" s="567" t="s">
        <v>187</v>
      </c>
      <c r="C34" s="566" t="s">
        <v>41</v>
      </c>
      <c r="D34" s="3718">
        <v>0.35</v>
      </c>
      <c r="E34" s="3719">
        <v>0.14000000000000001</v>
      </c>
      <c r="F34" s="3719">
        <v>0.6</v>
      </c>
      <c r="G34" s="3720">
        <v>0.04</v>
      </c>
      <c r="H34" s="3724">
        <f t="shared" ref="H34:I37" si="3">M34-D34</f>
        <v>0.20000000000000007</v>
      </c>
      <c r="I34" s="3724">
        <f t="shared" si="3"/>
        <v>9.9999999999999811E-3</v>
      </c>
      <c r="J34" s="3724">
        <v>0</v>
      </c>
      <c r="K34" s="3724">
        <v>0</v>
      </c>
      <c r="L34" s="3721">
        <v>20</v>
      </c>
      <c r="M34" s="3724">
        <v>0.55000000000000004</v>
      </c>
      <c r="N34" s="3724">
        <v>0.15</v>
      </c>
      <c r="O34" s="3724">
        <v>0.67200000000000004</v>
      </c>
      <c r="P34" s="3725">
        <v>0.06</v>
      </c>
      <c r="Q34" s="3720"/>
    </row>
    <row r="35" spans="1:19" s="533" customFormat="1" ht="15.6" customHeight="1">
      <c r="A35" s="541">
        <f t="shared" si="1"/>
        <v>27</v>
      </c>
      <c r="B35" s="567" t="s">
        <v>186</v>
      </c>
      <c r="C35" s="566" t="s">
        <v>39</v>
      </c>
      <c r="D35" s="3718">
        <v>0.35</v>
      </c>
      <c r="E35" s="3719">
        <v>0.14000000000000001</v>
      </c>
      <c r="F35" s="3719">
        <v>0.6</v>
      </c>
      <c r="G35" s="3720">
        <v>0.04</v>
      </c>
      <c r="H35" s="3724">
        <f t="shared" si="3"/>
        <v>0.20000000000000007</v>
      </c>
      <c r="I35" s="3724">
        <f t="shared" si="3"/>
        <v>9.9999999999999811E-3</v>
      </c>
      <c r="J35" s="3724">
        <v>0</v>
      </c>
      <c r="K35" s="3724">
        <v>0</v>
      </c>
      <c r="L35" s="3721">
        <v>20</v>
      </c>
      <c r="M35" s="3724">
        <v>0.55000000000000004</v>
      </c>
      <c r="N35" s="3724">
        <v>0.15</v>
      </c>
      <c r="O35" s="3724">
        <v>0.67200000000000004</v>
      </c>
      <c r="P35" s="3725">
        <v>0.06</v>
      </c>
      <c r="Q35" s="3720"/>
    </row>
    <row r="36" spans="1:19" s="533" customFormat="1" ht="15.6" customHeight="1">
      <c r="A36" s="541">
        <f t="shared" si="1"/>
        <v>28</v>
      </c>
      <c r="B36" s="567" t="s">
        <v>185</v>
      </c>
      <c r="C36" s="566" t="s">
        <v>37</v>
      </c>
      <c r="D36" s="3718">
        <v>0.35</v>
      </c>
      <c r="E36" s="3719">
        <v>0.14000000000000001</v>
      </c>
      <c r="F36" s="3719">
        <v>0.6</v>
      </c>
      <c r="G36" s="3720">
        <v>0.04</v>
      </c>
      <c r="H36" s="3724">
        <f t="shared" si="3"/>
        <v>0.20000000000000007</v>
      </c>
      <c r="I36" s="3724">
        <f t="shared" si="3"/>
        <v>9.9999999999999811E-3</v>
      </c>
      <c r="J36" s="3724">
        <v>0</v>
      </c>
      <c r="K36" s="3724">
        <v>0</v>
      </c>
      <c r="L36" s="3721">
        <v>20</v>
      </c>
      <c r="M36" s="3724">
        <v>0.55000000000000004</v>
      </c>
      <c r="N36" s="3724">
        <v>0.15</v>
      </c>
      <c r="O36" s="3724">
        <v>0.67200000000000004</v>
      </c>
      <c r="P36" s="3725">
        <v>0.06</v>
      </c>
      <c r="Q36" s="3720"/>
    </row>
    <row r="37" spans="1:19" s="533" customFormat="1" ht="15.6" customHeight="1">
      <c r="A37" s="541">
        <f t="shared" si="1"/>
        <v>29</v>
      </c>
      <c r="B37" s="567" t="s">
        <v>36</v>
      </c>
      <c r="C37" s="566" t="s">
        <v>35</v>
      </c>
      <c r="D37" s="3718">
        <v>0.35</v>
      </c>
      <c r="E37" s="3719">
        <v>0.14000000000000001</v>
      </c>
      <c r="F37" s="3719">
        <v>0.6</v>
      </c>
      <c r="G37" s="3720">
        <v>0.04</v>
      </c>
      <c r="H37" s="3724">
        <f t="shared" si="3"/>
        <v>0.20000000000000007</v>
      </c>
      <c r="I37" s="3724">
        <f t="shared" si="3"/>
        <v>9.9999999999999811E-3</v>
      </c>
      <c r="J37" s="3724">
        <v>0</v>
      </c>
      <c r="K37" s="3724"/>
      <c r="L37" s="3721">
        <v>20</v>
      </c>
      <c r="M37" s="3724">
        <v>0.55000000000000004</v>
      </c>
      <c r="N37" s="3724">
        <v>0.15</v>
      </c>
      <c r="O37" s="3724">
        <v>0.67200000000000004</v>
      </c>
      <c r="P37" s="3725">
        <v>0.06</v>
      </c>
      <c r="Q37" s="3720"/>
    </row>
    <row r="38" spans="1:19" s="533" customFormat="1" ht="15.6" customHeight="1">
      <c r="A38" s="541">
        <f t="shared" si="1"/>
        <v>30</v>
      </c>
      <c r="B38" s="567" t="s">
        <v>23</v>
      </c>
      <c r="C38" s="566" t="s">
        <v>675</v>
      </c>
      <c r="D38" s="3726"/>
      <c r="E38" s="3727"/>
      <c r="F38" s="3727"/>
      <c r="G38" s="3728"/>
      <c r="H38" s="3726"/>
      <c r="I38" s="3727"/>
      <c r="J38" s="3727"/>
      <c r="K38" s="3728"/>
      <c r="L38" s="3721"/>
      <c r="M38" s="2849"/>
      <c r="N38" s="2849"/>
      <c r="O38" s="2849"/>
      <c r="P38" s="2849"/>
      <c r="Q38" s="2849"/>
    </row>
    <row r="39" spans="1:19" s="533" customFormat="1" ht="15.6" customHeight="1">
      <c r="A39" s="541">
        <f t="shared" si="1"/>
        <v>31</v>
      </c>
      <c r="B39" s="567" t="s">
        <v>184</v>
      </c>
      <c r="C39" s="566" t="s">
        <v>27</v>
      </c>
      <c r="D39" s="3726"/>
      <c r="E39" s="3727"/>
      <c r="F39" s="3727"/>
      <c r="G39" s="3728"/>
      <c r="H39" s="3726"/>
      <c r="I39" s="3727"/>
      <c r="J39" s="3727"/>
      <c r="K39" s="3728"/>
      <c r="L39" s="3721"/>
      <c r="M39" s="2849"/>
      <c r="N39" s="2849"/>
      <c r="O39" s="2849"/>
      <c r="P39" s="2849"/>
      <c r="Q39" s="2849"/>
    </row>
    <row r="40" spans="1:19" s="533" customFormat="1" ht="15.6" customHeight="1">
      <c r="A40" s="541">
        <f t="shared" si="1"/>
        <v>32</v>
      </c>
      <c r="B40" s="567" t="s">
        <v>183</v>
      </c>
      <c r="C40" s="566" t="s">
        <v>674</v>
      </c>
      <c r="D40" s="3726"/>
      <c r="E40" s="3727"/>
      <c r="F40" s="3727"/>
      <c r="G40" s="3728"/>
      <c r="H40" s="3726"/>
      <c r="I40" s="3727"/>
      <c r="J40" s="3727"/>
      <c r="K40" s="3728"/>
      <c r="L40" s="3721"/>
      <c r="M40" s="2849"/>
      <c r="N40" s="2849"/>
      <c r="O40" s="2849"/>
      <c r="P40" s="2849"/>
      <c r="Q40" s="2849"/>
    </row>
    <row r="41" spans="1:19" s="533" customFormat="1" ht="15.6" customHeight="1">
      <c r="A41" s="541">
        <f t="shared" si="1"/>
        <v>33</v>
      </c>
      <c r="B41" s="567" t="s">
        <v>1751</v>
      </c>
      <c r="C41" s="566" t="s">
        <v>674</v>
      </c>
      <c r="D41" s="3729">
        <v>-2</v>
      </c>
      <c r="E41" s="3723">
        <v>0.7</v>
      </c>
      <c r="F41" s="3730">
        <v>3.1</v>
      </c>
      <c r="G41" s="3731">
        <v>0.4</v>
      </c>
      <c r="H41" s="3726"/>
      <c r="I41" s="3727"/>
      <c r="J41" s="3727"/>
      <c r="K41" s="3728"/>
      <c r="L41" s="3721"/>
      <c r="M41" s="2849"/>
      <c r="N41" s="2849"/>
      <c r="O41" s="2849"/>
      <c r="P41" s="2849"/>
      <c r="Q41" s="2849"/>
      <c r="S41" s="533">
        <f>230/115</f>
        <v>2</v>
      </c>
    </row>
    <row r="42" spans="1:19" s="533" customFormat="1" ht="15.6" customHeight="1">
      <c r="A42" s="541">
        <f t="shared" si="1"/>
        <v>34</v>
      </c>
      <c r="B42" s="567" t="s">
        <v>1752</v>
      </c>
      <c r="C42" s="566" t="s">
        <v>674</v>
      </c>
      <c r="D42" s="3729">
        <v>-1.45</v>
      </c>
      <c r="E42" s="3723">
        <v>0.7</v>
      </c>
      <c r="F42" s="3730">
        <v>3.15</v>
      </c>
      <c r="G42" s="3731">
        <v>0.4</v>
      </c>
      <c r="H42" s="3726"/>
      <c r="I42" s="3727"/>
      <c r="J42" s="3727"/>
      <c r="K42" s="3728"/>
      <c r="L42" s="3721"/>
      <c r="M42" s="2849"/>
      <c r="N42" s="2849"/>
      <c r="O42" s="2849"/>
      <c r="P42" s="2849"/>
      <c r="Q42" s="2849"/>
      <c r="S42" s="533">
        <f>165/120</f>
        <v>1.375</v>
      </c>
    </row>
    <row r="43" spans="1:19" s="4" customFormat="1" ht="13.8">
      <c r="A43" s="541">
        <f t="shared" si="1"/>
        <v>35</v>
      </c>
      <c r="B43" s="567" t="s">
        <v>1753</v>
      </c>
      <c r="C43" s="566" t="s">
        <v>674</v>
      </c>
      <c r="D43" s="3729">
        <v>-2</v>
      </c>
      <c r="E43" s="3723">
        <v>0.7</v>
      </c>
      <c r="F43" s="3730">
        <v>3.1</v>
      </c>
      <c r="G43" s="3731">
        <v>0.4</v>
      </c>
      <c r="H43" s="3726"/>
      <c r="I43" s="3727"/>
      <c r="J43" s="3727"/>
      <c r="K43" s="3728"/>
      <c r="L43" s="3721"/>
      <c r="M43" s="2849"/>
      <c r="N43" s="2849"/>
      <c r="O43" s="2849"/>
      <c r="P43" s="2849"/>
      <c r="Q43" s="2849"/>
      <c r="R43" s="533"/>
      <c r="S43" s="4">
        <f>230/115</f>
        <v>2</v>
      </c>
    </row>
    <row r="44" spans="1:19" s="4" customFormat="1" ht="13.8">
      <c r="A44" s="541">
        <f t="shared" si="1"/>
        <v>36</v>
      </c>
      <c r="B44" s="567" t="s">
        <v>1754</v>
      </c>
      <c r="C44" s="566" t="s">
        <v>674</v>
      </c>
      <c r="D44" s="3732">
        <v>-1.45</v>
      </c>
      <c r="E44" s="3733">
        <v>0.7</v>
      </c>
      <c r="F44" s="3734">
        <v>3.15</v>
      </c>
      <c r="G44" s="3735">
        <v>0.4</v>
      </c>
      <c r="H44" s="3736"/>
      <c r="I44" s="3737"/>
      <c r="J44" s="3737"/>
      <c r="K44" s="3738"/>
      <c r="L44" s="3739"/>
      <c r="M44" s="2849"/>
      <c r="N44" s="2849"/>
      <c r="O44" s="2849"/>
      <c r="P44" s="2849"/>
      <c r="Q44" s="2849"/>
      <c r="R44" s="533"/>
      <c r="S44" s="4">
        <f>165/120</f>
        <v>1.375</v>
      </c>
    </row>
    <row r="45" spans="1:19" s="4" customFormat="1" ht="15.6" customHeight="1">
      <c r="A45" s="541"/>
      <c r="B45" s="555"/>
      <c r="D45" s="526"/>
      <c r="E45" s="54"/>
      <c r="F45" s="9"/>
      <c r="G45" s="552"/>
      <c r="H45" s="562"/>
      <c r="I45" s="561"/>
      <c r="J45" s="547"/>
      <c r="K45" s="547"/>
      <c r="L45" s="548"/>
      <c r="M45" s="533"/>
      <c r="N45" s="533"/>
      <c r="O45" s="533"/>
      <c r="P45" s="533"/>
      <c r="Q45" s="533"/>
      <c r="R45" s="533"/>
    </row>
    <row r="46" spans="1:19" s="4" customFormat="1" ht="15.6" customHeight="1">
      <c r="A46" s="541"/>
      <c r="B46" s="551"/>
      <c r="C46" s="543"/>
      <c r="D46" s="526"/>
      <c r="E46" s="54"/>
      <c r="F46" s="9"/>
      <c r="G46" s="559"/>
      <c r="H46" s="560"/>
      <c r="I46" s="559"/>
      <c r="J46" s="547"/>
      <c r="K46" s="547"/>
      <c r="L46" s="548"/>
      <c r="M46" s="533"/>
      <c r="N46" s="533"/>
      <c r="O46" s="533"/>
      <c r="P46" s="533"/>
      <c r="Q46" s="533"/>
      <c r="R46" s="533"/>
    </row>
    <row r="47" spans="1:19" s="4" customFormat="1" ht="15.6" hidden="1" customHeight="1">
      <c r="A47" s="541"/>
      <c r="B47" s="91" t="s">
        <v>1664</v>
      </c>
      <c r="C47" s="54"/>
      <c r="D47" s="4057" t="s">
        <v>1665</v>
      </c>
      <c r="E47" s="4058"/>
      <c r="F47" s="4058"/>
      <c r="G47" s="4059"/>
      <c r="H47" s="542"/>
      <c r="I47" s="193"/>
      <c r="J47" s="547"/>
      <c r="K47" s="547"/>
      <c r="L47" s="548"/>
      <c r="M47" s="533"/>
      <c r="N47" s="533"/>
      <c r="O47" s="533"/>
      <c r="P47" s="533"/>
      <c r="Q47" s="533"/>
      <c r="R47" s="533"/>
    </row>
    <row r="48" spans="1:19" s="545" customFormat="1" ht="24.6" hidden="1" customHeight="1">
      <c r="A48" s="541"/>
      <c r="B48" s="3159" t="s">
        <v>1663</v>
      </c>
      <c r="C48" s="3160"/>
      <c r="D48" s="3161" t="s">
        <v>236</v>
      </c>
      <c r="E48" s="3162" t="s">
        <v>685</v>
      </c>
      <c r="F48" s="3162" t="s">
        <v>684</v>
      </c>
      <c r="G48" s="3163" t="s">
        <v>230</v>
      </c>
      <c r="H48" s="542"/>
      <c r="I48" s="193"/>
      <c r="L48" s="546"/>
    </row>
    <row r="49" spans="1:15" s="533" customFormat="1" ht="15.6" hidden="1" customHeight="1">
      <c r="A49" s="541">
        <v>37</v>
      </c>
      <c r="B49" s="567" t="s">
        <v>1071</v>
      </c>
      <c r="C49" s="54"/>
      <c r="D49" s="3164"/>
      <c r="E49" s="3165">
        <v>26</v>
      </c>
      <c r="F49" s="3165">
        <v>2</v>
      </c>
      <c r="G49" s="3166"/>
      <c r="H49" s="542"/>
      <c r="I49" s="193"/>
      <c r="L49" s="534"/>
    </row>
    <row r="50" spans="1:15" s="533" customFormat="1" ht="15.6" hidden="1" customHeight="1">
      <c r="A50" s="541">
        <v>38</v>
      </c>
      <c r="B50" s="567" t="s">
        <v>1653</v>
      </c>
      <c r="C50" s="54"/>
      <c r="D50" s="565"/>
      <c r="E50" s="564"/>
      <c r="F50" s="564">
        <v>30</v>
      </c>
      <c r="G50" s="563">
        <v>10</v>
      </c>
      <c r="H50" s="542"/>
      <c r="I50" s="193"/>
      <c r="L50" s="534"/>
    </row>
    <row r="51" spans="1:15" s="54" customFormat="1" ht="15.6" hidden="1" customHeight="1">
      <c r="A51" s="541">
        <v>39</v>
      </c>
      <c r="B51" s="567" t="s">
        <v>1654</v>
      </c>
      <c r="C51" s="556"/>
      <c r="D51" s="565"/>
      <c r="E51" s="564"/>
      <c r="F51" s="564"/>
      <c r="G51" s="563">
        <v>27</v>
      </c>
      <c r="H51" s="557"/>
      <c r="I51" s="556"/>
      <c r="L51" s="529"/>
    </row>
    <row r="52" spans="1:15" s="4" customFormat="1" ht="17.399999999999999" hidden="1" customHeight="1">
      <c r="A52" s="541">
        <v>40</v>
      </c>
      <c r="B52" s="567" t="s">
        <v>1655</v>
      </c>
      <c r="D52" s="565">
        <v>13</v>
      </c>
      <c r="E52" s="564"/>
      <c r="F52" s="564"/>
      <c r="G52" s="563"/>
      <c r="H52" s="553"/>
      <c r="I52" s="552"/>
      <c r="J52" s="547"/>
      <c r="K52" s="547"/>
      <c r="L52" s="548"/>
      <c r="M52" s="547"/>
      <c r="N52" s="547"/>
      <c r="O52" s="547"/>
    </row>
    <row r="53" spans="1:15" s="4" customFormat="1" ht="19.95" hidden="1" customHeight="1">
      <c r="A53" s="541">
        <v>41</v>
      </c>
      <c r="B53" s="567" t="s">
        <v>1656</v>
      </c>
      <c r="D53" s="565"/>
      <c r="E53" s="564"/>
      <c r="F53" s="564"/>
      <c r="G53" s="563"/>
      <c r="H53" s="550"/>
      <c r="I53" s="549"/>
      <c r="J53" s="547"/>
      <c r="K53" s="547"/>
      <c r="L53" s="548"/>
      <c r="M53" s="547"/>
      <c r="N53" s="547"/>
      <c r="O53" s="547"/>
    </row>
    <row r="54" spans="1:15" s="4" customFormat="1" ht="15.6" hidden="1" customHeight="1">
      <c r="A54" s="541">
        <v>42</v>
      </c>
      <c r="B54" s="567" t="s">
        <v>1070</v>
      </c>
      <c r="C54" s="54"/>
      <c r="D54" s="565">
        <v>0.08</v>
      </c>
      <c r="E54" s="564">
        <v>0.12</v>
      </c>
      <c r="F54" s="564">
        <v>0.74</v>
      </c>
      <c r="G54" s="563">
        <v>0.09</v>
      </c>
      <c r="H54" s="193" t="s">
        <v>1667</v>
      </c>
      <c r="J54" s="547"/>
      <c r="K54" s="547"/>
      <c r="L54" s="548"/>
      <c r="M54" s="547"/>
      <c r="N54" s="547"/>
      <c r="O54" s="547"/>
    </row>
    <row r="55" spans="1:15" s="545" customFormat="1" ht="15.6" hidden="1" customHeight="1">
      <c r="A55" s="541">
        <v>43</v>
      </c>
      <c r="B55" s="567" t="s">
        <v>1069</v>
      </c>
      <c r="C55" s="54"/>
      <c r="D55" s="565">
        <v>0.16</v>
      </c>
      <c r="E55" s="564">
        <v>0.26</v>
      </c>
      <c r="F55" s="564">
        <v>0.73</v>
      </c>
      <c r="G55" s="563">
        <v>0.12</v>
      </c>
      <c r="H55" s="542"/>
      <c r="I55" s="193"/>
      <c r="L55" s="546"/>
    </row>
    <row r="56" spans="1:15" s="533" customFormat="1" ht="15.6" hidden="1" customHeight="1">
      <c r="A56" s="541">
        <v>44</v>
      </c>
      <c r="B56" s="567" t="s">
        <v>1068</v>
      </c>
      <c r="C56" s="544"/>
      <c r="D56" s="565">
        <v>1.5</v>
      </c>
      <c r="E56" s="564">
        <v>0.5</v>
      </c>
      <c r="F56" s="564">
        <v>5.4</v>
      </c>
      <c r="G56" s="563">
        <v>0.5</v>
      </c>
      <c r="H56" s="542" t="s">
        <v>1666</v>
      </c>
      <c r="I56" s="193"/>
      <c r="L56" s="534"/>
    </row>
    <row r="57" spans="1:15" s="533" customFormat="1" ht="15.6" hidden="1" customHeight="1">
      <c r="A57" s="541">
        <v>45</v>
      </c>
      <c r="B57" s="567" t="s">
        <v>1067</v>
      </c>
      <c r="C57" s="54"/>
      <c r="D57" s="3167">
        <v>3.8</v>
      </c>
      <c r="E57" s="3168">
        <v>3.1</v>
      </c>
      <c r="F57" s="3168">
        <v>2.2000000000000002</v>
      </c>
      <c r="G57" s="3169">
        <v>1.8</v>
      </c>
      <c r="H57" s="542" t="s">
        <v>1666</v>
      </c>
      <c r="I57" s="193"/>
      <c r="L57" s="534"/>
    </row>
    <row r="58" spans="1:15" s="533" customFormat="1" ht="15.6" hidden="1" customHeight="1">
      <c r="A58" s="541"/>
      <c r="C58" s="54"/>
      <c r="D58" s="540"/>
      <c r="E58" s="539"/>
      <c r="F58" s="538"/>
      <c r="G58" s="536"/>
      <c r="H58" s="537"/>
      <c r="I58" s="536"/>
      <c r="L58" s="534"/>
    </row>
    <row r="59" spans="1:15" s="533" customFormat="1" ht="15.6" customHeight="1">
      <c r="C59" s="535"/>
      <c r="D59" s="534"/>
      <c r="H59" s="534"/>
      <c r="L59" s="534"/>
    </row>
    <row r="60" spans="1:15" ht="7.2" customHeight="1">
      <c r="A60" s="54"/>
      <c r="B60" s="54"/>
      <c r="C60" s="54"/>
      <c r="D60" s="532"/>
      <c r="E60" s="531"/>
      <c r="F60" s="9"/>
      <c r="G60" s="531"/>
      <c r="H60" s="530"/>
      <c r="I60" s="54"/>
    </row>
    <row r="61" spans="1:15" ht="16.2" customHeight="1">
      <c r="A61" s="448"/>
    </row>
    <row r="62" spans="1:15" ht="13.8">
      <c r="A62" s="54"/>
      <c r="B62" s="54"/>
      <c r="C62" s="54"/>
    </row>
    <row r="63" spans="1:15" ht="13.8">
      <c r="A63" s="54"/>
      <c r="B63" s="54"/>
      <c r="C63" s="54"/>
    </row>
    <row r="64" spans="1:15" ht="13.8">
      <c r="A64" s="54"/>
      <c r="B64" s="54"/>
      <c r="C64" s="54"/>
    </row>
    <row r="65" spans="1:32" ht="13.8">
      <c r="A65" s="54"/>
      <c r="B65" s="54"/>
      <c r="C65" s="54"/>
    </row>
    <row r="66" spans="1:32" ht="13.8">
      <c r="A66" s="54"/>
      <c r="B66" s="54"/>
      <c r="C66" s="54"/>
    </row>
    <row r="67" spans="1:32" ht="13.8">
      <c r="A67" s="54"/>
      <c r="B67" s="54"/>
      <c r="C67" s="54"/>
    </row>
    <row r="68" spans="1:32" ht="13.8">
      <c r="A68" s="54"/>
      <c r="B68" s="54"/>
      <c r="C68" s="54"/>
    </row>
    <row r="69" spans="1:32" ht="13.8">
      <c r="A69" s="54"/>
      <c r="B69" s="54"/>
      <c r="C69" s="54"/>
    </row>
    <row r="70" spans="1:32" ht="13.8">
      <c r="A70" s="54"/>
      <c r="B70" s="54"/>
      <c r="C70" s="54"/>
    </row>
    <row r="71" spans="1:32" ht="13.8">
      <c r="A71" s="54"/>
      <c r="B71" s="54"/>
      <c r="C71" s="54"/>
    </row>
    <row r="72" spans="1:32" ht="13.8">
      <c r="A72" s="54"/>
      <c r="B72" s="54"/>
      <c r="C72" s="54"/>
    </row>
    <row r="73" spans="1:32" ht="13.8">
      <c r="A73" s="54"/>
      <c r="B73" s="54"/>
      <c r="C73" s="54"/>
    </row>
    <row r="74" spans="1:32" ht="13.8">
      <c r="A74" s="54"/>
      <c r="B74" s="54"/>
      <c r="C74" s="54"/>
    </row>
    <row r="75" spans="1:32" s="4" customFormat="1" ht="13.8">
      <c r="A75" s="54"/>
      <c r="B75" s="54"/>
      <c r="C75" s="54"/>
      <c r="D75" s="526"/>
      <c r="F75" s="527"/>
      <c r="H75" s="526"/>
      <c r="I75" s="16"/>
      <c r="J75" s="448"/>
      <c r="K75" s="448"/>
      <c r="L75" s="525"/>
      <c r="M75" s="448"/>
      <c r="N75" s="448"/>
      <c r="O75" s="448"/>
      <c r="P75" s="448"/>
      <c r="Q75" s="448"/>
      <c r="R75" s="448"/>
      <c r="S75" s="448"/>
      <c r="T75" s="448"/>
      <c r="U75" s="448"/>
      <c r="V75" s="448"/>
      <c r="W75" s="448"/>
      <c r="X75" s="448"/>
      <c r="Y75" s="448"/>
      <c r="Z75" s="448"/>
      <c r="AA75" s="448"/>
      <c r="AB75" s="448"/>
      <c r="AC75" s="448"/>
      <c r="AD75" s="448"/>
      <c r="AE75" s="448"/>
      <c r="AF75" s="448"/>
    </row>
    <row r="76" spans="1:32" s="4" customFormat="1" ht="13.8">
      <c r="A76" s="54"/>
      <c r="B76" s="54"/>
      <c r="C76" s="54"/>
      <c r="D76" s="526"/>
      <c r="F76" s="527"/>
      <c r="H76" s="526"/>
      <c r="I76" s="16"/>
      <c r="J76" s="448"/>
      <c r="K76" s="448"/>
      <c r="L76" s="525"/>
      <c r="M76" s="448"/>
      <c r="N76" s="448"/>
      <c r="O76" s="448"/>
      <c r="P76" s="448"/>
      <c r="Q76" s="448"/>
      <c r="R76" s="448"/>
      <c r="S76" s="448"/>
      <c r="T76" s="448"/>
      <c r="U76" s="448"/>
      <c r="V76" s="448"/>
      <c r="W76" s="448"/>
      <c r="X76" s="448"/>
      <c r="Y76" s="448"/>
      <c r="Z76" s="448"/>
      <c r="AA76" s="448"/>
      <c r="AB76" s="448"/>
      <c r="AC76" s="448"/>
      <c r="AD76" s="448"/>
      <c r="AE76" s="448"/>
      <c r="AF76" s="448"/>
    </row>
    <row r="77" spans="1:32" s="4" customFormat="1" ht="13.8">
      <c r="A77" s="54"/>
      <c r="B77" s="54"/>
      <c r="C77" s="54"/>
      <c r="D77" s="526"/>
      <c r="F77" s="527"/>
      <c r="H77" s="526"/>
      <c r="I77" s="16"/>
      <c r="J77" s="448"/>
      <c r="K77" s="448"/>
      <c r="L77" s="525"/>
      <c r="M77" s="448"/>
      <c r="N77" s="448"/>
      <c r="O77" s="448"/>
      <c r="P77" s="448"/>
      <c r="Q77" s="448"/>
      <c r="R77" s="448"/>
      <c r="S77" s="448"/>
      <c r="T77" s="448"/>
      <c r="U77" s="448"/>
      <c r="V77" s="448"/>
      <c r="W77" s="448"/>
      <c r="X77" s="448"/>
      <c r="Y77" s="448"/>
      <c r="Z77" s="448"/>
      <c r="AA77" s="448"/>
      <c r="AB77" s="448"/>
      <c r="AC77" s="448"/>
      <c r="AD77" s="448"/>
      <c r="AE77" s="448"/>
      <c r="AF77" s="448"/>
    </row>
    <row r="78" spans="1:32" s="4" customFormat="1" ht="13.8">
      <c r="A78" s="54"/>
      <c r="B78" s="54"/>
      <c r="C78" s="54"/>
      <c r="D78" s="526"/>
      <c r="F78" s="527"/>
      <c r="H78" s="526"/>
      <c r="I78" s="16"/>
      <c r="J78" s="448"/>
      <c r="K78" s="448"/>
      <c r="L78" s="525"/>
      <c r="M78" s="448"/>
      <c r="N78" s="448"/>
      <c r="O78" s="448"/>
      <c r="P78" s="448"/>
      <c r="Q78" s="448"/>
      <c r="R78" s="448"/>
      <c r="S78" s="448"/>
      <c r="T78" s="448"/>
      <c r="U78" s="448"/>
      <c r="V78" s="448"/>
      <c r="W78" s="448"/>
      <c r="X78" s="448"/>
      <c r="Y78" s="448"/>
      <c r="Z78" s="448"/>
      <c r="AA78" s="448"/>
      <c r="AB78" s="448"/>
      <c r="AC78" s="448"/>
      <c r="AD78" s="448"/>
      <c r="AE78" s="448"/>
      <c r="AF78" s="448"/>
    </row>
    <row r="79" spans="1:32" s="4" customFormat="1" ht="13.8">
      <c r="A79" s="54"/>
      <c r="B79" s="54"/>
      <c r="C79" s="54"/>
      <c r="D79" s="526"/>
      <c r="F79" s="527"/>
      <c r="H79" s="526"/>
      <c r="I79" s="16"/>
      <c r="J79" s="448"/>
      <c r="K79" s="448"/>
      <c r="L79" s="525"/>
      <c r="M79" s="448"/>
      <c r="N79" s="448"/>
      <c r="O79" s="448"/>
      <c r="P79" s="448"/>
      <c r="Q79" s="448"/>
      <c r="R79" s="448"/>
      <c r="S79" s="448"/>
      <c r="T79" s="448"/>
      <c r="U79" s="448"/>
      <c r="V79" s="448"/>
      <c r="W79" s="448"/>
      <c r="X79" s="448"/>
      <c r="Y79" s="448"/>
      <c r="Z79" s="448"/>
      <c r="AA79" s="448"/>
      <c r="AB79" s="448"/>
      <c r="AC79" s="448"/>
      <c r="AD79" s="448"/>
      <c r="AE79" s="448"/>
      <c r="AF79" s="448"/>
    </row>
    <row r="80" spans="1:32" s="4" customFormat="1" ht="13.8">
      <c r="A80" s="54"/>
      <c r="B80" s="54"/>
      <c r="C80" s="54"/>
      <c r="D80" s="526"/>
      <c r="F80" s="527"/>
      <c r="H80" s="526"/>
      <c r="I80" s="16"/>
      <c r="J80" s="448"/>
      <c r="K80" s="448"/>
      <c r="L80" s="525"/>
      <c r="M80" s="448"/>
      <c r="N80" s="448"/>
      <c r="O80" s="448"/>
      <c r="P80" s="448"/>
      <c r="Q80" s="448"/>
      <c r="R80" s="448"/>
      <c r="S80" s="448"/>
      <c r="T80" s="448"/>
      <c r="U80" s="448"/>
      <c r="V80" s="448"/>
      <c r="W80" s="448"/>
      <c r="X80" s="448"/>
      <c r="Y80" s="448"/>
      <c r="Z80" s="448"/>
      <c r="AA80" s="448"/>
      <c r="AB80" s="448"/>
      <c r="AC80" s="448"/>
      <c r="AD80" s="448"/>
      <c r="AE80" s="448"/>
      <c r="AF80" s="448"/>
    </row>
    <row r="81" spans="1:32" s="4" customFormat="1" ht="13.8">
      <c r="A81" s="54"/>
      <c r="B81" s="54"/>
      <c r="C81" s="54"/>
      <c r="D81" s="526"/>
      <c r="F81" s="527"/>
      <c r="H81" s="526"/>
      <c r="I81" s="16"/>
      <c r="J81" s="448"/>
      <c r="K81" s="448"/>
      <c r="L81" s="525"/>
      <c r="M81" s="448"/>
      <c r="N81" s="448"/>
      <c r="O81" s="448"/>
      <c r="P81" s="448"/>
      <c r="Q81" s="448"/>
      <c r="R81" s="448"/>
      <c r="S81" s="448"/>
      <c r="T81" s="448"/>
      <c r="U81" s="448"/>
      <c r="V81" s="448"/>
      <c r="W81" s="448"/>
      <c r="X81" s="448"/>
      <c r="Y81" s="448"/>
      <c r="Z81" s="448"/>
      <c r="AA81" s="448"/>
      <c r="AB81" s="448"/>
      <c r="AC81" s="448"/>
      <c r="AD81" s="448"/>
      <c r="AE81" s="448"/>
      <c r="AF81" s="448"/>
    </row>
    <row r="82" spans="1:32" s="4" customFormat="1" ht="13.8">
      <c r="A82" s="54"/>
      <c r="B82" s="54"/>
      <c r="C82" s="54"/>
      <c r="D82" s="526"/>
      <c r="F82" s="527"/>
      <c r="H82" s="526"/>
      <c r="I82" s="16"/>
      <c r="J82" s="448"/>
      <c r="K82" s="448"/>
      <c r="L82" s="525"/>
      <c r="M82" s="448"/>
      <c r="N82" s="448"/>
      <c r="O82" s="448"/>
      <c r="P82" s="448"/>
      <c r="Q82" s="448"/>
      <c r="R82" s="448"/>
      <c r="S82" s="448"/>
      <c r="T82" s="448"/>
      <c r="U82" s="448"/>
      <c r="V82" s="448"/>
      <c r="W82" s="448"/>
      <c r="X82" s="448"/>
      <c r="Y82" s="448"/>
      <c r="Z82" s="448"/>
      <c r="AA82" s="448"/>
      <c r="AB82" s="448"/>
      <c r="AC82" s="448"/>
      <c r="AD82" s="448"/>
      <c r="AE82" s="448"/>
      <c r="AF82" s="448"/>
    </row>
    <row r="83" spans="1:32" s="4" customFormat="1" ht="13.8">
      <c r="A83" s="54"/>
      <c r="B83" s="54"/>
      <c r="C83" s="54"/>
      <c r="D83" s="526"/>
      <c r="F83" s="527"/>
      <c r="H83" s="526"/>
      <c r="I83" s="16"/>
      <c r="J83" s="448"/>
      <c r="K83" s="448"/>
      <c r="L83" s="525"/>
      <c r="M83" s="448"/>
      <c r="N83" s="448"/>
      <c r="O83" s="448"/>
      <c r="P83" s="448"/>
      <c r="Q83" s="448"/>
      <c r="R83" s="448"/>
      <c r="S83" s="448"/>
      <c r="T83" s="448"/>
      <c r="U83" s="448"/>
      <c r="V83" s="448"/>
      <c r="W83" s="448"/>
      <c r="X83" s="448"/>
      <c r="Y83" s="448"/>
      <c r="Z83" s="448"/>
      <c r="AA83" s="448"/>
      <c r="AB83" s="448"/>
      <c r="AC83" s="448"/>
      <c r="AD83" s="448"/>
      <c r="AE83" s="448"/>
      <c r="AF83" s="448"/>
    </row>
    <row r="84" spans="1:32" s="4" customFormat="1" ht="13.8">
      <c r="A84" s="54"/>
      <c r="B84" s="54"/>
      <c r="C84" s="54"/>
      <c r="D84" s="526"/>
      <c r="F84" s="527"/>
      <c r="H84" s="526"/>
      <c r="I84" s="16"/>
      <c r="J84" s="448"/>
      <c r="K84" s="448"/>
      <c r="L84" s="525"/>
      <c r="M84" s="448"/>
      <c r="N84" s="448"/>
      <c r="O84" s="448"/>
      <c r="P84" s="448"/>
      <c r="Q84" s="448"/>
      <c r="R84" s="448"/>
      <c r="S84" s="448"/>
      <c r="T84" s="448"/>
      <c r="U84" s="448"/>
      <c r="V84" s="448"/>
      <c r="W84" s="448"/>
      <c r="X84" s="448"/>
      <c r="Y84" s="448"/>
      <c r="Z84" s="448"/>
      <c r="AA84" s="448"/>
      <c r="AB84" s="448"/>
      <c r="AC84" s="448"/>
      <c r="AD84" s="448"/>
      <c r="AE84" s="448"/>
      <c r="AF84" s="448"/>
    </row>
    <row r="85" spans="1:32" s="4" customFormat="1" ht="13.8">
      <c r="A85" s="54"/>
      <c r="B85" s="54"/>
      <c r="C85" s="54"/>
      <c r="D85" s="526"/>
      <c r="F85" s="527"/>
      <c r="H85" s="526"/>
      <c r="I85" s="16"/>
      <c r="J85" s="448"/>
      <c r="K85" s="448"/>
      <c r="L85" s="525"/>
      <c r="M85" s="448"/>
      <c r="N85" s="448"/>
      <c r="O85" s="448"/>
      <c r="P85" s="448"/>
      <c r="Q85" s="448"/>
      <c r="R85" s="448"/>
      <c r="S85" s="448"/>
      <c r="T85" s="448"/>
      <c r="U85" s="448"/>
      <c r="V85" s="448"/>
      <c r="W85" s="448"/>
      <c r="X85" s="448"/>
      <c r="Y85" s="448"/>
      <c r="Z85" s="448"/>
      <c r="AA85" s="448"/>
      <c r="AB85" s="448"/>
      <c r="AC85" s="448"/>
      <c r="AD85" s="448"/>
      <c r="AE85" s="448"/>
      <c r="AF85" s="448"/>
    </row>
    <row r="86" spans="1:32" s="4" customFormat="1" ht="13.8">
      <c r="A86" s="54"/>
      <c r="B86" s="54"/>
      <c r="C86" s="54"/>
      <c r="D86" s="526"/>
      <c r="F86" s="527"/>
      <c r="H86" s="526"/>
      <c r="I86" s="16"/>
      <c r="J86" s="448"/>
      <c r="K86" s="448"/>
      <c r="L86" s="525"/>
      <c r="M86" s="448"/>
      <c r="N86" s="448"/>
      <c r="O86" s="448"/>
      <c r="P86" s="448"/>
      <c r="Q86" s="448"/>
      <c r="R86" s="448"/>
      <c r="S86" s="448"/>
      <c r="T86" s="448"/>
      <c r="U86" s="448"/>
      <c r="V86" s="448"/>
      <c r="W86" s="448"/>
      <c r="X86" s="448"/>
      <c r="Y86" s="448"/>
      <c r="Z86" s="448"/>
      <c r="AA86" s="448"/>
      <c r="AB86" s="448"/>
      <c r="AC86" s="448"/>
      <c r="AD86" s="448"/>
      <c r="AE86" s="448"/>
      <c r="AF86" s="448"/>
    </row>
    <row r="87" spans="1:32" s="4" customFormat="1" ht="13.8">
      <c r="A87" s="54"/>
      <c r="B87" s="54"/>
      <c r="C87" s="54"/>
      <c r="D87" s="526"/>
      <c r="F87" s="527"/>
      <c r="H87" s="526"/>
      <c r="I87" s="16"/>
      <c r="J87" s="448"/>
      <c r="K87" s="448"/>
      <c r="L87" s="525"/>
      <c r="M87" s="448"/>
      <c r="N87" s="448"/>
      <c r="O87" s="448"/>
      <c r="P87" s="448"/>
      <c r="Q87" s="448"/>
      <c r="R87" s="448"/>
      <c r="S87" s="448"/>
      <c r="T87" s="448"/>
      <c r="U87" s="448"/>
      <c r="V87" s="448"/>
      <c r="W87" s="448"/>
      <c r="X87" s="448"/>
      <c r="Y87" s="448"/>
      <c r="Z87" s="448"/>
      <c r="AA87" s="448"/>
      <c r="AB87" s="448"/>
      <c r="AC87" s="448"/>
      <c r="AD87" s="448"/>
      <c r="AE87" s="448"/>
      <c r="AF87" s="448"/>
    </row>
    <row r="88" spans="1:32" s="4" customFormat="1" ht="13.8">
      <c r="A88" s="54"/>
      <c r="B88" s="54"/>
      <c r="C88" s="54"/>
      <c r="D88" s="526"/>
      <c r="F88" s="527"/>
      <c r="H88" s="526"/>
      <c r="I88" s="16"/>
      <c r="J88" s="448"/>
      <c r="K88" s="448"/>
      <c r="L88" s="525"/>
      <c r="M88" s="448"/>
      <c r="N88" s="448"/>
      <c r="O88" s="448"/>
      <c r="P88" s="448"/>
      <c r="Q88" s="448"/>
      <c r="R88" s="448"/>
      <c r="S88" s="448"/>
      <c r="T88" s="448"/>
      <c r="U88" s="448"/>
      <c r="V88" s="448"/>
      <c r="W88" s="448"/>
      <c r="X88" s="448"/>
      <c r="Y88" s="448"/>
      <c r="Z88" s="448"/>
      <c r="AA88" s="448"/>
      <c r="AB88" s="448"/>
      <c r="AC88" s="448"/>
      <c r="AD88" s="448"/>
      <c r="AE88" s="448"/>
      <c r="AF88" s="448"/>
    </row>
    <row r="89" spans="1:32" s="4" customFormat="1" ht="13.8">
      <c r="A89" s="54"/>
      <c r="B89" s="54"/>
      <c r="C89" s="54"/>
      <c r="D89" s="526"/>
      <c r="F89" s="527"/>
      <c r="H89" s="526"/>
      <c r="I89" s="16"/>
      <c r="J89" s="448"/>
      <c r="K89" s="448"/>
      <c r="L89" s="525"/>
      <c r="M89" s="448"/>
      <c r="N89" s="448"/>
      <c r="O89" s="448"/>
      <c r="P89" s="448"/>
      <c r="Q89" s="448"/>
      <c r="R89" s="448"/>
      <c r="S89" s="448"/>
      <c r="T89" s="448"/>
      <c r="U89" s="448"/>
      <c r="V89" s="448"/>
      <c r="W89" s="448"/>
      <c r="X89" s="448"/>
      <c r="Y89" s="448"/>
      <c r="Z89" s="448"/>
      <c r="AA89" s="448"/>
      <c r="AB89" s="448"/>
      <c r="AC89" s="448"/>
      <c r="AD89" s="448"/>
      <c r="AE89" s="448"/>
      <c r="AF89" s="448"/>
    </row>
    <row r="90" spans="1:32" s="4" customFormat="1" ht="13.8">
      <c r="A90" s="54"/>
      <c r="B90" s="54"/>
      <c r="C90" s="54"/>
      <c r="D90" s="526"/>
      <c r="F90" s="527"/>
      <c r="H90" s="526"/>
      <c r="I90" s="16"/>
      <c r="J90" s="448"/>
      <c r="K90" s="448"/>
      <c r="L90" s="525"/>
      <c r="M90" s="448"/>
      <c r="N90" s="448"/>
      <c r="O90" s="448"/>
      <c r="P90" s="448"/>
      <c r="Q90" s="448"/>
      <c r="R90" s="448"/>
      <c r="S90" s="448"/>
      <c r="T90" s="448"/>
      <c r="U90" s="448"/>
      <c r="V90" s="448"/>
      <c r="W90" s="448"/>
      <c r="X90" s="448"/>
      <c r="Y90" s="448"/>
      <c r="Z90" s="448"/>
      <c r="AA90" s="448"/>
      <c r="AB90" s="448"/>
      <c r="AC90" s="448"/>
      <c r="AD90" s="448"/>
      <c r="AE90" s="448"/>
      <c r="AF90" s="448"/>
    </row>
    <row r="91" spans="1:32" s="528" customFormat="1" ht="13.8">
      <c r="A91" s="54"/>
      <c r="B91" s="54"/>
      <c r="C91" s="54"/>
      <c r="D91" s="526"/>
      <c r="E91" s="4"/>
      <c r="F91" s="527"/>
      <c r="G91" s="4"/>
      <c r="H91" s="526"/>
      <c r="I91" s="16"/>
      <c r="J91" s="448"/>
      <c r="K91" s="448"/>
      <c r="L91" s="525"/>
      <c r="M91" s="448"/>
      <c r="N91" s="448"/>
      <c r="O91" s="448"/>
      <c r="P91" s="448"/>
      <c r="Q91" s="448"/>
      <c r="R91" s="448"/>
      <c r="S91" s="448"/>
      <c r="T91" s="448"/>
      <c r="U91" s="448"/>
      <c r="V91" s="448"/>
      <c r="W91" s="448"/>
      <c r="X91" s="448"/>
      <c r="Y91" s="448"/>
      <c r="Z91" s="448"/>
      <c r="AA91" s="448"/>
      <c r="AB91" s="448"/>
      <c r="AC91" s="448"/>
      <c r="AD91" s="448"/>
      <c r="AE91" s="448"/>
      <c r="AF91" s="448"/>
    </row>
    <row r="92" spans="1:32" s="528" customFormat="1" ht="13.8">
      <c r="A92" s="54"/>
      <c r="B92" s="54"/>
      <c r="C92" s="54"/>
      <c r="D92" s="526"/>
      <c r="E92" s="4"/>
      <c r="F92" s="527"/>
      <c r="G92" s="4"/>
      <c r="H92" s="526"/>
      <c r="I92" s="16"/>
      <c r="J92" s="448"/>
      <c r="K92" s="448"/>
      <c r="L92" s="525"/>
      <c r="M92" s="448"/>
      <c r="N92" s="448"/>
      <c r="O92" s="448"/>
      <c r="P92" s="448"/>
      <c r="Q92" s="448"/>
      <c r="R92" s="448"/>
      <c r="S92" s="448"/>
      <c r="T92" s="448"/>
      <c r="U92" s="448"/>
      <c r="V92" s="448"/>
      <c r="W92" s="448"/>
      <c r="X92" s="448"/>
      <c r="Y92" s="448"/>
      <c r="Z92" s="448"/>
      <c r="AA92" s="448"/>
      <c r="AB92" s="448"/>
      <c r="AC92" s="448"/>
      <c r="AD92" s="448"/>
      <c r="AE92" s="448"/>
      <c r="AF92" s="448"/>
    </row>
    <row r="93" spans="1:32" s="528" customFormat="1" ht="13.8">
      <c r="A93" s="54"/>
      <c r="B93" s="54"/>
      <c r="C93" s="54"/>
      <c r="D93" s="526"/>
      <c r="E93" s="4"/>
      <c r="F93" s="527"/>
      <c r="G93" s="4"/>
      <c r="H93" s="526"/>
      <c r="I93" s="16"/>
      <c r="J93" s="448"/>
      <c r="K93" s="448"/>
      <c r="L93" s="525"/>
      <c r="M93" s="448"/>
      <c r="N93" s="448"/>
      <c r="O93" s="448"/>
      <c r="P93" s="448"/>
      <c r="Q93" s="448"/>
      <c r="R93" s="448"/>
      <c r="S93" s="448"/>
      <c r="T93" s="448"/>
      <c r="U93" s="448"/>
      <c r="V93" s="448"/>
      <c r="W93" s="448"/>
      <c r="X93" s="448"/>
      <c r="Y93" s="448"/>
      <c r="Z93" s="448"/>
      <c r="AA93" s="448"/>
      <c r="AB93" s="448"/>
      <c r="AC93" s="448"/>
      <c r="AD93" s="448"/>
      <c r="AE93" s="448"/>
      <c r="AF93" s="448"/>
    </row>
    <row r="94" spans="1:32" s="528" customFormat="1" ht="13.8">
      <c r="A94" s="54"/>
      <c r="B94" s="54"/>
      <c r="C94" s="54"/>
      <c r="D94" s="526"/>
      <c r="E94" s="4"/>
      <c r="F94" s="527"/>
      <c r="G94" s="4"/>
      <c r="H94" s="526"/>
      <c r="I94" s="16"/>
      <c r="J94" s="448"/>
      <c r="K94" s="448"/>
      <c r="L94" s="525"/>
      <c r="M94" s="448"/>
      <c r="N94" s="448"/>
      <c r="O94" s="448"/>
      <c r="P94" s="448"/>
      <c r="Q94" s="448"/>
      <c r="R94" s="448"/>
      <c r="S94" s="448"/>
      <c r="T94" s="448"/>
      <c r="U94" s="448"/>
      <c r="V94" s="448"/>
      <c r="W94" s="448"/>
      <c r="X94" s="448"/>
      <c r="Y94" s="448"/>
      <c r="Z94" s="448"/>
      <c r="AA94" s="448"/>
      <c r="AB94" s="448"/>
      <c r="AC94" s="448"/>
      <c r="AD94" s="448"/>
      <c r="AE94" s="448"/>
      <c r="AF94" s="448"/>
    </row>
    <row r="95" spans="1:32" s="528" customFormat="1" ht="13.8">
      <c r="A95" s="54"/>
      <c r="B95" s="54"/>
      <c r="C95" s="54"/>
      <c r="D95" s="526"/>
      <c r="E95" s="4"/>
      <c r="F95" s="527"/>
      <c r="G95" s="4"/>
      <c r="H95" s="526"/>
      <c r="I95" s="16"/>
      <c r="J95" s="448"/>
      <c r="K95" s="448"/>
      <c r="L95" s="525"/>
      <c r="M95" s="448"/>
      <c r="N95" s="448"/>
      <c r="O95" s="448"/>
      <c r="P95" s="448"/>
      <c r="Q95" s="448"/>
      <c r="R95" s="448"/>
      <c r="S95" s="448"/>
      <c r="T95" s="448"/>
      <c r="U95" s="448"/>
      <c r="V95" s="448"/>
      <c r="W95" s="448"/>
      <c r="X95" s="448"/>
      <c r="Y95" s="448"/>
      <c r="Z95" s="448"/>
      <c r="AA95" s="448"/>
      <c r="AB95" s="448"/>
      <c r="AC95" s="448"/>
      <c r="AD95" s="448"/>
      <c r="AE95" s="448"/>
      <c r="AF95" s="448"/>
    </row>
    <row r="96" spans="1:32" s="528" customFormat="1" ht="13.8">
      <c r="A96" s="54"/>
      <c r="B96" s="54"/>
      <c r="C96" s="54"/>
      <c r="D96" s="526"/>
      <c r="E96" s="4"/>
      <c r="F96" s="527"/>
      <c r="G96" s="4"/>
      <c r="H96" s="526"/>
      <c r="I96" s="16"/>
      <c r="J96" s="448"/>
      <c r="K96" s="448"/>
      <c r="L96" s="525"/>
      <c r="M96" s="448"/>
      <c r="N96" s="448"/>
      <c r="O96" s="448"/>
      <c r="P96" s="448"/>
      <c r="Q96" s="448"/>
      <c r="R96" s="448"/>
      <c r="S96" s="448"/>
      <c r="T96" s="448"/>
      <c r="U96" s="448"/>
      <c r="V96" s="448"/>
      <c r="W96" s="448"/>
      <c r="X96" s="448"/>
      <c r="Y96" s="448"/>
      <c r="Z96" s="448"/>
      <c r="AA96" s="448"/>
      <c r="AB96" s="448"/>
      <c r="AC96" s="448"/>
      <c r="AD96" s="448"/>
      <c r="AE96" s="448"/>
      <c r="AF96" s="448"/>
    </row>
    <row r="97" spans="1:32" s="528" customFormat="1" ht="13.8">
      <c r="A97" s="54"/>
      <c r="B97" s="54"/>
      <c r="C97" s="54"/>
      <c r="D97" s="526"/>
      <c r="E97" s="4"/>
      <c r="F97" s="527"/>
      <c r="G97" s="4"/>
      <c r="H97" s="526"/>
      <c r="I97" s="16"/>
      <c r="J97" s="448"/>
      <c r="K97" s="448"/>
      <c r="L97" s="525"/>
      <c r="M97" s="448"/>
      <c r="N97" s="448"/>
      <c r="O97" s="448"/>
      <c r="P97" s="448"/>
      <c r="Q97" s="448"/>
      <c r="R97" s="448"/>
      <c r="S97" s="448"/>
      <c r="T97" s="448"/>
      <c r="U97" s="448"/>
      <c r="V97" s="448"/>
      <c r="W97" s="448"/>
      <c r="X97" s="448"/>
      <c r="Y97" s="448"/>
      <c r="Z97" s="448"/>
      <c r="AA97" s="448"/>
      <c r="AB97" s="448"/>
      <c r="AC97" s="448"/>
      <c r="AD97" s="448"/>
      <c r="AE97" s="448"/>
      <c r="AF97" s="448"/>
    </row>
    <row r="98" spans="1:32" s="528" customFormat="1" ht="13.8">
      <c r="A98" s="54"/>
      <c r="B98" s="54"/>
      <c r="C98" s="54"/>
      <c r="D98" s="526"/>
      <c r="E98" s="4"/>
      <c r="F98" s="527"/>
      <c r="G98" s="4"/>
      <c r="H98" s="526"/>
      <c r="I98" s="16"/>
      <c r="J98" s="448"/>
      <c r="K98" s="448"/>
      <c r="L98" s="525"/>
      <c r="M98" s="448"/>
      <c r="N98" s="448"/>
      <c r="O98" s="448"/>
      <c r="P98" s="448"/>
      <c r="Q98" s="448"/>
      <c r="R98" s="448"/>
      <c r="S98" s="448"/>
      <c r="T98" s="448"/>
      <c r="U98" s="448"/>
      <c r="V98" s="448"/>
      <c r="W98" s="448"/>
      <c r="X98" s="448"/>
      <c r="Y98" s="448"/>
      <c r="Z98" s="448"/>
      <c r="AA98" s="448"/>
      <c r="AB98" s="448"/>
      <c r="AC98" s="448"/>
      <c r="AD98" s="448"/>
      <c r="AE98" s="448"/>
      <c r="AF98" s="448"/>
    </row>
    <row r="99" spans="1:32" s="528" customFormat="1" ht="13.8">
      <c r="A99" s="54"/>
      <c r="B99" s="54"/>
      <c r="C99" s="54"/>
      <c r="D99" s="526"/>
      <c r="E99" s="4"/>
      <c r="F99" s="527"/>
      <c r="G99" s="4"/>
      <c r="H99" s="526"/>
      <c r="I99" s="16"/>
      <c r="J99" s="448"/>
      <c r="K99" s="448"/>
      <c r="L99" s="525"/>
      <c r="M99" s="448"/>
      <c r="N99" s="448"/>
      <c r="O99" s="448"/>
      <c r="P99" s="448"/>
      <c r="Q99" s="448"/>
      <c r="R99" s="448"/>
      <c r="S99" s="448"/>
      <c r="T99" s="448"/>
      <c r="U99" s="448"/>
      <c r="V99" s="448"/>
      <c r="W99" s="448"/>
      <c r="X99" s="448"/>
      <c r="Y99" s="448"/>
      <c r="Z99" s="448"/>
      <c r="AA99" s="448"/>
      <c r="AB99" s="448"/>
      <c r="AC99" s="448"/>
      <c r="AD99" s="448"/>
      <c r="AE99" s="448"/>
      <c r="AF99" s="448"/>
    </row>
    <row r="100" spans="1:32" s="528" customFormat="1" ht="13.8">
      <c r="A100" s="54"/>
      <c r="B100" s="54"/>
      <c r="C100" s="54"/>
      <c r="D100" s="526"/>
      <c r="E100" s="4"/>
      <c r="F100" s="527"/>
      <c r="G100" s="4"/>
      <c r="H100" s="526"/>
      <c r="I100" s="16"/>
      <c r="J100" s="448"/>
      <c r="K100" s="448"/>
      <c r="L100" s="525"/>
      <c r="M100" s="448"/>
      <c r="N100" s="448"/>
      <c r="O100" s="448"/>
      <c r="P100" s="448"/>
      <c r="Q100" s="448"/>
      <c r="R100" s="448"/>
      <c r="S100" s="448"/>
      <c r="T100" s="448"/>
      <c r="U100" s="448"/>
      <c r="V100" s="448"/>
      <c r="W100" s="448"/>
      <c r="X100" s="448"/>
      <c r="Y100" s="448"/>
      <c r="Z100" s="448"/>
      <c r="AA100" s="448"/>
      <c r="AB100" s="448"/>
      <c r="AC100" s="448"/>
      <c r="AD100" s="448"/>
      <c r="AE100" s="448"/>
      <c r="AF100" s="448"/>
    </row>
    <row r="101" spans="1:32" s="528" customFormat="1" ht="13.8">
      <c r="A101" s="54"/>
      <c r="B101" s="54"/>
      <c r="C101" s="54"/>
      <c r="D101" s="526"/>
      <c r="E101" s="4"/>
      <c r="F101" s="527"/>
      <c r="G101" s="4"/>
      <c r="H101" s="526"/>
      <c r="I101" s="16"/>
      <c r="J101" s="448"/>
      <c r="K101" s="448"/>
      <c r="L101" s="525"/>
      <c r="M101" s="448"/>
      <c r="N101" s="448"/>
      <c r="O101" s="448"/>
      <c r="P101" s="448"/>
      <c r="Q101" s="448"/>
      <c r="R101" s="448"/>
      <c r="S101" s="448"/>
      <c r="T101" s="448"/>
      <c r="U101" s="448"/>
      <c r="V101" s="448"/>
      <c r="W101" s="448"/>
      <c r="X101" s="448"/>
      <c r="Y101" s="448"/>
      <c r="Z101" s="448"/>
      <c r="AA101" s="448"/>
      <c r="AB101" s="448"/>
      <c r="AC101" s="448"/>
      <c r="AD101" s="448"/>
      <c r="AE101" s="448"/>
      <c r="AF101" s="448"/>
    </row>
    <row r="102" spans="1:32" s="528" customFormat="1" ht="13.8">
      <c r="A102" s="54"/>
      <c r="B102" s="54"/>
      <c r="C102" s="54"/>
      <c r="D102" s="529"/>
      <c r="E102" s="54"/>
      <c r="F102" s="9"/>
      <c r="G102" s="54"/>
      <c r="H102" s="529"/>
      <c r="I102" s="54"/>
      <c r="J102" s="448"/>
      <c r="K102" s="448"/>
      <c r="L102" s="525"/>
      <c r="M102" s="448"/>
      <c r="N102" s="448"/>
      <c r="O102" s="448"/>
      <c r="P102" s="448"/>
      <c r="Q102" s="448"/>
      <c r="R102" s="448"/>
      <c r="S102" s="448"/>
      <c r="T102" s="448"/>
      <c r="U102" s="448"/>
      <c r="V102" s="448"/>
      <c r="W102" s="448"/>
      <c r="X102" s="448"/>
      <c r="Y102" s="448"/>
      <c r="Z102" s="448"/>
      <c r="AA102" s="448"/>
      <c r="AB102" s="448"/>
      <c r="AC102" s="448"/>
      <c r="AD102" s="448"/>
      <c r="AE102" s="448"/>
      <c r="AF102" s="448"/>
    </row>
    <row r="103" spans="1:32" s="528" customFormat="1" ht="13.8">
      <c r="A103" s="54"/>
      <c r="B103" s="54"/>
      <c r="C103" s="54"/>
      <c r="D103" s="529"/>
      <c r="E103" s="54"/>
      <c r="F103" s="9"/>
      <c r="G103" s="54"/>
      <c r="H103" s="529"/>
      <c r="I103" s="54"/>
      <c r="J103" s="448"/>
      <c r="K103" s="448"/>
      <c r="L103" s="525"/>
      <c r="M103" s="448"/>
      <c r="N103" s="448"/>
      <c r="O103" s="448"/>
      <c r="P103" s="448"/>
      <c r="Q103" s="448"/>
      <c r="R103" s="448"/>
      <c r="S103" s="448"/>
      <c r="T103" s="448"/>
      <c r="U103" s="448"/>
      <c r="V103" s="448"/>
      <c r="W103" s="448"/>
      <c r="X103" s="448"/>
      <c r="Y103" s="448"/>
      <c r="Z103" s="448"/>
      <c r="AA103" s="448"/>
      <c r="AB103" s="448"/>
      <c r="AC103" s="448"/>
      <c r="AD103" s="448"/>
      <c r="AE103" s="448"/>
      <c r="AF103" s="448"/>
    </row>
    <row r="104" spans="1:32" s="528" customFormat="1" ht="13.8">
      <c r="A104" s="54"/>
      <c r="B104" s="54"/>
      <c r="C104" s="54"/>
      <c r="D104" s="529"/>
      <c r="E104" s="54"/>
      <c r="F104" s="9"/>
      <c r="G104" s="54"/>
      <c r="H104" s="529"/>
      <c r="I104" s="54"/>
      <c r="J104" s="448"/>
      <c r="K104" s="448"/>
      <c r="L104" s="525"/>
      <c r="M104" s="448"/>
      <c r="N104" s="448"/>
      <c r="O104" s="448"/>
      <c r="P104" s="448"/>
      <c r="Q104" s="448"/>
      <c r="R104" s="448"/>
      <c r="S104" s="448"/>
      <c r="T104" s="448"/>
      <c r="U104" s="448"/>
      <c r="V104" s="448"/>
      <c r="W104" s="448"/>
      <c r="X104" s="448"/>
      <c r="Y104" s="448"/>
      <c r="Z104" s="448"/>
      <c r="AA104" s="448"/>
      <c r="AB104" s="448"/>
      <c r="AC104" s="448"/>
      <c r="AD104" s="448"/>
      <c r="AE104" s="448"/>
      <c r="AF104" s="448"/>
    </row>
    <row r="105" spans="1:32" s="528" customFormat="1" ht="13.8">
      <c r="A105" s="54"/>
      <c r="B105" s="54"/>
      <c r="C105" s="54"/>
      <c r="D105" s="529"/>
      <c r="E105" s="54"/>
      <c r="F105" s="9"/>
      <c r="G105" s="54"/>
      <c r="H105" s="529"/>
      <c r="I105" s="54"/>
      <c r="J105" s="448"/>
      <c r="K105" s="448"/>
      <c r="L105" s="525"/>
      <c r="M105" s="448"/>
      <c r="N105" s="448"/>
      <c r="O105" s="448"/>
      <c r="P105" s="448"/>
      <c r="Q105" s="448"/>
      <c r="R105" s="448"/>
      <c r="S105" s="448"/>
      <c r="T105" s="448"/>
      <c r="U105" s="448"/>
      <c r="V105" s="448"/>
      <c r="W105" s="448"/>
      <c r="X105" s="448"/>
      <c r="Y105" s="448"/>
      <c r="Z105" s="448"/>
      <c r="AA105" s="448"/>
      <c r="AB105" s="448"/>
      <c r="AC105" s="448"/>
      <c r="AD105" s="448"/>
      <c r="AE105" s="448"/>
      <c r="AF105" s="448"/>
    </row>
    <row r="106" spans="1:32" s="528" customFormat="1" ht="13.8">
      <c r="A106" s="54"/>
      <c r="B106" s="54"/>
      <c r="C106" s="54"/>
      <c r="D106" s="529"/>
      <c r="E106" s="54"/>
      <c r="F106" s="9"/>
      <c r="G106" s="54"/>
      <c r="H106" s="529"/>
      <c r="I106" s="54"/>
      <c r="J106" s="448"/>
      <c r="K106" s="448"/>
      <c r="L106" s="525"/>
      <c r="M106" s="448"/>
      <c r="N106" s="448"/>
      <c r="O106" s="448"/>
      <c r="P106" s="448"/>
      <c r="Q106" s="448"/>
      <c r="R106" s="448"/>
      <c r="S106" s="448"/>
      <c r="T106" s="448"/>
      <c r="U106" s="448"/>
      <c r="V106" s="448"/>
      <c r="W106" s="448"/>
      <c r="X106" s="448"/>
      <c r="Y106" s="448"/>
      <c r="Z106" s="448"/>
      <c r="AA106" s="448"/>
      <c r="AB106" s="448"/>
      <c r="AC106" s="448"/>
      <c r="AD106" s="448"/>
      <c r="AE106" s="448"/>
      <c r="AF106" s="448"/>
    </row>
    <row r="107" spans="1:32" s="528" customFormat="1" ht="13.8">
      <c r="A107" s="54"/>
      <c r="B107" s="54"/>
      <c r="C107" s="54"/>
      <c r="D107" s="529"/>
      <c r="E107" s="54"/>
      <c r="F107" s="9"/>
      <c r="G107" s="54"/>
      <c r="H107" s="529"/>
      <c r="I107" s="54"/>
      <c r="J107" s="448"/>
      <c r="K107" s="448"/>
      <c r="L107" s="525"/>
      <c r="M107" s="448"/>
      <c r="N107" s="448"/>
      <c r="O107" s="448"/>
      <c r="P107" s="448"/>
      <c r="Q107" s="448"/>
      <c r="R107" s="448"/>
      <c r="S107" s="448"/>
      <c r="T107" s="448"/>
      <c r="U107" s="448"/>
      <c r="V107" s="448"/>
      <c r="W107" s="448"/>
      <c r="X107" s="448"/>
      <c r="Y107" s="448"/>
      <c r="Z107" s="448"/>
      <c r="AA107" s="448"/>
      <c r="AB107" s="448"/>
      <c r="AC107" s="448"/>
      <c r="AD107" s="448"/>
      <c r="AE107" s="448"/>
      <c r="AF107" s="448"/>
    </row>
    <row r="108" spans="1:32" s="528" customFormat="1" ht="13.8">
      <c r="A108" s="54"/>
      <c r="B108" s="54"/>
      <c r="C108" s="54"/>
      <c r="D108" s="529"/>
      <c r="E108" s="54"/>
      <c r="F108" s="9"/>
      <c r="G108" s="54"/>
      <c r="H108" s="529"/>
      <c r="I108" s="54"/>
      <c r="J108" s="448"/>
      <c r="K108" s="448"/>
      <c r="L108" s="525"/>
      <c r="M108" s="448"/>
      <c r="N108" s="448"/>
      <c r="O108" s="448"/>
      <c r="P108" s="448"/>
      <c r="Q108" s="448"/>
      <c r="R108" s="448"/>
      <c r="S108" s="448"/>
      <c r="T108" s="448"/>
      <c r="U108" s="448"/>
      <c r="V108" s="448"/>
      <c r="W108" s="448"/>
      <c r="X108" s="448"/>
      <c r="Y108" s="448"/>
      <c r="Z108" s="448"/>
      <c r="AA108" s="448"/>
      <c r="AB108" s="448"/>
      <c r="AC108" s="448"/>
      <c r="AD108" s="448"/>
      <c r="AE108" s="448"/>
      <c r="AF108" s="448"/>
    </row>
    <row r="109" spans="1:32" s="528" customFormat="1" ht="13.8">
      <c r="A109" s="54"/>
      <c r="B109" s="54"/>
      <c r="C109" s="54"/>
      <c r="D109" s="529"/>
      <c r="E109" s="54"/>
      <c r="F109" s="9"/>
      <c r="G109" s="54"/>
      <c r="H109" s="529"/>
      <c r="I109" s="54"/>
      <c r="J109" s="448"/>
      <c r="K109" s="448"/>
      <c r="L109" s="525"/>
      <c r="M109" s="448"/>
      <c r="N109" s="448"/>
      <c r="O109" s="448"/>
      <c r="P109" s="448"/>
      <c r="Q109" s="448"/>
      <c r="R109" s="448"/>
      <c r="S109" s="448"/>
      <c r="T109" s="448"/>
      <c r="U109" s="448"/>
      <c r="V109" s="448"/>
      <c r="W109" s="448"/>
      <c r="X109" s="448"/>
      <c r="Y109" s="448"/>
      <c r="Z109" s="448"/>
      <c r="AA109" s="448"/>
      <c r="AB109" s="448"/>
      <c r="AC109" s="448"/>
      <c r="AD109" s="448"/>
      <c r="AE109" s="448"/>
      <c r="AF109" s="448"/>
    </row>
    <row r="110" spans="1:32" s="528" customFormat="1" ht="13.8">
      <c r="A110" s="54"/>
      <c r="B110" s="54"/>
      <c r="C110" s="54"/>
      <c r="D110" s="529"/>
      <c r="E110" s="54"/>
      <c r="F110" s="9"/>
      <c r="G110" s="54"/>
      <c r="H110" s="529"/>
      <c r="I110" s="54"/>
      <c r="J110" s="448"/>
      <c r="K110" s="448"/>
      <c r="L110" s="525"/>
      <c r="M110" s="448"/>
      <c r="N110" s="448"/>
      <c r="O110" s="448"/>
      <c r="P110" s="448"/>
      <c r="Q110" s="448"/>
      <c r="R110" s="448"/>
      <c r="S110" s="448"/>
      <c r="T110" s="448"/>
      <c r="U110" s="448"/>
      <c r="V110" s="448"/>
      <c r="W110" s="448"/>
      <c r="X110" s="448"/>
      <c r="Y110" s="448"/>
      <c r="Z110" s="448"/>
      <c r="AA110" s="448"/>
      <c r="AB110" s="448"/>
      <c r="AC110" s="448"/>
      <c r="AD110" s="448"/>
      <c r="AE110" s="448"/>
      <c r="AF110" s="448"/>
    </row>
    <row r="111" spans="1:32" s="528" customFormat="1" ht="13.8">
      <c r="A111" s="54"/>
      <c r="B111" s="54"/>
      <c r="C111" s="54"/>
      <c r="D111" s="529"/>
      <c r="E111" s="54"/>
      <c r="F111" s="9"/>
      <c r="G111" s="54"/>
      <c r="H111" s="529"/>
      <c r="I111" s="54"/>
      <c r="J111" s="448"/>
      <c r="K111" s="448"/>
      <c r="L111" s="525"/>
      <c r="M111" s="448"/>
      <c r="N111" s="448"/>
      <c r="O111" s="448"/>
      <c r="P111" s="448"/>
      <c r="Q111" s="448"/>
      <c r="R111" s="448"/>
      <c r="S111" s="448"/>
      <c r="T111" s="448"/>
      <c r="U111" s="448"/>
      <c r="V111" s="448"/>
      <c r="W111" s="448"/>
      <c r="X111" s="448"/>
      <c r="Y111" s="448"/>
      <c r="Z111" s="448"/>
      <c r="AA111" s="448"/>
      <c r="AB111" s="448"/>
      <c r="AC111" s="448"/>
      <c r="AD111" s="448"/>
      <c r="AE111" s="448"/>
      <c r="AF111" s="448"/>
    </row>
    <row r="112" spans="1:32" s="528" customFormat="1" ht="13.8">
      <c r="A112" s="54"/>
      <c r="B112" s="54"/>
      <c r="C112" s="54"/>
      <c r="D112" s="529"/>
      <c r="E112" s="54"/>
      <c r="F112" s="9"/>
      <c r="G112" s="54"/>
      <c r="H112" s="529"/>
      <c r="I112" s="54"/>
      <c r="J112" s="448"/>
      <c r="K112" s="448"/>
      <c r="L112" s="525"/>
      <c r="M112" s="448"/>
      <c r="N112" s="448"/>
      <c r="O112" s="448"/>
      <c r="P112" s="448"/>
      <c r="Q112" s="448"/>
      <c r="R112" s="448"/>
      <c r="S112" s="448"/>
      <c r="T112" s="448"/>
      <c r="U112" s="448"/>
      <c r="V112" s="448"/>
      <c r="W112" s="448"/>
      <c r="X112" s="448"/>
      <c r="Y112" s="448"/>
      <c r="Z112" s="448"/>
      <c r="AA112" s="448"/>
      <c r="AB112" s="448"/>
      <c r="AC112" s="448"/>
      <c r="AD112" s="448"/>
      <c r="AE112" s="448"/>
      <c r="AF112" s="448"/>
    </row>
    <row r="113" spans="1:32" s="528" customFormat="1" ht="13.8">
      <c r="A113" s="54"/>
      <c r="B113" s="54"/>
      <c r="C113" s="54"/>
      <c r="D113" s="529"/>
      <c r="E113" s="54"/>
      <c r="F113" s="9"/>
      <c r="G113" s="54"/>
      <c r="H113" s="529"/>
      <c r="I113" s="54"/>
      <c r="J113" s="448"/>
      <c r="K113" s="448"/>
      <c r="L113" s="525"/>
      <c r="M113" s="448"/>
      <c r="N113" s="448"/>
      <c r="O113" s="448"/>
      <c r="P113" s="448"/>
      <c r="Q113" s="448"/>
      <c r="R113" s="448"/>
      <c r="S113" s="448"/>
      <c r="T113" s="448"/>
      <c r="U113" s="448"/>
      <c r="V113" s="448"/>
      <c r="W113" s="448"/>
      <c r="X113" s="448"/>
      <c r="Y113" s="448"/>
      <c r="Z113" s="448"/>
      <c r="AA113" s="448"/>
      <c r="AB113" s="448"/>
      <c r="AC113" s="448"/>
      <c r="AD113" s="448"/>
      <c r="AE113" s="448"/>
      <c r="AF113" s="448"/>
    </row>
    <row r="114" spans="1:32" s="528" customFormat="1" ht="13.8">
      <c r="A114" s="54"/>
      <c r="B114" s="54"/>
      <c r="C114" s="54"/>
      <c r="D114" s="529"/>
      <c r="E114" s="54"/>
      <c r="F114" s="9"/>
      <c r="G114" s="54"/>
      <c r="H114" s="529"/>
      <c r="I114" s="54"/>
      <c r="J114" s="448"/>
      <c r="K114" s="448"/>
      <c r="L114" s="525"/>
      <c r="M114" s="448"/>
      <c r="N114" s="448"/>
      <c r="O114" s="448"/>
      <c r="P114" s="448"/>
      <c r="Q114" s="448"/>
      <c r="R114" s="448"/>
      <c r="S114" s="448"/>
      <c r="T114" s="448"/>
      <c r="U114" s="448"/>
      <c r="V114" s="448"/>
      <c r="W114" s="448"/>
      <c r="X114" s="448"/>
      <c r="Y114" s="448"/>
      <c r="Z114" s="448"/>
      <c r="AA114" s="448"/>
      <c r="AB114" s="448"/>
      <c r="AC114" s="448"/>
      <c r="AD114" s="448"/>
      <c r="AE114" s="448"/>
      <c r="AF114" s="448"/>
    </row>
    <row r="115" spans="1:32" s="528" customFormat="1" ht="13.8">
      <c r="A115" s="54"/>
      <c r="B115" s="54"/>
      <c r="C115" s="54"/>
      <c r="D115" s="529"/>
      <c r="E115" s="54"/>
      <c r="F115" s="9"/>
      <c r="G115" s="54"/>
      <c r="H115" s="529"/>
      <c r="I115" s="54"/>
      <c r="J115" s="448"/>
      <c r="K115" s="448"/>
      <c r="L115" s="525"/>
      <c r="M115" s="448"/>
      <c r="N115" s="448"/>
      <c r="O115" s="448"/>
      <c r="P115" s="448"/>
      <c r="Q115" s="448"/>
      <c r="R115" s="448"/>
      <c r="S115" s="448"/>
      <c r="T115" s="448"/>
      <c r="U115" s="448"/>
      <c r="V115" s="448"/>
      <c r="W115" s="448"/>
      <c r="X115" s="448"/>
      <c r="Y115" s="448"/>
      <c r="Z115" s="448"/>
      <c r="AA115" s="448"/>
      <c r="AB115" s="448"/>
      <c r="AC115" s="448"/>
      <c r="AD115" s="448"/>
      <c r="AE115" s="448"/>
      <c r="AF115" s="448"/>
    </row>
    <row r="116" spans="1:32" s="528" customFormat="1" ht="13.8">
      <c r="A116" s="54"/>
      <c r="B116" s="54"/>
      <c r="C116" s="54"/>
      <c r="D116" s="529"/>
      <c r="E116" s="54"/>
      <c r="F116" s="9"/>
      <c r="G116" s="54"/>
      <c r="H116" s="529"/>
      <c r="I116" s="54"/>
      <c r="J116" s="448"/>
      <c r="K116" s="448"/>
      <c r="L116" s="525"/>
      <c r="M116" s="448"/>
      <c r="N116" s="448"/>
      <c r="O116" s="448"/>
      <c r="P116" s="448"/>
      <c r="Q116" s="448"/>
      <c r="R116" s="448"/>
      <c r="S116" s="448"/>
      <c r="T116" s="448"/>
      <c r="U116" s="448"/>
      <c r="V116" s="448"/>
      <c r="W116" s="448"/>
      <c r="X116" s="448"/>
      <c r="Y116" s="448"/>
      <c r="Z116" s="448"/>
      <c r="AA116" s="448"/>
      <c r="AB116" s="448"/>
      <c r="AC116" s="448"/>
      <c r="AD116" s="448"/>
      <c r="AE116" s="448"/>
      <c r="AF116" s="448"/>
    </row>
  </sheetData>
  <sheetProtection sheet="1" objects="1" scenarios="1"/>
  <customSheetViews>
    <customSheetView guid="{8063F48F-80B5-4ECD-B18A-51CBF126E780}" scale="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8" firstPageNumber="6" orientation="portrait" useFirstPageNumber="1" r:id="rId1"/>
      <headerFooter alignWithMargins="0">
        <oddFooter>&amp;L&amp;11LEL Schwäbisch Gmünd&amp;C&amp;11&amp;P+8&amp;R&amp;11&amp;F</oddFooter>
      </headerFooter>
    </customSheetView>
    <customSheetView guid="{5D5C9B61-9ABD-4513-AAEB-8333A9D6196C}" scale="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8" firstPageNumber="6" orientation="portrait" useFirstPageNumber="1" r:id="rId2"/>
      <headerFooter alignWithMargins="0">
        <oddFooter>&amp;L&amp;11LEL Schwäbisch Gmünd&amp;C&amp;11&amp;P+8&amp;R&amp;11&amp;F</oddFooter>
      </headerFooter>
    </customSheetView>
    <customSheetView guid="{22A73C4F-9004-4CEF-8499-B1F91BE1B569}" scale="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8" firstPageNumber="6" orientation="portrait" useFirstPageNumber="1" r:id="rId3"/>
      <headerFooter alignWithMargins="0">
        <oddFooter>&amp;L&amp;11LEL Schwäbisch Gmünd&amp;C&amp;11&amp;P+8&amp;R&amp;11&amp;F</oddFooter>
      </headerFooter>
    </customSheetView>
  </customSheetViews>
  <mergeCells count="4">
    <mergeCell ref="L6:L7"/>
    <mergeCell ref="M6:P6"/>
    <mergeCell ref="Q6:Q7"/>
    <mergeCell ref="D47:G47"/>
  </mergeCells>
  <printOptions horizontalCentered="1"/>
  <pageMargins left="0.59055118110236227" right="0.59055118110236227" top="0.59055118110236227" bottom="0.59055118110236227" header="0.39370078740157483" footer="0.39370078740157483"/>
  <pageSetup paperSize="9" scale="78" firstPageNumber="6" orientation="portrait" useFirstPageNumber="1" r:id="rId4"/>
  <headerFooter alignWithMargins="0">
    <oddFooter>&amp;L&amp;11LEL Schwäbisch Gmünd&amp;C&amp;11&amp;P+8&amp;R&amp;11&amp;F</oddFooter>
  </headerFooter>
  <ignoredErrors>
    <ignoredError sqref="S42:S43 H28" formula="1"/>
  </ignoredErrors>
  <drawing r:id="rId5"/>
  <legacyDrawing r:id="rId6"/>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4">
    <tabColor rgb="FFFF0000"/>
    <pageSetUpPr fitToPage="1"/>
  </sheetPr>
  <dimension ref="A1:AC301"/>
  <sheetViews>
    <sheetView zoomScale="80" zoomScaleNormal="80" workbookViewId="0">
      <pane ySplit="6" topLeftCell="A7" activePane="bottomLeft" state="frozen"/>
      <selection pane="bottomLeft" activeCell="B2" sqref="B2"/>
    </sheetView>
  </sheetViews>
  <sheetFormatPr baseColWidth="10" defaultColWidth="10.5" defaultRowHeight="13.8"/>
  <cols>
    <col min="1" max="1" width="0.69921875" style="597" customWidth="1"/>
    <col min="2" max="2" width="3" style="1" bestFit="1" customWidth="1"/>
    <col min="3" max="3" width="0.69921875" style="597" customWidth="1"/>
    <col min="4" max="4" width="3.8984375" style="596" bestFit="1" customWidth="1"/>
    <col min="5" max="5" width="2.69921875" style="4" customWidth="1"/>
    <col min="6" max="6" width="26.69921875" style="4" customWidth="1"/>
    <col min="7" max="7" width="20.59765625" style="4" customWidth="1"/>
    <col min="8" max="8" width="8.69921875" style="595" customWidth="1"/>
    <col min="9" max="9" width="12.69921875" style="16" customWidth="1"/>
    <col min="10" max="22" width="12.69921875" style="4" customWidth="1"/>
    <col min="23" max="24" width="12.69921875" style="54" customWidth="1"/>
    <col min="25" max="25" width="10.5" style="1" customWidth="1"/>
    <col min="26" max="16384" width="10.5" style="1"/>
  </cols>
  <sheetData>
    <row r="1" spans="1:29" ht="28.2" customHeight="1">
      <c r="A1" s="673"/>
      <c r="B1" s="673"/>
      <c r="C1" s="673"/>
      <c r="D1" s="673"/>
      <c r="E1" s="673"/>
      <c r="F1" s="881"/>
      <c r="G1" s="881"/>
      <c r="H1" s="881"/>
      <c r="I1" s="881"/>
      <c r="J1" s="881">
        <v>1</v>
      </c>
      <c r="K1" s="881"/>
      <c r="L1" s="881">
        <v>2</v>
      </c>
      <c r="M1" s="881"/>
      <c r="N1" s="881">
        <v>3</v>
      </c>
      <c r="O1" s="881"/>
      <c r="P1" s="881">
        <v>4</v>
      </c>
      <c r="Q1" s="881"/>
      <c r="R1" s="881">
        <v>5</v>
      </c>
      <c r="S1" s="881"/>
      <c r="T1" s="881">
        <v>6</v>
      </c>
      <c r="U1" s="881"/>
      <c r="V1" s="881">
        <v>7</v>
      </c>
      <c r="W1" s="2729"/>
      <c r="X1" s="2729">
        <v>8</v>
      </c>
      <c r="Y1" s="4157"/>
    </row>
    <row r="2" spans="1:29" ht="18.75" customHeight="1">
      <c r="A2" s="673"/>
      <c r="B2" s="673"/>
      <c r="C2" s="673"/>
      <c r="D2" s="673"/>
      <c r="E2" s="891" t="str">
        <f>"Kostenrechnung " &amp; 'SDK1'!L8</f>
        <v xml:space="preserve">Kostenrechnung </v>
      </c>
      <c r="F2" s="890"/>
      <c r="G2" s="889"/>
      <c r="H2" s="889"/>
      <c r="I2" s="4305" t="s">
        <v>1751</v>
      </c>
      <c r="J2" s="4306"/>
      <c r="K2" s="4305" t="s">
        <v>1386</v>
      </c>
      <c r="L2" s="4307"/>
      <c r="M2" s="4308" t="s">
        <v>1388</v>
      </c>
      <c r="N2" s="4307"/>
      <c r="O2" s="4305" t="s">
        <v>1735</v>
      </c>
      <c r="P2" s="4307"/>
      <c r="Q2" s="4308" t="s">
        <v>1390</v>
      </c>
      <c r="R2" s="4307"/>
      <c r="S2" s="4305" t="s">
        <v>1391</v>
      </c>
      <c r="T2" s="4307"/>
      <c r="U2" s="4308" t="s">
        <v>1396</v>
      </c>
      <c r="V2" s="4306"/>
      <c r="W2" s="4159" t="s">
        <v>1471</v>
      </c>
      <c r="X2" s="4160"/>
      <c r="Y2" s="4158"/>
    </row>
    <row r="3" spans="1:29" ht="3.45" customHeight="1">
      <c r="A3" s="673"/>
      <c r="B3" s="673"/>
      <c r="C3" s="673"/>
      <c r="D3" s="673"/>
      <c r="E3" s="673"/>
      <c r="F3" s="673"/>
      <c r="G3" s="673"/>
      <c r="H3" s="673"/>
      <c r="I3" s="673"/>
      <c r="J3" s="673"/>
      <c r="K3" s="673"/>
      <c r="L3" s="673"/>
      <c r="M3" s="673"/>
      <c r="N3" s="673"/>
      <c r="O3" s="673"/>
      <c r="P3" s="673"/>
      <c r="Q3" s="673"/>
      <c r="R3" s="673"/>
      <c r="S3" s="673"/>
      <c r="T3" s="673"/>
      <c r="U3" s="673"/>
      <c r="V3" s="673"/>
      <c r="W3" s="2730"/>
      <c r="X3" s="2730"/>
      <c r="Y3" s="4158"/>
    </row>
    <row r="4" spans="1:29" ht="15" customHeight="1">
      <c r="A4" s="673"/>
      <c r="B4" s="673"/>
      <c r="C4" s="673"/>
      <c r="D4" s="673"/>
      <c r="E4" s="888" t="s">
        <v>779</v>
      </c>
      <c r="F4" s="691"/>
      <c r="G4" s="887">
        <f>'WW1'!P4</f>
        <v>2024</v>
      </c>
      <c r="H4" s="886"/>
      <c r="I4" s="885" t="str">
        <f>HLOOKUP(J$6,Daten!$D$3:$GR$64,ROW()+56,FALSE)</f>
        <v>Kleegras 1jährig, 2mal mulchen</v>
      </c>
      <c r="J4" s="884"/>
      <c r="K4" s="883" t="str">
        <f>HLOOKUP(L$6,Daten!$D$3:$GR$64,ROW()+56,FALSE)</f>
        <v>Lohndrusch, 2 ha-Schlag</v>
      </c>
      <c r="L4" s="884"/>
      <c r="M4" s="883" t="str">
        <f>HLOOKUP(N$6,Daten!$D$3:$GX$64,ROW()+56,FALSE)</f>
        <v>Lohndrusch, 2 ha-Schlag</v>
      </c>
      <c r="N4" s="882"/>
      <c r="O4" s="883" t="str">
        <f>HLOOKUP(P$6,Daten!$D$3:$GX$64,ROW()+56,FALSE)</f>
        <v>Lohndrusch, 2 ha-Schlag</v>
      </c>
      <c r="P4" s="884"/>
      <c r="Q4" s="883" t="str">
        <f>HLOOKUP(R$6,Daten!$D$3:$GX$64,ROW()+56,FALSE)</f>
        <v>Lohndrusch, 2 ha-Schlag</v>
      </c>
      <c r="R4" s="882"/>
      <c r="S4" s="883" t="str">
        <f>HLOOKUP(T$6,Daten!$D$3:$GX$64,ROW()+56,FALSE)</f>
        <v>Lohndrusch, 2 ha-Schlag</v>
      </c>
      <c r="T4" s="884"/>
      <c r="U4" s="883" t="str">
        <f>HLOOKUP(V$6,Daten!$D$3:$GX$64,ROW()+56,FALSE)</f>
        <v>Lohndrusch, 2 ha-Schlag</v>
      </c>
      <c r="V4" s="882"/>
      <c r="W4" s="883"/>
      <c r="X4" s="882"/>
      <c r="Y4" s="4158"/>
    </row>
    <row r="5" spans="1:29" ht="13.2" customHeight="1">
      <c r="A5" s="673"/>
      <c r="B5" s="673"/>
      <c r="C5" s="673"/>
      <c r="D5" s="673"/>
      <c r="E5" s="673"/>
      <c r="F5" s="673"/>
      <c r="G5" s="673"/>
      <c r="H5" s="673"/>
      <c r="I5" s="4312" t="str">
        <f>HYPERLINK("#"&amp;HLOOKUP(J$6,Daten!$D$3:$GX$65,ROW()+58,FALSE)&amp;"!A1","Daten ändern")</f>
        <v>Daten ändern</v>
      </c>
      <c r="J5" s="4313"/>
      <c r="K5" s="4312" t="str">
        <f>HYPERLINK("#"&amp;HLOOKUP(L$6,Daten!$D$3:$GX$65,ROW()+58,FALSE)&amp;"!A1","Daten ändern")</f>
        <v>Daten ändern</v>
      </c>
      <c r="L5" s="4313"/>
      <c r="M5" s="4312" t="str">
        <f>HYPERLINK("#"&amp;HLOOKUP(N$6,Daten!$D$3:$GX$65,ROW()+58,FALSE)&amp;"!A1","Daten ändern")</f>
        <v>Daten ändern</v>
      </c>
      <c r="N5" s="4313"/>
      <c r="O5" s="4312" t="str">
        <f>HYPERLINK("#"&amp;HLOOKUP(P$6,Daten!$D$3:$GX$65,ROW()+58,FALSE)&amp;"!A1","Daten ändern")</f>
        <v>Daten ändern</v>
      </c>
      <c r="P5" s="4313"/>
      <c r="Q5" s="4312" t="str">
        <f>HYPERLINK("#"&amp;HLOOKUP(R$6,Daten!$D$3:$GX$65,ROW()+58,FALSE)&amp;"!A1","Daten ändern")</f>
        <v>Daten ändern</v>
      </c>
      <c r="R5" s="4313"/>
      <c r="S5" s="4312" t="str">
        <f>HYPERLINK("#"&amp;HLOOKUP(T$6,Daten!$D$3:$GX$65,ROW()+58,FALSE)&amp;"!A1","Daten ändern")</f>
        <v>Daten ändern</v>
      </c>
      <c r="T5" s="4313"/>
      <c r="U5" s="4312" t="str">
        <f>HYPERLINK("#"&amp;HLOOKUP(V$6,Daten!$D$3:$GX$65,ROW()+58,FALSE)&amp;"!A1","Daten ändern")</f>
        <v>Daten ändern</v>
      </c>
      <c r="V5" s="4313"/>
      <c r="W5" s="4161"/>
      <c r="X5" s="4162"/>
      <c r="Y5" s="4158"/>
    </row>
    <row r="6" spans="1:29" ht="4.2" hidden="1" customHeight="1">
      <c r="A6" s="673"/>
      <c r="B6" s="673"/>
      <c r="C6" s="673"/>
      <c r="D6" s="673"/>
      <c r="E6" s="673"/>
      <c r="F6" s="673"/>
      <c r="G6" s="673"/>
      <c r="H6" s="673"/>
      <c r="I6" s="881">
        <f>VLOOKUP(I2,$F$233:$G$289,2,FALSE)</f>
        <v>33</v>
      </c>
      <c r="J6" s="673" t="str">
        <f>I6 &amp; LEFT(I8,1)</f>
        <v>33m</v>
      </c>
      <c r="K6" s="881">
        <f>VLOOKUP(K2,$F$233:$G$289,2,FALSE)</f>
        <v>37</v>
      </c>
      <c r="L6" s="673" t="str">
        <f>K6 &amp; LEFT(K8,1)</f>
        <v>37m</v>
      </c>
      <c r="M6" s="881">
        <f>VLOOKUP(M2,$F$233:$G$289,2,FALSE)</f>
        <v>39</v>
      </c>
      <c r="N6" s="673" t="str">
        <f>M6 &amp; LEFT(M8,1)</f>
        <v>39m</v>
      </c>
      <c r="O6" s="881">
        <f>VLOOKUP(O2,$F$233:$G$289,2,FALSE)</f>
        <v>52</v>
      </c>
      <c r="P6" s="673" t="str">
        <f>O6 &amp; LEFT(O8,1)</f>
        <v>52m</v>
      </c>
      <c r="Q6" s="881">
        <f>VLOOKUP(Q2,$F$233:$G$289,2,FALSE)</f>
        <v>41</v>
      </c>
      <c r="R6" s="673" t="str">
        <f>Q6 &amp; LEFT(Q8,1)</f>
        <v>41m</v>
      </c>
      <c r="S6" s="881">
        <f>VLOOKUP(S2,$F$233:$G$289,2,FALSE)</f>
        <v>42</v>
      </c>
      <c r="T6" s="673" t="str">
        <f>S6 &amp; LEFT(S8,1)</f>
        <v>42m</v>
      </c>
      <c r="U6" s="881">
        <f>VLOOKUP(U2,$F$233:$G$289,2,FALSE)</f>
        <v>48</v>
      </c>
      <c r="V6" s="673" t="str">
        <f>U6 &amp; LEFT(U8,1)</f>
        <v>48m</v>
      </c>
      <c r="W6" s="2729"/>
      <c r="X6" s="2730"/>
      <c r="Y6" s="4158"/>
    </row>
    <row r="7" spans="1:29" ht="30">
      <c r="A7" s="673"/>
      <c r="B7" s="673"/>
      <c r="C7" s="673"/>
      <c r="D7" s="673"/>
      <c r="E7" s="880" t="s">
        <v>222</v>
      </c>
      <c r="F7" s="879"/>
      <c r="G7" s="879"/>
      <c r="H7" s="878" t="s">
        <v>1428</v>
      </c>
      <c r="I7" s="2222"/>
      <c r="J7" s="3568">
        <v>20</v>
      </c>
      <c r="K7" s="2200"/>
      <c r="L7" s="3568">
        <v>20</v>
      </c>
      <c r="M7" s="2200"/>
      <c r="N7" s="3568">
        <v>20</v>
      </c>
      <c r="O7" s="2200"/>
      <c r="P7" s="3568">
        <v>20</v>
      </c>
      <c r="Q7" s="2200"/>
      <c r="R7" s="3568">
        <v>20</v>
      </c>
      <c r="S7" s="2200"/>
      <c r="T7" s="3568"/>
      <c r="U7" s="2200"/>
      <c r="V7" s="3569"/>
      <c r="W7" s="2731"/>
      <c r="X7" s="2732">
        <f>SUM(J7:W7)</f>
        <v>100</v>
      </c>
      <c r="Y7" s="2196" t="s">
        <v>1400</v>
      </c>
    </row>
    <row r="8" spans="1:29" s="859" customFormat="1" ht="15" customHeight="1">
      <c r="A8" s="673"/>
      <c r="B8" s="673"/>
      <c r="C8" s="673"/>
      <c r="D8" s="720"/>
      <c r="E8" s="877" t="s">
        <v>778</v>
      </c>
      <c r="F8" s="877"/>
      <c r="G8" s="877"/>
      <c r="H8" s="876"/>
      <c r="I8" s="4293" t="s">
        <v>144</v>
      </c>
      <c r="J8" s="4294"/>
      <c r="K8" s="4293" t="s">
        <v>144</v>
      </c>
      <c r="L8" s="4294"/>
      <c r="M8" s="4293" t="s">
        <v>144</v>
      </c>
      <c r="N8" s="4294"/>
      <c r="O8" s="4293" t="s">
        <v>144</v>
      </c>
      <c r="P8" s="4294"/>
      <c r="Q8" s="4293" t="s">
        <v>144</v>
      </c>
      <c r="R8" s="4294"/>
      <c r="S8" s="4293" t="s">
        <v>144</v>
      </c>
      <c r="T8" s="4294"/>
      <c r="U8" s="4293" t="s">
        <v>144</v>
      </c>
      <c r="V8" s="4294"/>
      <c r="W8" s="4163"/>
      <c r="X8" s="4164"/>
      <c r="Y8" s="2197"/>
    </row>
    <row r="9" spans="1:29" s="859" customFormat="1" ht="16.8">
      <c r="A9" s="673"/>
      <c r="B9" s="673"/>
      <c r="C9" s="673"/>
      <c r="D9" s="875">
        <v>1</v>
      </c>
      <c r="E9" s="874" t="s">
        <v>777</v>
      </c>
      <c r="F9" s="873"/>
      <c r="G9" s="873"/>
      <c r="H9" s="872" t="s">
        <v>164</v>
      </c>
      <c r="I9" s="869"/>
      <c r="J9" s="868">
        <f>HLOOKUP(J$6,Daten!$D$3:$GR$65,ROW()-6,FALSE)</f>
        <v>420</v>
      </c>
      <c r="K9" s="871"/>
      <c r="L9" s="870">
        <f>HLOOKUP(L$6,Daten!$D$3:$GR$65,ROW()-6,FALSE)</f>
        <v>40</v>
      </c>
      <c r="M9" s="869"/>
      <c r="N9" s="868">
        <f>HLOOKUP(N$6,Daten!$D$3:$GR$65,ROW()-6,FALSE)</f>
        <v>40</v>
      </c>
      <c r="O9" s="871"/>
      <c r="P9" s="870">
        <f>HLOOKUP(P$6,Daten!$D$3:$GR$64,ROW()-6,FALSE)</f>
        <v>20</v>
      </c>
      <c r="Q9" s="869"/>
      <c r="R9" s="868">
        <f>HLOOKUP(R$6,Daten!$D$3:$GR$65,ROW()-6,FALSE)</f>
        <v>40</v>
      </c>
      <c r="S9" s="871"/>
      <c r="T9" s="870">
        <f>HLOOKUP(T$6,Daten!$D$3:$GR$65,ROW()-6,FALSE)</f>
        <v>40</v>
      </c>
      <c r="U9" s="869"/>
      <c r="V9" s="868">
        <f>HLOOKUP(V$6,Daten!$D$3:$GR$65,ROW()-6,FALSE)</f>
        <v>25</v>
      </c>
      <c r="W9" s="869"/>
      <c r="X9" s="2733">
        <f t="shared" ref="X9:X34" si="0">SUMPRODUCT($I$7:$V$7,I9:V9)/$X$7</f>
        <v>112</v>
      </c>
      <c r="Y9" s="2198"/>
    </row>
    <row r="10" spans="1:29" s="859" customFormat="1" ht="15.6">
      <c r="A10" s="673"/>
      <c r="B10" s="673"/>
      <c r="C10" s="673"/>
      <c r="D10" s="685">
        <f t="shared" ref="D10:D19" si="1">D9+1</f>
        <v>2</v>
      </c>
      <c r="E10" s="867" t="s">
        <v>776</v>
      </c>
      <c r="F10" s="867" t="s">
        <v>775</v>
      </c>
      <c r="G10" s="866"/>
      <c r="H10" s="655"/>
      <c r="I10" s="863"/>
      <c r="J10" s="862">
        <f>HLOOKUP(J$6,Daten!$D$3:$GR$65,ROW()-6,FALSE)</f>
        <v>420</v>
      </c>
      <c r="K10" s="865"/>
      <c r="L10" s="864">
        <f>HLOOKUP(L$6,Daten!$D$3:$GR$65,ROW()-6,FALSE)</f>
        <v>40</v>
      </c>
      <c r="M10" s="863"/>
      <c r="N10" s="862">
        <f>HLOOKUP(N$6,Daten!$D$3:$GR$64,ROW()-6,FALSE)</f>
        <v>40</v>
      </c>
      <c r="O10" s="865"/>
      <c r="P10" s="864">
        <f>HLOOKUP(P$6,Daten!$D$3:$GR$64,ROW()-6,FALSE)</f>
        <v>20</v>
      </c>
      <c r="Q10" s="863"/>
      <c r="R10" s="862">
        <f>HLOOKUP(R$6,Daten!$D$3:$GR$65,ROW()-6,FALSE)</f>
        <v>40</v>
      </c>
      <c r="S10" s="865"/>
      <c r="T10" s="864">
        <f>HLOOKUP(T$6,Daten!$D$3:$GR$65,ROW()-6,FALSE)</f>
        <v>40</v>
      </c>
      <c r="U10" s="863"/>
      <c r="V10" s="862">
        <f>HLOOKUP(V$6,Daten!$D$3:$GR$65,ROW()-6,FALSE)</f>
        <v>25</v>
      </c>
      <c r="W10" s="863"/>
      <c r="X10" s="2734">
        <f t="shared" si="0"/>
        <v>112</v>
      </c>
      <c r="Y10" s="2198"/>
    </row>
    <row r="11" spans="1:29" s="859" customFormat="1" ht="16.8">
      <c r="A11" s="673"/>
      <c r="B11" s="673"/>
      <c r="C11" s="673"/>
      <c r="D11" s="680">
        <f t="shared" si="1"/>
        <v>3</v>
      </c>
      <c r="E11" s="861" t="str">
        <f>IF('SDK1'!K9&gt;0,"Preis Hauptprodukt (incl. MwSt.)","Preis Hauptprodukt (ohne MwSt.)")</f>
        <v>Preis Hauptprodukt (incl. MwSt.)</v>
      </c>
      <c r="F11" s="858"/>
      <c r="G11" s="861"/>
      <c r="H11" s="860" t="s">
        <v>220</v>
      </c>
      <c r="I11" s="2575"/>
      <c r="J11" s="2570">
        <f>HLOOKUP(J$6,Daten!$D$3:$GR$65,ROW()-6,FALSE)</f>
        <v>0</v>
      </c>
      <c r="K11" s="2577"/>
      <c r="L11" s="2576">
        <f>HLOOKUP(L$6,Daten!$D$3:$GR$65,ROW()-6,FALSE)</f>
        <v>30.09</v>
      </c>
      <c r="M11" s="2575"/>
      <c r="N11" s="2570">
        <f>HLOOKUP(N$6,Daten!$D$3:$GR$64,ROW()-6,FALSE)</f>
        <v>43.44</v>
      </c>
      <c r="O11" s="2577"/>
      <c r="P11" s="2576">
        <f>HLOOKUP(P$6,Daten!$D$3:$GR$64,ROW()-6,FALSE)</f>
        <v>58</v>
      </c>
      <c r="Q11" s="2575"/>
      <c r="R11" s="2570">
        <f>HLOOKUP(R6,Daten!$D$3:$GR$65,ROW()-6,FALSE)</f>
        <v>29.18</v>
      </c>
      <c r="S11" s="2577"/>
      <c r="T11" s="2576">
        <f>HLOOKUP(T$6,Daten!$D$3:$GR$65,ROW()-6,FALSE)</f>
        <v>41.08</v>
      </c>
      <c r="U11" s="2575"/>
      <c r="V11" s="2570">
        <f>HLOOKUP(V$6,Daten!$D$3:$GR$65,ROW()-6,FALSE)</f>
        <v>78.67</v>
      </c>
      <c r="W11" s="2735"/>
      <c r="X11" s="2570">
        <f t="shared" si="0"/>
        <v>32.141999999999996</v>
      </c>
      <c r="Y11" s="2204"/>
    </row>
    <row r="12" spans="1:29" ht="15" customHeight="1">
      <c r="A12" s="673"/>
      <c r="B12" s="4082" t="s">
        <v>774</v>
      </c>
      <c r="C12" s="673"/>
      <c r="D12" s="875">
        <f t="shared" si="1"/>
        <v>4</v>
      </c>
      <c r="E12" s="529"/>
      <c r="F12" s="54" t="s">
        <v>219</v>
      </c>
      <c r="G12" s="657"/>
      <c r="H12" s="9" t="s">
        <v>163</v>
      </c>
      <c r="I12" s="662"/>
      <c r="J12" s="2573">
        <f>HLOOKUP(J$6,Daten!$D$3:$GR$65,ROW()-6,FALSE)</f>
        <v>0</v>
      </c>
      <c r="K12" s="2578"/>
      <c r="L12" s="2579">
        <f>HLOOKUP(L$6,Daten!$D$3:$GR$65,ROW()-6,FALSE)</f>
        <v>1203.5999999999999</v>
      </c>
      <c r="M12" s="662"/>
      <c r="N12" s="2573">
        <f>HLOOKUP(N$6,Daten!$D$3:$GR$65,ROW()-6,FALSE)</f>
        <v>1737.6</v>
      </c>
      <c r="O12" s="2578"/>
      <c r="P12" s="2579">
        <f>HLOOKUP(P$6,Daten!$D$3:$GR$65,ROW()-6,FALSE)</f>
        <v>1160</v>
      </c>
      <c r="Q12" s="662"/>
      <c r="R12" s="2573">
        <f>HLOOKUP(R6,Daten!$D$3:$GR$65,ROW()-6,FALSE)</f>
        <v>1167.2</v>
      </c>
      <c r="S12" s="2578"/>
      <c r="T12" s="2579">
        <f>HLOOKUP(T6,Daten!$D$3:$GR$65,ROW()-6,FALSE)</f>
        <v>1643.1999999999998</v>
      </c>
      <c r="U12" s="662"/>
      <c r="V12" s="2573">
        <f>HLOOKUP(V6,Daten!$D$3:$GR$65,ROW()-6,FALSE)</f>
        <v>1966.75</v>
      </c>
      <c r="W12" s="869"/>
      <c r="X12" s="2573">
        <f t="shared" si="0"/>
        <v>1053.68</v>
      </c>
      <c r="Y12" s="2205"/>
    </row>
    <row r="13" spans="1:29">
      <c r="A13" s="673"/>
      <c r="B13" s="4083"/>
      <c r="C13" s="673"/>
      <c r="D13" s="685">
        <f t="shared" si="1"/>
        <v>5</v>
      </c>
      <c r="E13" s="529"/>
      <c r="F13" s="54" t="s">
        <v>705</v>
      </c>
      <c r="G13" s="4295"/>
      <c r="H13" s="4295"/>
      <c r="I13" s="649"/>
      <c r="J13" s="2571">
        <f>HLOOKUP(J$6,Daten!$D$3:$GR$65,ROW()-6,FALSE)</f>
        <v>0</v>
      </c>
      <c r="K13" s="2580"/>
      <c r="L13" s="2581">
        <f>HLOOKUP(L$6,Daten!$D$3:$GR$65,ROW()-6,FALSE)</f>
        <v>384</v>
      </c>
      <c r="M13" s="649"/>
      <c r="N13" s="2571">
        <f>HLOOKUP(N$6,Daten!$D$3:$GR$65,ROW()-6,FALSE)</f>
        <v>384</v>
      </c>
      <c r="O13" s="2580"/>
      <c r="P13" s="2581">
        <f>HLOOKUP(P$6,Daten!$D$3:$GR$65,ROW()-6,FALSE)</f>
        <v>0</v>
      </c>
      <c r="Q13" s="649"/>
      <c r="R13" s="2571">
        <f>HLOOKUP(R6,Daten!$D$3:$GR$65,ROW()-6,FALSE)</f>
        <v>432</v>
      </c>
      <c r="S13" s="2580"/>
      <c r="T13" s="2581">
        <f>HLOOKUP(T6,Daten!$D$3:$GR$65,ROW()-6,FALSE)</f>
        <v>432</v>
      </c>
      <c r="U13" s="649"/>
      <c r="V13" s="2571">
        <f>HLOOKUP(V6,Daten!$D$3:$GR$65,ROW()-6,FALSE)</f>
        <v>0</v>
      </c>
      <c r="W13" s="2736"/>
      <c r="X13" s="2571">
        <f t="shared" si="0"/>
        <v>240</v>
      </c>
      <c r="Y13" s="2205"/>
    </row>
    <row r="14" spans="1:29" ht="15">
      <c r="A14" s="673"/>
      <c r="B14" s="4083"/>
      <c r="C14" s="673"/>
      <c r="D14" s="685">
        <f t="shared" si="1"/>
        <v>6</v>
      </c>
      <c r="E14" s="529"/>
      <c r="F14" s="54" t="s">
        <v>217</v>
      </c>
      <c r="G14" s="657"/>
      <c r="H14" s="9"/>
      <c r="I14" s="649"/>
      <c r="J14" s="2572">
        <f>HLOOKUP(J$6,Daten!$D$3:$GR$65,ROW()-6,FALSE)</f>
        <v>0</v>
      </c>
      <c r="K14" s="2580"/>
      <c r="L14" s="2582">
        <f>HLOOKUP(L$6,Daten!$D$3:$GR$65,ROW()-6,FALSE)</f>
        <v>0</v>
      </c>
      <c r="M14" s="649"/>
      <c r="N14" s="2572">
        <f>HLOOKUP(N$6,Daten!$D$3:$GR$65,ROW()-6,FALSE)</f>
        <v>0</v>
      </c>
      <c r="O14" s="2580"/>
      <c r="P14" s="2582">
        <f>HLOOKUP(P$6,Daten!$D$3:$GR$65,ROW()-6,FALSE)</f>
        <v>0</v>
      </c>
      <c r="Q14" s="649"/>
      <c r="R14" s="2572">
        <f>HLOOKUP(R6,Daten!$D$3:$GR$65,ROW()-6,FALSE)</f>
        <v>0</v>
      </c>
      <c r="S14" s="2580"/>
      <c r="T14" s="2582">
        <f>HLOOKUP(T6,Daten!$D$3:$GR$65,ROW()-6,FALSE)</f>
        <v>0</v>
      </c>
      <c r="U14" s="649"/>
      <c r="V14" s="2572">
        <f>HLOOKUP(V6,Daten!$D$3:$GR$65,ROW()-6,FALSE)</f>
        <v>0</v>
      </c>
      <c r="W14" s="2736">
        <f>SUMPRODUCT($J$7:$V$7,J14:V14)/$X$7</f>
        <v>0</v>
      </c>
      <c r="X14" s="2572">
        <f t="shared" si="0"/>
        <v>0</v>
      </c>
      <c r="Y14" s="2206"/>
    </row>
    <row r="15" spans="1:29" ht="16.8">
      <c r="A15" s="673"/>
      <c r="B15" s="4083"/>
      <c r="C15" s="673"/>
      <c r="D15" s="685">
        <f t="shared" si="1"/>
        <v>7</v>
      </c>
      <c r="E15" s="853" t="s">
        <v>773</v>
      </c>
      <c r="F15" s="858"/>
      <c r="G15" s="858"/>
      <c r="H15" s="655"/>
      <c r="I15" s="4101">
        <f>SUM(J12:J14)</f>
        <v>0</v>
      </c>
      <c r="J15" s="4102"/>
      <c r="K15" s="4340">
        <f>SUM(L12:L14)</f>
        <v>1587.6</v>
      </c>
      <c r="L15" s="4341"/>
      <c r="M15" s="4101">
        <f>SUM(N12:N14)</f>
        <v>2121.6</v>
      </c>
      <c r="N15" s="4102"/>
      <c r="O15" s="4340">
        <f>SUM(P12:P14)</f>
        <v>1160</v>
      </c>
      <c r="P15" s="4341"/>
      <c r="Q15" s="4101">
        <f>SUM(R12:R14)</f>
        <v>1599.2</v>
      </c>
      <c r="R15" s="4102"/>
      <c r="S15" s="4340">
        <f>SUM(T12:T14)</f>
        <v>2075.1999999999998</v>
      </c>
      <c r="T15" s="4341"/>
      <c r="U15" s="4101">
        <f>SUM(V12:V14)</f>
        <v>1966.75</v>
      </c>
      <c r="V15" s="4102"/>
      <c r="W15" s="4101">
        <f>SUMPRODUCT($I$7:$V$7,H15:U15)/$X$7</f>
        <v>1293.68</v>
      </c>
      <c r="X15" s="4102">
        <f t="shared" si="0"/>
        <v>0</v>
      </c>
      <c r="Y15" s="2206"/>
    </row>
    <row r="16" spans="1:29" ht="15" customHeight="1">
      <c r="A16" s="673"/>
      <c r="B16" s="4083"/>
      <c r="C16" s="673"/>
      <c r="D16" s="857">
        <f t="shared" si="1"/>
        <v>8</v>
      </c>
      <c r="E16" s="818"/>
      <c r="F16" s="817" t="s">
        <v>1724</v>
      </c>
      <c r="G16" s="849"/>
      <c r="H16" s="848"/>
      <c r="I16" s="4097">
        <f>HLOOKUP(J$6,Daten!$D$3:$GR$65,ROW()+45,FALSE)</f>
        <v>177</v>
      </c>
      <c r="J16" s="4276"/>
      <c r="K16" s="4277">
        <f>HLOOKUP(L$6,Daten!$D$3:$GR$65,ROW()+45,FALSE)</f>
        <v>177</v>
      </c>
      <c r="L16" s="4278"/>
      <c r="M16" s="4097">
        <f>HLOOKUP(N$6,Daten!$D$3:$GR$65,ROW()+45,FALSE)</f>
        <v>177</v>
      </c>
      <c r="N16" s="4276"/>
      <c r="O16" s="4277">
        <f>HLOOKUP(P$6,Daten!$D$3:$GR$65,ROW()+45,FALSE)</f>
        <v>177</v>
      </c>
      <c r="P16" s="4342"/>
      <c r="Q16" s="4097">
        <f>HLOOKUP(R$6,Daten!$D$3:$GR$65,ROW()+45,FALSE)</f>
        <v>177</v>
      </c>
      <c r="R16" s="4276"/>
      <c r="S16" s="4277">
        <f>HLOOKUP(T$6,Daten!$D$3:$GR$65,ROW()+45,FALSE)</f>
        <v>177</v>
      </c>
      <c r="T16" s="4278"/>
      <c r="U16" s="4097">
        <f>HLOOKUP(V$6,Daten!$D$3:$GR$65,ROW()+45,FALSE)</f>
        <v>177</v>
      </c>
      <c r="V16" s="4105"/>
      <c r="W16" s="4097">
        <f>SUMPRODUCT($I$7:$V$7,H16:U16)/$X$7</f>
        <v>177</v>
      </c>
      <c r="X16" s="4098">
        <f t="shared" si="0"/>
        <v>0</v>
      </c>
      <c r="Y16" s="2206"/>
      <c r="AB16" s="3609"/>
      <c r="AC16" s="3609"/>
    </row>
    <row r="17" spans="1:29" ht="15" customHeight="1">
      <c r="A17" s="673"/>
      <c r="B17" s="4083"/>
      <c r="C17" s="673"/>
      <c r="D17" s="857">
        <f t="shared" si="1"/>
        <v>9</v>
      </c>
      <c r="E17" s="856"/>
      <c r="F17" s="846" t="s">
        <v>1725</v>
      </c>
      <c r="G17" s="845"/>
      <c r="H17" s="847"/>
      <c r="I17" s="4099">
        <f>HLOOKUP(J$6,Daten!$D$3:$GR$65,ROW()+45,FALSE)</f>
        <v>240</v>
      </c>
      <c r="J17" s="4235"/>
      <c r="K17" s="4279">
        <f>HLOOKUP(L$6,Daten!$D$3:$GR$65,ROW()+45,FALSE)</f>
        <v>240</v>
      </c>
      <c r="L17" s="4280"/>
      <c r="M17" s="4099">
        <f>HLOOKUP(N$6,Daten!$D$3:$GR$65,ROW()+45,FALSE)</f>
        <v>240</v>
      </c>
      <c r="N17" s="4235"/>
      <c r="O17" s="4279">
        <f>HLOOKUP(P$6,Daten!$D$3:$GR$65,ROW()+45,FALSE)</f>
        <v>240</v>
      </c>
      <c r="P17" s="4280"/>
      <c r="Q17" s="4099">
        <f>HLOOKUP(R$6,Daten!$D$3:$GR$65,ROW()+45,FALSE)</f>
        <v>240</v>
      </c>
      <c r="R17" s="4235"/>
      <c r="S17" s="4279">
        <f>HLOOKUP(T$6,Daten!$D$3:$GR$65,ROW()+45,FALSE)</f>
        <v>240</v>
      </c>
      <c r="T17" s="4280"/>
      <c r="U17" s="4099">
        <f>HLOOKUP(V$6,Daten!$D$3:$GR$65,ROW()+45,FALSE)</f>
        <v>240</v>
      </c>
      <c r="V17" s="4106"/>
      <c r="W17" s="4099">
        <f>SUMPRODUCT($I$7:$V$7,H17:U17)/$X$7</f>
        <v>240</v>
      </c>
      <c r="X17" s="4100">
        <f t="shared" si="0"/>
        <v>0</v>
      </c>
      <c r="Y17" s="2206"/>
      <c r="AB17" s="3609"/>
      <c r="AC17" s="3609"/>
    </row>
    <row r="18" spans="1:29" ht="15" customHeight="1">
      <c r="A18" s="673"/>
      <c r="B18" s="4083"/>
      <c r="C18" s="673"/>
      <c r="D18" s="685">
        <f t="shared" si="1"/>
        <v>10</v>
      </c>
      <c r="E18" s="853"/>
      <c r="F18" s="855" t="s">
        <v>772</v>
      </c>
      <c r="G18" s="854"/>
      <c r="H18" s="828"/>
      <c r="I18" s="4101">
        <f>SUM(I16:J17)</f>
        <v>417</v>
      </c>
      <c r="J18" s="4102"/>
      <c r="K18" s="4289">
        <f>SUM(K16:L17)</f>
        <v>417</v>
      </c>
      <c r="L18" s="4290"/>
      <c r="M18" s="4101">
        <f>SUM(M16:N17)</f>
        <v>417</v>
      </c>
      <c r="N18" s="4102"/>
      <c r="O18" s="4289">
        <f>SUM(O16:P17)</f>
        <v>417</v>
      </c>
      <c r="P18" s="4290"/>
      <c r="Q18" s="4101">
        <f>SUM(Q16:R17)</f>
        <v>417</v>
      </c>
      <c r="R18" s="4102"/>
      <c r="S18" s="4289">
        <f>SUM(S16:T17)</f>
        <v>417</v>
      </c>
      <c r="T18" s="4290"/>
      <c r="U18" s="4101">
        <f>SUM(U16:V17)</f>
        <v>417</v>
      </c>
      <c r="V18" s="4102"/>
      <c r="W18" s="4101">
        <f>SUMPRODUCT($I$7:$V$7,H18:U18)/$X$7</f>
        <v>417</v>
      </c>
      <c r="X18" s="4102">
        <f t="shared" si="0"/>
        <v>0</v>
      </c>
      <c r="Y18" s="2206"/>
      <c r="AB18" s="3609"/>
      <c r="AC18" s="3609"/>
    </row>
    <row r="19" spans="1:29" ht="15" customHeight="1">
      <c r="A19" s="673"/>
      <c r="B19" s="4084"/>
      <c r="C19" s="673"/>
      <c r="D19" s="680">
        <f t="shared" si="1"/>
        <v>11</v>
      </c>
      <c r="E19" s="853" t="s">
        <v>771</v>
      </c>
      <c r="F19" s="852"/>
      <c r="G19" s="851"/>
      <c r="H19" s="850"/>
      <c r="I19" s="4103">
        <f>I15+I18</f>
        <v>417</v>
      </c>
      <c r="J19" s="4104"/>
      <c r="K19" s="4281">
        <f>K15+K18</f>
        <v>2004.6</v>
      </c>
      <c r="L19" s="4282"/>
      <c r="M19" s="4103">
        <f>M15+M18</f>
        <v>2538.6</v>
      </c>
      <c r="N19" s="4104"/>
      <c r="O19" s="4281">
        <f>O15+O18</f>
        <v>1577</v>
      </c>
      <c r="P19" s="4282"/>
      <c r="Q19" s="4103">
        <f>Q15+Q18</f>
        <v>2016.2</v>
      </c>
      <c r="R19" s="4104"/>
      <c r="S19" s="4281">
        <f>S15+S18</f>
        <v>2492.1999999999998</v>
      </c>
      <c r="T19" s="4282"/>
      <c r="U19" s="4103">
        <f>U15+U18</f>
        <v>2383.75</v>
      </c>
      <c r="V19" s="4104"/>
      <c r="W19" s="4103">
        <f>SUMPRODUCT($I$7:$V$7,H19:U19)/$X$7</f>
        <v>1710.68</v>
      </c>
      <c r="X19" s="4104">
        <f t="shared" si="0"/>
        <v>0</v>
      </c>
      <c r="Y19" s="2206"/>
      <c r="AB19" s="3609"/>
      <c r="AC19" s="3609"/>
    </row>
    <row r="20" spans="1:29" ht="17.399999999999999" customHeight="1">
      <c r="A20" s="673"/>
      <c r="B20" s="673"/>
      <c r="C20" s="673"/>
      <c r="D20" s="673"/>
      <c r="E20" s="673"/>
      <c r="F20" s="673"/>
      <c r="G20" s="673"/>
      <c r="H20" s="673"/>
      <c r="I20" s="673"/>
      <c r="J20" s="673"/>
      <c r="K20" s="673"/>
      <c r="L20" s="673"/>
      <c r="M20" s="673"/>
      <c r="N20" s="673"/>
      <c r="O20" s="673"/>
      <c r="P20" s="673"/>
      <c r="Q20" s="673"/>
      <c r="R20" s="673"/>
      <c r="S20" s="673"/>
      <c r="T20" s="673"/>
      <c r="U20" s="673"/>
      <c r="V20" s="673"/>
      <c r="W20" s="2730"/>
      <c r="X20" s="2730">
        <f t="shared" si="0"/>
        <v>0</v>
      </c>
      <c r="Y20" s="2198"/>
      <c r="AB20" s="3609"/>
      <c r="AC20" s="3609"/>
    </row>
    <row r="21" spans="1:29" ht="13.65" customHeight="1">
      <c r="A21" s="673"/>
      <c r="B21" s="4082" t="s">
        <v>368</v>
      </c>
      <c r="C21" s="673"/>
      <c r="D21" s="720">
        <f>D19+1</f>
        <v>12</v>
      </c>
      <c r="E21" s="2766"/>
      <c r="F21" s="2766" t="str">
        <f>IF(OR(I6&lt;26,I6&gt;29),"Saatgut (ggf. mit Begrünung)","Pflanzgut (ggf. mit Begrünung)")</f>
        <v>Saatgut (ggf. mit Begrünung)</v>
      </c>
      <c r="G21" s="3584"/>
      <c r="H21" s="2767" t="s">
        <v>163</v>
      </c>
      <c r="I21" s="662"/>
      <c r="J21" s="2768">
        <f>HLOOKUP(J$6,Daten!$D$3:$GR$64,$AB21,FALSE)</f>
        <v>203.75</v>
      </c>
      <c r="K21" s="2578"/>
      <c r="L21" s="2579">
        <f>HLOOKUP(L$6,Daten!$D$3:$GR$64,$AB21,FALSE)</f>
        <v>216</v>
      </c>
      <c r="M21" s="659"/>
      <c r="N21" s="2768">
        <f>HLOOKUP(N$6,Daten!$D$3:$GR$64,$AB21,FALSE)</f>
        <v>244</v>
      </c>
      <c r="O21" s="2578"/>
      <c r="P21" s="2579">
        <f>HLOOKUP(P$6,Daten!$D$3:$GR$64,$AB21,FALSE)</f>
        <v>209.25</v>
      </c>
      <c r="Q21" s="659"/>
      <c r="R21" s="2768">
        <f>HLOOKUP(R$6,Daten!$D$3:$GR$64,$AB21,FALSE)</f>
        <v>110</v>
      </c>
      <c r="S21" s="2578"/>
      <c r="T21" s="2579">
        <f>HLOOKUP(T$6,Daten!$D$3:$GR$64,$AB21,FALSE)</f>
        <v>180.79999999999998</v>
      </c>
      <c r="U21" s="659"/>
      <c r="V21" s="2769">
        <f>HLOOKUP(V$6,Daten!$D$3:$GR$64,$AB21,FALSE)</f>
        <v>422.56</v>
      </c>
      <c r="W21" s="2752"/>
      <c r="X21" s="2768">
        <f t="shared" si="0"/>
        <v>196.6</v>
      </c>
      <c r="Y21" s="2207"/>
      <c r="AB21" s="3609">
        <v>10</v>
      </c>
      <c r="AC21" s="3609"/>
    </row>
    <row r="22" spans="1:29" ht="14.25" customHeight="1">
      <c r="A22" s="673"/>
      <c r="B22" s="4083"/>
      <c r="C22" s="673"/>
      <c r="D22" s="685">
        <f t="shared" ref="D22:D30" si="2">D21+1</f>
        <v>13</v>
      </c>
      <c r="E22" s="846"/>
      <c r="F22" s="846" t="s">
        <v>770</v>
      </c>
      <c r="G22" s="3585"/>
      <c r="H22" s="847"/>
      <c r="I22" s="649"/>
      <c r="J22" s="2572">
        <f>HLOOKUP(J$6,Daten!$D$3:$GR$64,$AB22,FALSE)</f>
        <v>-766.64</v>
      </c>
      <c r="K22" s="2580"/>
      <c r="L22" s="2581">
        <f>HLOOKUP(L$6,Daten!$D$3:$GR$64,$AB22,FALSE)</f>
        <v>674.64480000000003</v>
      </c>
      <c r="M22" s="526"/>
      <c r="N22" s="2572">
        <f>HLOOKUP(N$6,Daten!$D$3:$GR$64,$AB22,FALSE)</f>
        <v>716.62400000000002</v>
      </c>
      <c r="O22" s="2580"/>
      <c r="P22" s="2581">
        <f>HLOOKUP(P$6,Daten!$D$3:$GR$64,$AB22,FALSE)</f>
        <v>137.79200000000003</v>
      </c>
      <c r="Q22" s="526"/>
      <c r="R22" s="2572">
        <f>HLOOKUP(R$6,Daten!$D$3:$GR$64,$AB22,FALSE)</f>
        <v>717.69439999999997</v>
      </c>
      <c r="S22" s="2580"/>
      <c r="T22" s="2581">
        <f>HLOOKUP(T$6,Daten!$D$3:$GR$64,$AB22,FALSE)</f>
        <v>743.89519999999993</v>
      </c>
      <c r="U22" s="526"/>
      <c r="V22" s="2574">
        <f>HLOOKUP(V$6,Daten!$D$3:$GR$64,$AB22,FALSE)</f>
        <v>22.852000000000075</v>
      </c>
      <c r="W22" s="529"/>
      <c r="X22" s="2572">
        <f t="shared" si="0"/>
        <v>296.02303999999998</v>
      </c>
      <c r="Y22" s="2204"/>
      <c r="AB22" s="3609">
        <v>11</v>
      </c>
      <c r="AC22" s="3609"/>
    </row>
    <row r="23" spans="1:29" ht="15" customHeight="1">
      <c r="A23" s="673"/>
      <c r="B23" s="4083"/>
      <c r="C23" s="673"/>
      <c r="D23" s="685">
        <f t="shared" si="2"/>
        <v>14</v>
      </c>
      <c r="E23" s="746"/>
      <c r="F23" s="746" t="s">
        <v>769</v>
      </c>
      <c r="G23" s="833"/>
      <c r="H23" s="847"/>
      <c r="I23" s="649"/>
      <c r="J23" s="2572">
        <f>HLOOKUP(J$6,Daten!$D$3:$GR$64,$AB23,FALSE)</f>
        <v>0</v>
      </c>
      <c r="K23" s="2580"/>
      <c r="L23" s="2582">
        <f>HLOOKUP(L$6,Daten!$D$3:$GR$64,$AB23,FALSE)</f>
        <v>0</v>
      </c>
      <c r="M23" s="526"/>
      <c r="N23" s="2572">
        <f>HLOOKUP(N$6,Daten!$D$3:$GR$64,$AB23,FALSE)</f>
        <v>0</v>
      </c>
      <c r="O23" s="2580"/>
      <c r="P23" s="2582">
        <f>HLOOKUP(P$6,Daten!$D$3:$GR$64,$AB23,FALSE)</f>
        <v>0</v>
      </c>
      <c r="Q23" s="526"/>
      <c r="R23" s="2572">
        <f>HLOOKUP(R$6,Daten!$D$3:$GR$64,$AB23,FALSE)</f>
        <v>0</v>
      </c>
      <c r="S23" s="2580"/>
      <c r="T23" s="2582">
        <f>HLOOKUP(T$6,Daten!$D$3:$GR$64,$AB23,FALSE)</f>
        <v>0</v>
      </c>
      <c r="U23" s="526"/>
      <c r="V23" s="2574">
        <f>HLOOKUP(V$6,Daten!$D$3:$GR$64,$AB23,FALSE)</f>
        <v>0</v>
      </c>
      <c r="W23" s="529">
        <f t="shared" ref="W23:W29" si="3">SUMPRODUCT($J$7:$V$7,J23:V23)/$X$7</f>
        <v>0</v>
      </c>
      <c r="X23" s="2572">
        <f t="shared" si="0"/>
        <v>0</v>
      </c>
      <c r="Y23" s="2205"/>
      <c r="AB23" s="3609">
        <v>12</v>
      </c>
      <c r="AC23" s="3609"/>
    </row>
    <row r="24" spans="1:29" ht="15" customHeight="1">
      <c r="A24" s="673"/>
      <c r="B24" s="4083"/>
      <c r="C24" s="673"/>
      <c r="D24" s="685">
        <f t="shared" si="2"/>
        <v>15</v>
      </c>
      <c r="E24" s="846"/>
      <c r="F24" s="846" t="s">
        <v>768</v>
      </c>
      <c r="G24" s="3585"/>
      <c r="H24" s="773"/>
      <c r="I24" s="649"/>
      <c r="J24" s="2572">
        <f>HLOOKUP(J$6,Daten!$D$3:$GR$64,$AB24,FALSE)</f>
        <v>0</v>
      </c>
      <c r="K24" s="2580"/>
      <c r="L24" s="2582">
        <f>HLOOKUP(L$6,Daten!$D$3:$GR$64,$AB24,FALSE)</f>
        <v>53.099999999999987</v>
      </c>
      <c r="M24" s="526"/>
      <c r="N24" s="2572">
        <f>HLOOKUP(N$6,Daten!$D$3:$GR$64,$AB24,FALSE)</f>
        <v>53.099999999999987</v>
      </c>
      <c r="O24" s="2580"/>
      <c r="P24" s="2582">
        <f>HLOOKUP(P$6,Daten!$D$3:$GR$64,$AB24,FALSE)</f>
        <v>80.000000000000057</v>
      </c>
      <c r="Q24" s="526"/>
      <c r="R24" s="2572">
        <f>HLOOKUP(R$6,Daten!$D$3:$GR$64,$AB24,FALSE)</f>
        <v>53.099999999999987</v>
      </c>
      <c r="S24" s="2580"/>
      <c r="T24" s="2582">
        <f>HLOOKUP(T$6,Daten!$D$3:$GR$64,$AB24,FALSE)</f>
        <v>53.099999999999987</v>
      </c>
      <c r="U24" s="526"/>
      <c r="V24" s="2574">
        <f>HLOOKUP(V$6,Daten!$D$3:$GR$64,$AB24,FALSE)</f>
        <v>120.37500000000018</v>
      </c>
      <c r="W24" s="529">
        <f t="shared" si="3"/>
        <v>47.860000000000007</v>
      </c>
      <c r="X24" s="2572">
        <f t="shared" si="0"/>
        <v>47.860000000000007</v>
      </c>
      <c r="Y24" s="2205"/>
      <c r="AB24" s="3609">
        <v>16</v>
      </c>
      <c r="AC24" s="3609"/>
    </row>
    <row r="25" spans="1:29" ht="15" customHeight="1">
      <c r="A25" s="673"/>
      <c r="B25" s="4083"/>
      <c r="C25" s="673"/>
      <c r="D25" s="685">
        <f t="shared" si="2"/>
        <v>16</v>
      </c>
      <c r="E25" s="746"/>
      <c r="F25" s="746" t="s">
        <v>609</v>
      </c>
      <c r="G25" s="833"/>
      <c r="H25" s="773"/>
      <c r="I25" s="649"/>
      <c r="J25" s="2572">
        <f>HLOOKUP(J$6,Daten!$D$3:$GR$64,$AB25,FALSE)</f>
        <v>0</v>
      </c>
      <c r="K25" s="2580"/>
      <c r="L25" s="2581">
        <f>HLOOKUP(L$6,Daten!$D$3:$GR$64,$AB25,FALSE)</f>
        <v>25.401599999999998</v>
      </c>
      <c r="M25" s="526"/>
      <c r="N25" s="2572">
        <f>HLOOKUP(N$6,Daten!$D$3:$GR$64,$AB25,FALSE)</f>
        <v>33.945599999999999</v>
      </c>
      <c r="O25" s="2580"/>
      <c r="P25" s="2581">
        <f>HLOOKUP(P$6,Daten!$D$3:$GR$64,$AB25,FALSE)</f>
        <v>0</v>
      </c>
      <c r="Q25" s="526"/>
      <c r="R25" s="2572">
        <f>HLOOKUP(R$6,Daten!$D$3:$GR$64,$AB25,FALSE)</f>
        <v>25.587199999999999</v>
      </c>
      <c r="S25" s="2580"/>
      <c r="T25" s="2581">
        <f>HLOOKUP(T$6,Daten!$D$3:$GR$64,$AB25,FALSE)</f>
        <v>33.203199999999995</v>
      </c>
      <c r="U25" s="526"/>
      <c r="V25" s="2574">
        <f>HLOOKUP(V$6,Daten!$D$3:$GR$64,$AB25,FALSE)</f>
        <v>55.069000000000003</v>
      </c>
      <c r="W25" s="529"/>
      <c r="X25" s="2572">
        <f t="shared" si="0"/>
        <v>16.986879999999999</v>
      </c>
      <c r="Y25" s="2206"/>
      <c r="AB25" s="3609">
        <v>17</v>
      </c>
      <c r="AC25" s="3609"/>
    </row>
    <row r="26" spans="1:29" ht="13.65" customHeight="1">
      <c r="A26" s="673"/>
      <c r="B26" s="4083"/>
      <c r="C26" s="673"/>
      <c r="D26" s="685">
        <f t="shared" si="2"/>
        <v>17</v>
      </c>
      <c r="E26" s="746"/>
      <c r="F26" s="746" t="s">
        <v>767</v>
      </c>
      <c r="G26" s="833"/>
      <c r="H26" s="773"/>
      <c r="I26" s="649"/>
      <c r="J26" s="2572">
        <f>HLOOKUP(J$6,Daten!$D$3:$GR$64,$AB26,FALSE)</f>
        <v>0</v>
      </c>
      <c r="K26" s="2580"/>
      <c r="L26" s="2581">
        <f>HLOOKUP(L$6,Daten!$D$3:$GR$64,$AB26,FALSE)</f>
        <v>0</v>
      </c>
      <c r="M26" s="526"/>
      <c r="N26" s="2572">
        <f>HLOOKUP(N$6,Daten!$D$3:$GR$64,$AB26,FALSE)</f>
        <v>0</v>
      </c>
      <c r="O26" s="2580"/>
      <c r="P26" s="2581">
        <f>HLOOKUP(P$6,Daten!$D$3:$GR$64,$AB26,FALSE)</f>
        <v>0</v>
      </c>
      <c r="Q26" s="526"/>
      <c r="R26" s="2572">
        <f>HLOOKUP(R$6,Daten!$D$3:$GR$64,$AB26,FALSE)</f>
        <v>0</v>
      </c>
      <c r="S26" s="2580"/>
      <c r="T26" s="2581">
        <f>HLOOKUP(T$6,Daten!$D$3:$GR$64,$AB26,FALSE)</f>
        <v>0</v>
      </c>
      <c r="U26" s="526"/>
      <c r="V26" s="2574">
        <f>HLOOKUP(V$6,Daten!$D$3:$GR$64,$AB26,FALSE)</f>
        <v>0</v>
      </c>
      <c r="W26" s="529">
        <f t="shared" si="3"/>
        <v>0</v>
      </c>
      <c r="X26" s="2572">
        <f t="shared" si="0"/>
        <v>0</v>
      </c>
      <c r="Y26" s="2206"/>
      <c r="AB26" s="3609">
        <v>18</v>
      </c>
      <c r="AC26" s="3609"/>
    </row>
    <row r="27" spans="1:29" ht="15" customHeight="1">
      <c r="A27" s="673"/>
      <c r="B27" s="4083"/>
      <c r="C27" s="673"/>
      <c r="D27" s="685">
        <f t="shared" si="2"/>
        <v>18</v>
      </c>
      <c r="E27" s="746"/>
      <c r="F27" s="746" t="s">
        <v>766</v>
      </c>
      <c r="G27" s="833"/>
      <c r="H27" s="773"/>
      <c r="I27" s="649"/>
      <c r="J27" s="2572">
        <f>HLOOKUP(J$6,Daten!$D$3:$GR$64,$AB27,FALSE)</f>
        <v>197.83489008999999</v>
      </c>
      <c r="K27" s="2580"/>
      <c r="L27" s="2582">
        <f>HLOOKUP(L$6,Daten!$D$3:$GR$64,$AB27,FALSE)</f>
        <v>159.06593366666667</v>
      </c>
      <c r="M27" s="526"/>
      <c r="N27" s="2572">
        <f>HLOOKUP(N$6,Daten!$D$3:$GR$64,$AB27,FALSE)</f>
        <v>143.48353592666666</v>
      </c>
      <c r="O27" s="2580"/>
      <c r="P27" s="2582">
        <f>HLOOKUP(P$6,Daten!$D$3:$GR$64,$AB27,FALSE)</f>
        <v>146.9646222633333</v>
      </c>
      <c r="Q27" s="526"/>
      <c r="R27" s="2572">
        <f>HLOOKUP(R$6,Daten!$D$3:$GR$64,$AB27,FALSE)</f>
        <v>161.01373338416667</v>
      </c>
      <c r="S27" s="2580"/>
      <c r="T27" s="2582">
        <f>HLOOKUP(T$6,Daten!$D$3:$GR$64,$AB27,FALSE)</f>
        <v>161.01373338416667</v>
      </c>
      <c r="U27" s="526"/>
      <c r="V27" s="2574">
        <f>HLOOKUP(V$6,Daten!$D$3:$GR$64,$AB27,FALSE)</f>
        <v>202.05402706666663</v>
      </c>
      <c r="W27" s="529"/>
      <c r="X27" s="2572">
        <f t="shared" si="0"/>
        <v>161.67254306616667</v>
      </c>
      <c r="Y27" s="2206"/>
      <c r="AB27" s="3609">
        <v>13</v>
      </c>
      <c r="AC27" s="3609"/>
    </row>
    <row r="28" spans="1:29" ht="15" customHeight="1">
      <c r="A28" s="673"/>
      <c r="B28" s="4083"/>
      <c r="C28" s="673"/>
      <c r="D28" s="685">
        <f t="shared" si="2"/>
        <v>19</v>
      </c>
      <c r="E28" s="746"/>
      <c r="F28" s="746" t="s">
        <v>765</v>
      </c>
      <c r="G28" s="833"/>
      <c r="H28" s="773"/>
      <c r="I28" s="649"/>
      <c r="J28" s="2572">
        <f>HLOOKUP(J$6,Daten!$D$3:$GR$64,$AB28,FALSE)</f>
        <v>0</v>
      </c>
      <c r="K28" s="2580"/>
      <c r="L28" s="2582">
        <f>HLOOKUP(L$6,Daten!$D$3:$GR$64,$AB28,FALSE)</f>
        <v>262.60000000000002</v>
      </c>
      <c r="M28" s="526"/>
      <c r="N28" s="2572">
        <f>HLOOKUP(N$6,Daten!$D$3:$GR$64,$AB28,FALSE)</f>
        <v>157</v>
      </c>
      <c r="O28" s="2580"/>
      <c r="P28" s="2582">
        <f>HLOOKUP(P$6,Daten!$D$3:$GR$64,$AB28,FALSE)</f>
        <v>175.5</v>
      </c>
      <c r="Q28" s="526"/>
      <c r="R28" s="2572">
        <f>HLOOKUP(R$6,Daten!$D$3:$GR$64,$AB28,FALSE)</f>
        <v>275.8</v>
      </c>
      <c r="S28" s="2580"/>
      <c r="T28" s="2582">
        <f>HLOOKUP(T$6,Daten!$D$3:$GR$64,$AB28,FALSE)</f>
        <v>275.8</v>
      </c>
      <c r="U28" s="526"/>
      <c r="V28" s="2574">
        <f>HLOOKUP(V$6,Daten!$D$3:$GR$64,$AB28,FALSE)</f>
        <v>204.3</v>
      </c>
      <c r="W28" s="529"/>
      <c r="X28" s="2572">
        <f t="shared" si="0"/>
        <v>174.18</v>
      </c>
      <c r="Y28" s="2206"/>
      <c r="AB28" s="3609">
        <v>14</v>
      </c>
      <c r="AC28" s="3609"/>
    </row>
    <row r="29" spans="1:29" ht="15" customHeight="1">
      <c r="A29" s="673"/>
      <c r="B29" s="4083"/>
      <c r="C29" s="673"/>
      <c r="D29" s="685">
        <f t="shared" si="2"/>
        <v>20</v>
      </c>
      <c r="E29" s="746"/>
      <c r="F29" s="746" t="s">
        <v>764</v>
      </c>
      <c r="G29" s="833"/>
      <c r="H29" s="773"/>
      <c r="I29" s="649"/>
      <c r="J29" s="2572">
        <f>HLOOKUP(J$6,Daten!$D$3:$GR$64,$AB29,FALSE)</f>
        <v>0</v>
      </c>
      <c r="K29" s="2580"/>
      <c r="L29" s="2581">
        <f>HLOOKUP(L$6,Daten!$D$3:$GR$64,$AB29,FALSE)</f>
        <v>0</v>
      </c>
      <c r="M29" s="526"/>
      <c r="N29" s="2572">
        <f>HLOOKUP(N$6,Daten!$D$3:$GR$64,$AB29,FALSE)</f>
        <v>0</v>
      </c>
      <c r="O29" s="2580"/>
      <c r="P29" s="2581">
        <f>HLOOKUP(P$6,Daten!$D$3:$GR$64,$AB29,FALSE)</f>
        <v>0</v>
      </c>
      <c r="Q29" s="526"/>
      <c r="R29" s="2572">
        <f>HLOOKUP(R$6,Daten!$D$3:$GR$64,$AB29,FALSE)</f>
        <v>0</v>
      </c>
      <c r="S29" s="2580"/>
      <c r="T29" s="2581">
        <f>HLOOKUP(T$6,Daten!$D$3:$GR$64,$AB29,FALSE)</f>
        <v>0</v>
      </c>
      <c r="U29" s="526"/>
      <c r="V29" s="2574">
        <f>HLOOKUP(V$6,Daten!$D$3:$GR$64,$AB29,FALSE)</f>
        <v>0</v>
      </c>
      <c r="W29" s="529">
        <f t="shared" si="3"/>
        <v>0</v>
      </c>
      <c r="X29" s="2572">
        <f t="shared" si="0"/>
        <v>0</v>
      </c>
      <c r="Y29" s="2206"/>
      <c r="AB29" s="3609">
        <v>15</v>
      </c>
      <c r="AC29" s="3609"/>
    </row>
    <row r="30" spans="1:29" ht="15" customHeight="1">
      <c r="A30" s="673"/>
      <c r="B30" s="4084"/>
      <c r="C30" s="673"/>
      <c r="D30" s="680">
        <f t="shared" si="2"/>
        <v>21</v>
      </c>
      <c r="E30" s="815" t="s">
        <v>763</v>
      </c>
      <c r="F30" s="707"/>
      <c r="G30" s="707"/>
      <c r="H30" s="655"/>
      <c r="I30" s="2770"/>
      <c r="J30" s="2771">
        <f>HLOOKUP($J$6,Daten!$D$3:$GR$64,ROW()-11,FALSE)</f>
        <v>-365.05510991</v>
      </c>
      <c r="K30" s="2772"/>
      <c r="L30" s="2773">
        <f>HLOOKUP($L$6,Daten!$D$3:$GR$64,ROW()-11,FALSE)</f>
        <v>1390.8123336666665</v>
      </c>
      <c r="M30" s="679"/>
      <c r="N30" s="2771">
        <f>HLOOKUP($N$6,Daten!$D$3:$GR$64,ROW()-11,FALSE)</f>
        <v>1348.1531359266667</v>
      </c>
      <c r="O30" s="2772"/>
      <c r="P30" s="2773">
        <f>HLOOKUP($P$6,Daten!$D$3:$GR$64,ROW()-11,FALSE)</f>
        <v>749.50662226333338</v>
      </c>
      <c r="Q30" s="679"/>
      <c r="R30" s="2771">
        <f>HLOOKUP($R$6,Daten!$D$3:$GR$64,ROW()-11,FALSE)</f>
        <v>1343.1953333841666</v>
      </c>
      <c r="S30" s="2772"/>
      <c r="T30" s="2773">
        <f>HLOOKUP($T$6,Daten!$D$3:$GR$64,ROW()-11,FALSE)</f>
        <v>1447.8121333841664</v>
      </c>
      <c r="U30" s="679"/>
      <c r="V30" s="2774">
        <f>HLOOKUP($V$6,Daten!$D$3:$GR$64,ROW()-11,FALSE)</f>
        <v>1027.210027066667</v>
      </c>
      <c r="W30" s="2775"/>
      <c r="X30" s="2771">
        <f t="shared" si="0"/>
        <v>893.32246306616662</v>
      </c>
      <c r="Y30" s="2206"/>
      <c r="AB30" s="3609"/>
      <c r="AC30" s="3609"/>
    </row>
    <row r="31" spans="1:29" ht="5.25" customHeight="1">
      <c r="A31" s="673"/>
      <c r="B31" s="673"/>
      <c r="C31" s="673"/>
      <c r="D31" s="673"/>
      <c r="E31" s="673"/>
      <c r="F31" s="673"/>
      <c r="G31" s="673"/>
      <c r="H31" s="673"/>
      <c r="I31" s="673"/>
      <c r="J31" s="673"/>
      <c r="K31" s="673"/>
      <c r="L31" s="673"/>
      <c r="M31" s="673"/>
      <c r="N31" s="673"/>
      <c r="O31" s="673"/>
      <c r="P31" s="673"/>
      <c r="Q31" s="673"/>
      <c r="R31" s="673"/>
      <c r="S31" s="673"/>
      <c r="T31" s="673"/>
      <c r="U31" s="673"/>
      <c r="V31" s="673"/>
      <c r="W31" s="2730"/>
      <c r="X31" s="2730">
        <f t="shared" si="0"/>
        <v>0</v>
      </c>
      <c r="Y31" s="2198"/>
      <c r="AB31" s="3609"/>
      <c r="AC31" s="3609"/>
    </row>
    <row r="32" spans="1:29" s="597" customFormat="1" ht="16.5" customHeight="1">
      <c r="A32" s="3141"/>
      <c r="B32" s="4082" t="s">
        <v>762</v>
      </c>
      <c r="C32" s="3141"/>
      <c r="D32" s="3142">
        <f>D30+1</f>
        <v>22</v>
      </c>
      <c r="E32" s="3209" t="s">
        <v>1683</v>
      </c>
      <c r="F32" s="844"/>
      <c r="G32" s="843"/>
      <c r="H32" s="842" t="s">
        <v>163</v>
      </c>
      <c r="I32" s="4095">
        <f>I15-J30</f>
        <v>365.05510991</v>
      </c>
      <c r="J32" s="4096"/>
      <c r="K32" s="4283">
        <f>K15-L30</f>
        <v>196.78766633333339</v>
      </c>
      <c r="L32" s="4284"/>
      <c r="M32" s="4095">
        <f>M15-N30</f>
        <v>773.44686407333324</v>
      </c>
      <c r="N32" s="4096"/>
      <c r="O32" s="4283">
        <f>O15-P30</f>
        <v>410.49337773666662</v>
      </c>
      <c r="P32" s="4284"/>
      <c r="Q32" s="4095">
        <f>Q15-R30</f>
        <v>256.00466661583346</v>
      </c>
      <c r="R32" s="4096"/>
      <c r="S32" s="4283">
        <f>S15-T30</f>
        <v>627.38786661583345</v>
      </c>
      <c r="T32" s="4284"/>
      <c r="U32" s="4095">
        <f>U15-V30</f>
        <v>939.53997293333305</v>
      </c>
      <c r="V32" s="4096"/>
      <c r="W32" s="4095">
        <f t="shared" ref="W32:X37" si="4">SUMPRODUCT($I$7:$V$7,H32:U32)/$X$7</f>
        <v>400.35753693383333</v>
      </c>
      <c r="X32" s="4096">
        <f t="shared" si="0"/>
        <v>0</v>
      </c>
      <c r="Y32" s="3143"/>
      <c r="AB32" s="3510"/>
      <c r="AC32" s="3510"/>
    </row>
    <row r="33" spans="1:29" ht="15" hidden="1" customHeight="1">
      <c r="A33" s="673"/>
      <c r="B33" s="4291"/>
      <c r="C33" s="673"/>
      <c r="D33" s="685">
        <v>19</v>
      </c>
      <c r="E33" s="841"/>
      <c r="F33" s="840"/>
      <c r="G33" s="839"/>
      <c r="H33" s="838" t="s">
        <v>220</v>
      </c>
      <c r="I33" s="835"/>
      <c r="J33" s="834">
        <f>IF(J10=0,0,I32/J10)</f>
        <v>0.86917883311904764</v>
      </c>
      <c r="K33" s="837"/>
      <c r="L33" s="836">
        <f>IF(L10=0,0,K32/L10)</f>
        <v>4.9196916583333348</v>
      </c>
      <c r="M33" s="835"/>
      <c r="N33" s="834">
        <f>IF(N10=0,0,M32/N10)</f>
        <v>19.336171601833332</v>
      </c>
      <c r="O33" s="837"/>
      <c r="P33" s="836">
        <f>IF(P10=0,0,O32/P10)</f>
        <v>20.524668886833332</v>
      </c>
      <c r="Q33" s="835"/>
      <c r="R33" s="834">
        <f>IF(R10=0,0,Q32/R10)</f>
        <v>6.4001166653958368</v>
      </c>
      <c r="S33" s="837"/>
      <c r="T33" s="836">
        <f>IF(T10=0,0,S32/T10)</f>
        <v>15.684696665395837</v>
      </c>
      <c r="U33" s="835"/>
      <c r="V33" s="834">
        <f>IF(V10=0,0,U32/V10)</f>
        <v>37.581598917333324</v>
      </c>
      <c r="W33" s="835">
        <f t="shared" si="4"/>
        <v>0</v>
      </c>
      <c r="X33" s="834">
        <f t="shared" si="0"/>
        <v>10.409965529102976</v>
      </c>
      <c r="Y33" s="2204"/>
      <c r="AB33" s="3609"/>
      <c r="AC33" s="3609"/>
    </row>
    <row r="34" spans="1:29" ht="15.75" customHeight="1">
      <c r="A34" s="673"/>
      <c r="B34" s="4291"/>
      <c r="C34" s="673"/>
      <c r="D34" s="685">
        <f>D32+1</f>
        <v>23</v>
      </c>
      <c r="E34" s="833"/>
      <c r="F34" s="810" t="s">
        <v>761</v>
      </c>
      <c r="G34" s="657"/>
      <c r="H34" s="9"/>
      <c r="I34" s="4165">
        <f>I18</f>
        <v>417</v>
      </c>
      <c r="J34" s="4166"/>
      <c r="K34" s="4285">
        <f>K18</f>
        <v>417</v>
      </c>
      <c r="L34" s="4286"/>
      <c r="M34" s="4165">
        <f>M18</f>
        <v>417</v>
      </c>
      <c r="N34" s="4166"/>
      <c r="O34" s="4285">
        <f>O18</f>
        <v>417</v>
      </c>
      <c r="P34" s="4286"/>
      <c r="Q34" s="4165">
        <f>Q18</f>
        <v>417</v>
      </c>
      <c r="R34" s="4166"/>
      <c r="S34" s="4285">
        <f>S18</f>
        <v>417</v>
      </c>
      <c r="T34" s="4286"/>
      <c r="U34" s="4165">
        <f>U18</f>
        <v>417</v>
      </c>
      <c r="V34" s="4166"/>
      <c r="W34" s="4165">
        <f t="shared" si="4"/>
        <v>417</v>
      </c>
      <c r="X34" s="4166">
        <f t="shared" si="0"/>
        <v>0</v>
      </c>
      <c r="Y34" s="2205"/>
      <c r="AB34" s="3609"/>
      <c r="AC34" s="3609"/>
    </row>
    <row r="35" spans="1:29" ht="15.75" customHeight="1">
      <c r="A35" s="673"/>
      <c r="B35" s="4291"/>
      <c r="C35" s="673"/>
      <c r="D35" s="685">
        <f>D34+1</f>
        <v>24</v>
      </c>
      <c r="E35" s="833"/>
      <c r="F35" s="832" t="s">
        <v>760</v>
      </c>
      <c r="G35" s="754"/>
      <c r="H35" s="831"/>
      <c r="I35" s="4099">
        <f>IF(J9=0,0,HLOOKUP($J$6,Daten!$D$3:$GR$64,ROW()-13,FALSE))</f>
        <v>-4.2589762822833332</v>
      </c>
      <c r="J35" s="4106"/>
      <c r="K35" s="4285">
        <f>IF(L9=0,0,HLOOKUP($L$6,Daten!$D$3:$GR$64,ROW()-13,FALSE))</f>
        <v>16.226143892777777</v>
      </c>
      <c r="L35" s="4286"/>
      <c r="M35" s="4099">
        <f>IF(N9=0,0,HLOOKUP($N$6,Daten!$D$3:$GR$64,ROW()-13,FALSE))</f>
        <v>15.728453252477777</v>
      </c>
      <c r="N35" s="4106"/>
      <c r="O35" s="4285">
        <f>IF(P9=0,0,HLOOKUP($P$6,Daten!$D$3:$GR$64,ROW()-13,FALSE))</f>
        <v>6.2458885188611113</v>
      </c>
      <c r="P35" s="4286"/>
      <c r="Q35" s="4099">
        <f>IF(R9=0,0,HLOOKUP($R$6,Daten!$D$3:$GR$64,ROW()-13,FALSE))</f>
        <v>15.670612222815278</v>
      </c>
      <c r="R35" s="4106"/>
      <c r="S35" s="4285">
        <f>IF(T9=0,0,HLOOKUP($T$6,Daten!$D$3:$GR$64,ROW()-13,FALSE))</f>
        <v>12.065101111534721</v>
      </c>
      <c r="T35" s="4286"/>
      <c r="U35" s="4099">
        <f>IF(V9=0,0,HLOOKUP($V$6,Daten!$D$3:$GR$64,ROW()-13,FALSE))</f>
        <v>8.5600835588888913</v>
      </c>
      <c r="V35" s="4106"/>
      <c r="W35" s="4099">
        <f>SUMPRODUCT($I$7:$V$7,I35:V35)/$X$7</f>
        <v>0</v>
      </c>
      <c r="X35" s="4106">
        <f t="shared" si="4"/>
        <v>0</v>
      </c>
      <c r="Y35" s="2205"/>
      <c r="AB35" s="3609"/>
      <c r="AC35" s="3609"/>
    </row>
    <row r="36" spans="1:29" ht="15.75" customHeight="1">
      <c r="A36" s="673"/>
      <c r="B36" s="4291"/>
      <c r="C36" s="673"/>
      <c r="D36" s="685">
        <f>D35+1</f>
        <v>25</v>
      </c>
      <c r="E36" s="739" t="s">
        <v>759</v>
      </c>
      <c r="F36" s="738"/>
      <c r="G36" s="738"/>
      <c r="H36" s="830" t="s">
        <v>163</v>
      </c>
      <c r="I36" s="4283">
        <f>I32+I34-I35</f>
        <v>786.31408619228341</v>
      </c>
      <c r="J36" s="4284"/>
      <c r="K36" s="4283">
        <f>K32+K34-K35</f>
        <v>597.56152244055556</v>
      </c>
      <c r="L36" s="4284"/>
      <c r="M36" s="4095">
        <f>M32+M34-M35</f>
        <v>1174.7184108208555</v>
      </c>
      <c r="N36" s="4096"/>
      <c r="O36" s="4283">
        <f>O32+O34-O35</f>
        <v>821.24748921780554</v>
      </c>
      <c r="P36" s="4284"/>
      <c r="Q36" s="4095">
        <f>Q32+Q34-Q35</f>
        <v>657.33405439301816</v>
      </c>
      <c r="R36" s="4096"/>
      <c r="S36" s="4283">
        <f>S32+S34-S35</f>
        <v>1032.3227655042988</v>
      </c>
      <c r="T36" s="4284"/>
      <c r="U36" s="4095">
        <f>U32+U34-U35</f>
        <v>1347.9798893744442</v>
      </c>
      <c r="V36" s="4096"/>
      <c r="W36" s="4095">
        <f t="shared" si="4"/>
        <v>807.43511261290359</v>
      </c>
      <c r="X36" s="4096">
        <f t="shared" si="4"/>
        <v>0</v>
      </c>
      <c r="Y36" s="2206"/>
    </row>
    <row r="37" spans="1:29" ht="15.75" customHeight="1">
      <c r="A37" s="673"/>
      <c r="B37" s="4292"/>
      <c r="C37" s="673"/>
      <c r="D37" s="680">
        <f>D36+1</f>
        <v>26</v>
      </c>
      <c r="E37" s="829"/>
      <c r="F37" s="808"/>
      <c r="G37" s="728"/>
      <c r="H37" s="828" t="s">
        <v>220</v>
      </c>
      <c r="I37" s="4109">
        <f>IF(J10=0,0,I36/J10)</f>
        <v>1.872176395695913</v>
      </c>
      <c r="J37" s="4110"/>
      <c r="K37" s="4287">
        <f>IF(L10=0,0,K36/L10)</f>
        <v>14.939038061013889</v>
      </c>
      <c r="L37" s="4288"/>
      <c r="M37" s="4109">
        <f>IF(N10=0,0,M36/N10)</f>
        <v>29.367960270521387</v>
      </c>
      <c r="N37" s="4110"/>
      <c r="O37" s="4287">
        <f>IF(P10=0,0,O36/P10)</f>
        <v>41.062374460890275</v>
      </c>
      <c r="P37" s="4288"/>
      <c r="Q37" s="4109">
        <f>IF(R10=0,0,Q36/R10)</f>
        <v>16.433351359825455</v>
      </c>
      <c r="R37" s="4110"/>
      <c r="S37" s="4287">
        <f>IF(T10=0,0,S36/T10)</f>
        <v>25.808069137607468</v>
      </c>
      <c r="T37" s="4288"/>
      <c r="U37" s="4109">
        <f>IF(V10=0,0,U36/V10)</f>
        <v>53.919195574977763</v>
      </c>
      <c r="V37" s="4110"/>
      <c r="W37" s="4109">
        <f t="shared" si="4"/>
        <v>20.734980109589383</v>
      </c>
      <c r="X37" s="4110">
        <f t="shared" si="4"/>
        <v>0</v>
      </c>
      <c r="Y37" s="2206"/>
    </row>
    <row r="38" spans="1:29" ht="10.5" customHeight="1">
      <c r="A38" s="673"/>
      <c r="B38" s="673"/>
      <c r="C38" s="673"/>
      <c r="D38" s="673"/>
      <c r="E38" s="673"/>
      <c r="F38" s="673"/>
      <c r="G38" s="673"/>
      <c r="H38" s="673"/>
      <c r="I38" s="673"/>
      <c r="J38" s="673"/>
      <c r="K38" s="673"/>
      <c r="L38" s="673"/>
      <c r="M38" s="673"/>
      <c r="N38" s="673"/>
      <c r="O38" s="673"/>
      <c r="P38" s="673"/>
      <c r="Q38" s="673"/>
      <c r="R38" s="673"/>
      <c r="S38" s="673"/>
      <c r="T38" s="673"/>
      <c r="U38" s="673"/>
      <c r="V38" s="673"/>
      <c r="W38" s="2730"/>
      <c r="X38" s="2730"/>
      <c r="Y38" s="2206"/>
    </row>
    <row r="39" spans="1:29" ht="18" customHeight="1">
      <c r="A39" s="673"/>
      <c r="B39" s="4082" t="s">
        <v>757</v>
      </c>
      <c r="C39" s="673"/>
      <c r="D39" s="720">
        <f>D37+1</f>
        <v>27</v>
      </c>
      <c r="E39" s="827" t="s">
        <v>758</v>
      </c>
      <c r="F39" s="826"/>
      <c r="G39" s="826"/>
      <c r="H39" s="825" t="s">
        <v>362</v>
      </c>
      <c r="I39" s="824">
        <f>HLOOKUP(J$6,Daten!$D$3:$GR$64,ROW()-14,FALSE)</f>
        <v>10.350000000000001</v>
      </c>
      <c r="J39" s="823"/>
      <c r="K39" s="822">
        <f>HLOOKUP(L$6,Daten!$D$3:$GR$64,ROW()-14,FALSE)</f>
        <v>7.9151999999999996</v>
      </c>
      <c r="L39" s="821"/>
      <c r="M39" s="820">
        <f>HLOOKUP(N$6,Daten!$D$3:$GR$64,ROW()-14,FALSE)</f>
        <v>6.5112000000000005</v>
      </c>
      <c r="N39" s="819"/>
      <c r="O39" s="822">
        <f>HLOOKUP(P$6,Daten!$D$3:$GR$64,ROW()-14,FALSE)</f>
        <v>7.4315999999999987</v>
      </c>
      <c r="P39" s="821"/>
      <c r="Q39" s="820">
        <f>HLOOKUP(R$6,Daten!$D$3:$GR$64,ROW()-14,FALSE)</f>
        <v>8.0907</v>
      </c>
      <c r="R39" s="819"/>
      <c r="S39" s="822">
        <f>HLOOKUP(T$6,Daten!$D$3:$GR$64,ROW()-14,FALSE)</f>
        <v>8.0907</v>
      </c>
      <c r="T39" s="821"/>
      <c r="U39" s="820">
        <f>HLOOKUP(V$6,Daten!$D$3:$GR$64,ROW()-14,FALSE)</f>
        <v>11.436</v>
      </c>
      <c r="V39" s="819"/>
      <c r="W39" s="820"/>
      <c r="X39" s="819">
        <f>SUMPRODUCT($I$7:$V$7,I39:V39)/$X$7</f>
        <v>0</v>
      </c>
      <c r="Y39" s="2206"/>
    </row>
    <row r="40" spans="1:29" ht="13.65" customHeight="1">
      <c r="A40" s="673"/>
      <c r="B40" s="4083"/>
      <c r="C40" s="673"/>
      <c r="D40" s="685">
        <f t="shared" ref="D40:D46" si="5">D39+1</f>
        <v>28</v>
      </c>
      <c r="E40" s="818"/>
      <c r="F40" s="817" t="s">
        <v>756</v>
      </c>
      <c r="G40" s="816">
        <f>'SDK4'!Q50</f>
        <v>20</v>
      </c>
      <c r="H40" s="773" t="s">
        <v>163</v>
      </c>
      <c r="I40" s="4097">
        <f>$G$40*I39</f>
        <v>207.00000000000003</v>
      </c>
      <c r="J40" s="4105"/>
      <c r="K40" s="4236">
        <f>$G$40*K39</f>
        <v>158.304</v>
      </c>
      <c r="L40" s="4237"/>
      <c r="M40" s="4097">
        <f>$G$40*M39</f>
        <v>130.22400000000002</v>
      </c>
      <c r="N40" s="4105"/>
      <c r="O40" s="4236">
        <f>$G$40*O39</f>
        <v>148.63199999999998</v>
      </c>
      <c r="P40" s="4237"/>
      <c r="Q40" s="4097">
        <f>$G$40*Q39</f>
        <v>161.81399999999999</v>
      </c>
      <c r="R40" s="4105"/>
      <c r="S40" s="4236">
        <f>$G$40*S39</f>
        <v>161.81399999999999</v>
      </c>
      <c r="T40" s="4237"/>
      <c r="U40" s="4097">
        <f>$G$40*U39</f>
        <v>228.72</v>
      </c>
      <c r="V40" s="4105"/>
      <c r="W40" s="4097">
        <f t="shared" ref="W40:X46" si="6">SUMPRODUCT($I$7:$V$7,H40:U40)/$X$7</f>
        <v>161.19479999999999</v>
      </c>
      <c r="X40" s="4105">
        <f t="shared" si="6"/>
        <v>0</v>
      </c>
      <c r="Y40" s="2206"/>
    </row>
    <row r="41" spans="1:29" ht="14.25" customHeight="1">
      <c r="A41" s="673"/>
      <c r="B41" s="4083"/>
      <c r="C41" s="673"/>
      <c r="D41" s="685">
        <f t="shared" si="5"/>
        <v>29</v>
      </c>
      <c r="E41" s="746"/>
      <c r="F41" s="746" t="s">
        <v>755</v>
      </c>
      <c r="G41" s="754"/>
      <c r="H41" s="773" t="s">
        <v>163</v>
      </c>
      <c r="I41" s="4099">
        <f>IF(OR(I36=0,F2="Begrünung"),0,'SDK4'!$N$8)</f>
        <v>352</v>
      </c>
      <c r="J41" s="4106"/>
      <c r="K41" s="4233">
        <f>IF(OR(K36=0,H2="Begrünung"),0,'SDK4'!$N$8)</f>
        <v>352</v>
      </c>
      <c r="L41" s="4234"/>
      <c r="M41" s="4099">
        <f>IF(OR(M36=0,J2="Begrünung"),0,'SDK4'!$N$8)</f>
        <v>352</v>
      </c>
      <c r="N41" s="4106"/>
      <c r="O41" s="4233">
        <f>IF(OR(O36=0,L2="Begrünung"),0,'SDK4'!$N$8)</f>
        <v>352</v>
      </c>
      <c r="P41" s="4234"/>
      <c r="Q41" s="4099">
        <f>IF(OR(Q36=0,N2="Begrünung"),0,'SDK4'!$N$8)</f>
        <v>352</v>
      </c>
      <c r="R41" s="4106"/>
      <c r="S41" s="4233">
        <f>IF(OR(S36=0,P2="Begrünung"),0,'SDK4'!$N$8)</f>
        <v>352</v>
      </c>
      <c r="T41" s="4234"/>
      <c r="U41" s="4099">
        <f>IF(OR(U36=0,R2="Begrünung"),0,'SDK4'!$N$8)</f>
        <v>352</v>
      </c>
      <c r="V41" s="4106"/>
      <c r="W41" s="4099">
        <f t="shared" si="6"/>
        <v>352</v>
      </c>
      <c r="X41" s="4106">
        <f t="shared" si="6"/>
        <v>0</v>
      </c>
      <c r="Y41" s="2206"/>
    </row>
    <row r="42" spans="1:29" ht="15" customHeight="1">
      <c r="A42" s="673"/>
      <c r="B42" s="4083"/>
      <c r="C42" s="673"/>
      <c r="D42" s="685">
        <f t="shared" si="5"/>
        <v>30</v>
      </c>
      <c r="E42" s="746"/>
      <c r="F42" s="746" t="s">
        <v>754</v>
      </c>
      <c r="G42" s="754"/>
      <c r="H42" s="773" t="s">
        <v>163</v>
      </c>
      <c r="I42" s="4099">
        <f>IF(OR(I36=0,F2="Begrünung"),0,'SDK4'!$N$33)</f>
        <v>31</v>
      </c>
      <c r="J42" s="4106"/>
      <c r="K42" s="4233">
        <f>IF(OR(K36=0,H2="Begrünung"),0,'SDK4'!$N$33)</f>
        <v>31</v>
      </c>
      <c r="L42" s="4234"/>
      <c r="M42" s="4099">
        <f>IF(OR(M36=0,J2="Begrünung"),0,'SDK4'!$N$33)</f>
        <v>31</v>
      </c>
      <c r="N42" s="4106"/>
      <c r="O42" s="4233">
        <f>IF(OR(O36=0,L2="Begrünung"),0,'SDK4'!$N$33)</f>
        <v>31</v>
      </c>
      <c r="P42" s="4234"/>
      <c r="Q42" s="4099">
        <f>IF(OR(Q36=0,N2="Begrünung"),0,'SDK4'!$N$33)</f>
        <v>31</v>
      </c>
      <c r="R42" s="4106"/>
      <c r="S42" s="4233">
        <f>IF(OR(S36=0,P2="Begrünung"),0,'SDK4'!$N$33)</f>
        <v>31</v>
      </c>
      <c r="T42" s="4234"/>
      <c r="U42" s="4099">
        <f>IF(OR(U36=0,R2="Begrünung"),0,'SDK4'!$N$33)</f>
        <v>31</v>
      </c>
      <c r="V42" s="4106"/>
      <c r="W42" s="4099">
        <f t="shared" si="6"/>
        <v>31</v>
      </c>
      <c r="X42" s="4106">
        <f t="shared" si="6"/>
        <v>0</v>
      </c>
      <c r="Y42" s="2198"/>
    </row>
    <row r="43" spans="1:29" ht="15" customHeight="1">
      <c r="A43" s="673"/>
      <c r="B43" s="4083"/>
      <c r="C43" s="673"/>
      <c r="D43" s="685">
        <f t="shared" si="5"/>
        <v>31</v>
      </c>
      <c r="E43" s="746"/>
      <c r="F43" s="746" t="s">
        <v>753</v>
      </c>
      <c r="G43" s="754"/>
      <c r="H43" s="773" t="s">
        <v>163</v>
      </c>
      <c r="I43" s="4099">
        <f>IF(I36=0,0,IF(I8="niedrig",'SDK4'!$Q$45,IF(I8="mittel",'SDK4'!$Q$46,'SDK4'!$Q$47)))</f>
        <v>320</v>
      </c>
      <c r="J43" s="4106"/>
      <c r="K43" s="4233">
        <f>IF(K36=0,0,IF(K8="niedrig",'SDK4'!$Q$45,IF(K8="mittel",'SDK4'!$Q$46,'SDK4'!$Q$47)))</f>
        <v>320</v>
      </c>
      <c r="L43" s="4234"/>
      <c r="M43" s="4099">
        <f>IF(M36=0,0,IF(M8="niedrig",'SDK4'!$Q$45,IF(M8="mittel",'SDK4'!$Q$46,'SDK4'!$Q$47)))</f>
        <v>320</v>
      </c>
      <c r="N43" s="4106"/>
      <c r="O43" s="4233">
        <f>IF(O36=0,0,IF(O8="niedrig",'SDK4'!$Q$45,IF(O8="mittel",'SDK4'!$Q$46,'SDK4'!$Q$47)))</f>
        <v>320</v>
      </c>
      <c r="P43" s="4234"/>
      <c r="Q43" s="4099">
        <f>IF(Q36=0,0,IF(Q8="niedrig",'SDK4'!$Q$45,IF(Q8="mittel",'SDK4'!$Q$46,'SDK4'!$Q$47)))</f>
        <v>320</v>
      </c>
      <c r="R43" s="4106"/>
      <c r="S43" s="4233">
        <f>IF(S36=0,0,IF(S8="niedrig",'SDK4'!$Q$45,IF(S8="mittel",'SDK4'!$Q$46,'SDK4'!$Q$47)))</f>
        <v>320</v>
      </c>
      <c r="T43" s="4234"/>
      <c r="U43" s="4099">
        <f>IF(U36=0,0,IF(U8="niedrig",'SDK4'!$Q$45,IF(U8="mittel",'SDK4'!$Q$46,'SDK4'!$Q$47)))</f>
        <v>320</v>
      </c>
      <c r="V43" s="4106"/>
      <c r="W43" s="4099">
        <f t="shared" si="6"/>
        <v>320</v>
      </c>
      <c r="X43" s="4106">
        <f t="shared" si="6"/>
        <v>0</v>
      </c>
      <c r="Y43" s="2198"/>
    </row>
    <row r="44" spans="1:29" ht="15" hidden="1" customHeight="1">
      <c r="A44" s="673"/>
      <c r="B44" s="4083"/>
      <c r="C44" s="673"/>
      <c r="D44" s="685">
        <f t="shared" si="5"/>
        <v>32</v>
      </c>
      <c r="E44" s="746"/>
      <c r="F44" s="746" t="s">
        <v>752</v>
      </c>
      <c r="G44" s="754"/>
      <c r="H44" s="773" t="s">
        <v>163</v>
      </c>
      <c r="I44" s="4099">
        <f>IF(I6=25,J10*'SDK4'!$R$52*'SDK1'!$K$62%,0)</f>
        <v>0</v>
      </c>
      <c r="J44" s="4106"/>
      <c r="K44" s="4233">
        <f>IF(I6=25,L10*'SDK4'!$R$52*'SDK1'!$K$62%,0)</f>
        <v>0</v>
      </c>
      <c r="L44" s="4234"/>
      <c r="M44" s="4099">
        <f>IF(I6=25,N10*'SDK4'!$R$52*'SDK1'!$K$62%,0)</f>
        <v>0</v>
      </c>
      <c r="N44" s="4106"/>
      <c r="O44" s="4233">
        <f>IF(K6=25,P10*'SDK4'!$R$52*'SDK1'!$K$62%,0)</f>
        <v>0</v>
      </c>
      <c r="P44" s="4234"/>
      <c r="Q44" s="4099">
        <f>IF(M6=25,R10*'SDK4'!$R$52*'SDK1'!$K$62%,0)</f>
        <v>0</v>
      </c>
      <c r="R44" s="4106"/>
      <c r="S44" s="4233">
        <f>IF(O6=25,T10*'SDK4'!$R$52*'SDK1'!$K$62%,0)</f>
        <v>0</v>
      </c>
      <c r="T44" s="4234"/>
      <c r="U44" s="4099">
        <f>IF(Q6=25,V10*'SDK4'!$R$52*'SDK1'!$K$62%,0)</f>
        <v>0</v>
      </c>
      <c r="V44" s="4106"/>
      <c r="W44" s="4099">
        <f t="shared" si="6"/>
        <v>0</v>
      </c>
      <c r="X44" s="4106">
        <f t="shared" si="6"/>
        <v>0</v>
      </c>
      <c r="Y44" s="2204"/>
    </row>
    <row r="45" spans="1:29" ht="15.75" customHeight="1">
      <c r="A45" s="673"/>
      <c r="B45" s="4083"/>
      <c r="C45" s="673"/>
      <c r="D45" s="685">
        <f t="shared" si="5"/>
        <v>33</v>
      </c>
      <c r="E45" s="746"/>
      <c r="F45" s="746" t="s">
        <v>751</v>
      </c>
      <c r="G45" s="754"/>
      <c r="H45" s="773" t="s">
        <v>163</v>
      </c>
      <c r="I45" s="4099">
        <f>IF(OR(I36=0,F2="Begrünung"),0,'SDK4'!$Q$48)</f>
        <v>195</v>
      </c>
      <c r="J45" s="4106"/>
      <c r="K45" s="4233">
        <f>IF(OR(K36=0,H2="Begrünung"),0,'SDK4'!$Q$48)</f>
        <v>195</v>
      </c>
      <c r="L45" s="4234"/>
      <c r="M45" s="4099">
        <f>IF(OR(M36=0,J2="Begrünung"),0,'SDK4'!$Q$48)</f>
        <v>195</v>
      </c>
      <c r="N45" s="4106"/>
      <c r="O45" s="4233">
        <f>IF(OR(O36=0,L2="Begrünung"),0,'SDK4'!$Q$48)</f>
        <v>195</v>
      </c>
      <c r="P45" s="4234"/>
      <c r="Q45" s="4099">
        <f>IF(OR(Q36=0,N2="Begrünung"),0,'SDK4'!$Q$48)</f>
        <v>195</v>
      </c>
      <c r="R45" s="4106"/>
      <c r="S45" s="4233">
        <f>IF(OR(S36=0,P2="Begrünung"),0,'SDK4'!$Q$48)</f>
        <v>195</v>
      </c>
      <c r="T45" s="4234"/>
      <c r="U45" s="4099">
        <f>IF(OR(U36=0,R2="Begrünung"),0,'SDK4'!$Q$48)</f>
        <v>195</v>
      </c>
      <c r="V45" s="4106"/>
      <c r="W45" s="4099">
        <f t="shared" si="6"/>
        <v>195</v>
      </c>
      <c r="X45" s="4106">
        <f t="shared" si="6"/>
        <v>0</v>
      </c>
      <c r="Y45" s="2205"/>
    </row>
    <row r="46" spans="1:29" ht="15" customHeight="1">
      <c r="A46" s="673"/>
      <c r="B46" s="4084"/>
      <c r="C46" s="673"/>
      <c r="D46" s="680">
        <f t="shared" si="5"/>
        <v>34</v>
      </c>
      <c r="E46" s="815" t="s">
        <v>750</v>
      </c>
      <c r="F46" s="707"/>
      <c r="G46" s="707"/>
      <c r="H46" s="712"/>
      <c r="I46" s="4101">
        <f>SUM(I40:I45)</f>
        <v>1105</v>
      </c>
      <c r="J46" s="4102"/>
      <c r="K46" s="4257">
        <f>SUM(K40:K45)</f>
        <v>1056.3040000000001</v>
      </c>
      <c r="L46" s="4258"/>
      <c r="M46" s="4101">
        <f>SUM(M40:M45)</f>
        <v>1028.2240000000002</v>
      </c>
      <c r="N46" s="4102"/>
      <c r="O46" s="4257">
        <f>SUM(O40:O45)</f>
        <v>1046.6320000000001</v>
      </c>
      <c r="P46" s="4258"/>
      <c r="Q46" s="4101">
        <f>SUM(Q40:Q45)</f>
        <v>1059.8139999999999</v>
      </c>
      <c r="R46" s="4102"/>
      <c r="S46" s="4257">
        <f>SUM(S40:S45)</f>
        <v>1059.8139999999999</v>
      </c>
      <c r="T46" s="4258"/>
      <c r="U46" s="4101">
        <f>SUM(U40:U45)</f>
        <v>1126.72</v>
      </c>
      <c r="V46" s="4102"/>
      <c r="W46" s="4101">
        <f t="shared" si="6"/>
        <v>1059.1948000000002</v>
      </c>
      <c r="X46" s="4102">
        <f t="shared" si="6"/>
        <v>0</v>
      </c>
      <c r="Y46" s="2205"/>
    </row>
    <row r="47" spans="1:29" s="4" customFormat="1" ht="5.25" customHeight="1">
      <c r="A47" s="673"/>
      <c r="B47" s="673"/>
      <c r="C47" s="673"/>
      <c r="D47" s="673"/>
      <c r="E47" s="673"/>
      <c r="F47" s="673"/>
      <c r="G47" s="673"/>
      <c r="H47" s="673"/>
      <c r="I47" s="673"/>
      <c r="J47" s="673"/>
      <c r="K47" s="673"/>
      <c r="L47" s="673"/>
      <c r="M47" s="673"/>
      <c r="N47" s="673"/>
      <c r="O47" s="673"/>
      <c r="P47" s="673"/>
      <c r="Q47" s="673"/>
      <c r="R47" s="673"/>
      <c r="S47" s="673"/>
      <c r="T47" s="673"/>
      <c r="U47" s="673"/>
      <c r="V47" s="673"/>
      <c r="W47" s="2730"/>
      <c r="X47" s="2730"/>
      <c r="Y47" s="2206"/>
    </row>
    <row r="48" spans="1:29" ht="15" customHeight="1">
      <c r="A48" s="673"/>
      <c r="B48" s="4082" t="s">
        <v>749</v>
      </c>
      <c r="C48" s="673"/>
      <c r="D48" s="720">
        <f>D46+1</f>
        <v>35</v>
      </c>
      <c r="E48" s="814"/>
      <c r="F48" s="813" t="s">
        <v>748</v>
      </c>
      <c r="G48" s="718"/>
      <c r="H48" s="812"/>
      <c r="I48" s="4107">
        <f>I15</f>
        <v>0</v>
      </c>
      <c r="J48" s="4108"/>
      <c r="K48" s="4255">
        <f>K15</f>
        <v>1587.6</v>
      </c>
      <c r="L48" s="4256"/>
      <c r="M48" s="4107">
        <f>M15</f>
        <v>2121.6</v>
      </c>
      <c r="N48" s="4108"/>
      <c r="O48" s="4255">
        <f>O15</f>
        <v>1160</v>
      </c>
      <c r="P48" s="4256"/>
      <c r="Q48" s="4107">
        <f>Q15</f>
        <v>1599.2</v>
      </c>
      <c r="R48" s="4108"/>
      <c r="S48" s="4255">
        <f>S15</f>
        <v>2075.1999999999998</v>
      </c>
      <c r="T48" s="4256"/>
      <c r="U48" s="4107">
        <f>U15</f>
        <v>1966.75</v>
      </c>
      <c r="V48" s="4108"/>
      <c r="W48" s="4107">
        <f t="shared" ref="W48:X54" si="7">SUMPRODUCT($I$7:$V$7,H48:U48)/$X$7</f>
        <v>1293.68</v>
      </c>
      <c r="X48" s="4108">
        <f t="shared" si="7"/>
        <v>0</v>
      </c>
      <c r="Y48" s="2206"/>
    </row>
    <row r="49" spans="1:25" ht="15" customHeight="1">
      <c r="A49" s="673"/>
      <c r="B49" s="4083"/>
      <c r="C49" s="673"/>
      <c r="D49" s="685">
        <f t="shared" ref="D49:D54" si="8">D48+1</f>
        <v>36</v>
      </c>
      <c r="E49" s="711"/>
      <c r="F49" s="811" t="s">
        <v>747</v>
      </c>
      <c r="G49" s="710"/>
      <c r="H49" s="773"/>
      <c r="I49" s="4101">
        <f>J30+I35+I46</f>
        <v>735.68591380771659</v>
      </c>
      <c r="J49" s="4102"/>
      <c r="K49" s="4257">
        <f>L30+K35+K46</f>
        <v>2463.3424775594444</v>
      </c>
      <c r="L49" s="4258"/>
      <c r="M49" s="4101">
        <f>N30+M35+M46</f>
        <v>2392.1055891791448</v>
      </c>
      <c r="N49" s="4102"/>
      <c r="O49" s="4257">
        <f>P30+O35+O46</f>
        <v>1802.3845107821944</v>
      </c>
      <c r="P49" s="4258"/>
      <c r="Q49" s="4101">
        <f>R30+Q35+Q46</f>
        <v>2418.6799456069816</v>
      </c>
      <c r="R49" s="4102"/>
      <c r="S49" s="4257">
        <f>T30+S35+S46</f>
        <v>2519.6912344957009</v>
      </c>
      <c r="T49" s="4258"/>
      <c r="U49" s="4101">
        <f>V30+U35+U46</f>
        <v>2162.4901106255556</v>
      </c>
      <c r="V49" s="4102"/>
      <c r="W49" s="4101">
        <f t="shared" si="7"/>
        <v>1962.439687387096</v>
      </c>
      <c r="X49" s="4102">
        <f t="shared" si="7"/>
        <v>0</v>
      </c>
      <c r="Y49" s="2206"/>
    </row>
    <row r="50" spans="1:25" ht="15" customHeight="1">
      <c r="A50" s="673"/>
      <c r="B50" s="4083"/>
      <c r="C50" s="673"/>
      <c r="D50" s="875">
        <f t="shared" si="8"/>
        <v>37</v>
      </c>
      <c r="E50" s="3209" t="s">
        <v>1684</v>
      </c>
      <c r="F50" s="738"/>
      <c r="G50" s="738"/>
      <c r="H50" s="809" t="s">
        <v>743</v>
      </c>
      <c r="I50" s="4095">
        <f>I48-I49</f>
        <v>-735.68591380771659</v>
      </c>
      <c r="J50" s="4096"/>
      <c r="K50" s="4255">
        <f>K48-K49</f>
        <v>-875.74247755944452</v>
      </c>
      <c r="L50" s="4256"/>
      <c r="M50" s="4095">
        <f>M48-M49</f>
        <v>-270.50558917914486</v>
      </c>
      <c r="N50" s="4096"/>
      <c r="O50" s="4255">
        <f>O48-O49</f>
        <v>-642.38451078219441</v>
      </c>
      <c r="P50" s="4256"/>
      <c r="Q50" s="4095">
        <f>Q48-Q49</f>
        <v>-819.47994560698157</v>
      </c>
      <c r="R50" s="4096"/>
      <c r="S50" s="4255">
        <f>S48-S49</f>
        <v>-444.49123449570106</v>
      </c>
      <c r="T50" s="4256"/>
      <c r="U50" s="4095">
        <f>U48-U49</f>
        <v>-195.74011062555564</v>
      </c>
      <c r="V50" s="4096"/>
      <c r="W50" s="4095">
        <f t="shared" si="7"/>
        <v>-668.75968738709639</v>
      </c>
      <c r="X50" s="4096">
        <f t="shared" si="7"/>
        <v>0</v>
      </c>
      <c r="Y50" s="2206"/>
    </row>
    <row r="51" spans="1:25" ht="15" customHeight="1">
      <c r="A51" s="673"/>
      <c r="B51" s="4083"/>
      <c r="C51" s="673"/>
      <c r="D51" s="875">
        <f t="shared" si="8"/>
        <v>38</v>
      </c>
      <c r="E51" s="729" t="s">
        <v>746</v>
      </c>
      <c r="F51" s="808"/>
      <c r="G51" s="807"/>
      <c r="H51" s="806" t="s">
        <v>220</v>
      </c>
      <c r="I51" s="4109">
        <f>IF(J10=0,0,I50/J10)</f>
        <v>-1.7516331281136108</v>
      </c>
      <c r="J51" s="4110"/>
      <c r="K51" s="4259">
        <f>IF(L10=0,0,K50/L10)</f>
        <v>-21.893561938986114</v>
      </c>
      <c r="L51" s="4260"/>
      <c r="M51" s="4109">
        <f>IF(N10=0,0,M50/N10)</f>
        <v>-6.7626397294786216</v>
      </c>
      <c r="N51" s="4110"/>
      <c r="O51" s="4259">
        <f>IF(P10=0,0,O50/P10)</f>
        <v>-32.119225539109721</v>
      </c>
      <c r="P51" s="4260"/>
      <c r="Q51" s="4109">
        <f>IF(R10=0,0,Q50/R10)</f>
        <v>-20.486998640174541</v>
      </c>
      <c r="R51" s="4110"/>
      <c r="S51" s="4259">
        <f>IF(T10=0,0,S50/T10)</f>
        <v>-11.112280862392527</v>
      </c>
      <c r="T51" s="4260"/>
      <c r="U51" s="4109">
        <f>IF(V10=0,0,U50/V10)</f>
        <v>-7.8296044250222261</v>
      </c>
      <c r="V51" s="4110"/>
      <c r="W51" s="4109">
        <f t="shared" si="7"/>
        <v>-16.602811795172521</v>
      </c>
      <c r="X51" s="4110">
        <f t="shared" si="7"/>
        <v>0</v>
      </c>
      <c r="Y51" s="2206"/>
    </row>
    <row r="52" spans="1:25" ht="18" customHeight="1">
      <c r="A52" s="673"/>
      <c r="B52" s="4083"/>
      <c r="C52" s="673"/>
      <c r="D52" s="685">
        <f t="shared" si="8"/>
        <v>39</v>
      </c>
      <c r="E52" s="54"/>
      <c r="F52" s="810" t="s">
        <v>745</v>
      </c>
      <c r="G52" s="657"/>
      <c r="H52" s="9"/>
      <c r="I52" s="4099">
        <f>I18</f>
        <v>417</v>
      </c>
      <c r="J52" s="4106"/>
      <c r="K52" s="4233">
        <f>K18</f>
        <v>417</v>
      </c>
      <c r="L52" s="4234"/>
      <c r="M52" s="4099">
        <f>M18</f>
        <v>417</v>
      </c>
      <c r="N52" s="4106"/>
      <c r="O52" s="4233">
        <f>O18</f>
        <v>417</v>
      </c>
      <c r="P52" s="4234"/>
      <c r="Q52" s="4099">
        <f>Q18</f>
        <v>417</v>
      </c>
      <c r="R52" s="4106"/>
      <c r="S52" s="4233">
        <f>S18</f>
        <v>417</v>
      </c>
      <c r="T52" s="4234"/>
      <c r="U52" s="4099">
        <f>U18</f>
        <v>417</v>
      </c>
      <c r="V52" s="4106"/>
      <c r="W52" s="4099">
        <f t="shared" si="7"/>
        <v>417</v>
      </c>
      <c r="X52" s="4106">
        <f t="shared" si="7"/>
        <v>0</v>
      </c>
      <c r="Y52" s="2206"/>
    </row>
    <row r="53" spans="1:25" ht="15" customHeight="1">
      <c r="A53" s="673"/>
      <c r="B53" s="4083"/>
      <c r="C53" s="673"/>
      <c r="D53" s="875">
        <f t="shared" si="8"/>
        <v>40</v>
      </c>
      <c r="E53" s="739" t="s">
        <v>744</v>
      </c>
      <c r="F53" s="738"/>
      <c r="G53" s="738"/>
      <c r="H53" s="809" t="s">
        <v>743</v>
      </c>
      <c r="I53" s="4095">
        <f>I50+I52</f>
        <v>-318.68591380771659</v>
      </c>
      <c r="J53" s="4096"/>
      <c r="K53" s="4255">
        <f>K50+K52</f>
        <v>-458.74247755944452</v>
      </c>
      <c r="L53" s="4256"/>
      <c r="M53" s="4095">
        <f>M50+M52</f>
        <v>146.49441082085514</v>
      </c>
      <c r="N53" s="4096"/>
      <c r="O53" s="4255">
        <f>O50+O52</f>
        <v>-225.38451078219441</v>
      </c>
      <c r="P53" s="4256"/>
      <c r="Q53" s="4095">
        <f>Q50+Q52</f>
        <v>-402.47994560698157</v>
      </c>
      <c r="R53" s="4096"/>
      <c r="S53" s="4255">
        <f>S50+S52</f>
        <v>-27.491234495701065</v>
      </c>
      <c r="T53" s="4256"/>
      <c r="U53" s="4095">
        <f>U50+U52</f>
        <v>221.25988937444436</v>
      </c>
      <c r="V53" s="4096"/>
      <c r="W53" s="4095">
        <f t="shared" si="7"/>
        <v>-251.75968738709639</v>
      </c>
      <c r="X53" s="4096">
        <f t="shared" si="7"/>
        <v>0</v>
      </c>
      <c r="Y53" s="2198"/>
    </row>
    <row r="54" spans="1:25" ht="15" customHeight="1">
      <c r="A54" s="673"/>
      <c r="B54" s="4084"/>
      <c r="C54" s="673"/>
      <c r="D54" s="3650">
        <f t="shared" si="8"/>
        <v>41</v>
      </c>
      <c r="E54" s="729" t="s">
        <v>742</v>
      </c>
      <c r="F54" s="808"/>
      <c r="G54" s="807"/>
      <c r="H54" s="806" t="s">
        <v>220</v>
      </c>
      <c r="I54" s="4109">
        <f>IF(J10=0,0,I53/J10)</f>
        <v>-0.75877598525646806</v>
      </c>
      <c r="J54" s="4110"/>
      <c r="K54" s="4259">
        <f>IF(L10=0,0,K53/L10)</f>
        <v>-11.468561938986113</v>
      </c>
      <c r="L54" s="4260"/>
      <c r="M54" s="4109">
        <f>IF(N10=0,0,M53/N10)</f>
        <v>3.6623602705213782</v>
      </c>
      <c r="N54" s="4110"/>
      <c r="O54" s="4259">
        <f>IF(P10=0,0,O53/P10)</f>
        <v>-11.269225539109721</v>
      </c>
      <c r="P54" s="4260"/>
      <c r="Q54" s="4109">
        <f>IF(R10=0,0,Q53/R10)</f>
        <v>-10.06199864017454</v>
      </c>
      <c r="R54" s="4110"/>
      <c r="S54" s="4259">
        <f>IF(T10=0,0,S53/T10)</f>
        <v>-0.68728086239252661</v>
      </c>
      <c r="T54" s="4260"/>
      <c r="U54" s="4109">
        <f>IF(V10=0,0,U53/V10)</f>
        <v>8.8503955749777745</v>
      </c>
      <c r="V54" s="4110"/>
      <c r="W54" s="4109">
        <f t="shared" si="7"/>
        <v>-5.9792403666010934</v>
      </c>
      <c r="X54" s="4110">
        <f t="shared" si="7"/>
        <v>0</v>
      </c>
      <c r="Y54" s="2198"/>
    </row>
    <row r="55" spans="1:25" s="597" customFormat="1" ht="5.25" customHeight="1">
      <c r="A55" s="673"/>
      <c r="B55" s="673"/>
      <c r="C55" s="673"/>
      <c r="D55" s="673"/>
      <c r="E55" s="673"/>
      <c r="F55" s="673"/>
      <c r="G55" s="673"/>
      <c r="H55" s="673"/>
      <c r="I55" s="673"/>
      <c r="J55" s="673"/>
      <c r="K55" s="673"/>
      <c r="L55" s="673"/>
      <c r="M55" s="673"/>
      <c r="N55" s="673"/>
      <c r="O55" s="673"/>
      <c r="P55" s="673"/>
      <c r="Q55" s="673"/>
      <c r="R55" s="673"/>
      <c r="S55" s="673"/>
      <c r="T55" s="673"/>
      <c r="U55" s="673"/>
      <c r="V55" s="673"/>
      <c r="W55" s="2730"/>
      <c r="X55" s="2730"/>
      <c r="Y55" s="2204"/>
    </row>
    <row r="56" spans="1:25" s="597" customFormat="1" ht="5.25" customHeight="1">
      <c r="A56" s="673"/>
      <c r="B56" s="673"/>
      <c r="C56" s="673"/>
      <c r="D56" s="673"/>
      <c r="E56" s="673"/>
      <c r="F56" s="673"/>
      <c r="G56" s="673"/>
      <c r="H56" s="673"/>
      <c r="I56" s="673"/>
      <c r="J56" s="673"/>
      <c r="K56" s="673"/>
      <c r="L56" s="673"/>
      <c r="M56" s="673"/>
      <c r="N56" s="673"/>
      <c r="O56" s="673"/>
      <c r="P56" s="673"/>
      <c r="Q56" s="673"/>
      <c r="R56" s="673"/>
      <c r="S56" s="673"/>
      <c r="T56" s="673"/>
      <c r="U56" s="673"/>
      <c r="V56" s="673"/>
      <c r="W56" s="2730"/>
      <c r="X56" s="2730"/>
      <c r="Y56" s="2205"/>
    </row>
    <row r="57" spans="1:25" ht="15" customHeight="1">
      <c r="A57" s="673"/>
      <c r="B57" s="4082" t="s">
        <v>741</v>
      </c>
      <c r="C57" s="673"/>
      <c r="D57" s="720">
        <f>D54+1</f>
        <v>42</v>
      </c>
      <c r="E57" s="3209" t="s">
        <v>740</v>
      </c>
      <c r="F57" s="805"/>
      <c r="G57" s="805"/>
      <c r="H57" s="804"/>
      <c r="I57" s="800" t="s">
        <v>163</v>
      </c>
      <c r="J57" s="803" t="s">
        <v>739</v>
      </c>
      <c r="K57" s="802" t="s">
        <v>163</v>
      </c>
      <c r="L57" s="801" t="s">
        <v>739</v>
      </c>
      <c r="M57" s="800" t="s">
        <v>163</v>
      </c>
      <c r="N57" s="799" t="s">
        <v>739</v>
      </c>
      <c r="O57" s="802" t="s">
        <v>163</v>
      </c>
      <c r="P57" s="801" t="s">
        <v>739</v>
      </c>
      <c r="Q57" s="800" t="s">
        <v>163</v>
      </c>
      <c r="R57" s="799" t="s">
        <v>739</v>
      </c>
      <c r="S57" s="802" t="s">
        <v>163</v>
      </c>
      <c r="T57" s="801" t="s">
        <v>739</v>
      </c>
      <c r="U57" s="800" t="s">
        <v>163</v>
      </c>
      <c r="V57" s="799" t="s">
        <v>739</v>
      </c>
      <c r="W57" s="2737" t="s">
        <v>163</v>
      </c>
      <c r="X57" s="2738" t="s">
        <v>739</v>
      </c>
      <c r="Y57" s="2205"/>
    </row>
    <row r="58" spans="1:25" s="762" customFormat="1" ht="2.25" customHeight="1">
      <c r="A58" s="673"/>
      <c r="B58" s="4083"/>
      <c r="C58" s="673"/>
      <c r="D58" s="770">
        <v>39</v>
      </c>
      <c r="E58" s="798"/>
      <c r="F58" s="797"/>
      <c r="G58" s="796"/>
      <c r="H58" s="776"/>
      <c r="I58" s="792"/>
      <c r="J58" s="795"/>
      <c r="K58" s="794"/>
      <c r="L58" s="793"/>
      <c r="M58" s="792"/>
      <c r="N58" s="791"/>
      <c r="O58" s="794"/>
      <c r="P58" s="793"/>
      <c r="Q58" s="792"/>
      <c r="R58" s="791"/>
      <c r="S58" s="794"/>
      <c r="T58" s="793"/>
      <c r="U58" s="792"/>
      <c r="V58" s="791"/>
      <c r="W58" s="792"/>
      <c r="X58" s="791"/>
      <c r="Y58" s="2206"/>
    </row>
    <row r="59" spans="1:25" ht="15" customHeight="1">
      <c r="A59" s="673"/>
      <c r="B59" s="4083"/>
      <c r="C59" s="673"/>
      <c r="D59" s="685">
        <f>D57+1</f>
        <v>43</v>
      </c>
      <c r="E59" s="790"/>
      <c r="F59" s="789" t="s">
        <v>738</v>
      </c>
      <c r="G59" s="652"/>
      <c r="H59" s="788" t="s">
        <v>737</v>
      </c>
      <c r="I59" s="784">
        <f>I53+I40</f>
        <v>-111.68591380771656</v>
      </c>
      <c r="J59" s="787">
        <f>IF(I39=0,0,I59/I39)</f>
        <v>-10.790909546639279</v>
      </c>
      <c r="K59" s="786">
        <f>K53+K40</f>
        <v>-300.43847755944455</v>
      </c>
      <c r="L59" s="785">
        <f>IF(K39=0,0,K59/K39)</f>
        <v>-37.957155543693723</v>
      </c>
      <c r="M59" s="784">
        <f>M53+M40</f>
        <v>276.71841082085518</v>
      </c>
      <c r="N59" s="783">
        <f>IF(M39=0,0,M59/M39)</f>
        <v>42.49883444232325</v>
      </c>
      <c r="O59" s="786">
        <f>O53+O40</f>
        <v>-76.752510782194435</v>
      </c>
      <c r="P59" s="785">
        <f>IF(O39=0,0,O59/O39)</f>
        <v>-10.327858170810384</v>
      </c>
      <c r="Q59" s="784">
        <f>Q53+Q40</f>
        <v>-240.66594560698158</v>
      </c>
      <c r="R59" s="783">
        <f>IF(Q39=0,0,Q59/Q39)</f>
        <v>-29.745997949124497</v>
      </c>
      <c r="S59" s="786">
        <f>S53+S40</f>
        <v>134.32276550429893</v>
      </c>
      <c r="T59" s="785">
        <f>IF(S39=0,0,S59/S39)</f>
        <v>16.602119162037763</v>
      </c>
      <c r="U59" s="784">
        <f>U53+U40</f>
        <v>449.97988937444438</v>
      </c>
      <c r="V59" s="783">
        <f>IF(U39=0,0,U59/U39)</f>
        <v>39.347664338443899</v>
      </c>
      <c r="W59" s="784">
        <f>W53+W40</f>
        <v>-90.564887387096405</v>
      </c>
      <c r="X59" s="783">
        <f>IF(X39=0,0,W59/X39)</f>
        <v>0</v>
      </c>
      <c r="Y59" s="2206"/>
    </row>
    <row r="60" spans="1:25" ht="16.350000000000001" hidden="1" customHeight="1">
      <c r="A60" s="673"/>
      <c r="B60" s="4083"/>
      <c r="C60" s="673"/>
      <c r="D60" s="685">
        <v>41</v>
      </c>
      <c r="E60" s="782"/>
      <c r="F60" s="781" t="s">
        <v>736</v>
      </c>
      <c r="G60" s="780"/>
      <c r="H60" s="779" t="s">
        <v>220</v>
      </c>
      <c r="I60" s="4111">
        <f>IF(I44=0,0,IF(J10=0,0,(I53+I44)/'SDK1'!$K$62*100/J10))</f>
        <v>0</v>
      </c>
      <c r="J60" s="4112"/>
      <c r="K60" s="4300">
        <f>IF(K44=0,0,IF(L10=0,0,(K53+K44)/'SDK1'!$K$62*100/L10))</f>
        <v>0</v>
      </c>
      <c r="L60" s="4301"/>
      <c r="M60" s="4111">
        <f>IF(M44=0,0,IF(N10=0,0,(M53+M44)/'SDK1'!$K$62*100/N10))</f>
        <v>0</v>
      </c>
      <c r="N60" s="4112"/>
      <c r="O60" s="4300">
        <f>IF(O44=0,0,IF(P10=0,0,(O53+O44)/'SDK1'!$K$62*100/P10))</f>
        <v>0</v>
      </c>
      <c r="P60" s="4301"/>
      <c r="Q60" s="4111">
        <f>IF(Q44=0,0,IF(R10=0,0,(Q53+Q44)/'SDK1'!$K$62*100/R10))</f>
        <v>0</v>
      </c>
      <c r="R60" s="4112"/>
      <c r="S60" s="4300">
        <f>IF(S44=0,0,IF(T10=0,0,(S53+S44)/'SDK1'!$K$62*100/T10))</f>
        <v>0</v>
      </c>
      <c r="T60" s="4301"/>
      <c r="U60" s="4111">
        <f>IF(U44=0,0,IF(V10=0,0,(U53+U44)/'SDK1'!$K$62*100/V10))</f>
        <v>0</v>
      </c>
      <c r="V60" s="4112"/>
      <c r="W60" s="4111">
        <f>IF(W44=0,0,IF(X10=0,0,(W53+W44)/'SDK1'!$K$62*100/X10))</f>
        <v>0</v>
      </c>
      <c r="X60" s="4112"/>
      <c r="Y60" s="2206"/>
    </row>
    <row r="61" spans="1:25" s="762" customFormat="1" ht="4.6500000000000004" customHeight="1">
      <c r="A61" s="673"/>
      <c r="B61" s="4083"/>
      <c r="C61" s="673"/>
      <c r="D61" s="770">
        <v>41</v>
      </c>
      <c r="E61" s="778"/>
      <c r="F61" s="778"/>
      <c r="G61" s="777"/>
      <c r="H61" s="776"/>
      <c r="I61" s="4296"/>
      <c r="J61" s="4297"/>
      <c r="K61" s="4298"/>
      <c r="L61" s="4299"/>
      <c r="M61" s="4113"/>
      <c r="N61" s="4114"/>
      <c r="O61" s="4298"/>
      <c r="P61" s="4299"/>
      <c r="Q61" s="4113"/>
      <c r="R61" s="4114"/>
      <c r="S61" s="4298"/>
      <c r="T61" s="4299"/>
      <c r="U61" s="4113"/>
      <c r="V61" s="4114"/>
      <c r="W61" s="4113"/>
      <c r="X61" s="4114"/>
      <c r="Y61" s="2206"/>
    </row>
    <row r="62" spans="1:25" ht="15" customHeight="1">
      <c r="A62" s="673"/>
      <c r="B62" s="4083"/>
      <c r="C62" s="673"/>
      <c r="D62" s="685">
        <f>D59+1</f>
        <v>44</v>
      </c>
      <c r="E62" s="716"/>
      <c r="F62" s="711" t="s">
        <v>735</v>
      </c>
      <c r="G62" s="710"/>
      <c r="H62" s="775" t="s">
        <v>734</v>
      </c>
      <c r="I62" s="4115">
        <f>I53+I43</f>
        <v>1.3140861922834119</v>
      </c>
      <c r="J62" s="4116"/>
      <c r="K62" s="4261">
        <f>K53+K43</f>
        <v>-138.74247755944452</v>
      </c>
      <c r="L62" s="4262"/>
      <c r="M62" s="4115">
        <f>M53+M43</f>
        <v>466.49441082085514</v>
      </c>
      <c r="N62" s="4116"/>
      <c r="O62" s="4261">
        <f>O53+O43</f>
        <v>94.615489217805589</v>
      </c>
      <c r="P62" s="4262"/>
      <c r="Q62" s="4115">
        <f>Q53+Q43</f>
        <v>-82.479945606981573</v>
      </c>
      <c r="R62" s="4116"/>
      <c r="S62" s="4261">
        <f>S53+S43</f>
        <v>292.50876550429894</v>
      </c>
      <c r="T62" s="4262"/>
      <c r="U62" s="4115">
        <f>U53+U43</f>
        <v>541.25988937444436</v>
      </c>
      <c r="V62" s="4116"/>
      <c r="W62" s="4115">
        <f>W53+W43</f>
        <v>68.240312612903608</v>
      </c>
      <c r="X62" s="4116"/>
      <c r="Y62" s="2206"/>
    </row>
    <row r="63" spans="1:25" ht="2.25" customHeight="1">
      <c r="A63" s="673"/>
      <c r="B63" s="4083"/>
      <c r="C63" s="673"/>
      <c r="D63" s="685"/>
      <c r="E63" s="774"/>
      <c r="F63" s="746"/>
      <c r="G63" s="710"/>
      <c r="H63" s="773"/>
      <c r="I63" s="4117"/>
      <c r="J63" s="4118"/>
      <c r="K63" s="4263"/>
      <c r="L63" s="4264"/>
      <c r="M63" s="4117"/>
      <c r="N63" s="4118"/>
      <c r="O63" s="4263"/>
      <c r="P63" s="4264"/>
      <c r="Q63" s="4117"/>
      <c r="R63" s="4118"/>
      <c r="S63" s="4263"/>
      <c r="T63" s="4264"/>
      <c r="U63" s="4117"/>
      <c r="V63" s="4118"/>
      <c r="W63" s="4117"/>
      <c r="X63" s="4118"/>
      <c r="Y63" s="2206"/>
    </row>
    <row r="64" spans="1:25" ht="3.45" customHeight="1">
      <c r="A64" s="673"/>
      <c r="B64" s="4083"/>
      <c r="C64" s="673"/>
      <c r="D64" s="685"/>
      <c r="E64" s="772"/>
      <c r="F64" s="771"/>
      <c r="G64" s="707"/>
      <c r="H64" s="712"/>
      <c r="I64" s="4119"/>
      <c r="J64" s="4120"/>
      <c r="K64" s="4267"/>
      <c r="L64" s="4268"/>
      <c r="M64" s="4119"/>
      <c r="N64" s="4120"/>
      <c r="O64" s="4267"/>
      <c r="P64" s="4268"/>
      <c r="Q64" s="4119"/>
      <c r="R64" s="4120"/>
      <c r="S64" s="4267"/>
      <c r="T64" s="4268"/>
      <c r="U64" s="4119"/>
      <c r="V64" s="4120"/>
      <c r="W64" s="4119"/>
      <c r="X64" s="4120"/>
      <c r="Y64" s="2198"/>
    </row>
    <row r="65" spans="1:25" s="762" customFormat="1" ht="15" customHeight="1">
      <c r="A65" s="673"/>
      <c r="B65" s="4083"/>
      <c r="C65" s="673"/>
      <c r="D65" s="770"/>
      <c r="E65" s="3209" t="s">
        <v>733</v>
      </c>
      <c r="F65" s="22"/>
      <c r="G65" s="769"/>
      <c r="H65" s="768"/>
      <c r="I65" s="764" t="s">
        <v>163</v>
      </c>
      <c r="J65" s="767" t="s">
        <v>220</v>
      </c>
      <c r="K65" s="766" t="s">
        <v>163</v>
      </c>
      <c r="L65" s="765" t="s">
        <v>220</v>
      </c>
      <c r="M65" s="764" t="s">
        <v>163</v>
      </c>
      <c r="N65" s="763" t="s">
        <v>220</v>
      </c>
      <c r="O65" s="766" t="s">
        <v>163</v>
      </c>
      <c r="P65" s="765" t="s">
        <v>220</v>
      </c>
      <c r="Q65" s="764" t="s">
        <v>163</v>
      </c>
      <c r="R65" s="763" t="s">
        <v>220</v>
      </c>
      <c r="S65" s="766" t="s">
        <v>163</v>
      </c>
      <c r="T65" s="765" t="s">
        <v>220</v>
      </c>
      <c r="U65" s="764" t="s">
        <v>163</v>
      </c>
      <c r="V65" s="763" t="s">
        <v>220</v>
      </c>
      <c r="W65" s="2739" t="s">
        <v>163</v>
      </c>
      <c r="X65" s="2740" t="s">
        <v>220</v>
      </c>
      <c r="Y65" s="2198"/>
    </row>
    <row r="66" spans="1:25" ht="15" customHeight="1">
      <c r="A66" s="673"/>
      <c r="B66" s="4083"/>
      <c r="C66" s="673"/>
      <c r="D66" s="685">
        <f>D62+1</f>
        <v>45</v>
      </c>
      <c r="E66" s="761"/>
      <c r="F66" s="760" t="s">
        <v>732</v>
      </c>
      <c r="G66" s="760"/>
      <c r="H66" s="759"/>
      <c r="I66" s="756">
        <f>I49</f>
        <v>735.68591380771659</v>
      </c>
      <c r="J66" s="758">
        <f>IF(J10=0,0,I66/J10)</f>
        <v>1.7516331281136108</v>
      </c>
      <c r="K66" s="751">
        <f>K49</f>
        <v>2463.3424775594444</v>
      </c>
      <c r="L66" s="757">
        <f>IF(L10=0,0,K66/L10)</f>
        <v>61.583561938986108</v>
      </c>
      <c r="M66" s="756">
        <f>M49</f>
        <v>2392.1055891791448</v>
      </c>
      <c r="N66" s="755">
        <f>IF(N10=0,0,M66/N10)</f>
        <v>59.802639729478621</v>
      </c>
      <c r="O66" s="751">
        <f>O49</f>
        <v>1802.3845107821944</v>
      </c>
      <c r="P66" s="757">
        <f>IF(P10=0,0,O66/P10)</f>
        <v>90.119225539109721</v>
      </c>
      <c r="Q66" s="756">
        <f>Q49</f>
        <v>2418.6799456069816</v>
      </c>
      <c r="R66" s="755">
        <f>IF(R10=0,0,Q66/R10)</f>
        <v>60.466998640174538</v>
      </c>
      <c r="S66" s="751">
        <f>S49</f>
        <v>2519.6912344957009</v>
      </c>
      <c r="T66" s="757">
        <f>IF(T10=0,0,S66/T10)</f>
        <v>62.992280862392519</v>
      </c>
      <c r="U66" s="756">
        <f>U49</f>
        <v>2162.4901106255556</v>
      </c>
      <c r="V66" s="755">
        <f>IF(V10=0,0,U66/V10)</f>
        <v>86.499604425022227</v>
      </c>
      <c r="W66" s="756">
        <f>W49</f>
        <v>1962.439687387096</v>
      </c>
      <c r="X66" s="2741">
        <f>IF(X10=0,0,W66/X10)</f>
        <v>17.521782923099071</v>
      </c>
      <c r="Y66" s="2204"/>
    </row>
    <row r="67" spans="1:25" ht="15" customHeight="1">
      <c r="A67" s="673"/>
      <c r="B67" s="4083"/>
      <c r="C67" s="673"/>
      <c r="D67" s="685">
        <f t="shared" ref="D67:D72" si="9">D66+1</f>
        <v>46</v>
      </c>
      <c r="E67" s="754"/>
      <c r="F67" s="753" t="s">
        <v>731</v>
      </c>
      <c r="G67" s="715"/>
      <c r="H67" s="527"/>
      <c r="I67" s="742">
        <f>J13+J14</f>
        <v>0</v>
      </c>
      <c r="J67" s="752">
        <f>IF(J10=0,0,I67/J10)</f>
        <v>0</v>
      </c>
      <c r="K67" s="751">
        <f>L13+L14</f>
        <v>384</v>
      </c>
      <c r="L67" s="750">
        <f>IF(L10=0,0,K67/L10)</f>
        <v>9.6</v>
      </c>
      <c r="M67" s="742">
        <f>N13+N14</f>
        <v>384</v>
      </c>
      <c r="N67" s="749">
        <f>IF(N10=0,0,M67/N10)</f>
        <v>9.6</v>
      </c>
      <c r="O67" s="751">
        <f>P13+P14</f>
        <v>0</v>
      </c>
      <c r="P67" s="750">
        <f>IF(P10=0,0,O67/P10)</f>
        <v>0</v>
      </c>
      <c r="Q67" s="742">
        <f>R13+R14</f>
        <v>432</v>
      </c>
      <c r="R67" s="749">
        <f>IF(R10=0,0,Q67/R10)</f>
        <v>10.8</v>
      </c>
      <c r="S67" s="751">
        <f>T13+T14</f>
        <v>432</v>
      </c>
      <c r="T67" s="750">
        <f>IF(T10=0,0,S67/T10)</f>
        <v>10.8</v>
      </c>
      <c r="U67" s="742">
        <f>V13+V14</f>
        <v>0</v>
      </c>
      <c r="V67" s="749">
        <f>IF(V10=0,0,U67/V10)</f>
        <v>0</v>
      </c>
      <c r="W67" s="742">
        <f>W13+W14</f>
        <v>0</v>
      </c>
      <c r="X67" s="2742">
        <f>IF(X10=0,0,W67/X10)</f>
        <v>0</v>
      </c>
      <c r="Y67" s="2205"/>
    </row>
    <row r="68" spans="1:25" ht="13.65" customHeight="1">
      <c r="A68" s="673"/>
      <c r="B68" s="4083"/>
      <c r="C68" s="673"/>
      <c r="D68" s="685">
        <f t="shared" si="9"/>
        <v>47</v>
      </c>
      <c r="E68" s="740"/>
      <c r="F68" s="739" t="s">
        <v>730</v>
      </c>
      <c r="G68" s="738"/>
      <c r="H68" s="748"/>
      <c r="I68" s="736">
        <f t="shared" ref="I68:X68" si="10">I66-I67</f>
        <v>735.68591380771659</v>
      </c>
      <c r="J68" s="735">
        <f t="shared" si="10"/>
        <v>1.7516331281136108</v>
      </c>
      <c r="K68" s="734">
        <f t="shared" si="10"/>
        <v>2079.3424775594444</v>
      </c>
      <c r="L68" s="733">
        <f t="shared" si="10"/>
        <v>51.983561938986107</v>
      </c>
      <c r="M68" s="732">
        <f t="shared" si="10"/>
        <v>2008.1055891791448</v>
      </c>
      <c r="N68" s="731">
        <f t="shared" si="10"/>
        <v>50.202639729478619</v>
      </c>
      <c r="O68" s="734">
        <f t="shared" si="10"/>
        <v>1802.3845107821944</v>
      </c>
      <c r="P68" s="733">
        <f t="shared" si="10"/>
        <v>90.119225539109721</v>
      </c>
      <c r="Q68" s="732">
        <f t="shared" si="10"/>
        <v>1986.6799456069816</v>
      </c>
      <c r="R68" s="731">
        <f t="shared" si="10"/>
        <v>49.66699864017454</v>
      </c>
      <c r="S68" s="734">
        <f t="shared" si="10"/>
        <v>2087.6912344957009</v>
      </c>
      <c r="T68" s="733">
        <f t="shared" si="10"/>
        <v>52.192280862392522</v>
      </c>
      <c r="U68" s="732">
        <f t="shared" si="10"/>
        <v>2162.4901106255556</v>
      </c>
      <c r="V68" s="731">
        <f t="shared" si="10"/>
        <v>86.499604425022227</v>
      </c>
      <c r="W68" s="732">
        <f t="shared" si="10"/>
        <v>1962.439687387096</v>
      </c>
      <c r="X68" s="731">
        <f t="shared" si="10"/>
        <v>17.521782923099071</v>
      </c>
      <c r="Y68" s="2205"/>
    </row>
    <row r="69" spans="1:25" ht="16.2" customHeight="1">
      <c r="A69" s="673"/>
      <c r="B69" s="4083"/>
      <c r="C69" s="673"/>
      <c r="D69" s="685">
        <f t="shared" si="9"/>
        <v>48</v>
      </c>
      <c r="E69" s="730"/>
      <c r="F69" s="729" t="s">
        <v>729</v>
      </c>
      <c r="G69" s="728"/>
      <c r="H69" s="727" t="str">
        <f>IF($E$2="Kostenrechnung mit MwSt.","ohne MwSt.","")</f>
        <v/>
      </c>
      <c r="I69" s="726" t="str">
        <f>IF($E$2="Kostenrechnung mit MwSt.",(I66-I67)/(1+'SDK1'!K9/100),"")</f>
        <v/>
      </c>
      <c r="J69" s="725" t="str">
        <f>IF($E$2="Kostenrechnung mit MwSt.",(J66-J67)/(1+'SDK1'!K9/100),"")</f>
        <v/>
      </c>
      <c r="K69" s="724" t="str">
        <f>IF($E$2="Kostenrechnung mit MwSt.",(K66-K67)/(1+'SDK1'!K9/100),"")</f>
        <v/>
      </c>
      <c r="L69" s="723" t="str">
        <f>IF($E$2="Kostenrechnung mit MwSt.",(L66-L67)/(1+'SDK1'!K9/100),"")</f>
        <v/>
      </c>
      <c r="M69" s="722" t="str">
        <f>IF($E$2="Kostenrechnung mit MwSt.",(M66-M67)/(1+'SDK1'!K9/100),"")</f>
        <v/>
      </c>
      <c r="N69" s="721" t="str">
        <f>IF($E$2="Kostenrechnung mit MwSt.",(N66-N67)/(1+'SDK1'!K9/100),"")</f>
        <v/>
      </c>
      <c r="O69" s="724" t="str">
        <f>IF($E$2="Kostenrechnung mit MwSt.",(O66-O67)/(1+'SDK1'!Q9/100),"")</f>
        <v/>
      </c>
      <c r="P69" s="723" t="str">
        <f>IF($E$2="Kostenrechnung mit MwSt.",(P66-P67)/(1+'SDK1'!Q9/100),"")</f>
        <v/>
      </c>
      <c r="Q69" s="722" t="str">
        <f>IF($E$2="Kostenrechnung mit MwSt.",(Q66-Q67)/(1+'SDK1'!#REF!/100),"")</f>
        <v/>
      </c>
      <c r="R69" s="721" t="str">
        <f>IF($E$2="Kostenrechnung mit MwSt.",(R66-R67)/(1+'SDK1'!#REF!/100),"")</f>
        <v/>
      </c>
      <c r="S69" s="724" t="str">
        <f>IF($E$2="Kostenrechnung mit MwSt.",(S66-S67)/(1+'SDK1'!T9/100),"")</f>
        <v/>
      </c>
      <c r="T69" s="723" t="str">
        <f>IF($E$2="Kostenrechnung mit MwSt.",(T66-T67)/(1+'SDK1'!T9/100),"")</f>
        <v/>
      </c>
      <c r="U69" s="722" t="str">
        <f>IF($E$2="Kostenrechnung mit MwSt.",(U66-U67)/(1+'SDK1'!V9/100),"")</f>
        <v/>
      </c>
      <c r="V69" s="721" t="str">
        <f>IF($E$2="Kostenrechnung mit MwSt.",(V66-V67)/(1+'SDK1'!V9/100),"")</f>
        <v/>
      </c>
      <c r="W69" s="722" t="str">
        <f>IF($E$2="Kostenrechnung mit MwSt.",(W66-W67)/(1+'SDK1'!X9/100),"")</f>
        <v/>
      </c>
      <c r="X69" s="721" t="str">
        <f>IF($E$2="Kostenrechnung mit MwSt.",(X66-X67)/(1+'SDK1'!X9/100),"")</f>
        <v/>
      </c>
      <c r="Y69" s="2206"/>
    </row>
    <row r="70" spans="1:25" ht="15" customHeight="1">
      <c r="A70" s="673"/>
      <c r="B70" s="4083"/>
      <c r="C70" s="673"/>
      <c r="D70" s="685">
        <f t="shared" si="9"/>
        <v>49</v>
      </c>
      <c r="E70" s="747"/>
      <c r="F70" s="746" t="s">
        <v>728</v>
      </c>
      <c r="G70" s="715"/>
      <c r="H70" s="6"/>
      <c r="I70" s="742">
        <f>I52</f>
        <v>417</v>
      </c>
      <c r="J70" s="745">
        <f>IF(J10=0,0,I70/J10)</f>
        <v>0.99285714285714288</v>
      </c>
      <c r="K70" s="744">
        <f>K52</f>
        <v>417</v>
      </c>
      <c r="L70" s="743">
        <f>IF(L10=0,0,K70/L10)</f>
        <v>10.425000000000001</v>
      </c>
      <c r="M70" s="742">
        <f>M52</f>
        <v>417</v>
      </c>
      <c r="N70" s="741">
        <f>IF(N10=0,0,M70/N10)</f>
        <v>10.425000000000001</v>
      </c>
      <c r="O70" s="744">
        <f>O52</f>
        <v>417</v>
      </c>
      <c r="P70" s="743">
        <f>IF(P10=0,0,O70/P10)</f>
        <v>20.85</v>
      </c>
      <c r="Q70" s="742">
        <f>Q52</f>
        <v>417</v>
      </c>
      <c r="R70" s="741">
        <f>IF(R10=0,0,Q70/R10)</f>
        <v>10.425000000000001</v>
      </c>
      <c r="S70" s="744">
        <f>S52</f>
        <v>417</v>
      </c>
      <c r="T70" s="743">
        <f>IF(T10=0,0,S70/T10)</f>
        <v>10.425000000000001</v>
      </c>
      <c r="U70" s="742">
        <f>U52</f>
        <v>417</v>
      </c>
      <c r="V70" s="741">
        <f>IF(V10=0,0,U70/V10)</f>
        <v>16.68</v>
      </c>
      <c r="W70" s="742">
        <f>W52</f>
        <v>417</v>
      </c>
      <c r="X70" s="741">
        <f>IF(X10=0,0,W70/X10)</f>
        <v>3.7232142857142856</v>
      </c>
      <c r="Y70" s="2206"/>
    </row>
    <row r="71" spans="1:25" ht="15" customHeight="1">
      <c r="A71" s="673"/>
      <c r="B71" s="4083"/>
      <c r="C71" s="673"/>
      <c r="D71" s="685">
        <f t="shared" si="9"/>
        <v>50</v>
      </c>
      <c r="E71" s="740"/>
      <c r="F71" s="739" t="s">
        <v>727</v>
      </c>
      <c r="G71" s="738"/>
      <c r="H71" s="737"/>
      <c r="I71" s="736">
        <f t="shared" ref="I71:X71" si="11">I68-I70</f>
        <v>318.68591380771659</v>
      </c>
      <c r="J71" s="735">
        <f t="shared" si="11"/>
        <v>0.75877598525646794</v>
      </c>
      <c r="K71" s="734">
        <f t="shared" si="11"/>
        <v>1662.3424775594444</v>
      </c>
      <c r="L71" s="733">
        <f t="shared" si="11"/>
        <v>41.558561938986102</v>
      </c>
      <c r="M71" s="732">
        <f t="shared" si="11"/>
        <v>1591.1055891791448</v>
      </c>
      <c r="N71" s="731">
        <f t="shared" si="11"/>
        <v>39.777639729478622</v>
      </c>
      <c r="O71" s="734">
        <f t="shared" si="11"/>
        <v>1385.3845107821944</v>
      </c>
      <c r="P71" s="733">
        <f t="shared" si="11"/>
        <v>69.269225539109726</v>
      </c>
      <c r="Q71" s="732">
        <f t="shared" si="11"/>
        <v>1569.6799456069816</v>
      </c>
      <c r="R71" s="731">
        <f t="shared" si="11"/>
        <v>39.241998640174543</v>
      </c>
      <c r="S71" s="734">
        <f t="shared" si="11"/>
        <v>1670.6912344957009</v>
      </c>
      <c r="T71" s="733">
        <f t="shared" si="11"/>
        <v>41.767280862392525</v>
      </c>
      <c r="U71" s="732">
        <f t="shared" si="11"/>
        <v>1745.4901106255556</v>
      </c>
      <c r="V71" s="731">
        <f t="shared" si="11"/>
        <v>69.81960442502222</v>
      </c>
      <c r="W71" s="732">
        <f t="shared" si="11"/>
        <v>1545.439687387096</v>
      </c>
      <c r="X71" s="731">
        <f t="shared" si="11"/>
        <v>13.798568637384786</v>
      </c>
      <c r="Y71" s="2206"/>
    </row>
    <row r="72" spans="1:25" ht="15" customHeight="1">
      <c r="A72" s="673"/>
      <c r="B72" s="4083"/>
      <c r="C72" s="673"/>
      <c r="D72" s="680">
        <f t="shared" si="9"/>
        <v>51</v>
      </c>
      <c r="E72" s="730"/>
      <c r="F72" s="729" t="s">
        <v>726</v>
      </c>
      <c r="G72" s="728"/>
      <c r="H72" s="727" t="str">
        <f>IF($E$2="Kostenrechnung mit MwSt.","ohne MwSt.","")</f>
        <v/>
      </c>
      <c r="I72" s="726" t="str">
        <f>IF($E$2="Kostenrechnung mit MwSt.",(I$66-I$67-I$70)/(1+'SDK1'!K9/100),"")</f>
        <v/>
      </c>
      <c r="J72" s="725" t="str">
        <f>IF($E$2="Kostenrechnung mit MwSt.",(J$66-J$67-J$70)/(1+'SDK1'!K9/100),"")</f>
        <v/>
      </c>
      <c r="K72" s="724" t="str">
        <f>IF($E$2="Kostenrechnung mit MwSt.",(K$66-K$67-K$70)/(1+'SDK1'!K9/100),"")</f>
        <v/>
      </c>
      <c r="L72" s="723" t="str">
        <f>IF($E$2="Kostenrechnung mit MwSt.",(L$66-L$67-L$70)/(1+'SDK1'!K9/100),"")</f>
        <v/>
      </c>
      <c r="M72" s="722" t="str">
        <f>IF($E$2="Kostenrechnung mit MwSt.",(M$66-M$67-M$70)/(1+'SDK1'!K9/100),"")</f>
        <v/>
      </c>
      <c r="N72" s="721" t="str">
        <f>IF($E$2="Kostenrechnung mit MwSt.",(N$66-N$67-N$70)/(1+'SDK1'!K9/100),"")</f>
        <v/>
      </c>
      <c r="O72" s="724" t="str">
        <f>IF($E$2="Kostenrechnung mit MwSt.",(O$66-O$67-O$70)/(1+'SDK1'!Q9/100),"")</f>
        <v/>
      </c>
      <c r="P72" s="723" t="str">
        <f>IF($E$2="Kostenrechnung mit MwSt.",(P$66-P$67-P$70)/(1+'SDK1'!Q9/100),"")</f>
        <v/>
      </c>
      <c r="Q72" s="722" t="str">
        <f>IF($E$2="Kostenrechnung mit MwSt.",(Q$66-Q$67-Q$70)/(1+'SDK1'!#REF!/100),"")</f>
        <v/>
      </c>
      <c r="R72" s="721" t="str">
        <f>IF($E$2="Kostenrechnung mit MwSt.",(R$66-R$67-R$70)/(1+'SDK1'!#REF!/100),"")</f>
        <v/>
      </c>
      <c r="S72" s="724" t="str">
        <f>IF($E$2="Kostenrechnung mit MwSt.",(S$66-S$67-S$70)/(1+'SDK1'!T9/100),"")</f>
        <v/>
      </c>
      <c r="T72" s="723" t="str">
        <f>IF($E$2="Kostenrechnung mit MwSt.",(T$66-T$67-T$70)/(1+'SDK1'!T9/100),"")</f>
        <v/>
      </c>
      <c r="U72" s="722" t="str">
        <f>IF($E$2="Kostenrechnung mit MwSt.",(U$66-U$67-U$70)/(1+'SDK1'!V9/100),"")</f>
        <v/>
      </c>
      <c r="V72" s="721" t="str">
        <f>IF($E$2="Kostenrechnung mit MwSt.",(V$66-V$67-V$70)/(1+'SDK1'!V9/100),"")</f>
        <v/>
      </c>
      <c r="W72" s="722" t="str">
        <f>IF($E$2="Kostenrechnung mit MwSt.",(W$66-W$67-W$70)/(1+'SDK1'!X9/100),"")</f>
        <v/>
      </c>
      <c r="X72" s="721" t="str">
        <f>IF($E$2="Kostenrechnung mit MwSt.",(X$66-X$67-X$70)/(1+'SDK1'!X9/100),"")</f>
        <v/>
      </c>
      <c r="Y72" s="2206"/>
    </row>
    <row r="73" spans="1:25" ht="15" customHeight="1">
      <c r="A73" s="673"/>
      <c r="B73" s="4083"/>
      <c r="C73" s="673"/>
      <c r="D73" s="673"/>
      <c r="E73" s="673"/>
      <c r="F73" s="673"/>
      <c r="G73" s="673"/>
      <c r="H73" s="673"/>
      <c r="I73" s="673"/>
      <c r="J73" s="673"/>
      <c r="K73" s="673"/>
      <c r="L73" s="673"/>
      <c r="M73" s="673"/>
      <c r="N73" s="673"/>
      <c r="O73" s="673"/>
      <c r="P73" s="673"/>
      <c r="Q73" s="673"/>
      <c r="R73" s="673"/>
      <c r="S73" s="673"/>
      <c r="T73" s="673"/>
      <c r="U73" s="673"/>
      <c r="V73" s="673"/>
      <c r="W73" s="2730"/>
      <c r="X73" s="2730"/>
      <c r="Y73" s="2206"/>
    </row>
    <row r="74" spans="1:25" ht="18" customHeight="1">
      <c r="A74" s="673"/>
      <c r="B74" s="4083"/>
      <c r="C74" s="673"/>
      <c r="D74" s="720">
        <f>D72+1</f>
        <v>52</v>
      </c>
      <c r="E74" s="719" t="s">
        <v>725</v>
      </c>
      <c r="F74" s="718"/>
      <c r="G74" s="718"/>
      <c r="H74" s="717" t="s">
        <v>163</v>
      </c>
      <c r="I74" s="4178">
        <f>SUM(J21:J26)+I35</f>
        <v>-567.14897628228334</v>
      </c>
      <c r="J74" s="4179"/>
      <c r="K74" s="4302">
        <f>SUM(L21:L26)+K35</f>
        <v>985.37254389277791</v>
      </c>
      <c r="L74" s="4303"/>
      <c r="M74" s="4178">
        <f>SUM(N21:N26)+M35</f>
        <v>1063.3980532524777</v>
      </c>
      <c r="N74" s="4179"/>
      <c r="O74" s="4302">
        <f>SUM(P21:P26)+O35</f>
        <v>433.28788851886122</v>
      </c>
      <c r="P74" s="4303"/>
      <c r="Q74" s="4178">
        <f>SUM(R21:R26)+Q35</f>
        <v>922.05221222281534</v>
      </c>
      <c r="R74" s="4179"/>
      <c r="S74" s="4302">
        <f>SUM(T21:T26)+S35</f>
        <v>1023.0635011115347</v>
      </c>
      <c r="T74" s="4303"/>
      <c r="U74" s="4178">
        <f>SUM(V21:V26)+U35</f>
        <v>629.41608355888911</v>
      </c>
      <c r="V74" s="4179"/>
      <c r="W74" s="4178">
        <f>SUM(W21:W26)+W35</f>
        <v>47.860000000000007</v>
      </c>
      <c r="X74" s="4179"/>
      <c r="Y74" s="2206"/>
    </row>
    <row r="75" spans="1:25" ht="15" customHeight="1">
      <c r="A75" s="673"/>
      <c r="B75" s="4083"/>
      <c r="C75" s="673"/>
      <c r="D75" s="685">
        <f>D74+1</f>
        <v>53</v>
      </c>
      <c r="E75" s="3209" t="s">
        <v>1685</v>
      </c>
      <c r="F75" s="715"/>
      <c r="G75" s="715"/>
      <c r="H75" s="714" t="s">
        <v>163</v>
      </c>
      <c r="I75" s="4091">
        <f>(I15+I34)-I74</f>
        <v>984.14897628228334</v>
      </c>
      <c r="J75" s="4092"/>
      <c r="K75" s="4274">
        <f>(K15+K34)-K74</f>
        <v>1019.227456107222</v>
      </c>
      <c r="L75" s="4275"/>
      <c r="M75" s="4091">
        <f>(M15+M34)-M74</f>
        <v>1475.2019467475222</v>
      </c>
      <c r="N75" s="4092"/>
      <c r="O75" s="4274">
        <f>(O15+O34)-O74</f>
        <v>1143.7121114811389</v>
      </c>
      <c r="P75" s="4275"/>
      <c r="Q75" s="4091">
        <f>(Q15+Q34)-Q74</f>
        <v>1094.1477877771847</v>
      </c>
      <c r="R75" s="4092"/>
      <c r="S75" s="4274">
        <f>(S15+S34)-S74</f>
        <v>1469.1364988884652</v>
      </c>
      <c r="T75" s="4275"/>
      <c r="U75" s="4091">
        <f>(U15+U34)-U74</f>
        <v>1754.3339164411109</v>
      </c>
      <c r="V75" s="4092"/>
      <c r="W75" s="4091">
        <f>(W15+W34)-W74</f>
        <v>1662.8200000000002</v>
      </c>
      <c r="X75" s="4092"/>
      <c r="Y75" s="2198"/>
    </row>
    <row r="76" spans="1:25" ht="3.75" customHeight="1">
      <c r="A76" s="673"/>
      <c r="B76" s="4083"/>
      <c r="C76" s="673"/>
      <c r="D76" s="685"/>
      <c r="E76" s="708"/>
      <c r="F76" s="8"/>
      <c r="G76" s="713"/>
      <c r="H76" s="712"/>
      <c r="I76" s="4187"/>
      <c r="J76" s="4188"/>
      <c r="K76" s="4271"/>
      <c r="L76" s="4272"/>
      <c r="M76" s="4187"/>
      <c r="N76" s="4188"/>
      <c r="O76" s="4271"/>
      <c r="P76" s="4272"/>
      <c r="Q76" s="4187"/>
      <c r="R76" s="4188"/>
      <c r="S76" s="4271"/>
      <c r="T76" s="4272"/>
      <c r="U76" s="4187"/>
      <c r="V76" s="4188"/>
      <c r="W76" s="4187"/>
      <c r="X76" s="4188"/>
      <c r="Y76" s="2198"/>
    </row>
    <row r="77" spans="1:25" ht="15" customHeight="1">
      <c r="A77" s="673"/>
      <c r="B77" s="4083"/>
      <c r="C77" s="673"/>
      <c r="D77" s="875">
        <f>D75+1</f>
        <v>54</v>
      </c>
      <c r="E77" s="3209" t="s">
        <v>1686</v>
      </c>
      <c r="F77" s="710"/>
      <c r="G77" s="710"/>
      <c r="H77" s="709" t="s">
        <v>163</v>
      </c>
      <c r="I77" s="4091">
        <f>J27+J28+J29+I41+I40</f>
        <v>756.83489009000004</v>
      </c>
      <c r="J77" s="4092"/>
      <c r="K77" s="4274">
        <f>L27+L28+L29+K41+K40</f>
        <v>931.96993366666663</v>
      </c>
      <c r="L77" s="4275"/>
      <c r="M77" s="4091">
        <f>N27+N28+N29+M41+M40</f>
        <v>782.70753592666676</v>
      </c>
      <c r="N77" s="4092"/>
      <c r="O77" s="4274">
        <f>P27+P28+P29+O41+O40</f>
        <v>823.09662226333319</v>
      </c>
      <c r="P77" s="4275"/>
      <c r="Q77" s="4091">
        <f>R27+R28+R29+Q41+Q40</f>
        <v>950.62773338416662</v>
      </c>
      <c r="R77" s="4092"/>
      <c r="S77" s="4274">
        <f>T27+T28+T29+S41+S40</f>
        <v>950.62773338416662</v>
      </c>
      <c r="T77" s="4275"/>
      <c r="U77" s="4091">
        <f>V27+V28+V29+U41+U40</f>
        <v>987.07402706666664</v>
      </c>
      <c r="V77" s="4092"/>
      <c r="W77" s="4091">
        <f>W27+W28+W29+W41+W40</f>
        <v>513.19479999999999</v>
      </c>
      <c r="X77" s="4092"/>
      <c r="Y77" s="2204"/>
    </row>
    <row r="78" spans="1:25" ht="15" customHeight="1">
      <c r="A78" s="673"/>
      <c r="B78" s="4084"/>
      <c r="C78" s="673"/>
      <c r="D78" s="680">
        <f>D77+1</f>
        <v>55</v>
      </c>
      <c r="E78" s="708" t="s">
        <v>724</v>
      </c>
      <c r="F78" s="8"/>
      <c r="G78" s="707"/>
      <c r="H78" s="706" t="s">
        <v>220</v>
      </c>
      <c r="I78" s="4093">
        <f>IF(J10=0,0,I77/J10)</f>
        <v>1.8019878335476192</v>
      </c>
      <c r="J78" s="4197"/>
      <c r="K78" s="4273">
        <f>IF(L10=0,0,K77/L10)</f>
        <v>23.299248341666665</v>
      </c>
      <c r="L78" s="4197"/>
      <c r="M78" s="4093">
        <f>IF(N10=0,0,M77/N10)</f>
        <v>19.56768839816667</v>
      </c>
      <c r="N78" s="4197"/>
      <c r="O78" s="4273">
        <f>IF(P10=0,0,O77/P10)</f>
        <v>41.154831113166658</v>
      </c>
      <c r="P78" s="4197"/>
      <c r="Q78" s="4093">
        <f>IF(R10=0,0,Q77/R10)</f>
        <v>23.765693334604165</v>
      </c>
      <c r="R78" s="4197"/>
      <c r="S78" s="4273">
        <f>IF(T10=0,0,S77/T10)</f>
        <v>23.765693334604165</v>
      </c>
      <c r="T78" s="4197"/>
      <c r="U78" s="4093">
        <f>IF(V10=0,0,U77/V10)</f>
        <v>39.482961082666662</v>
      </c>
      <c r="V78" s="4197"/>
      <c r="W78" s="4093">
        <f>IF(X10=0,0,W77/X10)</f>
        <v>4.5820964285714281</v>
      </c>
      <c r="X78" s="4094"/>
      <c r="Y78" s="2205"/>
    </row>
    <row r="79" spans="1:25" ht="16.2" customHeight="1">
      <c r="A79" s="673"/>
      <c r="B79" s="673"/>
      <c r="C79" s="673"/>
      <c r="D79" s="673"/>
      <c r="E79" s="673"/>
      <c r="F79" s="673"/>
      <c r="G79" s="673"/>
      <c r="H79" s="673"/>
      <c r="I79" s="673"/>
      <c r="J79" s="673"/>
      <c r="K79" s="673"/>
      <c r="L79" s="673"/>
      <c r="M79" s="673"/>
      <c r="N79" s="673"/>
      <c r="O79" s="673"/>
      <c r="P79" s="673"/>
      <c r="Q79" s="673"/>
      <c r="R79" s="673"/>
      <c r="S79" s="673"/>
      <c r="T79" s="673"/>
      <c r="U79" s="673"/>
      <c r="V79" s="673"/>
      <c r="W79" s="2730"/>
      <c r="X79" s="2730"/>
      <c r="Y79" s="2205"/>
    </row>
    <row r="80" spans="1:25" ht="16.2" customHeight="1">
      <c r="A80" s="673"/>
      <c r="B80" s="673"/>
      <c r="C80" s="673"/>
      <c r="D80" s="673"/>
      <c r="E80" s="673"/>
      <c r="F80" s="673"/>
      <c r="G80" s="673"/>
      <c r="H80" s="673"/>
      <c r="I80" s="673"/>
      <c r="J80" s="673"/>
      <c r="K80" s="673"/>
      <c r="L80" s="673"/>
      <c r="M80" s="673"/>
      <c r="N80" s="673"/>
      <c r="O80" s="673"/>
      <c r="P80" s="673"/>
      <c r="Q80" s="673"/>
      <c r="R80" s="673"/>
      <c r="S80" s="673"/>
      <c r="T80" s="673"/>
      <c r="U80" s="673"/>
      <c r="V80" s="673"/>
      <c r="W80" s="2730"/>
      <c r="X80" s="2730"/>
      <c r="Y80" s="2199"/>
    </row>
    <row r="81" spans="1:25" ht="15.6">
      <c r="A81" s="695"/>
      <c r="B81" s="695"/>
      <c r="C81" s="695"/>
      <c r="D81" s="705"/>
      <c r="E81" s="704" t="s">
        <v>723</v>
      </c>
      <c r="F81" s="703"/>
      <c r="G81" s="702"/>
      <c r="H81" s="701"/>
      <c r="I81" s="4085" t="s">
        <v>722</v>
      </c>
      <c r="J81" s="4086"/>
      <c r="K81" s="4086"/>
      <c r="L81" s="4086"/>
      <c r="M81" s="4086"/>
      <c r="N81" s="4086"/>
      <c r="O81" s="4086"/>
      <c r="P81" s="4086"/>
      <c r="Q81" s="4086"/>
      <c r="R81" s="4086"/>
      <c r="S81" s="4086"/>
      <c r="T81" s="4086"/>
      <c r="U81" s="4086"/>
      <c r="V81" s="4087"/>
      <c r="W81" s="2743"/>
      <c r="X81" s="2743"/>
      <c r="Y81" s="2199"/>
    </row>
    <row r="82" spans="1:25">
      <c r="A82" s="695"/>
      <c r="B82" s="695"/>
      <c r="C82" s="695"/>
      <c r="D82" s="700"/>
      <c r="E82" s="699" t="s">
        <v>721</v>
      </c>
      <c r="F82" s="698"/>
      <c r="G82" s="697"/>
      <c r="H82" s="696"/>
      <c r="I82" s="4088"/>
      <c r="J82" s="4089"/>
      <c r="K82" s="4089"/>
      <c r="L82" s="4089"/>
      <c r="M82" s="4089"/>
      <c r="N82" s="4089"/>
      <c r="O82" s="4089"/>
      <c r="P82" s="4089"/>
      <c r="Q82" s="4089"/>
      <c r="R82" s="4089"/>
      <c r="S82" s="4089"/>
      <c r="T82" s="4089"/>
      <c r="U82" s="4089"/>
      <c r="V82" s="4090"/>
      <c r="W82" s="2743"/>
      <c r="X82" s="2743"/>
      <c r="Y82" s="2199"/>
    </row>
    <row r="83" spans="1:25">
      <c r="A83" s="673"/>
      <c r="B83" s="673"/>
      <c r="C83" s="673"/>
      <c r="D83" s="685">
        <f>D78+1</f>
        <v>56</v>
      </c>
      <c r="E83" s="543"/>
      <c r="F83" s="684" t="s">
        <v>720</v>
      </c>
      <c r="H83" s="9" t="s">
        <v>163</v>
      </c>
      <c r="I83" s="693">
        <f>I$86*(1+$F83)</f>
        <v>0</v>
      </c>
      <c r="J83" s="692">
        <f>IF(J$9=0,0,J$86-(I$86-I83)*J$9+$Q83)</f>
        <v>379.64510990999997</v>
      </c>
      <c r="K83" s="693">
        <f>K$86*(1+$F83)</f>
        <v>15.045</v>
      </c>
      <c r="L83" s="694">
        <f>IF(L$9=0,0,L$86-(K$86-K83)*L$9+$Q83)</f>
        <v>-390.42233366666659</v>
      </c>
      <c r="M83" s="693">
        <f>M$86*(1+$F83)</f>
        <v>21.72</v>
      </c>
      <c r="N83" s="692">
        <f>IF(N$9=0,0,N$86-(M$86-M83)*N$9+$Q83)</f>
        <v>-80.763135926666706</v>
      </c>
      <c r="O83" s="693">
        <f>O$86*(1+$F83)</f>
        <v>29</v>
      </c>
      <c r="P83" s="694">
        <f>IF(P$9=0,0,P$86-(O$86-O83)*P$9+$Q83)</f>
        <v>-154.91662226333338</v>
      </c>
      <c r="Q83" s="693">
        <f>Q$86*(1+$F83)</f>
        <v>14.59</v>
      </c>
      <c r="R83" s="692">
        <f>IF(R$9=0,0,R$86-(Q$86-Q83)*R$9+$Q83)</f>
        <v>-313.00533338416659</v>
      </c>
      <c r="S83" s="693">
        <f>S$86*(1+$F83)</f>
        <v>20.54</v>
      </c>
      <c r="T83" s="694">
        <f>IF(T$9=0,0,T$86-(S$86-S83)*T$9+$Q83)</f>
        <v>-179.62213338416646</v>
      </c>
      <c r="U83" s="693">
        <f>U$86*(1+$F83)</f>
        <v>39.335000000000001</v>
      </c>
      <c r="V83" s="2194">
        <f>IF(V$9=0,0,V$86-(U$86-U83)*V$9+$Q83)</f>
        <v>-29.245027066666953</v>
      </c>
      <c r="W83" s="2744">
        <f>W$86*(1+$F83)</f>
        <v>0</v>
      </c>
      <c r="X83" s="2722">
        <f>IF(X$9=0,0,X$86-(W$86-W83)*X$9+$Q83)</f>
        <v>414.94753693383331</v>
      </c>
      <c r="Y83" s="2199"/>
    </row>
    <row r="84" spans="1:25">
      <c r="A84" s="673"/>
      <c r="B84" s="673"/>
      <c r="C84" s="673"/>
      <c r="D84" s="685">
        <f t="shared" ref="D84:D89" si="12">D83+1</f>
        <v>57</v>
      </c>
      <c r="F84" s="684" t="s">
        <v>719</v>
      </c>
      <c r="H84" s="9" t="s">
        <v>163</v>
      </c>
      <c r="I84" s="682">
        <f>I$86*(1+$F84)</f>
        <v>0</v>
      </c>
      <c r="J84" s="681">
        <f>IF(J$9=0,0,J$86-(I$86-I84)*J$9+$Q84)</f>
        <v>386.94010990999999</v>
      </c>
      <c r="K84" s="682">
        <f>K$86*(1+$F84)</f>
        <v>22.567499999999999</v>
      </c>
      <c r="L84" s="683">
        <f>IF(L$9=0,0,L$86-(K$86-K84)*L$9+$Q84)</f>
        <v>-82.227333666666652</v>
      </c>
      <c r="M84" s="682">
        <f>M$86*(1+$F84)</f>
        <v>32.58</v>
      </c>
      <c r="N84" s="681">
        <f>IF(N$9=0,0,N$86-(M$86-M84)*N$9+$Q84)</f>
        <v>360.93186407333326</v>
      </c>
      <c r="O84" s="682">
        <f>O$86*(1+$F84)</f>
        <v>43.5</v>
      </c>
      <c r="P84" s="683">
        <f>IF(P$9=0,0,P$86-(O$86-O84)*P$9+$Q84)</f>
        <v>142.37837773666661</v>
      </c>
      <c r="Q84" s="682">
        <f>Q$86*(1+$F84)</f>
        <v>21.884999999999998</v>
      </c>
      <c r="R84" s="681">
        <f>IF(R$9=0,0,R$86-(Q$86-Q84)*R$9+$Q84)</f>
        <v>-13.910333384166613</v>
      </c>
      <c r="S84" s="682">
        <f>S$86*(1+$F84)</f>
        <v>30.81</v>
      </c>
      <c r="T84" s="683">
        <f>IF(T$9=0,0,T$86-(S$86-S84)*T$9+$Q84)</f>
        <v>238.47286661583348</v>
      </c>
      <c r="U84" s="682">
        <f>U$86*(1+$F84)</f>
        <v>59.002499999999998</v>
      </c>
      <c r="V84" s="2193">
        <f>IF(V$9=0,0,V$86-(U$86-U84)*V$9+$Q84)</f>
        <v>469.73747293333292</v>
      </c>
      <c r="W84" s="2745">
        <f>W$86*(1+$F84)</f>
        <v>0</v>
      </c>
      <c r="X84" s="2720">
        <f>IF(X$9=0,0,X$86-(W$86-W84)*X$9+$Q84)</f>
        <v>422.24253693383332</v>
      </c>
      <c r="Y84" s="2199"/>
    </row>
    <row r="85" spans="1:25">
      <c r="A85" s="673"/>
      <c r="B85" s="673"/>
      <c r="C85" s="673"/>
      <c r="D85" s="685">
        <f t="shared" si="12"/>
        <v>58</v>
      </c>
      <c r="F85" s="684" t="s">
        <v>718</v>
      </c>
      <c r="H85" s="9" t="s">
        <v>163</v>
      </c>
      <c r="I85" s="682">
        <f>I$86*(1+$F85)</f>
        <v>0</v>
      </c>
      <c r="J85" s="681">
        <f>IF(J$9=0,0,J$86-(I$86-I85)*J$9+$Q85)</f>
        <v>391.31710991</v>
      </c>
      <c r="K85" s="682">
        <f>K$86*(1+$F85)</f>
        <v>27.081</v>
      </c>
      <c r="L85" s="683">
        <f>IF(L$9=0,0,L$86-(K$86-K85)*L$9+$Q85)</f>
        <v>102.68966633333338</v>
      </c>
      <c r="M85" s="682">
        <f>M$86*(1+$F85)</f>
        <v>39.095999999999997</v>
      </c>
      <c r="N85" s="681">
        <f>IF(N$9=0,0,N$86-(M$86-M85)*N$9+$Q85)</f>
        <v>625.9488640733332</v>
      </c>
      <c r="O85" s="682">
        <f>O$86*(1+$F85)</f>
        <v>52.2</v>
      </c>
      <c r="P85" s="683">
        <f>IF(P$9=0,0,P$86-(O$86-O85)*P$9+$Q85)</f>
        <v>320.75537773666667</v>
      </c>
      <c r="Q85" s="682">
        <f>Q$86*(1+$F85)</f>
        <v>26.262</v>
      </c>
      <c r="R85" s="681">
        <f>IF(R$9=0,0,R$86-(Q$86-Q85)*R$9+$Q85)</f>
        <v>165.54666661583349</v>
      </c>
      <c r="S85" s="682">
        <f>S$86*(1+$F85)</f>
        <v>36.972000000000001</v>
      </c>
      <c r="T85" s="683">
        <f>IF(T$9=0,0,T$86-(S$86-S85)*T$9+$Q85)</f>
        <v>489.32986661583357</v>
      </c>
      <c r="U85" s="682">
        <f>U$86*(1+$F85)</f>
        <v>70.802999999999997</v>
      </c>
      <c r="V85" s="2193">
        <f>IF(V$9=0,0,V$86-(U$86-U85)*V$9+$Q85)</f>
        <v>769.12697293333281</v>
      </c>
      <c r="W85" s="2745">
        <f>W$86*(1+$F85)</f>
        <v>0</v>
      </c>
      <c r="X85" s="2720">
        <f>IF(X$9=0,0,X$86-(W$86-W85)*X$9+$Q85)</f>
        <v>426.61953693383333</v>
      </c>
      <c r="Y85" s="2199"/>
    </row>
    <row r="86" spans="1:25">
      <c r="A86" s="673"/>
      <c r="B86" s="673"/>
      <c r="C86" s="673"/>
      <c r="D86" s="685">
        <f t="shared" si="12"/>
        <v>59</v>
      </c>
      <c r="E86" s="691"/>
      <c r="F86" s="690"/>
      <c r="G86" s="690"/>
      <c r="H86" s="689" t="s">
        <v>163</v>
      </c>
      <c r="I86" s="687">
        <f>J11</f>
        <v>0</v>
      </c>
      <c r="J86" s="686">
        <f>I32</f>
        <v>365.05510991</v>
      </c>
      <c r="K86" s="687">
        <f>L11</f>
        <v>30.09</v>
      </c>
      <c r="L86" s="688">
        <f>K32</f>
        <v>196.78766633333339</v>
      </c>
      <c r="M86" s="687">
        <f>N11</f>
        <v>43.44</v>
      </c>
      <c r="N86" s="686">
        <f>M32</f>
        <v>773.44686407333324</v>
      </c>
      <c r="O86" s="687">
        <f>P11</f>
        <v>58</v>
      </c>
      <c r="P86" s="688">
        <f>O32</f>
        <v>410.49337773666662</v>
      </c>
      <c r="Q86" s="687">
        <f>R11</f>
        <v>29.18</v>
      </c>
      <c r="R86" s="686">
        <f>Q32</f>
        <v>256.00466661583346</v>
      </c>
      <c r="S86" s="687">
        <f>T11</f>
        <v>41.08</v>
      </c>
      <c r="T86" s="688">
        <f>S32</f>
        <v>627.38786661583345</v>
      </c>
      <c r="U86" s="687">
        <f>V11</f>
        <v>78.67</v>
      </c>
      <c r="V86" s="2195">
        <f>U32</f>
        <v>939.53997293333305</v>
      </c>
      <c r="W86" s="2746">
        <f>W11</f>
        <v>0</v>
      </c>
      <c r="X86" s="2721">
        <f>W32</f>
        <v>400.35753693383333</v>
      </c>
      <c r="Y86" s="2199"/>
    </row>
    <row r="87" spans="1:25">
      <c r="A87" s="673"/>
      <c r="B87" s="673"/>
      <c r="C87" s="673"/>
      <c r="D87" s="685">
        <f t="shared" si="12"/>
        <v>60</v>
      </c>
      <c r="F87" s="684" t="s">
        <v>717</v>
      </c>
      <c r="H87" s="9" t="s">
        <v>163</v>
      </c>
      <c r="I87" s="682">
        <f>I$86*(1+$F87)</f>
        <v>0</v>
      </c>
      <c r="J87" s="681">
        <f>IF(J$9=0,0,J$86-(I$86-I87)*J$9+$Q87)</f>
        <v>397.15310991000001</v>
      </c>
      <c r="K87" s="682">
        <f>K$86*(1+$F87)</f>
        <v>33.099000000000004</v>
      </c>
      <c r="L87" s="683">
        <f>IF(L$9=0,0,L$86-(K$86-K87)*L$9+$Q87)</f>
        <v>349.24566633333353</v>
      </c>
      <c r="M87" s="682">
        <f>M$86*(1+$F87)</f>
        <v>47.783999999999999</v>
      </c>
      <c r="N87" s="681">
        <f>IF(N$9=0,0,N$86-(M$86-M87)*N$9+$Q87)</f>
        <v>979.30486407333319</v>
      </c>
      <c r="O87" s="682">
        <f>O$86*(1+$F87)</f>
        <v>63.800000000000004</v>
      </c>
      <c r="P87" s="683">
        <f>IF(P$9=0,0,P$86-(O$86-O87)*P$9+$Q87)</f>
        <v>558.59137773666669</v>
      </c>
      <c r="Q87" s="682">
        <f>Q$86*(1+$F87)</f>
        <v>32.097999999999999</v>
      </c>
      <c r="R87" s="681">
        <f>IF(R$9=0,0,R$86-(Q$86-Q87)*R$9+$Q87)</f>
        <v>404.82266661583344</v>
      </c>
      <c r="S87" s="682">
        <f>S$86*(1+$F87)</f>
        <v>45.188000000000002</v>
      </c>
      <c r="T87" s="683">
        <f>IF(T$9=0,0,T$86-(S$86-S87)*T$9+$Q87)</f>
        <v>823.80586661583357</v>
      </c>
      <c r="U87" s="682">
        <f>U$86*(1+$F87)</f>
        <v>86.537000000000006</v>
      </c>
      <c r="V87" s="2193">
        <f>IF(V$9=0,0,V$86-(U$86-U87)*V$9+$Q87)</f>
        <v>1168.3129729333332</v>
      </c>
      <c r="W87" s="2745">
        <f>W$86*(1+$F87)</f>
        <v>0</v>
      </c>
      <c r="X87" s="2720">
        <f>IF(X$9=0,0,X$86-(W$86-W87)*X$9+$Q87)</f>
        <v>432.45553693383334</v>
      </c>
      <c r="Y87" s="2199"/>
    </row>
    <row r="88" spans="1:25">
      <c r="A88" s="673"/>
      <c r="B88" s="673"/>
      <c r="C88" s="673"/>
      <c r="D88" s="685">
        <f t="shared" si="12"/>
        <v>61</v>
      </c>
      <c r="F88" s="684" t="s">
        <v>716</v>
      </c>
      <c r="H88" s="9" t="s">
        <v>163</v>
      </c>
      <c r="I88" s="682">
        <f>I$86*(1+$F88)</f>
        <v>0</v>
      </c>
      <c r="J88" s="681">
        <f>IF(J$9=0,0,J$86-(I$86-I88)*J$9+$Q88)</f>
        <v>400.07110991000002</v>
      </c>
      <c r="K88" s="682">
        <f>K$86*(1+$F88)</f>
        <v>36.107999999999997</v>
      </c>
      <c r="L88" s="683">
        <f>IF(L$9=0,0,L$86-(K$86-K88)*L$9+$Q88)</f>
        <v>472.52366633333332</v>
      </c>
      <c r="M88" s="682">
        <f>M$86*(1+$F88)</f>
        <v>52.127999999999993</v>
      </c>
      <c r="N88" s="681">
        <f>IF(N$9=0,0,N$86-(M$86-M88)*N$9+$Q88)</f>
        <v>1155.9828640733331</v>
      </c>
      <c r="O88" s="682">
        <f>O$86*(1+$F88)</f>
        <v>69.599999999999994</v>
      </c>
      <c r="P88" s="683">
        <f>IF(P$9=0,0,P$86-(O$86-O88)*P$9+$Q88)</f>
        <v>677.50937773666647</v>
      </c>
      <c r="Q88" s="682">
        <f>Q$86*(1+$F88)</f>
        <v>35.015999999999998</v>
      </c>
      <c r="R88" s="681">
        <f>IF(R$9=0,0,R$86-(Q$86-Q88)*R$9+$Q88)</f>
        <v>524.46066661583336</v>
      </c>
      <c r="S88" s="682">
        <f>S$86*(1+$F88)</f>
        <v>49.295999999999999</v>
      </c>
      <c r="T88" s="683">
        <f>IF(T$9=0,0,T$86-(S$86-S88)*T$9+$Q88)</f>
        <v>991.04386661583351</v>
      </c>
      <c r="U88" s="682">
        <f>U$86*(1+$F88)</f>
        <v>94.403999999999996</v>
      </c>
      <c r="V88" s="2193">
        <f>IF(V$9=0,0,V$86-(U$86-U88)*V$9+$Q88)</f>
        <v>1367.905972933333</v>
      </c>
      <c r="W88" s="2745">
        <f>W$86*(1+$F88)</f>
        <v>0</v>
      </c>
      <c r="X88" s="2720">
        <f>IF(X$9=0,0,X$86-(W$86-W88)*X$9+$Q88)</f>
        <v>435.37353693383335</v>
      </c>
      <c r="Y88" s="2199"/>
    </row>
    <row r="89" spans="1:25">
      <c r="A89" s="673"/>
      <c r="B89" s="673"/>
      <c r="C89" s="673"/>
      <c r="D89" s="680">
        <f t="shared" si="12"/>
        <v>62</v>
      </c>
      <c r="E89" s="679"/>
      <c r="F89" s="678" t="s">
        <v>715</v>
      </c>
      <c r="G89" s="8"/>
      <c r="H89" s="677" t="s">
        <v>163</v>
      </c>
      <c r="I89" s="675">
        <f>I$86*(1+$F89)</f>
        <v>0</v>
      </c>
      <c r="J89" s="674">
        <f>IF(J$9=0,0,J$86-(I$86-I89)*J$9+$Q89)</f>
        <v>408.82510990999998</v>
      </c>
      <c r="K89" s="675">
        <f>K$86*(1+$F89)</f>
        <v>45.134999999999998</v>
      </c>
      <c r="L89" s="676">
        <f>IF(L$9=0,0,L$86-(K$86-K89)*L$9+$Q89)</f>
        <v>842.35766633333333</v>
      </c>
      <c r="M89" s="675">
        <f>M$86*(1+$F89)</f>
        <v>65.16</v>
      </c>
      <c r="N89" s="674">
        <f>IF(N$9=0,0,N$86-(M$86-M89)*N$9+$Q89)</f>
        <v>1686.0168640733332</v>
      </c>
      <c r="O89" s="675">
        <f>O$86*(1+$F89)</f>
        <v>87</v>
      </c>
      <c r="P89" s="676">
        <f>IF(P$9=0,0,P$86-(O$86-O89)*P$9+$Q89)</f>
        <v>1034.2633777366666</v>
      </c>
      <c r="Q89" s="675">
        <f>Q$86*(1+$F89)</f>
        <v>43.769999999999996</v>
      </c>
      <c r="R89" s="674">
        <f>IF(R$9=0,0,R$86-(Q$86-Q89)*R$9+$Q89)</f>
        <v>883.37466661583335</v>
      </c>
      <c r="S89" s="675">
        <f>S$86*(1+$F89)</f>
        <v>61.62</v>
      </c>
      <c r="T89" s="676">
        <f>IF(T$9=0,0,T$86-(S$86-S89)*T$9+$Q89)</f>
        <v>1492.7578666158333</v>
      </c>
      <c r="U89" s="675">
        <f>U$86*(1+$F89)</f>
        <v>118.005</v>
      </c>
      <c r="V89" s="674">
        <f>IF(V$9=0,0,V$86-(U$86-U89)*V$9+$Q89)</f>
        <v>1966.684972933333</v>
      </c>
      <c r="W89" s="2747">
        <f>W$86*(1+$F89)</f>
        <v>0</v>
      </c>
      <c r="X89" s="674">
        <f>IF(X$9=0,0,X$86-(W$86-W89)*X$9+$Q89)</f>
        <v>444.12753693383331</v>
      </c>
      <c r="Y89" s="2199"/>
    </row>
    <row r="90" spans="1:25">
      <c r="A90" s="673"/>
      <c r="B90" s="673"/>
      <c r="C90" s="673"/>
      <c r="D90" s="673"/>
      <c r="E90" s="673"/>
      <c r="F90" s="673"/>
      <c r="G90" s="673"/>
      <c r="H90" s="673"/>
      <c r="I90" s="673"/>
      <c r="J90" s="673"/>
      <c r="K90" s="673"/>
      <c r="L90" s="673"/>
      <c r="M90" s="673"/>
      <c r="N90" s="673"/>
      <c r="O90" s="673"/>
      <c r="P90" s="673"/>
      <c r="Q90" s="673"/>
      <c r="R90" s="673"/>
      <c r="S90" s="673"/>
      <c r="T90" s="673"/>
      <c r="U90" s="673"/>
      <c r="V90" s="673"/>
      <c r="W90" s="2730"/>
      <c r="X90" s="2730"/>
      <c r="Y90" s="2199"/>
    </row>
    <row r="91" spans="1:25" ht="13.2" hidden="1" customHeight="1">
      <c r="B91" s="636"/>
      <c r="D91" s="635"/>
      <c r="E91" s="631"/>
      <c r="F91" s="631"/>
      <c r="G91" s="631"/>
      <c r="H91" s="633"/>
      <c r="I91" s="632"/>
      <c r="J91" s="631"/>
      <c r="K91" s="631"/>
      <c r="L91" s="631"/>
      <c r="M91" s="631"/>
      <c r="N91" s="631"/>
      <c r="O91" s="631"/>
      <c r="P91" s="631"/>
      <c r="Q91" s="631"/>
      <c r="R91" s="631"/>
      <c r="S91" s="631"/>
      <c r="T91" s="631"/>
      <c r="U91" s="631"/>
      <c r="V91" s="631"/>
      <c r="W91" s="2748"/>
      <c r="X91" s="2748"/>
      <c r="Y91" s="2199"/>
    </row>
    <row r="92" spans="1:25" ht="6" hidden="1" customHeight="1">
      <c r="B92" s="636"/>
      <c r="D92" s="672"/>
      <c r="E92" s="671"/>
      <c r="F92" s="671"/>
      <c r="G92" s="671"/>
      <c r="H92" s="670"/>
      <c r="I92" s="669"/>
      <c r="J92" s="668"/>
      <c r="K92" s="667"/>
      <c r="L92" s="667"/>
      <c r="M92" s="666"/>
      <c r="N92" s="665"/>
      <c r="O92" s="667"/>
      <c r="P92" s="667"/>
      <c r="Q92" s="666"/>
      <c r="R92" s="665"/>
      <c r="S92" s="667"/>
      <c r="T92" s="667"/>
      <c r="U92" s="666"/>
      <c r="V92" s="671"/>
      <c r="W92" s="2749"/>
      <c r="X92" s="2750"/>
      <c r="Y92" s="2199"/>
    </row>
    <row r="93" spans="1:25" ht="19.95" hidden="1" customHeight="1">
      <c r="B93" s="636"/>
      <c r="D93" s="645">
        <v>61</v>
      </c>
      <c r="E93" s="657" t="s">
        <v>714</v>
      </c>
      <c r="H93" s="19" t="s">
        <v>163</v>
      </c>
      <c r="I93" s="4180" t="e">
        <f>IF(J9=0,0,HLOOKUP($Q$229,Daten!$D$2:AI35,34))</f>
        <v>#N/A</v>
      </c>
      <c r="J93" s="4207"/>
      <c r="K93" s="4208" t="e">
        <f>IF(L9=0,0,HLOOKUP($Q$229,Daten!$AJ$2:BO35,34))</f>
        <v>#N/A</v>
      </c>
      <c r="L93" s="4209"/>
      <c r="M93" s="4180" t="e">
        <f>IF(N9=0,0,HLOOKUP($Q$229,Daten!$BP$2:CT35,34))</f>
        <v>#N/A</v>
      </c>
      <c r="N93" s="4198"/>
      <c r="O93" s="4208" t="e">
        <f>IF(P9=0,0,HLOOKUP($Q$229,Daten!$BP$2:CU35,34))</f>
        <v>#N/A</v>
      </c>
      <c r="P93" s="4209"/>
      <c r="Q93" s="4180" t="e">
        <f>IF(R9=0,0,HLOOKUP($Q$229,Daten!$BP$2:CU35,34))</f>
        <v>#N/A</v>
      </c>
      <c r="R93" s="4198"/>
      <c r="S93" s="4208" t="e">
        <f>IF(T9=0,0,HLOOKUP($Q$229,Daten!$BP$2:CU35,34))</f>
        <v>#N/A</v>
      </c>
      <c r="T93" s="4209"/>
      <c r="U93" s="4180" t="e">
        <f>IF(V9=0,0,HLOOKUP($Q$229,Daten!$BP$2:CU35,34))</f>
        <v>#N/A</v>
      </c>
      <c r="V93" s="4181"/>
      <c r="W93" s="4091" t="e">
        <f>IF(X9=0,0,HLOOKUP($Q$229,Daten!$BP$2:CU35,34))</f>
        <v>#N/A</v>
      </c>
      <c r="X93" s="4167"/>
      <c r="Y93" s="2199"/>
    </row>
    <row r="94" spans="1:25" ht="19.95" hidden="1" customHeight="1">
      <c r="B94" s="636"/>
      <c r="D94" s="645"/>
      <c r="F94" s="664" t="s">
        <v>196</v>
      </c>
      <c r="G94" s="4" t="s">
        <v>712</v>
      </c>
      <c r="I94" s="649"/>
      <c r="J94" s="648"/>
      <c r="K94" s="647"/>
      <c r="L94" s="647"/>
      <c r="M94" s="526"/>
      <c r="N94" s="646"/>
      <c r="O94" s="647"/>
      <c r="P94" s="647"/>
      <c r="Q94" s="526"/>
      <c r="R94" s="646"/>
      <c r="S94" s="647"/>
      <c r="T94" s="647"/>
      <c r="U94" s="526"/>
      <c r="W94" s="529"/>
      <c r="X94" s="2751"/>
      <c r="Y94" s="2199"/>
    </row>
    <row r="95" spans="1:25" ht="3.45" hidden="1" customHeight="1">
      <c r="B95" s="636"/>
      <c r="D95" s="645"/>
      <c r="I95" s="649"/>
      <c r="J95" s="648"/>
      <c r="K95" s="647"/>
      <c r="L95" s="647"/>
      <c r="M95" s="526"/>
      <c r="N95" s="646"/>
      <c r="O95" s="647"/>
      <c r="P95" s="647"/>
      <c r="Q95" s="526"/>
      <c r="R95" s="646"/>
      <c r="S95" s="647"/>
      <c r="T95" s="647"/>
      <c r="U95" s="526"/>
      <c r="W95" s="529"/>
      <c r="X95" s="2751"/>
      <c r="Y95" s="2199"/>
    </row>
    <row r="96" spans="1:25" ht="3.45" hidden="1" customHeight="1">
      <c r="B96" s="636"/>
      <c r="D96" s="645"/>
      <c r="E96" s="663"/>
      <c r="F96" s="663"/>
      <c r="G96" s="663"/>
      <c r="H96" s="630"/>
      <c r="I96" s="662"/>
      <c r="J96" s="661"/>
      <c r="K96" s="660"/>
      <c r="L96" s="660"/>
      <c r="M96" s="659"/>
      <c r="N96" s="658"/>
      <c r="O96" s="660"/>
      <c r="P96" s="660"/>
      <c r="Q96" s="659"/>
      <c r="R96" s="658"/>
      <c r="S96" s="660"/>
      <c r="T96" s="660"/>
      <c r="U96" s="659"/>
      <c r="V96" s="663"/>
      <c r="W96" s="2752"/>
      <c r="X96" s="2753"/>
      <c r="Y96" s="2199"/>
    </row>
    <row r="97" spans="1:25" ht="19.95" hidden="1" customHeight="1">
      <c r="B97" s="636"/>
      <c r="D97" s="645">
        <v>62</v>
      </c>
      <c r="E97" s="657" t="s">
        <v>713</v>
      </c>
      <c r="H97" s="19" t="s">
        <v>163</v>
      </c>
      <c r="I97" s="4180">
        <f>I50</f>
        <v>-735.68591380771659</v>
      </c>
      <c r="J97" s="4207"/>
      <c r="K97" s="4208">
        <f>K50</f>
        <v>-875.74247755944452</v>
      </c>
      <c r="L97" s="4209"/>
      <c r="M97" s="4180">
        <f>M50</f>
        <v>-270.50558917914486</v>
      </c>
      <c r="N97" s="4198"/>
      <c r="O97" s="4208">
        <f>O50</f>
        <v>-642.38451078219441</v>
      </c>
      <c r="P97" s="4209"/>
      <c r="Q97" s="4180">
        <f>Q50</f>
        <v>-819.47994560698157</v>
      </c>
      <c r="R97" s="4198"/>
      <c r="S97" s="4208">
        <f>S50</f>
        <v>-444.49123449570106</v>
      </c>
      <c r="T97" s="4209"/>
      <c r="U97" s="4180">
        <f>U50</f>
        <v>-195.74011062555564</v>
      </c>
      <c r="V97" s="4181"/>
      <c r="W97" s="4091">
        <f>W50</f>
        <v>-668.75968738709639</v>
      </c>
      <c r="X97" s="4167"/>
      <c r="Y97" s="2199"/>
    </row>
    <row r="98" spans="1:25" ht="19.95" hidden="1" customHeight="1">
      <c r="B98" s="636"/>
      <c r="D98" s="645"/>
      <c r="E98" s="656"/>
      <c r="F98" s="8">
        <f>H2</f>
        <v>0</v>
      </c>
      <c r="G98" s="8" t="s">
        <v>712</v>
      </c>
      <c r="H98" s="655"/>
      <c r="I98" s="4182"/>
      <c r="J98" s="4309"/>
      <c r="K98" s="4310"/>
      <c r="L98" s="4311"/>
      <c r="M98" s="4182"/>
      <c r="N98" s="4199"/>
      <c r="O98" s="4310"/>
      <c r="P98" s="4311"/>
      <c r="Q98" s="4182"/>
      <c r="R98" s="4199"/>
      <c r="S98" s="4310"/>
      <c r="T98" s="4311"/>
      <c r="U98" s="4182"/>
      <c r="V98" s="4183"/>
      <c r="W98" s="4168"/>
      <c r="X98" s="4169"/>
      <c r="Y98" s="2199"/>
    </row>
    <row r="99" spans="1:25" ht="19.95" hidden="1" customHeight="1">
      <c r="B99" s="636"/>
      <c r="D99" s="645">
        <v>63</v>
      </c>
      <c r="E99" s="20" t="s">
        <v>711</v>
      </c>
      <c r="G99" s="654" t="s">
        <v>710</v>
      </c>
      <c r="H99" s="595" t="s">
        <v>163</v>
      </c>
      <c r="I99" s="4205" t="e">
        <f>I97-I93</f>
        <v>#N/A</v>
      </c>
      <c r="J99" s="4206"/>
      <c r="K99" s="4193" t="e">
        <f>K97-K93</f>
        <v>#N/A</v>
      </c>
      <c r="L99" s="4194"/>
      <c r="M99" s="4184" t="e">
        <f>M97-M93</f>
        <v>#N/A</v>
      </c>
      <c r="N99" s="4192"/>
      <c r="O99" s="4193" t="e">
        <f>O97-O93</f>
        <v>#N/A</v>
      </c>
      <c r="P99" s="4194"/>
      <c r="Q99" s="4184" t="e">
        <f>Q97-Q93</f>
        <v>#N/A</v>
      </c>
      <c r="R99" s="4192"/>
      <c r="S99" s="4193" t="e">
        <f>S97-S93</f>
        <v>#N/A</v>
      </c>
      <c r="T99" s="4194"/>
      <c r="U99" s="4184" t="e">
        <f>U97-U93</f>
        <v>#N/A</v>
      </c>
      <c r="V99" s="4185"/>
      <c r="W99" s="4170" t="e">
        <f>W97-W93</f>
        <v>#N/A</v>
      </c>
      <c r="X99" s="4171"/>
      <c r="Y99" s="2199"/>
    </row>
    <row r="100" spans="1:25" ht="1.2" hidden="1" customHeight="1">
      <c r="B100" s="636"/>
      <c r="D100" s="645"/>
      <c r="E100" s="653"/>
      <c r="F100" s="652"/>
      <c r="G100" s="652"/>
      <c r="H100" s="651"/>
      <c r="I100" s="4172"/>
      <c r="J100" s="4244"/>
      <c r="K100" s="4210"/>
      <c r="L100" s="4211"/>
      <c r="M100" s="4172"/>
      <c r="N100" s="4173"/>
      <c r="O100" s="4210"/>
      <c r="P100" s="4211"/>
      <c r="Q100" s="4172"/>
      <c r="R100" s="4173"/>
      <c r="S100" s="4210"/>
      <c r="T100" s="4211"/>
      <c r="U100" s="4172"/>
      <c r="V100" s="4186"/>
      <c r="W100" s="4172"/>
      <c r="X100" s="4173"/>
      <c r="Y100" s="2199"/>
    </row>
    <row r="101" spans="1:25" ht="19.95" hidden="1" customHeight="1">
      <c r="B101" s="636"/>
      <c r="D101" s="645"/>
      <c r="E101" s="20" t="s">
        <v>709</v>
      </c>
      <c r="I101" s="649"/>
      <c r="J101" s="650"/>
      <c r="K101" s="647"/>
      <c r="L101" s="647"/>
      <c r="M101" s="526"/>
      <c r="N101" s="646"/>
      <c r="O101" s="647"/>
      <c r="P101" s="647"/>
      <c r="Q101" s="526"/>
      <c r="R101" s="646"/>
      <c r="S101" s="647"/>
      <c r="T101" s="647"/>
      <c r="U101" s="526"/>
      <c r="W101" s="529"/>
      <c r="X101" s="2751"/>
      <c r="Y101" s="2199"/>
    </row>
    <row r="102" spans="1:25" ht="18" hidden="1" customHeight="1">
      <c r="B102" s="636"/>
      <c r="D102" s="645">
        <v>64</v>
      </c>
      <c r="E102" s="526"/>
      <c r="F102" s="54">
        <f>H2</f>
        <v>0</v>
      </c>
      <c r="H102" s="19" t="s">
        <v>220</v>
      </c>
      <c r="I102" s="4228" t="e">
        <f>IF(J9=0,0,(J12/J10)+(I99/J10*-1))</f>
        <v>#N/A</v>
      </c>
      <c r="J102" s="4247"/>
      <c r="K102" s="4195" t="e">
        <f>IF(L9=0,0,(L12/L10)+(K99/L10*-1))</f>
        <v>#N/A</v>
      </c>
      <c r="L102" s="4196"/>
      <c r="M102" s="4228" t="e">
        <f>IF(N9=0,0,(N12/N10)+(M99/N10*-1))</f>
        <v>#N/A</v>
      </c>
      <c r="N102" s="4229"/>
      <c r="O102" s="4195" t="e">
        <f>IF(P9=0,0,(P12/P10)+(O99/P10*-1))</f>
        <v>#N/A</v>
      </c>
      <c r="P102" s="4196"/>
      <c r="Q102" s="4228" t="e">
        <f>IF(R9=0,0,(R12/R10)+(Q99/R10*-1))</f>
        <v>#N/A</v>
      </c>
      <c r="R102" s="4229"/>
      <c r="S102" s="4195" t="e">
        <f>IF(T9=0,0,(T12/T10)+(S99/T10*-1))</f>
        <v>#N/A</v>
      </c>
      <c r="T102" s="4196"/>
      <c r="U102" s="4228" t="e">
        <f>IF(V9=0,0,(V12/V10)+(U99/V10*-1))</f>
        <v>#N/A</v>
      </c>
      <c r="V102" s="4343"/>
      <c r="W102" s="4174" t="e">
        <f>IF(X9=0,0,(W12/X10)+(W99/X10*-1))</f>
        <v>#N/A</v>
      </c>
      <c r="X102" s="4175"/>
      <c r="Y102" s="2199"/>
    </row>
    <row r="103" spans="1:25" ht="10.199999999999999" hidden="1" customHeight="1">
      <c r="B103" s="636"/>
      <c r="D103" s="645"/>
      <c r="E103" s="526"/>
      <c r="I103" s="649"/>
      <c r="J103" s="648"/>
      <c r="K103" s="647"/>
      <c r="L103" s="647"/>
      <c r="M103" s="526"/>
      <c r="N103" s="646"/>
      <c r="O103" s="647"/>
      <c r="P103" s="647"/>
      <c r="Q103" s="526"/>
      <c r="R103" s="646"/>
      <c r="S103" s="647"/>
      <c r="T103" s="647"/>
      <c r="U103" s="526"/>
      <c r="W103" s="529"/>
      <c r="X103" s="2751"/>
      <c r="Y103" s="2199"/>
    </row>
    <row r="104" spans="1:25" ht="10.199999999999999" hidden="1" customHeight="1">
      <c r="B104" s="636"/>
      <c r="D104" s="645"/>
      <c r="I104" s="649"/>
      <c r="J104" s="648"/>
      <c r="K104" s="647"/>
      <c r="L104" s="647"/>
      <c r="M104" s="526"/>
      <c r="N104" s="646"/>
      <c r="O104" s="647"/>
      <c r="P104" s="647"/>
      <c r="Q104" s="526"/>
      <c r="R104" s="646"/>
      <c r="S104" s="647"/>
      <c r="T104" s="647"/>
      <c r="U104" s="526"/>
      <c r="W104" s="529"/>
      <c r="X104" s="2751"/>
      <c r="Y104" s="2199"/>
    </row>
    <row r="105" spans="1:25" ht="10.199999999999999" hidden="1" customHeight="1">
      <c r="B105" s="636"/>
      <c r="D105" s="645"/>
      <c r="E105" s="20"/>
      <c r="I105" s="649"/>
      <c r="J105" s="648"/>
      <c r="K105" s="647"/>
      <c r="L105" s="647"/>
      <c r="M105" s="526"/>
      <c r="N105" s="646"/>
      <c r="O105" s="647"/>
      <c r="P105" s="647"/>
      <c r="Q105" s="526"/>
      <c r="R105" s="646"/>
      <c r="S105" s="647"/>
      <c r="T105" s="647"/>
      <c r="U105" s="526"/>
      <c r="W105" s="529"/>
      <c r="X105" s="2751"/>
      <c r="Y105" s="2199"/>
    </row>
    <row r="106" spans="1:25" ht="10.199999999999999" hidden="1" customHeight="1">
      <c r="B106" s="636"/>
      <c r="D106" s="645"/>
      <c r="F106" s="54"/>
      <c r="G106" s="95"/>
      <c r="H106" s="19"/>
      <c r="I106" s="4218"/>
      <c r="J106" s="4248"/>
      <c r="K106" s="4220"/>
      <c r="L106" s="4221"/>
      <c r="M106" s="4218"/>
      <c r="N106" s="4219"/>
      <c r="O106" s="4220"/>
      <c r="P106" s="4221"/>
      <c r="Q106" s="4218"/>
      <c r="R106" s="4219"/>
      <c r="S106" s="4220"/>
      <c r="T106" s="4221"/>
      <c r="U106" s="4218"/>
      <c r="V106" s="4344"/>
      <c r="W106" s="4176"/>
      <c r="X106" s="4177"/>
      <c r="Y106" s="2199"/>
    </row>
    <row r="107" spans="1:25" ht="5.0999999999999996" hidden="1" customHeight="1" thickBot="1">
      <c r="B107" s="636"/>
      <c r="D107" s="644"/>
      <c r="E107" s="643"/>
      <c r="F107" s="643"/>
      <c r="G107" s="643"/>
      <c r="H107" s="642"/>
      <c r="I107" s="641"/>
      <c r="J107" s="640"/>
      <c r="K107" s="639"/>
      <c r="L107" s="639"/>
      <c r="M107" s="638"/>
      <c r="N107" s="637"/>
      <c r="O107" s="639"/>
      <c r="P107" s="639"/>
      <c r="Q107" s="638"/>
      <c r="R107" s="637"/>
      <c r="S107" s="639"/>
      <c r="T107" s="639"/>
      <c r="U107" s="638"/>
      <c r="V107" s="643"/>
      <c r="W107" s="2754"/>
      <c r="X107" s="2755"/>
      <c r="Y107" s="2199"/>
    </row>
    <row r="108" spans="1:25" ht="10.199999999999999" hidden="1" customHeight="1">
      <c r="B108" s="636"/>
      <c r="D108" s="635"/>
      <c r="E108" s="631"/>
      <c r="F108" s="631"/>
      <c r="G108" s="631"/>
      <c r="H108" s="633"/>
      <c r="I108" s="632"/>
      <c r="J108" s="631"/>
      <c r="K108" s="631"/>
      <c r="L108" s="631"/>
      <c r="M108" s="631"/>
      <c r="N108" s="631"/>
      <c r="O108" s="631"/>
      <c r="P108" s="631"/>
      <c r="Q108" s="631"/>
      <c r="R108" s="631"/>
      <c r="S108" s="631"/>
      <c r="T108" s="631"/>
      <c r="U108" s="631"/>
      <c r="V108" s="631"/>
      <c r="W108" s="2748"/>
      <c r="X108" s="2748"/>
      <c r="Y108" s="2199"/>
    </row>
    <row r="109" spans="1:25" ht="13.2" hidden="1" customHeight="1">
      <c r="B109" s="636"/>
      <c r="D109" s="635"/>
      <c r="E109" s="634" t="s">
        <v>708</v>
      </c>
      <c r="F109" s="631"/>
      <c r="G109" s="631"/>
      <c r="H109" s="633"/>
      <c r="I109" s="632"/>
      <c r="J109" s="631"/>
      <c r="K109" s="631"/>
      <c r="L109" s="631"/>
      <c r="M109" s="631"/>
      <c r="N109" s="631"/>
      <c r="O109" s="631"/>
      <c r="P109" s="631"/>
      <c r="Q109" s="631"/>
      <c r="R109" s="631"/>
      <c r="S109" s="631"/>
      <c r="T109" s="631"/>
      <c r="U109" s="631"/>
      <c r="V109" s="631"/>
      <c r="W109" s="2748"/>
      <c r="X109" s="2748"/>
      <c r="Y109" s="2199"/>
    </row>
    <row r="110" spans="1:25" ht="13.2" hidden="1" customHeight="1">
      <c r="E110" s="95"/>
      <c r="Y110" s="2199"/>
    </row>
    <row r="111" spans="1:25">
      <c r="A111" s="2202"/>
      <c r="B111" s="2202"/>
      <c r="C111" s="2202"/>
      <c r="D111" s="2208"/>
      <c r="E111" s="2209"/>
      <c r="F111" s="2199"/>
      <c r="G111" s="2199"/>
      <c r="H111" s="2210"/>
      <c r="I111" s="2211"/>
      <c r="J111" s="2199"/>
      <c r="K111" s="2199"/>
      <c r="L111" s="2199"/>
      <c r="M111" s="2199"/>
      <c r="N111" s="2199"/>
      <c r="O111" s="2199"/>
      <c r="P111" s="2199"/>
      <c r="Q111" s="2199"/>
      <c r="R111" s="2199"/>
      <c r="S111" s="2199"/>
      <c r="T111" s="2199"/>
      <c r="U111" s="2199"/>
      <c r="V111" s="2199"/>
      <c r="W111" s="2756"/>
      <c r="X111" s="2756"/>
      <c r="Y111" s="2199"/>
    </row>
    <row r="112" spans="1:25">
      <c r="A112" s="2202"/>
      <c r="B112" s="2202"/>
      <c r="C112" s="2202"/>
      <c r="D112" s="2208"/>
      <c r="E112" s="2209"/>
      <c r="F112" s="2199"/>
      <c r="G112" s="2199"/>
      <c r="H112" s="2210"/>
      <c r="I112" s="2211"/>
      <c r="J112" s="2199"/>
      <c r="K112" s="2199"/>
      <c r="L112" s="2199"/>
      <c r="M112" s="2199"/>
      <c r="N112" s="2199"/>
      <c r="O112" s="2199"/>
      <c r="P112" s="2199"/>
      <c r="Q112" s="2199"/>
      <c r="R112" s="2199"/>
      <c r="S112" s="2199"/>
      <c r="T112" s="2199"/>
      <c r="U112" s="2199"/>
      <c r="V112" s="2199"/>
      <c r="W112" s="2756"/>
      <c r="X112" s="2756"/>
      <c r="Y112" s="2199"/>
    </row>
    <row r="113" spans="1:25">
      <c r="A113" s="2202"/>
      <c r="B113" s="2202"/>
      <c r="C113" s="2202"/>
      <c r="D113" s="4245" t="s">
        <v>666</v>
      </c>
      <c r="E113" s="4246"/>
      <c r="F113" s="4246"/>
      <c r="G113" s="2221"/>
      <c r="H113" s="630"/>
      <c r="I113" s="4270"/>
      <c r="J113" s="4270"/>
      <c r="K113" s="4270"/>
      <c r="L113" s="4270"/>
      <c r="M113" s="4270"/>
      <c r="N113" s="4270"/>
      <c r="O113" s="2216"/>
      <c r="P113" s="2217"/>
      <c r="Q113" s="2216"/>
      <c r="R113" s="2217"/>
      <c r="S113" s="2216"/>
      <c r="T113" s="2217"/>
      <c r="U113" s="2216"/>
      <c r="V113" s="2218"/>
      <c r="W113" s="2757"/>
      <c r="X113" s="2758"/>
      <c r="Y113" s="2199"/>
    </row>
    <row r="114" spans="1:25">
      <c r="A114" s="2202"/>
      <c r="B114" s="2202"/>
      <c r="C114" s="2202"/>
      <c r="D114" s="629"/>
      <c r="E114" s="628"/>
      <c r="F114" s="628"/>
      <c r="G114" s="2192"/>
      <c r="H114" s="627"/>
      <c r="I114" s="4189" t="str">
        <f>I2</f>
        <v xml:space="preserve">Öko-Kleegras einjährig (70:30) </v>
      </c>
      <c r="J114" s="4190"/>
      <c r="K114" s="4189" t="str">
        <f>K2</f>
        <v>Öko-Winterweizen (Futter)</v>
      </c>
      <c r="L114" s="4190"/>
      <c r="M114" s="4189" t="str">
        <f>M2</f>
        <v>Öko-Dinkel</v>
      </c>
      <c r="N114" s="4189"/>
      <c r="O114" s="4189" t="str">
        <f>O2</f>
        <v>Öko-Lupine</v>
      </c>
      <c r="P114" s="4190"/>
      <c r="Q114" s="4189" t="str">
        <f>Q2</f>
        <v>Öko-Winterroggen (Brot)</v>
      </c>
      <c r="R114" s="4189"/>
      <c r="S114" s="4189" t="str">
        <f>S2</f>
        <v>Öko-Hafer</v>
      </c>
      <c r="T114" s="4190"/>
      <c r="U114" s="4189" t="str">
        <f>U2</f>
        <v>Öko-Sojabohnen</v>
      </c>
      <c r="V114" s="4345"/>
      <c r="W114" s="4123"/>
      <c r="X114" s="4123"/>
      <c r="Y114" s="2199"/>
    </row>
    <row r="115" spans="1:25">
      <c r="A115" s="2202"/>
      <c r="B115" s="2202"/>
      <c r="C115" s="2202"/>
      <c r="D115" s="4238" t="s">
        <v>707</v>
      </c>
      <c r="E115" s="4239"/>
      <c r="F115" s="4239"/>
      <c r="G115" s="4239"/>
      <c r="H115" s="626"/>
      <c r="I115" s="4200" t="s">
        <v>171</v>
      </c>
      <c r="J115" s="4201"/>
      <c r="K115" s="4226" t="s">
        <v>144</v>
      </c>
      <c r="L115" s="4227"/>
      <c r="M115" s="4216" t="s">
        <v>170</v>
      </c>
      <c r="N115" s="4217"/>
      <c r="O115" s="4226" t="s">
        <v>170</v>
      </c>
      <c r="P115" s="4227"/>
      <c r="Q115" s="4216" t="s">
        <v>170</v>
      </c>
      <c r="R115" s="4217"/>
      <c r="S115" s="4226" t="s">
        <v>170</v>
      </c>
      <c r="T115" s="4227"/>
      <c r="U115" s="4216" t="s">
        <v>170</v>
      </c>
      <c r="V115" s="4217"/>
      <c r="W115" s="4124"/>
      <c r="X115" s="4125"/>
      <c r="Y115" s="2199"/>
    </row>
    <row r="116" spans="1:25">
      <c r="A116" s="2202"/>
      <c r="B116" s="2202"/>
      <c r="C116" s="2202"/>
      <c r="D116" s="625"/>
      <c r="E116" s="14"/>
      <c r="F116" s="624"/>
      <c r="G116" s="622"/>
      <c r="H116" s="623"/>
      <c r="J116" s="622"/>
      <c r="K116" s="621"/>
      <c r="L116" s="620"/>
      <c r="M116" s="14"/>
      <c r="N116" s="619"/>
      <c r="O116" s="621"/>
      <c r="P116" s="620"/>
      <c r="Q116" s="14"/>
      <c r="R116" s="619"/>
      <c r="S116" s="621"/>
      <c r="T116" s="620"/>
      <c r="U116" s="2219"/>
      <c r="V116" s="619"/>
      <c r="X116" s="2759"/>
      <c r="Y116" s="2199"/>
    </row>
    <row r="117" spans="1:25" ht="15" customHeight="1">
      <c r="A117" s="2202"/>
      <c r="B117" s="2202"/>
      <c r="C117" s="2214" t="s">
        <v>168</v>
      </c>
      <c r="D117" s="4249" t="s">
        <v>168</v>
      </c>
      <c r="E117" s="4250"/>
      <c r="F117" s="4250"/>
      <c r="G117" s="4250"/>
      <c r="H117" s="618" t="s">
        <v>164</v>
      </c>
      <c r="I117" s="4191">
        <f>J9</f>
        <v>420</v>
      </c>
      <c r="J117" s="4191"/>
      <c r="K117" s="4202">
        <f>L9</f>
        <v>40</v>
      </c>
      <c r="L117" s="4203"/>
      <c r="M117" s="4224">
        <f>N9</f>
        <v>40</v>
      </c>
      <c r="N117" s="4225"/>
      <c r="O117" s="4202">
        <f>P9</f>
        <v>20</v>
      </c>
      <c r="P117" s="4203"/>
      <c r="Q117" s="4224">
        <f>R9</f>
        <v>40</v>
      </c>
      <c r="R117" s="4225"/>
      <c r="S117" s="4202">
        <f>T9</f>
        <v>40</v>
      </c>
      <c r="T117" s="4203"/>
      <c r="U117" s="4224">
        <f>V9</f>
        <v>25</v>
      </c>
      <c r="V117" s="4225"/>
      <c r="W117" s="4126">
        <f>X9</f>
        <v>112</v>
      </c>
      <c r="X117" s="4127"/>
      <c r="Y117" s="2199"/>
    </row>
    <row r="118" spans="1:25">
      <c r="A118" s="2202"/>
      <c r="B118" s="2202"/>
      <c r="C118" s="2215"/>
      <c r="D118" s="4251" t="s">
        <v>706</v>
      </c>
      <c r="E118" s="4252"/>
      <c r="F118" s="4252"/>
      <c r="G118" s="4252"/>
      <c r="H118" s="617" t="s">
        <v>220</v>
      </c>
      <c r="I118" s="4269">
        <f>J11</f>
        <v>0</v>
      </c>
      <c r="J118" s="4269"/>
      <c r="K118" s="4265">
        <f>L11</f>
        <v>30.09</v>
      </c>
      <c r="L118" s="4266"/>
      <c r="M118" s="4231">
        <f>N11</f>
        <v>43.44</v>
      </c>
      <c r="N118" s="4232"/>
      <c r="O118" s="4265">
        <f>P11</f>
        <v>58</v>
      </c>
      <c r="P118" s="4266"/>
      <c r="Q118" s="4231">
        <f>R11</f>
        <v>29.18</v>
      </c>
      <c r="R118" s="4232"/>
      <c r="S118" s="4265">
        <f>T11</f>
        <v>41.08</v>
      </c>
      <c r="T118" s="4266"/>
      <c r="U118" s="4231">
        <f>V11</f>
        <v>78.67</v>
      </c>
      <c r="V118" s="4232"/>
      <c r="W118" s="4128">
        <f>W11</f>
        <v>0</v>
      </c>
      <c r="X118" s="4129"/>
      <c r="Y118" s="2199"/>
    </row>
    <row r="119" spans="1:25">
      <c r="A119" s="2202"/>
      <c r="B119" s="2202"/>
      <c r="C119" s="2215"/>
      <c r="D119" s="4240" t="s">
        <v>219</v>
      </c>
      <c r="E119" s="4241"/>
      <c r="F119" s="4241"/>
      <c r="G119" s="4241"/>
      <c r="H119" s="613" t="s">
        <v>163</v>
      </c>
      <c r="I119" s="4204">
        <f>J12</f>
        <v>0</v>
      </c>
      <c r="J119" s="4204"/>
      <c r="K119" s="4222">
        <f>L12</f>
        <v>1203.5999999999999</v>
      </c>
      <c r="L119" s="4223"/>
      <c r="M119" s="4214">
        <f>N12</f>
        <v>1737.6</v>
      </c>
      <c r="N119" s="4215"/>
      <c r="O119" s="4222">
        <f>P12</f>
        <v>1160</v>
      </c>
      <c r="P119" s="4223"/>
      <c r="Q119" s="4214">
        <f>R12</f>
        <v>1167.2</v>
      </c>
      <c r="R119" s="4215"/>
      <c r="S119" s="4222">
        <f>T12</f>
        <v>1643.1999999999998</v>
      </c>
      <c r="T119" s="4223"/>
      <c r="U119" s="4214">
        <f>V12</f>
        <v>1966.75</v>
      </c>
      <c r="V119" s="4215"/>
      <c r="W119" s="4130">
        <f>W12</f>
        <v>0</v>
      </c>
      <c r="X119" s="4131"/>
      <c r="Y119" s="2199"/>
    </row>
    <row r="120" spans="1:25">
      <c r="A120" s="2202"/>
      <c r="B120" s="2202"/>
      <c r="C120" s="2215"/>
      <c r="D120" s="4240" t="s">
        <v>705</v>
      </c>
      <c r="E120" s="4241"/>
      <c r="F120" s="4241"/>
      <c r="G120" s="4241"/>
      <c r="H120" s="613" t="s">
        <v>163</v>
      </c>
      <c r="I120" s="4204">
        <f>J13</f>
        <v>0</v>
      </c>
      <c r="J120" s="4204"/>
      <c r="K120" s="4222">
        <f>L13</f>
        <v>384</v>
      </c>
      <c r="L120" s="4223"/>
      <c r="M120" s="4078">
        <f>N13</f>
        <v>384</v>
      </c>
      <c r="N120" s="4079"/>
      <c r="O120" s="4222">
        <f>P13</f>
        <v>0</v>
      </c>
      <c r="P120" s="4223"/>
      <c r="Q120" s="4078">
        <f>R13</f>
        <v>432</v>
      </c>
      <c r="R120" s="4079"/>
      <c r="S120" s="4222">
        <f>T13</f>
        <v>432</v>
      </c>
      <c r="T120" s="4223"/>
      <c r="U120" s="4078">
        <f>V13</f>
        <v>0</v>
      </c>
      <c r="V120" s="4079"/>
      <c r="W120" s="4132">
        <f>W13</f>
        <v>0</v>
      </c>
      <c r="X120" s="4133"/>
      <c r="Y120" s="2199"/>
    </row>
    <row r="121" spans="1:25">
      <c r="A121" s="2202"/>
      <c r="B121" s="2202"/>
      <c r="C121" s="2215"/>
      <c r="D121" s="4240" t="s">
        <v>155</v>
      </c>
      <c r="E121" s="4241"/>
      <c r="F121" s="4241"/>
      <c r="G121" s="4241"/>
      <c r="H121" s="613" t="s">
        <v>163</v>
      </c>
      <c r="I121" s="4204">
        <f>I18</f>
        <v>417</v>
      </c>
      <c r="J121" s="4204"/>
      <c r="K121" s="4222">
        <f>K18</f>
        <v>417</v>
      </c>
      <c r="L121" s="4223"/>
      <c r="M121" s="4076">
        <f>M18</f>
        <v>417</v>
      </c>
      <c r="N121" s="4077"/>
      <c r="O121" s="4222">
        <f>O18</f>
        <v>417</v>
      </c>
      <c r="P121" s="4223"/>
      <c r="Q121" s="4076">
        <f>Q18</f>
        <v>417</v>
      </c>
      <c r="R121" s="4077"/>
      <c r="S121" s="4222">
        <f>S18</f>
        <v>417</v>
      </c>
      <c r="T121" s="4223"/>
      <c r="U121" s="4076">
        <f>U18</f>
        <v>417</v>
      </c>
      <c r="V121" s="4077"/>
      <c r="W121" s="4134">
        <f>W18</f>
        <v>417</v>
      </c>
      <c r="X121" s="4135"/>
      <c r="Y121" s="2199"/>
    </row>
    <row r="122" spans="1:25">
      <c r="A122" s="2202"/>
      <c r="B122" s="2202"/>
      <c r="C122" s="2215"/>
      <c r="D122" s="4238" t="s">
        <v>704</v>
      </c>
      <c r="E122" s="4239"/>
      <c r="F122" s="4239"/>
      <c r="G122" s="4239"/>
      <c r="H122" s="616" t="s">
        <v>163</v>
      </c>
      <c r="I122" s="4314">
        <f>I19</f>
        <v>417</v>
      </c>
      <c r="J122" s="4314"/>
      <c r="K122" s="4070">
        <f>K19</f>
        <v>2004.6</v>
      </c>
      <c r="L122" s="4304"/>
      <c r="M122" s="4212">
        <f>M19</f>
        <v>2538.6</v>
      </c>
      <c r="N122" s="4213"/>
      <c r="O122" s="4070">
        <f>O19</f>
        <v>1577</v>
      </c>
      <c r="P122" s="4304"/>
      <c r="Q122" s="4212">
        <f>Q19</f>
        <v>2016.2</v>
      </c>
      <c r="R122" s="4213"/>
      <c r="S122" s="4070">
        <f>S19</f>
        <v>2492.1999999999998</v>
      </c>
      <c r="T122" s="4304"/>
      <c r="U122" s="4212">
        <f>U19</f>
        <v>2383.75</v>
      </c>
      <c r="V122" s="4213"/>
      <c r="W122" s="4136">
        <f>W19</f>
        <v>1710.68</v>
      </c>
      <c r="X122" s="4137"/>
      <c r="Y122" s="2199"/>
    </row>
    <row r="123" spans="1:25">
      <c r="A123" s="2202"/>
      <c r="B123" s="2202"/>
      <c r="C123" s="2215"/>
      <c r="D123" s="4240" t="s">
        <v>703</v>
      </c>
      <c r="E123" s="4241"/>
      <c r="F123" s="4241"/>
      <c r="G123" s="4241"/>
      <c r="H123" s="613" t="s">
        <v>163</v>
      </c>
      <c r="I123" s="4204">
        <f>J30</f>
        <v>-365.05510991</v>
      </c>
      <c r="J123" s="4204"/>
      <c r="K123" s="4222">
        <f>L30</f>
        <v>1390.8123336666665</v>
      </c>
      <c r="L123" s="4223"/>
      <c r="M123" s="4080">
        <f>N30</f>
        <v>1348.1531359266667</v>
      </c>
      <c r="N123" s="4230"/>
      <c r="O123" s="4222">
        <f>P30</f>
        <v>749.50662226333338</v>
      </c>
      <c r="P123" s="4223"/>
      <c r="Q123" s="4080">
        <f>R30</f>
        <v>1343.1953333841666</v>
      </c>
      <c r="R123" s="4230"/>
      <c r="S123" s="4222">
        <f>T30</f>
        <v>1447.8121333841664</v>
      </c>
      <c r="T123" s="4223"/>
      <c r="U123" s="4080">
        <f>V30</f>
        <v>1027.210027066667</v>
      </c>
      <c r="V123" s="4230"/>
      <c r="W123" s="4138">
        <f>W30</f>
        <v>0</v>
      </c>
      <c r="X123" s="4139"/>
      <c r="Y123" s="2199"/>
    </row>
    <row r="124" spans="1:25">
      <c r="A124" s="2202"/>
      <c r="B124" s="2202"/>
      <c r="C124" s="2215"/>
      <c r="D124" s="4240" t="s">
        <v>702</v>
      </c>
      <c r="E124" s="4241"/>
      <c r="F124" s="4241"/>
      <c r="G124" s="4241"/>
      <c r="H124" s="613" t="s">
        <v>163</v>
      </c>
      <c r="I124" s="4204">
        <f>I32</f>
        <v>365.05510991</v>
      </c>
      <c r="J124" s="4204"/>
      <c r="K124" s="4222">
        <f>K32</f>
        <v>196.78766633333339</v>
      </c>
      <c r="L124" s="4223"/>
      <c r="M124" s="4076">
        <f>M32</f>
        <v>773.44686407333324</v>
      </c>
      <c r="N124" s="4077"/>
      <c r="O124" s="4222">
        <f>O32</f>
        <v>410.49337773666662</v>
      </c>
      <c r="P124" s="4223"/>
      <c r="Q124" s="4076">
        <f>Q32</f>
        <v>256.00466661583346</v>
      </c>
      <c r="R124" s="4077"/>
      <c r="S124" s="4222">
        <f>S32</f>
        <v>627.38786661583345</v>
      </c>
      <c r="T124" s="4223"/>
      <c r="U124" s="4076">
        <f>U32</f>
        <v>939.53997293333305</v>
      </c>
      <c r="V124" s="4077"/>
      <c r="W124" s="4134">
        <f>W32</f>
        <v>400.35753693383333</v>
      </c>
      <c r="X124" s="4135"/>
      <c r="Y124" s="2199"/>
    </row>
    <row r="125" spans="1:25">
      <c r="A125" s="2202"/>
      <c r="B125" s="2202"/>
      <c r="C125" s="2215"/>
      <c r="D125" s="4242" t="s">
        <v>701</v>
      </c>
      <c r="E125" s="4243"/>
      <c r="F125" s="4243"/>
      <c r="G125" s="4243"/>
      <c r="H125" s="612" t="s">
        <v>163</v>
      </c>
      <c r="I125" s="4254">
        <f>I36</f>
        <v>786.31408619228341</v>
      </c>
      <c r="J125" s="4254"/>
      <c r="K125" s="4070">
        <f>K36</f>
        <v>597.56152244055556</v>
      </c>
      <c r="L125" s="4304"/>
      <c r="M125" s="4070">
        <f>M36</f>
        <v>1174.7184108208555</v>
      </c>
      <c r="N125" s="4071"/>
      <c r="O125" s="4070">
        <f>O36</f>
        <v>821.24748921780554</v>
      </c>
      <c r="P125" s="4304"/>
      <c r="Q125" s="4070">
        <f>Q36</f>
        <v>657.33405439301816</v>
      </c>
      <c r="R125" s="4071"/>
      <c r="S125" s="4070">
        <f>S36</f>
        <v>1032.3227655042988</v>
      </c>
      <c r="T125" s="4304"/>
      <c r="U125" s="4070">
        <f>U36</f>
        <v>1347.9798893744442</v>
      </c>
      <c r="V125" s="4071"/>
      <c r="W125" s="4140">
        <f>W36</f>
        <v>807.43511261290359</v>
      </c>
      <c r="X125" s="4141"/>
      <c r="Y125" s="2199"/>
    </row>
    <row r="126" spans="1:25">
      <c r="A126" s="2202"/>
      <c r="B126" s="2202"/>
      <c r="C126" s="2215"/>
      <c r="D126" s="4253"/>
      <c r="E126" s="4253"/>
      <c r="F126" s="4253"/>
      <c r="G126" s="4253"/>
      <c r="H126" s="2212"/>
      <c r="I126" s="2213"/>
      <c r="J126" s="2213"/>
      <c r="K126" s="2203"/>
      <c r="L126" s="2203"/>
      <c r="M126" s="2203"/>
      <c r="N126" s="2203"/>
      <c r="O126" s="2203"/>
      <c r="P126" s="2203"/>
      <c r="Q126" s="2203"/>
      <c r="R126" s="2203"/>
      <c r="S126" s="2203"/>
      <c r="T126" s="2203"/>
      <c r="U126" s="2203"/>
      <c r="V126" s="2203"/>
      <c r="W126" s="2760"/>
      <c r="X126" s="2760"/>
      <c r="Y126" s="2199"/>
    </row>
    <row r="127" spans="1:25">
      <c r="A127" s="2202"/>
      <c r="B127" s="2202"/>
      <c r="C127" s="2215"/>
      <c r="D127" s="4238" t="s">
        <v>168</v>
      </c>
      <c r="E127" s="4239"/>
      <c r="F127" s="4239"/>
      <c r="G127" s="4239"/>
      <c r="H127" s="616" t="s">
        <v>700</v>
      </c>
      <c r="I127" s="4315">
        <f>J9</f>
        <v>420</v>
      </c>
      <c r="J127" s="4315">
        <f t="shared" ref="J127:J137" si="13">J117</f>
        <v>0</v>
      </c>
      <c r="K127" s="4316">
        <f>L9</f>
        <v>40</v>
      </c>
      <c r="L127" s="4317">
        <f t="shared" ref="L127:L137" si="14">L117</f>
        <v>0</v>
      </c>
      <c r="M127" s="615">
        <f>N9</f>
        <v>40</v>
      </c>
      <c r="N127" s="614"/>
      <c r="O127" s="4316">
        <f>P9</f>
        <v>20</v>
      </c>
      <c r="P127" s="4317">
        <f t="shared" ref="P127:P137" si="15">P117</f>
        <v>0</v>
      </c>
      <c r="Q127" s="615">
        <f>R9</f>
        <v>40</v>
      </c>
      <c r="R127" s="614"/>
      <c r="S127" s="4316">
        <f>T9</f>
        <v>40</v>
      </c>
      <c r="T127" s="4317">
        <f t="shared" ref="T127:T137" si="16">T117</f>
        <v>0</v>
      </c>
      <c r="U127" s="2220">
        <f>V9</f>
        <v>25</v>
      </c>
      <c r="V127" s="614"/>
      <c r="W127" s="2761">
        <f>X9</f>
        <v>112</v>
      </c>
      <c r="X127" s="2762"/>
      <c r="Y127" s="2199"/>
    </row>
    <row r="128" spans="1:25">
      <c r="A128" s="2202"/>
      <c r="B128" s="2202"/>
      <c r="C128" s="2215"/>
      <c r="D128" s="4240" t="s">
        <v>699</v>
      </c>
      <c r="E128" s="4241"/>
      <c r="F128" s="4241"/>
      <c r="G128" s="4241"/>
      <c r="H128" s="613" t="s">
        <v>163</v>
      </c>
      <c r="I128" s="4204">
        <f>I41+I42+I44+I45</f>
        <v>578</v>
      </c>
      <c r="J128" s="4204">
        <f t="shared" si="13"/>
        <v>0</v>
      </c>
      <c r="K128" s="4222">
        <f>K41+K42+K44+K45</f>
        <v>578</v>
      </c>
      <c r="L128" s="4223">
        <f t="shared" si="14"/>
        <v>0</v>
      </c>
      <c r="M128" s="4080">
        <f>M41+M42+M44+M45</f>
        <v>578</v>
      </c>
      <c r="N128" s="4081"/>
      <c r="O128" s="4222">
        <f>O41+O42+O44+O45</f>
        <v>578</v>
      </c>
      <c r="P128" s="4223">
        <f t="shared" si="15"/>
        <v>0</v>
      </c>
      <c r="Q128" s="4062">
        <f>Q41+Q42+Q44+Q45</f>
        <v>578</v>
      </c>
      <c r="R128" s="4063"/>
      <c r="S128" s="4222">
        <f>S41+S42+S44+S45</f>
        <v>578</v>
      </c>
      <c r="T128" s="4223">
        <f t="shared" si="16"/>
        <v>0</v>
      </c>
      <c r="U128" s="4080">
        <f>U41+U42+U44+U45</f>
        <v>578</v>
      </c>
      <c r="V128" s="4081"/>
      <c r="W128" s="4155">
        <f>W41+W42+W44+W45</f>
        <v>578</v>
      </c>
      <c r="X128" s="4156"/>
      <c r="Y128" s="2199"/>
    </row>
    <row r="129" spans="1:25">
      <c r="A129" s="2202"/>
      <c r="B129" s="2202"/>
      <c r="C129" s="2215"/>
      <c r="D129" s="4240" t="s">
        <v>576</v>
      </c>
      <c r="E129" s="4241"/>
      <c r="F129" s="4241"/>
      <c r="G129" s="4241"/>
      <c r="H129" s="613" t="s">
        <v>163</v>
      </c>
      <c r="I129" s="4204">
        <f>I40</f>
        <v>207.00000000000003</v>
      </c>
      <c r="J129" s="4204">
        <f t="shared" si="13"/>
        <v>0</v>
      </c>
      <c r="K129" s="4222">
        <f>K40</f>
        <v>158.304</v>
      </c>
      <c r="L129" s="4223">
        <f t="shared" si="14"/>
        <v>0</v>
      </c>
      <c r="M129" s="4078">
        <f>M40</f>
        <v>130.22400000000002</v>
      </c>
      <c r="N129" s="4079"/>
      <c r="O129" s="4222">
        <f>O40</f>
        <v>148.63199999999998</v>
      </c>
      <c r="P129" s="4223">
        <f t="shared" si="15"/>
        <v>0</v>
      </c>
      <c r="Q129" s="4060">
        <f>Q40</f>
        <v>161.81399999999999</v>
      </c>
      <c r="R129" s="4061"/>
      <c r="S129" s="4222">
        <f>S40</f>
        <v>161.81399999999999</v>
      </c>
      <c r="T129" s="4223">
        <f t="shared" si="16"/>
        <v>0</v>
      </c>
      <c r="U129" s="4078">
        <f>U40</f>
        <v>228.72</v>
      </c>
      <c r="V129" s="4079"/>
      <c r="W129" s="4154">
        <f>W40</f>
        <v>161.19479999999999</v>
      </c>
      <c r="X129" s="4133"/>
      <c r="Y129" s="2199"/>
    </row>
    <row r="130" spans="1:25">
      <c r="A130" s="2202"/>
      <c r="B130" s="2202"/>
      <c r="C130" s="2215"/>
      <c r="D130" s="4240" t="s">
        <v>698</v>
      </c>
      <c r="E130" s="4241"/>
      <c r="F130" s="4241"/>
      <c r="G130" s="4241"/>
      <c r="H130" s="613" t="s">
        <v>163</v>
      </c>
      <c r="I130" s="4204">
        <f>I43</f>
        <v>320</v>
      </c>
      <c r="J130" s="4204">
        <f t="shared" si="13"/>
        <v>0</v>
      </c>
      <c r="K130" s="4222">
        <f>K43</f>
        <v>320</v>
      </c>
      <c r="L130" s="4223">
        <f t="shared" si="14"/>
        <v>0</v>
      </c>
      <c r="M130" s="4076">
        <f>M43</f>
        <v>320</v>
      </c>
      <c r="N130" s="4077"/>
      <c r="O130" s="4222">
        <f>O43</f>
        <v>320</v>
      </c>
      <c r="P130" s="4223">
        <f t="shared" si="15"/>
        <v>0</v>
      </c>
      <c r="Q130" s="4358">
        <f>Q43</f>
        <v>320</v>
      </c>
      <c r="R130" s="4359"/>
      <c r="S130" s="4222">
        <f>S43</f>
        <v>320</v>
      </c>
      <c r="T130" s="4223">
        <f t="shared" si="16"/>
        <v>0</v>
      </c>
      <c r="U130" s="4076">
        <f>U43</f>
        <v>320</v>
      </c>
      <c r="V130" s="4077"/>
      <c r="W130" s="4153">
        <f>W43</f>
        <v>320</v>
      </c>
      <c r="X130" s="4135"/>
      <c r="Y130" s="2199"/>
    </row>
    <row r="131" spans="1:25">
      <c r="A131" s="2202"/>
      <c r="B131" s="2202"/>
      <c r="C131" s="2215"/>
      <c r="D131" s="4238" t="s">
        <v>697</v>
      </c>
      <c r="E131" s="4239"/>
      <c r="F131" s="4239"/>
      <c r="G131" s="4239"/>
      <c r="H131" s="616" t="s">
        <v>163</v>
      </c>
      <c r="I131" s="4314">
        <f>I46</f>
        <v>1105</v>
      </c>
      <c r="J131" s="4314">
        <f t="shared" si="13"/>
        <v>0</v>
      </c>
      <c r="K131" s="4070">
        <f>K46</f>
        <v>1056.3040000000001</v>
      </c>
      <c r="L131" s="4304">
        <f t="shared" si="14"/>
        <v>0</v>
      </c>
      <c r="M131" s="4074">
        <f>M46</f>
        <v>1028.2240000000002</v>
      </c>
      <c r="N131" s="4075"/>
      <c r="O131" s="4070">
        <f>O46</f>
        <v>1046.6320000000001</v>
      </c>
      <c r="P131" s="4304">
        <f t="shared" si="15"/>
        <v>0</v>
      </c>
      <c r="Q131" s="4356">
        <f>Q46</f>
        <v>1059.8139999999999</v>
      </c>
      <c r="R131" s="4357"/>
      <c r="S131" s="4070">
        <f>S46</f>
        <v>1059.8139999999999</v>
      </c>
      <c r="T131" s="4304">
        <f t="shared" si="16"/>
        <v>0</v>
      </c>
      <c r="U131" s="4074">
        <f>U46</f>
        <v>1126.72</v>
      </c>
      <c r="V131" s="4075"/>
      <c r="W131" s="4151">
        <f>W46</f>
        <v>1059.1948000000002</v>
      </c>
      <c r="X131" s="4152"/>
      <c r="Y131" s="2199"/>
    </row>
    <row r="132" spans="1:25">
      <c r="A132" s="2202"/>
      <c r="B132" s="2202"/>
      <c r="C132" s="2215"/>
      <c r="D132" s="4240" t="s">
        <v>696</v>
      </c>
      <c r="E132" s="4241"/>
      <c r="F132" s="4241"/>
      <c r="G132" s="4241"/>
      <c r="H132" s="613" t="s">
        <v>163</v>
      </c>
      <c r="I132" s="4322">
        <f>I50</f>
        <v>-735.68591380771659</v>
      </c>
      <c r="J132" s="4322">
        <f t="shared" si="13"/>
        <v>0</v>
      </c>
      <c r="K132" s="4338">
        <f>K50</f>
        <v>-875.74247755944452</v>
      </c>
      <c r="L132" s="4339">
        <f t="shared" si="14"/>
        <v>0</v>
      </c>
      <c r="M132" s="4072">
        <f>M50</f>
        <v>-270.50558917914486</v>
      </c>
      <c r="N132" s="4073"/>
      <c r="O132" s="4338">
        <f>O50</f>
        <v>-642.38451078219441</v>
      </c>
      <c r="P132" s="4339">
        <f t="shared" si="15"/>
        <v>0</v>
      </c>
      <c r="Q132" s="4354">
        <f>Q50</f>
        <v>-819.47994560698157</v>
      </c>
      <c r="R132" s="4355"/>
      <c r="S132" s="4338">
        <f>S50</f>
        <v>-444.49123449570106</v>
      </c>
      <c r="T132" s="4339">
        <f t="shared" si="16"/>
        <v>0</v>
      </c>
      <c r="U132" s="4072">
        <f>U50</f>
        <v>-195.74011062555564</v>
      </c>
      <c r="V132" s="4073"/>
      <c r="W132" s="4149">
        <f>W50</f>
        <v>-668.75968738709639</v>
      </c>
      <c r="X132" s="4150"/>
      <c r="Y132" s="2199"/>
    </row>
    <row r="133" spans="1:25">
      <c r="A133" s="2202"/>
      <c r="B133" s="2202"/>
      <c r="C133" s="2215"/>
      <c r="D133" s="4242" t="s">
        <v>695</v>
      </c>
      <c r="E133" s="4243"/>
      <c r="F133" s="4243"/>
      <c r="G133" s="4243"/>
      <c r="H133" s="612" t="s">
        <v>163</v>
      </c>
      <c r="I133" s="4254">
        <f>I53</f>
        <v>-318.68591380771659</v>
      </c>
      <c r="J133" s="4254">
        <f t="shared" si="13"/>
        <v>0</v>
      </c>
      <c r="K133" s="4070">
        <f>K53</f>
        <v>-458.74247755944452</v>
      </c>
      <c r="L133" s="4304">
        <f t="shared" si="14"/>
        <v>0</v>
      </c>
      <c r="M133" s="4070">
        <f>M53</f>
        <v>146.49441082085514</v>
      </c>
      <c r="N133" s="4071"/>
      <c r="O133" s="4070">
        <f>O53</f>
        <v>-225.38451078219441</v>
      </c>
      <c r="P133" s="4304">
        <f t="shared" si="15"/>
        <v>0</v>
      </c>
      <c r="Q133" s="4352">
        <f>Q53</f>
        <v>-402.47994560698157</v>
      </c>
      <c r="R133" s="4353"/>
      <c r="S133" s="4070">
        <f>S53</f>
        <v>-27.491234495701065</v>
      </c>
      <c r="T133" s="4304">
        <f t="shared" si="16"/>
        <v>0</v>
      </c>
      <c r="U133" s="4070">
        <f>U53</f>
        <v>221.25988937444436</v>
      </c>
      <c r="V133" s="4071"/>
      <c r="W133" s="4148">
        <f>W53</f>
        <v>-251.75968738709639</v>
      </c>
      <c r="X133" s="4141"/>
      <c r="Y133" s="2199"/>
    </row>
    <row r="134" spans="1:25">
      <c r="A134" s="2202"/>
      <c r="B134" s="2202"/>
      <c r="C134" s="2215"/>
      <c r="D134" s="4240" t="s">
        <v>694</v>
      </c>
      <c r="E134" s="4241"/>
      <c r="F134" s="4241"/>
      <c r="G134" s="4241"/>
      <c r="H134" s="613" t="s">
        <v>220</v>
      </c>
      <c r="I134" s="4321">
        <f>J68</f>
        <v>1.7516331281136108</v>
      </c>
      <c r="J134" s="4321">
        <f t="shared" si="13"/>
        <v>0</v>
      </c>
      <c r="K134" s="4328">
        <f>L68</f>
        <v>51.983561938986107</v>
      </c>
      <c r="L134" s="4329">
        <f t="shared" si="14"/>
        <v>0</v>
      </c>
      <c r="M134" s="4068">
        <f>N68</f>
        <v>50.202639729478619</v>
      </c>
      <c r="N134" s="4069"/>
      <c r="O134" s="4328">
        <f>P68</f>
        <v>90.119225539109721</v>
      </c>
      <c r="P134" s="4329">
        <f t="shared" si="15"/>
        <v>0</v>
      </c>
      <c r="Q134" s="4350">
        <f>R68</f>
        <v>49.66699864017454</v>
      </c>
      <c r="R134" s="4351"/>
      <c r="S134" s="4328">
        <f>T68</f>
        <v>52.192280862392522</v>
      </c>
      <c r="T134" s="4329">
        <f t="shared" si="16"/>
        <v>0</v>
      </c>
      <c r="U134" s="4068">
        <f>V68</f>
        <v>86.499604425022227</v>
      </c>
      <c r="V134" s="4069"/>
      <c r="W134" s="4146">
        <f>X68</f>
        <v>17.521782923099071</v>
      </c>
      <c r="X134" s="4147"/>
      <c r="Y134" s="2199"/>
    </row>
    <row r="135" spans="1:25">
      <c r="A135" s="2202"/>
      <c r="B135" s="2202"/>
      <c r="C135" s="2215"/>
      <c r="D135" s="4242" t="s">
        <v>693</v>
      </c>
      <c r="E135" s="4243"/>
      <c r="F135" s="4243"/>
      <c r="G135" s="4243"/>
      <c r="H135" s="612" t="s">
        <v>220</v>
      </c>
      <c r="I135" s="4318">
        <f>J71</f>
        <v>0.75877598525646794</v>
      </c>
      <c r="J135" s="4318">
        <f t="shared" si="13"/>
        <v>0</v>
      </c>
      <c r="K135" s="4066">
        <f>L71</f>
        <v>41.558561938986102</v>
      </c>
      <c r="L135" s="4319">
        <f t="shared" si="14"/>
        <v>0</v>
      </c>
      <c r="M135" s="4066">
        <f>N71</f>
        <v>39.777639729478622</v>
      </c>
      <c r="N135" s="4067"/>
      <c r="O135" s="4066">
        <f>P71</f>
        <v>69.269225539109726</v>
      </c>
      <c r="P135" s="4319">
        <f t="shared" si="15"/>
        <v>0</v>
      </c>
      <c r="Q135" s="4348">
        <f>R71</f>
        <v>39.241998640174543</v>
      </c>
      <c r="R135" s="4349"/>
      <c r="S135" s="4066">
        <f>T71</f>
        <v>41.767280862392525</v>
      </c>
      <c r="T135" s="4319">
        <f t="shared" si="16"/>
        <v>0</v>
      </c>
      <c r="U135" s="4066">
        <f>V71</f>
        <v>69.81960442502222</v>
      </c>
      <c r="V135" s="4067"/>
      <c r="W135" s="4144">
        <f>X71</f>
        <v>13.798568637384786</v>
      </c>
      <c r="X135" s="4145"/>
      <c r="Y135" s="2199"/>
    </row>
    <row r="136" spans="1:25">
      <c r="A136" s="2202"/>
      <c r="B136" s="2202"/>
      <c r="C136" s="2215"/>
      <c r="D136" s="4330" t="s">
        <v>692</v>
      </c>
      <c r="E136" s="4331"/>
      <c r="F136" s="4331"/>
      <c r="G136" s="4331"/>
      <c r="H136" s="611" t="s">
        <v>691</v>
      </c>
      <c r="I136" s="4323">
        <f>J59</f>
        <v>-10.790909546639279</v>
      </c>
      <c r="J136" s="4323">
        <f t="shared" si="13"/>
        <v>0</v>
      </c>
      <c r="K136" s="4326">
        <f>L59</f>
        <v>-37.957155543693723</v>
      </c>
      <c r="L136" s="4327">
        <f t="shared" si="14"/>
        <v>0</v>
      </c>
      <c r="M136" s="4064">
        <f>N59</f>
        <v>42.49883444232325</v>
      </c>
      <c r="N136" s="4065"/>
      <c r="O136" s="4326">
        <f>P59</f>
        <v>-10.327858170810384</v>
      </c>
      <c r="P136" s="4327">
        <f t="shared" si="15"/>
        <v>0</v>
      </c>
      <c r="Q136" s="4346">
        <f>R59</f>
        <v>-29.745997949124497</v>
      </c>
      <c r="R136" s="4347"/>
      <c r="S136" s="4326">
        <f>T59</f>
        <v>16.602119162037763</v>
      </c>
      <c r="T136" s="4327">
        <f t="shared" si="16"/>
        <v>0</v>
      </c>
      <c r="U136" s="4064">
        <f>V59</f>
        <v>39.347664338443899</v>
      </c>
      <c r="V136" s="4065"/>
      <c r="W136" s="4142">
        <f>X59</f>
        <v>0</v>
      </c>
      <c r="X136" s="4143"/>
      <c r="Y136" s="2199"/>
    </row>
    <row r="137" spans="1:25">
      <c r="A137" s="2202"/>
      <c r="B137" s="2202"/>
      <c r="C137" s="2215"/>
      <c r="D137" s="4332" t="s">
        <v>690</v>
      </c>
      <c r="E137" s="4333"/>
      <c r="F137" s="4333"/>
      <c r="G137" s="4333"/>
      <c r="H137" s="610" t="s">
        <v>163</v>
      </c>
      <c r="I137" s="4325">
        <f>I62</f>
        <v>1.3140861922834119</v>
      </c>
      <c r="J137" s="4325">
        <f t="shared" si="13"/>
        <v>0</v>
      </c>
      <c r="K137" s="4334">
        <f>K62</f>
        <v>-138.74247755944452</v>
      </c>
      <c r="L137" s="4335">
        <f t="shared" si="14"/>
        <v>0</v>
      </c>
      <c r="M137" s="4336">
        <f>M62</f>
        <v>466.49441082085514</v>
      </c>
      <c r="N137" s="4337">
        <f t="shared" ref="N137" si="17">N127</f>
        <v>0</v>
      </c>
      <c r="O137" s="4334">
        <f>O62</f>
        <v>94.615489217805589</v>
      </c>
      <c r="P137" s="4335">
        <f t="shared" si="15"/>
        <v>0</v>
      </c>
      <c r="Q137" s="4336">
        <f>Q62</f>
        <v>-82.479945606981573</v>
      </c>
      <c r="R137" s="4337">
        <f t="shared" ref="R137" si="18">R127</f>
        <v>0</v>
      </c>
      <c r="S137" s="4334">
        <f>S62</f>
        <v>292.50876550429894</v>
      </c>
      <c r="T137" s="4335">
        <f t="shared" si="16"/>
        <v>0</v>
      </c>
      <c r="U137" s="4336">
        <f>U62</f>
        <v>541.25988937444436</v>
      </c>
      <c r="V137" s="4337">
        <f t="shared" ref="V137" si="19">V127</f>
        <v>0</v>
      </c>
      <c r="W137" s="4121">
        <f>W62</f>
        <v>68.240312612903608</v>
      </c>
      <c r="X137" s="4122">
        <f t="shared" ref="X137" si="20">X127</f>
        <v>0</v>
      </c>
      <c r="Y137" s="2199"/>
    </row>
    <row r="138" spans="1:25">
      <c r="A138" s="2202"/>
      <c r="B138" s="2202"/>
      <c r="C138" s="2215"/>
      <c r="D138" s="2215"/>
      <c r="E138" s="2215"/>
      <c r="F138" s="2215"/>
      <c r="G138" s="2215"/>
      <c r="H138" s="2210"/>
      <c r="I138" s="2211"/>
      <c r="J138" s="2199"/>
      <c r="K138" s="2199"/>
      <c r="L138" s="2199"/>
      <c r="M138" s="2199"/>
      <c r="N138" s="2199"/>
      <c r="O138" s="2199"/>
      <c r="P138" s="2199"/>
      <c r="Q138" s="2199"/>
      <c r="R138" s="2199"/>
      <c r="S138" s="2199"/>
      <c r="T138" s="2199"/>
      <c r="U138" s="2199"/>
      <c r="V138" s="2199"/>
      <c r="W138" s="2756"/>
      <c r="X138" s="2756"/>
      <c r="Y138" s="2202"/>
    </row>
    <row r="139" spans="1:25" ht="22.8">
      <c r="A139" s="2202"/>
      <c r="B139" s="4324"/>
      <c r="C139" s="4324"/>
      <c r="D139" s="4324"/>
      <c r="E139" s="4324"/>
      <c r="F139" s="4324"/>
      <c r="G139" s="4324"/>
      <c r="H139" s="4324"/>
      <c r="I139" s="4324"/>
      <c r="J139" s="4324"/>
      <c r="K139" s="4324"/>
      <c r="L139" s="4324"/>
      <c r="M139" s="4324"/>
      <c r="N139" s="4324"/>
      <c r="O139" s="2201"/>
      <c r="P139" s="2202"/>
      <c r="Q139" s="2201"/>
      <c r="R139" s="2202"/>
      <c r="S139" s="2201"/>
      <c r="T139" s="2202"/>
      <c r="U139" s="2201"/>
      <c r="V139" s="2202"/>
      <c r="W139" s="2763"/>
      <c r="X139" s="2764"/>
      <c r="Y139" s="2202"/>
    </row>
    <row r="140" spans="1:25">
      <c r="A140" s="2202"/>
      <c r="B140" s="2202"/>
      <c r="C140" s="2215"/>
      <c r="D140" s="2215"/>
      <c r="E140" s="2215"/>
      <c r="F140" s="2215"/>
      <c r="G140" s="2215"/>
      <c r="H140" s="2210"/>
      <c r="I140" s="2211"/>
      <c r="J140" s="2199"/>
      <c r="K140" s="2199"/>
      <c r="L140" s="2199"/>
      <c r="M140" s="2199"/>
      <c r="N140" s="2199"/>
      <c r="O140" s="2199"/>
      <c r="P140" s="3579"/>
      <c r="Q140" s="3579"/>
      <c r="R140" s="3579"/>
      <c r="S140" s="3579"/>
      <c r="T140" s="3579"/>
      <c r="U140" s="3579"/>
      <c r="V140" s="3579"/>
      <c r="W140" s="3580"/>
      <c r="X140" s="3580"/>
      <c r="Y140" s="3581"/>
    </row>
    <row r="141" spans="1:25">
      <c r="A141" s="2202"/>
      <c r="B141" s="2202"/>
      <c r="C141" s="2215"/>
      <c r="D141" s="2215"/>
      <c r="E141" s="2215"/>
      <c r="F141" s="2215"/>
      <c r="G141" s="2215"/>
      <c r="H141" s="2210"/>
      <c r="I141" s="2211"/>
      <c r="J141" s="2199"/>
      <c r="K141" s="2199"/>
      <c r="L141" s="2199"/>
      <c r="M141" s="2199"/>
      <c r="N141" s="2199"/>
      <c r="O141" s="2199"/>
      <c r="P141" s="3570"/>
      <c r="Q141" s="3570"/>
      <c r="R141" s="3570"/>
      <c r="S141" s="3570"/>
      <c r="T141" s="3570"/>
      <c r="U141" s="3570"/>
      <c r="V141" s="3570"/>
      <c r="W141" s="3571"/>
      <c r="X141" s="3571"/>
      <c r="Y141" s="3570"/>
    </row>
    <row r="142" spans="1:25">
      <c r="A142" s="2202"/>
      <c r="B142" s="2202"/>
      <c r="C142" s="2215"/>
      <c r="D142" s="2215"/>
      <c r="E142" s="2215"/>
      <c r="F142" s="2215"/>
      <c r="G142" s="2215"/>
      <c r="H142" s="2210"/>
      <c r="I142" s="2211"/>
      <c r="J142" s="2199"/>
      <c r="K142" s="2199"/>
      <c r="L142" s="2199"/>
      <c r="M142" s="2199"/>
      <c r="N142" s="2199"/>
      <c r="O142" s="2199"/>
      <c r="P142" s="3570"/>
      <c r="Q142" s="3573"/>
      <c r="R142" s="3573">
        <v>142</v>
      </c>
      <c r="S142" s="3573" t="str">
        <f>$L$9&amp;"dt/ha"</f>
        <v>40dt/ha</v>
      </c>
      <c r="T142" s="3573" t="str">
        <f>$N$9&amp;"dt/ha"</f>
        <v>40dt/ha</v>
      </c>
      <c r="U142" s="3573" t="str">
        <f>$P$9&amp;"dt/ha"</f>
        <v>20dt/ha</v>
      </c>
      <c r="V142" s="3573" t="str">
        <f>$R$9&amp;"dt/ha"</f>
        <v>40dt/ha</v>
      </c>
      <c r="W142" s="3573" t="str">
        <f>$T$9&amp;"dt/ha"</f>
        <v>40dt/ha</v>
      </c>
      <c r="X142" s="3573" t="str">
        <f>$V$9&amp;"dt/ha"</f>
        <v>25dt/ha</v>
      </c>
      <c r="Y142" s="3572"/>
    </row>
    <row r="143" spans="1:25">
      <c r="A143" s="2202"/>
      <c r="B143" s="2202"/>
      <c r="C143" s="2215"/>
      <c r="D143" s="2215"/>
      <c r="E143" s="2215"/>
      <c r="F143" s="2215"/>
      <c r="G143" s="2215"/>
      <c r="H143" s="2210"/>
      <c r="I143" s="2211"/>
      <c r="J143" s="2199"/>
      <c r="K143" s="2199"/>
      <c r="L143" s="2199"/>
      <c r="M143" s="2199"/>
      <c r="N143" s="2199"/>
      <c r="O143" s="2199"/>
      <c r="P143" s="3570"/>
      <c r="Q143" s="3573"/>
      <c r="R143" s="3574" t="str">
        <f>$I$8</f>
        <v>mittel</v>
      </c>
      <c r="S143" s="3574" t="str">
        <f>$K$8</f>
        <v>mittel</v>
      </c>
      <c r="T143" s="3574" t="str">
        <f>$M$8</f>
        <v>mittel</v>
      </c>
      <c r="U143" s="3574" t="str">
        <f>$O$8</f>
        <v>mittel</v>
      </c>
      <c r="V143" s="3574" t="str">
        <f>$Q$8</f>
        <v>mittel</v>
      </c>
      <c r="W143" s="3573" t="str">
        <f>$S$8</f>
        <v>mittel</v>
      </c>
      <c r="X143" s="3574" t="str">
        <f>$U$8</f>
        <v>mittel</v>
      </c>
      <c r="Y143" s="3570"/>
    </row>
    <row r="144" spans="1:25">
      <c r="A144" s="2202"/>
      <c r="B144" s="2202"/>
      <c r="C144" s="2215"/>
      <c r="D144" s="2215"/>
      <c r="E144" s="2215"/>
      <c r="F144" s="2215"/>
      <c r="G144" s="2215"/>
      <c r="H144" s="2210"/>
      <c r="I144" s="2211"/>
      <c r="J144" s="2199"/>
      <c r="K144" s="2199"/>
      <c r="L144" s="2199"/>
      <c r="M144" s="2199"/>
      <c r="N144" s="2199"/>
      <c r="O144" s="2199"/>
      <c r="P144" s="3570"/>
      <c r="Q144" s="3573"/>
      <c r="R144" s="3573" t="str">
        <f>$I$2</f>
        <v xml:space="preserve">Öko-Kleegras einjährig (70:30) </v>
      </c>
      <c r="S144" s="3573" t="str">
        <f>$K$2</f>
        <v>Öko-Winterweizen (Futter)</v>
      </c>
      <c r="T144" s="3573" t="str">
        <f>$M$2</f>
        <v>Öko-Dinkel</v>
      </c>
      <c r="U144" s="3573" t="str">
        <f>$O$2</f>
        <v>Öko-Lupine</v>
      </c>
      <c r="V144" s="3573" t="str">
        <f>$Q$2</f>
        <v>Öko-Winterroggen (Brot)</v>
      </c>
      <c r="W144" s="3573" t="str">
        <f>$S$2</f>
        <v>Öko-Hafer</v>
      </c>
      <c r="X144" s="3573" t="str">
        <f>$U$2</f>
        <v>Öko-Sojabohnen</v>
      </c>
      <c r="Y144" s="3572"/>
    </row>
    <row r="145" spans="1:25">
      <c r="A145" s="2202"/>
      <c r="B145" s="2202"/>
      <c r="C145" s="2215"/>
      <c r="D145" s="2215"/>
      <c r="E145" s="2215"/>
      <c r="F145" s="2215"/>
      <c r="G145" s="2215"/>
      <c r="H145" s="2210"/>
      <c r="I145" s="2211"/>
      <c r="J145" s="2199"/>
      <c r="K145" s="2199"/>
      <c r="L145" s="2199"/>
      <c r="M145" s="2199"/>
      <c r="N145" s="2199"/>
      <c r="O145" s="2199"/>
      <c r="P145" s="3570"/>
      <c r="Q145" s="3575" t="s">
        <v>1117</v>
      </c>
      <c r="R145" s="3578">
        <f>I124</f>
        <v>365.05510991</v>
      </c>
      <c r="S145" s="3578">
        <f>K124</f>
        <v>196.78766633333339</v>
      </c>
      <c r="T145" s="3578">
        <f>M124</f>
        <v>773.44686407333324</v>
      </c>
      <c r="U145" s="3578">
        <f>O124</f>
        <v>410.49337773666662</v>
      </c>
      <c r="V145" s="3578">
        <f>Q124</f>
        <v>256.00466661583346</v>
      </c>
      <c r="W145" s="3583">
        <f>S124</f>
        <v>627.38786661583345</v>
      </c>
      <c r="X145" s="3578">
        <f>U124</f>
        <v>939.53997293333305</v>
      </c>
      <c r="Y145" s="3572"/>
    </row>
    <row r="146" spans="1:25">
      <c r="A146" s="2202"/>
      <c r="B146" s="2202"/>
      <c r="C146" s="2215"/>
      <c r="D146" s="2215"/>
      <c r="E146" s="2215"/>
      <c r="F146" s="2215"/>
      <c r="G146" s="2215"/>
      <c r="H146" s="2210"/>
      <c r="I146" s="2211"/>
      <c r="J146" s="2199"/>
      <c r="K146" s="2199"/>
      <c r="L146" s="2199"/>
      <c r="M146" s="2199"/>
      <c r="N146" s="2199"/>
      <c r="O146" s="2199"/>
      <c r="P146" s="3570"/>
      <c r="Q146" s="3575" t="s">
        <v>1116</v>
      </c>
      <c r="R146" s="3578">
        <f>I125</f>
        <v>786.31408619228341</v>
      </c>
      <c r="S146" s="3578">
        <f>K125</f>
        <v>597.56152244055556</v>
      </c>
      <c r="T146" s="3578">
        <f>M125</f>
        <v>1174.7184108208555</v>
      </c>
      <c r="U146" s="3578">
        <f>O125</f>
        <v>821.24748921780554</v>
      </c>
      <c r="V146" s="3578">
        <f>Q125</f>
        <v>657.33405439301816</v>
      </c>
      <c r="W146" s="3583">
        <f>S125</f>
        <v>1032.3227655042988</v>
      </c>
      <c r="X146" s="3578">
        <f>U125</f>
        <v>1347.9798893744442</v>
      </c>
      <c r="Y146" s="3570"/>
    </row>
    <row r="147" spans="1:25">
      <c r="A147" s="2202"/>
      <c r="B147" s="2202"/>
      <c r="C147" s="2215"/>
      <c r="D147" s="2215"/>
      <c r="E147" s="2215"/>
      <c r="F147" s="2215"/>
      <c r="G147" s="2215"/>
      <c r="H147" s="2210"/>
      <c r="I147" s="2211"/>
      <c r="J147" s="2199"/>
      <c r="K147" s="2199"/>
      <c r="L147" s="2199"/>
      <c r="M147" s="2199"/>
      <c r="N147" s="2199"/>
      <c r="O147" s="2199"/>
      <c r="P147" s="3570"/>
      <c r="Q147" s="3570"/>
      <c r="R147" s="3570"/>
      <c r="S147" s="3570"/>
      <c r="T147" s="3570"/>
      <c r="U147" s="3570"/>
      <c r="V147" s="3570"/>
      <c r="W147" s="3571"/>
      <c r="X147" s="3571"/>
      <c r="Y147" s="3572"/>
    </row>
    <row r="148" spans="1:25">
      <c r="A148" s="2202"/>
      <c r="B148" s="2202"/>
      <c r="C148" s="2215"/>
      <c r="D148" s="2215"/>
      <c r="E148" s="2215"/>
      <c r="F148" s="2215"/>
      <c r="G148" s="2215"/>
      <c r="H148" s="2210"/>
      <c r="I148" s="2211"/>
      <c r="J148" s="2199"/>
      <c r="K148" s="2199"/>
      <c r="L148" s="2199"/>
      <c r="M148" s="2199"/>
      <c r="N148" s="2199"/>
      <c r="O148" s="2199"/>
      <c r="P148" s="3570"/>
      <c r="Q148" s="3570"/>
      <c r="R148" s="3570"/>
      <c r="S148" s="3570"/>
      <c r="T148" s="3570"/>
      <c r="U148" s="3570"/>
      <c r="V148" s="3570"/>
      <c r="W148" s="3571"/>
      <c r="X148" s="3571"/>
      <c r="Y148" s="3572"/>
    </row>
    <row r="149" spans="1:25">
      <c r="A149" s="2202"/>
      <c r="C149" s="609"/>
      <c r="D149" s="29"/>
      <c r="E149" s="29"/>
      <c r="F149" s="29"/>
      <c r="G149" s="29"/>
      <c r="O149" s="2199"/>
      <c r="P149" s="3570"/>
      <c r="Q149" s="3570"/>
      <c r="R149" s="3570"/>
      <c r="S149" s="3570"/>
      <c r="T149" s="3570"/>
      <c r="U149" s="3570"/>
      <c r="V149" s="3570"/>
      <c r="W149" s="3571"/>
      <c r="X149" s="3571"/>
      <c r="Y149" s="3572"/>
    </row>
    <row r="150" spans="1:25">
      <c r="A150" s="2202"/>
      <c r="C150" s="609"/>
      <c r="D150" s="29"/>
      <c r="E150" s="29"/>
      <c r="F150" s="29"/>
      <c r="G150" s="29"/>
      <c r="O150" s="2199"/>
      <c r="P150" s="3570"/>
      <c r="Q150" s="3570"/>
      <c r="R150" s="3570"/>
      <c r="S150" s="3570"/>
      <c r="T150" s="3570"/>
      <c r="U150" s="3570"/>
      <c r="V150" s="3570"/>
      <c r="W150" s="3571"/>
      <c r="X150" s="3571"/>
      <c r="Y150" s="3572"/>
    </row>
    <row r="151" spans="1:25">
      <c r="A151" s="2202"/>
      <c r="C151" s="609"/>
      <c r="D151" s="29"/>
      <c r="E151" s="29"/>
      <c r="F151" s="29"/>
      <c r="G151" s="29"/>
      <c r="O151" s="2199"/>
      <c r="P151" s="3579"/>
      <c r="Q151" s="3579"/>
      <c r="R151" s="3579"/>
      <c r="S151" s="3579"/>
      <c r="T151" s="3579"/>
      <c r="U151" s="3579"/>
      <c r="V151" s="3579"/>
      <c r="W151" s="3580"/>
      <c r="X151" s="3580"/>
      <c r="Y151" s="3581"/>
    </row>
    <row r="152" spans="1:25" ht="162.6" customHeight="1">
      <c r="A152" s="2202"/>
      <c r="C152" s="609"/>
      <c r="D152" s="29"/>
      <c r="E152" s="29"/>
      <c r="F152" s="29"/>
      <c r="G152" s="29"/>
      <c r="O152" s="2199"/>
      <c r="P152" s="2199"/>
      <c r="Q152" s="2199"/>
      <c r="R152" s="2199"/>
      <c r="S152" s="2199"/>
      <c r="T152" s="2199"/>
      <c r="U152" s="2199"/>
      <c r="V152" s="2199"/>
      <c r="W152" s="2756"/>
      <c r="X152" s="2756"/>
      <c r="Y152" s="2202"/>
    </row>
    <row r="153" spans="1:25">
      <c r="A153" s="2202"/>
      <c r="C153" s="609"/>
      <c r="D153" s="29"/>
      <c r="E153" s="29"/>
      <c r="F153" s="29"/>
      <c r="G153" s="29"/>
      <c r="O153" s="2199"/>
      <c r="P153" s="2199"/>
      <c r="Q153" s="2199"/>
      <c r="R153" s="2199"/>
      <c r="S153" s="2199"/>
      <c r="T153" s="2199"/>
      <c r="U153" s="2199"/>
      <c r="V153" s="2199"/>
      <c r="W153" s="2756"/>
      <c r="X153" s="2756"/>
      <c r="Y153" s="2202"/>
    </row>
    <row r="154" spans="1:25">
      <c r="A154" s="2202"/>
      <c r="C154" s="609"/>
      <c r="D154" s="29"/>
      <c r="E154" s="29"/>
      <c r="F154" s="29"/>
      <c r="G154" s="29"/>
      <c r="O154" s="2199"/>
      <c r="P154" s="2199"/>
      <c r="Q154" s="2199"/>
      <c r="R154" s="2199"/>
      <c r="S154" s="2199"/>
      <c r="T154" s="2199"/>
      <c r="U154" s="2199"/>
      <c r="V154" s="2199"/>
      <c r="W154" s="2756"/>
      <c r="X154" s="2756"/>
      <c r="Y154" s="2202"/>
    </row>
    <row r="155" spans="1:25">
      <c r="A155" s="2202"/>
      <c r="C155" s="609"/>
      <c r="D155" s="29"/>
      <c r="E155" s="29"/>
      <c r="F155" s="29"/>
      <c r="G155" s="29"/>
      <c r="O155" s="2199"/>
      <c r="P155" s="2199"/>
      <c r="Q155" s="2199"/>
      <c r="R155" s="2199"/>
      <c r="S155" s="2199"/>
      <c r="T155" s="2199"/>
      <c r="U155" s="2199"/>
      <c r="V155" s="2199"/>
      <c r="W155" s="2756"/>
      <c r="X155" s="2756"/>
      <c r="Y155" s="2202"/>
    </row>
    <row r="156" spans="1:25">
      <c r="A156" s="2202"/>
      <c r="C156" s="609"/>
      <c r="D156" s="29"/>
      <c r="E156" s="29"/>
      <c r="F156" s="29"/>
      <c r="G156" s="29"/>
      <c r="O156" s="2199"/>
      <c r="P156" s="2199"/>
      <c r="Q156" s="2199"/>
      <c r="R156" s="2199"/>
      <c r="S156" s="2199"/>
      <c r="T156" s="2199"/>
      <c r="U156" s="2199"/>
      <c r="V156" s="2199"/>
      <c r="W156" s="2756"/>
      <c r="X156" s="2756"/>
      <c r="Y156" s="2202"/>
    </row>
    <row r="157" spans="1:25">
      <c r="A157" s="2202"/>
      <c r="C157" s="609"/>
      <c r="D157" s="29"/>
      <c r="E157" s="29"/>
      <c r="F157" s="29"/>
      <c r="G157" s="29"/>
      <c r="O157" s="2199"/>
      <c r="P157" s="2199"/>
      <c r="Q157" s="2199"/>
      <c r="R157" s="2199"/>
      <c r="S157" s="2199"/>
      <c r="T157" s="2199"/>
      <c r="U157" s="2199"/>
      <c r="V157" s="2199"/>
      <c r="W157" s="2756"/>
      <c r="X157" s="2756"/>
      <c r="Y157" s="2202"/>
    </row>
    <row r="158" spans="1:25">
      <c r="A158" s="2202"/>
      <c r="C158" s="609"/>
      <c r="D158" s="29"/>
      <c r="E158" s="29"/>
      <c r="F158" s="29"/>
      <c r="G158" s="29"/>
      <c r="O158" s="2199"/>
      <c r="P158" s="2199"/>
      <c r="Q158" s="2199"/>
      <c r="R158" s="2199"/>
      <c r="S158" s="2199"/>
      <c r="T158" s="2199"/>
      <c r="U158" s="2199"/>
      <c r="V158" s="2199"/>
      <c r="W158" s="2756"/>
      <c r="X158" s="2756"/>
      <c r="Y158" s="2202"/>
    </row>
    <row r="159" spans="1:25">
      <c r="A159" s="2202"/>
      <c r="C159" s="609"/>
      <c r="D159" s="29"/>
      <c r="E159" s="29"/>
      <c r="F159" s="29"/>
      <c r="G159" s="29"/>
      <c r="O159" s="2199"/>
      <c r="P159" s="2199"/>
      <c r="Q159" s="2199"/>
      <c r="R159" s="2199"/>
      <c r="S159" s="2199"/>
      <c r="T159" s="2199"/>
      <c r="U159" s="2199"/>
      <c r="V159" s="2199"/>
      <c r="W159" s="2756"/>
      <c r="X159" s="2756"/>
      <c r="Y159" s="2202"/>
    </row>
    <row r="160" spans="1:25">
      <c r="A160" s="2202"/>
      <c r="C160" s="609"/>
      <c r="D160" s="29"/>
      <c r="E160" s="29"/>
      <c r="F160" s="29"/>
      <c r="G160" s="29"/>
      <c r="O160" s="2199"/>
      <c r="P160" s="2199"/>
      <c r="Q160" s="2199"/>
      <c r="R160" s="2199"/>
      <c r="S160" s="2199"/>
      <c r="T160" s="2199"/>
      <c r="U160" s="2199"/>
      <c r="V160" s="2199"/>
      <c r="W160" s="2756"/>
      <c r="X160" s="2756"/>
      <c r="Y160" s="2202"/>
    </row>
    <row r="161" spans="1:25">
      <c r="A161" s="2202"/>
      <c r="C161" s="609"/>
      <c r="D161" s="29"/>
      <c r="E161" s="29"/>
      <c r="F161" s="29"/>
      <c r="G161" s="29"/>
      <c r="O161" s="2199"/>
      <c r="P161" s="2199"/>
      <c r="Q161" s="2199"/>
      <c r="R161" s="2199"/>
      <c r="S161" s="2199"/>
      <c r="T161" s="2199"/>
      <c r="U161" s="2199"/>
      <c r="V161" s="2199"/>
      <c r="W161" s="2756"/>
      <c r="X161" s="2756"/>
      <c r="Y161" s="2202"/>
    </row>
    <row r="162" spans="1:25">
      <c r="A162" s="2202"/>
      <c r="C162" s="609"/>
      <c r="D162" s="29"/>
      <c r="E162" s="29"/>
      <c r="F162" s="29"/>
      <c r="G162" s="29"/>
      <c r="O162" s="2199"/>
      <c r="P162" s="2199"/>
      <c r="Q162" s="2199"/>
      <c r="R162" s="2199"/>
      <c r="S162" s="2199"/>
      <c r="T162" s="2199"/>
      <c r="U162" s="2199"/>
      <c r="V162" s="2199"/>
      <c r="W162" s="2756"/>
      <c r="X162" s="2756"/>
      <c r="Y162" s="2202"/>
    </row>
    <row r="163" spans="1:25">
      <c r="A163" s="2202"/>
      <c r="C163" s="609"/>
      <c r="D163" s="29"/>
      <c r="E163" s="29"/>
      <c r="F163" s="29"/>
      <c r="G163" s="29"/>
      <c r="O163" s="2199"/>
      <c r="P163" s="2199"/>
      <c r="Q163" s="2199"/>
      <c r="R163" s="2199"/>
      <c r="S163" s="2199"/>
      <c r="T163" s="2199"/>
      <c r="U163" s="2199"/>
      <c r="V163" s="2199"/>
      <c r="W163" s="2756"/>
      <c r="X163" s="2756"/>
      <c r="Y163" s="2202"/>
    </row>
    <row r="164" spans="1:25" ht="17.399999999999999" customHeight="1">
      <c r="A164" s="2202"/>
      <c r="C164" s="609"/>
      <c r="D164" s="29"/>
      <c r="E164" s="29"/>
      <c r="F164" s="29"/>
      <c r="G164" s="29"/>
      <c r="O164" s="2199"/>
      <c r="P164" s="2199"/>
      <c r="Q164" s="2199"/>
      <c r="R164" s="2199"/>
      <c r="S164" s="2199"/>
      <c r="T164" s="2199"/>
      <c r="U164" s="2199"/>
      <c r="V164" s="2199"/>
      <c r="W164" s="2756"/>
      <c r="X164" s="2756"/>
      <c r="Y164" s="2202"/>
    </row>
    <row r="165" spans="1:25" ht="29.25" customHeight="1">
      <c r="B165" s="4320"/>
      <c r="C165" s="4320"/>
      <c r="D165" s="4320"/>
      <c r="E165" s="4320"/>
      <c r="F165" s="4320"/>
      <c r="G165" s="4320"/>
      <c r="H165" s="4320"/>
      <c r="I165" s="4320"/>
      <c r="J165" s="4320"/>
      <c r="K165" s="4320"/>
      <c r="L165" s="4320"/>
      <c r="M165" s="4320"/>
      <c r="N165" s="4320"/>
      <c r="O165" s="2201"/>
      <c r="P165" s="2199"/>
      <c r="Q165" s="2199"/>
      <c r="R165" s="2199"/>
      <c r="S165" s="2199"/>
      <c r="T165" s="2199"/>
      <c r="U165" s="2199"/>
      <c r="V165" s="2199"/>
      <c r="W165" s="2756"/>
      <c r="X165" s="2756"/>
      <c r="Y165" s="2202"/>
    </row>
    <row r="166" spans="1:25">
      <c r="C166" s="609"/>
      <c r="D166" s="29"/>
      <c r="E166" s="29"/>
      <c r="F166" s="29"/>
      <c r="G166" s="29"/>
      <c r="O166" s="2199"/>
      <c r="P166" s="2202"/>
      <c r="Q166" s="2201"/>
      <c r="R166" s="2202"/>
      <c r="S166" s="2201"/>
      <c r="T166" s="2202"/>
      <c r="U166" s="2201"/>
      <c r="V166" s="2202"/>
      <c r="W166" s="2763"/>
      <c r="X166" s="2764"/>
      <c r="Y166" s="2202"/>
    </row>
    <row r="167" spans="1:25">
      <c r="C167" s="609"/>
      <c r="D167" s="29"/>
      <c r="E167" s="29"/>
      <c r="F167" s="29"/>
      <c r="G167" s="29"/>
      <c r="O167" s="2199"/>
      <c r="P167" s="2199"/>
      <c r="Q167" s="2199"/>
      <c r="R167" s="2199"/>
      <c r="S167" s="2199"/>
      <c r="T167" s="2199"/>
      <c r="U167" s="2199"/>
      <c r="V167" s="2199"/>
      <c r="W167" s="2756"/>
      <c r="X167" s="2756"/>
      <c r="Y167" s="2202"/>
    </row>
    <row r="168" spans="1:25">
      <c r="C168" s="609"/>
      <c r="D168" s="29"/>
      <c r="E168" s="29"/>
      <c r="F168" s="29"/>
      <c r="G168" s="29"/>
      <c r="O168" s="2199"/>
      <c r="P168" s="2199"/>
      <c r="Q168" s="2199"/>
      <c r="R168" s="2199"/>
      <c r="S168" s="2199"/>
      <c r="T168" s="2199"/>
      <c r="U168" s="2199"/>
      <c r="V168" s="2199"/>
      <c r="W168" s="2756"/>
      <c r="X168" s="2756"/>
      <c r="Y168" s="2202"/>
    </row>
    <row r="169" spans="1:25">
      <c r="C169" s="609"/>
      <c r="D169" s="29"/>
      <c r="E169" s="29"/>
      <c r="F169" s="29"/>
      <c r="G169" s="29"/>
      <c r="O169" s="2199"/>
      <c r="P169" s="2199"/>
      <c r="Q169" s="2199"/>
      <c r="R169" s="2199"/>
      <c r="S169" s="2199"/>
      <c r="T169" s="2199"/>
      <c r="U169" s="2199"/>
      <c r="V169" s="2199"/>
      <c r="W169" s="2756"/>
      <c r="X169" s="2756"/>
      <c r="Y169" s="2202"/>
    </row>
    <row r="170" spans="1:25">
      <c r="A170" s="2202"/>
      <c r="B170" s="2202"/>
      <c r="C170" s="2215"/>
      <c r="D170" s="2215"/>
      <c r="E170" s="2215"/>
      <c r="F170" s="2215"/>
      <c r="G170" s="2215"/>
      <c r="H170" s="2210"/>
      <c r="I170" s="2211"/>
      <c r="J170" s="2199"/>
      <c r="K170" s="2199"/>
      <c r="L170" s="2199"/>
      <c r="M170" s="2199"/>
      <c r="N170" s="2199"/>
      <c r="O170" s="2199"/>
      <c r="P170" s="2199"/>
      <c r="Q170" s="2199"/>
      <c r="R170" s="2199"/>
      <c r="S170" s="2199"/>
      <c r="T170" s="2199"/>
      <c r="U170" s="2199"/>
      <c r="V170" s="2199"/>
      <c r="W170" s="2756"/>
      <c r="X170" s="2756"/>
      <c r="Y170" s="2202"/>
    </row>
    <row r="171" spans="1:25">
      <c r="A171" s="2202"/>
      <c r="B171" s="2202"/>
      <c r="C171" s="2215"/>
      <c r="D171" s="2215"/>
      <c r="E171" s="2215"/>
      <c r="F171" s="2215"/>
      <c r="G171" s="2215"/>
      <c r="H171" s="2210"/>
      <c r="I171" s="2211"/>
      <c r="J171" s="2199"/>
      <c r="K171" s="2199"/>
      <c r="L171" s="2199"/>
      <c r="M171" s="2199"/>
      <c r="N171" s="2199"/>
      <c r="O171" s="2199"/>
      <c r="P171" s="3570"/>
      <c r="Q171" s="3570"/>
      <c r="R171" s="3570"/>
      <c r="S171" s="3570"/>
      <c r="T171" s="3570"/>
      <c r="U171" s="3570"/>
      <c r="V171" s="3570"/>
      <c r="W171" s="3571"/>
      <c r="X171" s="3571"/>
      <c r="Y171" s="3572"/>
    </row>
    <row r="172" spans="1:25" ht="18.600000000000001" customHeight="1">
      <c r="A172" s="2202"/>
      <c r="B172" s="2202"/>
      <c r="C172" s="2215"/>
      <c r="D172" s="2215"/>
      <c r="E172" s="2215"/>
      <c r="F172" s="2215"/>
      <c r="G172" s="2215"/>
      <c r="H172" s="2210"/>
      <c r="I172" s="2211"/>
      <c r="J172" s="2199"/>
      <c r="K172" s="2199"/>
      <c r="L172" s="2199"/>
      <c r="M172" s="2199"/>
      <c r="N172" s="2199"/>
      <c r="O172" s="2199"/>
      <c r="P172" s="3570"/>
      <c r="Q172" s="3570"/>
      <c r="R172" s="3570"/>
      <c r="S172" s="3570"/>
      <c r="T172" s="3570"/>
      <c r="U172" s="3570"/>
      <c r="V172" s="3570"/>
      <c r="W172" s="3571"/>
      <c r="X172" s="3571"/>
      <c r="Y172" s="3572"/>
    </row>
    <row r="173" spans="1:25">
      <c r="A173" s="2202"/>
      <c r="B173" s="2202"/>
      <c r="C173" s="2215"/>
      <c r="D173" s="2215"/>
      <c r="E173" s="2215"/>
      <c r="F173" s="2215"/>
      <c r="G173" s="2215"/>
      <c r="H173" s="2210"/>
      <c r="I173" s="2211"/>
      <c r="J173" s="2199"/>
      <c r="K173" s="2199"/>
      <c r="L173" s="2199"/>
      <c r="M173" s="2199"/>
      <c r="N173" s="2199"/>
      <c r="O173" s="2199"/>
      <c r="P173" s="3570"/>
      <c r="Q173" s="3570"/>
      <c r="R173" s="3573" t="str">
        <f>$J$9&amp;"dt/ha"</f>
        <v>420dt/ha</v>
      </c>
      <c r="S173" s="3573" t="str">
        <f>$L$9&amp;"dt/ha"</f>
        <v>40dt/ha</v>
      </c>
      <c r="T173" s="3573" t="str">
        <f>$N$9&amp;"dt/ha"</f>
        <v>40dt/ha</v>
      </c>
      <c r="U173" s="3573" t="str">
        <f>$P$9&amp;"dt/ha"</f>
        <v>20dt/ha</v>
      </c>
      <c r="V173" s="3573" t="str">
        <f>$R$9&amp;"dt/ha"</f>
        <v>40dt/ha</v>
      </c>
      <c r="W173" s="3571" t="str">
        <f>$T$9&amp;"dt/ha"</f>
        <v>40dt/ha</v>
      </c>
      <c r="X173" s="3573" t="str">
        <f>$V$9&amp;"dt/ha"</f>
        <v>25dt/ha</v>
      </c>
      <c r="Y173" s="3572"/>
    </row>
    <row r="174" spans="1:25">
      <c r="A174" s="2202"/>
      <c r="B174" s="2202"/>
      <c r="C174" s="2202"/>
      <c r="D174" s="2208"/>
      <c r="E174" s="2209"/>
      <c r="F174" s="2199"/>
      <c r="G174" s="2199"/>
      <c r="H174" s="2210"/>
      <c r="I174" s="2211"/>
      <c r="J174" s="2199"/>
      <c r="K174" s="2199"/>
      <c r="L174" s="2199"/>
      <c r="M174" s="2199"/>
      <c r="N174" s="2199"/>
      <c r="O174" s="2199"/>
      <c r="P174" s="3570"/>
      <c r="Q174" s="3573"/>
      <c r="R174" s="3574" t="str">
        <f>$I$8</f>
        <v>mittel</v>
      </c>
      <c r="S174" s="3574" t="str">
        <f>$K$8</f>
        <v>mittel</v>
      </c>
      <c r="T174" s="3574" t="str">
        <f>$M$8</f>
        <v>mittel</v>
      </c>
      <c r="U174" s="3574" t="str">
        <f>$O$8</f>
        <v>mittel</v>
      </c>
      <c r="V174" s="3574" t="str">
        <f>$Q$8</f>
        <v>mittel</v>
      </c>
      <c r="W174" s="3573" t="str">
        <f>$S$8</f>
        <v>mittel</v>
      </c>
      <c r="X174" s="3574" t="str">
        <f>$U$8</f>
        <v>mittel</v>
      </c>
      <c r="Y174" s="3572"/>
    </row>
    <row r="175" spans="1:25">
      <c r="A175" s="2202"/>
      <c r="B175" s="2202"/>
      <c r="C175" s="2202"/>
      <c r="D175" s="2208"/>
      <c r="E175" s="2209"/>
      <c r="F175" s="2199"/>
      <c r="G175" s="2199"/>
      <c r="H175" s="2210"/>
      <c r="I175" s="2211"/>
      <c r="J175" s="2199"/>
      <c r="K175" s="2199"/>
      <c r="L175" s="2199"/>
      <c r="M175" s="2199"/>
      <c r="N175" s="2199"/>
      <c r="O175" s="2199"/>
      <c r="P175" s="3570"/>
      <c r="Q175" s="3573"/>
      <c r="R175" s="3573" t="str">
        <f>$I$2</f>
        <v xml:space="preserve">Öko-Kleegras einjährig (70:30) </v>
      </c>
      <c r="S175" s="3573" t="str">
        <f>$K$2</f>
        <v>Öko-Winterweizen (Futter)</v>
      </c>
      <c r="T175" s="3573" t="str">
        <f>$M$2</f>
        <v>Öko-Dinkel</v>
      </c>
      <c r="U175" s="3573" t="str">
        <f>$O$2</f>
        <v>Öko-Lupine</v>
      </c>
      <c r="V175" s="3573" t="str">
        <f>$Q$2</f>
        <v>Öko-Winterroggen (Brot)</v>
      </c>
      <c r="W175" s="3573" t="str">
        <f>$S$2</f>
        <v>Öko-Hafer</v>
      </c>
      <c r="X175" s="3573" t="str">
        <f>$U$2</f>
        <v>Öko-Sojabohnen</v>
      </c>
      <c r="Y175" s="3572"/>
    </row>
    <row r="176" spans="1:25">
      <c r="A176" s="2202"/>
      <c r="B176" s="2202"/>
      <c r="C176" s="2202"/>
      <c r="D176" s="2208"/>
      <c r="E176" s="2209"/>
      <c r="F176" s="2199"/>
      <c r="G176" s="2199"/>
      <c r="H176" s="2210"/>
      <c r="I176" s="2211"/>
      <c r="J176" s="2199"/>
      <c r="K176" s="2199"/>
      <c r="L176" s="2199"/>
      <c r="M176" s="2199"/>
      <c r="N176" s="2199"/>
      <c r="O176" s="2199"/>
      <c r="P176" s="3570"/>
      <c r="Q176" s="3575" t="s">
        <v>1117</v>
      </c>
      <c r="R176" s="3576">
        <f>J68</f>
        <v>1.7516331281136108</v>
      </c>
      <c r="S176" s="3577">
        <f>L68</f>
        <v>51.983561938986107</v>
      </c>
      <c r="T176" s="3576">
        <f>N68</f>
        <v>50.202639729478619</v>
      </c>
      <c r="U176" s="3577">
        <f>P68</f>
        <v>90.119225539109721</v>
      </c>
      <c r="V176" s="3576">
        <f>R68</f>
        <v>49.66699864017454</v>
      </c>
      <c r="W176" s="3582">
        <f>T68</f>
        <v>52.192280862392522</v>
      </c>
      <c r="X176" s="3576">
        <f>V68</f>
        <v>86.499604425022227</v>
      </c>
      <c r="Y176" s="3572"/>
    </row>
    <row r="177" spans="1:25">
      <c r="A177" s="2202"/>
      <c r="B177" s="2202"/>
      <c r="C177" s="2202"/>
      <c r="D177" s="2208"/>
      <c r="E177" s="2209"/>
      <c r="F177" s="2199"/>
      <c r="G177" s="2199"/>
      <c r="H177" s="2210"/>
      <c r="I177" s="2211"/>
      <c r="J177" s="2199"/>
      <c r="K177" s="2199"/>
      <c r="L177" s="2199"/>
      <c r="M177" s="2199"/>
      <c r="N177" s="2199"/>
      <c r="O177" s="2199"/>
      <c r="P177" s="3570"/>
      <c r="Q177" s="3575" t="s">
        <v>1116</v>
      </c>
      <c r="R177" s="3576">
        <f>J71</f>
        <v>0.75877598525646794</v>
      </c>
      <c r="S177" s="3577">
        <f>L71</f>
        <v>41.558561938986102</v>
      </c>
      <c r="T177" s="3576">
        <f>N71</f>
        <v>39.777639729478622</v>
      </c>
      <c r="U177" s="3577">
        <f>P71</f>
        <v>69.269225539109726</v>
      </c>
      <c r="V177" s="3576">
        <f>R71</f>
        <v>39.241998640174543</v>
      </c>
      <c r="W177" s="3582">
        <f>T71</f>
        <v>41.767280862392525</v>
      </c>
      <c r="X177" s="3576">
        <f>V71</f>
        <v>69.81960442502222</v>
      </c>
      <c r="Y177" s="3572"/>
    </row>
    <row r="178" spans="1:25">
      <c r="A178" s="2202"/>
      <c r="B178" s="2202"/>
      <c r="C178" s="2202"/>
      <c r="D178" s="2208"/>
      <c r="E178" s="2209"/>
      <c r="F178" s="2199"/>
      <c r="G178" s="2199"/>
      <c r="H178" s="2210"/>
      <c r="I178" s="2211"/>
      <c r="J178" s="2199"/>
      <c r="K178" s="2199"/>
      <c r="L178" s="2199"/>
      <c r="M178" s="2199"/>
      <c r="N178" s="2199"/>
      <c r="O178" s="2199"/>
      <c r="P178" s="3570"/>
      <c r="Q178" s="3570"/>
      <c r="R178" s="3570"/>
      <c r="S178" s="3570"/>
      <c r="T178" s="3570"/>
      <c r="U178" s="3570"/>
      <c r="V178" s="3570"/>
      <c r="W178" s="3571"/>
      <c r="X178" s="3571"/>
      <c r="Y178" s="3572"/>
    </row>
    <row r="179" spans="1:25">
      <c r="A179" s="2202"/>
      <c r="B179" s="2202"/>
      <c r="C179" s="2202"/>
      <c r="D179" s="2208"/>
      <c r="E179" s="2209"/>
      <c r="F179" s="2199"/>
      <c r="G179" s="2199"/>
      <c r="H179" s="2210"/>
      <c r="I179" s="2211"/>
      <c r="J179" s="2199"/>
      <c r="K179" s="2199"/>
      <c r="L179" s="2199"/>
      <c r="M179" s="2199"/>
      <c r="N179" s="2199"/>
      <c r="O179" s="2199"/>
      <c r="P179" s="3570"/>
      <c r="Q179" s="3570"/>
      <c r="R179" s="3570"/>
      <c r="S179" s="3570"/>
      <c r="T179" s="3570"/>
      <c r="U179" s="3570"/>
      <c r="V179" s="3570"/>
      <c r="W179" s="3571"/>
      <c r="X179" s="3571"/>
      <c r="Y179" s="3572"/>
    </row>
    <row r="180" spans="1:25">
      <c r="A180" s="2202"/>
      <c r="B180" s="2202"/>
      <c r="C180" s="2202"/>
      <c r="D180" s="2208"/>
      <c r="E180" s="2209"/>
      <c r="F180" s="2199"/>
      <c r="G180" s="2199"/>
      <c r="H180" s="2210"/>
      <c r="I180" s="2211"/>
      <c r="J180" s="2199"/>
      <c r="K180" s="2199"/>
      <c r="L180" s="2199"/>
      <c r="M180" s="2199"/>
      <c r="N180" s="2199"/>
      <c r="O180" s="2199"/>
      <c r="P180" s="3570"/>
      <c r="Q180" s="3570"/>
      <c r="R180" s="3570"/>
      <c r="S180" s="3570"/>
      <c r="T180" s="3570"/>
      <c r="U180" s="3570"/>
      <c r="V180" s="3570"/>
      <c r="W180" s="3571"/>
      <c r="X180" s="3571"/>
      <c r="Y180" s="3572"/>
    </row>
    <row r="181" spans="1:25">
      <c r="A181" s="2202"/>
      <c r="B181" s="2202"/>
      <c r="C181" s="2202"/>
      <c r="D181" s="2208"/>
      <c r="E181" s="2209"/>
      <c r="F181" s="2199"/>
      <c r="G181" s="2199"/>
      <c r="H181" s="2210"/>
      <c r="I181" s="2211"/>
      <c r="J181" s="2199"/>
      <c r="K181" s="2199"/>
      <c r="L181" s="2199"/>
      <c r="M181" s="2199"/>
      <c r="N181" s="2199"/>
      <c r="O181" s="2199"/>
      <c r="P181" s="3579"/>
      <c r="Q181" s="3579"/>
      <c r="R181" s="3579"/>
      <c r="S181" s="3579"/>
      <c r="T181" s="3579"/>
      <c r="U181" s="3579"/>
      <c r="V181" s="3579"/>
      <c r="W181" s="3580"/>
      <c r="X181" s="3580"/>
      <c r="Y181" s="3581"/>
    </row>
    <row r="182" spans="1:25">
      <c r="E182" s="95"/>
      <c r="O182" s="2199"/>
      <c r="P182" s="3579"/>
      <c r="Q182" s="3579"/>
      <c r="R182" s="3579"/>
      <c r="S182" s="3579"/>
      <c r="T182" s="3579"/>
      <c r="U182" s="3579"/>
      <c r="V182" s="3579"/>
      <c r="W182" s="3580"/>
      <c r="X182" s="3580"/>
      <c r="Y182" s="3581"/>
    </row>
    <row r="183" spans="1:25">
      <c r="E183" s="95"/>
      <c r="O183" s="2199"/>
      <c r="P183" s="3579"/>
      <c r="Q183" s="3579"/>
      <c r="R183" s="3579"/>
      <c r="S183" s="3579"/>
      <c r="T183" s="3579"/>
      <c r="U183" s="3579"/>
      <c r="V183" s="3579"/>
      <c r="W183" s="3580"/>
      <c r="X183" s="3580"/>
      <c r="Y183" s="3581"/>
    </row>
    <row r="184" spans="1:25">
      <c r="E184" s="95"/>
      <c r="O184" s="2199"/>
      <c r="P184" s="3579"/>
      <c r="Q184" s="3579"/>
      <c r="R184" s="3579"/>
      <c r="S184" s="3579"/>
      <c r="T184" s="3579"/>
      <c r="U184" s="3579"/>
      <c r="V184" s="3579"/>
      <c r="W184" s="3580"/>
      <c r="X184" s="3580"/>
      <c r="Y184" s="3581"/>
    </row>
    <row r="185" spans="1:25">
      <c r="E185" s="95"/>
      <c r="P185" s="3579"/>
      <c r="Q185" s="3579"/>
      <c r="R185" s="3579"/>
      <c r="S185" s="3579"/>
      <c r="T185" s="3579"/>
      <c r="U185" s="3579"/>
      <c r="V185" s="3579"/>
      <c r="W185" s="3580"/>
      <c r="X185" s="3580"/>
      <c r="Y185" s="3581"/>
    </row>
    <row r="186" spans="1:25">
      <c r="E186" s="95"/>
      <c r="R186" s="2199"/>
      <c r="S186" s="2199"/>
      <c r="T186" s="2199"/>
      <c r="U186" s="2199"/>
      <c r="V186" s="2199"/>
      <c r="W186" s="2756"/>
      <c r="X186" s="2756"/>
      <c r="Y186" s="2202"/>
    </row>
    <row r="187" spans="1:25">
      <c r="E187" s="95"/>
      <c r="R187" s="2199"/>
      <c r="S187" s="2199"/>
      <c r="T187" s="2199"/>
      <c r="U187" s="2199"/>
      <c r="V187" s="2199"/>
      <c r="W187" s="2756"/>
      <c r="X187" s="2756"/>
      <c r="Y187" s="2202"/>
    </row>
    <row r="188" spans="1:25">
      <c r="E188" s="95"/>
      <c r="R188" s="2199"/>
      <c r="S188" s="2199"/>
      <c r="T188" s="2199"/>
      <c r="U188" s="2199"/>
      <c r="V188" s="2199"/>
      <c r="W188" s="2756"/>
      <c r="X188" s="2756"/>
      <c r="Y188" s="2202"/>
    </row>
    <row r="189" spans="1:25">
      <c r="E189" s="95"/>
      <c r="R189" s="2199"/>
      <c r="S189" s="2199"/>
      <c r="T189" s="2199"/>
      <c r="U189" s="2199"/>
      <c r="V189" s="2199"/>
      <c r="W189" s="2756"/>
      <c r="X189" s="2756"/>
      <c r="Y189" s="2202"/>
    </row>
    <row r="190" spans="1:25">
      <c r="E190" s="95"/>
      <c r="R190" s="2199"/>
      <c r="S190" s="2199"/>
      <c r="T190" s="2199"/>
      <c r="U190" s="2199"/>
      <c r="V190" s="2199"/>
      <c r="W190" s="2756"/>
      <c r="X190" s="2756"/>
      <c r="Y190" s="2202"/>
    </row>
    <row r="191" spans="1:25">
      <c r="E191" s="95"/>
      <c r="R191" s="2199"/>
      <c r="S191" s="2199"/>
      <c r="T191" s="2199"/>
      <c r="U191" s="2199"/>
      <c r="V191" s="2199"/>
      <c r="W191" s="2756"/>
      <c r="X191" s="2756"/>
      <c r="Y191" s="2202"/>
    </row>
    <row r="192" spans="1:25">
      <c r="E192" s="95"/>
      <c r="R192" s="2199"/>
      <c r="S192" s="2199"/>
      <c r="T192" s="2199"/>
      <c r="U192" s="2199"/>
      <c r="V192" s="2199"/>
      <c r="W192" s="2756"/>
      <c r="X192" s="2756"/>
      <c r="Y192" s="2202"/>
    </row>
    <row r="193" spans="5:25">
      <c r="E193" s="95"/>
      <c r="R193" s="2199"/>
      <c r="S193" s="2199"/>
      <c r="T193" s="2199"/>
      <c r="U193" s="2199"/>
      <c r="V193" s="2199"/>
      <c r="W193" s="2756"/>
      <c r="X193" s="2756"/>
      <c r="Y193" s="2202"/>
    </row>
    <row r="194" spans="5:25">
      <c r="E194" s="95"/>
      <c r="R194" s="2199"/>
      <c r="S194" s="2199"/>
      <c r="T194" s="2199"/>
      <c r="U194" s="2199"/>
      <c r="V194" s="2199"/>
      <c r="W194" s="2756"/>
      <c r="X194" s="2756"/>
      <c r="Y194" s="2202"/>
    </row>
    <row r="195" spans="5:25">
      <c r="E195" s="95"/>
      <c r="R195" s="2199"/>
      <c r="S195" s="2199"/>
      <c r="T195" s="2199"/>
      <c r="U195" s="2199"/>
      <c r="V195" s="2199"/>
      <c r="W195" s="2756"/>
      <c r="X195" s="2756"/>
      <c r="Y195" s="2202"/>
    </row>
    <row r="196" spans="5:25">
      <c r="E196" s="95"/>
      <c r="R196" s="2199"/>
      <c r="S196" s="2199"/>
      <c r="T196" s="2199"/>
      <c r="U196" s="2199"/>
      <c r="V196" s="2199"/>
      <c r="W196" s="2756"/>
      <c r="X196" s="2756"/>
      <c r="Y196" s="2202"/>
    </row>
    <row r="197" spans="5:25">
      <c r="E197" s="95"/>
      <c r="R197" s="2199"/>
      <c r="S197" s="2199"/>
      <c r="T197" s="2199"/>
      <c r="U197" s="2199"/>
      <c r="V197" s="2199"/>
      <c r="W197" s="2756"/>
      <c r="X197" s="2756"/>
      <c r="Y197" s="2202"/>
    </row>
    <row r="198" spans="5:25">
      <c r="E198" s="95"/>
      <c r="R198" s="2199"/>
      <c r="S198" s="2199"/>
      <c r="T198" s="2199"/>
      <c r="U198" s="2199"/>
      <c r="V198" s="2199"/>
      <c r="W198" s="2756"/>
      <c r="X198" s="2756"/>
      <c r="Y198" s="2202"/>
    </row>
    <row r="199" spans="5:25">
      <c r="E199" s="95"/>
      <c r="R199" s="2199"/>
      <c r="S199" s="2199"/>
      <c r="T199" s="2199"/>
      <c r="U199" s="2199"/>
      <c r="V199" s="2199"/>
      <c r="W199" s="2756"/>
      <c r="X199" s="2756"/>
      <c r="Y199" s="2202"/>
    </row>
    <row r="200" spans="5:25">
      <c r="E200" s="95"/>
      <c r="R200" s="2199"/>
      <c r="S200" s="2199"/>
      <c r="T200" s="2199"/>
      <c r="U200" s="2199"/>
      <c r="V200" s="2199"/>
      <c r="W200" s="2756"/>
      <c r="X200" s="2756"/>
      <c r="Y200" s="2202"/>
    </row>
    <row r="201" spans="5:25">
      <c r="E201" s="95"/>
      <c r="R201" s="2199"/>
      <c r="S201" s="2199"/>
      <c r="T201" s="2199"/>
      <c r="U201" s="2199"/>
      <c r="V201" s="2199"/>
      <c r="W201" s="2756"/>
      <c r="X201" s="2756"/>
      <c r="Y201" s="2202"/>
    </row>
    <row r="202" spans="5:25">
      <c r="E202" s="95"/>
      <c r="R202" s="2199"/>
      <c r="S202" s="2199"/>
      <c r="T202" s="2199"/>
      <c r="U202" s="2199"/>
      <c r="V202" s="2199"/>
      <c r="W202" s="2756"/>
      <c r="X202" s="2756"/>
      <c r="Y202" s="2202"/>
    </row>
    <row r="203" spans="5:25">
      <c r="E203" s="95"/>
      <c r="R203" s="2199"/>
      <c r="S203" s="2199"/>
      <c r="T203" s="2199"/>
      <c r="U203" s="2199"/>
      <c r="V203" s="2199"/>
      <c r="W203" s="2756"/>
      <c r="X203" s="2756"/>
      <c r="Y203" s="2202"/>
    </row>
    <row r="204" spans="5:25">
      <c r="E204" s="95"/>
      <c r="R204" s="2199"/>
      <c r="S204" s="2199"/>
      <c r="T204" s="2199"/>
      <c r="U204" s="2199"/>
      <c r="V204" s="2199"/>
      <c r="W204" s="2756"/>
      <c r="X204" s="2756"/>
      <c r="Y204" s="2202"/>
    </row>
    <row r="205" spans="5:25">
      <c r="E205" s="95"/>
      <c r="R205" s="2199"/>
      <c r="S205" s="2199"/>
      <c r="T205" s="2199"/>
      <c r="U205" s="2199"/>
      <c r="V205" s="2199"/>
      <c r="W205" s="2756"/>
      <c r="X205" s="2756"/>
      <c r="Y205" s="2202"/>
    </row>
    <row r="206" spans="5:25">
      <c r="E206" s="95"/>
      <c r="R206" s="2199"/>
      <c r="S206" s="2199"/>
      <c r="T206" s="2199"/>
      <c r="U206" s="2199"/>
      <c r="V206" s="2199"/>
      <c r="W206" s="2756"/>
      <c r="X206" s="2756"/>
      <c r="Y206" s="2202"/>
    </row>
    <row r="207" spans="5:25">
      <c r="E207" s="95"/>
      <c r="R207" s="2199"/>
      <c r="S207" s="2199"/>
      <c r="T207" s="2199"/>
      <c r="U207" s="2199"/>
      <c r="V207" s="2199"/>
      <c r="W207" s="2756"/>
      <c r="X207" s="2756"/>
      <c r="Y207" s="2202"/>
    </row>
    <row r="208" spans="5:25">
      <c r="E208" s="95"/>
      <c r="R208" s="2199"/>
      <c r="S208" s="2199"/>
      <c r="T208" s="2199"/>
      <c r="U208" s="2199"/>
      <c r="V208" s="2199"/>
      <c r="W208" s="2756"/>
      <c r="X208" s="2756"/>
      <c r="Y208" s="2202"/>
    </row>
    <row r="209" spans="1:25">
      <c r="E209" s="95"/>
      <c r="R209" s="2199"/>
      <c r="S209" s="2199"/>
      <c r="T209" s="2199"/>
      <c r="U209" s="2199"/>
      <c r="V209" s="2199"/>
      <c r="W209" s="2756"/>
      <c r="X209" s="2756"/>
      <c r="Y209" s="2202"/>
    </row>
    <row r="210" spans="1:25">
      <c r="E210" s="95"/>
      <c r="R210" s="2199"/>
      <c r="S210" s="2199"/>
      <c r="T210" s="2199"/>
      <c r="U210" s="2199"/>
      <c r="V210" s="2199"/>
      <c r="W210" s="2756"/>
      <c r="X210" s="2756"/>
      <c r="Y210" s="2202"/>
    </row>
    <row r="211" spans="1:25">
      <c r="E211" s="95"/>
      <c r="R211" s="2199"/>
      <c r="S211" s="2199"/>
      <c r="T211" s="2199"/>
      <c r="U211" s="2199"/>
      <c r="V211" s="2199"/>
      <c r="W211" s="2756"/>
      <c r="X211" s="2756"/>
      <c r="Y211" s="2202"/>
    </row>
    <row r="212" spans="1:25">
      <c r="E212" s="95"/>
      <c r="R212" s="2199"/>
      <c r="S212" s="2199"/>
      <c r="T212" s="2199"/>
      <c r="U212" s="2199"/>
      <c r="V212" s="2199"/>
      <c r="W212" s="2756"/>
      <c r="X212" s="2756"/>
      <c r="Y212" s="2202"/>
    </row>
    <row r="213" spans="1:25">
      <c r="E213" s="95"/>
      <c r="R213" s="2199"/>
      <c r="S213" s="2199"/>
      <c r="T213" s="2199"/>
      <c r="U213" s="2199"/>
      <c r="V213" s="2199"/>
      <c r="W213" s="2756"/>
      <c r="X213" s="2756"/>
      <c r="Y213" s="2202"/>
    </row>
    <row r="214" spans="1:25">
      <c r="E214" s="95"/>
      <c r="R214" s="2199"/>
      <c r="S214" s="2199"/>
      <c r="T214" s="2199"/>
      <c r="U214" s="2199"/>
      <c r="V214" s="2199"/>
      <c r="W214" s="2756"/>
      <c r="X214" s="2756"/>
      <c r="Y214" s="2202"/>
    </row>
    <row r="215" spans="1:25">
      <c r="E215" s="95"/>
      <c r="R215" s="2199"/>
      <c r="S215" s="2199"/>
      <c r="T215" s="2199"/>
      <c r="U215" s="2199"/>
      <c r="V215" s="2199"/>
      <c r="W215" s="2756"/>
      <c r="X215" s="2756"/>
      <c r="Y215" s="2202"/>
    </row>
    <row r="216" spans="1:25">
      <c r="E216" s="95"/>
      <c r="R216" s="2199"/>
      <c r="S216" s="2199"/>
      <c r="T216" s="2199"/>
      <c r="U216" s="2199"/>
      <c r="V216" s="2199"/>
      <c r="W216" s="2756"/>
      <c r="X216" s="2756"/>
      <c r="Y216" s="2202"/>
    </row>
    <row r="217" spans="1:25">
      <c r="A217" s="2202"/>
      <c r="B217" s="2202"/>
      <c r="C217" s="2202"/>
      <c r="D217" s="2208"/>
      <c r="E217" s="2209"/>
      <c r="F217" s="2199"/>
      <c r="G217" s="2199"/>
      <c r="H217" s="2210"/>
      <c r="I217" s="2211"/>
      <c r="J217" s="2199"/>
      <c r="K217" s="2199"/>
      <c r="L217" s="2199"/>
      <c r="M217" s="2199"/>
      <c r="N217" s="2199"/>
      <c r="O217" s="2199"/>
      <c r="P217" s="2199"/>
      <c r="Q217" s="2199"/>
      <c r="R217" s="2199"/>
      <c r="S217" s="2199"/>
      <c r="T217" s="2199"/>
      <c r="U217" s="2199"/>
      <c r="V217" s="2199"/>
      <c r="W217" s="2756"/>
      <c r="X217" s="2756"/>
      <c r="Y217" s="2202"/>
    </row>
    <row r="218" spans="1:25">
      <c r="A218" s="2202"/>
      <c r="B218" s="2202"/>
      <c r="C218" s="2202"/>
      <c r="D218" s="2208"/>
      <c r="E218" s="2209"/>
      <c r="F218" s="2199"/>
      <c r="G218" s="2199"/>
      <c r="H218" s="2210"/>
      <c r="I218" s="2211"/>
      <c r="J218" s="2199"/>
      <c r="K218" s="2199"/>
      <c r="L218" s="2199"/>
      <c r="M218" s="2199"/>
      <c r="N218" s="2199"/>
      <c r="O218" s="2199"/>
      <c r="P218" s="2199"/>
      <c r="Q218" s="2199"/>
      <c r="R218" s="2199"/>
      <c r="S218" s="2199"/>
      <c r="T218" s="2199"/>
      <c r="U218" s="2199"/>
      <c r="V218" s="2199"/>
      <c r="W218" s="2756"/>
      <c r="X218" s="2756"/>
      <c r="Y218" s="2202"/>
    </row>
    <row r="219" spans="1:25">
      <c r="A219" s="2199"/>
      <c r="B219" s="2199"/>
      <c r="C219" s="2199"/>
      <c r="D219" s="2199"/>
      <c r="E219" s="2199"/>
      <c r="F219" s="2199"/>
      <c r="G219" s="2199"/>
      <c r="H219" s="2199"/>
      <c r="I219" s="2199"/>
      <c r="J219" s="2199"/>
      <c r="K219" s="2199"/>
      <c r="L219" s="2199"/>
      <c r="M219" s="2199"/>
      <c r="N219" s="2199"/>
      <c r="O219" s="2199"/>
      <c r="P219" s="2199"/>
      <c r="Q219" s="2199"/>
      <c r="R219" s="2199"/>
      <c r="S219" s="2199"/>
      <c r="T219" s="2199"/>
      <c r="U219" s="2199"/>
      <c r="V219" s="2199"/>
      <c r="W219" s="2756"/>
      <c r="X219" s="2756"/>
      <c r="Y219" s="2199"/>
    </row>
    <row r="220" spans="1:25">
      <c r="A220" s="2199"/>
      <c r="B220" s="2199"/>
      <c r="C220" s="2199"/>
      <c r="D220" s="2199"/>
      <c r="E220" s="2199"/>
      <c r="F220" s="2199"/>
      <c r="G220" s="2199"/>
      <c r="H220" s="2199"/>
      <c r="I220" s="2199"/>
      <c r="J220" s="2199"/>
      <c r="K220" s="2199"/>
      <c r="L220" s="2199"/>
      <c r="M220" s="2199"/>
      <c r="N220" s="2199"/>
      <c r="O220" s="2199"/>
      <c r="P220" s="2199"/>
      <c r="Q220" s="2199"/>
      <c r="R220" s="2199"/>
      <c r="S220" s="2199"/>
      <c r="T220" s="2199"/>
      <c r="U220" s="2199"/>
      <c r="V220" s="2199"/>
      <c r="W220" s="2756"/>
      <c r="X220" s="2756"/>
      <c r="Y220" s="2199"/>
    </row>
    <row r="221" spans="1:25">
      <c r="A221" s="2199"/>
      <c r="B221" s="2199"/>
      <c r="C221" s="2199"/>
      <c r="D221" s="2199"/>
      <c r="E221" s="2199"/>
      <c r="F221" s="2199"/>
      <c r="G221" s="2199"/>
      <c r="H221" s="2199"/>
      <c r="I221" s="2199"/>
      <c r="J221" s="2199"/>
      <c r="K221" s="2199"/>
      <c r="L221" s="2199"/>
      <c r="M221" s="2199"/>
      <c r="N221" s="2199"/>
      <c r="O221" s="2199"/>
      <c r="P221" s="2199"/>
      <c r="Q221" s="2199"/>
      <c r="R221" s="2199"/>
      <c r="S221" s="2199"/>
      <c r="T221" s="2199"/>
      <c r="U221" s="2199"/>
      <c r="V221" s="2199"/>
      <c r="W221" s="2756"/>
      <c r="X221" s="2756"/>
      <c r="Y221" s="2199"/>
    </row>
    <row r="222" spans="1:25">
      <c r="A222" s="2199"/>
      <c r="B222" s="2199"/>
      <c r="C222" s="2199"/>
      <c r="D222" s="2199"/>
      <c r="E222" s="2199"/>
      <c r="F222" s="2199"/>
      <c r="G222" s="2199"/>
      <c r="H222" s="2199"/>
      <c r="I222" s="2199"/>
      <c r="J222" s="2199"/>
      <c r="K222" s="2199"/>
      <c r="L222" s="2199"/>
      <c r="M222" s="2199"/>
      <c r="N222" s="2199"/>
      <c r="O222" s="2199"/>
      <c r="P222" s="2199"/>
      <c r="Q222" s="2199"/>
      <c r="R222" s="2199"/>
      <c r="S222" s="2199"/>
      <c r="T222" s="2199"/>
      <c r="U222" s="2199"/>
      <c r="V222" s="2199"/>
      <c r="W222" s="2756"/>
      <c r="X222" s="2756"/>
      <c r="Y222" s="2199"/>
    </row>
    <row r="223" spans="1:25">
      <c r="A223" s="2199"/>
      <c r="B223" s="2199"/>
      <c r="C223" s="2199"/>
      <c r="D223" s="2199"/>
      <c r="E223" s="2199"/>
      <c r="F223" s="2199"/>
      <c r="G223" s="2199"/>
      <c r="H223" s="2199"/>
      <c r="I223" s="2199"/>
      <c r="J223" s="2199"/>
      <c r="K223" s="2199"/>
      <c r="L223" s="2199"/>
      <c r="M223" s="2199"/>
      <c r="N223" s="2199"/>
      <c r="O223" s="2199"/>
      <c r="P223" s="2199"/>
      <c r="Q223" s="2199"/>
      <c r="R223" s="2199"/>
      <c r="S223" s="2199"/>
      <c r="T223" s="2199"/>
      <c r="U223" s="2199"/>
      <c r="V223" s="2199"/>
      <c r="W223" s="2756"/>
      <c r="X223" s="2756"/>
      <c r="Y223" s="2199"/>
    </row>
    <row r="224" spans="1:25">
      <c r="A224" s="2199"/>
      <c r="B224" s="2199"/>
      <c r="C224" s="2199"/>
      <c r="D224" s="2199"/>
      <c r="E224" s="2199"/>
      <c r="F224" s="2199"/>
      <c r="G224" s="2199"/>
      <c r="H224" s="2199"/>
      <c r="I224" s="2199"/>
      <c r="J224" s="2199"/>
      <c r="K224" s="2199"/>
      <c r="L224" s="2199"/>
      <c r="M224" s="2199"/>
      <c r="N224" s="2199"/>
      <c r="O224" s="2199"/>
      <c r="P224" s="2199"/>
      <c r="Q224" s="2199"/>
      <c r="R224" s="2199"/>
      <c r="S224" s="2199"/>
      <c r="T224" s="2199"/>
      <c r="U224" s="2199"/>
      <c r="V224" s="2199"/>
      <c r="W224" s="2756"/>
      <c r="X224" s="2756"/>
      <c r="Y224" s="2199"/>
    </row>
    <row r="226" spans="4:24">
      <c r="J226" s="608"/>
    </row>
    <row r="227" spans="4:24" ht="19.95" customHeight="1">
      <c r="D227" s="607"/>
      <c r="E227" s="26"/>
      <c r="F227" s="26"/>
      <c r="G227" s="26"/>
      <c r="H227" s="604"/>
      <c r="I227" s="603"/>
      <c r="J227" s="26"/>
      <c r="K227" s="26"/>
      <c r="L227" s="26"/>
      <c r="M227" s="26"/>
      <c r="N227" s="26"/>
      <c r="O227" s="26"/>
    </row>
    <row r="228" spans="4:24" ht="19.95" customHeight="1">
      <c r="E228" s="26"/>
      <c r="F228" s="26"/>
      <c r="G228" s="603"/>
      <c r="H228" s="602"/>
      <c r="I228" s="601"/>
      <c r="J228" s="606"/>
      <c r="K228" s="601"/>
      <c r="L228" s="606"/>
      <c r="M228" s="601"/>
      <c r="N228" s="26"/>
      <c r="O228" s="601"/>
      <c r="P228" s="26"/>
      <c r="Q228" s="26"/>
      <c r="R228" s="26"/>
      <c r="S228" s="26"/>
      <c r="T228" s="26"/>
      <c r="U228" s="26"/>
      <c r="V228" s="26"/>
      <c r="W228" s="2765"/>
      <c r="X228" s="2765"/>
    </row>
    <row r="229" spans="4:24" ht="19.95" customHeight="1">
      <c r="E229" s="26"/>
      <c r="F229" s="26"/>
      <c r="G229" s="603"/>
      <c r="H229" s="602"/>
      <c r="I229" s="605"/>
      <c r="J229" s="26"/>
      <c r="K229" s="605"/>
      <c r="L229" s="26"/>
      <c r="M229" s="605"/>
      <c r="N229" s="26"/>
      <c r="O229" s="605"/>
      <c r="P229" s="606"/>
      <c r="Q229" s="601"/>
      <c r="R229" s="26"/>
      <c r="S229" s="601"/>
      <c r="T229" s="606"/>
      <c r="U229" s="601"/>
      <c r="V229" s="26"/>
      <c r="W229" s="601"/>
      <c r="X229" s="2765"/>
    </row>
    <row r="230" spans="4:24" ht="19.95" customHeight="1">
      <c r="E230" s="26"/>
      <c r="F230" s="26"/>
      <c r="G230" s="603"/>
      <c r="H230" s="604"/>
      <c r="I230" s="601"/>
      <c r="J230" s="26"/>
      <c r="K230" s="601"/>
      <c r="L230" s="601"/>
      <c r="M230" s="601"/>
      <c r="N230" s="26"/>
      <c r="O230" s="601"/>
      <c r="P230" s="26"/>
      <c r="Q230" s="605"/>
      <c r="R230" s="26"/>
      <c r="S230" s="605"/>
      <c r="T230" s="26"/>
      <c r="U230" s="605"/>
      <c r="V230" s="26"/>
      <c r="W230" s="605"/>
      <c r="X230" s="2765"/>
    </row>
    <row r="231" spans="4:24" ht="19.95" customHeight="1">
      <c r="E231" s="26"/>
      <c r="F231" s="26"/>
      <c r="G231" s="603"/>
      <c r="H231" s="602"/>
      <c r="I231" s="601"/>
      <c r="J231" s="26"/>
      <c r="K231" s="601"/>
      <c r="L231" s="26"/>
      <c r="M231" s="601"/>
      <c r="N231" s="26"/>
      <c r="O231" s="601"/>
      <c r="P231" s="601"/>
      <c r="Q231" s="601"/>
      <c r="R231" s="26"/>
      <c r="S231" s="601"/>
      <c r="T231" s="601"/>
      <c r="U231" s="601"/>
      <c r="V231" s="26"/>
      <c r="W231" s="601"/>
      <c r="X231" s="2765"/>
    </row>
    <row r="232" spans="4:24">
      <c r="P232" s="26"/>
      <c r="Q232" s="601"/>
      <c r="R232" s="26"/>
      <c r="S232" s="601"/>
      <c r="T232" s="26"/>
      <c r="U232" s="601"/>
      <c r="V232" s="26"/>
      <c r="W232" s="601"/>
      <c r="X232" s="2765"/>
    </row>
    <row r="233" spans="4:24" ht="16.2" hidden="1" customHeight="1">
      <c r="F233" s="600"/>
      <c r="G233" s="600">
        <v>1</v>
      </c>
    </row>
    <row r="234" spans="4:24" ht="16.2" hidden="1" customHeight="1">
      <c r="F234" s="599" t="str">
        <f>'WW1'!$K$2</f>
        <v>Winterweizen (Futter-)</v>
      </c>
      <c r="G234" s="598">
        <f>G233+1</f>
        <v>2</v>
      </c>
    </row>
    <row r="235" spans="4:24" ht="16.2" hidden="1" customHeight="1">
      <c r="F235" s="599" t="str">
        <f>'WW2'!$K$2</f>
        <v>Winterweizen (Brot-)</v>
      </c>
      <c r="G235" s="598">
        <f t="shared" ref="G235:G264" si="21">G234+1</f>
        <v>3</v>
      </c>
    </row>
    <row r="236" spans="4:24" ht="16.2" hidden="1" customHeight="1">
      <c r="F236" s="599" t="str">
        <f>'WW-A'!$K$2</f>
        <v>Winterweizen (Aufmisch-; A-Sort.)</v>
      </c>
      <c r="G236" s="598">
        <f t="shared" si="21"/>
        <v>4</v>
      </c>
    </row>
    <row r="237" spans="4:24" ht="16.2" hidden="1" customHeight="1">
      <c r="F237" s="599" t="str">
        <f>'WW-E'!$K$2</f>
        <v>Winterweizen (Qualität-; E-Sorte)</v>
      </c>
      <c r="G237" s="598">
        <f t="shared" si="21"/>
        <v>5</v>
      </c>
    </row>
    <row r="238" spans="4:24" ht="16.2" hidden="1" customHeight="1">
      <c r="F238" s="599" t="str">
        <f>WRo!$K$2</f>
        <v>Winterroggen</v>
      </c>
      <c r="G238" s="598">
        <f t="shared" si="21"/>
        <v>6</v>
      </c>
    </row>
    <row r="239" spans="4:24" ht="16.2" hidden="1" customHeight="1">
      <c r="F239" s="599" t="str">
        <f>Tr!$K$2</f>
        <v>Triticale</v>
      </c>
      <c r="G239" s="598">
        <f t="shared" si="21"/>
        <v>7</v>
      </c>
    </row>
    <row r="240" spans="4:24" ht="16.2" hidden="1" customHeight="1">
      <c r="F240" s="599" t="str">
        <f>WG!$K$2</f>
        <v>Wintergerste</v>
      </c>
      <c r="G240" s="598">
        <f t="shared" si="21"/>
        <v>8</v>
      </c>
    </row>
    <row r="241" spans="6:7" ht="16.2" hidden="1" customHeight="1">
      <c r="F241" s="599" t="str">
        <f>Di!K2</f>
        <v>Dinkel</v>
      </c>
      <c r="G241" s="598">
        <f t="shared" si="21"/>
        <v>9</v>
      </c>
    </row>
    <row r="242" spans="6:7" ht="16.2" hidden="1" customHeight="1">
      <c r="F242" s="599" t="str">
        <f>SW!K2</f>
        <v xml:space="preserve">Sommerweizen </v>
      </c>
      <c r="G242" s="598">
        <f t="shared" si="21"/>
        <v>10</v>
      </c>
    </row>
    <row r="243" spans="6:7" ht="16.2" hidden="1" customHeight="1">
      <c r="F243" s="599" t="str">
        <f>'SG-Fu'!$K$2</f>
        <v xml:space="preserve">Sommerfuttergerste </v>
      </c>
      <c r="G243" s="598">
        <f t="shared" si="21"/>
        <v>11</v>
      </c>
    </row>
    <row r="244" spans="6:7" ht="16.2" hidden="1" customHeight="1">
      <c r="F244" s="599" t="str">
        <f>BG!$K$2</f>
        <v>Braugerste</v>
      </c>
      <c r="G244" s="598">
        <f t="shared" si="21"/>
        <v>12</v>
      </c>
    </row>
    <row r="245" spans="6:7" ht="16.2" hidden="1" customHeight="1">
      <c r="F245" s="599" t="str">
        <f>Ha!$K$2</f>
        <v xml:space="preserve">Hafer </v>
      </c>
      <c r="G245" s="598">
        <f t="shared" si="21"/>
        <v>13</v>
      </c>
    </row>
    <row r="246" spans="6:7" ht="16.2" hidden="1" customHeight="1">
      <c r="F246" s="599" t="str">
        <f>Du!$K$2</f>
        <v>Durum</v>
      </c>
      <c r="G246" s="598">
        <f t="shared" si="21"/>
        <v>14</v>
      </c>
    </row>
    <row r="247" spans="6:7" ht="16.2" hidden="1" customHeight="1">
      <c r="F247" s="599" t="str">
        <f>KöM!$K$2</f>
        <v xml:space="preserve">Körnermais </v>
      </c>
      <c r="G247" s="598">
        <f t="shared" si="21"/>
        <v>15</v>
      </c>
    </row>
    <row r="248" spans="6:7" ht="16.2" hidden="1" customHeight="1">
      <c r="F248" s="599" t="str">
        <f>KH!$K$2</f>
        <v>Körnerhirse (Lebens-/Futtermittel)</v>
      </c>
      <c r="G248" s="598">
        <f t="shared" si="21"/>
        <v>16</v>
      </c>
    </row>
    <row r="249" spans="6:7" ht="16.2" hidden="1" customHeight="1">
      <c r="F249" s="599" t="str">
        <f>WR!$K$2</f>
        <v>Winterraps</v>
      </c>
      <c r="G249" s="598">
        <f t="shared" si="21"/>
        <v>17</v>
      </c>
    </row>
    <row r="250" spans="6:7" ht="16.2" hidden="1" customHeight="1">
      <c r="F250" s="599" t="str">
        <f>SR!$K$2</f>
        <v xml:space="preserve">Sommerraps </v>
      </c>
      <c r="G250" s="598">
        <f t="shared" si="21"/>
        <v>18</v>
      </c>
    </row>
    <row r="251" spans="6:7" ht="16.2" hidden="1" customHeight="1">
      <c r="F251" s="599" t="str">
        <f>SoBl!$K$2</f>
        <v xml:space="preserve">Sonnenblumen </v>
      </c>
      <c r="G251" s="598">
        <f t="shared" si="21"/>
        <v>19</v>
      </c>
    </row>
    <row r="252" spans="6:7" ht="16.2" hidden="1" customHeight="1">
      <c r="F252" s="599" t="str">
        <f>Soja!K2</f>
        <v xml:space="preserve">Sojabohne </v>
      </c>
      <c r="G252" s="598">
        <f t="shared" si="21"/>
        <v>20</v>
      </c>
    </row>
    <row r="253" spans="6:7" ht="16.2" hidden="1" customHeight="1">
      <c r="F253" s="599" t="str">
        <f>Öl!K2</f>
        <v xml:space="preserve">Öllein (Industrie) </v>
      </c>
      <c r="G253" s="598">
        <f t="shared" si="21"/>
        <v>21</v>
      </c>
    </row>
    <row r="254" spans="6:7" ht="16.2" hidden="1" customHeight="1">
      <c r="F254" s="599" t="str">
        <f>FE!$K$2</f>
        <v xml:space="preserve">Futtererbsen </v>
      </c>
      <c r="G254" s="598">
        <f t="shared" si="21"/>
        <v>22</v>
      </c>
    </row>
    <row r="255" spans="6:7" ht="16.2" hidden="1" customHeight="1">
      <c r="F255" s="599" t="str">
        <f>AB!$K$2</f>
        <v xml:space="preserve">Ackerbohnen </v>
      </c>
      <c r="G255" s="598">
        <f t="shared" si="21"/>
        <v>23</v>
      </c>
    </row>
    <row r="256" spans="6:7" ht="16.2" hidden="1" customHeight="1">
      <c r="F256" s="599" t="str">
        <f>Lu!K2</f>
        <v xml:space="preserve">Blaue Lupine </v>
      </c>
      <c r="G256" s="598">
        <f t="shared" si="21"/>
        <v>24</v>
      </c>
    </row>
    <row r="257" spans="6:9" ht="16.2" hidden="1" customHeight="1">
      <c r="F257" s="599" t="str">
        <f>ZR!$K$2</f>
        <v xml:space="preserve">Zuckerrüben </v>
      </c>
      <c r="G257" s="598">
        <f t="shared" si="21"/>
        <v>25</v>
      </c>
    </row>
    <row r="258" spans="6:9" ht="16.2" hidden="1" customHeight="1">
      <c r="F258" s="599" t="str">
        <f>FrühKa!$K$2</f>
        <v>Frühkartoffeln</v>
      </c>
      <c r="G258" s="598">
        <f t="shared" si="21"/>
        <v>26</v>
      </c>
    </row>
    <row r="259" spans="6:9" ht="16.2" hidden="1" customHeight="1">
      <c r="F259" s="599" t="str">
        <f>FrühKaFolieBer!$K$2</f>
        <v>Frühkartoffeln, Folie, beregnet</v>
      </c>
      <c r="G259" s="598">
        <f t="shared" si="21"/>
        <v>27</v>
      </c>
    </row>
    <row r="260" spans="6:9" ht="16.2" hidden="1" customHeight="1">
      <c r="F260" s="599" t="str">
        <f>SpKa!$K$2</f>
        <v>Speisekartoffeln spät</v>
      </c>
      <c r="G260" s="598">
        <f t="shared" si="21"/>
        <v>28</v>
      </c>
    </row>
    <row r="261" spans="6:9" ht="16.2" hidden="1" customHeight="1">
      <c r="F261" s="599" t="str">
        <f>SpKaBer!$K$2</f>
        <v>Speisekartoffeln spät, beregnet</v>
      </c>
      <c r="G261" s="598">
        <f t="shared" si="21"/>
        <v>29</v>
      </c>
    </row>
    <row r="262" spans="6:9" ht="16.2" hidden="1" customHeight="1">
      <c r="F262" s="599" t="s">
        <v>23</v>
      </c>
      <c r="G262" s="598">
        <f t="shared" si="21"/>
        <v>30</v>
      </c>
    </row>
    <row r="263" spans="6:9" ht="16.2" hidden="1" customHeight="1">
      <c r="F263" s="599" t="str">
        <f>'FAKT-Brachebegrünung'!$K$2</f>
        <v>FAKT - Brachebegrünung</v>
      </c>
      <c r="G263" s="598">
        <f t="shared" si="21"/>
        <v>31</v>
      </c>
    </row>
    <row r="264" spans="6:9" ht="16.2" hidden="1" customHeight="1">
      <c r="F264" s="599" t="str">
        <f>Begr!$K$2</f>
        <v>Begrünung</v>
      </c>
      <c r="G264" s="598">
        <f t="shared" si="21"/>
        <v>32</v>
      </c>
    </row>
    <row r="265" spans="6:9" hidden="1"/>
    <row r="266" spans="6:9" hidden="1">
      <c r="F266" s="599" t="str">
        <f>'Öko-KG1'!$K$2</f>
        <v xml:space="preserve">Öko-Kleegras einjährig (70:30) </v>
      </c>
      <c r="G266" s="598">
        <v>33</v>
      </c>
    </row>
    <row r="267" spans="6:9" hidden="1">
      <c r="F267" s="599" t="str">
        <f>'Öko-KG2'!$K$2</f>
        <v>Öko-Kleegras zweijährig (50:50)</v>
      </c>
      <c r="G267" s="598">
        <f>G266+1</f>
        <v>34</v>
      </c>
    </row>
    <row r="268" spans="6:9" hidden="1">
      <c r="F268" s="599" t="str">
        <f>'Öko-LU1'!$K$2</f>
        <v>Öko-Luzernegras einjährig (70:30)</v>
      </c>
      <c r="G268" s="598">
        <f>G267+1</f>
        <v>35</v>
      </c>
    </row>
    <row r="269" spans="6:9" hidden="1">
      <c r="F269" s="599" t="str">
        <f>'Öko-LU2'!$K$2</f>
        <v>Öko-Luzernegras zweijährig (50:50)</v>
      </c>
      <c r="G269" s="598">
        <f>G268+1</f>
        <v>36</v>
      </c>
    </row>
    <row r="270" spans="6:9" hidden="1">
      <c r="F270" s="599" t="str">
        <f>'Öko-WW-Futter'!$K$2</f>
        <v>Öko-Winterweizen (Futter)</v>
      </c>
      <c r="G270" s="598">
        <f>G269+1</f>
        <v>37</v>
      </c>
    </row>
    <row r="271" spans="6:9" hidden="1">
      <c r="F271" s="599" t="str">
        <f>'Öko-WW-Brot'!$K$2</f>
        <v>Öko-Winterweizen (Brot)</v>
      </c>
      <c r="G271" s="598">
        <f>G270+1</f>
        <v>38</v>
      </c>
    </row>
    <row r="272" spans="6:9" hidden="1">
      <c r="F272" s="599" t="str">
        <f>'Öko-Di'!$K$2</f>
        <v>Öko-Dinkel</v>
      </c>
      <c r="G272" s="598">
        <f t="shared" ref="G272:G287" si="22">G271+1</f>
        <v>39</v>
      </c>
      <c r="I272" s="2190"/>
    </row>
    <row r="273" spans="6:9" hidden="1">
      <c r="F273" s="599"/>
      <c r="G273" s="598">
        <f t="shared" si="22"/>
        <v>40</v>
      </c>
      <c r="I273" s="2190"/>
    </row>
    <row r="274" spans="6:9" hidden="1">
      <c r="F274" s="599" t="str">
        <f>'Öko-Ro'!$K$2</f>
        <v>Öko-Winterroggen (Brot)</v>
      </c>
      <c r="G274" s="598">
        <f t="shared" si="22"/>
        <v>41</v>
      </c>
    </row>
    <row r="275" spans="6:9" hidden="1">
      <c r="F275" s="599" t="str">
        <f>'Öko-Ha'!$K$2</f>
        <v>Öko-Hafer</v>
      </c>
      <c r="G275" s="598">
        <f t="shared" si="22"/>
        <v>42</v>
      </c>
    </row>
    <row r="276" spans="6:9" hidden="1">
      <c r="F276" s="599" t="s">
        <v>1465</v>
      </c>
      <c r="G276" s="598">
        <f t="shared" si="22"/>
        <v>43</v>
      </c>
      <c r="I276" s="2611"/>
    </row>
    <row r="277" spans="6:9" hidden="1">
      <c r="F277" s="599" t="str">
        <f>'Öko-Bg'!$K$2</f>
        <v>Öko-Braugerste</v>
      </c>
      <c r="G277" s="598">
        <f t="shared" si="22"/>
        <v>44</v>
      </c>
    </row>
    <row r="278" spans="6:9" hidden="1">
      <c r="F278" s="599" t="str">
        <f>'Öko-KöM'!$K$2</f>
        <v xml:space="preserve">Öko-Körnermais </v>
      </c>
      <c r="G278" s="598">
        <f t="shared" si="22"/>
        <v>45</v>
      </c>
    </row>
    <row r="279" spans="6:9" hidden="1">
      <c r="F279" s="599" t="str">
        <f>'Öko-Ab'!$K$2</f>
        <v xml:space="preserve">Öko-Ackerbohnen </v>
      </c>
      <c r="G279" s="598">
        <f t="shared" si="22"/>
        <v>46</v>
      </c>
    </row>
    <row r="280" spans="6:9" hidden="1">
      <c r="F280" s="599" t="str">
        <f>'Öko-FE'!$K$2</f>
        <v>Öko-Futtererbsen</v>
      </c>
      <c r="G280" s="598">
        <f t="shared" si="22"/>
        <v>47</v>
      </c>
    </row>
    <row r="281" spans="6:9" hidden="1">
      <c r="F281" s="599" t="str">
        <f>'Öko-Soja'!$K$2</f>
        <v>Öko-Sojabohnen</v>
      </c>
      <c r="G281" s="598">
        <f t="shared" si="22"/>
        <v>48</v>
      </c>
    </row>
    <row r="282" spans="6:9" hidden="1">
      <c r="F282" s="599"/>
      <c r="G282" s="598">
        <f t="shared" si="22"/>
        <v>49</v>
      </c>
    </row>
    <row r="283" spans="6:9" hidden="1">
      <c r="F283" s="599"/>
      <c r="G283" s="598">
        <f t="shared" si="22"/>
        <v>50</v>
      </c>
    </row>
    <row r="284" spans="6:9" hidden="1">
      <c r="F284" s="599"/>
      <c r="G284" s="598">
        <f t="shared" si="22"/>
        <v>51</v>
      </c>
    </row>
    <row r="285" spans="6:9" hidden="1">
      <c r="F285" s="599" t="s">
        <v>1735</v>
      </c>
      <c r="G285" s="598">
        <f t="shared" si="22"/>
        <v>52</v>
      </c>
    </row>
    <row r="286" spans="6:9" hidden="1">
      <c r="F286" s="599" t="str">
        <f>Begrün.!$K$2</f>
        <v>FAKT-Begrünung</v>
      </c>
      <c r="G286" s="598">
        <f t="shared" si="22"/>
        <v>53</v>
      </c>
      <c r="H286" s="16"/>
      <c r="I286" s="4"/>
    </row>
    <row r="287" spans="6:9" hidden="1">
      <c r="F287" s="599" t="str">
        <f>Blühm.!$K$2</f>
        <v xml:space="preserve">FAKT-Blühmischung </v>
      </c>
      <c r="G287" s="598">
        <f t="shared" si="22"/>
        <v>54</v>
      </c>
      <c r="H287" s="16"/>
      <c r="I287" s="4"/>
    </row>
    <row r="288" spans="6:9" hidden="1">
      <c r="F288" s="599"/>
      <c r="G288" s="598"/>
      <c r="H288" s="16"/>
      <c r="I288" s="4"/>
    </row>
    <row r="289" spans="6:9" hidden="1">
      <c r="F289" s="599"/>
      <c r="H289" s="16"/>
      <c r="I289" s="4"/>
    </row>
    <row r="290" spans="6:9">
      <c r="G290" s="595"/>
      <c r="H290" s="16"/>
      <c r="I290" s="4"/>
    </row>
    <row r="291" spans="6:9">
      <c r="G291" s="595"/>
      <c r="H291" s="16"/>
      <c r="I291" s="4"/>
    </row>
    <row r="292" spans="6:9">
      <c r="G292" s="595"/>
      <c r="H292" s="16"/>
      <c r="I292" s="4"/>
    </row>
    <row r="293" spans="6:9">
      <c r="G293" s="595"/>
      <c r="H293" s="16"/>
      <c r="I293" s="4"/>
    </row>
    <row r="294" spans="6:9">
      <c r="G294" s="595"/>
      <c r="H294" s="16"/>
      <c r="I294" s="4"/>
    </row>
    <row r="295" spans="6:9">
      <c r="G295" s="595"/>
      <c r="H295" s="16"/>
      <c r="I295" s="4"/>
    </row>
    <row r="296" spans="6:9">
      <c r="G296" s="595"/>
      <c r="H296" s="16"/>
      <c r="I296" s="4"/>
    </row>
    <row r="297" spans="6:9">
      <c r="G297" s="595"/>
      <c r="H297" s="16"/>
      <c r="I297" s="4"/>
    </row>
    <row r="298" spans="6:9">
      <c r="G298" s="595"/>
    </row>
    <row r="299" spans="6:9">
      <c r="G299" s="595"/>
    </row>
    <row r="300" spans="6:9">
      <c r="G300" s="595"/>
    </row>
    <row r="301" spans="6:9">
      <c r="G301" s="595"/>
    </row>
  </sheetData>
  <sheetProtection sheet="1" objects="1" scenarios="1"/>
  <customSheetViews>
    <customSheetView guid="{8063F48F-80B5-4ECD-B18A-51CBF126E780}" fitToPage="1" hiddenRows="1" topLeftCell="K1">
      <selection activeCell="U2" sqref="U2:V2"/>
      <pageMargins left="0.59055118110236227" right="0.59055118110236227" top="0.59055118110236227" bottom="0.59055118110236227" header="0.39370078740157483" footer="0.39370078740157483"/>
      <printOptions horizontalCentered="1"/>
      <pageSetup paperSize="9" scale="58" firstPageNumber="19" fitToHeight="0" orientation="portrait" r:id="rId1"/>
      <headerFooter alignWithMargins="0">
        <oddFooter>&amp;L&amp;11LEL Schwäbisch Gmünd&amp;C46&amp;R&amp;11&amp;F</oddFooter>
      </headerFooter>
    </customSheetView>
    <customSheetView guid="{5D5C9B61-9ABD-4513-AAEB-8333A9D6196C}" fitToPage="1" hiddenRows="1">
      <selection activeCell="AL26" sqref="AL26"/>
      <pageMargins left="0.59055118110236227" right="0.59055118110236227" top="0.59055118110236227" bottom="0.59055118110236227" header="0.39370078740157483" footer="0.39370078740157483"/>
      <printOptions horizontalCentered="1"/>
      <pageSetup paperSize="9" scale="58" firstPageNumber="19" fitToHeight="0" orientation="portrait" r:id="rId2"/>
      <headerFooter alignWithMargins="0">
        <oddFooter>&amp;L&amp;11LEL Schwäbisch Gmünd&amp;C46&amp;R&amp;11&amp;F</oddFooter>
      </headerFooter>
    </customSheetView>
    <customSheetView guid="{22A73C4F-9004-4CEF-8499-B1F91BE1B569}" fitToPage="1" hiddenRows="1" topLeftCell="K1">
      <selection activeCell="U2" sqref="U2:V2"/>
      <pageMargins left="0.59055118110236227" right="0.59055118110236227" top="0.59055118110236227" bottom="0.59055118110236227" header="0.39370078740157483" footer="0.39370078740157483"/>
      <printOptions horizontalCentered="1"/>
      <pageSetup paperSize="9" scale="58" firstPageNumber="19" fitToHeight="0" orientation="portrait" r:id="rId3"/>
      <headerFooter alignWithMargins="0">
        <oddFooter>&amp;L&amp;11LEL Schwäbisch Gmünd&amp;C46&amp;R&amp;11&amp;F</oddFooter>
      </headerFooter>
    </customSheetView>
  </customSheetViews>
  <mergeCells count="559">
    <mergeCell ref="S124:T124"/>
    <mergeCell ref="S125:T125"/>
    <mergeCell ref="S134:T134"/>
    <mergeCell ref="S135:T135"/>
    <mergeCell ref="S127:T127"/>
    <mergeCell ref="S128:T128"/>
    <mergeCell ref="S129:T129"/>
    <mergeCell ref="S130:T130"/>
    <mergeCell ref="S131:T131"/>
    <mergeCell ref="S132:T132"/>
    <mergeCell ref="U125:V125"/>
    <mergeCell ref="U137:V137"/>
    <mergeCell ref="O127:P127"/>
    <mergeCell ref="O128:P128"/>
    <mergeCell ref="O129:P129"/>
    <mergeCell ref="O130:P130"/>
    <mergeCell ref="O131:P131"/>
    <mergeCell ref="O132:P132"/>
    <mergeCell ref="O133:P133"/>
    <mergeCell ref="O134:P134"/>
    <mergeCell ref="S133:T133"/>
    <mergeCell ref="S136:T136"/>
    <mergeCell ref="S137:T137"/>
    <mergeCell ref="O137:P137"/>
    <mergeCell ref="O135:P135"/>
    <mergeCell ref="O136:P136"/>
    <mergeCell ref="Q137:R137"/>
    <mergeCell ref="Q136:R136"/>
    <mergeCell ref="Q135:R135"/>
    <mergeCell ref="Q134:R134"/>
    <mergeCell ref="Q133:R133"/>
    <mergeCell ref="Q132:R132"/>
    <mergeCell ref="Q131:R131"/>
    <mergeCell ref="Q130:R130"/>
    <mergeCell ref="U119:V119"/>
    <mergeCell ref="U120:V120"/>
    <mergeCell ref="U121:V121"/>
    <mergeCell ref="U122:V122"/>
    <mergeCell ref="U123:V123"/>
    <mergeCell ref="U124:V124"/>
    <mergeCell ref="U102:V102"/>
    <mergeCell ref="U106:V106"/>
    <mergeCell ref="U114:V114"/>
    <mergeCell ref="U115:V115"/>
    <mergeCell ref="U117:V117"/>
    <mergeCell ref="U118:V118"/>
    <mergeCell ref="U62:V62"/>
    <mergeCell ref="U45:V45"/>
    <mergeCell ref="U46:V46"/>
    <mergeCell ref="U48:V48"/>
    <mergeCell ref="U49:V49"/>
    <mergeCell ref="U50:V50"/>
    <mergeCell ref="U51:V51"/>
    <mergeCell ref="U78:V78"/>
    <mergeCell ref="U93:V93"/>
    <mergeCell ref="U63:V63"/>
    <mergeCell ref="U64:V64"/>
    <mergeCell ref="U74:V74"/>
    <mergeCell ref="U75:V75"/>
    <mergeCell ref="U76:V76"/>
    <mergeCell ref="U77:V77"/>
    <mergeCell ref="S62:T62"/>
    <mergeCell ref="U2:V2"/>
    <mergeCell ref="U5:V5"/>
    <mergeCell ref="U8:V8"/>
    <mergeCell ref="U17:V17"/>
    <mergeCell ref="U18:V18"/>
    <mergeCell ref="U37:V37"/>
    <mergeCell ref="U40:V40"/>
    <mergeCell ref="U41:V41"/>
    <mergeCell ref="U42:V42"/>
    <mergeCell ref="U43:V43"/>
    <mergeCell ref="U44:V44"/>
    <mergeCell ref="U15:V15"/>
    <mergeCell ref="U16:V16"/>
    <mergeCell ref="U32:V32"/>
    <mergeCell ref="U34:V34"/>
    <mergeCell ref="U35:V35"/>
    <mergeCell ref="U36:V36"/>
    <mergeCell ref="U19:V19"/>
    <mergeCell ref="U52:V52"/>
    <mergeCell ref="U53:V53"/>
    <mergeCell ref="U54:V54"/>
    <mergeCell ref="U60:V60"/>
    <mergeCell ref="U61:V61"/>
    <mergeCell ref="S123:T123"/>
    <mergeCell ref="S75:T75"/>
    <mergeCell ref="S76:T76"/>
    <mergeCell ref="S77:T77"/>
    <mergeCell ref="S78:T78"/>
    <mergeCell ref="S93:T93"/>
    <mergeCell ref="S106:T106"/>
    <mergeCell ref="S114:T114"/>
    <mergeCell ref="S115:T115"/>
    <mergeCell ref="S117:T117"/>
    <mergeCell ref="S118:T118"/>
    <mergeCell ref="S119:T119"/>
    <mergeCell ref="S120:T120"/>
    <mergeCell ref="S121:T121"/>
    <mergeCell ref="S122:T122"/>
    <mergeCell ref="S97:T97"/>
    <mergeCell ref="S99:T99"/>
    <mergeCell ref="S100:T100"/>
    <mergeCell ref="S102:T102"/>
    <mergeCell ref="S49:T49"/>
    <mergeCell ref="S50:T50"/>
    <mergeCell ref="S51:T51"/>
    <mergeCell ref="S32:T32"/>
    <mergeCell ref="S34:T34"/>
    <mergeCell ref="S35:T35"/>
    <mergeCell ref="S63:T63"/>
    <mergeCell ref="S64:T64"/>
    <mergeCell ref="S74:T74"/>
    <mergeCell ref="S42:T42"/>
    <mergeCell ref="S43:T43"/>
    <mergeCell ref="S44:T44"/>
    <mergeCell ref="S45:T45"/>
    <mergeCell ref="S46:T46"/>
    <mergeCell ref="S48:T48"/>
    <mergeCell ref="S52:T52"/>
    <mergeCell ref="S36:T36"/>
    <mergeCell ref="S37:T37"/>
    <mergeCell ref="S40:T40"/>
    <mergeCell ref="S41:T41"/>
    <mergeCell ref="S53:T53"/>
    <mergeCell ref="S54:T54"/>
    <mergeCell ref="S60:T60"/>
    <mergeCell ref="S61:T61"/>
    <mergeCell ref="S2:T2"/>
    <mergeCell ref="S5:T5"/>
    <mergeCell ref="S8:T8"/>
    <mergeCell ref="Q117:R117"/>
    <mergeCell ref="Q118:R118"/>
    <mergeCell ref="Q119:R119"/>
    <mergeCell ref="Q120:R120"/>
    <mergeCell ref="Q121:R121"/>
    <mergeCell ref="Q122:R122"/>
    <mergeCell ref="Q99:R99"/>
    <mergeCell ref="Q100:R100"/>
    <mergeCell ref="Q102:R102"/>
    <mergeCell ref="Q106:R106"/>
    <mergeCell ref="Q114:R114"/>
    <mergeCell ref="Q115:R115"/>
    <mergeCell ref="Q76:R76"/>
    <mergeCell ref="Q77:R77"/>
    <mergeCell ref="S15:T15"/>
    <mergeCell ref="S16:T16"/>
    <mergeCell ref="S17:T17"/>
    <mergeCell ref="S18:T18"/>
    <mergeCell ref="S19:T19"/>
    <mergeCell ref="S98:T98"/>
    <mergeCell ref="Q61:R61"/>
    <mergeCell ref="Q62:R62"/>
    <mergeCell ref="Q63:R63"/>
    <mergeCell ref="Q64:R64"/>
    <mergeCell ref="Q74:R74"/>
    <mergeCell ref="Q75:R75"/>
    <mergeCell ref="Q123:R123"/>
    <mergeCell ref="Q124:R124"/>
    <mergeCell ref="Q125:R125"/>
    <mergeCell ref="Q50:R50"/>
    <mergeCell ref="Q51:R51"/>
    <mergeCell ref="Q52:R52"/>
    <mergeCell ref="Q53:R53"/>
    <mergeCell ref="Q54:R54"/>
    <mergeCell ref="Q60:R60"/>
    <mergeCell ref="Q16:R16"/>
    <mergeCell ref="Q17:R17"/>
    <mergeCell ref="Q43:R43"/>
    <mergeCell ref="Q44:R44"/>
    <mergeCell ref="Q45:R45"/>
    <mergeCell ref="Q46:R46"/>
    <mergeCell ref="Q48:R48"/>
    <mergeCell ref="Q49:R49"/>
    <mergeCell ref="Q18:R18"/>
    <mergeCell ref="Q19:R19"/>
    <mergeCell ref="Q35:R35"/>
    <mergeCell ref="Q36:R36"/>
    <mergeCell ref="Q37:R37"/>
    <mergeCell ref="Q40:R40"/>
    <mergeCell ref="Q41:R41"/>
    <mergeCell ref="Q42:R42"/>
    <mergeCell ref="Q32:R32"/>
    <mergeCell ref="Q34:R34"/>
    <mergeCell ref="O124:P124"/>
    <mergeCell ref="O125:P125"/>
    <mergeCell ref="Q2:R2"/>
    <mergeCell ref="Q5:R5"/>
    <mergeCell ref="Q8:R8"/>
    <mergeCell ref="O121:P121"/>
    <mergeCell ref="O122:P122"/>
    <mergeCell ref="O123:P123"/>
    <mergeCell ref="O97:P97"/>
    <mergeCell ref="O98:P98"/>
    <mergeCell ref="O99:P99"/>
    <mergeCell ref="O100:P100"/>
    <mergeCell ref="O102:P102"/>
    <mergeCell ref="O106:P106"/>
    <mergeCell ref="O74:P74"/>
    <mergeCell ref="O75:P75"/>
    <mergeCell ref="O76:P76"/>
    <mergeCell ref="O77:P77"/>
    <mergeCell ref="O78:P78"/>
    <mergeCell ref="O93:P93"/>
    <mergeCell ref="O54:P54"/>
    <mergeCell ref="O60:P60"/>
    <mergeCell ref="O61:P61"/>
    <mergeCell ref="Q15:R15"/>
    <mergeCell ref="D131:G131"/>
    <mergeCell ref="D129:G129"/>
    <mergeCell ref="I129:J129"/>
    <mergeCell ref="D130:G130"/>
    <mergeCell ref="O2:P2"/>
    <mergeCell ref="O5:P5"/>
    <mergeCell ref="O8:P8"/>
    <mergeCell ref="K137:L137"/>
    <mergeCell ref="M137:N137"/>
    <mergeCell ref="K132:L132"/>
    <mergeCell ref="M32:N32"/>
    <mergeCell ref="K32:L32"/>
    <mergeCell ref="K36:L36"/>
    <mergeCell ref="M37:N37"/>
    <mergeCell ref="M36:N36"/>
    <mergeCell ref="K8:L8"/>
    <mergeCell ref="K5:L5"/>
    <mergeCell ref="M5:N5"/>
    <mergeCell ref="K15:L15"/>
    <mergeCell ref="M8:N8"/>
    <mergeCell ref="M15:N15"/>
    <mergeCell ref="O15:P15"/>
    <mergeCell ref="O16:P16"/>
    <mergeCell ref="O41:P41"/>
    <mergeCell ref="I135:J135"/>
    <mergeCell ref="K133:L133"/>
    <mergeCell ref="K135:L135"/>
    <mergeCell ref="B165:N165"/>
    <mergeCell ref="I134:J134"/>
    <mergeCell ref="I132:J132"/>
    <mergeCell ref="I133:J133"/>
    <mergeCell ref="I136:J136"/>
    <mergeCell ref="B139:N139"/>
    <mergeCell ref="D134:G134"/>
    <mergeCell ref="I137:J137"/>
    <mergeCell ref="K136:L136"/>
    <mergeCell ref="K134:L134"/>
    <mergeCell ref="D136:G136"/>
    <mergeCell ref="D137:G137"/>
    <mergeCell ref="D135:G135"/>
    <mergeCell ref="D132:G132"/>
    <mergeCell ref="D133:G133"/>
    <mergeCell ref="I48:J48"/>
    <mergeCell ref="K131:L131"/>
    <mergeCell ref="I2:J2"/>
    <mergeCell ref="K2:L2"/>
    <mergeCell ref="M2:N2"/>
    <mergeCell ref="M97:N97"/>
    <mergeCell ref="I98:J98"/>
    <mergeCell ref="K98:L98"/>
    <mergeCell ref="M98:N98"/>
    <mergeCell ref="M93:N93"/>
    <mergeCell ref="I5:J5"/>
    <mergeCell ref="I122:J122"/>
    <mergeCell ref="K122:L122"/>
    <mergeCell ref="K123:L123"/>
    <mergeCell ref="K124:L124"/>
    <mergeCell ref="I127:J127"/>
    <mergeCell ref="K127:L127"/>
    <mergeCell ref="I130:J130"/>
    <mergeCell ref="I131:J131"/>
    <mergeCell ref="K129:L129"/>
    <mergeCell ref="K130:L130"/>
    <mergeCell ref="K125:L125"/>
    <mergeCell ref="I123:J123"/>
    <mergeCell ref="I124:J124"/>
    <mergeCell ref="I49:J49"/>
    <mergeCell ref="K49:L49"/>
    <mergeCell ref="I54:J54"/>
    <mergeCell ref="I50:J50"/>
    <mergeCell ref="I62:J62"/>
    <mergeCell ref="I63:J63"/>
    <mergeCell ref="I77:J77"/>
    <mergeCell ref="I61:J61"/>
    <mergeCell ref="K61:L61"/>
    <mergeCell ref="I60:J60"/>
    <mergeCell ref="I64:J64"/>
    <mergeCell ref="K60:L60"/>
    <mergeCell ref="K64:L64"/>
    <mergeCell ref="K62:L62"/>
    <mergeCell ref="I75:J75"/>
    <mergeCell ref="K75:L75"/>
    <mergeCell ref="K63:L63"/>
    <mergeCell ref="K74:L74"/>
    <mergeCell ref="B21:B30"/>
    <mergeCell ref="M60:N60"/>
    <mergeCell ref="I53:J53"/>
    <mergeCell ref="M54:N54"/>
    <mergeCell ref="M53:N53"/>
    <mergeCell ref="K50:L50"/>
    <mergeCell ref="K52:L52"/>
    <mergeCell ref="K51:L51"/>
    <mergeCell ref="I51:J51"/>
    <mergeCell ref="M52:N52"/>
    <mergeCell ref="I52:J52"/>
    <mergeCell ref="K53:L53"/>
    <mergeCell ref="K54:L54"/>
    <mergeCell ref="K42:L42"/>
    <mergeCell ref="M41:N41"/>
    <mergeCell ref="M40:N40"/>
    <mergeCell ref="K41:L41"/>
    <mergeCell ref="I41:J41"/>
    <mergeCell ref="K45:L45"/>
    <mergeCell ref="M43:N43"/>
    <mergeCell ref="M35:N35"/>
    <mergeCell ref="M50:N50"/>
    <mergeCell ref="K48:L48"/>
    <mergeCell ref="B48:B54"/>
    <mergeCell ref="I8:J8"/>
    <mergeCell ref="K34:L34"/>
    <mergeCell ref="I17:J17"/>
    <mergeCell ref="I18:J18"/>
    <mergeCell ref="K18:L18"/>
    <mergeCell ref="I19:J19"/>
    <mergeCell ref="I34:J34"/>
    <mergeCell ref="G13:H13"/>
    <mergeCell ref="I43:J43"/>
    <mergeCell ref="I36:J36"/>
    <mergeCell ref="I15:J15"/>
    <mergeCell ref="B32:B37"/>
    <mergeCell ref="B39:B46"/>
    <mergeCell ref="M34:N34"/>
    <mergeCell ref="I32:J32"/>
    <mergeCell ref="M42:N42"/>
    <mergeCell ref="I42:J42"/>
    <mergeCell ref="K35:L35"/>
    <mergeCell ref="K37:L37"/>
    <mergeCell ref="I37:J37"/>
    <mergeCell ref="K43:L43"/>
    <mergeCell ref="I45:J45"/>
    <mergeCell ref="M44:N44"/>
    <mergeCell ref="I35:J35"/>
    <mergeCell ref="I46:J46"/>
    <mergeCell ref="M16:N16"/>
    <mergeCell ref="I16:J16"/>
    <mergeCell ref="K16:L16"/>
    <mergeCell ref="K17:L17"/>
    <mergeCell ref="K19:L19"/>
    <mergeCell ref="I40:J40"/>
    <mergeCell ref="I44:J44"/>
    <mergeCell ref="K40:L40"/>
    <mergeCell ref="O46:P46"/>
    <mergeCell ref="O32:P32"/>
    <mergeCell ref="O34:P34"/>
    <mergeCell ref="O35:P35"/>
    <mergeCell ref="O36:P36"/>
    <mergeCell ref="O37:P37"/>
    <mergeCell ref="K46:L46"/>
    <mergeCell ref="K44:L44"/>
    <mergeCell ref="M45:N45"/>
    <mergeCell ref="O42:P42"/>
    <mergeCell ref="O43:P43"/>
    <mergeCell ref="O17:P17"/>
    <mergeCell ref="O18:P18"/>
    <mergeCell ref="O19:P19"/>
    <mergeCell ref="M19:N19"/>
    <mergeCell ref="M18:N18"/>
    <mergeCell ref="K118:L118"/>
    <mergeCell ref="K120:L120"/>
    <mergeCell ref="I118:J118"/>
    <mergeCell ref="I113:N113"/>
    <mergeCell ref="M120:N120"/>
    <mergeCell ref="K97:L97"/>
    <mergeCell ref="K76:L76"/>
    <mergeCell ref="K78:L78"/>
    <mergeCell ref="I78:J78"/>
    <mergeCell ref="M77:N77"/>
    <mergeCell ref="K77:L77"/>
    <mergeCell ref="I93:J93"/>
    <mergeCell ref="M76:N76"/>
    <mergeCell ref="I120:J120"/>
    <mergeCell ref="M64:N64"/>
    <mergeCell ref="O63:P63"/>
    <mergeCell ref="O114:P114"/>
    <mergeCell ref="O115:P115"/>
    <mergeCell ref="O117:P117"/>
    <mergeCell ref="O118:P118"/>
    <mergeCell ref="O119:P119"/>
    <mergeCell ref="O120:P120"/>
    <mergeCell ref="O64:P64"/>
    <mergeCell ref="M74:N74"/>
    <mergeCell ref="M75:N75"/>
    <mergeCell ref="M63:N63"/>
    <mergeCell ref="O48:P48"/>
    <mergeCell ref="O49:P49"/>
    <mergeCell ref="O50:P50"/>
    <mergeCell ref="O51:P51"/>
    <mergeCell ref="O52:P52"/>
    <mergeCell ref="O53:P53"/>
    <mergeCell ref="M61:N61"/>
    <mergeCell ref="M46:N46"/>
    <mergeCell ref="O62:P62"/>
    <mergeCell ref="M51:N51"/>
    <mergeCell ref="M49:N49"/>
    <mergeCell ref="M62:N62"/>
    <mergeCell ref="O44:P44"/>
    <mergeCell ref="O45:P45"/>
    <mergeCell ref="M17:N17"/>
    <mergeCell ref="O40:P40"/>
    <mergeCell ref="D127:G127"/>
    <mergeCell ref="D128:G128"/>
    <mergeCell ref="I74:J74"/>
    <mergeCell ref="D124:G124"/>
    <mergeCell ref="D125:G125"/>
    <mergeCell ref="D115:G115"/>
    <mergeCell ref="I100:J100"/>
    <mergeCell ref="D113:F113"/>
    <mergeCell ref="D122:G122"/>
    <mergeCell ref="D120:G120"/>
    <mergeCell ref="D121:G121"/>
    <mergeCell ref="I102:J102"/>
    <mergeCell ref="I106:J106"/>
    <mergeCell ref="D117:G117"/>
    <mergeCell ref="D118:G118"/>
    <mergeCell ref="D119:G119"/>
    <mergeCell ref="D126:G126"/>
    <mergeCell ref="D123:G123"/>
    <mergeCell ref="I125:J125"/>
    <mergeCell ref="I121:J121"/>
    <mergeCell ref="I128:J128"/>
    <mergeCell ref="I99:J99"/>
    <mergeCell ref="I97:J97"/>
    <mergeCell ref="I76:J76"/>
    <mergeCell ref="M78:N78"/>
    <mergeCell ref="K93:L93"/>
    <mergeCell ref="K100:L100"/>
    <mergeCell ref="M122:N122"/>
    <mergeCell ref="M121:N121"/>
    <mergeCell ref="M119:N119"/>
    <mergeCell ref="M115:N115"/>
    <mergeCell ref="M106:N106"/>
    <mergeCell ref="K106:L106"/>
    <mergeCell ref="K119:L119"/>
    <mergeCell ref="M117:N117"/>
    <mergeCell ref="K115:L115"/>
    <mergeCell ref="K121:L121"/>
    <mergeCell ref="M114:N114"/>
    <mergeCell ref="M102:N102"/>
    <mergeCell ref="M124:N124"/>
    <mergeCell ref="M123:N123"/>
    <mergeCell ref="M118:N118"/>
    <mergeCell ref="K128:L128"/>
    <mergeCell ref="I119:J119"/>
    <mergeCell ref="U97:V97"/>
    <mergeCell ref="U98:V98"/>
    <mergeCell ref="U99:V99"/>
    <mergeCell ref="U100:V100"/>
    <mergeCell ref="W75:X75"/>
    <mergeCell ref="W76:X76"/>
    <mergeCell ref="I114:J114"/>
    <mergeCell ref="K114:L114"/>
    <mergeCell ref="I117:J117"/>
    <mergeCell ref="M100:N100"/>
    <mergeCell ref="M99:N99"/>
    <mergeCell ref="K99:L99"/>
    <mergeCell ref="K102:L102"/>
    <mergeCell ref="Q78:R78"/>
    <mergeCell ref="Q93:R93"/>
    <mergeCell ref="Q97:R97"/>
    <mergeCell ref="Q98:R98"/>
    <mergeCell ref="I115:J115"/>
    <mergeCell ref="K117:L117"/>
    <mergeCell ref="M125:N125"/>
    <mergeCell ref="Y1:Y6"/>
    <mergeCell ref="W2:X2"/>
    <mergeCell ref="W5:X5"/>
    <mergeCell ref="W8:X8"/>
    <mergeCell ref="W15:X15"/>
    <mergeCell ref="W32:X32"/>
    <mergeCell ref="W34:X34"/>
    <mergeCell ref="W35:X35"/>
    <mergeCell ref="W37:X37"/>
    <mergeCell ref="W50:X50"/>
    <mergeCell ref="W53:X53"/>
    <mergeCell ref="W51:X51"/>
    <mergeCell ref="W52:X52"/>
    <mergeCell ref="W48:X48"/>
    <mergeCell ref="W49:X49"/>
    <mergeCell ref="W93:X93"/>
    <mergeCell ref="W97:X97"/>
    <mergeCell ref="W98:X98"/>
    <mergeCell ref="W99:X99"/>
    <mergeCell ref="W100:X100"/>
    <mergeCell ref="W102:X102"/>
    <mergeCell ref="W106:X106"/>
    <mergeCell ref="W74:X74"/>
    <mergeCell ref="W137:X137"/>
    <mergeCell ref="W114:X114"/>
    <mergeCell ref="W115:X115"/>
    <mergeCell ref="W117:X117"/>
    <mergeCell ref="W118:X118"/>
    <mergeCell ref="W119:X119"/>
    <mergeCell ref="W120:X120"/>
    <mergeCell ref="W121:X121"/>
    <mergeCell ref="W122:X122"/>
    <mergeCell ref="W123:X123"/>
    <mergeCell ref="W124:X124"/>
    <mergeCell ref="W125:X125"/>
    <mergeCell ref="W136:X136"/>
    <mergeCell ref="W135:X135"/>
    <mergeCell ref="W134:X134"/>
    <mergeCell ref="W133:X133"/>
    <mergeCell ref="W132:X132"/>
    <mergeCell ref="W131:X131"/>
    <mergeCell ref="W130:X130"/>
    <mergeCell ref="W129:X129"/>
    <mergeCell ref="W128:X128"/>
    <mergeCell ref="B57:B78"/>
    <mergeCell ref="I81:V82"/>
    <mergeCell ref="B12:B19"/>
    <mergeCell ref="W77:X77"/>
    <mergeCell ref="W78:X78"/>
    <mergeCell ref="W36:X36"/>
    <mergeCell ref="W16:X16"/>
    <mergeCell ref="W17:X17"/>
    <mergeCell ref="W18:X18"/>
    <mergeCell ref="W19:X19"/>
    <mergeCell ref="W40:X40"/>
    <mergeCell ref="W41:X41"/>
    <mergeCell ref="W44:X44"/>
    <mergeCell ref="W45:X45"/>
    <mergeCell ref="W46:X46"/>
    <mergeCell ref="W43:X43"/>
    <mergeCell ref="W42:X42"/>
    <mergeCell ref="M48:N48"/>
    <mergeCell ref="W54:X54"/>
    <mergeCell ref="W60:X60"/>
    <mergeCell ref="W61:X61"/>
    <mergeCell ref="W62:X62"/>
    <mergeCell ref="W63:X63"/>
    <mergeCell ref="W64:X64"/>
    <mergeCell ref="M130:N130"/>
    <mergeCell ref="M129:N129"/>
    <mergeCell ref="M128:N128"/>
    <mergeCell ref="M136:N136"/>
    <mergeCell ref="M135:N135"/>
    <mergeCell ref="M134:N134"/>
    <mergeCell ref="M133:N133"/>
    <mergeCell ref="M132:N132"/>
    <mergeCell ref="M131:N131"/>
    <mergeCell ref="Q129:R129"/>
    <mergeCell ref="Q128:R128"/>
    <mergeCell ref="U136:V136"/>
    <mergeCell ref="U135:V135"/>
    <mergeCell ref="U134:V134"/>
    <mergeCell ref="U133:V133"/>
    <mergeCell ref="U132:V132"/>
    <mergeCell ref="U131:V131"/>
    <mergeCell ref="U130:V130"/>
    <mergeCell ref="U129:V129"/>
    <mergeCell ref="U128:V128"/>
  </mergeCells>
  <dataValidations count="5">
    <dataValidation type="list" allowBlank="1" showInputMessage="1" showErrorMessage="1" sqref="I8:V8" xr:uid="{00000000-0002-0000-1A00-000000000000}">
      <formula1>"niedrig,mittel,hoch"</formula1>
    </dataValidation>
    <dataValidation type="list" allowBlank="1" showInputMessage="1" showErrorMessage="1" errorTitle="Produktionsverfahren" error="Bitte Produktionsverfahren aus Dropdownliste auswählen." sqref="F94" xr:uid="{00000000-0002-0000-1A00-000001000000}">
      <formula1>$F$233:$F$264</formula1>
    </dataValidation>
    <dataValidation allowBlank="1" showDropDown="1" showInputMessage="1" showErrorMessage="1" errorTitle="Produktionsverfahren" error="Bitte Produktionsverfahren aus Dropdownliste auswählen." sqref="W2:X2" xr:uid="{00000000-0002-0000-1A00-000002000000}"/>
    <dataValidation allowBlank="1" showDropDown="1" showInputMessage="1" showErrorMessage="1" sqref="W8:X8" xr:uid="{00000000-0002-0000-1A00-000003000000}"/>
    <dataValidation type="list" allowBlank="1" showInputMessage="1" showErrorMessage="1" errorTitle="Produktionsverfahren" error="Bitte Produktionsverfahren aus Dropdownliste auswählen." sqref="U2 I2:K2 S2 Q2 O2 M2" xr:uid="{00000000-0002-0000-1A00-000004000000}">
      <formula1>$F$234:$F$288</formula1>
    </dataValidation>
  </dataValidations>
  <hyperlinks>
    <hyperlink ref="E32" location="_3.1_Deckungsbeitrag__DB________Der_Deckungsbeitrag_stellt_den_Betrag_dar__der_zur_Deckung_der_Fix_und_Gemeinkosten_beiträgt._Er_ist_bei_kurzfristiger_Betrachtungsweise_ein_Maßstab_für_die_relative_Vorzüglichkeit_von_Produktionsverfahren_bei_konstanter_Ka" display=" Deckungsbeitrag ohne Prämien  (Z.7 - 21)" xr:uid="{00000000-0004-0000-1A00-000000000000}"/>
    <hyperlink ref="E50" location="_3.3_Kalkulatorisches_Betriebszweigergebnis____Das_kalkulatorische_Betriebszweigergebnis_kann_mit_dem_Begriff_des_Unternehmergewinns_gleichgesetzt_werden._Hier_werden_neben_den_variablen_Kosten_auch_die_festen_und_kalkulatorischen_Kosten_den_Produktionsve" display=" Kalkulatorisches Betriebszweigergebnis    (Z.35 - 36)      " xr:uid="{00000000-0004-0000-1A00-000001000000}"/>
    <hyperlink ref="E65" location="_3.5_Kostendeckender_Erlös__Der_kostendeckende_Erlös_für_das_Hauptprodukt_wird_ausgewiesen_je_ha_und_je_dt._Er_ist_definiert_als_die_Summe_der_gesamten_Kosten_abzüglich_der_Leistungen_der_Nebenprodukte._Der_kostendeckende_Erlös_muss_langfristig_für_das_Ha" display=" Kostendeckender Erlös" xr:uid="{00000000-0004-0000-1A00-000002000000}"/>
    <hyperlink ref="E75" location="_3.6_Direktkosten_und_Direktkostenfreie_Leistung_____Bei_der_Analyse_von_Betrieben_wird_in_der_Regel_die_von_einer_DLG_Arbeitsgruppe_erarbeitete_Systematik_verwendet__vgl._Arbeiten_der_DLG_Band_197__Die_neue_Betriebszweigabrechnung_._Bedeutend_sind_hier_v" display=" Direktkostenfreie Leistung (Z.7 +10 - 52)" xr:uid="{00000000-0004-0000-1A00-000003000000}"/>
    <hyperlink ref="E77" location="_3.7_Kosten_der_Arbeitserledigung__Diese_Kennzahl_ist_wichtig__um_Betriebe_oder_Produktionsverfahren_mit_unterschiedlicher_Mechanisierung__z.B._eigener_Mähdrescher_oder_Lohndrusch__vergleichen_zu_können._Zu_den_Arbeitserledigungskosten_zählen_alle_Kosten" display=" Kosten der Arbeitserledigung (Z.18 + 19 + 20 + 28 + 29)" xr:uid="{00000000-0004-0000-1A00-000004000000}"/>
    <hyperlink ref="E57" location="_3.4_Verwertung_knapper_Faktoren__Ist_das_kalkulatorische_Betriebszweigergebnis_kleiner_größer_Null__so_weicht_die_tatsächliche_Entlohnung_der_eingesetzten_betrieblichen_Faktoren___hier_Arbeit_und_Fläche___vom_kalkulatorisch_unterstellten_Ansatz_ab._Das_A" display=" Verwertung knapper Faktoren" xr:uid="{00000000-0004-0000-1A00-000005000000}"/>
  </hyperlinks>
  <printOptions horizontalCentered="1"/>
  <pageMargins left="0.59055118110236227" right="0.59055118110236227" top="0.59055118110236227" bottom="0.59055118110236227" header="0.39370078740157483" footer="0.39370078740157483"/>
  <pageSetup paperSize="9" scale="58" firstPageNumber="19" fitToHeight="0" orientation="portrait" r:id="rId4"/>
  <headerFooter alignWithMargins="0">
    <oddFooter>&amp;L&amp;11LEL Schwäbisch Gmünd&amp;C46&amp;R&amp;11&amp;F</oddFooter>
  </headerFooter>
  <ignoredErrors>
    <ignoredError sqref="J6:U6 J59:V59 J66:W66 J67:U67 W67 J70:W70 J83:W85 I86:X86 J87:W89" formula="1"/>
    <ignoredError sqref="F83:F85 F87:F89" numberStoredAsText="1"/>
    <ignoredError sqref="I93 K93 M93 O93 Q93 S93 U93 W93 I99 K99 M99 O99 Q99 S99 U99 W99 I102 K102 M102 O102 Q102 S102 U102 W102" evalError="1"/>
  </ignoredErrors>
  <drawing r:id="rId5"/>
  <legacyDrawing r:id="rId6"/>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6">
    <tabColor rgb="FFFFFF00"/>
    <pageSetUpPr fitToPage="1"/>
  </sheetPr>
  <dimension ref="A1:AO218"/>
  <sheetViews>
    <sheetView workbookViewId="0">
      <selection activeCell="N51" sqref="N51"/>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9" width="8.3984375" style="34" customWidth="1"/>
    <col min="10" max="10" width="9" style="34" customWidth="1"/>
    <col min="11" max="11" width="8" style="34" customWidth="1"/>
    <col min="12" max="13" width="7.19921875" style="34" customWidth="1"/>
    <col min="14" max="14" width="8" style="34" customWidth="1"/>
    <col min="15" max="16" width="7.19921875" style="34" customWidth="1"/>
    <col min="17" max="17" width="8.3984375" style="34" hidden="1" customWidth="1"/>
    <col min="18" max="18" width="34.59765625" style="31" hidden="1" customWidth="1"/>
    <col min="19" max="19" width="16" style="31" hidden="1" customWidth="1"/>
    <col min="20" max="20" width="10" style="31" hidden="1" customWidth="1"/>
    <col min="21" max="21" width="10.5" style="31" hidden="1" customWidth="1"/>
    <col min="22" max="22" width="12.8984375" style="31" hidden="1" customWidth="1"/>
    <col min="23" max="23" width="46.5" style="31" hidden="1" customWidth="1"/>
    <col min="24" max="24" width="4.19921875" style="31" hidden="1" customWidth="1"/>
    <col min="25" max="25" width="5.3984375" style="31" hidden="1" customWidth="1"/>
    <col min="26" max="26" width="5.19921875" style="31" hidden="1" customWidth="1"/>
    <col min="27" max="29" width="10.5" style="31" hidden="1" customWidth="1"/>
    <col min="30" max="30" width="7.5" style="31" hidden="1" customWidth="1"/>
    <col min="31" max="35" width="10.5" style="31" hidden="1" customWidth="1"/>
    <col min="36" max="38" width="0" style="31" hidden="1" customWidth="1"/>
    <col min="39" max="16384" width="10.5" style="31"/>
  </cols>
  <sheetData>
    <row r="1" spans="1:41" s="1317" customFormat="1" ht="30.45" customHeight="1">
      <c r="A1" s="3740"/>
      <c r="B1" s="258"/>
      <c r="C1" s="1333"/>
      <c r="D1" s="1253"/>
      <c r="E1" s="255"/>
      <c r="F1" s="255"/>
      <c r="G1" s="430"/>
      <c r="H1" s="1328"/>
      <c r="I1" s="3211" t="s">
        <v>1679</v>
      </c>
      <c r="J1" s="3210">
        <f>(J7+J13+J18+J22)-(J23+J27+J34+J43+J60+J65+J67+J69+J71+J75)</f>
        <v>493.32168606312098</v>
      </c>
      <c r="K1" s="4360">
        <f>M1-J1</f>
        <v>274.24449409429576</v>
      </c>
      <c r="L1" s="4360"/>
      <c r="M1" s="3210">
        <f>(M7+M13+M18+M22)-(M23+M27+M34+M43+M60+M65+M67+M69+M71+M75)</f>
        <v>767.56618015741674</v>
      </c>
      <c r="N1" s="4360">
        <f>P1-M1</f>
        <v>129.86141508959599</v>
      </c>
      <c r="O1" s="4360"/>
      <c r="P1" s="3210">
        <f>(P7+P13+P18+P22)-(P23+P27+P34+P43+P60+P65+P67+P69+P71+P75)</f>
        <v>897.42759524701273</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97</v>
      </c>
      <c r="L2" s="4372"/>
      <c r="M2" s="4372"/>
      <c r="N2" s="4372"/>
      <c r="O2" s="4372"/>
      <c r="P2" s="4372"/>
      <c r="Q2" s="1330">
        <v>50</v>
      </c>
      <c r="AB2" s="1321"/>
    </row>
    <row r="3" spans="1:41" s="1317" customFormat="1" ht="32.4" customHeight="1">
      <c r="A3" s="1321"/>
      <c r="B3" s="4405" t="s">
        <v>1727</v>
      </c>
      <c r="C3" s="4405"/>
      <c r="D3" s="4405"/>
      <c r="E3" s="4405"/>
      <c r="F3" s="4405"/>
      <c r="G3" s="4405"/>
      <c r="H3" s="4405"/>
      <c r="J3" s="4368" t="s">
        <v>886</v>
      </c>
      <c r="K3" s="4369"/>
      <c r="L3" s="4369"/>
      <c r="M3" s="1327"/>
      <c r="N3" s="4373" t="str">
        <f>IF(AND(T3=TRUE,T4=TRUE),"nur 1 Strohnutzung möglich !","")</f>
        <v/>
      </c>
      <c r="O3" s="4374"/>
      <c r="P3" s="1326"/>
      <c r="Q3" s="1321"/>
      <c r="R3" s="1325"/>
      <c r="S3" s="225" t="s">
        <v>885</v>
      </c>
      <c r="T3" s="1324" t="b">
        <v>1</v>
      </c>
    </row>
    <row r="4" spans="1:41" s="1317" customFormat="1" ht="20.25" customHeight="1">
      <c r="A4" s="1321"/>
      <c r="B4" s="309" t="s">
        <v>779</v>
      </c>
      <c r="C4" s="31"/>
      <c r="D4" s="31"/>
      <c r="E4" s="4406" t="s">
        <v>890</v>
      </c>
      <c r="F4" s="4406"/>
      <c r="G4" s="4406"/>
      <c r="H4" s="4406"/>
      <c r="I4" s="4406"/>
      <c r="J4" s="4368" t="s">
        <v>875</v>
      </c>
      <c r="K4" s="4369"/>
      <c r="L4" s="4369"/>
      <c r="M4" s="1323"/>
      <c r="N4" s="4374"/>
      <c r="O4" s="4374"/>
      <c r="P4" s="1322">
        <f>'SDK1'!O3</f>
        <v>2024</v>
      </c>
      <c r="Q4" s="1321"/>
      <c r="R4" s="1320"/>
      <c r="S4" s="2786" t="s">
        <v>884</v>
      </c>
      <c r="T4" s="1319" t="b">
        <v>0</v>
      </c>
      <c r="U4" s="1318"/>
    </row>
    <row r="5" spans="1:41" ht="6" customHeight="1"/>
    <row r="6" spans="1:41" s="1311" customFormat="1" ht="24" customHeight="1">
      <c r="A6" s="41"/>
      <c r="B6" s="1316" t="s">
        <v>832</v>
      </c>
      <c r="C6" s="1315"/>
      <c r="D6" s="1315"/>
      <c r="E6" s="1315"/>
      <c r="F6" s="1315"/>
      <c r="G6" s="1314"/>
      <c r="H6" s="4366" t="s">
        <v>171</v>
      </c>
      <c r="I6" s="4367"/>
      <c r="J6" s="3651">
        <f>M6*0.75</f>
        <v>56.25</v>
      </c>
      <c r="K6" s="4379" t="s">
        <v>144</v>
      </c>
      <c r="L6" s="4380"/>
      <c r="M6" s="1313">
        <v>75</v>
      </c>
      <c r="N6" s="4366" t="s">
        <v>170</v>
      </c>
      <c r="O6" s="4367"/>
      <c r="P6" s="3652">
        <f>M6*1.25</f>
        <v>93.75</v>
      </c>
      <c r="Q6" s="49"/>
    </row>
    <row r="7" spans="1:41" s="196" customFormat="1" ht="18.75" customHeight="1">
      <c r="A7" s="40"/>
      <c r="B7" s="245" t="s">
        <v>883</v>
      </c>
      <c r="C7" s="40"/>
      <c r="D7" s="40"/>
      <c r="E7" s="40"/>
      <c r="F7" s="40"/>
      <c r="G7" s="1310"/>
      <c r="H7" s="1307"/>
      <c r="I7" s="1306"/>
      <c r="J7" s="1041">
        <f>SUM(I9:I12)</f>
        <v>1409.625</v>
      </c>
      <c r="K7" s="1309"/>
      <c r="L7" s="1308"/>
      <c r="M7" s="1044">
        <f>SUM(L9:L12)</f>
        <v>1879.5</v>
      </c>
      <c r="N7" s="1307"/>
      <c r="O7" s="1306"/>
      <c r="P7" s="1041">
        <f>SUM(O9:O12)</f>
        <v>2349.375</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'SDK1'!O16</f>
        <v>16.5</v>
      </c>
      <c r="H9" s="1303">
        <f>J6-H10</f>
        <v>56.25</v>
      </c>
      <c r="I9" s="1299">
        <f>H9*G9</f>
        <v>928.125</v>
      </c>
      <c r="J9" s="37"/>
      <c r="K9" s="1302">
        <f>M6-K10</f>
        <v>75</v>
      </c>
      <c r="L9" s="1301">
        <f>K9*G9</f>
        <v>1237.5</v>
      </c>
      <c r="M9" s="1280"/>
      <c r="N9" s="1300">
        <f>P6-N10</f>
        <v>93.75</v>
      </c>
      <c r="O9" s="1299">
        <f>N9*G9</f>
        <v>1546.875</v>
      </c>
      <c r="P9" s="37"/>
      <c r="Q9" s="34"/>
      <c r="R9" s="208" t="s">
        <v>881</v>
      </c>
      <c r="S9" s="1298"/>
    </row>
    <row r="10" spans="1:41" s="1268" customFormat="1" ht="15" customHeight="1">
      <c r="A10" s="309"/>
      <c r="B10" s="185"/>
      <c r="C10" s="223" t="str">
        <f>IF('SDK1'!O9&gt;0,"Nebenprodukt (incl. MwSt.)","Nebenprodukt (ohne MwSt)")</f>
        <v>Nebenprodukt (ohne MwSt)</v>
      </c>
      <c r="D10" s="1277"/>
      <c r="E10" s="4377" t="s">
        <v>880</v>
      </c>
      <c r="F10" s="4378"/>
      <c r="G10" s="1297"/>
      <c r="H10" s="1292"/>
      <c r="I10" s="1291">
        <f>H10*G10</f>
        <v>0</v>
      </c>
      <c r="J10" s="1296"/>
      <c r="K10" s="1295"/>
      <c r="L10" s="1294">
        <f>K10*G10</f>
        <v>0</v>
      </c>
      <c r="M10" s="1293"/>
      <c r="N10" s="1292"/>
      <c r="O10" s="1291">
        <f>N10*G10</f>
        <v>0</v>
      </c>
      <c r="P10" s="1290"/>
      <c r="Q10" s="34"/>
      <c r="R10" s="1289">
        <f>I10+I11+I12</f>
        <v>481.49999999999994</v>
      </c>
      <c r="S10" s="1288">
        <f>L10+L11+L12</f>
        <v>642</v>
      </c>
      <c r="T10" s="1287">
        <f>O10+O11+O12</f>
        <v>802.5</v>
      </c>
      <c r="W10" s="196" t="s">
        <v>879</v>
      </c>
    </row>
    <row r="11" spans="1:41" s="1268" customFormat="1" ht="15" customHeight="1">
      <c r="A11" s="309"/>
      <c r="B11" s="217"/>
      <c r="C11" s="39" t="s">
        <v>878</v>
      </c>
      <c r="D11" s="309"/>
      <c r="E11" s="1286">
        <v>0.8</v>
      </c>
      <c r="F11" s="39" t="s">
        <v>877</v>
      </c>
      <c r="G11" s="3230">
        <f>'SDK1'!$O$48</f>
        <v>10.7</v>
      </c>
      <c r="H11" s="3151">
        <f>IF(OR($T$3,$T$4)=TRUE,J6*$E$11,0)</f>
        <v>45</v>
      </c>
      <c r="I11" s="3152">
        <f>H11*$G$11</f>
        <v>481.49999999999994</v>
      </c>
      <c r="J11" s="3153"/>
      <c r="K11" s="3154">
        <f>IF(OR($T$3,$T$4)=TRUE,M6*$E$11,0)</f>
        <v>60</v>
      </c>
      <c r="L11" s="3155">
        <f>K11*$G$11</f>
        <v>642</v>
      </c>
      <c r="M11" s="3156"/>
      <c r="N11" s="3157">
        <f>IF(OR($T$3,$T$4)=TRUE,P6*$E$11,0)</f>
        <v>75</v>
      </c>
      <c r="O11" s="3152">
        <f>N11*$G$11</f>
        <v>802.5</v>
      </c>
      <c r="P11" s="3158"/>
      <c r="Q11" s="34"/>
      <c r="U11" s="1268">
        <f>O6*$E$11</f>
        <v>0</v>
      </c>
      <c r="W11" s="1268" t="s">
        <v>876</v>
      </c>
    </row>
    <row r="12" spans="1:41" s="1268" customFormat="1" ht="15" customHeight="1">
      <c r="A12" s="309"/>
      <c r="B12" s="185"/>
      <c r="C12" s="223" t="s">
        <v>1652</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250"/>
      <c r="I13" s="1249"/>
      <c r="J13" s="1041">
        <f>SUM(I14:I17)</f>
        <v>0</v>
      </c>
      <c r="K13" s="1252"/>
      <c r="L13" s="1251"/>
      <c r="M13" s="1044">
        <f>SUM(L14:L17)</f>
        <v>0</v>
      </c>
      <c r="N13" s="1250"/>
      <c r="O13" s="1249"/>
      <c r="P13" s="1041">
        <f>SUM(O14:O17)</f>
        <v>0</v>
      </c>
      <c r="Q13" s="34"/>
      <c r="R13" s="1253"/>
      <c r="W13" s="1266" t="s">
        <v>872</v>
      </c>
      <c r="X13" s="1264">
        <f>IF(OR(T3=TRUE,T4=TRUE),J6*$E$11,"0")</f>
        <v>45</v>
      </c>
      <c r="Y13" s="1265">
        <f>IF(OR(T3=TRUE,T4=TRUE),M6*$E$11,"0")</f>
        <v>60</v>
      </c>
      <c r="Z13" s="1264">
        <f>IF(OR(T3=TRUE,T4=TRUE),P6*$E$11,"0")</f>
        <v>75</v>
      </c>
    </row>
    <row r="14" spans="1:41" s="36" customFormat="1" ht="15" customHeight="1">
      <c r="A14" s="39"/>
      <c r="B14" s="1247"/>
      <c r="C14" s="4365"/>
      <c r="D14" s="4365"/>
      <c r="E14" s="4365"/>
      <c r="F14" s="4365"/>
      <c r="G14" s="1263"/>
      <c r="H14" s="1262" t="s">
        <v>919</v>
      </c>
      <c r="I14" s="1243">
        <f>IF(H14="ja",Q14,0)</f>
        <v>0</v>
      </c>
      <c r="J14" s="39"/>
      <c r="K14" s="1262" t="s">
        <v>919</v>
      </c>
      <c r="L14" s="1098">
        <f>IF(K14="ja",Q14,0)</f>
        <v>0</v>
      </c>
      <c r="M14" s="1016"/>
      <c r="N14" s="1262" t="s">
        <v>919</v>
      </c>
      <c r="O14" s="1243">
        <f>IF(N14="ja",Q14,0)</f>
        <v>0</v>
      </c>
      <c r="P14" s="1013"/>
      <c r="Q14" s="1261">
        <f>IF(C14=0,0,VLOOKUP(C14,'SD2'!$C$11:$O$50,'SD2'!$O$1,FALSE))</f>
        <v>0</v>
      </c>
      <c r="R14" s="1253"/>
      <c r="S14" s="196"/>
      <c r="T14" s="196"/>
      <c r="W14" s="36" t="s">
        <v>236</v>
      </c>
      <c r="X14" s="1260">
        <f>$X$13*F30</f>
        <v>17.999999999999996</v>
      </c>
      <c r="Y14" s="1260">
        <f>$Y$13*F30</f>
        <v>23.999999999999993</v>
      </c>
      <c r="Z14" s="1260">
        <f>$Z$13*F30</f>
        <v>29.999999999999993</v>
      </c>
      <c r="AG14" s="2903"/>
    </row>
    <row r="15" spans="1:41" s="36" customFormat="1" ht="15" customHeight="1">
      <c r="A15" s="39"/>
      <c r="B15" s="1247"/>
      <c r="C15" s="4365"/>
      <c r="D15" s="4365"/>
      <c r="E15" s="4365"/>
      <c r="F15" s="4365"/>
      <c r="G15" s="1263"/>
      <c r="H15" s="1262" t="s">
        <v>919</v>
      </c>
      <c r="I15" s="1243">
        <f>IF(H15="ja",Q15,0)</f>
        <v>0</v>
      </c>
      <c r="J15" s="39"/>
      <c r="K15" s="1262" t="s">
        <v>919</v>
      </c>
      <c r="L15" s="1098">
        <f>IF(K15="ja",Q15,0)</f>
        <v>0</v>
      </c>
      <c r="M15" s="1016"/>
      <c r="N15" s="1262" t="s">
        <v>919</v>
      </c>
      <c r="O15" s="1243">
        <f>IF(N15="ja",Q15,0)</f>
        <v>0</v>
      </c>
      <c r="P15" s="1013"/>
      <c r="Q15" s="1261">
        <f>IF(C15=0,0,VLOOKUP(C15,'SD2'!$C$11:$O$50,'SD2'!$O$1,FALSE))</f>
        <v>0</v>
      </c>
      <c r="R15" s="1253"/>
      <c r="S15" s="196"/>
      <c r="T15" s="196"/>
      <c r="W15" s="36" t="s">
        <v>685</v>
      </c>
      <c r="X15" s="1260">
        <f>$X$13*F31</f>
        <v>10.799999999999999</v>
      </c>
      <c r="Y15" s="1260">
        <f>$Y$13*F31</f>
        <v>14.399999999999999</v>
      </c>
      <c r="Z15" s="1260">
        <f>$Z$13*F31</f>
        <v>18</v>
      </c>
    </row>
    <row r="16" spans="1:41" s="36" customFormat="1" ht="15" customHeight="1">
      <c r="A16" s="39"/>
      <c r="B16" s="1247"/>
      <c r="C16" s="4365"/>
      <c r="D16" s="4365"/>
      <c r="E16" s="4365"/>
      <c r="F16" s="4365"/>
      <c r="G16" s="1263"/>
      <c r="H16" s="1262" t="s">
        <v>919</v>
      </c>
      <c r="I16" s="1243">
        <f>IF(H16="ja",Q16,0)</f>
        <v>0</v>
      </c>
      <c r="J16" s="39"/>
      <c r="K16" s="1262" t="s">
        <v>919</v>
      </c>
      <c r="L16" s="1098">
        <f>IF(K16="ja",Q16,0)</f>
        <v>0</v>
      </c>
      <c r="M16" s="1016"/>
      <c r="N16" s="1262" t="s">
        <v>919</v>
      </c>
      <c r="O16" s="1243">
        <f>IF(N16="ja",Q16,0)</f>
        <v>0</v>
      </c>
      <c r="P16" s="1013"/>
      <c r="Q16" s="1261">
        <f>IF(C16=0,0,VLOOKUP(C16,'SD2'!$C$11:$O$50,'SD2'!$O$1,FALSE))</f>
        <v>0</v>
      </c>
      <c r="R16" s="1253"/>
      <c r="S16" s="196"/>
      <c r="T16" s="196"/>
      <c r="W16" s="36" t="s">
        <v>684</v>
      </c>
      <c r="X16" s="1260">
        <f>$X$13*F32</f>
        <v>50.400000000000006</v>
      </c>
      <c r="Y16" s="1260">
        <f>$Y$13*F32</f>
        <v>67.2</v>
      </c>
      <c r="Z16" s="1260">
        <f>$Z$13*F32</f>
        <v>84.000000000000014</v>
      </c>
    </row>
    <row r="17" spans="1:33" s="36" customFormat="1" ht="15" customHeight="1">
      <c r="A17" s="39"/>
      <c r="B17" s="1247"/>
      <c r="C17" s="4407"/>
      <c r="D17" s="4407"/>
      <c r="E17" s="4407"/>
      <c r="F17" s="4407"/>
      <c r="G17" s="1263"/>
      <c r="H17" s="1262" t="s">
        <v>919</v>
      </c>
      <c r="I17" s="1243">
        <f>IF(H17="ja",Q17,0)</f>
        <v>0</v>
      </c>
      <c r="J17" s="39"/>
      <c r="K17" s="1262" t="s">
        <v>919</v>
      </c>
      <c r="L17" s="1098">
        <f>IF(K17="ja",Q17,0)</f>
        <v>0</v>
      </c>
      <c r="M17" s="1016"/>
      <c r="N17" s="1262" t="s">
        <v>919</v>
      </c>
      <c r="O17" s="1243">
        <f>IF(N17="ja",Q17,0)</f>
        <v>0</v>
      </c>
      <c r="P17" s="1013"/>
      <c r="Q17" s="1261">
        <f>IF(C17=0,0,VLOOKUP(C17,'SD2'!$C$11:$O$50,'SD2'!$O$1,FALSE))</f>
        <v>0</v>
      </c>
      <c r="R17" s="31"/>
      <c r="S17" s="31"/>
      <c r="T17" s="31"/>
      <c r="W17" s="36" t="s">
        <v>230</v>
      </c>
      <c r="X17" s="1260">
        <f>$X$13*F33</f>
        <v>7.1999999999999993</v>
      </c>
      <c r="Y17" s="1260">
        <f>$Y$13*F33</f>
        <v>9.5999999999999979</v>
      </c>
      <c r="Z17" s="1260">
        <f>$Z$13*F33</f>
        <v>11.999999999999998</v>
      </c>
    </row>
    <row r="18" spans="1:33"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31"/>
      <c r="S18" s="31"/>
      <c r="T18" s="31"/>
    </row>
    <row r="19" spans="1:33" s="36" customFormat="1" ht="15.6" customHeight="1">
      <c r="A19" s="39"/>
      <c r="B19" s="1247"/>
      <c r="C19" s="4365" t="s">
        <v>1560</v>
      </c>
      <c r="D19" s="4365"/>
      <c r="E19" s="4365"/>
      <c r="F19" s="4365"/>
      <c r="G19" s="1246"/>
      <c r="H19" s="1244"/>
      <c r="I19" s="1243">
        <f>IF(OR($C19=0,$J$6=0),0,VLOOKUP($C19,'SD2'!C60:O78,12,FALSE))</f>
        <v>155</v>
      </c>
      <c r="J19" s="39"/>
      <c r="K19" s="1245"/>
      <c r="L19" s="1098">
        <f>IF(OR($C19=0,$M$6=0),0,VLOOKUP($C19,'SD2'!$C$60:$N$77,12,FALSE))</f>
        <v>155</v>
      </c>
      <c r="M19" s="1016"/>
      <c r="N19" s="1244"/>
      <c r="O19" s="1243">
        <f>IF(OR($C19=0,$P$6=0),0,VLOOKUP($C19,'SD2'!C60:O78,12,FALSE))</f>
        <v>155</v>
      </c>
      <c r="P19" s="1013"/>
      <c r="Q19" s="34"/>
      <c r="R19" s="31"/>
      <c r="S19" s="31"/>
      <c r="T19" s="31"/>
      <c r="AG19" s="2903"/>
    </row>
    <row r="20" spans="1:33" s="36" customFormat="1" ht="15.6" customHeight="1">
      <c r="A20" s="2783"/>
      <c r="B20" s="1247"/>
      <c r="C20" s="4365" t="s">
        <v>1675</v>
      </c>
      <c r="D20" s="4365"/>
      <c r="E20" s="4365"/>
      <c r="F20" s="4365"/>
      <c r="G20" s="1246"/>
      <c r="H20" s="1244"/>
      <c r="I20" s="2839">
        <f>IF(OR($C20=0,$J$6=0),0,VLOOKUP($C20,'SD2'!C61:O79,12,FALSE))</f>
        <v>22</v>
      </c>
      <c r="J20" s="2783"/>
      <c r="K20" s="1245"/>
      <c r="L20" s="2829">
        <f>IF(OR($C20=0,$M$6=0),0,VLOOKUP($C20,'SD2'!$C$60:$N$77,12,FALSE))</f>
        <v>22</v>
      </c>
      <c r="M20" s="2795"/>
      <c r="N20" s="1244"/>
      <c r="O20" s="2839">
        <f>IF(OR($C20=0,$P$6=0),0,VLOOKUP($C20,'SD2'!C61:O79,12,FALSE))</f>
        <v>22</v>
      </c>
      <c r="P20" s="1013"/>
      <c r="Q20" s="34"/>
      <c r="R20" s="31"/>
      <c r="S20" s="31"/>
      <c r="T20" s="31"/>
    </row>
    <row r="21" spans="1:33" s="36" customFormat="1" ht="15.6" customHeight="1">
      <c r="A21" s="2783"/>
      <c r="B21" s="1247"/>
      <c r="C21" s="4365"/>
      <c r="D21" s="4365"/>
      <c r="E21" s="4365"/>
      <c r="F21" s="4365"/>
      <c r="G21" s="1246"/>
      <c r="H21" s="1244"/>
      <c r="I21" s="2839">
        <f>IF(OR($C21=0,$J$6=0),0,VLOOKUP($C21,'SD2'!C62:O79,12,FALSE))</f>
        <v>0</v>
      </c>
      <c r="J21" s="2783"/>
      <c r="K21" s="1245"/>
      <c r="L21" s="2829">
        <f>IF(OR($C21=0,$M$6=0),0,VLOOKUP($C21,'SD2'!$C$60:$N$77,12,FALSE))</f>
        <v>0</v>
      </c>
      <c r="M21" s="2795"/>
      <c r="N21" s="1244"/>
      <c r="O21" s="2839">
        <f>IF(OR($C21=0,$P$6=0),0,VLOOKUP($C21,'SD2'!C62:O79,12,FALSE))</f>
        <v>0</v>
      </c>
      <c r="P21" s="1013"/>
      <c r="Q21" s="34"/>
      <c r="R21" s="31"/>
      <c r="S21" s="31"/>
      <c r="T21" s="31"/>
    </row>
    <row r="22" spans="1:33" ht="15.6" customHeight="1">
      <c r="A22" s="309"/>
      <c r="B22" s="245" t="s">
        <v>869</v>
      </c>
      <c r="C22" s="39"/>
      <c r="D22" s="1234"/>
      <c r="E22" s="4370" t="s">
        <v>868</v>
      </c>
      <c r="F22" s="4370"/>
      <c r="G22" s="4371"/>
      <c r="H22" s="1231"/>
      <c r="I22" s="1230"/>
      <c r="J22" s="1229"/>
      <c r="K22" s="1233"/>
      <c r="L22" s="1232"/>
      <c r="M22" s="1229"/>
      <c r="N22" s="1231"/>
      <c r="O22" s="1230"/>
      <c r="P22" s="1229"/>
    </row>
    <row r="23" spans="1:33" ht="18.75" customHeight="1">
      <c r="A23" s="309"/>
      <c r="B23" s="209" t="s">
        <v>867</v>
      </c>
      <c r="C23" s="1228"/>
      <c r="D23" s="1228"/>
      <c r="F23" s="4381" t="s">
        <v>858</v>
      </c>
      <c r="G23" s="4382"/>
      <c r="H23" s="1043"/>
      <c r="I23" s="1042"/>
      <c r="J23" s="1026">
        <f>SUM(I25:I26)</f>
        <v>120</v>
      </c>
      <c r="K23" s="1046"/>
      <c r="L23" s="1045"/>
      <c r="M23" s="1227">
        <f>SUM(L25:L26)</f>
        <v>120</v>
      </c>
      <c r="N23" s="1043"/>
      <c r="O23" s="1042"/>
      <c r="P23" s="1026">
        <f>SUM(O25:O26)</f>
        <v>120</v>
      </c>
    </row>
    <row r="24" spans="1:33"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33" s="36" customFormat="1" ht="15" customHeight="1">
      <c r="A25" s="746"/>
      <c r="B25" s="1223"/>
      <c r="C25" s="746" t="s">
        <v>866</v>
      </c>
      <c r="D25" s="4383"/>
      <c r="E25" s="4384"/>
      <c r="F25" s="3653">
        <f>'SDK7'!F45/100</f>
        <v>0.75</v>
      </c>
      <c r="G25" s="1221">
        <f>F25*(100+$D$24)/100</f>
        <v>0.75</v>
      </c>
      <c r="H25" s="1220">
        <v>160</v>
      </c>
      <c r="I25" s="1181">
        <f>H25*$G25</f>
        <v>120</v>
      </c>
      <c r="J25" s="39"/>
      <c r="K25" s="1220">
        <f>H25</f>
        <v>160</v>
      </c>
      <c r="L25" s="1023">
        <f>K25*$G25</f>
        <v>120</v>
      </c>
      <c r="M25" s="1016"/>
      <c r="N25" s="1220">
        <f>H25</f>
        <v>160</v>
      </c>
      <c r="O25" s="1181">
        <f>N25*$G25</f>
        <v>120</v>
      </c>
      <c r="P25" s="1145"/>
      <c r="Q25" s="34"/>
    </row>
    <row r="26" spans="1:33"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33" s="511" customFormat="1" ht="18.75" customHeight="1">
      <c r="A27" s="711"/>
      <c r="B27" s="1215" t="s">
        <v>865</v>
      </c>
      <c r="C27" s="711"/>
      <c r="D27" s="51"/>
      <c r="E27" s="34"/>
      <c r="F27" s="34"/>
      <c r="G27" s="1214"/>
      <c r="H27" s="1173"/>
      <c r="I27" s="1172"/>
      <c r="J27" s="1041">
        <f>SUM(I30:I32)</f>
        <v>316.64537499999994</v>
      </c>
      <c r="K27" s="1175"/>
      <c r="L27" s="1174"/>
      <c r="M27" s="1044">
        <f>SUM(L30:L32)</f>
        <v>414.26049999999998</v>
      </c>
      <c r="N27" s="1173"/>
      <c r="O27" s="1172"/>
      <c r="P27" s="1041">
        <f>SUM(O30:O32)</f>
        <v>511.8756249999999</v>
      </c>
      <c r="Q27" s="34"/>
    </row>
    <row r="28" spans="1:33" s="511" customFormat="1" ht="13.65" customHeight="1">
      <c r="A28" s="711"/>
      <c r="B28" s="774"/>
      <c r="C28" s="2224"/>
      <c r="D28" s="1213" t="s">
        <v>706</v>
      </c>
      <c r="E28" s="1213" t="s">
        <v>864</v>
      </c>
      <c r="F28" s="1213" t="s">
        <v>864</v>
      </c>
      <c r="G28" s="1212" t="s">
        <v>863</v>
      </c>
      <c r="H28" s="1172"/>
      <c r="I28" s="1209"/>
      <c r="J28" s="2225"/>
      <c r="K28" s="1175"/>
      <c r="L28" s="1105"/>
      <c r="M28" s="1210"/>
      <c r="N28" s="1173"/>
      <c r="O28" s="1209"/>
      <c r="P28" s="1026"/>
      <c r="Q28" s="34"/>
    </row>
    <row r="29" spans="1:33" s="511" customFormat="1" ht="15" customHeight="1">
      <c r="A29" s="711"/>
      <c r="B29" s="1208"/>
      <c r="C29" s="747" t="s">
        <v>862</v>
      </c>
      <c r="D29" s="1034" t="s">
        <v>611</v>
      </c>
      <c r="E29" s="1034" t="s">
        <v>861</v>
      </c>
      <c r="F29" s="1034" t="s">
        <v>860</v>
      </c>
      <c r="G29" s="1034" t="s">
        <v>612</v>
      </c>
      <c r="H29" s="1205" t="s">
        <v>612</v>
      </c>
      <c r="I29" s="1027" t="s">
        <v>163</v>
      </c>
      <c r="J29" s="2224"/>
      <c r="K29" s="1207" t="s">
        <v>612</v>
      </c>
      <c r="L29" s="1030" t="s">
        <v>163</v>
      </c>
      <c r="M29" s="1206"/>
      <c r="N29" s="1205" t="s">
        <v>612</v>
      </c>
      <c r="O29" s="1027" t="s">
        <v>163</v>
      </c>
      <c r="P29" s="1204"/>
      <c r="Q29" s="34"/>
    </row>
    <row r="30" spans="1:33" s="36" customFormat="1" ht="15" customHeight="1">
      <c r="A30" s="746"/>
      <c r="B30" s="1203"/>
      <c r="C30" s="1202" t="s">
        <v>236</v>
      </c>
      <c r="D30" s="1150">
        <f>'SDK1'!O52</f>
        <v>1.19</v>
      </c>
      <c r="E30" s="1201">
        <f>VLOOKUP(K2,'SD8'!B9:L42,3,FALSE)</f>
        <v>1.81</v>
      </c>
      <c r="F30" s="1201">
        <f>VLOOKUP(K2,'SD8'!B9:L40,7,FALSE)</f>
        <v>0.39999999999999991</v>
      </c>
      <c r="G30" s="1200">
        <v>20</v>
      </c>
      <c r="H30" s="1198">
        <f>IF(J$6=0,0,(J$6*$E30+$G30+X14))</f>
        <v>139.8125</v>
      </c>
      <c r="I30" s="1181">
        <f>H30*$D30</f>
        <v>166.37687499999998</v>
      </c>
      <c r="J30" s="39"/>
      <c r="K30" s="1199">
        <f>IF(M$6=0,0,(M$6*$E30+$G30+Y14))</f>
        <v>179.75</v>
      </c>
      <c r="L30" s="1023">
        <f>K30*$D30</f>
        <v>213.9025</v>
      </c>
      <c r="M30" s="1016"/>
      <c r="N30" s="1198">
        <f>IF(P$6=0,0,(P$6*$E30+$G30+Z14))</f>
        <v>219.6875</v>
      </c>
      <c r="O30" s="1181">
        <f>N30*$D30</f>
        <v>261.42812499999997</v>
      </c>
      <c r="P30" s="1145"/>
      <c r="Q30" s="34"/>
    </row>
    <row r="31" spans="1:33" s="36" customFormat="1" ht="15" customHeight="1">
      <c r="A31" s="746"/>
      <c r="B31" s="217"/>
      <c r="C31" s="746" t="s">
        <v>234</v>
      </c>
      <c r="D31" s="1150">
        <f>'SDK1'!O53</f>
        <v>1.2</v>
      </c>
      <c r="E31" s="1201">
        <f>VLOOKUP(K2,'SD8'!B9:L42,4,FALSE)</f>
        <v>0.8</v>
      </c>
      <c r="F31" s="1201">
        <f>VLOOKUP(K2,'SD8'!B9:L42,8,FALSE)</f>
        <v>0.24</v>
      </c>
      <c r="G31" s="1200"/>
      <c r="H31" s="1198">
        <f>IF(J$6=0,0,(J$6*$E31+$G31+X15))</f>
        <v>55.8</v>
      </c>
      <c r="I31" s="1181">
        <f>H31*$D31</f>
        <v>66.959999999999994</v>
      </c>
      <c r="J31" s="39"/>
      <c r="K31" s="1199">
        <f>IF(M$6=0,0,(M$6*$E31+$G31+Y15))</f>
        <v>74.400000000000006</v>
      </c>
      <c r="L31" s="1023">
        <f>K31*$D31</f>
        <v>89.28</v>
      </c>
      <c r="M31" s="1016"/>
      <c r="N31" s="1198">
        <f>IF(P$6=0,0,(P$6*$E31+$G31+Z15))</f>
        <v>93</v>
      </c>
      <c r="O31" s="1181">
        <f>N31*$D31</f>
        <v>111.6</v>
      </c>
      <c r="P31" s="1145"/>
      <c r="Q31" s="34"/>
    </row>
    <row r="32" spans="1:33" s="36" customFormat="1" ht="15" customHeight="1">
      <c r="A32" s="746"/>
      <c r="B32" s="185"/>
      <c r="C32" s="2791" t="s">
        <v>232</v>
      </c>
      <c r="D32" s="1133">
        <f>'SDK1'!O54</f>
        <v>0.99</v>
      </c>
      <c r="E32" s="1197">
        <f>VLOOKUP(K2,'SD8'!B9:L42,5,FALSE)</f>
        <v>0.6</v>
      </c>
      <c r="F32" s="1197">
        <f>VLOOKUP(K2,'SD8'!B9:L42,9,FALSE)</f>
        <v>1.1200000000000001</v>
      </c>
      <c r="G32" s="1196"/>
      <c r="H32" s="1194">
        <f>IF(J$6=0,0,(J$6*$E32+$G32+X16))</f>
        <v>84.15</v>
      </c>
      <c r="I32" s="1177">
        <f>H32*$D32</f>
        <v>83.308500000000009</v>
      </c>
      <c r="J32" s="223"/>
      <c r="K32" s="1195">
        <f>IF(M$6=0,0,(M$6*$E32+$G32+Y16))</f>
        <v>112.2</v>
      </c>
      <c r="L32" s="1017">
        <f>K32*$D32</f>
        <v>111.078</v>
      </c>
      <c r="M32" s="1256"/>
      <c r="N32" s="1194">
        <f>IF(P$6=0,0,(P$6*$E32+$G32+Z16))</f>
        <v>140.25</v>
      </c>
      <c r="O32" s="1177">
        <f>N32*$D32</f>
        <v>138.8475</v>
      </c>
      <c r="P32" s="1176"/>
      <c r="Q32" s="34"/>
    </row>
    <row r="33" spans="1:34" s="36" customFormat="1" ht="15" hidden="1" customHeight="1">
      <c r="A33" s="746"/>
      <c r="B33" s="185"/>
      <c r="C33" s="771" t="s">
        <v>230</v>
      </c>
      <c r="D33" s="1133">
        <f>'SDK1'!P55</f>
        <v>0.45</v>
      </c>
      <c r="E33" s="1197">
        <f>VLOOKUP(K2,'SD8'!B9:L42,6,FALSE)</f>
        <v>0.2</v>
      </c>
      <c r="F33" s="1197">
        <f>VLOOKUP(K2,'SD8'!B9:L42,10,FALSE)</f>
        <v>0.15999999999999998</v>
      </c>
      <c r="G33" s="1196"/>
      <c r="H33" s="1194">
        <f>IF(J$6=0,0,(J$6*$E33+$G33+X17))</f>
        <v>18.45</v>
      </c>
      <c r="I33" s="1177">
        <f>H33*$D33</f>
        <v>8.3025000000000002</v>
      </c>
      <c r="J33" s="39"/>
      <c r="K33" s="1195">
        <f>IF(M$6=0,0,(M$6*$E33+$G33+Y17))</f>
        <v>24.599999999999998</v>
      </c>
      <c r="L33" s="1017">
        <f>K33*$D33</f>
        <v>11.069999999999999</v>
      </c>
      <c r="M33" s="1016"/>
      <c r="N33" s="1194">
        <f>IF(P$6=0,0,(P$6*$E33+$G33+Z17))</f>
        <v>30.75</v>
      </c>
      <c r="O33" s="1177">
        <f>N33*$D33</f>
        <v>13.8375</v>
      </c>
      <c r="P33" s="1176"/>
      <c r="Q33" s="34"/>
    </row>
    <row r="34" spans="1:34" s="511" customFormat="1" ht="18.75" customHeight="1">
      <c r="A34" s="711"/>
      <c r="B34" s="716" t="s">
        <v>859</v>
      </c>
      <c r="C34" s="711"/>
      <c r="D34" s="2224"/>
      <c r="E34" s="2224"/>
      <c r="F34" s="4381" t="s">
        <v>858</v>
      </c>
      <c r="G34" s="4382"/>
      <c r="H34" s="1191"/>
      <c r="I34" s="1190"/>
      <c r="J34" s="1041">
        <f>SUM(I36:I42)</f>
        <v>55.08</v>
      </c>
      <c r="K34" s="1193"/>
      <c r="L34" s="1192"/>
      <c r="M34" s="1044">
        <f>SUM(L36:L42)</f>
        <v>55.08</v>
      </c>
      <c r="N34" s="1191"/>
      <c r="O34" s="1190"/>
      <c r="P34" s="1041">
        <f>SUM(O36:O42)</f>
        <v>125.53</v>
      </c>
      <c r="Q34" s="34"/>
    </row>
    <row r="35" spans="1:34"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34" s="36" customFormat="1" ht="15" customHeight="1">
      <c r="A36" s="746"/>
      <c r="B36" s="1021"/>
      <c r="C36" s="4389" t="s">
        <v>534</v>
      </c>
      <c r="D36" s="4389"/>
      <c r="E36" s="4390"/>
      <c r="F36" s="1183">
        <f>IF(C36="",0,VLOOKUP(C36,'SDK5'!C3:AF83,2,FALSE))</f>
        <v>306</v>
      </c>
      <c r="G36" s="1183">
        <f>F36*(100+$D$35)/100</f>
        <v>306</v>
      </c>
      <c r="H36" s="1182">
        <v>0.18</v>
      </c>
      <c r="I36" s="1181">
        <f>$G36*H36</f>
        <v>55.08</v>
      </c>
      <c r="J36" s="39"/>
      <c r="K36" s="1182">
        <v>0.18</v>
      </c>
      <c r="L36" s="1023">
        <f t="shared" ref="L36:L42" si="0">$G36*K36</f>
        <v>55.08</v>
      </c>
      <c r="M36" s="1016"/>
      <c r="N36" s="1182">
        <v>0.18</v>
      </c>
      <c r="O36" s="1181">
        <f t="shared" ref="O36:O42" si="1">$G36*N36</f>
        <v>55.08</v>
      </c>
      <c r="P36" s="1185"/>
      <c r="Q36" s="34" t="str">
        <f>VLOOKUP(C36,'SDK5'!C5:AF85,3,FALSE)</f>
        <v>H</v>
      </c>
    </row>
    <row r="37" spans="1:34" s="36" customFormat="1" ht="15" customHeight="1">
      <c r="A37" s="746"/>
      <c r="B37" s="1021"/>
      <c r="C37" s="4375" t="s">
        <v>528</v>
      </c>
      <c r="D37" s="4375"/>
      <c r="E37" s="4376"/>
      <c r="F37" s="1183">
        <f>IF(C37="",0,VLOOKUP(C37,'SDK5'!C4:AF84,2,FALSE))</f>
        <v>5.5</v>
      </c>
      <c r="G37" s="1183">
        <f t="shared" ref="G37:G42" si="2">F37*(100+$D$35)/100</f>
        <v>5.5</v>
      </c>
      <c r="H37" s="1182"/>
      <c r="I37" s="1181">
        <f t="shared" ref="I37:I42" si="3">$G37*H37</f>
        <v>0</v>
      </c>
      <c r="J37" s="39"/>
      <c r="K37" s="1182"/>
      <c r="L37" s="1023">
        <f t="shared" si="0"/>
        <v>0</v>
      </c>
      <c r="M37" s="1016"/>
      <c r="N37" s="1182">
        <v>0.5</v>
      </c>
      <c r="O37" s="1181">
        <f t="shared" si="1"/>
        <v>2.75</v>
      </c>
      <c r="P37" s="1145"/>
      <c r="Q37" s="34" t="str">
        <f>VLOOKUP(C37,'SDK5'!C6:AF86,3,FALSE)</f>
        <v>W</v>
      </c>
    </row>
    <row r="38" spans="1:34" s="36" customFormat="1" ht="15" customHeight="1">
      <c r="A38" s="746"/>
      <c r="B38" s="1184"/>
      <c r="C38" s="4375" t="s">
        <v>512</v>
      </c>
      <c r="D38" s="4375"/>
      <c r="E38" s="4376"/>
      <c r="F38" s="1183">
        <f>IF(C38="",0,VLOOKUP(C38,'SDK5'!C5:AF85,2,FALSE))</f>
        <v>67.7</v>
      </c>
      <c r="G38" s="1183">
        <f t="shared" si="2"/>
        <v>67.7</v>
      </c>
      <c r="H38" s="1182"/>
      <c r="I38" s="1181">
        <f t="shared" si="3"/>
        <v>0</v>
      </c>
      <c r="J38" s="39"/>
      <c r="K38" s="1182"/>
      <c r="L38" s="1023">
        <f t="shared" si="0"/>
        <v>0</v>
      </c>
      <c r="M38" s="1016"/>
      <c r="N38" s="1182">
        <v>1</v>
      </c>
      <c r="O38" s="1181">
        <f t="shared" si="1"/>
        <v>67.7</v>
      </c>
      <c r="P38" s="1145"/>
      <c r="Q38" s="34" t="str">
        <f>VLOOKUP(C38,'SDK5'!C7:AF87,3,FALSE)</f>
        <v>F</v>
      </c>
      <c r="AH38" s="2903"/>
    </row>
    <row r="39" spans="1:34" s="36" customFormat="1" ht="15" customHeight="1">
      <c r="A39" s="746"/>
      <c r="B39" s="1021"/>
      <c r="C39" s="4375"/>
      <c r="D39" s="4375"/>
      <c r="E39" s="4376"/>
      <c r="F39" s="1183">
        <f>IF(C39="",0,VLOOKUP(C39,'SDK5'!C6:AF86,2,FALSE))</f>
        <v>0</v>
      </c>
      <c r="G39" s="1183">
        <f t="shared" si="2"/>
        <v>0</v>
      </c>
      <c r="H39" s="1182"/>
      <c r="I39" s="1181">
        <f t="shared" si="3"/>
        <v>0</v>
      </c>
      <c r="J39" s="39"/>
      <c r="K39" s="1182"/>
      <c r="L39" s="1023">
        <f t="shared" si="0"/>
        <v>0</v>
      </c>
      <c r="M39" s="1016"/>
      <c r="N39" s="1182"/>
      <c r="O39" s="1181">
        <f t="shared" si="1"/>
        <v>0</v>
      </c>
      <c r="P39" s="1145"/>
      <c r="Q39" s="34" t="e">
        <f>VLOOKUP(C39,'SDK5'!C8:AF88,3,FALSE)</f>
        <v>#N/A</v>
      </c>
    </row>
    <row r="40" spans="1:34" s="36" customFormat="1" ht="15" customHeight="1">
      <c r="A40" s="746"/>
      <c r="B40" s="1021"/>
      <c r="C40" s="4375"/>
      <c r="D40" s="4375"/>
      <c r="E40" s="4376"/>
      <c r="F40" s="1183">
        <f>IF(C40="",0,VLOOKUP(C40,'SDK5'!C7:AF87,2,FALSE))</f>
        <v>0</v>
      </c>
      <c r="G40" s="1183">
        <f t="shared" si="2"/>
        <v>0</v>
      </c>
      <c r="H40" s="1182"/>
      <c r="I40" s="1181">
        <f t="shared" si="3"/>
        <v>0</v>
      </c>
      <c r="J40" s="39"/>
      <c r="K40" s="1182"/>
      <c r="L40" s="1023">
        <f t="shared" si="0"/>
        <v>0</v>
      </c>
      <c r="M40" s="1016"/>
      <c r="N40" s="1182"/>
      <c r="O40" s="1181">
        <f t="shared" si="1"/>
        <v>0</v>
      </c>
      <c r="P40" s="1145"/>
      <c r="Q40" s="34" t="e">
        <f>VLOOKUP(C40,'SDK5'!C9:AF89,3,FALSE)</f>
        <v>#N/A</v>
      </c>
    </row>
    <row r="41" spans="1:34" s="36" customFormat="1" ht="15" customHeight="1">
      <c r="A41" s="746"/>
      <c r="B41" s="1021"/>
      <c r="C41" s="4375"/>
      <c r="D41" s="4375"/>
      <c r="E41" s="4376"/>
      <c r="F41" s="1183">
        <f>IF(C41="",0,VLOOKUP(C41,'SDK5'!C8:AF88,2,FALSE))</f>
        <v>0</v>
      </c>
      <c r="G41" s="1183">
        <f t="shared" si="2"/>
        <v>0</v>
      </c>
      <c r="H41" s="1182"/>
      <c r="I41" s="1181">
        <f t="shared" si="3"/>
        <v>0</v>
      </c>
      <c r="J41" s="39"/>
      <c r="K41" s="1182"/>
      <c r="L41" s="1023">
        <f t="shared" si="0"/>
        <v>0</v>
      </c>
      <c r="M41" s="1016"/>
      <c r="N41" s="1182"/>
      <c r="O41" s="1181">
        <f t="shared" si="1"/>
        <v>0</v>
      </c>
      <c r="P41" s="1145"/>
      <c r="Q41" s="34" t="e">
        <f>VLOOKUP(C41,'SDK5'!C10:AF90,3,FALSE)</f>
        <v>#N/A</v>
      </c>
    </row>
    <row r="42" spans="1:34" s="36" customFormat="1" ht="15" customHeight="1">
      <c r="A42" s="746"/>
      <c r="B42" s="1180"/>
      <c r="C42" s="4361"/>
      <c r="D42" s="4361"/>
      <c r="E42" s="4362"/>
      <c r="F42" s="1179">
        <f>IF(C42="",0,VLOOKUP(C42,'SDK5'!C9:AF89,2,FALSE))</f>
        <v>0</v>
      </c>
      <c r="G42" s="1179">
        <f t="shared" si="2"/>
        <v>0</v>
      </c>
      <c r="H42" s="1178"/>
      <c r="I42" s="1177">
        <f t="shared" si="3"/>
        <v>0</v>
      </c>
      <c r="J42" s="39"/>
      <c r="K42" s="1178"/>
      <c r="L42" s="1017">
        <f t="shared" si="0"/>
        <v>0</v>
      </c>
      <c r="M42" s="1016"/>
      <c r="N42" s="1178"/>
      <c r="O42" s="1177">
        <f t="shared" si="1"/>
        <v>0</v>
      </c>
      <c r="P42" s="1176"/>
      <c r="Q42" s="34" t="e">
        <f>VLOOKUP(C42,'SDK5'!C11:AF91,3,FALSE)</f>
        <v>#N/A</v>
      </c>
    </row>
    <row r="43" spans="1:34" s="511" customFormat="1" ht="18.75" customHeight="1">
      <c r="A43" s="711"/>
      <c r="B43" s="716" t="s">
        <v>856</v>
      </c>
      <c r="C43" s="711"/>
      <c r="D43" s="711"/>
      <c r="E43" s="711"/>
      <c r="F43" s="711"/>
      <c r="G43" s="1047"/>
      <c r="H43" s="1173"/>
      <c r="I43" s="1172"/>
      <c r="J43" s="1041">
        <f>SUM(J46:J57)</f>
        <v>175.44795323249997</v>
      </c>
      <c r="K43" s="1175"/>
      <c r="L43" s="1174"/>
      <c r="M43" s="1044">
        <f>SUM(M46:M57)</f>
        <v>191.86667365</v>
      </c>
      <c r="N43" s="1173"/>
      <c r="O43" s="1172"/>
      <c r="P43" s="1041">
        <f>SUM(P46:P57)</f>
        <v>214.92842932749994</v>
      </c>
      <c r="Q43" s="34"/>
    </row>
    <row r="44" spans="1:34"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34"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c r="AH45" s="2903"/>
    </row>
    <row r="46" spans="1:34"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55">
        <v>1</v>
      </c>
      <c r="I46" s="1154">
        <f>$F46*H46</f>
        <v>1.38</v>
      </c>
      <c r="J46" s="1145">
        <f>H46*$G46</f>
        <v>64.642445999999993</v>
      </c>
      <c r="K46" s="1155">
        <v>1</v>
      </c>
      <c r="L46" s="1156">
        <f t="shared" ref="L46:L57" si="4">$F46*K46</f>
        <v>1.38</v>
      </c>
      <c r="M46" s="1148">
        <f t="shared" ref="M46:M57" si="5">K46*$G46</f>
        <v>64.642445999999993</v>
      </c>
      <c r="N46" s="1155">
        <v>1</v>
      </c>
      <c r="O46" s="1154">
        <f t="shared" ref="O46:O57" si="6">$F46*N46</f>
        <v>1.38</v>
      </c>
      <c r="P46" s="1145">
        <f t="shared" ref="P46:P57" si="7">N46*$G46</f>
        <v>64.642445999999993</v>
      </c>
      <c r="Q46" s="34"/>
    </row>
    <row r="47" spans="1:34"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ref="I47:I57" si="8">$F47*H47</f>
        <v>0.71</v>
      </c>
      <c r="J47" s="1145">
        <f t="shared" ref="J47:J56" si="9">H47*$G47</f>
        <v>30.659437999999998</v>
      </c>
      <c r="K47" s="1147">
        <v>1</v>
      </c>
      <c r="L47" s="1149">
        <f t="shared" si="4"/>
        <v>0.71</v>
      </c>
      <c r="M47" s="1148">
        <f t="shared" si="5"/>
        <v>30.659437999999998</v>
      </c>
      <c r="N47" s="1147">
        <v>1</v>
      </c>
      <c r="O47" s="1146">
        <f t="shared" si="6"/>
        <v>0.71</v>
      </c>
      <c r="P47" s="1145">
        <f t="shared" si="7"/>
        <v>30.659437999999998</v>
      </c>
      <c r="Q47" s="34"/>
    </row>
    <row r="48" spans="1:34" s="36" customFormat="1" ht="15" customHeight="1">
      <c r="A48" s="746"/>
      <c r="B48" s="1153"/>
      <c r="C48" s="4387" t="s">
        <v>346</v>
      </c>
      <c r="D48" s="4388"/>
      <c r="E48" s="1152">
        <f>IF($C48=0,0,VLOOKUP($C48,'SD3'!$C$24:$O$85,4,FALSE))</f>
        <v>83</v>
      </c>
      <c r="F48" s="1151">
        <f>IF($C48=0,0,VLOOKUP($C48,'SD3'!$C$24:$O$85,12,FALSE))</f>
        <v>0.16</v>
      </c>
      <c r="G48" s="1150">
        <f>IF($C48=0,0,VLOOKUP($C48,'SD3'!$C$24:$O$85,13,FALSE))</f>
        <v>3.7403892799999996</v>
      </c>
      <c r="H48" s="1147">
        <v>2</v>
      </c>
      <c r="I48" s="1146">
        <f t="shared" si="8"/>
        <v>0.32</v>
      </c>
      <c r="J48" s="1145">
        <f t="shared" si="9"/>
        <v>7.4807785599999992</v>
      </c>
      <c r="K48" s="1147">
        <v>3</v>
      </c>
      <c r="L48" s="1149">
        <f t="shared" si="4"/>
        <v>0.48</v>
      </c>
      <c r="M48" s="1148">
        <f t="shared" si="5"/>
        <v>11.22116784</v>
      </c>
      <c r="N48" s="1147">
        <v>4</v>
      </c>
      <c r="O48" s="1146">
        <f t="shared" si="6"/>
        <v>0.64</v>
      </c>
      <c r="P48" s="1145">
        <f t="shared" si="7"/>
        <v>14.961557119999998</v>
      </c>
      <c r="Q48" s="34"/>
    </row>
    <row r="49" spans="1:17" s="36" customFormat="1" ht="15" customHeight="1">
      <c r="A49" s="746"/>
      <c r="B49" s="1153"/>
      <c r="C49" s="4387" t="s">
        <v>1591</v>
      </c>
      <c r="D49" s="4388"/>
      <c r="E49" s="1152">
        <f>IF($C49=0,0,VLOOKUP($C49,'SD3'!$C$24:$O$85,4,FALSE))</f>
        <v>83</v>
      </c>
      <c r="F49" s="1151">
        <f>IF($C49=0,0,VLOOKUP($C49,'SD3'!$C$24:$O$85,12,FALSE))</f>
        <v>0.22</v>
      </c>
      <c r="G49" s="1150">
        <f>IF($C49=0,0,VLOOKUP($C49,'SD3'!$C$24:$O$85,13,FALSE))</f>
        <v>6.6430352599999996</v>
      </c>
      <c r="H49" s="1147">
        <v>1</v>
      </c>
      <c r="I49" s="1146">
        <f t="shared" si="8"/>
        <v>0.22</v>
      </c>
      <c r="J49" s="1145">
        <f t="shared" si="9"/>
        <v>6.6430352599999996</v>
      </c>
      <c r="K49" s="1147">
        <v>1</v>
      </c>
      <c r="L49" s="1149">
        <f t="shared" si="4"/>
        <v>0.22</v>
      </c>
      <c r="M49" s="1148">
        <f t="shared" si="5"/>
        <v>6.6430352599999996</v>
      </c>
      <c r="N49" s="1147">
        <v>2</v>
      </c>
      <c r="O49" s="1146">
        <f t="shared" si="6"/>
        <v>0.44</v>
      </c>
      <c r="P49" s="1145">
        <f t="shared" si="7"/>
        <v>13.286070519999999</v>
      </c>
      <c r="Q49" s="34"/>
    </row>
    <row r="50" spans="1:17" s="36" customFormat="1" ht="15" customHeight="1">
      <c r="A50" s="746"/>
      <c r="B50" s="1153"/>
      <c r="C50" s="4403" t="s">
        <v>1748</v>
      </c>
      <c r="D50" s="4404"/>
      <c r="E50" s="1152">
        <f>IF($C50=0,0,VLOOKUP($C50,'SD3'!$C$24:$O$85,4,FALSE))</f>
        <v>120</v>
      </c>
      <c r="F50" s="1151">
        <f>IF($C50=0,0,VLOOKUP($C50,'SD3'!$C$24:$O$85,12,FALSE))</f>
        <v>0.37</v>
      </c>
      <c r="G50" s="1150">
        <f>IF($C50=0,0,VLOOKUP($C50,'SD3'!$C$24:$O$85,13,FALSE))</f>
        <v>11.7573302</v>
      </c>
      <c r="H50" s="3654">
        <f>J6/75</f>
        <v>0.75</v>
      </c>
      <c r="I50" s="1146">
        <f t="shared" si="8"/>
        <v>0.27749999999999997</v>
      </c>
      <c r="J50" s="1145">
        <f t="shared" si="9"/>
        <v>8.8179976500000006</v>
      </c>
      <c r="K50" s="3654">
        <f>M6/75</f>
        <v>1</v>
      </c>
      <c r="L50" s="1149">
        <f t="shared" si="4"/>
        <v>0.37</v>
      </c>
      <c r="M50" s="1148">
        <f t="shared" si="5"/>
        <v>11.7573302</v>
      </c>
      <c r="N50" s="3654">
        <f>P6/75</f>
        <v>1.25</v>
      </c>
      <c r="O50" s="1146">
        <f t="shared" si="6"/>
        <v>0.46250000000000002</v>
      </c>
      <c r="P50" s="1145">
        <f t="shared" si="7"/>
        <v>14.69666275</v>
      </c>
      <c r="Q50" s="34"/>
    </row>
    <row r="51" spans="1:17" s="36" customFormat="1" ht="15" customHeight="1">
      <c r="A51" s="746"/>
      <c r="B51" s="1153"/>
      <c r="C51" s="4387" t="s">
        <v>360</v>
      </c>
      <c r="D51" s="4388"/>
      <c r="E51" s="1152">
        <f>IF($C51=0,0,VLOOKUP($C51,'SD3'!$C$24:$O$85,4,FALSE))</f>
        <v>120</v>
      </c>
      <c r="F51" s="1151">
        <f>IF($C51=0,0,VLOOKUP($C51,'SD3'!$C$24:$O$85,12,FALSE))</f>
        <v>0.79</v>
      </c>
      <c r="G51" s="1150">
        <f>IF($C51=0,0,VLOOKUP($C51,'SD3'!$C$24:$O$85,13,FALSE))</f>
        <v>27.987262000000001</v>
      </c>
      <c r="H51" s="1147">
        <v>1</v>
      </c>
      <c r="I51" s="1146">
        <f t="shared" si="8"/>
        <v>0.79</v>
      </c>
      <c r="J51" s="1145">
        <f t="shared" si="9"/>
        <v>27.987262000000001</v>
      </c>
      <c r="K51" s="1147">
        <v>1</v>
      </c>
      <c r="L51" s="1149">
        <f t="shared" si="4"/>
        <v>0.79</v>
      </c>
      <c r="M51" s="1148">
        <f t="shared" si="5"/>
        <v>27.987262000000001</v>
      </c>
      <c r="N51" s="1147">
        <v>1</v>
      </c>
      <c r="O51" s="1146">
        <f t="shared" si="6"/>
        <v>0.79</v>
      </c>
      <c r="P51" s="1145">
        <f t="shared" si="7"/>
        <v>27.987262000000001</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8"/>
        <v>0</v>
      </c>
      <c r="J52" s="1145">
        <f t="shared" si="9"/>
        <v>0</v>
      </c>
      <c r="K52" s="1147"/>
      <c r="L52" s="1149">
        <f t="shared" si="4"/>
        <v>0</v>
      </c>
      <c r="M52" s="1148">
        <f t="shared" si="5"/>
        <v>0</v>
      </c>
      <c r="N52" s="1147"/>
      <c r="O52" s="1146">
        <f t="shared" si="6"/>
        <v>0</v>
      </c>
      <c r="P52" s="1145">
        <f t="shared" si="7"/>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8"/>
        <v>0</v>
      </c>
      <c r="J53" s="1145">
        <f t="shared" si="9"/>
        <v>0</v>
      </c>
      <c r="K53" s="1147"/>
      <c r="L53" s="1149">
        <f t="shared" si="4"/>
        <v>0</v>
      </c>
      <c r="M53" s="1148">
        <f t="shared" si="5"/>
        <v>0</v>
      </c>
      <c r="N53" s="1147"/>
      <c r="O53" s="1146">
        <f t="shared" si="6"/>
        <v>0</v>
      </c>
      <c r="P53" s="1145">
        <f t="shared" si="7"/>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8"/>
        <v>0</v>
      </c>
      <c r="J54" s="1145">
        <f t="shared" si="9"/>
        <v>0</v>
      </c>
      <c r="K54" s="1147"/>
      <c r="L54" s="1149">
        <f t="shared" si="4"/>
        <v>0</v>
      </c>
      <c r="M54" s="1148">
        <f t="shared" si="5"/>
        <v>0</v>
      </c>
      <c r="N54" s="1147"/>
      <c r="O54" s="1146">
        <f t="shared" si="6"/>
        <v>0</v>
      </c>
      <c r="P54" s="1145">
        <f t="shared" si="7"/>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8"/>
        <v>0</v>
      </c>
      <c r="J55" s="1145">
        <f t="shared" si="9"/>
        <v>0</v>
      </c>
      <c r="K55" s="1147"/>
      <c r="L55" s="1149">
        <f t="shared" si="4"/>
        <v>0</v>
      </c>
      <c r="M55" s="1148">
        <f t="shared" si="5"/>
        <v>0</v>
      </c>
      <c r="N55" s="1147"/>
      <c r="O55" s="1146">
        <f t="shared" si="6"/>
        <v>0</v>
      </c>
      <c r="P55" s="1145">
        <f t="shared" si="7"/>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8"/>
        <v>0</v>
      </c>
      <c r="J56" s="1334">
        <f t="shared" si="9"/>
        <v>0</v>
      </c>
      <c r="K56" s="1336"/>
      <c r="L56" s="1338">
        <f t="shared" si="4"/>
        <v>0</v>
      </c>
      <c r="M56" s="1337">
        <f t="shared" si="5"/>
        <v>0</v>
      </c>
      <c r="N56" s="1336"/>
      <c r="O56" s="1335">
        <f t="shared" si="6"/>
        <v>0</v>
      </c>
      <c r="P56" s="1334">
        <f t="shared" si="7"/>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3655">
        <f>IF($T$4=TRUE,0,H11/40)</f>
        <v>1.125</v>
      </c>
      <c r="I57" s="1130">
        <f t="shared" si="8"/>
        <v>1.4625000000000001</v>
      </c>
      <c r="J57" s="1129">
        <f>G57*H57</f>
        <v>29.216995762499991</v>
      </c>
      <c r="K57" s="1131">
        <f>IF($T$4=TRUE,0,K11/40)</f>
        <v>1.5</v>
      </c>
      <c r="L57" s="1132">
        <f t="shared" si="4"/>
        <v>1.9500000000000002</v>
      </c>
      <c r="M57" s="1079">
        <f t="shared" si="5"/>
        <v>38.95599434999999</v>
      </c>
      <c r="N57" s="1131">
        <f>IF($T$4=TRUE,0,N11/40)</f>
        <v>1.875</v>
      </c>
      <c r="O57" s="1130">
        <f t="shared" si="6"/>
        <v>2.4375</v>
      </c>
      <c r="P57" s="1129">
        <f t="shared" si="7"/>
        <v>48.69499293749999</v>
      </c>
      <c r="Q57" s="34">
        <f>$Q$2*H57</f>
        <v>56.25</v>
      </c>
    </row>
    <row r="58" spans="1:17" s="46" customFormat="1" ht="18.75" customHeight="1">
      <c r="A58" s="811"/>
      <c r="B58" s="716" t="s">
        <v>848</v>
      </c>
      <c r="C58" s="811"/>
      <c r="D58" s="811"/>
      <c r="E58" s="811"/>
      <c r="F58" s="34"/>
      <c r="G58" s="1047"/>
      <c r="H58" s="1124"/>
      <c r="I58" s="1123">
        <f>SUM($I$46:$I$57)</f>
        <v>5.16</v>
      </c>
      <c r="J58" s="1128"/>
      <c r="K58" s="1127"/>
      <c r="L58" s="1126">
        <f>SUM($L$46:$L$57)</f>
        <v>5.9</v>
      </c>
      <c r="M58" s="1125"/>
      <c r="N58" s="1124"/>
      <c r="O58" s="1123">
        <f>SUM($O$46:$O$57)</f>
        <v>6.8599999999999994</v>
      </c>
      <c r="P58" s="1122"/>
      <c r="Q58" s="34"/>
    </row>
    <row r="59" spans="1:17" s="46" customFormat="1" ht="15" customHeight="1">
      <c r="A59" s="811"/>
      <c r="B59" s="1121"/>
      <c r="C59" s="285"/>
      <c r="D59" s="222" t="s">
        <v>847</v>
      </c>
      <c r="E59" s="1120">
        <v>80</v>
      </c>
      <c r="F59" s="285" t="s">
        <v>846</v>
      </c>
      <c r="G59" s="1119"/>
      <c r="H59" s="1115"/>
      <c r="I59" s="1114">
        <f>IF(I58+SUM($I$46:$I$57)*$E$59%&gt;I58+10,I58+10,I58+SUM($I$46:$I$57)*$E$59%)</f>
        <v>9.2880000000000003</v>
      </c>
      <c r="J59" s="1113"/>
      <c r="K59" s="1118"/>
      <c r="L59" s="1117">
        <f>IF(L58+SUM($L$46:$L$57)*$E$59%&gt;L58+10,L58+10,L58+SUM($L$46:$L$57)*$E$59%)</f>
        <v>10.620000000000001</v>
      </c>
      <c r="M59" s="1116"/>
      <c r="N59" s="1115"/>
      <c r="O59" s="1114">
        <f>IF(O58+SUM($O$46:$O$57)*$E$59%&gt;O58+10,O58+10,O58+SUM($O$46:$O$57)*$E$59%)</f>
        <v>12.347999999999999</v>
      </c>
      <c r="P59" s="1113"/>
      <c r="Q59" s="34"/>
    </row>
    <row r="60" spans="1:17" s="36" customFormat="1" ht="18.75" customHeight="1">
      <c r="A60" s="746"/>
      <c r="B60" s="716" t="s">
        <v>845</v>
      </c>
      <c r="C60" s="811"/>
      <c r="D60" s="811"/>
      <c r="E60" s="39"/>
      <c r="F60" s="39"/>
      <c r="G60" s="1112"/>
      <c r="H60" s="1104"/>
      <c r="I60" s="1103"/>
      <c r="J60" s="1111">
        <f>IF(J6=0,0,SUM(I62:I64))</f>
        <v>324</v>
      </c>
      <c r="K60" s="1107"/>
      <c r="L60" s="1106"/>
      <c r="M60" s="1044">
        <f>IF(M6=0,0,SUM(L62:L64))</f>
        <v>373.5</v>
      </c>
      <c r="N60" s="1104"/>
      <c r="O60" s="1103"/>
      <c r="P60" s="1111">
        <f>IF(P6=0,0,SUM(O62:O64))</f>
        <v>423</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296</v>
      </c>
      <c r="D62" s="4365"/>
      <c r="E62" s="4365"/>
      <c r="F62" s="1101">
        <f>IF($C62=0,0,VLOOKUP($C62,'SD3'!$C$90:$D$104,2,FALSE))</f>
        <v>175.5</v>
      </c>
      <c r="G62" s="1100">
        <f>(100+$D$61)/100*F62</f>
        <v>175.5</v>
      </c>
      <c r="H62" s="173"/>
      <c r="I62" s="1096">
        <f>$G$62</f>
        <v>175.5</v>
      </c>
      <c r="J62" s="173"/>
      <c r="K62" s="1099"/>
      <c r="L62" s="1098">
        <f>$G$62</f>
        <v>175.5</v>
      </c>
      <c r="M62" s="1016"/>
      <c r="N62" s="1097"/>
      <c r="O62" s="1096">
        <f>$G$62</f>
        <v>175.5</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3.3</v>
      </c>
      <c r="G64" s="1082">
        <f>(100+$D$61)/100*F64</f>
        <v>3.3</v>
      </c>
      <c r="H64" s="1078"/>
      <c r="I64" s="1077">
        <f>H11*$G$64</f>
        <v>148.5</v>
      </c>
      <c r="J64" s="173"/>
      <c r="K64" s="1081"/>
      <c r="L64" s="1080">
        <f>K11*$G$64</f>
        <v>198</v>
      </c>
      <c r="M64" s="1079"/>
      <c r="N64" s="1078"/>
      <c r="O64" s="1077">
        <f>N11*$G$64</f>
        <v>247.5</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74.671874999999986</v>
      </c>
      <c r="K67" s="1068" t="s">
        <v>842</v>
      </c>
      <c r="L67" s="1067" t="s">
        <v>841</v>
      </c>
      <c r="M67" s="1044">
        <f>S68*(K9+K10)*L68%+F68</f>
        <v>99.562499999999972</v>
      </c>
      <c r="N67" s="1066" t="s">
        <v>842</v>
      </c>
      <c r="O67" s="1065" t="s">
        <v>841</v>
      </c>
      <c r="P67" s="1041">
        <f>T68*(N9+N10)*O68%+F68</f>
        <v>190.07812500000011</v>
      </c>
      <c r="Q67" s="34"/>
    </row>
    <row r="68" spans="1:20" s="511" customFormat="1" ht="15" customHeight="1">
      <c r="A68" s="711"/>
      <c r="B68" s="1064"/>
      <c r="C68" s="4393" t="s">
        <v>564</v>
      </c>
      <c r="D68" s="4393"/>
      <c r="E68" s="4393"/>
      <c r="F68" s="1063"/>
      <c r="G68" s="1054" t="s">
        <v>163</v>
      </c>
      <c r="H68" s="1061">
        <v>16</v>
      </c>
      <c r="I68" s="1060">
        <v>50</v>
      </c>
      <c r="J68" s="1059"/>
      <c r="K68" s="1061">
        <v>16</v>
      </c>
      <c r="L68" s="1060">
        <v>50</v>
      </c>
      <c r="M68" s="1062"/>
      <c r="N68" s="1061">
        <v>18</v>
      </c>
      <c r="O68" s="1060">
        <v>50</v>
      </c>
      <c r="P68" s="1059"/>
      <c r="Q68" s="34"/>
      <c r="R68" s="1058">
        <f>IF($H$68=0,0,VLOOKUP($H$68,'SD6'!B8:C151,'SD6'!C1,FALSE))*(1+'SDK1'!O11/100)</f>
        <v>2.6549999999999994</v>
      </c>
      <c r="S68" s="1058">
        <f>IF($K$68=0,0,VLOOKUP($K$68,'SD6'!B8:C151,'SD6'!C1,FALSE))*(1+'SDK1'!O11/100)</f>
        <v>2.6549999999999994</v>
      </c>
      <c r="T68" s="1058">
        <f>IF($N$68=0,0,VLOOKUP($N$68,'SD6'!B8:C151,'SD6'!C1,FALSE))*(1+'SDK1'!O11/100)</f>
        <v>4.0550000000000024</v>
      </c>
    </row>
    <row r="69" spans="1:20" s="511" customFormat="1" ht="18.75" customHeight="1">
      <c r="A69" s="711"/>
      <c r="B69" s="716" t="s">
        <v>839</v>
      </c>
      <c r="C69" s="711"/>
      <c r="D69" s="711"/>
      <c r="E69" s="34"/>
      <c r="F69" s="34"/>
      <c r="G69" s="1047"/>
      <c r="H69" s="38"/>
      <c r="I69" s="51"/>
      <c r="J69" s="1041">
        <f>H70*$F70/1000</f>
        <v>14.85</v>
      </c>
      <c r="K69" s="1057"/>
      <c r="L69" s="1056"/>
      <c r="M69" s="1044">
        <f>K70*$F70/1000</f>
        <v>19.8</v>
      </c>
      <c r="N69" s="38"/>
      <c r="O69" s="51"/>
      <c r="P69" s="1041">
        <f>N70*$F70/1000</f>
        <v>24.75</v>
      </c>
      <c r="Q69" s="34"/>
    </row>
    <row r="70" spans="1:20" s="511" customFormat="1" ht="15" customHeight="1">
      <c r="A70" s="711"/>
      <c r="B70" s="772"/>
      <c r="C70" s="771" t="s">
        <v>606</v>
      </c>
      <c r="D70" s="285"/>
      <c r="E70" s="222"/>
      <c r="F70" s="3742">
        <f>'SDK7'!G101</f>
        <v>16</v>
      </c>
      <c r="G70" s="1054" t="s">
        <v>163</v>
      </c>
      <c r="H70" s="1357">
        <f>SUM(I9:I10)</f>
        <v>928.125</v>
      </c>
      <c r="I70" s="1049"/>
      <c r="J70" s="1048"/>
      <c r="K70" s="1053">
        <f>L9+L10</f>
        <v>1237.5</v>
      </c>
      <c r="L70" s="1052"/>
      <c r="M70" s="1051"/>
      <c r="N70" s="1050">
        <f>O9+O10</f>
        <v>1546.875</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7</v>
      </c>
      <c r="H75" s="1007"/>
      <c r="I75" s="1008"/>
      <c r="J75" s="1005">
        <f>(J23+J27+J34+J43+J60+J65+J67+J69+J71)*('SDK1'!$O$59%*$G$75/12)</f>
        <v>12.608110704379165</v>
      </c>
      <c r="K75" s="2223"/>
      <c r="L75" s="522"/>
      <c r="M75" s="1005">
        <f>(M23+M27+M34+M43+M60+M65+M67+M69+M71)*('SDK1'!$O$59%*$G$75/12)</f>
        <v>14.864146192583332</v>
      </c>
      <c r="N75" s="1007"/>
      <c r="O75" s="1006"/>
      <c r="P75" s="1005">
        <f>(P23+P27+P34+P43+P60+P65+P67+P69+P71)*('SDK1'!$O$59%*$G$75/12)</f>
        <v>18.7852254254875</v>
      </c>
      <c r="Q75" s="34"/>
    </row>
    <row r="78" spans="1:20">
      <c r="L78" s="12"/>
      <c r="M78" s="31"/>
      <c r="N78" s="31"/>
      <c r="O78" s="31"/>
      <c r="P78" s="31"/>
      <c r="Q78" s="31"/>
    </row>
    <row r="79" spans="1:20">
      <c r="L79" s="12"/>
      <c r="M79" s="31"/>
      <c r="N79" s="31"/>
      <c r="O79" s="31"/>
      <c r="P79" s="31"/>
      <c r="Q79" s="31"/>
    </row>
    <row r="80" spans="1:20">
      <c r="L80" s="12"/>
      <c r="M80" s="31"/>
      <c r="N80" s="31"/>
      <c r="O80" s="31"/>
      <c r="P80" s="31"/>
      <c r="Q80" s="31"/>
    </row>
    <row r="81" spans="1:17">
      <c r="A81" s="31"/>
      <c r="L81" s="12"/>
      <c r="M81" s="31"/>
      <c r="N81" s="31"/>
      <c r="O81" s="31"/>
      <c r="P81" s="31"/>
      <c r="Q81" s="31"/>
    </row>
    <row r="82" spans="1:17">
      <c r="A82" s="31"/>
      <c r="L82" s="12"/>
      <c r="M82" s="31"/>
      <c r="N82" s="31"/>
      <c r="O82" s="31"/>
      <c r="P82" s="31"/>
      <c r="Q82" s="31"/>
    </row>
    <row r="83" spans="1:17">
      <c r="A83" s="31"/>
      <c r="L83" s="12"/>
      <c r="M83" s="31"/>
      <c r="N83" s="31"/>
      <c r="O83" s="31"/>
      <c r="P83" s="31"/>
      <c r="Q83" s="31"/>
    </row>
    <row r="84" spans="1:17">
      <c r="A84" s="31"/>
      <c r="L84" s="12"/>
      <c r="M84" s="31"/>
      <c r="N84" s="31"/>
      <c r="O84" s="31"/>
      <c r="P84" s="31"/>
      <c r="Q84" s="31"/>
    </row>
    <row r="85" spans="1:17">
      <c r="A85" s="31"/>
      <c r="L85" s="12"/>
      <c r="M85" s="31"/>
      <c r="N85" s="31"/>
      <c r="O85" s="31"/>
      <c r="P85" s="31"/>
      <c r="Q85" s="31"/>
    </row>
    <row r="86" spans="1:17">
      <c r="A86" s="31"/>
      <c r="L86" s="12"/>
      <c r="M86" s="31"/>
      <c r="N86" s="31"/>
      <c r="O86" s="31"/>
      <c r="P86" s="31"/>
      <c r="Q86" s="31"/>
    </row>
    <row r="87" spans="1:17">
      <c r="A87" s="31"/>
      <c r="L87" s="12"/>
      <c r="M87" s="31"/>
      <c r="N87" s="31"/>
      <c r="O87" s="31"/>
      <c r="P87" s="31"/>
      <c r="Q87" s="31"/>
    </row>
    <row r="88" spans="1:17">
      <c r="A88" s="31"/>
      <c r="L88" s="12"/>
      <c r="M88" s="31"/>
      <c r="N88" s="31"/>
      <c r="O88" s="31"/>
      <c r="P88" s="31"/>
      <c r="Q88" s="31"/>
    </row>
    <row r="89" spans="1:17">
      <c r="A89" s="31"/>
      <c r="L89" s="12"/>
      <c r="M89" s="31"/>
      <c r="N89" s="31"/>
      <c r="O89" s="31"/>
      <c r="P89" s="31"/>
      <c r="Q89" s="31"/>
    </row>
    <row r="90" spans="1:17">
      <c r="A90" s="31"/>
      <c r="L90" s="12"/>
      <c r="M90" s="31"/>
      <c r="N90" s="31"/>
      <c r="O90" s="31"/>
      <c r="P90" s="31"/>
      <c r="Q90" s="31"/>
    </row>
    <row r="91" spans="1:17">
      <c r="A91" s="31"/>
      <c r="L91" s="12"/>
      <c r="M91" s="31"/>
      <c r="N91" s="31"/>
      <c r="O91" s="31"/>
      <c r="P91" s="31"/>
      <c r="Q91" s="31"/>
    </row>
    <row r="92" spans="1:17">
      <c r="A92" s="31"/>
      <c r="L92" s="12"/>
      <c r="M92" s="31"/>
      <c r="N92" s="31"/>
      <c r="O92" s="31"/>
      <c r="P92" s="31"/>
      <c r="Q92" s="31"/>
    </row>
    <row r="93" spans="1:17">
      <c r="A93" s="31"/>
      <c r="L93" s="12"/>
      <c r="M93" s="31"/>
      <c r="N93" s="31"/>
      <c r="O93" s="31"/>
      <c r="P93" s="31"/>
      <c r="Q93" s="31"/>
    </row>
    <row r="94" spans="1:17">
      <c r="A94" s="31"/>
      <c r="L94" s="12"/>
      <c r="M94" s="31"/>
      <c r="N94" s="31"/>
      <c r="O94" s="31"/>
      <c r="P94" s="31"/>
      <c r="Q94" s="31"/>
    </row>
    <row r="95" spans="1:17">
      <c r="A95" s="31"/>
      <c r="L95" s="12"/>
      <c r="M95" s="31"/>
      <c r="N95" s="31"/>
      <c r="O95" s="31"/>
      <c r="P95" s="31"/>
      <c r="Q95" s="31"/>
    </row>
    <row r="96" spans="1:17">
      <c r="A96" s="31"/>
      <c r="L96" s="12"/>
      <c r="M96" s="31"/>
      <c r="N96" s="31"/>
      <c r="O96" s="31"/>
      <c r="P96" s="31"/>
      <c r="Q96" s="31"/>
    </row>
    <row r="97" spans="1:17">
      <c r="A97" s="31"/>
      <c r="L97" s="12"/>
      <c r="M97" s="31"/>
      <c r="N97" s="31"/>
      <c r="O97" s="31"/>
      <c r="P97" s="31"/>
      <c r="Q97" s="31"/>
    </row>
    <row r="98" spans="1:17">
      <c r="A98" s="31"/>
      <c r="L98" s="12"/>
      <c r="M98" s="31"/>
      <c r="N98" s="31"/>
      <c r="O98" s="31"/>
      <c r="P98" s="31"/>
      <c r="Q98" s="31"/>
    </row>
    <row r="99" spans="1:17">
      <c r="A99" s="31"/>
      <c r="L99" s="12"/>
      <c r="M99" s="31"/>
      <c r="N99" s="31"/>
      <c r="O99" s="31"/>
      <c r="P99" s="31"/>
      <c r="Q99" s="31"/>
    </row>
    <row r="100" spans="1:17">
      <c r="A100" s="31"/>
      <c r="L100" s="12"/>
      <c r="M100" s="31"/>
      <c r="N100" s="31"/>
      <c r="O100" s="31"/>
      <c r="P100" s="31"/>
      <c r="Q100" s="31"/>
    </row>
    <row r="101" spans="1:17">
      <c r="A101" s="31"/>
      <c r="L101" s="12"/>
      <c r="M101" s="31"/>
      <c r="N101" s="31"/>
      <c r="O101" s="31"/>
      <c r="P101" s="31"/>
      <c r="Q101" s="31"/>
    </row>
    <row r="102" spans="1:17">
      <c r="A102" s="31"/>
      <c r="L102" s="12"/>
      <c r="M102" s="31"/>
      <c r="N102" s="31"/>
      <c r="O102" s="31"/>
      <c r="P102" s="31"/>
      <c r="Q102" s="31"/>
    </row>
    <row r="103" spans="1:17">
      <c r="A103" s="31"/>
      <c r="L103" s="12"/>
      <c r="M103" s="31"/>
      <c r="N103" s="31"/>
      <c r="O103" s="31"/>
      <c r="P103" s="31"/>
      <c r="Q103" s="31"/>
    </row>
    <row r="104" spans="1:17">
      <c r="A104" s="31"/>
      <c r="L104" s="12"/>
      <c r="M104" s="31"/>
      <c r="N104" s="31"/>
      <c r="O104" s="31"/>
      <c r="P104" s="31"/>
      <c r="Q104" s="31"/>
    </row>
    <row r="105" spans="1:17">
      <c r="A105" s="31"/>
      <c r="L105" s="12"/>
      <c r="M105" s="31"/>
      <c r="N105" s="31"/>
      <c r="O105" s="31"/>
      <c r="P105" s="31"/>
      <c r="Q105" s="31"/>
    </row>
    <row r="106" spans="1:17">
      <c r="A106" s="31"/>
      <c r="L106" s="12"/>
      <c r="M106" s="31"/>
      <c r="N106" s="31"/>
      <c r="O106" s="31"/>
      <c r="P106" s="31"/>
      <c r="Q106" s="31"/>
    </row>
    <row r="107" spans="1:17">
      <c r="A107" s="31"/>
      <c r="L107" s="12"/>
      <c r="M107" s="31"/>
      <c r="N107" s="31"/>
      <c r="O107" s="31"/>
      <c r="P107" s="31"/>
      <c r="Q107" s="31"/>
    </row>
    <row r="108" spans="1:17">
      <c r="A108" s="31"/>
      <c r="L108" s="12"/>
      <c r="M108" s="31"/>
      <c r="N108" s="31"/>
      <c r="O108" s="31"/>
      <c r="P108" s="31"/>
      <c r="Q108" s="31"/>
    </row>
    <row r="109" spans="1:17">
      <c r="A109" s="31"/>
      <c r="L109" s="12"/>
      <c r="M109" s="31"/>
      <c r="N109" s="31"/>
      <c r="O109" s="31"/>
      <c r="P109" s="31"/>
      <c r="Q109" s="31"/>
    </row>
    <row r="110" spans="1:17">
      <c r="A110" s="31"/>
      <c r="L110" s="12"/>
      <c r="M110" s="31"/>
      <c r="N110" s="31"/>
      <c r="O110" s="31"/>
      <c r="P110" s="31"/>
      <c r="Q110" s="31"/>
    </row>
    <row r="111" spans="1:17">
      <c r="A111" s="31"/>
      <c r="B111" s="31"/>
      <c r="L111" s="12"/>
      <c r="M111" s="31"/>
      <c r="N111" s="31"/>
      <c r="O111" s="31"/>
      <c r="P111" s="31"/>
      <c r="Q111" s="31"/>
    </row>
    <row r="112" spans="1:17">
      <c r="A112" s="31"/>
      <c r="B112" s="31"/>
      <c r="L112" s="12"/>
      <c r="M112" s="31"/>
      <c r="N112" s="31"/>
      <c r="O112" s="31"/>
      <c r="P112" s="31"/>
      <c r="Q112" s="31"/>
    </row>
    <row r="113" spans="1:17">
      <c r="A113" s="31"/>
      <c r="L113" s="12"/>
      <c r="M113" s="31"/>
      <c r="N113" s="31"/>
      <c r="O113" s="31"/>
      <c r="P113" s="31"/>
      <c r="Q113" s="31"/>
    </row>
    <row r="114" spans="1:17">
      <c r="A114" s="31"/>
      <c r="L114" s="12"/>
      <c r="M114" s="31"/>
      <c r="N114" s="31"/>
      <c r="O114" s="31"/>
      <c r="P114" s="31"/>
      <c r="Q114" s="31"/>
    </row>
    <row r="115" spans="1:17">
      <c r="A115" s="31"/>
      <c r="L115" s="12"/>
      <c r="M115" s="31"/>
      <c r="N115" s="31"/>
      <c r="O115" s="31"/>
      <c r="P115" s="31"/>
      <c r="Q115" s="31"/>
    </row>
    <row r="116" spans="1:17">
      <c r="A116" s="31"/>
      <c r="L116" s="12"/>
      <c r="M116" s="31"/>
      <c r="N116" s="31"/>
      <c r="O116" s="31"/>
      <c r="P116" s="31"/>
      <c r="Q116" s="31"/>
    </row>
    <row r="117" spans="1:17">
      <c r="A117" s="31"/>
      <c r="L117" s="12"/>
      <c r="M117" s="31"/>
      <c r="N117" s="31"/>
      <c r="O117" s="31"/>
      <c r="P117" s="31"/>
      <c r="Q117" s="31"/>
    </row>
    <row r="118" spans="1:17">
      <c r="A118" s="31"/>
      <c r="L118" s="12"/>
      <c r="M118" s="31"/>
      <c r="N118" s="31"/>
      <c r="O118" s="31"/>
      <c r="P118" s="31"/>
      <c r="Q118" s="31"/>
    </row>
    <row r="119" spans="1:17">
      <c r="A119" s="31"/>
      <c r="L119" s="12"/>
      <c r="M119" s="31"/>
      <c r="N119" s="31"/>
      <c r="O119" s="31"/>
      <c r="P119" s="31"/>
      <c r="Q119" s="31"/>
    </row>
    <row r="120" spans="1:17">
      <c r="A120" s="31"/>
      <c r="B120" s="441"/>
      <c r="C120" s="12"/>
      <c r="L120" s="12"/>
      <c r="M120" s="31"/>
      <c r="N120" s="31"/>
      <c r="O120" s="31"/>
      <c r="P120" s="31"/>
      <c r="Q120" s="31"/>
    </row>
    <row r="121" spans="1:17">
      <c r="A121" s="31"/>
      <c r="B121" s="441"/>
      <c r="C121" s="12"/>
      <c r="L121" s="12"/>
      <c r="M121" s="31"/>
      <c r="N121" s="31"/>
      <c r="O121" s="31"/>
      <c r="P121" s="31"/>
      <c r="Q121" s="31"/>
    </row>
    <row r="122" spans="1:17">
      <c r="A122" s="31"/>
      <c r="B122" s="441"/>
      <c r="C122" s="12"/>
      <c r="L122" s="12"/>
      <c r="M122" s="31"/>
      <c r="N122" s="31"/>
      <c r="O122" s="31"/>
      <c r="P122" s="31"/>
      <c r="Q122" s="31"/>
    </row>
    <row r="123" spans="1:17">
      <c r="A123" s="31"/>
      <c r="B123" s="441"/>
      <c r="C123" s="12"/>
      <c r="L123" s="12"/>
      <c r="M123" s="31"/>
      <c r="N123" s="31"/>
      <c r="O123" s="31"/>
      <c r="P123" s="31"/>
      <c r="Q123" s="31"/>
    </row>
    <row r="124" spans="1:17">
      <c r="A124" s="31"/>
      <c r="B124" s="441"/>
      <c r="C124" s="12"/>
      <c r="L124" s="12"/>
      <c r="M124" s="31"/>
      <c r="N124" s="31"/>
      <c r="O124" s="31"/>
      <c r="P124" s="31"/>
      <c r="Q124" s="31"/>
    </row>
    <row r="125" spans="1:17">
      <c r="A125" s="31"/>
      <c r="B125" s="441"/>
      <c r="C125" s="12"/>
      <c r="L125" s="12"/>
      <c r="M125" s="31"/>
      <c r="N125" s="31"/>
      <c r="O125" s="31"/>
      <c r="P125" s="31"/>
      <c r="Q125" s="31"/>
    </row>
    <row r="126" spans="1:17">
      <c r="A126" s="31"/>
      <c r="B126" s="441"/>
      <c r="C126" s="12"/>
      <c r="L126" s="12"/>
      <c r="M126" s="31"/>
      <c r="N126" s="31"/>
      <c r="O126" s="31"/>
      <c r="P126" s="31"/>
      <c r="Q126" s="31"/>
    </row>
    <row r="127" spans="1:17">
      <c r="A127" s="31"/>
      <c r="B127" s="441"/>
      <c r="C127" s="12"/>
      <c r="L127" s="12"/>
      <c r="M127" s="31"/>
      <c r="N127" s="31"/>
      <c r="O127" s="31"/>
      <c r="P127" s="31"/>
      <c r="Q127" s="31"/>
    </row>
    <row r="128" spans="1:17">
      <c r="A128" s="31"/>
      <c r="B128" s="441"/>
      <c r="C128" s="12"/>
      <c r="L128" s="12"/>
      <c r="M128" s="31"/>
      <c r="N128" s="31"/>
      <c r="O128" s="31"/>
      <c r="P128" s="31"/>
      <c r="Q128" s="31"/>
    </row>
    <row r="129" spans="1:17">
      <c r="A129" s="31"/>
      <c r="B129" s="441"/>
      <c r="C129" s="12"/>
      <c r="L129" s="12"/>
      <c r="M129" s="31"/>
      <c r="N129" s="31"/>
      <c r="O129" s="31"/>
      <c r="P129" s="31"/>
      <c r="Q129" s="31"/>
    </row>
    <row r="130" spans="1:17">
      <c r="A130" s="31"/>
      <c r="B130" s="441"/>
      <c r="C130" s="12"/>
      <c r="L130" s="12"/>
      <c r="M130" s="31"/>
      <c r="N130" s="31"/>
      <c r="O130" s="31"/>
      <c r="P130" s="31"/>
      <c r="Q130" s="31"/>
    </row>
    <row r="131" spans="1:17">
      <c r="A131" s="31"/>
      <c r="B131" s="441"/>
      <c r="C131" s="12"/>
      <c r="L131" s="12"/>
      <c r="M131" s="31"/>
      <c r="N131" s="31"/>
      <c r="O131" s="31"/>
      <c r="P131" s="31"/>
      <c r="Q131" s="31"/>
    </row>
    <row r="132" spans="1:17">
      <c r="A132" s="31"/>
      <c r="B132" s="441"/>
      <c r="C132" s="12"/>
      <c r="L132" s="12"/>
      <c r="M132" s="31"/>
      <c r="N132" s="31"/>
      <c r="O132" s="31"/>
      <c r="P132" s="31"/>
      <c r="Q132" s="31"/>
    </row>
    <row r="133" spans="1:17">
      <c r="A133" s="31"/>
      <c r="B133" s="441"/>
      <c r="C133" s="12"/>
      <c r="L133" s="12"/>
      <c r="M133" s="31"/>
      <c r="N133" s="31"/>
      <c r="O133" s="31"/>
      <c r="P133" s="31"/>
      <c r="Q133" s="31"/>
    </row>
    <row r="134" spans="1:17">
      <c r="A134" s="31"/>
      <c r="B134" s="441"/>
      <c r="C134" s="12"/>
      <c r="L134" s="12"/>
      <c r="M134" s="31"/>
      <c r="N134" s="31"/>
      <c r="O134" s="31"/>
      <c r="P134" s="31"/>
      <c r="Q134" s="31"/>
    </row>
    <row r="135" spans="1:17">
      <c r="A135" s="31"/>
      <c r="B135" s="441"/>
      <c r="C135" s="12"/>
      <c r="L135" s="12"/>
      <c r="M135" s="31"/>
      <c r="N135" s="31"/>
      <c r="O135" s="31"/>
      <c r="P135" s="31"/>
      <c r="Q135" s="31"/>
    </row>
    <row r="136" spans="1:17">
      <c r="A136" s="31"/>
      <c r="B136" s="441"/>
      <c r="C136" s="12"/>
      <c r="L136" s="12"/>
      <c r="M136" s="31"/>
      <c r="N136" s="31"/>
      <c r="O136" s="31"/>
      <c r="P136" s="31"/>
      <c r="Q136" s="31"/>
    </row>
    <row r="137" spans="1:17">
      <c r="A137" s="31"/>
      <c r="B137" s="441"/>
      <c r="C137" s="12"/>
      <c r="L137" s="12"/>
      <c r="M137" s="31"/>
      <c r="N137" s="31"/>
      <c r="O137" s="31"/>
      <c r="P137" s="31"/>
      <c r="Q137" s="31"/>
    </row>
    <row r="138" spans="1:17">
      <c r="A138" s="31"/>
      <c r="B138" s="441"/>
      <c r="C138" s="12"/>
      <c r="L138" s="12"/>
      <c r="M138" s="31"/>
      <c r="N138" s="31"/>
      <c r="O138" s="31"/>
      <c r="P138" s="31"/>
      <c r="Q138" s="31"/>
    </row>
    <row r="139" spans="1:17">
      <c r="A139" s="31"/>
      <c r="B139" s="441"/>
      <c r="C139" s="12"/>
      <c r="L139" s="12"/>
      <c r="M139" s="31"/>
      <c r="N139" s="31"/>
      <c r="O139" s="31"/>
      <c r="P139" s="31"/>
      <c r="Q139" s="31"/>
    </row>
    <row r="140" spans="1:17">
      <c r="A140" s="31"/>
      <c r="B140" s="441"/>
      <c r="C140" s="12"/>
      <c r="L140" s="12"/>
      <c r="M140" s="31"/>
      <c r="N140" s="31"/>
      <c r="O140" s="31"/>
      <c r="P140" s="31"/>
      <c r="Q140" s="31"/>
    </row>
    <row r="141" spans="1:17">
      <c r="A141" s="31"/>
      <c r="B141" s="441"/>
      <c r="C141" s="12"/>
      <c r="L141" s="12"/>
      <c r="M141" s="31"/>
      <c r="N141" s="31"/>
      <c r="O141" s="31"/>
      <c r="P141" s="31"/>
      <c r="Q141" s="31"/>
    </row>
    <row r="142" spans="1:17">
      <c r="A142" s="31"/>
      <c r="B142" s="441"/>
      <c r="C142" s="12"/>
      <c r="L142" s="12"/>
    </row>
    <row r="143" spans="1:17">
      <c r="A143" s="31"/>
      <c r="B143" s="441"/>
      <c r="C143" s="12"/>
      <c r="L143" s="12"/>
    </row>
    <row r="144" spans="1:17">
      <c r="A144" s="31"/>
      <c r="B144" s="441"/>
      <c r="C144" s="12"/>
      <c r="L144" s="12"/>
    </row>
    <row r="145" spans="1:17">
      <c r="A145" s="31"/>
      <c r="B145" s="441"/>
      <c r="C145" s="12"/>
      <c r="L145" s="12"/>
      <c r="M145" s="31"/>
      <c r="N145" s="31"/>
      <c r="O145" s="31"/>
      <c r="P145" s="31"/>
      <c r="Q145" s="31"/>
    </row>
    <row r="146" spans="1:17">
      <c r="A146" s="31"/>
      <c r="B146" s="441"/>
      <c r="C146" s="12"/>
      <c r="L146" s="12"/>
      <c r="M146" s="31"/>
      <c r="N146" s="31" t="str">
        <f>'SD3'!C89</f>
        <v>(Datengrundlage MR 25/26)</v>
      </c>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D149" s="12"/>
      <c r="F149" s="12"/>
      <c r="G149" s="12"/>
      <c r="H149" s="12"/>
      <c r="I149" s="12"/>
      <c r="J149" s="12"/>
      <c r="M149" s="31"/>
      <c r="N149" s="31"/>
      <c r="O149" s="31"/>
      <c r="P149" s="31"/>
      <c r="Q149" s="31"/>
    </row>
    <row r="150" spans="1:17">
      <c r="A150" s="31"/>
      <c r="B150" s="441"/>
      <c r="C150" s="12"/>
      <c r="D150" s="12"/>
      <c r="F150" s="12"/>
      <c r="G150" s="12"/>
      <c r="H150" s="12"/>
      <c r="I150" s="12"/>
      <c r="J150" s="12"/>
      <c r="M150" s="31"/>
      <c r="N150" s="31"/>
      <c r="O150" s="31"/>
      <c r="P150" s="31"/>
      <c r="Q150" s="31"/>
    </row>
    <row r="151" spans="1:17">
      <c r="A151" s="31"/>
      <c r="B151" s="441"/>
      <c r="C151" s="12"/>
      <c r="D151" s="12"/>
      <c r="F151" s="12"/>
      <c r="G151" s="12"/>
      <c r="H151" s="12"/>
      <c r="I151" s="12"/>
      <c r="J151" s="12"/>
      <c r="M151" s="31"/>
      <c r="N151" s="31"/>
      <c r="O151" s="31"/>
      <c r="P151" s="31"/>
      <c r="Q151" s="31"/>
    </row>
    <row r="152" spans="1:17">
      <c r="A152" s="31"/>
      <c r="B152" s="441"/>
      <c r="C152" s="12"/>
      <c r="D152" s="12"/>
      <c r="F152" s="12"/>
      <c r="G152" s="12"/>
      <c r="H152" s="12"/>
      <c r="I152" s="12"/>
      <c r="J152" s="12"/>
      <c r="M152" s="31"/>
      <c r="N152" s="31"/>
      <c r="O152" s="31"/>
      <c r="P152" s="31"/>
      <c r="Q152" s="31"/>
    </row>
    <row r="153" spans="1:17">
      <c r="A153" s="31"/>
      <c r="B153" s="441"/>
      <c r="C153" s="12"/>
      <c r="D153" s="12"/>
      <c r="F153" s="12"/>
      <c r="G153" s="12"/>
      <c r="H153" s="12"/>
      <c r="I153" s="12"/>
      <c r="J153" s="12"/>
      <c r="M153" s="31"/>
      <c r="N153" s="31"/>
      <c r="O153" s="31"/>
      <c r="P153" s="31"/>
      <c r="Q153" s="31"/>
    </row>
    <row r="154" spans="1:17">
      <c r="A154" s="31"/>
      <c r="B154" s="441"/>
      <c r="C154" s="12"/>
      <c r="D154" s="12"/>
      <c r="F154" s="12"/>
      <c r="G154" s="12"/>
      <c r="H154" s="12"/>
      <c r="I154" s="12"/>
      <c r="J154" s="12"/>
      <c r="M154" s="31"/>
      <c r="N154" s="31"/>
      <c r="O154" s="31"/>
      <c r="P154" s="31"/>
      <c r="Q154" s="31"/>
    </row>
    <row r="155" spans="1:17">
      <c r="A155" s="31"/>
      <c r="B155" s="441"/>
      <c r="C155" s="12"/>
      <c r="D155" s="12"/>
      <c r="F155" s="12"/>
      <c r="G155" s="12"/>
      <c r="H155" s="12"/>
      <c r="I155" s="12"/>
      <c r="J155" s="12"/>
      <c r="M155" s="31"/>
      <c r="N155" s="31"/>
      <c r="O155" s="31"/>
      <c r="P155" s="31"/>
      <c r="Q155" s="31"/>
    </row>
    <row r="156" spans="1:17">
      <c r="A156" s="31"/>
      <c r="B156" s="441"/>
      <c r="C156" s="12"/>
      <c r="D156" s="12"/>
      <c r="F156" s="12"/>
      <c r="G156" s="12"/>
      <c r="H156" s="12"/>
      <c r="I156" s="12"/>
      <c r="J156" s="12"/>
      <c r="M156" s="31"/>
      <c r="N156" s="31"/>
      <c r="O156" s="31"/>
      <c r="P156" s="31"/>
      <c r="Q156" s="31"/>
    </row>
    <row r="157" spans="1:17">
      <c r="A157" s="31"/>
      <c r="B157" s="441"/>
      <c r="C157" s="12"/>
      <c r="D157" s="12"/>
      <c r="F157" s="12"/>
      <c r="G157" s="12"/>
      <c r="H157" s="12"/>
      <c r="I157" s="12"/>
      <c r="J157" s="12"/>
      <c r="M157" s="31"/>
      <c r="N157" s="31"/>
      <c r="O157" s="31"/>
      <c r="P157" s="31"/>
      <c r="Q157" s="31"/>
    </row>
    <row r="158" spans="1:17">
      <c r="A158" s="31"/>
      <c r="B158" s="441"/>
      <c r="C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topLeftCell="A7">
      <selection activeCell="E34" sqref="E34"/>
      <pageMargins left="0.59055118110236227" right="0.59055118110236227" top="0.59055118110236227" bottom="0.59055118110236227" header="0.39370078740157483" footer="0.39370078740157483"/>
      <printOptions horizontalCentered="1"/>
      <pageSetup paperSize="9" scale="65" firstPageNumber="16" orientation="portrait" r:id="rId1"/>
      <headerFooter alignWithMargins="0">
        <oddFooter>&amp;L&amp;11LEL Schwäbisch Gmünd&amp;C23&amp;R&amp;11&amp;F</oddFooter>
      </headerFooter>
    </customSheetView>
    <customSheetView guid="{5D5C9B61-9ABD-4513-AAEB-8333A9D6196C}" fitToPage="1" hiddenRows="1" hiddenColumns="1" topLeftCell="I28">
      <selection activeCell="AL26" sqref="AL26"/>
      <pageMargins left="0.59055118110236227" right="0.59055118110236227" top="0.59055118110236227" bottom="0.59055118110236227" header="0.39370078740157483" footer="0.39370078740157483"/>
      <printOptions horizontalCentered="1"/>
      <pageSetup paperSize="9" scale="65" firstPageNumber="16" orientation="portrait" r:id="rId2"/>
      <headerFooter alignWithMargins="0">
        <oddFooter>&amp;L&amp;11LEL Schwäbisch Gmünd&amp;C23&amp;R&amp;11&amp;F</oddFooter>
      </headerFooter>
    </customSheetView>
    <customSheetView guid="{22A73C4F-9004-4CEF-8499-B1F91BE1B569}" fitToPage="1" hiddenRows="1" hiddenColumns="1" topLeftCell="A7">
      <selection activeCell="E34" sqref="E34"/>
      <pageMargins left="0.59055118110236227" right="0.59055118110236227" top="0.59055118110236227" bottom="0.59055118110236227" header="0.39370078740157483" footer="0.39370078740157483"/>
      <printOptions horizontalCentered="1"/>
      <pageSetup paperSize="9" scale="65" firstPageNumber="16" orientation="portrait" r:id="rId3"/>
      <headerFooter alignWithMargins="0">
        <oddFooter>&amp;L&amp;11LEL Schwäbisch Gmünd&amp;C23&amp;R&amp;11&amp;F</oddFooter>
      </headerFooter>
    </customSheetView>
  </customSheetViews>
  <mergeCells count="50">
    <mergeCell ref="B3:H3"/>
    <mergeCell ref="E4:I4"/>
    <mergeCell ref="F23:G23"/>
    <mergeCell ref="C14:F14"/>
    <mergeCell ref="C15:F15"/>
    <mergeCell ref="C17:F17"/>
    <mergeCell ref="C19:F19"/>
    <mergeCell ref="C20:F20"/>
    <mergeCell ref="C21:F21"/>
    <mergeCell ref="C49:D49"/>
    <mergeCell ref="C55:D55"/>
    <mergeCell ref="C54:D54"/>
    <mergeCell ref="B75:C75"/>
    <mergeCell ref="C68:E68"/>
    <mergeCell ref="C56:D56"/>
    <mergeCell ref="C62:E62"/>
    <mergeCell ref="C64:E64"/>
    <mergeCell ref="C63:E63"/>
    <mergeCell ref="C74:E74"/>
    <mergeCell ref="C73:E73"/>
    <mergeCell ref="C52:D52"/>
    <mergeCell ref="C53:D53"/>
    <mergeCell ref="C57:D57"/>
    <mergeCell ref="C51:D51"/>
    <mergeCell ref="C50:D50"/>
    <mergeCell ref="K6:L6"/>
    <mergeCell ref="F34:G34"/>
    <mergeCell ref="D25:E25"/>
    <mergeCell ref="D26:E26"/>
    <mergeCell ref="C48:D48"/>
    <mergeCell ref="C39:E39"/>
    <mergeCell ref="C47:D47"/>
    <mergeCell ref="C40:E40"/>
    <mergeCell ref="C36:E36"/>
    <mergeCell ref="K1:L1"/>
    <mergeCell ref="N1:O1"/>
    <mergeCell ref="C42:E42"/>
    <mergeCell ref="C46:D46"/>
    <mergeCell ref="C16:F16"/>
    <mergeCell ref="H6:I6"/>
    <mergeCell ref="J3:L3"/>
    <mergeCell ref="N6:O6"/>
    <mergeCell ref="E22:G22"/>
    <mergeCell ref="K2:P2"/>
    <mergeCell ref="N3:O4"/>
    <mergeCell ref="C41:E41"/>
    <mergeCell ref="C37:E37"/>
    <mergeCell ref="C38:E38"/>
    <mergeCell ref="J4:L4"/>
    <mergeCell ref="E10:F10"/>
  </mergeCells>
  <dataValidations count="5">
    <dataValidation type="list" showInputMessage="1" showErrorMessage="1" sqref="H14 K14 N14" xr:uid="{00000000-0002-0000-1B00-000000000000}">
      <formula1>"ja,nein"</formula1>
    </dataValidation>
    <dataValidation type="list" allowBlank="1" showInputMessage="1" showErrorMessage="1" sqref="H15:H17 K15:K17 N15:N17" xr:uid="{00000000-0002-0000-1B00-000001000000}">
      <formula1>"ja,nein"</formula1>
    </dataValidation>
    <dataValidation type="whole" allowBlank="1" showInputMessage="1" showErrorMessage="1" errorTitle="Anteil Erntegut" error="Prozentwert darf nur zwischen 0 und 100 liegen." sqref="O68 L68 I68" xr:uid="{00000000-0002-0000-1B00-000002000000}">
      <formula1>0</formula1>
      <formula2>100</formula2>
    </dataValidation>
    <dataValidation type="list" allowBlank="1" showInputMessage="1" showErrorMessage="1" errorTitle="Organisationsabh. Ausgleichsl." error="Bitte aus Dropdownliste auswählen." sqref="D19:F19" xr:uid="{00000000-0002-0000-1B00-000003000000}">
      <formula1>$C$60:$C$75</formula1>
    </dataValidation>
    <dataValidation type="decimal" allowBlank="1" showInputMessage="1" showErrorMessage="1" errorTitle="Wassergehalt Getreide" error="Zulässig sind nur Werte zwischen 14,1 und 29,0 % Wassergehalt." sqref="H68 K68 N68" xr:uid="{00000000-0002-0000-1B00-000004000000}">
      <formula1>14.1</formula1>
      <formula2>29</formula2>
    </dataValidation>
  </dataValidations>
  <hyperlinks>
    <hyperlink ref="F9" location="'SDK1'!A1" display="Preis ändern" xr:uid="{00000000-0004-0000-1B00-000000000000}"/>
  </hyperlinks>
  <printOptions horizontalCentered="1"/>
  <pageMargins left="0.59055118110236227" right="0.59055118110236227" top="0.59055118110236227" bottom="0.59055118110236227" header="0.39370078740157483" footer="0.39370078740157483"/>
  <pageSetup paperSize="9" scale="65" firstPageNumber="16" orientation="portrait" r:id="rId4"/>
  <headerFooter alignWithMargins="0">
    <oddFooter>&amp;L&amp;11LEL Schwäbisch Gmünd&amp;C23&amp;R&amp;11&amp;F</oddFooter>
  </headerFooter>
  <ignoredErrors>
    <ignoredError sqref="Q39:Q42" evalError="1"/>
  </ignoredErrors>
  <drawing r:id="rId5"/>
  <legacyDrawing r:id="rId6"/>
  <mc:AlternateContent xmlns:mc="http://schemas.openxmlformats.org/markup-compatibility/2006">
    <mc:Choice Requires="x14">
      <controls>
        <mc:AlternateContent xmlns:mc="http://schemas.openxmlformats.org/markup-compatibility/2006">
          <mc:Choice Requires="x14">
            <control shapeId="17410" r:id="rId7" name="Check Box 2">
              <controlPr defaultSize="0" autoFill="0" autoLine="0" autoPict="0">
                <anchor moveWithCells="1">
                  <from>
                    <xdr:col>12</xdr:col>
                    <xdr:colOff>182880</xdr:colOff>
                    <xdr:row>2</xdr:row>
                    <xdr:rowOff>251460</xdr:rowOff>
                  </from>
                  <to>
                    <xdr:col>13</xdr:col>
                    <xdr:colOff>22860</xdr:colOff>
                    <xdr:row>3</xdr:row>
                    <xdr:rowOff>175260</xdr:rowOff>
                  </to>
                </anchor>
              </controlPr>
            </control>
          </mc:Choice>
        </mc:AlternateContent>
        <mc:AlternateContent xmlns:mc="http://schemas.openxmlformats.org/markup-compatibility/2006">
          <mc:Choice Requires="x14">
            <control shapeId="17411" r:id="rId8" name="Check Box 3">
              <controlPr defaultSize="0" autoFill="0" autoLine="0" autoPict="0">
                <anchor moveWithCells="1">
                  <from>
                    <xdr:col>12</xdr:col>
                    <xdr:colOff>175260</xdr:colOff>
                    <xdr:row>1</xdr:row>
                    <xdr:rowOff>259080</xdr:rowOff>
                  </from>
                  <to>
                    <xdr:col>13</xdr:col>
                    <xdr:colOff>7620</xdr:colOff>
                    <xdr:row>2</xdr:row>
                    <xdr:rowOff>297180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errorTitle="Verfahrensabh. Ausgleichsleist." error="Bitte aus Dropdownliste auswählen." xr:uid="{00000000-0002-0000-1B00-000005000000}">
          <x14:formula1>
            <xm:f>'SD2'!$C$11:$C$50</xm:f>
          </x14:formula1>
          <xm:sqref>C14:F17</xm:sqref>
        </x14:dataValidation>
        <x14:dataValidation type="list" allowBlank="1" showInputMessage="1" showErrorMessage="1" errorTitle="Organisationsabh. Ausgleichsl." error="Bitte aus Dropdownliste auswählen." xr:uid="{00000000-0002-0000-1B00-000006000000}">
          <x14:formula1>
            <xm:f>'SD2'!$C$60:$C$77</xm:f>
          </x14:formula1>
          <xm:sqref>C19:C21</xm:sqref>
        </x14:dataValidation>
        <x14:dataValidation type="list" allowBlank="1" showInputMessage="1" showErrorMessage="1" errorTitle="Arbeitsgänge" error="Bitte aus Dropdownliste auswählen." xr:uid="{00000000-0002-0000-1B00-000007000000}">
          <x14:formula1>
            <xm:f>'SD3'!$C$23:$C$75</xm:f>
          </x14:formula1>
          <xm:sqref>C46:D57</xm:sqref>
        </x14:dataValidation>
        <x14:dataValidation type="list" allowBlank="1" showInputMessage="1" showErrorMessage="1" errorTitle="Lohnmaschinen" error="Bitte aus Dropdownliste auswählen." xr:uid="{00000000-0002-0000-1B00-000008000000}">
          <x14:formula1>
            <xm:f>'SD3'!$C$90:$C$104</xm:f>
          </x14:formula1>
          <xm:sqref>C62:E64</xm:sqref>
        </x14:dataValidation>
        <x14:dataValidation type="list" allowBlank="1" showInputMessage="1" showErrorMessage="1" errorTitle="Pflanzenschutzmittel" error="Bitte aus Dropdownliste auswählen." xr:uid="{00000000-0002-0000-1B00-000009000000}">
          <x14:formula1>
            <xm:f>'SDK5'!$F$214:$F$251</xm:f>
          </x14:formula1>
          <xm:sqref>C36:E36</xm:sqref>
        </x14:dataValidation>
        <x14:dataValidation type="list" allowBlank="1" showInputMessage="1" showErrorMessage="1" errorTitle="Pflanzenschutzmittel" error="Bitte aus Dropdownliste auswählen." xr:uid="{00000000-0002-0000-1B00-00000A000000}">
          <x14:formula1>
            <xm:f>'SDK5'!$F$214:$F$256</xm:f>
          </x14:formula1>
          <xm:sqref>C37:E37</xm:sqref>
        </x14:dataValidation>
        <x14:dataValidation type="list" allowBlank="1" showInputMessage="1" showErrorMessage="1" errorTitle="Pflanzenschutzmittel" error="Bitte aus Dropdownliste auswählen." xr:uid="{00000000-0002-0000-1B00-00000B000000}">
          <x14:formula1>
            <xm:f>'SDK5'!$F$214:$F$250</xm:f>
          </x14:formula1>
          <xm:sqref>C38:E38 C39:E39 C40:E40 C41:E41 C42:E42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7">
    <tabColor rgb="FFFFFF00"/>
    <pageSetUpPr fitToPage="1"/>
  </sheetPr>
  <dimension ref="A1:AO218"/>
  <sheetViews>
    <sheetView workbookViewId="0">
      <selection activeCell="N51" sqref="N51"/>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8.5" style="34" hidden="1" customWidth="1"/>
    <col min="18" max="18" width="13.5" style="31" hidden="1" customWidth="1"/>
    <col min="19" max="19" width="19.59765625" style="31" hidden="1" customWidth="1"/>
    <col min="20" max="20" width="8" style="31" hidden="1" customWidth="1"/>
    <col min="21" max="21" width="10.5" style="31" hidden="1" customWidth="1"/>
    <col min="22" max="22" width="12.8984375" style="31" hidden="1" customWidth="1"/>
    <col min="23" max="23" width="46.5" style="31" hidden="1" customWidth="1"/>
    <col min="24" max="26" width="2.59765625" style="31" hidden="1" customWidth="1"/>
    <col min="27" max="29" width="10.5" style="31" hidden="1" customWidth="1"/>
    <col min="30" max="37" width="10.5" style="31" customWidth="1"/>
    <col min="38" max="16384" width="10.5" style="31"/>
  </cols>
  <sheetData>
    <row r="1" spans="1:41" s="1317" customFormat="1" ht="30.45" customHeight="1">
      <c r="A1" s="3740"/>
      <c r="B1" s="258"/>
      <c r="C1" s="1333"/>
      <c r="D1" s="1253"/>
      <c r="E1" s="255"/>
      <c r="F1" s="255"/>
      <c r="G1" s="430"/>
      <c r="H1" s="1328"/>
      <c r="I1" s="3212" t="s">
        <v>1679</v>
      </c>
      <c r="J1" s="3210">
        <f>(J7+J13+J18+J22)-(J23+J27+J34+J43+J60+J65+J67+J69+J71+J75)</f>
        <v>400.15002436300006</v>
      </c>
      <c r="K1" s="4360">
        <f>M1-J1</f>
        <v>276.58949564183331</v>
      </c>
      <c r="L1" s="4360"/>
      <c r="M1" s="3210">
        <f>(M7+M13+M18+M22)-(M23+M27+M34+M43+M60+M65+M67+M69+M71+M75)</f>
        <v>676.73952000483337</v>
      </c>
      <c r="N1" s="4360">
        <f>P1-M1</f>
        <v>290.62004772516684</v>
      </c>
      <c r="O1" s="4360"/>
      <c r="P1" s="3210">
        <f>(P7+P13+P18+P22)-(P23+P27+P34+P43+P60+P65+P67+P69+P71+P75)</f>
        <v>967.35956773000021</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95</v>
      </c>
      <c r="L2" s="4372"/>
      <c r="M2" s="4372"/>
      <c r="N2" s="4372"/>
      <c r="O2" s="4372"/>
      <c r="P2" s="4372"/>
      <c r="Q2" s="1345">
        <v>0</v>
      </c>
      <c r="AB2" s="3229"/>
    </row>
    <row r="3" spans="1:41" s="1317" customFormat="1" ht="32.4" customHeight="1">
      <c r="A3" s="1321"/>
      <c r="B3" s="4405" t="s">
        <v>1727</v>
      </c>
      <c r="C3" s="4405"/>
      <c r="D3" s="4405"/>
      <c r="E3" s="4405"/>
      <c r="F3" s="4405"/>
      <c r="G3" s="4405"/>
      <c r="H3" s="4405"/>
      <c r="J3" s="4368" t="s">
        <v>886</v>
      </c>
      <c r="K3" s="4369"/>
      <c r="L3" s="4369"/>
      <c r="M3" s="1327"/>
      <c r="N3" s="4373" t="str">
        <f>IF(AND(T3=TRUE,T4=TRUE),"nur 1 Strohnutzung möglich","")</f>
        <v/>
      </c>
      <c r="O3" s="4374"/>
      <c r="P3" s="1326"/>
      <c r="Q3" s="1321"/>
      <c r="T3" s="1343" t="b">
        <v>1</v>
      </c>
    </row>
    <row r="4" spans="1:41" s="1317" customFormat="1" ht="20.25" customHeight="1">
      <c r="A4" s="1321"/>
      <c r="B4" s="309" t="s">
        <v>779</v>
      </c>
      <c r="C4" s="31"/>
      <c r="D4" s="31"/>
      <c r="E4" s="4406" t="s">
        <v>890</v>
      </c>
      <c r="F4" s="4406"/>
      <c r="G4" s="4406"/>
      <c r="H4" s="4406"/>
      <c r="I4" s="4406"/>
      <c r="J4" s="4368" t="s">
        <v>875</v>
      </c>
      <c r="K4" s="4369"/>
      <c r="L4" s="4369"/>
      <c r="M4" s="1323"/>
      <c r="N4" s="4374"/>
      <c r="O4" s="4374"/>
      <c r="P4" s="1322">
        <f>'SDK1'!O3</f>
        <v>2024</v>
      </c>
      <c r="Q4" s="1321"/>
      <c r="T4" s="1343" t="b">
        <v>0</v>
      </c>
      <c r="U4" s="1318"/>
    </row>
    <row r="5" spans="1:41" ht="6" customHeight="1"/>
    <row r="6" spans="1:41" s="1311" customFormat="1" ht="24" customHeight="1">
      <c r="A6" s="41"/>
      <c r="B6" s="1316" t="s">
        <v>832</v>
      </c>
      <c r="C6" s="1315"/>
      <c r="D6" s="1315"/>
      <c r="E6" s="1315"/>
      <c r="F6" s="1315"/>
      <c r="G6" s="1314"/>
      <c r="H6" s="4366" t="s">
        <v>171</v>
      </c>
      <c r="I6" s="4367"/>
      <c r="J6" s="1313">
        <f>M6*0.75</f>
        <v>56.25</v>
      </c>
      <c r="K6" s="4379" t="s">
        <v>144</v>
      </c>
      <c r="L6" s="4380"/>
      <c r="M6" s="1313">
        <v>75</v>
      </c>
      <c r="N6" s="4366" t="s">
        <v>170</v>
      </c>
      <c r="O6" s="4367"/>
      <c r="P6" s="1312">
        <f>M6*1.25</f>
        <v>93.75</v>
      </c>
      <c r="Q6" s="49"/>
    </row>
    <row r="7" spans="1:41" s="196" customFormat="1" ht="18.75" customHeight="1">
      <c r="A7" s="40"/>
      <c r="B7" s="245" t="s">
        <v>883</v>
      </c>
      <c r="C7" s="40"/>
      <c r="D7" s="40"/>
      <c r="E7" s="40"/>
      <c r="F7" s="40"/>
      <c r="G7" s="1310"/>
      <c r="H7" s="1307"/>
      <c r="I7" s="1306"/>
      <c r="J7" s="1041">
        <f>SUM(I9:I12)</f>
        <v>1494</v>
      </c>
      <c r="K7" s="1309"/>
      <c r="L7" s="1308"/>
      <c r="M7" s="1044">
        <f>SUM(L9:L12)</f>
        <v>1992</v>
      </c>
      <c r="N7" s="1307"/>
      <c r="O7" s="1306"/>
      <c r="P7" s="1041">
        <f>SUM(O9:O12)</f>
        <v>2490</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'SDK1'!O17</f>
        <v>18</v>
      </c>
      <c r="H9" s="1303">
        <f>J6-H10</f>
        <v>56.25</v>
      </c>
      <c r="I9" s="1299">
        <f>H9*G9</f>
        <v>1012.5</v>
      </c>
      <c r="J9" s="37"/>
      <c r="K9" s="1302">
        <f>M6-K10</f>
        <v>75</v>
      </c>
      <c r="L9" s="1301">
        <f>K9*G9</f>
        <v>1350</v>
      </c>
      <c r="M9" s="1280"/>
      <c r="N9" s="1300">
        <f>P6-N10</f>
        <v>93.75</v>
      </c>
      <c r="O9" s="1299">
        <f>N9*G9</f>
        <v>1687.5</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481.49999999999994</v>
      </c>
      <c r="S10" s="1288">
        <f>L10+L11+L12</f>
        <v>642</v>
      </c>
      <c r="T10" s="1287">
        <f>O10+O11+O12</f>
        <v>802.5</v>
      </c>
      <c r="W10" s="196" t="s">
        <v>879</v>
      </c>
    </row>
    <row r="11" spans="1:41" s="1268" customFormat="1" ht="15" customHeight="1">
      <c r="A11" s="309"/>
      <c r="B11" s="217"/>
      <c r="C11" s="39" t="s">
        <v>878</v>
      </c>
      <c r="D11" s="309"/>
      <c r="E11" s="1286">
        <v>0.8</v>
      </c>
      <c r="F11" s="39" t="s">
        <v>877</v>
      </c>
      <c r="G11" s="3230">
        <f>'SDK1'!$O$48</f>
        <v>10.7</v>
      </c>
      <c r="H11" s="3151">
        <f>IF(OR($T$3,$T$4)=TRUE,J6*$E$11,0)</f>
        <v>45</v>
      </c>
      <c r="I11" s="3152">
        <f>H11*$G$11</f>
        <v>481.49999999999994</v>
      </c>
      <c r="J11" s="3153"/>
      <c r="K11" s="3154">
        <f>IF(OR($T$3,$T$4)=TRUE,M6*$E$11,0)</f>
        <v>60</v>
      </c>
      <c r="L11" s="3155">
        <f>K11*$G$11</f>
        <v>642</v>
      </c>
      <c r="M11" s="3156"/>
      <c r="N11" s="3157">
        <f>IF(OR($T$3,$T$4)=TRUE,P6*$E$11,0)</f>
        <v>75</v>
      </c>
      <c r="O11" s="3152">
        <f>N11*$G$11</f>
        <v>802.5</v>
      </c>
      <c r="P11" s="3158"/>
      <c r="Q11" s="34"/>
      <c r="W11" s="1268" t="s">
        <v>876</v>
      </c>
    </row>
    <row r="12" spans="1:41" s="1268" customFormat="1" ht="15" hidden="1" customHeight="1">
      <c r="A12" s="309"/>
      <c r="B12" s="185"/>
      <c r="C12" s="223" t="s">
        <v>1652</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250"/>
      <c r="I13" s="1249"/>
      <c r="J13" s="1041">
        <f>SUM(I14:I17)</f>
        <v>0</v>
      </c>
      <c r="K13" s="1252"/>
      <c r="L13" s="1251"/>
      <c r="M13" s="1044">
        <f>SUM(L14:L17)</f>
        <v>0</v>
      </c>
      <c r="N13" s="1250"/>
      <c r="O13" s="1249"/>
      <c r="P13" s="1041">
        <f>SUM(O14:O17)</f>
        <v>0</v>
      </c>
      <c r="Q13" s="34"/>
      <c r="R13" s="1253"/>
      <c r="W13" s="1266" t="s">
        <v>872</v>
      </c>
      <c r="X13" s="1264">
        <f>IF(OR(T3=TRUE,T4=TRUE),J6*$E$11,"0")</f>
        <v>45</v>
      </c>
      <c r="Y13" s="1265">
        <f>IF(OR(T3=TRUE,T4=TRUE),M6*$E$11,"0")</f>
        <v>60</v>
      </c>
      <c r="Z13" s="1264">
        <f>IF(OR(T3=TRUE,T4=TRUE),P6*$E$11,"0")</f>
        <v>75</v>
      </c>
    </row>
    <row r="14" spans="1:41" s="36" customFormat="1" ht="15" customHeight="1">
      <c r="A14" s="39"/>
      <c r="B14" s="1247"/>
      <c r="C14" s="4365"/>
      <c r="D14" s="4365"/>
      <c r="E14" s="4365"/>
      <c r="F14" s="4365"/>
      <c r="G14" s="1263"/>
      <c r="H14" s="1262" t="s">
        <v>919</v>
      </c>
      <c r="I14" s="2839">
        <f>IF(H14="ja",Q14,0)</f>
        <v>0</v>
      </c>
      <c r="J14" s="39"/>
      <c r="K14" s="1262" t="s">
        <v>919</v>
      </c>
      <c r="L14" s="1098">
        <f>IF(K14="ja",Q14,0)</f>
        <v>0</v>
      </c>
      <c r="M14" s="1016"/>
      <c r="N14" s="1262" t="s">
        <v>919</v>
      </c>
      <c r="O14" s="1243">
        <f>IF(N14="ja",Q14,0)</f>
        <v>0</v>
      </c>
      <c r="P14" s="1013"/>
      <c r="Q14" s="1261">
        <f>IF(C14=0,0,VLOOKUP(C14,'SD2'!$C$11:$O$50,'SD2'!$O$1,FALSE))</f>
        <v>0</v>
      </c>
      <c r="R14" s="1253"/>
      <c r="S14" s="196"/>
      <c r="T14" s="196"/>
      <c r="W14" s="36" t="s">
        <v>236</v>
      </c>
      <c r="X14" s="1260">
        <f>$X$13*F30</f>
        <v>17.999999999999996</v>
      </c>
      <c r="Y14" s="1260">
        <f>$Y$13*F30</f>
        <v>23.999999999999993</v>
      </c>
      <c r="Z14" s="1260">
        <f>$Z$13*F30</f>
        <v>29.999999999999993</v>
      </c>
    </row>
    <row r="15" spans="1:41" s="36" customFormat="1" ht="15" customHeight="1">
      <c r="A15" s="39"/>
      <c r="B15" s="1247"/>
      <c r="C15" s="4365"/>
      <c r="D15" s="4365"/>
      <c r="E15" s="4365"/>
      <c r="F15" s="4365"/>
      <c r="G15" s="1263"/>
      <c r="H15" s="1262" t="s">
        <v>919</v>
      </c>
      <c r="I15" s="1243">
        <f>IF(H15="ja",Q15,0)</f>
        <v>0</v>
      </c>
      <c r="J15" s="39"/>
      <c r="K15" s="1262" t="s">
        <v>919</v>
      </c>
      <c r="L15" s="1098">
        <f>IF(K15="ja",Q15,0)</f>
        <v>0</v>
      </c>
      <c r="M15" s="1016"/>
      <c r="N15" s="1262" t="s">
        <v>919</v>
      </c>
      <c r="O15" s="1243">
        <f>IF(N15="ja",Q15,0)</f>
        <v>0</v>
      </c>
      <c r="P15" s="1013"/>
      <c r="Q15" s="1261">
        <f>IF(C15=0,0,VLOOKUP(C15,'SD2'!$C$11:$O$50,'SD2'!$O$1,FALSE))</f>
        <v>0</v>
      </c>
      <c r="R15" s="1253"/>
      <c r="S15" s="196"/>
      <c r="T15" s="196"/>
      <c r="W15" s="36" t="s">
        <v>685</v>
      </c>
      <c r="X15" s="1260">
        <f>$X$13*F31</f>
        <v>10.799999999999999</v>
      </c>
      <c r="Y15" s="1260">
        <f>$Y$13*F31</f>
        <v>14.399999999999999</v>
      </c>
      <c r="Z15" s="1260">
        <f>$Z$13*F31</f>
        <v>18</v>
      </c>
    </row>
    <row r="16" spans="1:41" s="36" customFormat="1" ht="15" customHeight="1">
      <c r="A16" s="39"/>
      <c r="B16" s="1247"/>
      <c r="C16" s="4365"/>
      <c r="D16" s="4365"/>
      <c r="E16" s="4365"/>
      <c r="F16" s="4365"/>
      <c r="G16" s="1263"/>
      <c r="H16" s="1262" t="s">
        <v>871</v>
      </c>
      <c r="I16" s="1243">
        <f>IF(H16="ja",Q16,0)</f>
        <v>0</v>
      </c>
      <c r="J16" s="39"/>
      <c r="K16" s="1262" t="s">
        <v>871</v>
      </c>
      <c r="L16" s="1098">
        <f>IF(K16="ja",Q16,0)</f>
        <v>0</v>
      </c>
      <c r="M16" s="1016"/>
      <c r="N16" s="1262" t="s">
        <v>871</v>
      </c>
      <c r="O16" s="1243">
        <f>IF(N16="ja",Q16,0)</f>
        <v>0</v>
      </c>
      <c r="P16" s="1013"/>
      <c r="Q16" s="1261">
        <f>IF(C16=0,0,VLOOKUP(C16,'SD2'!$C$11:$O$50,'SD2'!$O$1,FALSE))</f>
        <v>0</v>
      </c>
      <c r="R16" s="1253"/>
      <c r="S16" s="196"/>
      <c r="T16" s="196"/>
      <c r="W16" s="36" t="s">
        <v>684</v>
      </c>
      <c r="X16" s="1260">
        <f>$X$13*F32</f>
        <v>50.400000000000006</v>
      </c>
      <c r="Y16" s="1260">
        <f>$Y$13*F32</f>
        <v>67.2</v>
      </c>
      <c r="Z16" s="1260">
        <f>$Z$13*F32</f>
        <v>84.000000000000014</v>
      </c>
    </row>
    <row r="17" spans="1:26" s="36" customFormat="1" ht="15" customHeight="1">
      <c r="A17" s="39"/>
      <c r="B17" s="1247"/>
      <c r="C17" s="4365"/>
      <c r="D17" s="4365"/>
      <c r="E17" s="4365"/>
      <c r="F17" s="4365"/>
      <c r="G17" s="1263"/>
      <c r="H17" s="1262" t="s">
        <v>871</v>
      </c>
      <c r="I17" s="1243">
        <f>IF(H17="ja",Q17,0)</f>
        <v>0</v>
      </c>
      <c r="J17" s="39"/>
      <c r="K17" s="1262" t="s">
        <v>871</v>
      </c>
      <c r="L17" s="1098">
        <f>IF(K17="ja",Q17,0)</f>
        <v>0</v>
      </c>
      <c r="M17" s="1016"/>
      <c r="N17" s="1262" t="s">
        <v>871</v>
      </c>
      <c r="O17" s="1243">
        <f>IF(N17="ja",Q17,0)</f>
        <v>0</v>
      </c>
      <c r="P17" s="1013"/>
      <c r="Q17" s="1261">
        <f>IF(C17=0,0,VLOOKUP(C17,'SD2'!$C$11:$O$50,'SD2'!$O$1,FALSE))</f>
        <v>0</v>
      </c>
      <c r="R17" s="1253"/>
      <c r="S17" s="196"/>
      <c r="T17" s="196"/>
      <c r="W17" s="36" t="s">
        <v>230</v>
      </c>
      <c r="X17" s="1260">
        <f>$X$13*F33</f>
        <v>7.1999999999999993</v>
      </c>
      <c r="Y17" s="1260">
        <f>$Y$13*F33</f>
        <v>9.5999999999999979</v>
      </c>
      <c r="Z17" s="1260">
        <f>$Z$13*F33</f>
        <v>11.999999999999998</v>
      </c>
    </row>
    <row r="18" spans="1:26" s="511" customFormat="1" ht="18.75" customHeight="1">
      <c r="A18" s="40"/>
      <c r="B18" s="209" t="s">
        <v>1563</v>
      </c>
      <c r="C18" s="1672"/>
      <c r="D18" s="1672"/>
      <c r="E18" s="1672"/>
      <c r="F18" s="1672"/>
      <c r="G18" s="2240"/>
      <c r="H18" s="1351"/>
      <c r="I18" s="3468"/>
      <c r="J18" s="1041">
        <f>SUM(I19:I21)</f>
        <v>177</v>
      </c>
      <c r="K18" s="1352"/>
      <c r="L18" s="2242"/>
      <c r="M18" s="1044">
        <f>SUM(L19:L21)</f>
        <v>177</v>
      </c>
      <c r="N18" s="1351"/>
      <c r="O18" s="3468"/>
      <c r="P18" s="111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2829">
        <f>IF(OR($C19=0,$M$6=0),0,VLOOKUP($C19,'SD2'!$C$60:$N$77,12,FALSE))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IF(OR($C20=0,$M$6=0),0,VLOOKUP($C20,'SD2'!$C$60:$N$77,12,FALSE))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IF(OR($C21=0,$M$6=0),0,VLOOKUP($C21,'SD2'!$C$60:$N$77,12,FALSE))</f>
        <v>0</v>
      </c>
      <c r="M21" s="2795"/>
      <c r="N21" s="1244"/>
      <c r="O21" s="2827">
        <f>IF(OR($C21=0,$P$6=0),0,VLOOKUP($C21,'SD2'!C62:O79,12,FALSE))</f>
        <v>0</v>
      </c>
      <c r="P21" s="2826"/>
      <c r="Q21" s="34"/>
      <c r="R21" s="2888"/>
      <c r="S21" s="2888"/>
      <c r="T21" s="2888"/>
    </row>
    <row r="22" spans="1:26" ht="15.6" customHeight="1">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128</v>
      </c>
      <c r="K23" s="1046"/>
      <c r="L23" s="1045"/>
      <c r="M23" s="1227">
        <f>SUM(L25:L26)</f>
        <v>128</v>
      </c>
      <c r="N23" s="1043"/>
      <c r="O23" s="1042"/>
      <c r="P23" s="1026">
        <f>SUM(O25:O26)</f>
        <v>128</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'SDK7'!F46/100</f>
        <v>0.8</v>
      </c>
      <c r="G25" s="1221">
        <f>F25*(100+$D$24)/100</f>
        <v>0.8</v>
      </c>
      <c r="H25" s="1220">
        <v>160</v>
      </c>
      <c r="I25" s="1181">
        <f>H25*$G25</f>
        <v>128</v>
      </c>
      <c r="J25" s="39"/>
      <c r="K25" s="1220">
        <f>H25</f>
        <v>160</v>
      </c>
      <c r="L25" s="1023">
        <f>K25*$G25</f>
        <v>128</v>
      </c>
      <c r="M25" s="1016"/>
      <c r="N25" s="1220">
        <f>H25</f>
        <v>160</v>
      </c>
      <c r="O25" s="1181">
        <f>N25*$G25</f>
        <v>128</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336.72662500000001</v>
      </c>
      <c r="K27" s="1175"/>
      <c r="L27" s="1174"/>
      <c r="M27" s="1044">
        <f>SUM(L30:L32)</f>
        <v>441.03549999999996</v>
      </c>
      <c r="N27" s="1173"/>
      <c r="O27" s="1172"/>
      <c r="P27" s="1041">
        <f>SUM(O30:O32)</f>
        <v>545.3443749999999</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2.11</v>
      </c>
      <c r="F30" s="1201">
        <f>VLOOKUP(K2,'SD8'!B9:L42,7,FALSE)</f>
        <v>0.39999999999999991</v>
      </c>
      <c r="G30" s="1200">
        <v>20</v>
      </c>
      <c r="H30" s="1198">
        <f>IF(J$6=0,0,(J$6*$E30+$G30+X14))</f>
        <v>156.6875</v>
      </c>
      <c r="I30" s="1181">
        <f>H30*$D30</f>
        <v>186.458125</v>
      </c>
      <c r="J30" s="39"/>
      <c r="K30" s="1199">
        <f>IF(M$6=0,0,(M$6*$E30+$G30+Y14))</f>
        <v>202.25</v>
      </c>
      <c r="L30" s="1023">
        <f>K30*$D30</f>
        <v>240.67749999999998</v>
      </c>
      <c r="M30" s="1016"/>
      <c r="N30" s="1198">
        <f>IF(P$6=0,0,(P$6*$E30+$G30+Z14))</f>
        <v>247.8125</v>
      </c>
      <c r="O30" s="1181">
        <f>N30*$D30</f>
        <v>294.89687499999997</v>
      </c>
      <c r="P30" s="1145"/>
      <c r="Q30" s="34"/>
    </row>
    <row r="31" spans="1:26" s="36" customFormat="1" ht="15" customHeight="1">
      <c r="A31" s="746"/>
      <c r="B31" s="217"/>
      <c r="C31" s="746" t="s">
        <v>234</v>
      </c>
      <c r="D31" s="1150">
        <f>'SDK1'!O53</f>
        <v>1.2</v>
      </c>
      <c r="E31" s="1201">
        <f>VLOOKUP(K2,'SD8'!B9:L42,4,FALSE)</f>
        <v>0.8</v>
      </c>
      <c r="F31" s="1201">
        <f>VLOOKUP(K2,'SD8'!B9:L42,8,FALSE)</f>
        <v>0.24</v>
      </c>
      <c r="G31" s="1200"/>
      <c r="H31" s="1198">
        <f>IF(J$6=0,0,(J$6*$E31+$G31+X15))</f>
        <v>55.8</v>
      </c>
      <c r="I31" s="1181">
        <f>H31*$D31</f>
        <v>66.959999999999994</v>
      </c>
      <c r="J31" s="39"/>
      <c r="K31" s="1199">
        <f>IF(M$6=0,0,(M$6*$E31+$G31+Y15))</f>
        <v>74.400000000000006</v>
      </c>
      <c r="L31" s="1023">
        <f>K31*$D31</f>
        <v>89.28</v>
      </c>
      <c r="M31" s="1016"/>
      <c r="N31" s="1198">
        <f>IF(P$6=0,0,(P$6*$E31+$G31+Z15))</f>
        <v>93</v>
      </c>
      <c r="O31" s="1181">
        <f>N31*$D31</f>
        <v>111.6</v>
      </c>
      <c r="P31" s="1145"/>
      <c r="Q31" s="34"/>
    </row>
    <row r="32" spans="1:26" s="36" customFormat="1" ht="15" customHeight="1">
      <c r="A32" s="746"/>
      <c r="B32" s="185"/>
      <c r="C32" s="2791" t="s">
        <v>232</v>
      </c>
      <c r="D32" s="1133">
        <f>'SDK1'!O54</f>
        <v>0.99</v>
      </c>
      <c r="E32" s="1197">
        <f>VLOOKUP(K2,'SD8'!B9:L42,5,FALSE)</f>
        <v>0.6</v>
      </c>
      <c r="F32" s="1197">
        <f>VLOOKUP(K2,'SD8'!B9:L42,9,FALSE)</f>
        <v>1.1200000000000001</v>
      </c>
      <c r="G32" s="1196"/>
      <c r="H32" s="1194">
        <f>IF(J$6=0,0,(J$6*$E32+$G32+X16))</f>
        <v>84.15</v>
      </c>
      <c r="I32" s="1177">
        <f>H32*$D32</f>
        <v>83.308500000000009</v>
      </c>
      <c r="J32" s="223"/>
      <c r="K32" s="1195">
        <f>IF(M$6=0,0,(M$6*$E32+$G32+Y16))</f>
        <v>112.2</v>
      </c>
      <c r="L32" s="1017">
        <f>K32*$D32</f>
        <v>111.078</v>
      </c>
      <c r="M32" s="1256"/>
      <c r="N32" s="1194">
        <f>IF(P$6=0,0,(P$6*$E32+$G32+Z16))</f>
        <v>140.25</v>
      </c>
      <c r="O32" s="1177">
        <f>N32*$D32</f>
        <v>138.8475</v>
      </c>
      <c r="P32" s="1176"/>
      <c r="Q32" s="34"/>
    </row>
    <row r="33" spans="1:17" s="36" customFormat="1" ht="15" hidden="1" customHeight="1">
      <c r="A33" s="746"/>
      <c r="B33" s="185"/>
      <c r="C33" s="771" t="s">
        <v>230</v>
      </c>
      <c r="D33" s="1133">
        <f>'SDK1'!P55</f>
        <v>0.45</v>
      </c>
      <c r="E33" s="1197">
        <f>VLOOKUP(K2,'SD8'!B9:L42,6,FALSE)</f>
        <v>0.2</v>
      </c>
      <c r="F33" s="1197">
        <f>VLOOKUP(K2,'SD8'!B9:L42,10,FALSE)</f>
        <v>0.15999999999999998</v>
      </c>
      <c r="G33" s="1196"/>
      <c r="H33" s="1194">
        <f>IF(J$6=0,0,(J$6*$E33+$G33+X17))</f>
        <v>18.45</v>
      </c>
      <c r="I33" s="1177">
        <f>H33*$D33</f>
        <v>8.3025000000000002</v>
      </c>
      <c r="J33" s="39"/>
      <c r="K33" s="1195">
        <f>IF(M$6=0,0,(M$6*$E33+$G33+Y17))</f>
        <v>24.599999999999998</v>
      </c>
      <c r="L33" s="1017">
        <f>K33*$D33</f>
        <v>11.069999999999999</v>
      </c>
      <c r="M33" s="1016"/>
      <c r="N33" s="1194">
        <f>IF(P$6=0,0,(P$6*$E33+$G33+Z17))</f>
        <v>30.75</v>
      </c>
      <c r="O33" s="1177">
        <f>N33*$D33</f>
        <v>13.8375</v>
      </c>
      <c r="P33" s="1176"/>
      <c r="Q33" s="34"/>
    </row>
    <row r="34" spans="1:17" s="511" customFormat="1" ht="18.75" customHeight="1">
      <c r="A34" s="711"/>
      <c r="B34" s="716" t="s">
        <v>859</v>
      </c>
      <c r="C34" s="711"/>
      <c r="D34" s="33"/>
      <c r="E34" s="33"/>
      <c r="F34" s="4381" t="s">
        <v>858</v>
      </c>
      <c r="G34" s="4382"/>
      <c r="H34" s="1191"/>
      <c r="I34" s="1190"/>
      <c r="J34" s="1041">
        <f>SUM(I36:I42)</f>
        <v>203.72000000000003</v>
      </c>
      <c r="K34" s="1193"/>
      <c r="L34" s="1192"/>
      <c r="M34" s="1044">
        <f>SUM(L36:L42)</f>
        <v>203.72000000000003</v>
      </c>
      <c r="N34" s="1191"/>
      <c r="O34" s="1190"/>
      <c r="P34" s="1041">
        <f>SUM(O36:O42)</f>
        <v>207.57</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534</v>
      </c>
      <c r="D36" s="4389"/>
      <c r="E36" s="4390"/>
      <c r="F36" s="1183">
        <f>IF(C36="",0,VLOOKUP(C36,'SDK5'!C3:AF83,2,FALSE))</f>
        <v>306</v>
      </c>
      <c r="G36" s="1183">
        <f t="shared" ref="G36:G42" si="0">F36*(100+$D$35)/100</f>
        <v>306</v>
      </c>
      <c r="H36" s="1182">
        <v>0.22</v>
      </c>
      <c r="I36" s="1181">
        <f t="shared" ref="I36:I42" si="1">$G36*H36</f>
        <v>67.320000000000007</v>
      </c>
      <c r="J36" s="39"/>
      <c r="K36" s="1182">
        <v>0.22</v>
      </c>
      <c r="L36" s="1023">
        <f t="shared" ref="L36:L42" si="2">$G36*K36</f>
        <v>67.320000000000007</v>
      </c>
      <c r="M36" s="1016"/>
      <c r="N36" s="1182">
        <v>0.22</v>
      </c>
      <c r="O36" s="1181">
        <f t="shared" ref="O36:O42" si="3">$G36*N36</f>
        <v>67.320000000000007</v>
      </c>
      <c r="P36" s="1185"/>
      <c r="Q36" s="34" t="str">
        <f>VLOOKUP(C36,'SDK5'!$C$5:$AF$85,3,FALSE)</f>
        <v>H</v>
      </c>
    </row>
    <row r="37" spans="1:17" s="36" customFormat="1" ht="15" customHeight="1">
      <c r="A37" s="746"/>
      <c r="B37" s="1021"/>
      <c r="C37" s="4375" t="s">
        <v>528</v>
      </c>
      <c r="D37" s="4375"/>
      <c r="E37" s="4376"/>
      <c r="F37" s="1183">
        <f>IF(C37="",0,VLOOKUP(C37,'SDK5'!C4:AF84,2,FALSE))</f>
        <v>5.5</v>
      </c>
      <c r="G37" s="1183">
        <f t="shared" si="0"/>
        <v>5.5</v>
      </c>
      <c r="H37" s="1182"/>
      <c r="I37" s="1181">
        <f t="shared" si="1"/>
        <v>0</v>
      </c>
      <c r="J37" s="39"/>
      <c r="K37" s="1182"/>
      <c r="L37" s="1023">
        <f t="shared" si="2"/>
        <v>0</v>
      </c>
      <c r="M37" s="1016"/>
      <c r="N37" s="1182">
        <v>0.7</v>
      </c>
      <c r="O37" s="1181">
        <f t="shared" si="3"/>
        <v>3.8499999999999996</v>
      </c>
      <c r="P37" s="1145"/>
      <c r="Q37" s="34" t="str">
        <f>VLOOKUP(C37,'SDK5'!$C$5:$AF$85,3,FALSE)</f>
        <v>W</v>
      </c>
    </row>
    <row r="38" spans="1:17" s="36" customFormat="1" ht="15" customHeight="1">
      <c r="A38" s="746"/>
      <c r="B38" s="1184"/>
      <c r="C38" s="4375" t="s">
        <v>1475</v>
      </c>
      <c r="D38" s="4375"/>
      <c r="E38" s="4376"/>
      <c r="F38" s="1183">
        <f>IF(C38="",0,VLOOKUP(C38,'SDK5'!C5:AF85,2,FALSE))</f>
        <v>74.900000000000006</v>
      </c>
      <c r="G38" s="1183">
        <f t="shared" si="0"/>
        <v>74.900000000000006</v>
      </c>
      <c r="H38" s="1182">
        <v>1</v>
      </c>
      <c r="I38" s="1181">
        <f t="shared" si="1"/>
        <v>74.900000000000006</v>
      </c>
      <c r="J38" s="39"/>
      <c r="K38" s="1182">
        <v>1</v>
      </c>
      <c r="L38" s="1023">
        <f t="shared" si="2"/>
        <v>74.900000000000006</v>
      </c>
      <c r="M38" s="1016"/>
      <c r="N38" s="1182">
        <v>1</v>
      </c>
      <c r="O38" s="1181">
        <f t="shared" si="3"/>
        <v>74.900000000000006</v>
      </c>
      <c r="P38" s="1145"/>
      <c r="Q38" s="34" t="str">
        <f>VLOOKUP(C38,'SDK5'!$C$5:$AF$85,3,FALSE)</f>
        <v>F</v>
      </c>
    </row>
    <row r="39" spans="1:17" s="36" customFormat="1" ht="15" customHeight="1">
      <c r="A39" s="746"/>
      <c r="B39" s="1021"/>
      <c r="C39" s="4375" t="s">
        <v>497</v>
      </c>
      <c r="D39" s="4375"/>
      <c r="E39" s="4376"/>
      <c r="F39" s="1183">
        <f>IF(C39="",0,VLOOKUP(C39,'SDK5'!C6:AF86,2,FALSE))</f>
        <v>61.5</v>
      </c>
      <c r="G39" s="1183">
        <f t="shared" si="0"/>
        <v>61.5</v>
      </c>
      <c r="H39" s="1182">
        <v>1</v>
      </c>
      <c r="I39" s="1181">
        <f t="shared" si="1"/>
        <v>61.5</v>
      </c>
      <c r="J39" s="39"/>
      <c r="K39" s="1182">
        <v>1</v>
      </c>
      <c r="L39" s="1023">
        <f t="shared" si="2"/>
        <v>61.5</v>
      </c>
      <c r="M39" s="1016"/>
      <c r="N39" s="1182">
        <v>1</v>
      </c>
      <c r="O39" s="1181">
        <f t="shared" si="3"/>
        <v>61.5</v>
      </c>
      <c r="P39" s="1145"/>
      <c r="Q39" s="34" t="str">
        <f>VLOOKUP(C39,'SDK5'!$C$5:$AF$85,3,FALSE)</f>
        <v>F</v>
      </c>
    </row>
    <row r="40" spans="1:17" s="36" customFormat="1" ht="15" customHeight="1">
      <c r="A40" s="746"/>
      <c r="B40" s="1021"/>
      <c r="C40" s="4375"/>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182.89062459999997</v>
      </c>
      <c r="K43" s="1175"/>
      <c r="L43" s="1174"/>
      <c r="M43" s="1044">
        <f>SUM(M46:M57)</f>
        <v>197.36154529999996</v>
      </c>
      <c r="N43" s="1173"/>
      <c r="O43" s="1172"/>
      <c r="P43" s="1041">
        <f>SUM(P46:P57)</f>
        <v>211.83246599999998</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55">
        <v>1</v>
      </c>
      <c r="I46" s="1154">
        <f t="shared" ref="I46:I57" si="4">$F46*H46</f>
        <v>1.38</v>
      </c>
      <c r="J46" s="1145">
        <f t="shared" ref="J46:J57" si="5">H46*$G46</f>
        <v>64.642445999999993</v>
      </c>
      <c r="K46" s="1155">
        <v>1</v>
      </c>
      <c r="L46" s="1156">
        <f t="shared" ref="L46:L57" si="6">$F46*K46</f>
        <v>1.38</v>
      </c>
      <c r="M46" s="1148">
        <f t="shared" ref="M46:M57" si="7">K46*$G46</f>
        <v>64.642445999999993</v>
      </c>
      <c r="N46" s="1155">
        <v>1</v>
      </c>
      <c r="O46" s="1154">
        <f t="shared" ref="O46:O57" si="8">$F46*N46</f>
        <v>1.38</v>
      </c>
      <c r="P46" s="1145">
        <f t="shared" ref="P46:P57" si="9">N46*$G46</f>
        <v>64.642445999999993</v>
      </c>
      <c r="Q46" s="34">
        <f t="shared" ref="Q46:Q57" si="10">$Q$2*H46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f t="shared" si="10"/>
        <v>0</v>
      </c>
    </row>
    <row r="48" spans="1:17" s="36" customFormat="1" ht="15" customHeight="1">
      <c r="A48" s="746"/>
      <c r="B48" s="1153"/>
      <c r="C48" s="4387" t="s">
        <v>346</v>
      </c>
      <c r="D48" s="4388"/>
      <c r="E48" s="1152">
        <f>IF($C48=0,0,VLOOKUP($C48,'SD3'!$C$24:$O$85,4,FALSE))</f>
        <v>83</v>
      </c>
      <c r="F48" s="1151">
        <f>IF($C48=0,0,VLOOKUP($C48,'SD3'!$C$24:$O$85,12,FALSE))</f>
        <v>0.16</v>
      </c>
      <c r="G48" s="1150">
        <f>IF($C48=0,0,VLOOKUP($C48,'SD3'!$C$24:$O$85,13,FALSE))</f>
        <v>3.7403892799999996</v>
      </c>
      <c r="H48" s="1147">
        <v>2</v>
      </c>
      <c r="I48" s="1146">
        <f t="shared" si="4"/>
        <v>0.32</v>
      </c>
      <c r="J48" s="1145">
        <f t="shared" si="5"/>
        <v>7.4807785599999992</v>
      </c>
      <c r="K48" s="1147">
        <v>3</v>
      </c>
      <c r="L48" s="1149">
        <f t="shared" si="6"/>
        <v>0.48</v>
      </c>
      <c r="M48" s="1148">
        <f t="shared" si="7"/>
        <v>11.22116784</v>
      </c>
      <c r="N48" s="1147">
        <v>4</v>
      </c>
      <c r="O48" s="1146">
        <f t="shared" si="8"/>
        <v>0.64</v>
      </c>
      <c r="P48" s="1145">
        <f t="shared" si="9"/>
        <v>14.961557119999998</v>
      </c>
      <c r="Q48" s="34">
        <f t="shared" si="10"/>
        <v>0</v>
      </c>
    </row>
    <row r="49" spans="1:17" s="36" customFormat="1" ht="15" customHeight="1">
      <c r="A49" s="746"/>
      <c r="B49" s="1153"/>
      <c r="C49" s="4387" t="s">
        <v>1591</v>
      </c>
      <c r="D49" s="4388"/>
      <c r="E49" s="1152">
        <f>IF($C49=0,0,VLOOKUP($C49,'SD3'!$C$24:$O$85,4,FALSE))</f>
        <v>83</v>
      </c>
      <c r="F49" s="1151">
        <f>IF($C49=0,0,VLOOKUP($C49,'SD3'!$C$24:$O$85,12,FALSE))</f>
        <v>0.22</v>
      </c>
      <c r="G49" s="1150">
        <f>IF($C49=0,0,VLOOKUP($C49,'SD3'!$C$24:$O$85,13,FALSE))</f>
        <v>6.6430352599999996</v>
      </c>
      <c r="H49" s="1147">
        <v>3</v>
      </c>
      <c r="I49" s="1146">
        <f t="shared" si="4"/>
        <v>0.66</v>
      </c>
      <c r="J49" s="1145">
        <f>H49*$G49</f>
        <v>19.92910578</v>
      </c>
      <c r="K49" s="1147">
        <v>3</v>
      </c>
      <c r="L49" s="1149">
        <f t="shared" si="6"/>
        <v>0.66</v>
      </c>
      <c r="M49" s="1148">
        <f t="shared" si="7"/>
        <v>19.92910578</v>
      </c>
      <c r="N49" s="1147">
        <v>3</v>
      </c>
      <c r="O49" s="1146">
        <f t="shared" si="8"/>
        <v>0.66</v>
      </c>
      <c r="P49" s="1145">
        <f t="shared" si="9"/>
        <v>19.92910578</v>
      </c>
      <c r="Q49" s="34">
        <f t="shared" si="10"/>
        <v>0</v>
      </c>
    </row>
    <row r="50" spans="1:17" s="36" customFormat="1" ht="15" customHeight="1">
      <c r="A50" s="746"/>
      <c r="B50" s="1153"/>
      <c r="C50" s="4403" t="s">
        <v>1748</v>
      </c>
      <c r="D50" s="4404"/>
      <c r="E50" s="1152">
        <f>IF($C50=0,0,VLOOKUP($C50,'SD3'!$C$24:$O$85,4,FALSE))</f>
        <v>120</v>
      </c>
      <c r="F50" s="1151">
        <f>IF($C50=0,0,VLOOKUP($C50,'SD3'!$C$24:$O$85,12,FALSE))</f>
        <v>0.37</v>
      </c>
      <c r="G50" s="1150">
        <f>IF($C50=0,0,VLOOKUP($C50,'SD3'!$C$24:$O$85,13,FALSE))</f>
        <v>11.7573302</v>
      </c>
      <c r="H50" s="3654">
        <f>J6/75</f>
        <v>0.75</v>
      </c>
      <c r="I50" s="1146">
        <f t="shared" si="4"/>
        <v>0.27749999999999997</v>
      </c>
      <c r="J50" s="1145">
        <f t="shared" si="5"/>
        <v>8.8179976500000006</v>
      </c>
      <c r="K50" s="3654">
        <f>M6/75</f>
        <v>1</v>
      </c>
      <c r="L50" s="1149">
        <f t="shared" si="6"/>
        <v>0.37</v>
      </c>
      <c r="M50" s="1148">
        <f t="shared" si="7"/>
        <v>11.7573302</v>
      </c>
      <c r="N50" s="3654">
        <f>P6/75</f>
        <v>1.25</v>
      </c>
      <c r="O50" s="1146">
        <f t="shared" si="8"/>
        <v>0.46250000000000002</v>
      </c>
      <c r="P50" s="1145">
        <f t="shared" si="9"/>
        <v>14.69666275</v>
      </c>
      <c r="Q50" s="34">
        <f t="shared" si="10"/>
        <v>0</v>
      </c>
    </row>
    <row r="51" spans="1:17" s="36" customFormat="1" ht="15" customHeight="1">
      <c r="A51" s="746"/>
      <c r="B51" s="1153"/>
      <c r="C51" s="4387" t="s">
        <v>360</v>
      </c>
      <c r="D51" s="4388"/>
      <c r="E51" s="1152">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f t="shared" si="10"/>
        <v>0</v>
      </c>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f t="shared" si="10"/>
        <v>0</v>
      </c>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f t="shared" si="10"/>
        <v>0</v>
      </c>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f t="shared" si="10"/>
        <v>0</v>
      </c>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f t="shared" si="10"/>
        <v>0</v>
      </c>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f t="shared" si="10"/>
        <v>0</v>
      </c>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IF($T$4=TRUE,0,H11/50)</f>
        <v>0.9</v>
      </c>
      <c r="I57" s="1130">
        <f t="shared" si="4"/>
        <v>1.1700000000000002</v>
      </c>
      <c r="J57" s="1129">
        <f t="shared" si="5"/>
        <v>23.373596609999996</v>
      </c>
      <c r="K57" s="1131">
        <f>IF($T$4=TRUE,0,K11/50)</f>
        <v>1.2</v>
      </c>
      <c r="L57" s="1132">
        <f t="shared" si="6"/>
        <v>1.56</v>
      </c>
      <c r="M57" s="1079">
        <f t="shared" si="7"/>
        <v>31.164795479999992</v>
      </c>
      <c r="N57" s="1131">
        <f>IF($T$4=TRUE,0,N11/50)</f>
        <v>1.5</v>
      </c>
      <c r="O57" s="1130">
        <f t="shared" si="8"/>
        <v>1.9500000000000002</v>
      </c>
      <c r="P57" s="1129">
        <f t="shared" si="9"/>
        <v>38.95599434999999</v>
      </c>
      <c r="Q57" s="34">
        <f t="shared" si="10"/>
        <v>0</v>
      </c>
    </row>
    <row r="58" spans="1:17" s="46" customFormat="1" ht="18.75" customHeight="1">
      <c r="A58" s="811"/>
      <c r="B58" s="716" t="s">
        <v>848</v>
      </c>
      <c r="C58" s="811"/>
      <c r="D58" s="811"/>
      <c r="E58" s="811"/>
      <c r="F58" s="34"/>
      <c r="G58" s="1047"/>
      <c r="H58" s="1124"/>
      <c r="I58" s="1123">
        <f>SUM($I$46:$I$57)</f>
        <v>5.3074999999999992</v>
      </c>
      <c r="J58" s="1128"/>
      <c r="K58" s="1127"/>
      <c r="L58" s="1126">
        <f>SUM($L$46:$L$57)</f>
        <v>5.9500000000000011</v>
      </c>
      <c r="M58" s="1125"/>
      <c r="N58" s="1124"/>
      <c r="O58" s="1123">
        <f>SUM($O$46:$O$57)</f>
        <v>6.5925000000000002</v>
      </c>
      <c r="P58" s="1122"/>
      <c r="Q58" s="34"/>
    </row>
    <row r="59" spans="1:17" s="46" customFormat="1" ht="15" customHeight="1">
      <c r="A59" s="811"/>
      <c r="B59" s="1121"/>
      <c r="C59" s="285"/>
      <c r="D59" s="222" t="s">
        <v>847</v>
      </c>
      <c r="E59" s="1120">
        <v>80</v>
      </c>
      <c r="F59" s="285" t="s">
        <v>846</v>
      </c>
      <c r="G59" s="1119"/>
      <c r="H59" s="1115"/>
      <c r="I59" s="1114">
        <f>IF(I58+SUM($I$46:$I$57)*$E$59%&gt;I58+10,I58+10,I58+SUM($I$46:$I$57)*$E$59%)</f>
        <v>9.5534999999999997</v>
      </c>
      <c r="J59" s="1113"/>
      <c r="K59" s="1118"/>
      <c r="L59" s="1117">
        <f>IF(L58+SUM($L$46:$L$57)*$E$59%&gt;L58+10,L58+10,L58+SUM($L$46:$L$57)*$E$59%)</f>
        <v>10.71</v>
      </c>
      <c r="M59" s="1116"/>
      <c r="N59" s="1115"/>
      <c r="O59" s="1114">
        <f>IF(O58+SUM($O$46:$O$57)*$E$59%&gt;O58+10,O58+10,O58+SUM($O$46:$O$57)*$E$59%)</f>
        <v>11.866500000000002</v>
      </c>
      <c r="P59" s="1113"/>
      <c r="Q59" s="34"/>
    </row>
    <row r="60" spans="1:17" s="36" customFormat="1" ht="18.75" customHeight="1">
      <c r="A60" s="746"/>
      <c r="B60" s="716" t="s">
        <v>845</v>
      </c>
      <c r="C60" s="811"/>
      <c r="D60" s="811"/>
      <c r="E60" s="39"/>
      <c r="F60" s="39"/>
      <c r="G60" s="1112"/>
      <c r="H60" s="1104"/>
      <c r="I60" s="1103"/>
      <c r="J60" s="1111">
        <f>IF(J6=0,0,SUM(I62:I64))</f>
        <v>324</v>
      </c>
      <c r="K60" s="1107"/>
      <c r="L60" s="1106"/>
      <c r="M60" s="1044">
        <f>IF(M6=0,0,SUM(L62:L64))</f>
        <v>373.5</v>
      </c>
      <c r="N60" s="1104"/>
      <c r="O60" s="1103"/>
      <c r="P60" s="1111">
        <f>IF(P6=0,0,SUM(O62:O64))</f>
        <v>423</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296</v>
      </c>
      <c r="D62" s="4365"/>
      <c r="E62" s="4365"/>
      <c r="F62" s="1101">
        <f>IF($C62=0,0,VLOOKUP($C62,'SD3'!$C$90:$D$104,2,FALSE))</f>
        <v>175.5</v>
      </c>
      <c r="G62" s="1100">
        <f>(100+$D$61)/100*F62</f>
        <v>175.5</v>
      </c>
      <c r="H62" s="173"/>
      <c r="I62" s="1096">
        <f>$G$62</f>
        <v>175.5</v>
      </c>
      <c r="J62" s="173"/>
      <c r="K62" s="1099"/>
      <c r="L62" s="1098">
        <f>$G$62</f>
        <v>175.5</v>
      </c>
      <c r="M62" s="1016"/>
      <c r="N62" s="1097"/>
      <c r="O62" s="1096">
        <f>$G$62</f>
        <v>175.5</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3.3</v>
      </c>
      <c r="G64" s="1082">
        <f>(100+$D$61)/100*F64</f>
        <v>3.3</v>
      </c>
      <c r="H64" s="1078"/>
      <c r="I64" s="1077">
        <f>H11*$G$64</f>
        <v>148.5</v>
      </c>
      <c r="J64" s="173"/>
      <c r="K64" s="1081"/>
      <c r="L64" s="1080">
        <f>K11*$G$64</f>
        <v>198</v>
      </c>
      <c r="M64" s="1079"/>
      <c r="N64" s="1078"/>
      <c r="O64" s="1077">
        <f>N11*$G$64</f>
        <v>247.5</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56.953125</v>
      </c>
      <c r="K67" s="1068" t="s">
        <v>842</v>
      </c>
      <c r="L67" s="1067" t="s">
        <v>841</v>
      </c>
      <c r="M67" s="1044">
        <f>S68*(K9+K10)*L68%+F68</f>
        <v>99.562499999999972</v>
      </c>
      <c r="N67" s="1066" t="s">
        <v>842</v>
      </c>
      <c r="O67" s="1065" t="s">
        <v>841</v>
      </c>
      <c r="P67" s="1041">
        <f>T68*(N9+N10)*O68%+F68</f>
        <v>124.45312499999997</v>
      </c>
      <c r="Q67" s="34"/>
    </row>
    <row r="68" spans="1:20" s="511" customFormat="1" ht="15" customHeight="1">
      <c r="A68" s="711"/>
      <c r="B68" s="1064"/>
      <c r="C68" s="4393" t="s">
        <v>564</v>
      </c>
      <c r="D68" s="4393"/>
      <c r="E68" s="4393"/>
      <c r="F68" s="1063"/>
      <c r="G68" s="1054" t="s">
        <v>163</v>
      </c>
      <c r="H68" s="1061">
        <v>15.1</v>
      </c>
      <c r="I68" s="1060">
        <v>50</v>
      </c>
      <c r="J68" s="1059"/>
      <c r="K68" s="1061">
        <v>16</v>
      </c>
      <c r="L68" s="1060">
        <v>50</v>
      </c>
      <c r="M68" s="1062"/>
      <c r="N68" s="1061">
        <v>16</v>
      </c>
      <c r="O68" s="1060">
        <v>50</v>
      </c>
      <c r="P68" s="1059"/>
      <c r="Q68" s="34"/>
      <c r="R68" s="1058">
        <f>IF($H$68=0,0,VLOOKUP($H$68,'SD6'!B8:C151,'SD6'!C1,FALSE))*(1+'SDK1'!O11/100)</f>
        <v>2.0249999999999999</v>
      </c>
      <c r="S68" s="1058">
        <f>IF($K$68=0,0,VLOOKUP($K$68,'SD6'!B8:C151,'SD6'!C1,FALSE))*(1+'SDK1'!O11/100)</f>
        <v>2.6549999999999994</v>
      </c>
      <c r="T68" s="1058">
        <f>IF($N$68=0,0,VLOOKUP($N$68,'SD6'!B8:C151,'SD6'!C1,FALSE))*(1+'SDK1'!O11/100)</f>
        <v>2.6549999999999994</v>
      </c>
    </row>
    <row r="69" spans="1:20" s="511" customFormat="1" ht="18.75" customHeight="1">
      <c r="A69" s="711"/>
      <c r="B69" s="716" t="s">
        <v>839</v>
      </c>
      <c r="C69" s="711"/>
      <c r="D69" s="711"/>
      <c r="E69" s="34"/>
      <c r="F69" s="34"/>
      <c r="G69" s="1047"/>
      <c r="H69" s="38"/>
      <c r="I69" s="51"/>
      <c r="J69" s="1041">
        <f>H70*$F70/1000</f>
        <v>23.904</v>
      </c>
      <c r="K69" s="1057"/>
      <c r="L69" s="1056"/>
      <c r="M69" s="1044">
        <f>K70*$F70/1000</f>
        <v>31.872</v>
      </c>
      <c r="N69" s="38"/>
      <c r="O69" s="51"/>
      <c r="P69" s="1041">
        <f>N70*$F70/1000</f>
        <v>39.840000000000003</v>
      </c>
      <c r="Q69" s="34"/>
    </row>
    <row r="70" spans="1:20" s="511" customFormat="1" ht="15" customHeight="1">
      <c r="A70" s="711"/>
      <c r="B70" s="772"/>
      <c r="C70" s="771" t="s">
        <v>606</v>
      </c>
      <c r="D70" s="285"/>
      <c r="E70" s="222"/>
      <c r="F70" s="3742">
        <f>'SDK7'!G101</f>
        <v>16</v>
      </c>
      <c r="G70" s="1054" t="s">
        <v>163</v>
      </c>
      <c r="H70" s="1357">
        <f>J7</f>
        <v>1494</v>
      </c>
      <c r="I70" s="1049"/>
      <c r="J70" s="1048"/>
      <c r="K70" s="1053">
        <f>M7</f>
        <v>1992</v>
      </c>
      <c r="L70" s="1052"/>
      <c r="M70" s="1051"/>
      <c r="N70" s="1357">
        <f>P7</f>
        <v>2490</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7</v>
      </c>
      <c r="H75" s="1007"/>
      <c r="I75" s="1008"/>
      <c r="J75" s="1005">
        <f>(J23+J27+J34+J43+J60+J65+J67+J69+J71)*('SDK1'!$O$59%*$G$75/12)</f>
        <v>14.655601037</v>
      </c>
      <c r="K75" s="513"/>
      <c r="L75" s="522"/>
      <c r="M75" s="1005">
        <f>(M23+M27+M34+M43+M60+M65+M67+M69+M71)*('SDK1'!$O$59%*$G$75/12)</f>
        <v>17.208934695166668</v>
      </c>
      <c r="N75" s="1007"/>
      <c r="O75" s="1006"/>
      <c r="P75" s="1005">
        <f>(P23+P27+P34+P43+P60+P65+P67+P69+P71)*('SDK1'!$O$59%*$G$75/12)</f>
        <v>19.600466269999998</v>
      </c>
      <c r="Q75" s="34"/>
    </row>
    <row r="78" spans="1:20">
      <c r="L78" s="12"/>
      <c r="M78" s="31"/>
      <c r="N78" s="31"/>
      <c r="O78" s="31"/>
      <c r="P78" s="31"/>
      <c r="Q78" s="31"/>
    </row>
    <row r="79" spans="1:20">
      <c r="L79" s="12"/>
      <c r="M79" s="31"/>
      <c r="N79" s="31"/>
      <c r="O79" s="31"/>
      <c r="P79" s="31"/>
      <c r="Q79" s="31"/>
    </row>
    <row r="80" spans="1:20">
      <c r="L80" s="12"/>
      <c r="M80" s="31"/>
      <c r="N80" s="31"/>
      <c r="O80" s="31"/>
      <c r="P80" s="31"/>
      <c r="Q80" s="31"/>
    </row>
    <row r="81" spans="1:17">
      <c r="A81" s="31"/>
      <c r="L81" s="12"/>
      <c r="M81" s="31"/>
      <c r="N81" s="31"/>
      <c r="O81" s="31"/>
      <c r="P81" s="31"/>
      <c r="Q81" s="31"/>
    </row>
    <row r="82" spans="1:17">
      <c r="A82" s="31"/>
      <c r="L82" s="12"/>
      <c r="M82" s="31"/>
      <c r="N82" s="31"/>
      <c r="O82" s="31"/>
      <c r="P82" s="31"/>
      <c r="Q82" s="31"/>
    </row>
    <row r="83" spans="1:17">
      <c r="A83" s="31"/>
      <c r="L83" s="12"/>
      <c r="M83" s="31"/>
      <c r="N83" s="31"/>
      <c r="O83" s="31"/>
      <c r="P83" s="31"/>
      <c r="Q83" s="31"/>
    </row>
    <row r="84" spans="1:17">
      <c r="A84" s="31"/>
      <c r="L84" s="12"/>
      <c r="M84" s="31"/>
      <c r="N84" s="31"/>
      <c r="O84" s="31"/>
      <c r="P84" s="31"/>
      <c r="Q84" s="31"/>
    </row>
    <row r="85" spans="1:17">
      <c r="A85" s="31"/>
      <c r="L85" s="12"/>
      <c r="M85" s="31"/>
      <c r="N85" s="31"/>
      <c r="O85" s="31"/>
      <c r="P85" s="31"/>
      <c r="Q85" s="31"/>
    </row>
    <row r="86" spans="1:17">
      <c r="A86" s="31"/>
      <c r="L86" s="12"/>
      <c r="M86" s="31"/>
      <c r="N86" s="31"/>
      <c r="O86" s="31"/>
      <c r="P86" s="31"/>
      <c r="Q86" s="31"/>
    </row>
    <row r="87" spans="1:17">
      <c r="A87" s="31"/>
      <c r="L87" s="12"/>
      <c r="M87" s="31"/>
      <c r="N87" s="31"/>
      <c r="O87" s="31"/>
      <c r="P87" s="31"/>
      <c r="Q87" s="31"/>
    </row>
    <row r="88" spans="1:17">
      <c r="A88" s="31"/>
      <c r="L88" s="12"/>
      <c r="M88" s="31"/>
      <c r="N88" s="31"/>
      <c r="O88" s="31"/>
      <c r="P88" s="31"/>
      <c r="Q88" s="31"/>
    </row>
    <row r="89" spans="1:17">
      <c r="A89" s="31"/>
      <c r="L89" s="12"/>
      <c r="M89" s="31"/>
      <c r="N89" s="31"/>
      <c r="O89" s="31"/>
      <c r="P89" s="31"/>
      <c r="Q89" s="31"/>
    </row>
    <row r="90" spans="1:17">
      <c r="A90" s="31"/>
      <c r="L90" s="12"/>
      <c r="M90" s="31"/>
      <c r="N90" s="31"/>
      <c r="O90" s="31"/>
      <c r="P90" s="31"/>
      <c r="Q90" s="31"/>
    </row>
    <row r="91" spans="1:17">
      <c r="A91" s="31"/>
      <c r="L91" s="12"/>
      <c r="M91" s="31"/>
      <c r="N91" s="31"/>
      <c r="O91" s="31"/>
      <c r="P91" s="31"/>
      <c r="Q91" s="31"/>
    </row>
    <row r="92" spans="1:17">
      <c r="A92" s="31"/>
      <c r="L92" s="12"/>
      <c r="M92" s="31"/>
      <c r="N92" s="31"/>
      <c r="O92" s="31"/>
      <c r="P92" s="31"/>
      <c r="Q92" s="31"/>
    </row>
    <row r="93" spans="1:17">
      <c r="A93" s="31"/>
      <c r="L93" s="12"/>
      <c r="M93" s="31"/>
      <c r="N93" s="31"/>
      <c r="O93" s="31"/>
      <c r="P93" s="31"/>
      <c r="Q93" s="31"/>
    </row>
    <row r="94" spans="1:17">
      <c r="A94" s="31"/>
      <c r="L94" s="12"/>
      <c r="M94" s="31"/>
      <c r="N94" s="31"/>
      <c r="O94" s="31"/>
      <c r="P94" s="31"/>
      <c r="Q94" s="31"/>
    </row>
    <row r="95" spans="1:17">
      <c r="A95" s="31"/>
      <c r="L95" s="12"/>
      <c r="M95" s="31"/>
      <c r="N95" s="31"/>
      <c r="O95" s="31"/>
      <c r="P95" s="31"/>
      <c r="Q95" s="31"/>
    </row>
    <row r="96" spans="1:17">
      <c r="A96" s="31"/>
      <c r="L96" s="12"/>
      <c r="M96" s="31"/>
      <c r="N96" s="31"/>
      <c r="O96" s="31"/>
      <c r="P96" s="31"/>
      <c r="Q96" s="31"/>
    </row>
    <row r="97" spans="1:17">
      <c r="A97" s="31"/>
      <c r="L97" s="12"/>
      <c r="M97" s="31"/>
      <c r="N97" s="31"/>
      <c r="O97" s="31"/>
      <c r="P97" s="31"/>
      <c r="Q97" s="31"/>
    </row>
    <row r="98" spans="1:17">
      <c r="A98" s="31"/>
      <c r="L98" s="12"/>
      <c r="M98" s="31"/>
      <c r="N98" s="31"/>
      <c r="O98" s="31"/>
      <c r="P98" s="31"/>
      <c r="Q98" s="31"/>
    </row>
    <row r="99" spans="1:17">
      <c r="A99" s="31"/>
      <c r="L99" s="12"/>
      <c r="M99" s="31"/>
      <c r="N99" s="31"/>
      <c r="O99" s="31"/>
      <c r="P99" s="31"/>
      <c r="Q99" s="31"/>
    </row>
    <row r="100" spans="1:17">
      <c r="A100" s="31"/>
      <c r="L100" s="12"/>
      <c r="M100" s="31"/>
      <c r="N100" s="31"/>
      <c r="O100" s="31"/>
      <c r="P100" s="31"/>
      <c r="Q100" s="31"/>
    </row>
    <row r="101" spans="1:17">
      <c r="A101" s="31"/>
      <c r="B101" s="31"/>
      <c r="L101" s="12"/>
      <c r="M101" s="31"/>
      <c r="N101" s="31"/>
      <c r="O101" s="31"/>
      <c r="P101" s="31"/>
      <c r="Q101" s="31"/>
    </row>
    <row r="102" spans="1:17">
      <c r="A102" s="31"/>
      <c r="B102" s="31"/>
      <c r="L102" s="12"/>
      <c r="M102" s="31"/>
      <c r="N102" s="31"/>
      <c r="O102" s="31"/>
      <c r="P102" s="31"/>
      <c r="Q102" s="31"/>
    </row>
    <row r="103" spans="1:17">
      <c r="A103" s="31"/>
      <c r="B103" s="31"/>
      <c r="L103" s="12"/>
      <c r="M103" s="31"/>
      <c r="N103" s="31"/>
      <c r="O103" s="31"/>
      <c r="P103" s="31"/>
      <c r="Q103" s="31"/>
    </row>
    <row r="104" spans="1:17">
      <c r="A104" s="31"/>
      <c r="B104" s="31"/>
      <c r="L104" s="12"/>
      <c r="M104" s="31"/>
      <c r="N104" s="31"/>
      <c r="O104" s="31"/>
      <c r="P104" s="31"/>
      <c r="Q104" s="31"/>
    </row>
    <row r="105" spans="1:17">
      <c r="A105" s="31"/>
      <c r="B105" s="31"/>
      <c r="L105" s="12"/>
      <c r="M105" s="31"/>
      <c r="N105" s="31"/>
      <c r="O105" s="31"/>
      <c r="P105" s="31"/>
      <c r="Q105" s="31"/>
    </row>
    <row r="106" spans="1:17">
      <c r="A106" s="31"/>
      <c r="B106" s="31"/>
      <c r="L106" s="12"/>
      <c r="M106" s="31"/>
      <c r="N106" s="31"/>
      <c r="O106" s="31"/>
      <c r="P106" s="31"/>
      <c r="Q106" s="31"/>
    </row>
    <row r="107" spans="1:17">
      <c r="A107" s="31"/>
      <c r="B107" s="31"/>
      <c r="L107" s="12"/>
      <c r="M107" s="31"/>
      <c r="N107" s="31"/>
      <c r="O107" s="31"/>
      <c r="P107" s="31"/>
      <c r="Q107" s="31"/>
    </row>
    <row r="108" spans="1:17">
      <c r="A108" s="31"/>
      <c r="B108" s="31"/>
      <c r="L108" s="12"/>
      <c r="M108" s="31"/>
      <c r="N108" s="31"/>
      <c r="O108" s="31"/>
      <c r="P108" s="31"/>
      <c r="Q108" s="31"/>
    </row>
    <row r="109" spans="1:17">
      <c r="A109" s="31"/>
      <c r="B109" s="31"/>
      <c r="L109" s="12"/>
      <c r="M109" s="31"/>
      <c r="N109" s="31"/>
      <c r="O109" s="31"/>
      <c r="P109" s="31"/>
      <c r="Q109" s="31"/>
    </row>
    <row r="110" spans="1:17">
      <c r="A110" s="31"/>
      <c r="B110" s="31"/>
      <c r="L110" s="12"/>
      <c r="M110" s="31"/>
      <c r="N110" s="31"/>
      <c r="O110" s="31"/>
      <c r="P110" s="31"/>
      <c r="Q110" s="31"/>
    </row>
    <row r="111" spans="1:17">
      <c r="A111" s="31"/>
      <c r="B111" s="31"/>
      <c r="L111" s="12"/>
      <c r="M111" s="31"/>
      <c r="N111" s="31"/>
      <c r="O111" s="31"/>
      <c r="P111" s="31"/>
      <c r="Q111" s="31"/>
    </row>
    <row r="112" spans="1:17">
      <c r="A112" s="31"/>
      <c r="B112" s="31"/>
      <c r="L112" s="12"/>
      <c r="M112" s="31"/>
      <c r="N112" s="31"/>
      <c r="O112" s="31"/>
      <c r="P112" s="31"/>
      <c r="Q112" s="31"/>
    </row>
    <row r="113" spans="1:17">
      <c r="A113" s="31"/>
      <c r="L113" s="12"/>
      <c r="M113" s="31"/>
      <c r="N113" s="31"/>
      <c r="O113" s="31"/>
      <c r="P113" s="31"/>
      <c r="Q113" s="31"/>
    </row>
    <row r="114" spans="1:17">
      <c r="A114" s="31"/>
      <c r="G114" s="35">
        <f>'SD3'!C107</f>
        <v>0</v>
      </c>
      <c r="L114" s="12"/>
      <c r="M114" s="31"/>
      <c r="N114" s="31"/>
      <c r="O114" s="31"/>
      <c r="P114" s="31"/>
      <c r="Q114" s="31"/>
    </row>
    <row r="115" spans="1:17">
      <c r="A115" s="31"/>
      <c r="L115" s="12"/>
      <c r="M115" s="31"/>
      <c r="N115" s="31"/>
      <c r="O115" s="31"/>
      <c r="P115" s="31"/>
      <c r="Q115" s="31"/>
    </row>
    <row r="116" spans="1:17">
      <c r="A116" s="31"/>
      <c r="G116" s="35">
        <f>'SD3'!C109</f>
        <v>0</v>
      </c>
      <c r="L116" s="12"/>
      <c r="M116" s="31"/>
      <c r="N116" s="31"/>
      <c r="O116" s="31"/>
      <c r="P116" s="31"/>
      <c r="Q116" s="31"/>
    </row>
    <row r="117" spans="1:17">
      <c r="A117" s="31"/>
      <c r="L117" s="12"/>
      <c r="M117" s="31"/>
      <c r="N117" s="31"/>
      <c r="O117" s="31"/>
      <c r="P117" s="31"/>
      <c r="Q117" s="31"/>
    </row>
    <row r="118" spans="1:17">
      <c r="A118" s="31"/>
      <c r="L118" s="12"/>
      <c r="M118" s="31"/>
      <c r="N118" s="31"/>
      <c r="O118" s="31"/>
      <c r="P118" s="31"/>
      <c r="Q118" s="31"/>
    </row>
    <row r="119" spans="1:17">
      <c r="A119" s="31"/>
      <c r="L119" s="12"/>
      <c r="M119" s="31"/>
      <c r="N119" s="31"/>
      <c r="O119" s="31"/>
      <c r="P119" s="31"/>
      <c r="Q119" s="31"/>
    </row>
    <row r="120" spans="1:17">
      <c r="A120" s="31"/>
      <c r="B120" s="441"/>
      <c r="C120" s="12"/>
      <c r="L120" s="12"/>
      <c r="M120" s="31"/>
      <c r="N120" s="31"/>
      <c r="O120" s="31"/>
      <c r="P120" s="31"/>
      <c r="Q120" s="31"/>
    </row>
    <row r="121" spans="1:17">
      <c r="A121" s="31"/>
      <c r="B121" s="441"/>
      <c r="C121" s="12"/>
      <c r="L121" s="12"/>
      <c r="M121" s="31"/>
      <c r="N121" s="31"/>
      <c r="O121" s="31"/>
      <c r="P121" s="31"/>
      <c r="Q121" s="31"/>
    </row>
    <row r="122" spans="1:17">
      <c r="A122" s="31"/>
      <c r="B122" s="441"/>
      <c r="C122" s="12"/>
      <c r="L122" s="12"/>
      <c r="M122" s="31"/>
      <c r="N122" s="31"/>
      <c r="O122" s="31"/>
      <c r="P122" s="31"/>
      <c r="Q122" s="31"/>
    </row>
    <row r="123" spans="1:17">
      <c r="A123" s="31"/>
      <c r="B123" s="441"/>
      <c r="C123" s="12"/>
      <c r="L123" s="12"/>
      <c r="M123" s="31"/>
      <c r="N123" s="31"/>
      <c r="O123" s="31"/>
      <c r="P123" s="31"/>
      <c r="Q123" s="31"/>
    </row>
    <row r="124" spans="1:17">
      <c r="A124" s="31"/>
      <c r="B124" s="441"/>
      <c r="C124" s="12"/>
      <c r="L124" s="12"/>
      <c r="M124" s="31"/>
      <c r="N124" s="31"/>
      <c r="O124" s="31"/>
      <c r="P124" s="31"/>
      <c r="Q124" s="31"/>
    </row>
    <row r="125" spans="1:17">
      <c r="A125" s="31"/>
      <c r="B125" s="441"/>
      <c r="C125" s="12"/>
      <c r="L125" s="12"/>
      <c r="M125" s="31"/>
      <c r="N125" s="31"/>
      <c r="O125" s="31"/>
      <c r="P125" s="31"/>
      <c r="Q125" s="31"/>
    </row>
    <row r="126" spans="1:17">
      <c r="A126" s="31"/>
      <c r="B126" s="441"/>
      <c r="C126" s="12"/>
      <c r="L126" s="12"/>
      <c r="M126" s="31"/>
      <c r="N126" s="31"/>
      <c r="O126" s="31"/>
      <c r="P126" s="31"/>
      <c r="Q126" s="31"/>
    </row>
    <row r="127" spans="1:17">
      <c r="A127" s="31"/>
      <c r="B127" s="441"/>
      <c r="C127" s="12"/>
      <c r="L127" s="12"/>
      <c r="M127" s="31"/>
      <c r="N127" s="31"/>
      <c r="O127" s="31"/>
      <c r="P127" s="31"/>
      <c r="Q127" s="31"/>
    </row>
    <row r="128" spans="1:17">
      <c r="A128" s="31"/>
      <c r="B128" s="441"/>
      <c r="C128" s="12"/>
      <c r="L128" s="12"/>
      <c r="M128" s="31"/>
      <c r="N128" s="31"/>
      <c r="O128" s="31"/>
      <c r="P128" s="31"/>
      <c r="Q128" s="31"/>
    </row>
    <row r="129" spans="1:17">
      <c r="A129" s="31"/>
      <c r="B129" s="441"/>
      <c r="C129" s="12"/>
      <c r="L129" s="12"/>
      <c r="M129" s="31"/>
      <c r="N129" s="31"/>
      <c r="O129" s="31"/>
      <c r="P129" s="31"/>
      <c r="Q129" s="31"/>
    </row>
    <row r="130" spans="1:17">
      <c r="A130" s="31"/>
      <c r="B130" s="441"/>
      <c r="C130" s="12"/>
      <c r="L130" s="12"/>
      <c r="M130" s="31"/>
      <c r="N130" s="31"/>
      <c r="O130" s="31"/>
      <c r="P130" s="31"/>
      <c r="Q130" s="31"/>
    </row>
    <row r="131" spans="1:17">
      <c r="A131" s="31"/>
      <c r="B131" s="441"/>
      <c r="C131" s="12"/>
      <c r="L131" s="12"/>
      <c r="M131" s="31"/>
      <c r="N131" s="31"/>
      <c r="O131" s="31"/>
      <c r="P131" s="31"/>
      <c r="Q131" s="31"/>
    </row>
    <row r="132" spans="1:17">
      <c r="A132" s="31"/>
      <c r="B132" s="441"/>
      <c r="C132" s="12"/>
      <c r="L132" s="12"/>
      <c r="M132" s="31"/>
      <c r="N132" s="31"/>
      <c r="O132" s="31"/>
      <c r="P132" s="31"/>
      <c r="Q132" s="31"/>
    </row>
    <row r="133" spans="1:17">
      <c r="A133" s="31"/>
      <c r="B133" s="441"/>
      <c r="C133" s="12"/>
      <c r="L133" s="12"/>
      <c r="M133" s="31"/>
      <c r="N133" s="31"/>
      <c r="O133" s="31"/>
      <c r="P133" s="31"/>
      <c r="Q133" s="31"/>
    </row>
    <row r="134" spans="1:17">
      <c r="A134" s="31"/>
      <c r="B134" s="441"/>
      <c r="C134" s="12"/>
      <c r="L134" s="12"/>
      <c r="M134" s="31"/>
      <c r="N134" s="31"/>
      <c r="O134" s="31"/>
      <c r="P134" s="31"/>
      <c r="Q134" s="31"/>
    </row>
    <row r="135" spans="1:17">
      <c r="A135" s="31"/>
      <c r="B135" s="441"/>
      <c r="C135" s="12"/>
      <c r="L135" s="12"/>
      <c r="M135" s="31"/>
      <c r="N135" s="31"/>
      <c r="O135" s="31"/>
      <c r="P135" s="31"/>
      <c r="Q135" s="31"/>
    </row>
    <row r="136" spans="1:17">
      <c r="A136" s="31"/>
      <c r="B136" s="441"/>
      <c r="C136" s="12"/>
      <c r="L136" s="12"/>
      <c r="M136" s="31"/>
      <c r="N136" s="31"/>
      <c r="O136" s="31"/>
      <c r="P136" s="31"/>
      <c r="Q136" s="31"/>
    </row>
    <row r="137" spans="1:17">
      <c r="A137" s="31"/>
      <c r="B137" s="441"/>
      <c r="C137" s="12"/>
      <c r="L137" s="12"/>
      <c r="M137" s="31"/>
      <c r="N137" s="31"/>
      <c r="O137" s="31"/>
      <c r="P137" s="31"/>
      <c r="Q137" s="31"/>
    </row>
    <row r="138" spans="1:17">
      <c r="A138" s="31"/>
      <c r="B138" s="441"/>
      <c r="C138" s="12"/>
      <c r="L138" s="12"/>
      <c r="M138" s="31"/>
      <c r="N138" s="31"/>
      <c r="O138" s="31"/>
      <c r="P138" s="31"/>
      <c r="Q138" s="31"/>
    </row>
    <row r="139" spans="1:17">
      <c r="A139" s="31"/>
      <c r="B139" s="441"/>
      <c r="C139" s="12"/>
      <c r="L139" s="12"/>
      <c r="M139" s="31"/>
      <c r="N139" s="31"/>
      <c r="O139" s="31"/>
      <c r="P139" s="31"/>
      <c r="Q139" s="31"/>
    </row>
    <row r="140" spans="1:17">
      <c r="A140" s="31"/>
      <c r="B140" s="441"/>
      <c r="C140" s="12"/>
      <c r="L140" s="12"/>
      <c r="M140" s="31"/>
      <c r="N140" s="31"/>
      <c r="O140" s="31"/>
      <c r="P140" s="31"/>
      <c r="Q140" s="31"/>
    </row>
    <row r="141" spans="1:17">
      <c r="A141" s="31"/>
      <c r="B141" s="441"/>
      <c r="C141" s="12"/>
      <c r="L141" s="12"/>
      <c r="M141" s="31"/>
      <c r="N141" s="31"/>
      <c r="O141" s="31"/>
      <c r="P141" s="31"/>
      <c r="Q141" s="31"/>
    </row>
    <row r="142" spans="1:17">
      <c r="A142" s="31"/>
      <c r="B142" s="441"/>
      <c r="C142" s="12"/>
      <c r="L142" s="12"/>
    </row>
    <row r="143" spans="1:17">
      <c r="A143" s="31"/>
      <c r="B143" s="441"/>
      <c r="C143" s="12"/>
      <c r="L143" s="12"/>
    </row>
    <row r="144" spans="1:17">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D149" s="12"/>
      <c r="F149" s="12"/>
      <c r="G149" s="12"/>
      <c r="H149" s="12"/>
      <c r="I149" s="12"/>
      <c r="J149" s="12"/>
      <c r="M149" s="31"/>
      <c r="N149" s="31"/>
      <c r="O149" s="31"/>
      <c r="P149" s="31"/>
      <c r="Q149" s="31"/>
    </row>
    <row r="150" spans="1:17">
      <c r="A150" s="31"/>
      <c r="B150" s="441"/>
      <c r="C150" s="12"/>
      <c r="D150" s="12"/>
      <c r="F150" s="12"/>
      <c r="G150" s="12"/>
      <c r="H150" s="12"/>
      <c r="I150" s="12"/>
      <c r="J150" s="12"/>
      <c r="M150" s="31"/>
      <c r="N150" s="31"/>
      <c r="O150" s="31"/>
      <c r="P150" s="31"/>
      <c r="Q150" s="31"/>
    </row>
    <row r="151" spans="1:17">
      <c r="A151" s="31"/>
      <c r="B151" s="441"/>
      <c r="C151" s="12"/>
      <c r="D151" s="12"/>
      <c r="F151" s="12"/>
      <c r="G151" s="12"/>
      <c r="H151" s="12"/>
      <c r="I151" s="12"/>
      <c r="J151" s="12"/>
      <c r="M151" s="31"/>
      <c r="N151" s="31"/>
      <c r="O151" s="31"/>
      <c r="P151" s="31"/>
      <c r="Q151" s="31"/>
    </row>
    <row r="152" spans="1:17">
      <c r="A152" s="31"/>
      <c r="B152" s="441"/>
      <c r="C152" s="12"/>
      <c r="D152" s="12"/>
      <c r="F152" s="12"/>
      <c r="G152" s="12"/>
      <c r="H152" s="12"/>
      <c r="I152" s="12"/>
      <c r="J152" s="12"/>
      <c r="M152" s="31"/>
      <c r="N152" s="31"/>
      <c r="O152" s="31"/>
      <c r="P152" s="31"/>
      <c r="Q152" s="31"/>
    </row>
    <row r="153" spans="1:17">
      <c r="A153" s="31"/>
      <c r="B153" s="441"/>
      <c r="C153" s="12"/>
      <c r="D153" s="12"/>
      <c r="F153" s="12"/>
      <c r="G153" s="12"/>
      <c r="H153" s="12"/>
      <c r="I153" s="12"/>
      <c r="J153" s="12"/>
      <c r="M153" s="31"/>
      <c r="N153" s="31"/>
      <c r="O153" s="31"/>
      <c r="P153" s="31"/>
      <c r="Q153" s="31"/>
    </row>
    <row r="154" spans="1:17">
      <c r="A154" s="31"/>
      <c r="B154" s="441"/>
      <c r="C154" s="12"/>
      <c r="D154" s="12"/>
      <c r="F154" s="12"/>
      <c r="G154" s="12"/>
      <c r="H154" s="12"/>
      <c r="I154" s="12"/>
      <c r="J154" s="12"/>
      <c r="M154" s="31"/>
      <c r="N154" s="31"/>
      <c r="O154" s="31"/>
      <c r="P154" s="31"/>
      <c r="Q154" s="31"/>
    </row>
    <row r="155" spans="1:17">
      <c r="A155" s="31"/>
      <c r="B155" s="441"/>
      <c r="C155" s="12"/>
      <c r="D155" s="12"/>
      <c r="F155" s="12"/>
      <c r="G155" s="12"/>
      <c r="H155" s="12"/>
      <c r="I155" s="12"/>
      <c r="J155" s="12"/>
      <c r="M155" s="31"/>
      <c r="N155" s="31"/>
      <c r="O155" s="31"/>
      <c r="P155" s="31"/>
      <c r="Q155" s="31"/>
    </row>
    <row r="156" spans="1:17">
      <c r="A156" s="31"/>
      <c r="B156" s="441"/>
      <c r="C156" s="12"/>
      <c r="D156" s="12"/>
      <c r="F156" s="12"/>
      <c r="G156" s="12"/>
      <c r="H156" s="12"/>
      <c r="I156" s="12"/>
      <c r="J156" s="12"/>
      <c r="M156" s="31"/>
      <c r="N156" s="31"/>
      <c r="O156" s="31"/>
      <c r="P156" s="31"/>
      <c r="Q156" s="31"/>
    </row>
    <row r="157" spans="1:17">
      <c r="A157" s="31"/>
      <c r="B157" s="441"/>
      <c r="C157" s="12"/>
      <c r="D157" s="12"/>
      <c r="F157" s="12"/>
      <c r="G157" s="12"/>
      <c r="H157" s="12"/>
      <c r="I157" s="12"/>
      <c r="J157" s="12"/>
      <c r="M157" s="31"/>
      <c r="N157" s="31"/>
      <c r="O157" s="31"/>
      <c r="P157" s="31"/>
      <c r="Q157" s="31"/>
    </row>
    <row r="158" spans="1:17">
      <c r="A158" s="31"/>
      <c r="B158" s="441"/>
      <c r="C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M22" sqref="AM22"/>
      <pageMargins left="0.59055118110236227" right="0.59055118110236227" top="0.59055118110236227" bottom="0.59055118110236227" header="0.39370078740157483" footer="0.39370078740157483"/>
      <printOptions horizontalCentered="1"/>
      <pageSetup paperSize="9" scale="68" firstPageNumber="18" orientation="portrait" r:id="rId1"/>
      <headerFooter alignWithMargins="0">
        <oddFooter>&amp;L&amp;11LEL Schwäbisch Gmünd&amp;C25&amp;R&amp;11&amp;F</oddFooter>
      </headerFooter>
    </customSheetView>
    <customSheetView guid="{5D5C9B61-9ABD-4513-AAEB-8333A9D6196C}" fitToPage="1" hiddenRows="1" hiddenColumns="1">
      <selection activeCell="G20" sqref="G20"/>
      <pageMargins left="0.59055118110236227" right="0.59055118110236227" top="0.59055118110236227" bottom="0.59055118110236227" header="0.39370078740157483" footer="0.39370078740157483"/>
      <printOptions horizontalCentered="1"/>
      <pageSetup paperSize="9" scale="68" firstPageNumber="18" orientation="portrait" r:id="rId2"/>
      <headerFooter alignWithMargins="0">
        <oddFooter>&amp;L&amp;11LEL Schwäbisch Gmünd&amp;C25&amp;R&amp;11&amp;F</oddFooter>
      </headerFooter>
    </customSheetView>
    <customSheetView guid="{22A73C4F-9004-4CEF-8499-B1F91BE1B569}" fitToPage="1" hiddenRows="1" hiddenColumns="1">
      <selection activeCell="AM22" sqref="AM22"/>
      <pageMargins left="0.59055118110236227" right="0.59055118110236227" top="0.59055118110236227" bottom="0.59055118110236227" header="0.39370078740157483" footer="0.39370078740157483"/>
      <printOptions horizontalCentered="1"/>
      <pageSetup paperSize="9" scale="68" firstPageNumber="18" orientation="portrait" r:id="rId3"/>
      <headerFooter alignWithMargins="0">
        <oddFooter>&amp;L&amp;11LEL Schwäbisch Gmünd&amp;C25&amp;R&amp;11&amp;F</oddFooter>
      </headerFooter>
    </customSheetView>
  </customSheetViews>
  <mergeCells count="50">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 ref="B3:H3"/>
  </mergeCells>
  <dataValidations count="5">
    <dataValidation type="list" allowBlank="1" showInputMessage="1" showErrorMessage="1" sqref="H15:H17 K15:K17 N15:N17" xr:uid="{00000000-0002-0000-1C00-000000000000}">
      <formula1>"ja,nein"</formula1>
    </dataValidation>
    <dataValidation type="list" showInputMessage="1" showErrorMessage="1" sqref="H14 K14 N14" xr:uid="{00000000-0002-0000-1C00-000001000000}">
      <formula1>"ja,nein"</formula1>
    </dataValidation>
    <dataValidation type="whole" allowBlank="1" showInputMessage="1" showErrorMessage="1" errorTitle="Anteil Erntegut" error="Prozentwert darf nur zwischen 0 und 100 liegen." sqref="O68 L68 I68" xr:uid="{00000000-0002-0000-1C00-000002000000}">
      <formula1>0</formula1>
      <formula2>100</formula2>
    </dataValidation>
    <dataValidation type="decimal" allowBlank="1" showInputMessage="1" showErrorMessage="1" errorTitle="Wassergehalt Getreide" error="Zulässig sind nur Werte zwischen 14,1 und 29,0 % Wassergehalt." sqref="N68 H68 K68" xr:uid="{00000000-0002-0000-1C00-000003000000}">
      <formula1>14.1</formula1>
      <formula2>29</formula2>
    </dataValidation>
    <dataValidation type="list" allowBlank="1" showInputMessage="1" showErrorMessage="1" errorTitle="Organisationsabh. Ausgleichsl." error="Bitte aus Dropdownliste auswählen." sqref="D19:F19" xr:uid="{00000000-0002-0000-1C00-000004000000}">
      <formula1>$C$60:$C$75</formula1>
    </dataValidation>
  </dataValidations>
  <hyperlinks>
    <hyperlink ref="B23" location="Sonstige!A1" display=" Saatgut" xr:uid="{00000000-0004-0000-1C00-000000000000}"/>
    <hyperlink ref="F9" location="'SDK1'!A1" display="Preis ändern" xr:uid="{00000000-0004-0000-1C00-000001000000}"/>
  </hyperlinks>
  <printOptions horizontalCentered="1"/>
  <pageMargins left="0.59055118110236227" right="0.59055118110236227" top="0.59055118110236227" bottom="0.59055118110236227" header="0.39370078740157483" footer="0.39370078740157483"/>
  <pageSetup paperSize="9" scale="68" firstPageNumber="18" orientation="portrait" r:id="rId4"/>
  <headerFooter alignWithMargins="0">
    <oddFooter>&amp;L&amp;11LEL Schwäbisch Gmünd&amp;C25&amp;R&amp;11&amp;F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8433" r:id="rId7" name="Check Box 1">
              <controlPr defaultSize="0" autoFill="0" autoLine="0" autoPict="0">
                <anchor moveWithCells="1">
                  <from>
                    <xdr:col>12</xdr:col>
                    <xdr:colOff>121920</xdr:colOff>
                    <xdr:row>3</xdr:row>
                    <xdr:rowOff>7620</xdr:rowOff>
                  </from>
                  <to>
                    <xdr:col>12</xdr:col>
                    <xdr:colOff>381000</xdr:colOff>
                    <xdr:row>3</xdr:row>
                    <xdr:rowOff>236220</xdr:rowOff>
                  </to>
                </anchor>
              </controlPr>
            </control>
          </mc:Choice>
        </mc:AlternateContent>
        <mc:AlternateContent xmlns:mc="http://schemas.openxmlformats.org/markup-compatibility/2006">
          <mc:Choice Requires="x14">
            <control shapeId="18434" r:id="rId8" name="Check Box 2">
              <controlPr defaultSize="0" autoFill="0" autoLine="0" autoPict="0">
                <anchor moveWithCells="1">
                  <from>
                    <xdr:col>12</xdr:col>
                    <xdr:colOff>121920</xdr:colOff>
                    <xdr:row>2</xdr:row>
                    <xdr:rowOff>38100</xdr:rowOff>
                  </from>
                  <to>
                    <xdr:col>12</xdr:col>
                    <xdr:colOff>388620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1C00-000006000000}">
          <x14:formula1>
            <xm:f>'SD2'!$C$11:$C$50</xm:f>
          </x14:formula1>
          <xm:sqref>C14:F17</xm:sqref>
        </x14:dataValidation>
        <x14:dataValidation type="list" allowBlank="1" showInputMessage="1" showErrorMessage="1" errorTitle="Organisationsabh. Ausgleichsl." error="Bitte aus Dropdownliste auswählen." xr:uid="{00000000-0002-0000-1C00-000007000000}">
          <x14:formula1>
            <xm:f>'SD2'!$C$60:$C$77</xm:f>
          </x14:formula1>
          <xm:sqref>C19:C21</xm:sqref>
        </x14:dataValidation>
        <x14:dataValidation type="list" allowBlank="1" showInputMessage="1" showErrorMessage="1" errorTitle="Arbeitsgänge" error="Bitte aus Dropdownliste auswählen." xr:uid="{00000000-0002-0000-1C00-000008000000}">
          <x14:formula1>
            <xm:f>'SD3'!$C$23:$C$75</xm:f>
          </x14:formula1>
          <xm:sqref>C46:D57</xm:sqref>
        </x14:dataValidation>
        <x14:dataValidation type="list" allowBlank="1" showInputMessage="1" showErrorMessage="1" errorTitle="Lohnmaschinen" error="Bitte aus Dropdownliste auswählen." xr:uid="{00000000-0002-0000-1C00-000009000000}">
          <x14:formula1>
            <xm:f>'SD3'!$C$90:$C$104</xm:f>
          </x14:formula1>
          <xm:sqref>C62:E64</xm:sqref>
        </x14:dataValidation>
        <x14:dataValidation type="list" allowBlank="1" showInputMessage="1" showErrorMessage="1" errorTitle="Pflanzenschutzmittel" error="Bitte aus Dropdownliste auswählen." xr:uid="{00000000-0002-0000-1C00-00000A000000}">
          <x14:formula1>
            <xm:f>'SDK5'!$F$214:$F$250</xm:f>
          </x14:formula1>
          <xm:sqref>C36:E36 C37:E37 C38:E38 C39:E39 C40:E40 C41:E41 C42:E42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dimension ref="A1:T114"/>
  <sheetViews>
    <sheetView workbookViewId="0"/>
  </sheetViews>
  <sheetFormatPr baseColWidth="10" defaultColWidth="10.19921875" defaultRowHeight="11.4"/>
  <cols>
    <col min="1" max="1" width="1.19921875" style="1713" customWidth="1"/>
    <col min="2" max="2" width="38.69921875" style="1713" customWidth="1"/>
    <col min="3" max="4" width="10.19921875" style="1713"/>
    <col min="5" max="5" width="7.69921875" style="1713" customWidth="1"/>
    <col min="6" max="6" width="7.5" style="1713" bestFit="1" customWidth="1"/>
    <col min="7" max="7" width="5.69921875" style="1713" customWidth="1"/>
    <col min="8" max="8" width="6.8984375" style="1713" bestFit="1" customWidth="1"/>
    <col min="9" max="9" width="10.3984375" style="1713" bestFit="1" customWidth="1"/>
    <col min="10" max="10" width="7.5" style="1713" bestFit="1" customWidth="1"/>
    <col min="11" max="11" width="7.5" style="1713" customWidth="1"/>
    <col min="12" max="12" width="6" style="1713" bestFit="1" customWidth="1"/>
    <col min="13" max="13" width="7.69921875" style="1713" bestFit="1" customWidth="1"/>
    <col min="14" max="14" width="5.69921875" style="1713" customWidth="1"/>
    <col min="15" max="15" width="6.59765625" style="1713" customWidth="1"/>
    <col min="16" max="17" width="7.69921875" style="1713" bestFit="1" customWidth="1"/>
    <col min="18" max="18" width="5.69921875" style="1713" customWidth="1"/>
    <col min="19" max="19" width="5.69921875" style="1713" bestFit="1" customWidth="1"/>
    <col min="20" max="16384" width="10.19921875" style="1713"/>
  </cols>
  <sheetData>
    <row r="1" spans="1:20" ht="39.450000000000003" customHeight="1" thickBot="1">
      <c r="A1" s="1806"/>
      <c r="B1" s="1805" t="s">
        <v>1226</v>
      </c>
      <c r="C1" s="1803"/>
      <c r="D1" s="1804"/>
      <c r="E1" s="1803"/>
      <c r="F1" s="1801"/>
      <c r="G1" s="1802"/>
      <c r="H1" s="1801"/>
      <c r="I1" s="1801"/>
      <c r="J1" s="1801"/>
      <c r="K1" s="1801"/>
      <c r="L1" s="1801"/>
      <c r="M1" s="1801"/>
      <c r="N1" s="1801"/>
      <c r="O1" s="1801"/>
      <c r="P1" s="1801"/>
      <c r="Q1" s="1800"/>
      <c r="R1" s="1800"/>
      <c r="S1" s="1800"/>
      <c r="T1" s="1774"/>
    </row>
    <row r="2" spans="1:20" ht="13.2" thickTop="1" thickBot="1">
      <c r="A2" s="1799"/>
      <c r="B2" s="1798" t="s">
        <v>1225</v>
      </c>
      <c r="C2" s="1797"/>
      <c r="D2" s="1795" t="s">
        <v>1224</v>
      </c>
      <c r="E2" s="1795"/>
      <c r="F2" s="1794"/>
      <c r="G2" s="1793"/>
      <c r="H2" s="1796"/>
      <c r="I2" s="1795" t="s">
        <v>1223</v>
      </c>
      <c r="J2" s="1795"/>
      <c r="K2" s="1794"/>
      <c r="L2" s="1793"/>
      <c r="M2" s="1774"/>
      <c r="N2" s="1774"/>
      <c r="O2" s="1774"/>
      <c r="P2" s="1774"/>
    </row>
    <row r="3" spans="1:20" ht="13.2" thickTop="1" thickBot="1">
      <c r="A3" s="1792"/>
      <c r="B3" s="1791" t="s">
        <v>1222</v>
      </c>
      <c r="C3" s="1790"/>
      <c r="D3" s="1786">
        <v>2015</v>
      </c>
      <c r="E3" s="1786">
        <v>2016</v>
      </c>
      <c r="F3" s="1789">
        <v>2017</v>
      </c>
      <c r="G3" s="1788" t="s">
        <v>1191</v>
      </c>
      <c r="H3" s="1787"/>
      <c r="I3" s="1786">
        <v>2015</v>
      </c>
      <c r="J3" s="1786">
        <v>2016</v>
      </c>
      <c r="K3" s="1785">
        <v>2017</v>
      </c>
      <c r="L3" s="1784" t="s">
        <v>1191</v>
      </c>
      <c r="M3" s="1774"/>
      <c r="N3" s="1774"/>
      <c r="O3" s="1774"/>
      <c r="P3" s="1774"/>
    </row>
    <row r="4" spans="1:20" ht="13.2" thickTop="1" thickBot="1">
      <c r="A4" s="1783"/>
      <c r="B4" s="1782" t="s">
        <v>666</v>
      </c>
      <c r="C4" s="1778" t="s">
        <v>417</v>
      </c>
      <c r="D4" s="1781">
        <v>1</v>
      </c>
      <c r="E4" s="1781">
        <v>1</v>
      </c>
      <c r="F4" s="1780">
        <v>1</v>
      </c>
      <c r="G4" s="1779"/>
      <c r="H4" s="1778" t="s">
        <v>417</v>
      </c>
      <c r="I4" s="1777"/>
      <c r="J4" s="1777"/>
      <c r="K4" s="1776"/>
      <c r="L4" s="1775"/>
      <c r="M4" s="1774"/>
      <c r="N4" s="1774"/>
      <c r="O4" s="1774"/>
      <c r="P4" s="1774"/>
    </row>
    <row r="5" spans="1:20" ht="13.8" thickTop="1">
      <c r="B5" s="1742" t="s">
        <v>1221</v>
      </c>
      <c r="C5" s="1739" t="s">
        <v>220</v>
      </c>
      <c r="D5" s="1744">
        <v>25</v>
      </c>
      <c r="E5" s="1744">
        <v>25</v>
      </c>
      <c r="F5" s="1744">
        <v>23.75</v>
      </c>
      <c r="G5" s="1749">
        <f t="shared" ref="G5:G37" si="0">(D5*$D$4+E5*$E$4+F5*$F$4)/($D$4+$E$4+$F$4)</f>
        <v>24.583333333333332</v>
      </c>
      <c r="H5" s="1773" t="s">
        <v>164</v>
      </c>
      <c r="I5" s="1744">
        <v>52.5</v>
      </c>
      <c r="J5" s="1744">
        <v>42</v>
      </c>
      <c r="K5" s="1772">
        <v>75.400000000000006</v>
      </c>
      <c r="L5" s="1741">
        <f t="shared" ref="L5:L37" si="1">(I5*$D$4+J5*$E$4+K5*$F$4)/($D$4+$E$4+$F$4)</f>
        <v>56.633333333333333</v>
      </c>
    </row>
    <row r="6" spans="1:20" ht="13.2">
      <c r="B6" s="1742" t="s">
        <v>83</v>
      </c>
      <c r="C6" s="1739" t="s">
        <v>220</v>
      </c>
      <c r="D6" s="1735">
        <v>18</v>
      </c>
      <c r="E6" s="1735">
        <v>16</v>
      </c>
      <c r="F6" s="1735">
        <v>17</v>
      </c>
      <c r="G6" s="1749">
        <f t="shared" si="0"/>
        <v>17</v>
      </c>
      <c r="H6" s="1758" t="s">
        <v>164</v>
      </c>
      <c r="I6" s="1755">
        <v>50</v>
      </c>
      <c r="J6" s="1755">
        <v>50</v>
      </c>
      <c r="K6" s="1735">
        <v>65.5</v>
      </c>
      <c r="L6" s="1741">
        <f t="shared" si="1"/>
        <v>55.166666666666664</v>
      </c>
    </row>
    <row r="7" spans="1:20" ht="13.2">
      <c r="B7" s="1765" t="s">
        <v>259</v>
      </c>
      <c r="C7" s="1764" t="s">
        <v>220</v>
      </c>
      <c r="D7" s="1763">
        <v>15</v>
      </c>
      <c r="E7" s="1763">
        <v>13.6</v>
      </c>
      <c r="F7" s="1763">
        <v>14.4</v>
      </c>
      <c r="G7" s="1749">
        <f t="shared" si="0"/>
        <v>14.333333333333334</v>
      </c>
      <c r="H7" s="1771" t="s">
        <v>164</v>
      </c>
      <c r="I7" s="1770">
        <v>76.3</v>
      </c>
      <c r="J7" s="1770">
        <v>66.099999999999994</v>
      </c>
      <c r="K7" s="1769">
        <f>$I$97</f>
        <v>73.600000000000009</v>
      </c>
      <c r="L7" s="1741">
        <f t="shared" si="1"/>
        <v>72</v>
      </c>
    </row>
    <row r="8" spans="1:20" ht="13.2">
      <c r="B8" s="1742" t="s">
        <v>80</v>
      </c>
      <c r="C8" s="1739" t="s">
        <v>220</v>
      </c>
      <c r="D8" s="1735">
        <v>15</v>
      </c>
      <c r="E8" s="1735">
        <v>13.6</v>
      </c>
      <c r="F8" s="1735">
        <v>14.4</v>
      </c>
      <c r="G8" s="1749">
        <f t="shared" si="0"/>
        <v>14.333333333333334</v>
      </c>
      <c r="H8" s="1758" t="s">
        <v>164</v>
      </c>
      <c r="I8" s="1744">
        <v>53.7</v>
      </c>
      <c r="J8" s="1744">
        <v>51.5</v>
      </c>
      <c r="K8" s="1735">
        <v>65.5</v>
      </c>
      <c r="L8" s="1741">
        <f t="shared" si="1"/>
        <v>56.9</v>
      </c>
    </row>
    <row r="9" spans="1:20" ht="13.2">
      <c r="B9" s="1742" t="s">
        <v>89</v>
      </c>
      <c r="C9" s="1739" t="s">
        <v>220</v>
      </c>
      <c r="D9" s="1735">
        <v>14</v>
      </c>
      <c r="E9" s="1735">
        <v>12.3</v>
      </c>
      <c r="F9" s="1735">
        <v>13.9</v>
      </c>
      <c r="G9" s="1749">
        <f t="shared" si="0"/>
        <v>13.4</v>
      </c>
      <c r="H9" s="1758" t="s">
        <v>164</v>
      </c>
      <c r="I9" s="1735">
        <v>52.9</v>
      </c>
      <c r="J9" s="1735">
        <v>54.2</v>
      </c>
      <c r="K9" s="1735">
        <v>55.6</v>
      </c>
      <c r="L9" s="1741">
        <f t="shared" si="1"/>
        <v>54.233333333333327</v>
      </c>
    </row>
    <row r="10" spans="1:20" ht="13.2">
      <c r="B10" s="1742" t="s">
        <v>1220</v>
      </c>
      <c r="C10" s="1739" t="s">
        <v>220</v>
      </c>
      <c r="D10" s="1735">
        <v>14</v>
      </c>
      <c r="E10" s="1735">
        <v>12.3</v>
      </c>
      <c r="F10" s="1735">
        <v>13.9</v>
      </c>
      <c r="G10" s="1749">
        <f t="shared" si="0"/>
        <v>13.4</v>
      </c>
      <c r="H10" s="1758" t="s">
        <v>164</v>
      </c>
      <c r="I10" s="1735">
        <v>52.9</v>
      </c>
      <c r="J10" s="1735">
        <v>54.2</v>
      </c>
      <c r="K10" s="1735">
        <v>55.6</v>
      </c>
      <c r="L10" s="1741">
        <f t="shared" si="1"/>
        <v>54.233333333333327</v>
      </c>
    </row>
    <row r="11" spans="1:20" ht="13.2" hidden="1">
      <c r="B11" s="1742" t="s">
        <v>1219</v>
      </c>
      <c r="C11" s="1739" t="s">
        <v>220</v>
      </c>
      <c r="D11" s="1735">
        <v>13.6</v>
      </c>
      <c r="E11" s="1735">
        <v>11.5</v>
      </c>
      <c r="F11" s="1735"/>
      <c r="G11" s="1749">
        <f t="shared" si="0"/>
        <v>8.3666666666666671</v>
      </c>
      <c r="H11" s="1758" t="s">
        <v>164</v>
      </c>
      <c r="I11" s="1735">
        <v>52.9</v>
      </c>
      <c r="J11" s="1735">
        <v>54.2</v>
      </c>
      <c r="K11" s="1735"/>
      <c r="L11" s="1741">
        <f t="shared" si="1"/>
        <v>35.699999999999996</v>
      </c>
    </row>
    <row r="12" spans="1:20" ht="13.2" hidden="1">
      <c r="B12" s="1742" t="s">
        <v>1218</v>
      </c>
      <c r="C12" s="1739" t="s">
        <v>220</v>
      </c>
      <c r="D12" s="1735">
        <v>13.6</v>
      </c>
      <c r="E12" s="1735">
        <v>11.5</v>
      </c>
      <c r="F12" s="1735"/>
      <c r="G12" s="1749">
        <f t="shared" si="0"/>
        <v>8.3666666666666671</v>
      </c>
      <c r="H12" s="1758" t="s">
        <v>164</v>
      </c>
      <c r="I12" s="1735">
        <v>52.9</v>
      </c>
      <c r="J12" s="1735">
        <v>54.2</v>
      </c>
      <c r="K12" s="1735"/>
      <c r="L12" s="1741">
        <f t="shared" si="1"/>
        <v>35.699999999999996</v>
      </c>
    </row>
    <row r="13" spans="1:20" ht="13.2">
      <c r="B13" s="1765" t="s">
        <v>85</v>
      </c>
      <c r="C13" s="1764" t="s">
        <v>220</v>
      </c>
      <c r="D13" s="1763">
        <v>13.6</v>
      </c>
      <c r="E13" s="1763">
        <v>11.5</v>
      </c>
      <c r="F13" s="1763">
        <v>12.6</v>
      </c>
      <c r="G13" s="1749">
        <f t="shared" si="0"/>
        <v>12.566666666666668</v>
      </c>
      <c r="H13" s="1762" t="s">
        <v>164</v>
      </c>
      <c r="I13" s="1761">
        <v>67.400000000000006</v>
      </c>
      <c r="J13" s="1761">
        <v>67.400000000000006</v>
      </c>
      <c r="K13" s="1761">
        <f>$I$101</f>
        <v>73.63333333333334</v>
      </c>
      <c r="L13" s="1741">
        <f t="shared" si="1"/>
        <v>69.477777777777774</v>
      </c>
    </row>
    <row r="14" spans="1:20" ht="13.2">
      <c r="B14" s="1742" t="s">
        <v>257</v>
      </c>
      <c r="C14" s="1739" t="s">
        <v>220</v>
      </c>
      <c r="D14" s="1735">
        <v>13.6</v>
      </c>
      <c r="E14" s="1735">
        <v>11.5</v>
      </c>
      <c r="F14" s="1735">
        <v>12.6</v>
      </c>
      <c r="G14" s="1749">
        <f t="shared" si="0"/>
        <v>12.566666666666668</v>
      </c>
      <c r="H14" s="1758" t="s">
        <v>164</v>
      </c>
      <c r="I14" s="1768">
        <v>53.9</v>
      </c>
      <c r="J14" s="1768">
        <v>49.6</v>
      </c>
      <c r="K14" s="1735">
        <v>58.2</v>
      </c>
      <c r="L14" s="1741">
        <f t="shared" si="1"/>
        <v>53.9</v>
      </c>
    </row>
    <row r="15" spans="1:20" ht="13.2">
      <c r="B15" s="1742" t="s">
        <v>76</v>
      </c>
      <c r="C15" s="1739" t="s">
        <v>220</v>
      </c>
      <c r="D15" s="1735">
        <v>17.899999999999999</v>
      </c>
      <c r="E15" s="1735">
        <v>16.8</v>
      </c>
      <c r="F15" s="1735">
        <v>17.899999999999999</v>
      </c>
      <c r="G15" s="1749">
        <f t="shared" si="0"/>
        <v>17.533333333333335</v>
      </c>
      <c r="H15" s="1758" t="s">
        <v>164</v>
      </c>
      <c r="I15" s="1735">
        <v>54.4</v>
      </c>
      <c r="J15" s="1735">
        <v>50.1</v>
      </c>
      <c r="K15" s="1735">
        <v>58.2</v>
      </c>
      <c r="L15" s="1741">
        <f t="shared" si="1"/>
        <v>54.233333333333327</v>
      </c>
    </row>
    <row r="16" spans="1:20" ht="13.2">
      <c r="B16" s="1742" t="s">
        <v>1217</v>
      </c>
      <c r="C16" s="1739" t="s">
        <v>220</v>
      </c>
      <c r="D16" s="1735">
        <v>14.5</v>
      </c>
      <c r="E16" s="1735">
        <v>14.25</v>
      </c>
      <c r="F16" s="1735">
        <v>14</v>
      </c>
      <c r="G16" s="1749">
        <f t="shared" si="0"/>
        <v>14.25</v>
      </c>
      <c r="H16" s="1758" t="s">
        <v>164</v>
      </c>
      <c r="I16" s="1768">
        <v>46.6</v>
      </c>
      <c r="J16" s="1768">
        <v>45.6</v>
      </c>
      <c r="K16" s="1735">
        <v>46.1</v>
      </c>
      <c r="L16" s="1741">
        <f t="shared" si="1"/>
        <v>46.1</v>
      </c>
    </row>
    <row r="17" spans="2:12" ht="13.2">
      <c r="B17" s="1742" t="s">
        <v>1216</v>
      </c>
      <c r="C17" s="1739" t="s">
        <v>220</v>
      </c>
      <c r="D17" s="1735">
        <v>14.5</v>
      </c>
      <c r="E17" s="1735">
        <v>14.25</v>
      </c>
      <c r="F17" s="1735">
        <v>14</v>
      </c>
      <c r="G17" s="1749">
        <f t="shared" si="0"/>
        <v>14.25</v>
      </c>
      <c r="H17" s="1758" t="s">
        <v>164</v>
      </c>
      <c r="I17" s="1735">
        <v>47</v>
      </c>
      <c r="J17" s="1735">
        <v>44.9</v>
      </c>
      <c r="K17" s="1735">
        <v>46.1</v>
      </c>
      <c r="L17" s="1741">
        <f t="shared" si="1"/>
        <v>46</v>
      </c>
    </row>
    <row r="18" spans="2:12" ht="13.2" hidden="1">
      <c r="B18" s="1742" t="s">
        <v>1215</v>
      </c>
      <c r="C18" s="1739" t="s">
        <v>220</v>
      </c>
      <c r="D18" s="1735">
        <v>13.6</v>
      </c>
      <c r="E18" s="1735">
        <v>11.5</v>
      </c>
      <c r="F18" s="1735"/>
      <c r="G18" s="1749">
        <f t="shared" si="0"/>
        <v>8.3666666666666671</v>
      </c>
      <c r="H18" s="1758" t="s">
        <v>164</v>
      </c>
      <c r="I18" s="1735">
        <v>43.7</v>
      </c>
      <c r="J18" s="1735">
        <v>46.3</v>
      </c>
      <c r="K18" s="1735"/>
      <c r="L18" s="1741">
        <f t="shared" si="1"/>
        <v>30</v>
      </c>
    </row>
    <row r="19" spans="2:12" ht="13.2" hidden="1">
      <c r="B19" s="1742" t="s">
        <v>1214</v>
      </c>
      <c r="C19" s="1739" t="s">
        <v>220</v>
      </c>
      <c r="D19" s="1735">
        <v>13.6</v>
      </c>
      <c r="E19" s="1735">
        <v>11.5</v>
      </c>
      <c r="F19" s="1735"/>
      <c r="G19" s="1749">
        <f t="shared" si="0"/>
        <v>8.3666666666666671</v>
      </c>
      <c r="H19" s="1758" t="s">
        <v>164</v>
      </c>
      <c r="I19" s="1735">
        <v>43.7</v>
      </c>
      <c r="J19" s="1735">
        <v>46.3</v>
      </c>
      <c r="K19" s="1735"/>
      <c r="L19" s="1741">
        <f t="shared" si="1"/>
        <v>30</v>
      </c>
    </row>
    <row r="20" spans="2:12" ht="13.2">
      <c r="B20" s="1742" t="s">
        <v>1213</v>
      </c>
      <c r="C20" s="1739" t="s">
        <v>220</v>
      </c>
      <c r="D20" s="1735">
        <v>13</v>
      </c>
      <c r="E20" s="1735">
        <v>12</v>
      </c>
      <c r="F20" s="1735">
        <v>13</v>
      </c>
      <c r="G20" s="1749">
        <f t="shared" si="0"/>
        <v>12.666666666666666</v>
      </c>
      <c r="H20" s="1758" t="s">
        <v>164</v>
      </c>
      <c r="I20" s="1768">
        <v>67.5</v>
      </c>
      <c r="J20" s="1768">
        <v>53.1</v>
      </c>
      <c r="K20" s="1735">
        <v>67.8</v>
      </c>
      <c r="L20" s="1741">
        <f t="shared" si="1"/>
        <v>62.79999999999999</v>
      </c>
    </row>
    <row r="21" spans="2:12" ht="13.2">
      <c r="B21" s="1742" t="s">
        <v>1212</v>
      </c>
      <c r="C21" s="1739" t="s">
        <v>220</v>
      </c>
      <c r="D21" s="1735">
        <v>13</v>
      </c>
      <c r="E21" s="1735">
        <v>12</v>
      </c>
      <c r="F21" s="1735">
        <v>13</v>
      </c>
      <c r="G21" s="1749">
        <f t="shared" si="0"/>
        <v>12.666666666666666</v>
      </c>
      <c r="H21" s="1758" t="s">
        <v>164</v>
      </c>
      <c r="I21" s="1735">
        <v>67.400000000000006</v>
      </c>
      <c r="J21" s="1735">
        <v>58.5</v>
      </c>
      <c r="K21" s="1735">
        <v>67.8</v>
      </c>
      <c r="L21" s="1741">
        <f t="shared" si="1"/>
        <v>64.566666666666663</v>
      </c>
    </row>
    <row r="22" spans="2:12" ht="13.2">
      <c r="B22" s="1742" t="s">
        <v>1211</v>
      </c>
      <c r="C22" s="1739" t="s">
        <v>220</v>
      </c>
      <c r="D22" s="1735">
        <v>22.7</v>
      </c>
      <c r="E22" s="1735">
        <v>22.5</v>
      </c>
      <c r="F22" s="1735">
        <v>22.3</v>
      </c>
      <c r="G22" s="1749">
        <f t="shared" si="0"/>
        <v>22.5</v>
      </c>
      <c r="H22" s="1758" t="s">
        <v>164</v>
      </c>
      <c r="I22" s="1735">
        <v>60</v>
      </c>
      <c r="J22" s="1735">
        <v>55</v>
      </c>
      <c r="K22" s="1735">
        <v>60</v>
      </c>
      <c r="L22" s="1741">
        <f t="shared" si="1"/>
        <v>58.333333333333336</v>
      </c>
    </row>
    <row r="23" spans="2:12" ht="13.2">
      <c r="B23" s="1742" t="s">
        <v>1210</v>
      </c>
      <c r="C23" s="1739" t="s">
        <v>220</v>
      </c>
      <c r="D23" s="1735">
        <v>22.7</v>
      </c>
      <c r="E23" s="1735">
        <v>24.7</v>
      </c>
      <c r="F23" s="1735"/>
      <c r="G23" s="1749">
        <f t="shared" si="0"/>
        <v>15.799999999999999</v>
      </c>
      <c r="H23" s="1758" t="s">
        <v>164</v>
      </c>
      <c r="I23" s="1735">
        <v>50</v>
      </c>
      <c r="J23" s="1735">
        <v>45</v>
      </c>
      <c r="K23" s="1735"/>
      <c r="L23" s="1741">
        <f t="shared" si="1"/>
        <v>31.666666666666668</v>
      </c>
    </row>
    <row r="24" spans="2:12" ht="13.2">
      <c r="B24" s="1765" t="s">
        <v>69</v>
      </c>
      <c r="C24" s="1764" t="s">
        <v>220</v>
      </c>
      <c r="D24" s="1763">
        <v>17</v>
      </c>
      <c r="E24" s="1763">
        <v>15</v>
      </c>
      <c r="F24" s="1763">
        <v>14.2</v>
      </c>
      <c r="G24" s="1749">
        <f t="shared" si="0"/>
        <v>15.4</v>
      </c>
      <c r="H24" s="1762" t="s">
        <v>164</v>
      </c>
      <c r="I24" s="1761">
        <v>84.3</v>
      </c>
      <c r="J24" s="1761">
        <v>96.1</v>
      </c>
      <c r="K24" s="1767">
        <v>106.5</v>
      </c>
      <c r="L24" s="1741">
        <f t="shared" si="1"/>
        <v>95.633333333333326</v>
      </c>
    </row>
    <row r="25" spans="2:12" ht="13.2" hidden="1">
      <c r="B25" s="1742" t="s">
        <v>1209</v>
      </c>
      <c r="C25" s="1739" t="s">
        <v>220</v>
      </c>
      <c r="D25" s="1735">
        <v>15.6</v>
      </c>
      <c r="E25" s="1735">
        <v>13.8</v>
      </c>
      <c r="F25" s="1735"/>
      <c r="G25" s="1749">
        <f t="shared" si="0"/>
        <v>9.7999999999999989</v>
      </c>
      <c r="H25" s="1758" t="s">
        <v>164</v>
      </c>
      <c r="I25" s="1735">
        <v>103</v>
      </c>
      <c r="J25" s="1735">
        <v>130</v>
      </c>
      <c r="K25" s="1735"/>
      <c r="L25" s="1741">
        <f t="shared" si="1"/>
        <v>77.666666666666671</v>
      </c>
    </row>
    <row r="26" spans="2:12" ht="12.6" hidden="1" customHeight="1">
      <c r="B26" s="1742" t="s">
        <v>1208</v>
      </c>
      <c r="C26" s="1739" t="s">
        <v>220</v>
      </c>
      <c r="D26" s="1735">
        <v>21.5</v>
      </c>
      <c r="E26" s="1735">
        <v>15</v>
      </c>
      <c r="F26" s="1735"/>
      <c r="G26" s="1749">
        <f t="shared" si="0"/>
        <v>12.166666666666666</v>
      </c>
      <c r="H26" s="1758" t="s">
        <v>164</v>
      </c>
      <c r="I26" s="1735">
        <v>70</v>
      </c>
      <c r="J26" s="1735">
        <v>58.5</v>
      </c>
      <c r="K26" s="1735"/>
      <c r="L26" s="1741">
        <f t="shared" si="1"/>
        <v>42.833333333333336</v>
      </c>
    </row>
    <row r="27" spans="2:12" ht="13.2" hidden="1">
      <c r="B27" s="1742" t="s">
        <v>1207</v>
      </c>
      <c r="C27" s="1739" t="s">
        <v>220</v>
      </c>
      <c r="D27" s="1766"/>
      <c r="E27" s="1766"/>
      <c r="F27" s="1766"/>
      <c r="G27" s="1749">
        <f t="shared" si="0"/>
        <v>0</v>
      </c>
      <c r="H27" s="1758" t="s">
        <v>1206</v>
      </c>
      <c r="I27" s="1760"/>
      <c r="J27" s="1760"/>
      <c r="K27" s="1760"/>
      <c r="L27" s="1741">
        <f t="shared" si="1"/>
        <v>0</v>
      </c>
    </row>
    <row r="28" spans="2:12" ht="13.2" hidden="1">
      <c r="B28" s="1742" t="s">
        <v>1162</v>
      </c>
      <c r="C28" s="1739" t="s">
        <v>1205</v>
      </c>
      <c r="D28" s="1735">
        <v>2.4E-2</v>
      </c>
      <c r="E28" s="1735">
        <v>2.1000000000000001E-2</v>
      </c>
      <c r="F28" s="1735"/>
      <c r="G28" s="1749">
        <f t="shared" si="0"/>
        <v>1.4999999999999999E-2</v>
      </c>
      <c r="H28" s="1758" t="s">
        <v>164</v>
      </c>
      <c r="I28" s="1760">
        <v>70000</v>
      </c>
      <c r="J28" s="1760">
        <v>89000</v>
      </c>
      <c r="K28" s="1760"/>
      <c r="L28" s="1741">
        <f t="shared" si="1"/>
        <v>53000</v>
      </c>
    </row>
    <row r="29" spans="2:12" ht="12.6" customHeight="1">
      <c r="B29" s="1742" t="s">
        <v>1204</v>
      </c>
      <c r="C29" s="1739" t="s">
        <v>220</v>
      </c>
      <c r="D29" s="1735">
        <v>107.184</v>
      </c>
      <c r="E29" s="1735">
        <v>100.86</v>
      </c>
      <c r="F29" s="1735">
        <v>93.7</v>
      </c>
      <c r="G29" s="1749">
        <f t="shared" si="0"/>
        <v>100.58133333333332</v>
      </c>
      <c r="H29" s="1758" t="s">
        <v>164</v>
      </c>
      <c r="I29" s="1735">
        <v>36.25</v>
      </c>
      <c r="J29" s="1735">
        <v>41</v>
      </c>
      <c r="K29" s="1735">
        <v>44.3</v>
      </c>
      <c r="L29" s="1741">
        <f t="shared" si="1"/>
        <v>40.516666666666666</v>
      </c>
    </row>
    <row r="30" spans="2:12" ht="13.2">
      <c r="B30" s="1765" t="s">
        <v>1203</v>
      </c>
      <c r="C30" s="1764" t="s">
        <v>220</v>
      </c>
      <c r="D30" s="1763">
        <v>35</v>
      </c>
      <c r="E30" s="1763">
        <v>33.700000000000003</v>
      </c>
      <c r="F30" s="1763">
        <v>34.1</v>
      </c>
      <c r="G30" s="1749">
        <f t="shared" si="0"/>
        <v>34.266666666666673</v>
      </c>
      <c r="H30" s="1762" t="s">
        <v>164</v>
      </c>
      <c r="I30" s="1761">
        <v>40.799999999999997</v>
      </c>
      <c r="J30" s="1761">
        <v>38.799999999999997</v>
      </c>
      <c r="K30" s="1761">
        <f>$I$109</f>
        <v>37.700000000000003</v>
      </c>
      <c r="L30" s="1741">
        <f t="shared" si="1"/>
        <v>39.1</v>
      </c>
    </row>
    <row r="31" spans="2:12" ht="13.2">
      <c r="B31" s="1742" t="s">
        <v>1202</v>
      </c>
      <c r="C31" s="1739" t="s">
        <v>220</v>
      </c>
      <c r="D31" s="1735">
        <v>35</v>
      </c>
      <c r="E31" s="1735">
        <v>33.700000000000003</v>
      </c>
      <c r="F31" s="1735">
        <v>34.1</v>
      </c>
      <c r="G31" s="1749">
        <f t="shared" si="0"/>
        <v>34.266666666666673</v>
      </c>
      <c r="H31" s="1758" t="s">
        <v>164</v>
      </c>
      <c r="I31" s="1735">
        <v>24</v>
      </c>
      <c r="J31" s="1735">
        <v>22</v>
      </c>
      <c r="K31" s="1735">
        <v>24</v>
      </c>
      <c r="L31" s="1741">
        <f t="shared" si="1"/>
        <v>23.333333333333332</v>
      </c>
    </row>
    <row r="32" spans="2:12" ht="13.2">
      <c r="B32" s="1742" t="s">
        <v>59</v>
      </c>
      <c r="C32" s="1739" t="s">
        <v>220</v>
      </c>
      <c r="D32" s="1735">
        <v>37</v>
      </c>
      <c r="E32" s="1735">
        <v>35.700000000000003</v>
      </c>
      <c r="F32" s="1735">
        <v>37</v>
      </c>
      <c r="G32" s="1749">
        <f t="shared" si="0"/>
        <v>36.56666666666667</v>
      </c>
      <c r="H32" s="1758" t="s">
        <v>1201</v>
      </c>
      <c r="I32" s="1760">
        <v>24</v>
      </c>
      <c r="J32" s="1760">
        <v>22</v>
      </c>
      <c r="K32" s="1759">
        <v>24</v>
      </c>
      <c r="L32" s="1741">
        <f t="shared" si="1"/>
        <v>23.333333333333332</v>
      </c>
    </row>
    <row r="33" spans="1:16" ht="13.2" hidden="1">
      <c r="B33" s="1742" t="s">
        <v>1200</v>
      </c>
      <c r="C33" s="1739" t="s">
        <v>1199</v>
      </c>
      <c r="D33" s="1735">
        <v>0.33</v>
      </c>
      <c r="E33" s="1735">
        <v>0.31</v>
      </c>
      <c r="F33" s="1735"/>
      <c r="G33" s="1749">
        <f t="shared" si="0"/>
        <v>0.21333333333333335</v>
      </c>
      <c r="H33" s="1758" t="s">
        <v>164</v>
      </c>
      <c r="I33" s="1735">
        <v>6500</v>
      </c>
      <c r="J33" s="1735">
        <v>7400</v>
      </c>
      <c r="K33" s="1735"/>
      <c r="L33" s="1741">
        <f t="shared" si="1"/>
        <v>4633.333333333333</v>
      </c>
    </row>
    <row r="34" spans="1:16" ht="13.2">
      <c r="B34" s="1742" t="s">
        <v>187</v>
      </c>
      <c r="C34" s="1739" t="s">
        <v>220</v>
      </c>
      <c r="D34" s="1735">
        <v>40</v>
      </c>
      <c r="E34" s="1735">
        <v>42</v>
      </c>
      <c r="F34" s="1735">
        <v>31</v>
      </c>
      <c r="G34" s="1749">
        <f t="shared" si="0"/>
        <v>37.666666666666664</v>
      </c>
      <c r="H34" s="1758" t="s">
        <v>164</v>
      </c>
      <c r="I34" s="1735">
        <v>260</v>
      </c>
      <c r="J34" s="1735">
        <v>240</v>
      </c>
      <c r="K34" s="1735">
        <v>260</v>
      </c>
      <c r="L34" s="1741">
        <f t="shared" si="1"/>
        <v>253.33333333333334</v>
      </c>
    </row>
    <row r="35" spans="1:16" ht="13.2">
      <c r="B35" s="1742" t="s">
        <v>618</v>
      </c>
      <c r="C35" s="1739" t="s">
        <v>220</v>
      </c>
      <c r="D35" s="1755">
        <v>21</v>
      </c>
      <c r="E35" s="1755">
        <v>18</v>
      </c>
      <c r="F35" s="1755">
        <v>13.5</v>
      </c>
      <c r="G35" s="1749">
        <f t="shared" si="0"/>
        <v>17.5</v>
      </c>
      <c r="H35" s="1757" t="s">
        <v>164</v>
      </c>
      <c r="I35" s="1756">
        <v>369.4</v>
      </c>
      <c r="J35" s="1756">
        <v>365.6</v>
      </c>
      <c r="K35" s="1755">
        <v>480</v>
      </c>
      <c r="L35" s="1741">
        <f t="shared" si="1"/>
        <v>405</v>
      </c>
    </row>
    <row r="36" spans="1:16" ht="13.2">
      <c r="B36" s="1742" t="s">
        <v>1198</v>
      </c>
      <c r="C36" s="1562" t="s">
        <v>220</v>
      </c>
      <c r="D36" s="1753">
        <v>30</v>
      </c>
      <c r="E36" s="1753">
        <v>28</v>
      </c>
      <c r="F36" s="1753">
        <v>25</v>
      </c>
      <c r="G36" s="1749">
        <f t="shared" si="0"/>
        <v>27.666666666666668</v>
      </c>
      <c r="H36" s="1754" t="s">
        <v>164</v>
      </c>
      <c r="I36" s="1753">
        <v>245</v>
      </c>
      <c r="J36" s="1753">
        <v>170</v>
      </c>
      <c r="K36" s="1753">
        <v>250</v>
      </c>
      <c r="L36" s="1741">
        <f t="shared" si="1"/>
        <v>221.66666666666666</v>
      </c>
    </row>
    <row r="37" spans="1:16" ht="13.8" thickBot="1">
      <c r="A37" s="1752"/>
      <c r="B37" s="1751" t="s">
        <v>44</v>
      </c>
      <c r="C37" s="1750" t="s">
        <v>220</v>
      </c>
      <c r="D37" s="1746">
        <v>3.63</v>
      </c>
      <c r="E37" s="1746">
        <v>3.53</v>
      </c>
      <c r="F37" s="1746">
        <v>3</v>
      </c>
      <c r="G37" s="1749">
        <f t="shared" si="0"/>
        <v>3.3866666666666667</v>
      </c>
      <c r="H37" s="1748" t="s">
        <v>164</v>
      </c>
      <c r="I37" s="1747">
        <v>673.8</v>
      </c>
      <c r="J37" s="1747">
        <v>775.2</v>
      </c>
      <c r="K37" s="1746">
        <v>910</v>
      </c>
      <c r="L37" s="1741">
        <f t="shared" si="1"/>
        <v>786.33333333333337</v>
      </c>
    </row>
    <row r="38" spans="1:16" ht="14.4" hidden="1" thickTop="1" thickBot="1">
      <c r="B38" s="1742" t="s">
        <v>1197</v>
      </c>
      <c r="C38" s="1739" t="s">
        <v>220</v>
      </c>
      <c r="D38" s="1745"/>
      <c r="E38" s="1745"/>
      <c r="F38" s="1745"/>
      <c r="G38" s="1745"/>
      <c r="H38" s="1745"/>
      <c r="I38" s="1743" t="e">
        <f>(D38*$D$4+E38*$E$4+F38*$F$4+G38*#REF!+H38*#REF!)/($D$4+$E$4+$F$4+#REF!+#REF!)</f>
        <v>#REF!</v>
      </c>
      <c r="J38" s="1807" t="s">
        <v>164</v>
      </c>
      <c r="K38" s="1745"/>
      <c r="L38" s="1744"/>
      <c r="M38" s="1744"/>
      <c r="N38" s="1744"/>
      <c r="O38" s="1744"/>
      <c r="P38" s="1743" t="e">
        <f>(K38*$D$4+L38*$E$4+M38*$F$4+N38*#REF!+O38*#REF!)/($D$4+$E$4+$F$4+#REF!+#REF!)</f>
        <v>#REF!</v>
      </c>
    </row>
    <row r="39" spans="1:16" ht="14.4" hidden="1" thickTop="1" thickBot="1">
      <c r="B39" s="1742" t="s">
        <v>1196</v>
      </c>
      <c r="C39" s="1739" t="s">
        <v>220</v>
      </c>
      <c r="D39" s="1736"/>
      <c r="E39" s="1736"/>
      <c r="F39" s="1736"/>
      <c r="G39" s="1736"/>
      <c r="H39" s="1736"/>
      <c r="I39" s="1734" t="e">
        <f>(D39*$D$4+E39*$E$4+F39*$F$4+G39*#REF!+H39*#REF!)/($D$4+$E$4+$F$4+#REF!+#REF!)</f>
        <v>#REF!</v>
      </c>
      <c r="J39" s="1737" t="s">
        <v>164</v>
      </c>
      <c r="K39" s="1736"/>
      <c r="L39" s="1735"/>
      <c r="M39" s="1735"/>
      <c r="N39" s="1735"/>
      <c r="O39" s="1735"/>
      <c r="P39" s="1734" t="e">
        <f>(K39*$D$4+L39*$E$4+M39*$F$4+N39*#REF!+O39*#REF!)/($D$4+$E$4+$F$4+#REF!+#REF!)</f>
        <v>#REF!</v>
      </c>
    </row>
    <row r="40" spans="1:16" ht="14.4" hidden="1" thickTop="1" thickBot="1">
      <c r="B40" s="1740" t="s">
        <v>1195</v>
      </c>
      <c r="C40" s="1739" t="s">
        <v>220</v>
      </c>
      <c r="D40" s="1738"/>
      <c r="E40" s="1738"/>
      <c r="F40" s="1738"/>
      <c r="G40" s="1738"/>
      <c r="H40" s="1738"/>
      <c r="I40" s="1734"/>
      <c r="J40" s="1737"/>
      <c r="K40" s="1736"/>
      <c r="L40" s="1735"/>
      <c r="M40" s="1735"/>
      <c r="N40" s="1735"/>
      <c r="O40" s="1735"/>
      <c r="P40" s="1734"/>
    </row>
    <row r="41" spans="1:16" ht="12" thickTop="1">
      <c r="A41" s="1733"/>
      <c r="B41" s="1732"/>
    </row>
    <row r="44" spans="1:16" ht="13.2">
      <c r="B44" s="1436" t="s">
        <v>1194</v>
      </c>
    </row>
    <row r="45" spans="1:16" ht="15.6" hidden="1">
      <c r="B45" s="1731" t="s">
        <v>1193</v>
      </c>
    </row>
    <row r="46" spans="1:16" ht="13.2" hidden="1">
      <c r="B46" s="1730" t="s">
        <v>1192</v>
      </c>
      <c r="C46" s="1721"/>
      <c r="D46" s="1721"/>
      <c r="E46" s="1721"/>
      <c r="F46" s="1729">
        <v>2011</v>
      </c>
      <c r="G46" s="1729">
        <v>2010</v>
      </c>
      <c r="H46" s="1729">
        <v>2009</v>
      </c>
      <c r="I46" s="1728">
        <v>2008</v>
      </c>
      <c r="J46" s="1728">
        <v>2007</v>
      </c>
      <c r="K46" s="1728"/>
      <c r="L46" s="1727" t="s">
        <v>1191</v>
      </c>
    </row>
    <row r="47" spans="1:16" ht="13.2" hidden="1">
      <c r="B47" s="1721"/>
      <c r="C47" s="1721"/>
      <c r="D47" s="1721"/>
      <c r="E47" s="1721"/>
      <c r="F47" s="1721"/>
      <c r="G47" s="1726"/>
      <c r="H47" s="1726"/>
      <c r="I47" s="1725"/>
      <c r="J47" s="1725"/>
      <c r="K47" s="1725"/>
      <c r="L47" s="1724"/>
    </row>
    <row r="48" spans="1:16" ht="13.2" hidden="1">
      <c r="B48" s="1723" t="s">
        <v>259</v>
      </c>
      <c r="C48" s="1721"/>
      <c r="D48" s="1721"/>
      <c r="E48" s="1721"/>
      <c r="F48" s="1722">
        <v>69.8</v>
      </c>
      <c r="G48" s="1721">
        <v>69</v>
      </c>
      <c r="H48" s="1721">
        <v>73.5</v>
      </c>
      <c r="I48" s="1720">
        <v>74.400000000000006</v>
      </c>
      <c r="J48" s="1720">
        <v>72.3</v>
      </c>
      <c r="K48" s="1720"/>
      <c r="L48" s="1720">
        <v>71.800000000000011</v>
      </c>
    </row>
    <row r="49" spans="2:12" ht="13.2" hidden="1">
      <c r="B49" s="1723" t="s">
        <v>80</v>
      </c>
      <c r="C49" s="1721"/>
      <c r="D49" s="1721"/>
      <c r="E49" s="1721"/>
      <c r="F49" s="1722"/>
      <c r="G49" s="1721">
        <v>56.1</v>
      </c>
      <c r="H49" s="1721">
        <v>60.1</v>
      </c>
      <c r="I49" s="1720">
        <v>59.1</v>
      </c>
      <c r="J49" s="1720">
        <v>54.8</v>
      </c>
      <c r="K49" s="1720"/>
      <c r="L49" s="1720">
        <v>57.525000000000006</v>
      </c>
    </row>
    <row r="50" spans="2:12" ht="13.2" hidden="1">
      <c r="B50" s="1723" t="s">
        <v>72</v>
      </c>
      <c r="C50" s="1721"/>
      <c r="D50" s="1721"/>
      <c r="E50" s="1721"/>
      <c r="F50" s="1722"/>
      <c r="G50" s="1721">
        <v>53.4</v>
      </c>
      <c r="H50" s="1721">
        <v>55.2</v>
      </c>
      <c r="I50" s="1720">
        <v>60.4</v>
      </c>
      <c r="J50" s="1720">
        <v>48.8</v>
      </c>
      <c r="K50" s="1720"/>
      <c r="L50" s="1720">
        <v>54.45</v>
      </c>
    </row>
    <row r="51" spans="2:12" ht="13.2" hidden="1">
      <c r="B51" s="1723" t="s">
        <v>930</v>
      </c>
      <c r="C51" s="1721"/>
      <c r="D51" s="1721"/>
      <c r="E51" s="1721"/>
      <c r="F51" s="1722"/>
      <c r="G51" s="1721">
        <v>55.7</v>
      </c>
      <c r="H51" s="1721">
        <v>60.2</v>
      </c>
      <c r="I51" s="1720">
        <v>58.8</v>
      </c>
      <c r="J51" s="1720">
        <v>53.1</v>
      </c>
      <c r="K51" s="1720"/>
      <c r="L51" s="1720">
        <v>56.949999999999996</v>
      </c>
    </row>
    <row r="52" spans="2:12" ht="13.2" hidden="1">
      <c r="B52" s="1723" t="s">
        <v>87</v>
      </c>
      <c r="C52" s="1721"/>
      <c r="D52" s="1721"/>
      <c r="E52" s="1721"/>
      <c r="F52" s="1722">
        <v>67.5</v>
      </c>
      <c r="G52" s="1721">
        <v>65.900000000000006</v>
      </c>
      <c r="H52" s="1721">
        <v>69</v>
      </c>
      <c r="I52" s="1720">
        <v>68.099999999999994</v>
      </c>
      <c r="J52" s="1720">
        <v>67.400000000000006</v>
      </c>
      <c r="K52" s="1720"/>
      <c r="L52" s="1720">
        <v>67.58</v>
      </c>
    </row>
    <row r="53" spans="2:12" ht="13.2" hidden="1">
      <c r="B53" s="1723" t="s">
        <v>85</v>
      </c>
      <c r="C53" s="1721"/>
      <c r="D53" s="1721"/>
      <c r="E53" s="1721"/>
      <c r="F53" s="1722">
        <v>61.7</v>
      </c>
      <c r="G53" s="1721">
        <v>62.1</v>
      </c>
      <c r="H53" s="1721">
        <v>65.599999999999994</v>
      </c>
      <c r="I53" s="1720">
        <v>58.4</v>
      </c>
      <c r="J53" s="1720">
        <v>60.2</v>
      </c>
      <c r="K53" s="1720"/>
      <c r="L53" s="1720">
        <v>61.6</v>
      </c>
    </row>
    <row r="54" spans="2:12" ht="13.2" hidden="1">
      <c r="B54" s="1723" t="s">
        <v>257</v>
      </c>
      <c r="C54" s="1721"/>
      <c r="D54" s="1721"/>
      <c r="E54" s="1721"/>
      <c r="F54" s="1722">
        <v>50.4</v>
      </c>
      <c r="G54" s="1721">
        <v>55</v>
      </c>
      <c r="H54" s="1721">
        <v>55.3</v>
      </c>
      <c r="I54" s="1720">
        <v>53.2</v>
      </c>
      <c r="J54" s="1720">
        <v>44.3</v>
      </c>
      <c r="K54" s="1720"/>
      <c r="L54" s="1720">
        <v>51.64</v>
      </c>
    </row>
    <row r="55" spans="2:12" ht="13.2" hidden="1">
      <c r="B55" s="1723" t="s">
        <v>74</v>
      </c>
      <c r="C55" s="1721"/>
      <c r="D55" s="1721"/>
      <c r="E55" s="1721"/>
      <c r="F55" s="1722">
        <v>47.8</v>
      </c>
      <c r="G55" s="1721">
        <v>49.5</v>
      </c>
      <c r="H55" s="1721">
        <v>59</v>
      </c>
      <c r="I55" s="1720">
        <v>55.5</v>
      </c>
      <c r="J55" s="1720">
        <v>44.7</v>
      </c>
      <c r="K55" s="1720"/>
      <c r="L55" s="1720">
        <v>51.3</v>
      </c>
    </row>
    <row r="56" spans="2:12" ht="13.2" hidden="1">
      <c r="B56" s="1723" t="s">
        <v>1190</v>
      </c>
      <c r="C56" s="1721"/>
      <c r="D56" s="1721"/>
      <c r="E56" s="1721"/>
      <c r="F56" s="1722">
        <v>121.2</v>
      </c>
      <c r="G56" s="1721">
        <v>98.5</v>
      </c>
      <c r="H56" s="1721">
        <v>109.2</v>
      </c>
      <c r="I56" s="1720">
        <v>105.4</v>
      </c>
      <c r="J56" s="1720">
        <v>97.9</v>
      </c>
      <c r="K56" s="1720"/>
      <c r="L56" s="1720">
        <v>106.43999999999998</v>
      </c>
    </row>
    <row r="57" spans="2:12" ht="13.2" hidden="1">
      <c r="B57" s="1723" t="s">
        <v>44</v>
      </c>
      <c r="C57" s="1721"/>
      <c r="D57" s="1721"/>
      <c r="E57" s="1721"/>
      <c r="F57" s="1722">
        <v>802.5</v>
      </c>
      <c r="G57" s="1721">
        <v>689.9</v>
      </c>
      <c r="H57" s="1721">
        <v>727.2</v>
      </c>
      <c r="I57" s="1720">
        <v>667.8</v>
      </c>
      <c r="J57" s="1720">
        <v>644.20000000000005</v>
      </c>
      <c r="K57" s="1720"/>
      <c r="L57" s="1720">
        <v>706.32</v>
      </c>
    </row>
    <row r="58" spans="2:12" ht="13.2" hidden="1">
      <c r="B58" s="1723" t="s">
        <v>187</v>
      </c>
      <c r="C58" s="1721"/>
      <c r="D58" s="1721"/>
      <c r="E58" s="1721"/>
      <c r="F58" s="1722"/>
      <c r="G58" s="1721"/>
      <c r="H58" s="1721">
        <v>270.7</v>
      </c>
      <c r="I58" s="1720">
        <v>282.39999999999998</v>
      </c>
      <c r="J58" s="1720">
        <v>283.7</v>
      </c>
      <c r="K58" s="1720"/>
      <c r="L58" s="1720">
        <v>278.93333333333334</v>
      </c>
    </row>
    <row r="59" spans="2:12" ht="13.2" hidden="1">
      <c r="B59" s="1723" t="s">
        <v>1189</v>
      </c>
      <c r="C59" s="1721"/>
      <c r="D59" s="1721"/>
      <c r="E59" s="1721"/>
      <c r="F59" s="1722"/>
      <c r="G59" s="1721"/>
      <c r="H59" s="1721">
        <v>387.2</v>
      </c>
      <c r="I59" s="1720">
        <v>371.3</v>
      </c>
      <c r="J59" s="1720">
        <v>363.3</v>
      </c>
      <c r="K59" s="1720"/>
      <c r="L59" s="1720">
        <v>373.93333333333334</v>
      </c>
    </row>
    <row r="60" spans="2:12" ht="13.2" hidden="1">
      <c r="B60" s="1723" t="s">
        <v>671</v>
      </c>
      <c r="C60" s="1721"/>
      <c r="D60" s="1721"/>
      <c r="E60" s="1721"/>
      <c r="F60" s="1722">
        <v>443.2</v>
      </c>
      <c r="G60" s="1721">
        <v>346.8</v>
      </c>
      <c r="H60" s="1721"/>
      <c r="I60" s="1720"/>
      <c r="J60" s="1720">
        <v>349.9</v>
      </c>
      <c r="K60" s="1720"/>
      <c r="L60" s="1720">
        <v>379.9666666666667</v>
      </c>
    </row>
    <row r="61" spans="2:12" ht="13.2" hidden="1">
      <c r="B61" s="1723" t="s">
        <v>63</v>
      </c>
      <c r="C61" s="1721"/>
      <c r="D61" s="1721"/>
      <c r="E61" s="1721"/>
      <c r="F61" s="1722">
        <v>26.5</v>
      </c>
      <c r="G61" s="1721">
        <v>38.799999999999997</v>
      </c>
      <c r="H61" s="1721">
        <v>41.8</v>
      </c>
      <c r="I61" s="1720">
        <v>37.4</v>
      </c>
      <c r="J61" s="1720">
        <v>42.1</v>
      </c>
      <c r="K61" s="1720"/>
      <c r="L61" s="1720">
        <v>37.32</v>
      </c>
    </row>
    <row r="62" spans="2:12" ht="13.2" hidden="1">
      <c r="B62" s="1723" t="s">
        <v>61</v>
      </c>
      <c r="C62" s="1721"/>
      <c r="D62" s="1721"/>
      <c r="E62" s="1721"/>
      <c r="F62" s="1722"/>
      <c r="G62" s="1721">
        <v>25.2</v>
      </c>
      <c r="H62" s="1721">
        <v>24.4</v>
      </c>
      <c r="I62" s="1720">
        <v>26.2</v>
      </c>
      <c r="J62" s="1720">
        <v>24.9</v>
      </c>
      <c r="K62" s="1720"/>
      <c r="L62" s="1720">
        <v>25.174999999999997</v>
      </c>
    </row>
    <row r="63" spans="2:12" ht="13.2" hidden="1">
      <c r="B63" s="1723" t="s">
        <v>53</v>
      </c>
      <c r="C63" s="1721"/>
      <c r="D63" s="1721"/>
      <c r="E63" s="1721"/>
      <c r="F63" s="1722"/>
      <c r="G63" s="1721">
        <v>34.6</v>
      </c>
      <c r="H63" s="1721">
        <v>35.9</v>
      </c>
      <c r="I63" s="1720">
        <v>36.700000000000003</v>
      </c>
      <c r="J63" s="1720">
        <v>34</v>
      </c>
      <c r="K63" s="1720"/>
      <c r="L63" s="1720">
        <v>35.299999999999997</v>
      </c>
    </row>
    <row r="64" spans="2:12" ht="13.2" hidden="1">
      <c r="B64" s="1723" t="s">
        <v>51</v>
      </c>
      <c r="C64" s="1721"/>
      <c r="D64" s="1721"/>
      <c r="E64" s="1721"/>
      <c r="F64" s="1722"/>
      <c r="G64" s="1721">
        <v>32.299999999999997</v>
      </c>
      <c r="H64" s="1721">
        <v>33.5</v>
      </c>
      <c r="I64" s="1720">
        <v>35</v>
      </c>
      <c r="J64" s="1720">
        <v>31.6</v>
      </c>
      <c r="K64" s="1720"/>
      <c r="L64" s="1720">
        <v>33.1</v>
      </c>
    </row>
    <row r="65" spans="2:12" ht="13.2" hidden="1">
      <c r="B65" s="1723" t="s">
        <v>1162</v>
      </c>
      <c r="C65" s="1721"/>
      <c r="D65" s="1721"/>
      <c r="E65" s="1721"/>
      <c r="F65" s="1722">
        <v>484.8</v>
      </c>
      <c r="G65" s="1721">
        <v>439.1</v>
      </c>
      <c r="H65" s="1721">
        <v>484.4</v>
      </c>
      <c r="I65" s="1720">
        <v>478.4</v>
      </c>
      <c r="J65" s="1720">
        <v>469.5</v>
      </c>
      <c r="K65" s="1720"/>
      <c r="L65" s="1720">
        <v>471.24000000000007</v>
      </c>
    </row>
    <row r="66" spans="2:12" ht="13.2" hidden="1">
      <c r="B66" s="1723" t="s">
        <v>1188</v>
      </c>
      <c r="C66" s="1721"/>
      <c r="D66" s="1721"/>
      <c r="E66" s="1721"/>
      <c r="F66" s="1722"/>
      <c r="G66" s="1721"/>
      <c r="H66" s="1721">
        <v>80.099999999999994</v>
      </c>
      <c r="I66" s="1720">
        <v>76.5</v>
      </c>
      <c r="J66" s="1720">
        <v>76.2</v>
      </c>
      <c r="K66" s="1720"/>
      <c r="L66" s="1720">
        <v>77.600000000000009</v>
      </c>
    </row>
    <row r="67" spans="2:12" ht="13.2" hidden="1">
      <c r="B67" s="1723" t="s">
        <v>1187</v>
      </c>
      <c r="C67" s="1721"/>
      <c r="D67" s="1721"/>
      <c r="E67" s="1721"/>
      <c r="F67" s="1722"/>
      <c r="G67" s="1721"/>
      <c r="H67" s="1721">
        <v>82</v>
      </c>
      <c r="I67" s="1720">
        <v>78.5</v>
      </c>
      <c r="J67" s="1720">
        <v>81.2</v>
      </c>
      <c r="K67" s="1720"/>
      <c r="L67" s="1720">
        <v>80.566666666666663</v>
      </c>
    </row>
    <row r="68" spans="2:12" ht="13.2" hidden="1">
      <c r="B68" s="1723" t="s">
        <v>1186</v>
      </c>
      <c r="C68" s="1721"/>
      <c r="D68" s="1721"/>
      <c r="E68" s="1721"/>
      <c r="F68" s="1722">
        <v>66.599999999999994</v>
      </c>
      <c r="G68" s="1721">
        <v>63.6</v>
      </c>
      <c r="H68" s="1721"/>
      <c r="I68" s="1720"/>
      <c r="J68" s="1720"/>
      <c r="K68" s="1720"/>
      <c r="L68" s="1720">
        <v>65.099999999999994</v>
      </c>
    </row>
    <row r="69" spans="2:12" ht="13.2" hidden="1">
      <c r="B69" s="1723" t="s">
        <v>1185</v>
      </c>
      <c r="C69" s="1721"/>
      <c r="D69" s="1721"/>
      <c r="E69" s="1721"/>
      <c r="F69" s="1722">
        <v>57.2</v>
      </c>
      <c r="G69" s="1721">
        <v>57.5</v>
      </c>
      <c r="H69" s="1721">
        <v>72.8</v>
      </c>
      <c r="I69" s="1720">
        <v>71.2</v>
      </c>
      <c r="J69" s="1720">
        <v>73</v>
      </c>
      <c r="K69" s="1720"/>
      <c r="L69" s="1720">
        <v>66.34</v>
      </c>
    </row>
    <row r="70" spans="2:12" ht="13.2" hidden="1">
      <c r="B70" s="1723" t="s">
        <v>1184</v>
      </c>
      <c r="C70" s="1721"/>
      <c r="D70" s="1721"/>
      <c r="E70" s="1721"/>
      <c r="F70" s="1722">
        <v>66</v>
      </c>
      <c r="G70" s="1721">
        <v>62.9</v>
      </c>
      <c r="H70" s="1721">
        <v>76.3</v>
      </c>
      <c r="I70" s="1720">
        <v>75.3</v>
      </c>
      <c r="J70" s="1720">
        <v>73.099999999999994</v>
      </c>
      <c r="K70" s="1720"/>
      <c r="L70" s="1720">
        <v>70.72</v>
      </c>
    </row>
    <row r="71" spans="2:12" ht="13.2">
      <c r="C71" s="3764" t="s">
        <v>1183</v>
      </c>
      <c r="D71" s="3765"/>
      <c r="E71" s="3765"/>
      <c r="F71" s="3765"/>
      <c r="G71" s="3765"/>
    </row>
    <row r="72" spans="2:12">
      <c r="B72" s="3766" t="s">
        <v>1182</v>
      </c>
      <c r="C72" s="1713">
        <v>2013</v>
      </c>
      <c r="D72" s="1713">
        <v>2014</v>
      </c>
      <c r="E72" s="1713">
        <v>2015</v>
      </c>
      <c r="F72" s="1713">
        <v>2016</v>
      </c>
      <c r="G72" s="1713">
        <v>2017</v>
      </c>
    </row>
    <row r="73" spans="2:12" ht="13.2">
      <c r="B73" s="3767"/>
      <c r="C73" s="3768" t="s">
        <v>164</v>
      </c>
      <c r="D73" s="3769"/>
      <c r="E73" s="3769"/>
      <c r="F73" s="3769"/>
      <c r="G73" s="3769"/>
    </row>
    <row r="74" spans="2:12" ht="13.2">
      <c r="B74" s="1718" t="s">
        <v>259</v>
      </c>
      <c r="C74" s="1715">
        <v>74.099999999999994</v>
      </c>
      <c r="D74" s="1715">
        <v>83.5</v>
      </c>
      <c r="E74" s="1715">
        <v>76.3</v>
      </c>
      <c r="F74" s="1715">
        <v>66.099999999999994</v>
      </c>
      <c r="G74" s="1715" t="s">
        <v>1161</v>
      </c>
    </row>
    <row r="75" spans="2:12" ht="13.2">
      <c r="B75" s="1718" t="s">
        <v>85</v>
      </c>
      <c r="C75" s="1715">
        <v>68.3</v>
      </c>
      <c r="D75" s="1715">
        <v>76.2</v>
      </c>
      <c r="E75" s="1715">
        <v>67.400000000000006</v>
      </c>
      <c r="F75" s="1715">
        <v>67.400000000000006</v>
      </c>
      <c r="G75" s="1715" t="s">
        <v>1161</v>
      </c>
    </row>
    <row r="76" spans="2:12" ht="13.2">
      <c r="B76" s="1718" t="s">
        <v>257</v>
      </c>
      <c r="C76" s="1715">
        <v>55.4</v>
      </c>
      <c r="D76" s="1715">
        <v>59.7</v>
      </c>
      <c r="E76" s="1715">
        <v>53.9</v>
      </c>
      <c r="F76" s="1715">
        <v>49.6</v>
      </c>
      <c r="G76" s="1715" t="s">
        <v>1161</v>
      </c>
    </row>
    <row r="77" spans="2:12" ht="13.2">
      <c r="B77" s="1718" t="s">
        <v>74</v>
      </c>
      <c r="C77" s="1715">
        <v>45.2</v>
      </c>
      <c r="D77" s="1715">
        <v>52.5</v>
      </c>
      <c r="E77" s="1715">
        <v>46.6</v>
      </c>
      <c r="F77" s="1715">
        <v>45.6</v>
      </c>
      <c r="G77" s="1715" t="s">
        <v>1161</v>
      </c>
    </row>
    <row r="78" spans="2:12" ht="13.2">
      <c r="B78" s="1718" t="s">
        <v>87</v>
      </c>
      <c r="C78" s="1715">
        <v>69.900000000000006</v>
      </c>
      <c r="D78" s="1715">
        <v>74.400000000000006</v>
      </c>
      <c r="E78" s="1715">
        <v>67.5</v>
      </c>
      <c r="F78" s="1715">
        <v>53.1</v>
      </c>
      <c r="G78" s="1715" t="s">
        <v>1161</v>
      </c>
    </row>
    <row r="79" spans="2:12" ht="13.2">
      <c r="B79" s="1718" t="s">
        <v>69</v>
      </c>
      <c r="C79" s="1715">
        <v>95.6</v>
      </c>
      <c r="D79" s="1715">
        <v>115.7</v>
      </c>
      <c r="E79" s="1715">
        <v>84.3</v>
      </c>
      <c r="F79" s="1715">
        <v>96.1</v>
      </c>
      <c r="G79" s="1715" t="s">
        <v>1161</v>
      </c>
    </row>
    <row r="80" spans="2:12" ht="13.2">
      <c r="B80" s="1718" t="s">
        <v>671</v>
      </c>
      <c r="C80" s="1715">
        <v>364.9</v>
      </c>
      <c r="D80" s="1715">
        <v>473.2</v>
      </c>
      <c r="E80" s="1715">
        <v>369.4</v>
      </c>
      <c r="F80" s="1715">
        <v>365.6</v>
      </c>
      <c r="G80" s="1715" t="s">
        <v>1161</v>
      </c>
    </row>
    <row r="81" spans="2:10" ht="13.2">
      <c r="B81" s="1718" t="s">
        <v>44</v>
      </c>
      <c r="C81" s="1715">
        <v>753.9</v>
      </c>
      <c r="D81" s="1715">
        <v>878.4</v>
      </c>
      <c r="E81" s="1715">
        <v>673.8</v>
      </c>
      <c r="F81" s="1715">
        <v>775.2</v>
      </c>
      <c r="G81" s="1715" t="s">
        <v>1161</v>
      </c>
    </row>
    <row r="82" spans="2:10" ht="13.2">
      <c r="B82" s="1718" t="s">
        <v>63</v>
      </c>
      <c r="C82" s="1715">
        <v>37</v>
      </c>
      <c r="D82" s="1715">
        <v>47.2</v>
      </c>
      <c r="E82" s="1715">
        <v>40.799999999999997</v>
      </c>
      <c r="F82" s="1715">
        <v>38.799999999999997</v>
      </c>
      <c r="G82" s="1715" t="s">
        <v>1161</v>
      </c>
    </row>
    <row r="83" spans="2:10" ht="13.2">
      <c r="B83" s="1718" t="s">
        <v>1162</v>
      </c>
      <c r="C83" s="1715">
        <v>426.6</v>
      </c>
      <c r="D83" s="1715">
        <v>485.3</v>
      </c>
      <c r="E83" s="1715">
        <v>393.2</v>
      </c>
      <c r="F83" s="1715">
        <v>427.1</v>
      </c>
      <c r="G83" s="1715" t="s">
        <v>1161</v>
      </c>
    </row>
    <row r="84" spans="2:10" ht="15.6">
      <c r="B84" s="1718" t="s">
        <v>1181</v>
      </c>
      <c r="C84" s="1715">
        <v>56.6</v>
      </c>
      <c r="D84" s="1715">
        <v>59.1</v>
      </c>
      <c r="E84" s="1715">
        <v>48.5</v>
      </c>
      <c r="F84" s="1715">
        <v>61.9</v>
      </c>
      <c r="G84" s="1715" t="s">
        <v>1161</v>
      </c>
    </row>
    <row r="85" spans="2:10" ht="15.6">
      <c r="B85" s="1718" t="s">
        <v>1180</v>
      </c>
      <c r="C85" s="1715">
        <v>63.4</v>
      </c>
      <c r="D85" s="1715">
        <v>57.5</v>
      </c>
      <c r="E85" s="1715">
        <v>47.4</v>
      </c>
      <c r="F85" s="1715">
        <v>52.3</v>
      </c>
      <c r="G85" s="1715" t="s">
        <v>1161</v>
      </c>
    </row>
    <row r="87" spans="2:10" ht="13.2" customHeight="1">
      <c r="B87" s="3770" t="s">
        <v>1179</v>
      </c>
      <c r="C87" s="3770"/>
      <c r="D87" s="3770"/>
      <c r="E87" s="3770"/>
      <c r="F87" s="3770"/>
      <c r="G87" s="3770"/>
      <c r="H87" s="3770"/>
      <c r="I87" s="3770"/>
      <c r="J87" s="3770"/>
    </row>
    <row r="88" spans="2:10" ht="13.2">
      <c r="B88" s="3771" t="s">
        <v>1178</v>
      </c>
      <c r="C88" s="3771" t="s">
        <v>1177</v>
      </c>
      <c r="D88" s="3771"/>
      <c r="E88" s="3771"/>
      <c r="F88" s="3771"/>
      <c r="G88" s="3771"/>
      <c r="H88" s="3770"/>
      <c r="I88" s="3770"/>
      <c r="J88" s="1719"/>
    </row>
    <row r="89" spans="2:10" ht="13.2">
      <c r="B89" s="3771"/>
      <c r="C89" s="3771"/>
      <c r="D89" s="3771"/>
      <c r="E89" s="3771"/>
      <c r="F89" s="3771"/>
      <c r="G89" s="3771"/>
      <c r="H89" s="3770"/>
      <c r="I89" s="3770"/>
      <c r="J89" s="1719"/>
    </row>
    <row r="90" spans="2:10" ht="26.4" customHeight="1">
      <c r="B90" s="3771"/>
      <c r="C90" s="3771"/>
      <c r="D90" s="3771"/>
      <c r="E90" s="3771"/>
      <c r="F90" s="3771"/>
      <c r="G90" s="3771"/>
      <c r="H90" s="3770"/>
      <c r="I90" s="3770"/>
      <c r="J90" s="1719"/>
    </row>
    <row r="91" spans="2:10" ht="39.6">
      <c r="B91" s="3771"/>
      <c r="C91" s="1719" t="s">
        <v>1176</v>
      </c>
      <c r="D91" s="1719" t="s">
        <v>1175</v>
      </c>
      <c r="E91" s="1719" t="s">
        <v>1174</v>
      </c>
      <c r="F91" s="1719" t="s">
        <v>1173</v>
      </c>
      <c r="G91" s="1719" t="s">
        <v>1172</v>
      </c>
      <c r="H91" s="1719"/>
      <c r="I91" s="1719" t="s">
        <v>1171</v>
      </c>
      <c r="J91" s="1719"/>
    </row>
    <row r="92" spans="2:10" ht="13.2" customHeight="1">
      <c r="B92" s="3771"/>
      <c r="C92" s="3770" t="s">
        <v>164</v>
      </c>
      <c r="D92" s="3770"/>
      <c r="E92" s="3770"/>
      <c r="F92" s="3770"/>
      <c r="G92" s="3770"/>
      <c r="H92" s="3770"/>
      <c r="I92" s="3770"/>
      <c r="J92" s="3770"/>
    </row>
    <row r="93" spans="2:10" ht="13.2">
      <c r="B93" s="1718" t="s">
        <v>1170</v>
      </c>
      <c r="C93" s="1717" t="s">
        <v>160</v>
      </c>
      <c r="D93" s="1717" t="s">
        <v>160</v>
      </c>
      <c r="E93" s="1717">
        <v>73.8</v>
      </c>
      <c r="F93" s="1717" t="s">
        <v>160</v>
      </c>
      <c r="G93" s="1717" t="s">
        <v>160</v>
      </c>
      <c r="H93" s="1715"/>
      <c r="I93" s="1716"/>
      <c r="J93" s="1715"/>
    </row>
    <row r="94" spans="2:10" ht="15.6">
      <c r="B94" s="1718" t="s">
        <v>1169</v>
      </c>
      <c r="C94" s="1717" t="s">
        <v>160</v>
      </c>
      <c r="D94" s="1717" t="s">
        <v>160</v>
      </c>
      <c r="E94" s="1717">
        <v>97.1</v>
      </c>
      <c r="F94" s="1717" t="s">
        <v>1161</v>
      </c>
      <c r="G94" s="1717" t="s">
        <v>160</v>
      </c>
      <c r="H94" s="1715"/>
      <c r="I94" s="1716">
        <v>97.1</v>
      </c>
      <c r="J94" s="1715"/>
    </row>
    <row r="95" spans="2:10" ht="13.2">
      <c r="B95" s="1718" t="s">
        <v>1168</v>
      </c>
      <c r="C95" s="1717">
        <v>69</v>
      </c>
      <c r="D95" s="1717">
        <v>69.900000000000006</v>
      </c>
      <c r="E95" s="1717">
        <v>70.3</v>
      </c>
      <c r="F95" s="1717" t="s">
        <v>160</v>
      </c>
      <c r="G95" s="1717" t="s">
        <v>160</v>
      </c>
      <c r="H95" s="1715"/>
      <c r="I95" s="1716"/>
      <c r="J95" s="1715"/>
    </row>
    <row r="96" spans="2:10" ht="13.2">
      <c r="B96" s="1718" t="s">
        <v>1167</v>
      </c>
      <c r="C96" s="1717">
        <v>73</v>
      </c>
      <c r="D96" s="1717">
        <v>72.900000000000006</v>
      </c>
      <c r="E96" s="1717">
        <v>74</v>
      </c>
      <c r="F96" s="1717" t="s">
        <v>160</v>
      </c>
      <c r="G96" s="1717" t="s">
        <v>160</v>
      </c>
      <c r="H96" s="1715"/>
      <c r="I96" s="1716"/>
      <c r="J96" s="1715"/>
    </row>
    <row r="97" spans="2:10" ht="15.6">
      <c r="B97" s="1718" t="s">
        <v>1166</v>
      </c>
      <c r="C97" s="1717">
        <v>73.400000000000006</v>
      </c>
      <c r="D97" s="1717">
        <v>73.2</v>
      </c>
      <c r="E97" s="1717">
        <v>74.2</v>
      </c>
      <c r="F97" s="1717" t="s">
        <v>160</v>
      </c>
      <c r="G97" s="1717" t="s">
        <v>160</v>
      </c>
      <c r="H97" s="1715"/>
      <c r="I97" s="1716">
        <f>(C97+D97+E97)/3</f>
        <v>73.600000000000009</v>
      </c>
      <c r="J97" s="1715"/>
    </row>
    <row r="98" spans="2:10" ht="13.2">
      <c r="B98" s="1718" t="s">
        <v>80</v>
      </c>
      <c r="C98" s="1717">
        <v>57.4</v>
      </c>
      <c r="D98" s="1717">
        <v>55.7</v>
      </c>
      <c r="E98" s="1717">
        <v>62</v>
      </c>
      <c r="F98" s="1717" t="s">
        <v>160</v>
      </c>
      <c r="G98" s="1717" t="s">
        <v>160</v>
      </c>
      <c r="H98" s="1715"/>
      <c r="I98" s="1716"/>
      <c r="J98" s="1715"/>
    </row>
    <row r="99" spans="2:10" ht="13.2">
      <c r="B99" s="1718" t="s">
        <v>1165</v>
      </c>
      <c r="C99" s="1717">
        <v>52.4</v>
      </c>
      <c r="D99" s="1717">
        <v>54.3</v>
      </c>
      <c r="E99" s="1717">
        <v>54.1</v>
      </c>
      <c r="F99" s="1717" t="s">
        <v>160</v>
      </c>
      <c r="G99" s="1717" t="s">
        <v>160</v>
      </c>
      <c r="H99" s="1715"/>
      <c r="I99" s="1716"/>
      <c r="J99" s="1715"/>
    </row>
    <row r="100" spans="2:10" ht="13.2">
      <c r="B100" s="1718" t="s">
        <v>1164</v>
      </c>
      <c r="C100" s="1717">
        <v>66</v>
      </c>
      <c r="D100" s="1717">
        <v>69</v>
      </c>
      <c r="E100" s="1717">
        <v>68.400000000000006</v>
      </c>
      <c r="F100" s="1717" t="s">
        <v>160</v>
      </c>
      <c r="G100" s="1717" t="s">
        <v>160</v>
      </c>
      <c r="H100" s="1715"/>
      <c r="I100" s="1716"/>
      <c r="J100" s="1715"/>
    </row>
    <row r="101" spans="2:10" ht="13.2">
      <c r="B101" s="1718" t="s">
        <v>85</v>
      </c>
      <c r="C101" s="1717">
        <v>71.599999999999994</v>
      </c>
      <c r="D101" s="1717">
        <v>75.2</v>
      </c>
      <c r="E101" s="1717">
        <v>74.099999999999994</v>
      </c>
      <c r="F101" s="1717" t="s">
        <v>160</v>
      </c>
      <c r="G101" s="1717" t="s">
        <v>160</v>
      </c>
      <c r="H101" s="1715"/>
      <c r="I101" s="1716">
        <f>(C101+D101+E101)/3</f>
        <v>73.63333333333334</v>
      </c>
      <c r="J101" s="1715"/>
    </row>
    <row r="102" spans="2:10" ht="13.2">
      <c r="B102" s="1718" t="s">
        <v>257</v>
      </c>
      <c r="C102" s="1717">
        <v>56.5</v>
      </c>
      <c r="D102" s="1717">
        <v>58.5</v>
      </c>
      <c r="E102" s="1717">
        <v>58.8</v>
      </c>
      <c r="F102" s="1717" t="s">
        <v>160</v>
      </c>
      <c r="G102" s="1717" t="s">
        <v>160</v>
      </c>
      <c r="H102" s="1715"/>
      <c r="I102" s="1716"/>
      <c r="J102" s="1715"/>
    </row>
    <row r="103" spans="2:10" ht="13.2">
      <c r="B103" s="1718" t="s">
        <v>74</v>
      </c>
      <c r="C103" s="1717">
        <v>49.7</v>
      </c>
      <c r="D103" s="1717">
        <v>50.8</v>
      </c>
      <c r="E103" s="1717">
        <v>49.1</v>
      </c>
      <c r="F103" s="1717" t="s">
        <v>160</v>
      </c>
      <c r="G103" s="1717" t="s">
        <v>160</v>
      </c>
      <c r="H103" s="1715"/>
      <c r="I103" s="1716"/>
      <c r="J103" s="1715"/>
    </row>
    <row r="104" spans="2:10" ht="13.2">
      <c r="B104" s="1718" t="s">
        <v>87</v>
      </c>
      <c r="C104" s="1717">
        <v>73.099999999999994</v>
      </c>
      <c r="D104" s="1717">
        <v>72.5</v>
      </c>
      <c r="E104" s="1717">
        <v>72.400000000000006</v>
      </c>
      <c r="F104" s="1717" t="s">
        <v>160</v>
      </c>
      <c r="G104" s="1717" t="s">
        <v>160</v>
      </c>
      <c r="H104" s="1715"/>
      <c r="I104" s="1716"/>
      <c r="J104" s="1715"/>
    </row>
    <row r="105" spans="2:10" ht="13.2">
      <c r="B105" s="1718" t="s">
        <v>53</v>
      </c>
      <c r="C105" s="1717" t="s">
        <v>160</v>
      </c>
      <c r="D105" s="1717">
        <v>37.4</v>
      </c>
      <c r="E105" s="1717">
        <v>36.1</v>
      </c>
      <c r="F105" s="1717" t="s">
        <v>160</v>
      </c>
      <c r="G105" s="1717" t="s">
        <v>160</v>
      </c>
      <c r="H105" s="1715"/>
      <c r="I105" s="1716"/>
      <c r="J105" s="1715"/>
    </row>
    <row r="106" spans="2:10" ht="13.2">
      <c r="B106" s="1718" t="s">
        <v>51</v>
      </c>
      <c r="C106" s="1717" t="s">
        <v>160</v>
      </c>
      <c r="D106" s="1717" t="s">
        <v>160</v>
      </c>
      <c r="E106" s="1717">
        <v>29.1</v>
      </c>
      <c r="F106" s="1717" t="s">
        <v>160</v>
      </c>
      <c r="G106" s="1717" t="s">
        <v>160</v>
      </c>
      <c r="H106" s="1715"/>
      <c r="I106" s="1716"/>
      <c r="J106" s="1715"/>
    </row>
    <row r="107" spans="2:10" ht="13.2">
      <c r="B107" s="1718" t="s">
        <v>1163</v>
      </c>
      <c r="C107" s="1717" t="s">
        <v>160</v>
      </c>
      <c r="D107" s="1717" t="s">
        <v>160</v>
      </c>
      <c r="E107" s="1717">
        <v>362.8</v>
      </c>
      <c r="F107" s="1717" t="s">
        <v>160</v>
      </c>
      <c r="G107" s="1717" t="s">
        <v>160</v>
      </c>
      <c r="H107" s="1715"/>
      <c r="I107" s="1716"/>
      <c r="J107" s="1715"/>
    </row>
    <row r="108" spans="2:10" ht="13.2">
      <c r="B108" s="1718" t="s">
        <v>44</v>
      </c>
      <c r="C108" s="1717" t="s">
        <v>160</v>
      </c>
      <c r="D108" s="1717" t="s">
        <v>160</v>
      </c>
      <c r="E108" s="1717" t="s">
        <v>160</v>
      </c>
      <c r="F108" s="1717" t="s">
        <v>160</v>
      </c>
      <c r="G108" s="1717" t="s">
        <v>1161</v>
      </c>
      <c r="H108" s="1715"/>
      <c r="I108" s="1716"/>
      <c r="J108" s="1715"/>
    </row>
    <row r="109" spans="2:10" ht="13.2">
      <c r="B109" s="1718" t="s">
        <v>63</v>
      </c>
      <c r="C109" s="1717">
        <v>38.1</v>
      </c>
      <c r="D109" s="1717">
        <v>36.700000000000003</v>
      </c>
      <c r="E109" s="1717">
        <v>38.299999999999997</v>
      </c>
      <c r="F109" s="1717" t="s">
        <v>160</v>
      </c>
      <c r="G109" s="1717" t="s">
        <v>160</v>
      </c>
      <c r="H109" s="1715"/>
      <c r="I109" s="1716">
        <f>(C109+D109+E109)/3</f>
        <v>37.700000000000003</v>
      </c>
      <c r="J109" s="1715"/>
    </row>
    <row r="110" spans="2:10" ht="13.2">
      <c r="B110" s="1718" t="s">
        <v>1162</v>
      </c>
      <c r="C110" s="1717" t="s">
        <v>160</v>
      </c>
      <c r="D110" s="1717" t="s">
        <v>160</v>
      </c>
      <c r="E110" s="1717">
        <v>460.5</v>
      </c>
      <c r="F110" s="1717" t="s">
        <v>1161</v>
      </c>
      <c r="G110" s="1717" t="s">
        <v>160</v>
      </c>
      <c r="H110" s="1715"/>
      <c r="I110" s="1716"/>
      <c r="J110" s="1715"/>
    </row>
    <row r="111" spans="2:10" ht="12.6">
      <c r="B111" s="1714" t="s">
        <v>1160</v>
      </c>
    </row>
    <row r="112" spans="2:10" ht="12.6">
      <c r="B112" s="1714" t="s">
        <v>1159</v>
      </c>
    </row>
    <row r="113" spans="2:2" ht="12.6">
      <c r="B113" s="1714" t="s">
        <v>1158</v>
      </c>
    </row>
    <row r="114" spans="2:2" ht="12.6">
      <c r="B114" s="1714" t="s">
        <v>1157</v>
      </c>
    </row>
  </sheetData>
  <customSheetViews>
    <customSheetView guid="{8063F48F-80B5-4ECD-B18A-51CBF126E780}"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customSheetView>
    <customSheetView guid="{5D5C9B61-9ABD-4513-AAEB-8333A9D6196C}"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2"/>
      <headerFooter>
        <oddFooter>&amp;L&amp;9LEL Schwäbisch Gmünd, Abt. II&amp;C&amp;9&amp;F&amp;R&amp;9&amp;A</oddFooter>
      </headerFooter>
    </customSheetView>
    <customSheetView guid="{22A73C4F-9004-4CEF-8499-B1F91BE1B569}"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3"/>
      <headerFooter>
        <oddFooter>&amp;L&amp;9LEL Schwäbisch Gmünd, Abt. II&amp;C&amp;9&amp;F&amp;R&amp;9&amp;A</oddFooter>
      </headerFooter>
    </customSheetView>
  </customSheetViews>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4"/>
  <headerFooter>
    <oddFooter>&amp;L&amp;9LEL Schwäbisch Gmünd, Abt. II&amp;C&amp;9&amp;F&amp;R&amp;9&amp;A</oddFooter>
  </headerFooter>
  <rowBreaks count="1" manualBreakCount="1">
    <brk id="44" max="16383" man="1"/>
  </rowBreaks>
  <legacyDrawing r:id="rId5"/>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0">
    <tabColor rgb="FFFFFF00"/>
    <pageSetUpPr fitToPage="1"/>
  </sheetPr>
  <dimension ref="A1:AO218"/>
  <sheetViews>
    <sheetView workbookViewId="0">
      <selection activeCell="N51" sqref="N51"/>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4.3984375" style="34" hidden="1" customWidth="1"/>
    <col min="18" max="18" width="13.5" style="31" hidden="1" customWidth="1"/>
    <col min="19" max="19" width="19.59765625" style="31" hidden="1" customWidth="1"/>
    <col min="20" max="20" width="8" style="31" hidden="1" customWidth="1"/>
    <col min="21" max="21" width="10.5" style="31" hidden="1" customWidth="1"/>
    <col min="22" max="22" width="12.8984375" style="31" hidden="1" customWidth="1"/>
    <col min="23" max="23" width="46.5" style="31" hidden="1" customWidth="1"/>
    <col min="24" max="26" width="2.59765625" style="31" hidden="1" customWidth="1"/>
    <col min="27" max="29" width="10.5" style="31" hidden="1" customWidth="1"/>
    <col min="30" max="33" width="10.5" style="31" customWidth="1"/>
    <col min="34" max="16384" width="10.5" style="31"/>
  </cols>
  <sheetData>
    <row r="1" spans="1:41" s="1317" customFormat="1" ht="30.45" customHeight="1">
      <c r="A1" s="3740"/>
      <c r="B1" s="258"/>
      <c r="C1" s="1333"/>
      <c r="D1" s="1253"/>
      <c r="E1" s="255"/>
      <c r="F1" s="255"/>
      <c r="G1" s="430"/>
      <c r="H1" s="1328"/>
      <c r="I1" s="3212" t="s">
        <v>1679</v>
      </c>
      <c r="J1" s="3210">
        <f>(J7+J13+J18+J22)-(J23+J27+J34+J43+J60+J65+J67+J69+J71+J75)</f>
        <v>129.27531839839583</v>
      </c>
      <c r="K1" s="4360">
        <f>M1-J1</f>
        <v>175.59217780699862</v>
      </c>
      <c r="L1" s="4360"/>
      <c r="M1" s="3210">
        <f>(M7+M13+M18+M22)-(M23+M27+M34+M43+M60+M65+M67+M69+M71+M75)</f>
        <v>304.86749620539445</v>
      </c>
      <c r="N1" s="4360">
        <f>P1-M1</f>
        <v>154.2830133140319</v>
      </c>
      <c r="O1" s="4360"/>
      <c r="P1" s="3210">
        <f>(P7+P13+P18+P22)-(P23+P27+P34+P43+P60+P65+P67+P69+P71+P75)</f>
        <v>459.15050951942635</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89</v>
      </c>
      <c r="L2" s="4372"/>
      <c r="M2" s="4372"/>
      <c r="N2" s="4372"/>
      <c r="O2" s="4372"/>
      <c r="P2" s="4372"/>
      <c r="Q2" s="1345">
        <v>0</v>
      </c>
      <c r="AB2" s="3229"/>
    </row>
    <row r="3" spans="1:41" s="1317" customFormat="1" ht="32.4" customHeight="1">
      <c r="A3" s="1321"/>
      <c r="B3" s="4405" t="s">
        <v>1727</v>
      </c>
      <c r="C3" s="4405"/>
      <c r="D3" s="4405"/>
      <c r="E3" s="4405"/>
      <c r="F3" s="4405"/>
      <c r="G3" s="4405"/>
      <c r="H3" s="4405"/>
      <c r="J3" s="4368" t="s">
        <v>886</v>
      </c>
      <c r="K3" s="4369"/>
      <c r="L3" s="4369"/>
      <c r="M3" s="1327"/>
      <c r="N3" s="4373" t="str">
        <f>IF(AND(T3=TRUE,T4=TRUE),"nur 1 Strohnutzung möglich","")</f>
        <v/>
      </c>
      <c r="O3" s="4374"/>
      <c r="P3" s="1326"/>
      <c r="Q3" s="1321"/>
      <c r="T3" s="1343" t="b">
        <v>1</v>
      </c>
    </row>
    <row r="4" spans="1:41" s="1317" customFormat="1" ht="20.25" customHeight="1">
      <c r="A4" s="1321"/>
      <c r="B4" s="309" t="s">
        <v>779</v>
      </c>
      <c r="C4" s="31"/>
      <c r="D4" s="31"/>
      <c r="E4" s="4406" t="s">
        <v>890</v>
      </c>
      <c r="F4" s="4406"/>
      <c r="G4" s="4406"/>
      <c r="H4" s="4406"/>
      <c r="I4" s="4406"/>
      <c r="J4" s="4368" t="s">
        <v>875</v>
      </c>
      <c r="K4" s="4369"/>
      <c r="L4" s="4369"/>
      <c r="M4" s="1323"/>
      <c r="N4" s="4374"/>
      <c r="O4" s="4374"/>
      <c r="P4" s="1322">
        <f>'SDK1'!O3</f>
        <v>2024</v>
      </c>
      <c r="Q4" s="1321"/>
      <c r="T4" s="1343" t="b">
        <v>0</v>
      </c>
      <c r="U4" s="1318"/>
    </row>
    <row r="5" spans="1:41" ht="6" customHeight="1"/>
    <row r="6" spans="1:41" s="1311" customFormat="1" ht="24" customHeight="1">
      <c r="A6" s="41"/>
      <c r="B6" s="1316" t="s">
        <v>832</v>
      </c>
      <c r="C6" s="1315"/>
      <c r="D6" s="1315"/>
      <c r="E6" s="1315"/>
      <c r="F6" s="1315"/>
      <c r="G6" s="1314"/>
      <c r="H6" s="4366" t="s">
        <v>171</v>
      </c>
      <c r="I6" s="4367"/>
      <c r="J6" s="1313">
        <f>M6*0.75</f>
        <v>37.5</v>
      </c>
      <c r="K6" s="4379" t="s">
        <v>144</v>
      </c>
      <c r="L6" s="4380"/>
      <c r="M6" s="1313">
        <v>50</v>
      </c>
      <c r="N6" s="4366" t="s">
        <v>170</v>
      </c>
      <c r="O6" s="4367"/>
      <c r="P6" s="1312">
        <f>M6*1.25</f>
        <v>62.5</v>
      </c>
      <c r="Q6" s="49"/>
    </row>
    <row r="7" spans="1:41" s="196" customFormat="1" ht="18.75" customHeight="1">
      <c r="A7" s="40"/>
      <c r="B7" s="245" t="s">
        <v>883</v>
      </c>
      <c r="C7" s="40"/>
      <c r="D7" s="40"/>
      <c r="E7" s="40"/>
      <c r="F7" s="40"/>
      <c r="G7" s="1310"/>
      <c r="H7" s="1307"/>
      <c r="I7" s="1306"/>
      <c r="J7" s="1041">
        <f>SUM(I9:I12)</f>
        <v>946.125</v>
      </c>
      <c r="K7" s="1309"/>
      <c r="L7" s="1308"/>
      <c r="M7" s="1044">
        <f>SUM(L9:L12)</f>
        <v>1261.5</v>
      </c>
      <c r="N7" s="1307"/>
      <c r="O7" s="1306"/>
      <c r="P7" s="1041">
        <f>SUM(O9:O12)</f>
        <v>1576.875</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'SDK1'!O20</f>
        <v>15.6</v>
      </c>
      <c r="H9" s="1303">
        <f>J6-H10</f>
        <v>37.5</v>
      </c>
      <c r="I9" s="1299">
        <f>H9*G9</f>
        <v>585</v>
      </c>
      <c r="J9" s="37"/>
      <c r="K9" s="1302">
        <f>M6-K10</f>
        <v>50</v>
      </c>
      <c r="L9" s="1301">
        <f>K9*G9</f>
        <v>780</v>
      </c>
      <c r="M9" s="1280"/>
      <c r="N9" s="1300">
        <f>P6-N10</f>
        <v>62.5</v>
      </c>
      <c r="O9" s="1299">
        <f>N9*G9</f>
        <v>975</v>
      </c>
      <c r="P9" s="37"/>
      <c r="Q9" s="34"/>
      <c r="R9" s="517"/>
      <c r="S9" s="208" t="s">
        <v>887</v>
      </c>
      <c r="T9" s="1298"/>
      <c r="AB9" s="3231"/>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361.125</v>
      </c>
      <c r="S10" s="1288">
        <f>L10+L11+L12</f>
        <v>481.49999999999994</v>
      </c>
      <c r="T10" s="1287">
        <f>O10+O11+O12</f>
        <v>601.875</v>
      </c>
      <c r="W10" s="196" t="s">
        <v>879</v>
      </c>
    </row>
    <row r="11" spans="1:41" s="1268" customFormat="1" ht="15" customHeight="1">
      <c r="A11" s="309"/>
      <c r="B11" s="217"/>
      <c r="C11" s="39" t="s">
        <v>878</v>
      </c>
      <c r="D11" s="309"/>
      <c r="E11" s="1286">
        <v>0.9</v>
      </c>
      <c r="F11" s="39" t="s">
        <v>877</v>
      </c>
      <c r="G11" s="1285">
        <f>'SDK1'!$O$48</f>
        <v>10.7</v>
      </c>
      <c r="H11" s="3151">
        <f>IF(OR($T$3,$T$4)=TRUE,J6*$E$11,0)</f>
        <v>33.75</v>
      </c>
      <c r="I11" s="3152">
        <f>H11*$G$11</f>
        <v>361.125</v>
      </c>
      <c r="J11" s="3153"/>
      <c r="K11" s="3154">
        <f>IF(OR($T$3,$T$4)=TRUE,M6*$E$11,0)</f>
        <v>45</v>
      </c>
      <c r="L11" s="3155">
        <f>K11*$G$11</f>
        <v>481.49999999999994</v>
      </c>
      <c r="M11" s="3156"/>
      <c r="N11" s="3157">
        <f>IF(OR($T$3,$T$4)=TRUE,P6*$E$11,0)</f>
        <v>56.25</v>
      </c>
      <c r="O11" s="3152">
        <f>N11*$G$11</f>
        <v>601.875</v>
      </c>
      <c r="P11" s="3158"/>
      <c r="Q11" s="34"/>
      <c r="W11" s="1268" t="s">
        <v>876</v>
      </c>
    </row>
    <row r="12" spans="1:41" s="1268" customFormat="1" ht="15" hidden="1" customHeight="1">
      <c r="A12" s="309"/>
      <c r="B12" s="185"/>
      <c r="C12" s="223" t="s">
        <v>1652</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252"/>
      <c r="L13" s="1251"/>
      <c r="M13" s="1044">
        <f>SUM(L14:L17)</f>
        <v>0</v>
      </c>
      <c r="N13" s="1250"/>
      <c r="O13" s="1249"/>
      <c r="P13" s="1041">
        <f>SUM(O14:O17)</f>
        <v>0</v>
      </c>
      <c r="Q13" s="34"/>
      <c r="R13" s="1253"/>
      <c r="W13" s="1266" t="s">
        <v>872</v>
      </c>
      <c r="X13" s="1264">
        <f>IF(OR(T3=TRUE,T4=TRUE),J6*$E$11,"0")</f>
        <v>33.75</v>
      </c>
      <c r="Y13" s="1265">
        <f>IF(OR(T3=TRUE,T4=TRUE),M6*$E$11,"0")</f>
        <v>45</v>
      </c>
      <c r="Z13" s="1264">
        <f>IF(OR(T3=TRUE,T4=TRUE),P6*$E$11,"0")</f>
        <v>56.25</v>
      </c>
    </row>
    <row r="14" spans="1:41" s="36" customFormat="1" ht="15" customHeight="1">
      <c r="A14" s="39"/>
      <c r="B14" s="1247"/>
      <c r="C14" s="4365"/>
      <c r="D14" s="4365"/>
      <c r="E14" s="4365"/>
      <c r="F14" s="4365"/>
      <c r="G14" s="1263"/>
      <c r="H14" s="1262" t="s">
        <v>919</v>
      </c>
      <c r="I14" s="2827">
        <f>IF(H14="ja",$Q14,0)</f>
        <v>0</v>
      </c>
      <c r="J14" s="2784"/>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15.187499999999998</v>
      </c>
      <c r="Y14" s="1260">
        <f>$Y$13*F30</f>
        <v>20.249999999999996</v>
      </c>
      <c r="Z14" s="1260">
        <f>$Z$13*F30</f>
        <v>25.312499999999996</v>
      </c>
    </row>
    <row r="15" spans="1:41" s="36" customFormat="1" ht="15" customHeight="1">
      <c r="A15" s="39"/>
      <c r="B15" s="1247"/>
      <c r="C15" s="4365"/>
      <c r="D15" s="4365"/>
      <c r="E15" s="4365"/>
      <c r="F15" s="4365"/>
      <c r="G15" s="1263"/>
      <c r="H15" s="1262" t="s">
        <v>871</v>
      </c>
      <c r="I15" s="2827">
        <f>IF(H15="ja",$Q15,0)</f>
        <v>0</v>
      </c>
      <c r="J15" s="346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9.1125000000000007</v>
      </c>
      <c r="Y15" s="1260">
        <f>$Y$13*F31</f>
        <v>12.15</v>
      </c>
      <c r="Z15" s="1260">
        <f>$Z$13*F31</f>
        <v>15.187500000000002</v>
      </c>
    </row>
    <row r="16" spans="1:41" s="36" customFormat="1" ht="15" customHeight="1">
      <c r="A16" s="39"/>
      <c r="B16" s="1247"/>
      <c r="C16" s="4365"/>
      <c r="D16" s="4365"/>
      <c r="E16" s="4365"/>
      <c r="F16" s="4365"/>
      <c r="G16" s="1263"/>
      <c r="H16" s="1262" t="s">
        <v>871</v>
      </c>
      <c r="I16" s="2827">
        <f>IF(H16="ja",$Q16,0)</f>
        <v>0</v>
      </c>
      <c r="J16" s="2784"/>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60.749999999999993</v>
      </c>
      <c r="Y16" s="1260">
        <f>$Y$13*F32</f>
        <v>80.999999999999986</v>
      </c>
      <c r="Z16" s="1260">
        <f>$Z$13*F32</f>
        <v>101.24999999999999</v>
      </c>
    </row>
    <row r="17" spans="1:26" s="36" customFormat="1" ht="15" customHeight="1">
      <c r="A17" s="39"/>
      <c r="B17" s="1247"/>
      <c r="C17" s="4365"/>
      <c r="D17" s="4365"/>
      <c r="E17" s="4365"/>
      <c r="F17" s="4365"/>
      <c r="G17" s="1263"/>
      <c r="H17" s="1262" t="s">
        <v>871</v>
      </c>
      <c r="I17" s="2827">
        <f>IF(H17="ja",$Q17,0)</f>
        <v>0</v>
      </c>
      <c r="J17" s="2784"/>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6.0750000000000002</v>
      </c>
      <c r="Y17" s="1260">
        <f>$Y$13*F33</f>
        <v>8.1</v>
      </c>
      <c r="Z17" s="1260">
        <f>$Z$13*F33</f>
        <v>10.125</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2784"/>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4"/>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4"/>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77</v>
      </c>
      <c r="K23" s="1046"/>
      <c r="L23" s="1045"/>
      <c r="M23" s="1227">
        <f>SUM(L25:L26)</f>
        <v>77</v>
      </c>
      <c r="N23" s="1043"/>
      <c r="O23" s="1042"/>
      <c r="P23" s="1026">
        <f>SUM(O25:O26)</f>
        <v>68.400000000000006</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t="s">
        <v>889</v>
      </c>
      <c r="E25" s="4384"/>
      <c r="F25" s="1222">
        <f>'SDK7'!F49/100</f>
        <v>0.77</v>
      </c>
      <c r="G25" s="1221">
        <f>F25*(100+$D$24)/100</f>
        <v>0.77</v>
      </c>
      <c r="H25" s="1220">
        <v>100</v>
      </c>
      <c r="I25" s="1181">
        <f>H25*$G25</f>
        <v>77</v>
      </c>
      <c r="J25" s="39"/>
      <c r="K25" s="1220">
        <f>H25</f>
        <v>100</v>
      </c>
      <c r="L25" s="1023">
        <f>K25*$G25</f>
        <v>77</v>
      </c>
      <c r="M25" s="1016"/>
      <c r="N25" s="1220"/>
      <c r="O25" s="1181">
        <f>N25*$G25</f>
        <v>0</v>
      </c>
      <c r="P25" s="1145"/>
      <c r="Q25" s="34"/>
    </row>
    <row r="26" spans="1:26" s="36" customFormat="1" ht="15" customHeight="1">
      <c r="A26" s="746"/>
      <c r="B26" s="772"/>
      <c r="C26" s="1219"/>
      <c r="D26" s="4385" t="s">
        <v>888</v>
      </c>
      <c r="E26" s="4386"/>
      <c r="F26" s="1218">
        <f>'SDK7'!F50/100</f>
        <v>0.76</v>
      </c>
      <c r="G26" s="1217">
        <f>F26*(100+$D$24)/100</f>
        <v>0.76</v>
      </c>
      <c r="H26" s="1216"/>
      <c r="I26" s="1177">
        <f>H26*$G26</f>
        <v>0</v>
      </c>
      <c r="J26" s="39"/>
      <c r="K26" s="1216">
        <f>H26</f>
        <v>0</v>
      </c>
      <c r="L26" s="1017">
        <f>K26*$G26</f>
        <v>0</v>
      </c>
      <c r="M26" s="1016"/>
      <c r="N26" s="1216">
        <v>90</v>
      </c>
      <c r="O26" s="1177">
        <f>N26*$G26</f>
        <v>68.400000000000006</v>
      </c>
      <c r="P26" s="1176"/>
      <c r="Q26" s="34"/>
    </row>
    <row r="27" spans="1:26" s="511" customFormat="1" ht="18.75" customHeight="1">
      <c r="A27" s="711"/>
      <c r="B27" s="1215" t="s">
        <v>865</v>
      </c>
      <c r="C27" s="711"/>
      <c r="D27" s="51"/>
      <c r="E27" s="34"/>
      <c r="F27" s="34"/>
      <c r="G27" s="1214"/>
      <c r="H27" s="1173"/>
      <c r="I27" s="1172"/>
      <c r="J27" s="1041">
        <f>SUM(I30:I32)</f>
        <v>238.609375</v>
      </c>
      <c r="K27" s="1175"/>
      <c r="L27" s="1174"/>
      <c r="M27" s="1044">
        <f>SUM(L30:L32)</f>
        <v>310.21249999999998</v>
      </c>
      <c r="N27" s="1173"/>
      <c r="O27" s="1172"/>
      <c r="P27" s="1041">
        <f>SUM(O30:O32)</f>
        <v>381.81562500000001</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1.51</v>
      </c>
      <c r="F30" s="1201">
        <f>VLOOKUP(K2,'SD8'!B9:L42,7,FALSE)</f>
        <v>0.44999999999999996</v>
      </c>
      <c r="G30" s="1200">
        <v>20</v>
      </c>
      <c r="H30" s="1198">
        <f>IF(J$6=0,0,(J$6*$E30+$G30+X14))</f>
        <v>91.8125</v>
      </c>
      <c r="I30" s="1181">
        <f>H30*$D30</f>
        <v>109.25687499999999</v>
      </c>
      <c r="J30" s="39"/>
      <c r="K30" s="1199">
        <f>IF(M$6=0,0,(M$6*$E30+$G30+Y14))</f>
        <v>115.75</v>
      </c>
      <c r="L30" s="1023">
        <f>K30*$D30</f>
        <v>137.74250000000001</v>
      </c>
      <c r="M30" s="1016"/>
      <c r="N30" s="1198">
        <f>IF(P$6=0,0,(P$6*$E30+$G30+Z14))</f>
        <v>139.6875</v>
      </c>
      <c r="O30" s="1181">
        <f>N30*$D30</f>
        <v>166.22812500000001</v>
      </c>
      <c r="P30" s="1145"/>
      <c r="Q30" s="34"/>
    </row>
    <row r="31" spans="1:26" s="36" customFormat="1" ht="15" customHeight="1">
      <c r="A31" s="746"/>
      <c r="B31" s="217"/>
      <c r="C31" s="746" t="s">
        <v>234</v>
      </c>
      <c r="D31" s="1150">
        <f>'SDK1'!O53</f>
        <v>1.2</v>
      </c>
      <c r="E31" s="1201">
        <f>VLOOKUP(K2,'SD8'!B9:L42,4,FALSE)</f>
        <v>0.8</v>
      </c>
      <c r="F31" s="1201">
        <f>VLOOKUP(K2,'SD8'!B9:L42,8,FALSE)</f>
        <v>0.27</v>
      </c>
      <c r="G31" s="1200"/>
      <c r="H31" s="1198">
        <f>IF(J$6=0,0,(J$6*$E31+$G31+X15))</f>
        <v>39.112499999999997</v>
      </c>
      <c r="I31" s="1181">
        <f>H31*$D31</f>
        <v>46.934999999999995</v>
      </c>
      <c r="J31" s="39"/>
      <c r="K31" s="1199">
        <f>IF(M$6=0,0,(M$6*$E31+$G31+Y15))</f>
        <v>52.15</v>
      </c>
      <c r="L31" s="1023">
        <f>K31*$D31</f>
        <v>62.58</v>
      </c>
      <c r="M31" s="1016"/>
      <c r="N31" s="1198">
        <f>IF(P$6=0,0,(P$6*$E31+$G31+Z15))</f>
        <v>65.1875</v>
      </c>
      <c r="O31" s="1181">
        <f>N31*$D31</f>
        <v>78.224999999999994</v>
      </c>
      <c r="P31" s="1145"/>
      <c r="Q31" s="34"/>
    </row>
    <row r="32" spans="1:26" s="36" customFormat="1" ht="15" customHeight="1">
      <c r="A32" s="746"/>
      <c r="B32" s="185"/>
      <c r="C32" s="2791" t="s">
        <v>232</v>
      </c>
      <c r="D32" s="1133">
        <f>'SDK1'!O54</f>
        <v>0.99</v>
      </c>
      <c r="E32" s="1197">
        <f>VLOOKUP(K2,'SD8'!B9:L42,5,FALSE)</f>
        <v>0.6</v>
      </c>
      <c r="F32" s="1197">
        <f>VLOOKUP(K2,'SD8'!B9:L42,9,FALSE)</f>
        <v>1.7999999999999998</v>
      </c>
      <c r="G32" s="1196"/>
      <c r="H32" s="1194">
        <f>IF(J$6=0,0,(J$6*$E32+$G32+X16))</f>
        <v>83.25</v>
      </c>
      <c r="I32" s="1177">
        <f>H32*$D32</f>
        <v>82.417500000000004</v>
      </c>
      <c r="J32" s="223"/>
      <c r="K32" s="1195">
        <f>IF(M$6=0,0,(M$6*$E32+$G32+Y16))</f>
        <v>110.99999999999999</v>
      </c>
      <c r="L32" s="1017">
        <f>K32*$D32</f>
        <v>109.88999999999999</v>
      </c>
      <c r="M32" s="1256"/>
      <c r="N32" s="1194">
        <f>IF(P$6=0,0,(P$6*$E32+$G32+Z16))</f>
        <v>138.75</v>
      </c>
      <c r="O32" s="1177">
        <f>N32*$D32</f>
        <v>137.36250000000001</v>
      </c>
      <c r="P32" s="1176"/>
      <c r="Q32" s="34"/>
    </row>
    <row r="33" spans="1:17" s="36" customFormat="1" ht="15" hidden="1" customHeight="1">
      <c r="A33" s="746"/>
      <c r="B33" s="185"/>
      <c r="C33" s="771" t="s">
        <v>230</v>
      </c>
      <c r="D33" s="1133">
        <f>'SDK1'!P55</f>
        <v>0.45</v>
      </c>
      <c r="E33" s="1197">
        <f>VLOOKUP(K2,'SD8'!B9:L42,6,FALSE)</f>
        <v>0.2</v>
      </c>
      <c r="F33" s="1197">
        <f>VLOOKUP(K2,'SD8'!B9:L42,10,FALSE)</f>
        <v>0.18</v>
      </c>
      <c r="G33" s="1196"/>
      <c r="H33" s="1194">
        <f>IF(J$6=0,0,(J$6*$E33+$G33+X17))</f>
        <v>13.574999999999999</v>
      </c>
      <c r="I33" s="1177">
        <f>H33*$D33</f>
        <v>6.1087499999999997</v>
      </c>
      <c r="J33" s="39"/>
      <c r="K33" s="1195">
        <f>IF(M$6=0,0,(M$6*$E33+$G33+Y17))</f>
        <v>18.100000000000001</v>
      </c>
      <c r="L33" s="1017">
        <f>K33*$D33</f>
        <v>8.1450000000000014</v>
      </c>
      <c r="M33" s="1016"/>
      <c r="N33" s="1194">
        <f>IF(P$6=0,0,(P$6*$E33+$G33+Z17))</f>
        <v>22.625</v>
      </c>
      <c r="O33" s="1177">
        <f>N33*$D33</f>
        <v>10.18125</v>
      </c>
      <c r="P33" s="1176"/>
      <c r="Q33" s="34"/>
    </row>
    <row r="34" spans="1:17" s="511" customFormat="1" ht="18.75" customHeight="1">
      <c r="A34" s="711"/>
      <c r="B34" s="716" t="s">
        <v>859</v>
      </c>
      <c r="C34" s="711"/>
      <c r="D34" s="33"/>
      <c r="E34" s="33"/>
      <c r="F34" s="4381" t="s">
        <v>858</v>
      </c>
      <c r="G34" s="4382"/>
      <c r="H34" s="1191"/>
      <c r="I34" s="1190"/>
      <c r="J34" s="1041">
        <f>SUM(I36:I42)</f>
        <v>147.52000000000001</v>
      </c>
      <c r="K34" s="1193"/>
      <c r="L34" s="1192"/>
      <c r="M34" s="1044">
        <f>SUM(L36:L42)</f>
        <v>147.52000000000001</v>
      </c>
      <c r="N34" s="1191"/>
      <c r="O34" s="1190"/>
      <c r="P34" s="1041">
        <f>SUM(O36:O42)</f>
        <v>166.8</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534</v>
      </c>
      <c r="D36" s="4389"/>
      <c r="E36" s="4390"/>
      <c r="F36" s="1183">
        <f>IF(C36="",0,VLOOKUP(C36,'SDK5'!C3:AF83,2,FALSE))</f>
        <v>306</v>
      </c>
      <c r="G36" s="1183">
        <f t="shared" ref="G36:G42" si="0">F36*(100+$D$35)/100</f>
        <v>306</v>
      </c>
      <c r="H36" s="1182">
        <v>0.22</v>
      </c>
      <c r="I36" s="1181">
        <f t="shared" ref="I36:I42" si="1">$G36*H36</f>
        <v>67.320000000000007</v>
      </c>
      <c r="J36" s="39"/>
      <c r="K36" s="1182">
        <v>0.22</v>
      </c>
      <c r="L36" s="1023">
        <f t="shared" ref="L36:L42" si="2">$G36*K36</f>
        <v>67.320000000000007</v>
      </c>
      <c r="M36" s="1016"/>
      <c r="N36" s="1182">
        <v>0.22</v>
      </c>
      <c r="O36" s="1181">
        <f t="shared" ref="O36:O42" si="3">$G36*N36</f>
        <v>67.320000000000007</v>
      </c>
      <c r="P36" s="1185"/>
      <c r="Q36" s="34"/>
    </row>
    <row r="37" spans="1:17" s="36" customFormat="1" ht="15" customHeight="1">
      <c r="A37" s="746"/>
      <c r="B37" s="1021"/>
      <c r="C37" s="4375" t="s">
        <v>528</v>
      </c>
      <c r="D37" s="4375"/>
      <c r="E37" s="4376"/>
      <c r="F37" s="1183">
        <f>IF(C37="",0,VLOOKUP(C37,'SDK5'!C4:AF84,2,FALSE))</f>
        <v>5.5</v>
      </c>
      <c r="G37" s="1183">
        <f t="shared" si="0"/>
        <v>5.5</v>
      </c>
      <c r="H37" s="1182"/>
      <c r="I37" s="1181">
        <f t="shared" si="1"/>
        <v>0</v>
      </c>
      <c r="J37" s="39"/>
      <c r="K37" s="1182"/>
      <c r="L37" s="1023">
        <f t="shared" si="2"/>
        <v>0</v>
      </c>
      <c r="M37" s="1016"/>
      <c r="N37" s="1182">
        <v>1</v>
      </c>
      <c r="O37" s="1181">
        <f t="shared" si="3"/>
        <v>5.5</v>
      </c>
      <c r="P37" s="1145"/>
      <c r="Q37" s="34"/>
    </row>
    <row r="38" spans="1:17" s="36" customFormat="1" ht="15" customHeight="1">
      <c r="A38" s="746"/>
      <c r="B38" s="1184"/>
      <c r="C38" s="4375" t="s">
        <v>506</v>
      </c>
      <c r="D38" s="4375"/>
      <c r="E38" s="4376"/>
      <c r="F38" s="1183">
        <f>IF(C38="",0,VLOOKUP(C38,'SDK5'!C5:AF85,2,FALSE))</f>
        <v>68.900000000000006</v>
      </c>
      <c r="G38" s="1183">
        <f t="shared" si="0"/>
        <v>68.900000000000006</v>
      </c>
      <c r="H38" s="1182"/>
      <c r="I38" s="1181">
        <f t="shared" si="1"/>
        <v>0</v>
      </c>
      <c r="J38" s="39"/>
      <c r="K38" s="1182"/>
      <c r="L38" s="1023">
        <f t="shared" si="2"/>
        <v>0</v>
      </c>
      <c r="M38" s="1016"/>
      <c r="N38" s="1182">
        <v>0.2</v>
      </c>
      <c r="O38" s="1181">
        <f t="shared" si="3"/>
        <v>13.780000000000001</v>
      </c>
      <c r="P38" s="1145"/>
      <c r="Q38" s="34"/>
    </row>
    <row r="39" spans="1:17" s="36" customFormat="1" ht="15" customHeight="1">
      <c r="A39" s="746"/>
      <c r="B39" s="1021"/>
      <c r="C39" s="4375" t="s">
        <v>1483</v>
      </c>
      <c r="D39" s="4375"/>
      <c r="E39" s="4376"/>
      <c r="F39" s="1183">
        <f>IF(C39="",0,VLOOKUP(C39,'SDK5'!C6:AF86,2,FALSE))</f>
        <v>80.2</v>
      </c>
      <c r="G39" s="1183">
        <f t="shared" si="0"/>
        <v>80.2</v>
      </c>
      <c r="H39" s="1182">
        <v>1</v>
      </c>
      <c r="I39" s="1181">
        <f t="shared" si="1"/>
        <v>80.2</v>
      </c>
      <c r="J39" s="39"/>
      <c r="K39" s="1182">
        <v>1</v>
      </c>
      <c r="L39" s="1023">
        <f t="shared" si="2"/>
        <v>80.2</v>
      </c>
      <c r="M39" s="1016"/>
      <c r="N39" s="1182">
        <v>1</v>
      </c>
      <c r="O39" s="1181">
        <f t="shared" si="3"/>
        <v>80.2</v>
      </c>
      <c r="P39" s="1145"/>
      <c r="Q39" s="34"/>
    </row>
    <row r="40" spans="1:17" s="36" customFormat="1" ht="15" customHeight="1">
      <c r="A40" s="746"/>
      <c r="B40" s="1021"/>
      <c r="C40" s="4375" t="s">
        <v>311</v>
      </c>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t="s">
        <v>311</v>
      </c>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167.46485763749999</v>
      </c>
      <c r="K43" s="1175"/>
      <c r="L43" s="1174"/>
      <c r="M43" s="1044">
        <f>SUM(M46:M57)</f>
        <v>175.26781182333332</v>
      </c>
      <c r="N43" s="1173"/>
      <c r="O43" s="1172"/>
      <c r="P43" s="1041">
        <f>SUM(P46:P57)</f>
        <v>193.45419054916664</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87" t="s">
        <v>1589</v>
      </c>
      <c r="D46" s="4388"/>
      <c r="E46" s="1152">
        <f>IF($C46=0,0,VLOOKUP($C46,'SD3'!$C$24:$O$85,4,FALSE))</f>
        <v>120</v>
      </c>
      <c r="F46" s="1151">
        <f>IF($C46=0,0,VLOOKUP($C46,'SD3'!$C$24:$O$85,12,FALSE))</f>
        <v>1.38</v>
      </c>
      <c r="G46" s="1150">
        <f>IF($C46=0,0,VLOOKUP($C46,'SD3'!$C$24:$O$85,13,FALSE))</f>
        <v>64.642445999999993</v>
      </c>
      <c r="H46" s="1155">
        <v>1</v>
      </c>
      <c r="I46" s="1154">
        <f t="shared" ref="I46:I57" si="4">$F46*H46</f>
        <v>1.38</v>
      </c>
      <c r="J46" s="1145">
        <f t="shared" ref="J46:J57" si="5">H46*$G46</f>
        <v>64.642445999999993</v>
      </c>
      <c r="K46" s="1155">
        <v>1</v>
      </c>
      <c r="L46" s="1156">
        <f t="shared" ref="L46:L57" si="6">$F46*K46</f>
        <v>1.38</v>
      </c>
      <c r="M46" s="1148">
        <f t="shared" ref="M46:M57" si="7">K46*$G46</f>
        <v>64.642445999999993</v>
      </c>
      <c r="N46" s="1155">
        <v>1</v>
      </c>
      <c r="O46" s="1154">
        <f t="shared" ref="O46:O57" si="8">$F46*N46</f>
        <v>1.38</v>
      </c>
      <c r="P46" s="1145">
        <f t="shared" ref="P46:P57" si="9">N46*$G46</f>
        <v>64.642445999999993</v>
      </c>
      <c r="Q46" s="34">
        <f>$Q$2*H46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346</v>
      </c>
      <c r="D48" s="4388"/>
      <c r="E48" s="1152">
        <f>IF($C48=0,0,VLOOKUP($C48,'SD3'!$C$24:$O$85,4,FALSE))</f>
        <v>83</v>
      </c>
      <c r="F48" s="1151">
        <f>IF($C48=0,0,VLOOKUP($C48,'SD3'!$C$24:$O$85,12,FALSE))</f>
        <v>0.16</v>
      </c>
      <c r="G48" s="1150">
        <f>IF($C48=0,0,VLOOKUP($C48,'SD3'!$C$24:$O$85,13,FALSE))</f>
        <v>3.7403892799999996</v>
      </c>
      <c r="H48" s="1147">
        <v>2</v>
      </c>
      <c r="I48" s="1146">
        <f t="shared" si="4"/>
        <v>0.32</v>
      </c>
      <c r="J48" s="1145">
        <f t="shared" si="5"/>
        <v>7.4807785599999992</v>
      </c>
      <c r="K48" s="1147">
        <v>2</v>
      </c>
      <c r="L48" s="1149">
        <f t="shared" si="6"/>
        <v>0.32</v>
      </c>
      <c r="M48" s="1148">
        <f t="shared" si="7"/>
        <v>7.4807785599999992</v>
      </c>
      <c r="N48" s="1147">
        <v>3</v>
      </c>
      <c r="O48" s="1146">
        <f t="shared" si="8"/>
        <v>0.48</v>
      </c>
      <c r="P48" s="1145">
        <f t="shared" si="9"/>
        <v>11.22116784</v>
      </c>
      <c r="Q48" s="34"/>
    </row>
    <row r="49" spans="1:17" s="36" customFormat="1" ht="15" customHeight="1">
      <c r="A49" s="746"/>
      <c r="B49" s="1153"/>
      <c r="C49" s="4387" t="s">
        <v>1591</v>
      </c>
      <c r="D49" s="4388"/>
      <c r="E49" s="1152">
        <f>IF($C49=0,0,VLOOKUP($C49,'SD3'!$C$24:$O$85,4,FALSE))</f>
        <v>83</v>
      </c>
      <c r="F49" s="1151">
        <f>IF($C49=0,0,VLOOKUP($C49,'SD3'!$C$24:$O$85,12,FALSE))</f>
        <v>0.22</v>
      </c>
      <c r="G49" s="1150">
        <f>IF($C49=0,0,VLOOKUP($C49,'SD3'!$C$24:$O$85,13,FALSE))</f>
        <v>6.6430352599999996</v>
      </c>
      <c r="H49" s="1147">
        <v>2</v>
      </c>
      <c r="I49" s="1146">
        <f t="shared" si="4"/>
        <v>0.44</v>
      </c>
      <c r="J49" s="1145">
        <f t="shared" si="5"/>
        <v>13.286070519999999</v>
      </c>
      <c r="K49" s="1147">
        <v>2</v>
      </c>
      <c r="L49" s="1149">
        <f t="shared" si="6"/>
        <v>0.44</v>
      </c>
      <c r="M49" s="1148">
        <f t="shared" si="7"/>
        <v>13.286070519999999</v>
      </c>
      <c r="N49" s="1147">
        <v>3</v>
      </c>
      <c r="O49" s="1146">
        <f t="shared" si="8"/>
        <v>0.66</v>
      </c>
      <c r="P49" s="1145">
        <f t="shared" si="9"/>
        <v>19.92910578</v>
      </c>
      <c r="Q49" s="34"/>
    </row>
    <row r="50" spans="1:17" s="36" customFormat="1" ht="15" customHeight="1">
      <c r="A50" s="746"/>
      <c r="B50" s="1153"/>
      <c r="C50" s="4403" t="s">
        <v>1748</v>
      </c>
      <c r="D50" s="4404"/>
      <c r="E50" s="1152">
        <f>IF($C50=0,0,VLOOKUP($C50,'SD3'!$C$24:$O$85,4,FALSE))</f>
        <v>120</v>
      </c>
      <c r="F50" s="1151">
        <f>IF($C50=0,0,VLOOKUP($C50,'SD3'!$C$24:$O$85,12,FALSE))</f>
        <v>0.37</v>
      </c>
      <c r="G50" s="1150">
        <f>IF($C50=0,0,VLOOKUP($C50,'SD3'!$C$24:$O$85,13,FALSE))</f>
        <v>11.7573302</v>
      </c>
      <c r="H50" s="3654">
        <f>J6/75</f>
        <v>0.5</v>
      </c>
      <c r="I50" s="1146">
        <f t="shared" si="4"/>
        <v>0.185</v>
      </c>
      <c r="J50" s="1145">
        <f t="shared" si="5"/>
        <v>5.8786651000000001</v>
      </c>
      <c r="K50" s="3654">
        <f>M6/75</f>
        <v>0.66666666666666663</v>
      </c>
      <c r="L50" s="1149">
        <f t="shared" si="6"/>
        <v>0.24666666666666665</v>
      </c>
      <c r="M50" s="1148">
        <f t="shared" si="7"/>
        <v>7.8382201333333335</v>
      </c>
      <c r="N50" s="3654">
        <f>P6/75</f>
        <v>0.83333333333333337</v>
      </c>
      <c r="O50" s="1146">
        <f t="shared" si="8"/>
        <v>0.30833333333333335</v>
      </c>
      <c r="P50" s="1145">
        <f t="shared" si="9"/>
        <v>9.7977751666666677</v>
      </c>
      <c r="Q50" s="34"/>
    </row>
    <row r="51" spans="1:17" s="36" customFormat="1" ht="15" customHeight="1">
      <c r="A51" s="746"/>
      <c r="B51" s="1153"/>
      <c r="C51" s="4387" t="s">
        <v>360</v>
      </c>
      <c r="D51" s="4388"/>
      <c r="E51" s="1152">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IF($T$4=TRUE,0,H11/50)</f>
        <v>0.67500000000000004</v>
      </c>
      <c r="I57" s="1130">
        <f t="shared" si="4"/>
        <v>0.87750000000000006</v>
      </c>
      <c r="J57" s="1129">
        <f t="shared" si="5"/>
        <v>17.530197457499998</v>
      </c>
      <c r="K57" s="1131">
        <f>IF($T$4=TRUE,0,K11/50)</f>
        <v>0.9</v>
      </c>
      <c r="L57" s="1132">
        <f t="shared" si="6"/>
        <v>1.1700000000000002</v>
      </c>
      <c r="M57" s="1079">
        <f t="shared" si="7"/>
        <v>23.373596609999996</v>
      </c>
      <c r="N57" s="1131">
        <f>IF($T$4=TRUE,0,N11/50)</f>
        <v>1.125</v>
      </c>
      <c r="O57" s="1130">
        <f t="shared" si="8"/>
        <v>1.4625000000000001</v>
      </c>
      <c r="P57" s="1129">
        <f t="shared" si="9"/>
        <v>29.216995762499991</v>
      </c>
      <c r="Q57" s="34"/>
    </row>
    <row r="58" spans="1:17" s="46" customFormat="1" ht="18.75" customHeight="1">
      <c r="A58" s="811"/>
      <c r="B58" s="716" t="s">
        <v>848</v>
      </c>
      <c r="C58" s="811"/>
      <c r="D58" s="811"/>
      <c r="E58" s="811"/>
      <c r="F58" s="34"/>
      <c r="G58" s="1047"/>
      <c r="H58" s="1124"/>
      <c r="I58" s="1123">
        <f>SUM($I$46:$I$57)</f>
        <v>4.7024999999999997</v>
      </c>
      <c r="J58" s="1128"/>
      <c r="K58" s="1127"/>
      <c r="L58" s="1126">
        <f>SUM($L$46:$L$57)</f>
        <v>5.0566666666666666</v>
      </c>
      <c r="M58" s="1125"/>
      <c r="N58" s="1124"/>
      <c r="O58" s="1123">
        <f>SUM($O$46:$O$57)</f>
        <v>5.7908333333333335</v>
      </c>
      <c r="P58" s="1122"/>
      <c r="Q58" s="34"/>
    </row>
    <row r="59" spans="1:17" s="46" customFormat="1" ht="15" customHeight="1">
      <c r="A59" s="811"/>
      <c r="B59" s="1121"/>
      <c r="C59" s="285"/>
      <c r="D59" s="222" t="s">
        <v>847</v>
      </c>
      <c r="E59" s="1120">
        <v>80</v>
      </c>
      <c r="F59" s="285" t="s">
        <v>846</v>
      </c>
      <c r="G59" s="1119"/>
      <c r="H59" s="1115"/>
      <c r="I59" s="1114">
        <f>IF(I58+SUM($I$46:$I$57)*$E$59%&gt;I58+10,I58+10,I58+SUM($I$46:$I$57)*$E$59%)</f>
        <v>8.4644999999999992</v>
      </c>
      <c r="J59" s="1113"/>
      <c r="K59" s="1118"/>
      <c r="L59" s="1117">
        <f>IF(L58+SUM($L$46:$L$57)*$E$59%&gt;L58+10,L58+10,L58+SUM($L$46:$L$57)*$E$59%)</f>
        <v>9.1020000000000003</v>
      </c>
      <c r="M59" s="1116"/>
      <c r="N59" s="1115"/>
      <c r="O59" s="1114">
        <f>IF(O58+SUM($O$46:$O$57)*$E$59%&gt;O58+10,O58+10,O58+SUM($O$46:$O$57)*$E$59%)</f>
        <v>10.423500000000001</v>
      </c>
      <c r="P59" s="1113"/>
      <c r="Q59" s="34"/>
    </row>
    <row r="60" spans="1:17" s="36" customFormat="1" ht="18.75" customHeight="1">
      <c r="A60" s="746"/>
      <c r="B60" s="716" t="s">
        <v>845</v>
      </c>
      <c r="C60" s="811"/>
      <c r="D60" s="811"/>
      <c r="E60" s="39"/>
      <c r="F60" s="39"/>
      <c r="G60" s="1112"/>
      <c r="H60" s="1104"/>
      <c r="I60" s="1103"/>
      <c r="J60" s="1111">
        <f>IF(J6=0,0,SUM(I62:I64))</f>
        <v>286.875</v>
      </c>
      <c r="K60" s="1107"/>
      <c r="L60" s="1106"/>
      <c r="M60" s="1044">
        <f>IF(M6=0,0,SUM(L62:L64))</f>
        <v>324</v>
      </c>
      <c r="N60" s="1104"/>
      <c r="O60" s="1103"/>
      <c r="P60" s="1111">
        <f>IF(P6=0,0,SUM(O62:O64))</f>
        <v>361.125</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296</v>
      </c>
      <c r="D62" s="4365"/>
      <c r="E62" s="4365"/>
      <c r="F62" s="1101">
        <f>IF($C62=0,0,VLOOKUP($C62,'SD3'!$C$90:$D$104,2,FALSE))</f>
        <v>175.5</v>
      </c>
      <c r="G62" s="1100">
        <f>(100+$D$61)/100*F62</f>
        <v>175.5</v>
      </c>
      <c r="H62" s="173"/>
      <c r="I62" s="1096">
        <f>$G$62</f>
        <v>175.5</v>
      </c>
      <c r="J62" s="173"/>
      <c r="K62" s="1099"/>
      <c r="L62" s="1098">
        <f>$G$62</f>
        <v>175.5</v>
      </c>
      <c r="M62" s="1016"/>
      <c r="N62" s="1097"/>
      <c r="O62" s="1096">
        <f>$G$62</f>
        <v>175.5</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3.3</v>
      </c>
      <c r="G64" s="1082">
        <f>(100+$D$61)/100*F64</f>
        <v>3.3</v>
      </c>
      <c r="H64" s="1078"/>
      <c r="I64" s="1077">
        <f>H11*$G$64</f>
        <v>111.375</v>
      </c>
      <c r="J64" s="173"/>
      <c r="K64" s="1081"/>
      <c r="L64" s="1080">
        <f>K11*$G$64</f>
        <v>148.5</v>
      </c>
      <c r="M64" s="1079"/>
      <c r="N64" s="1078"/>
      <c r="O64" s="1077">
        <f>N11*$G$64</f>
        <v>185.625</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49.781249999999986</v>
      </c>
      <c r="K67" s="1068" t="s">
        <v>842</v>
      </c>
      <c r="L67" s="1067" t="s">
        <v>841</v>
      </c>
      <c r="M67" s="1044">
        <f>S68*(K9+K10)*L68%+F68</f>
        <v>66.374999999999986</v>
      </c>
      <c r="N67" s="1066" t="s">
        <v>842</v>
      </c>
      <c r="O67" s="1065" t="s">
        <v>841</v>
      </c>
      <c r="P67" s="1041">
        <f>T68*(N9+N10)*O68%+F68</f>
        <v>82.968749999999986</v>
      </c>
      <c r="Q67" s="34"/>
    </row>
    <row r="68" spans="1:20" s="511" customFormat="1" ht="15" customHeight="1">
      <c r="A68" s="711"/>
      <c r="B68" s="1064"/>
      <c r="C68" s="4393" t="s">
        <v>564</v>
      </c>
      <c r="D68" s="4393"/>
      <c r="E68" s="4393"/>
      <c r="F68" s="1063"/>
      <c r="G68" s="1054" t="s">
        <v>163</v>
      </c>
      <c r="H68" s="1061">
        <v>16</v>
      </c>
      <c r="I68" s="1060">
        <v>50</v>
      </c>
      <c r="J68" s="1059"/>
      <c r="K68" s="1061">
        <v>16</v>
      </c>
      <c r="L68" s="1060">
        <v>50</v>
      </c>
      <c r="M68" s="1062"/>
      <c r="N68" s="1061">
        <v>16</v>
      </c>
      <c r="O68" s="1060">
        <v>50</v>
      </c>
      <c r="P68" s="1059"/>
      <c r="Q68" s="34"/>
      <c r="R68" s="1058">
        <f>IF($H$68=0,0,VLOOKUP($H$68,'SD6'!B8:C151,'SD6'!C1,FALSE))*(1+'SDK1'!O11/100)</f>
        <v>2.6549999999999994</v>
      </c>
      <c r="S68" s="1058">
        <f>IF($K$68=0,0,VLOOKUP($K$68,'SD6'!B8:C151,'SD6'!C1,FALSE))*(1+'SDK1'!O11/100)</f>
        <v>2.6549999999999994</v>
      </c>
      <c r="T68" s="1058">
        <f>IF($N$68=0,0,VLOOKUP($N$68,'SD6'!B8:C151,'SD6'!C1,FALSE))*(1+'SDK1'!O11/100)</f>
        <v>2.6549999999999994</v>
      </c>
    </row>
    <row r="69" spans="1:20" s="511" customFormat="1" ht="18.75" customHeight="1">
      <c r="A69" s="711"/>
      <c r="B69" s="716" t="s">
        <v>839</v>
      </c>
      <c r="C69" s="711"/>
      <c r="D69" s="711"/>
      <c r="E69" s="34"/>
      <c r="F69" s="34"/>
      <c r="G69" s="1047"/>
      <c r="H69" s="38"/>
      <c r="I69" s="51"/>
      <c r="J69" s="1041">
        <f>H70*$F70/1000</f>
        <v>15.138</v>
      </c>
      <c r="K69" s="1057"/>
      <c r="L69" s="1056"/>
      <c r="M69" s="1044">
        <f>K70*$F70/1000</f>
        <v>20.184000000000001</v>
      </c>
      <c r="N69" s="38"/>
      <c r="O69" s="51"/>
      <c r="P69" s="1041">
        <f>N70*$F70/1000</f>
        <v>25.23</v>
      </c>
      <c r="Q69" s="34"/>
    </row>
    <row r="70" spans="1:20" s="511" customFormat="1" ht="15" customHeight="1">
      <c r="A70" s="711"/>
      <c r="B70" s="772"/>
      <c r="C70" s="771" t="s">
        <v>606</v>
      </c>
      <c r="D70" s="285"/>
      <c r="E70" s="222"/>
      <c r="F70" s="3742">
        <f>'SDK7'!G101</f>
        <v>16</v>
      </c>
      <c r="G70" s="1054" t="s">
        <v>163</v>
      </c>
      <c r="H70" s="1357">
        <f>J7</f>
        <v>946.125</v>
      </c>
      <c r="I70" s="1049"/>
      <c r="J70" s="1048"/>
      <c r="K70" s="1053">
        <f>M7</f>
        <v>1261.5</v>
      </c>
      <c r="L70" s="1052"/>
      <c r="M70" s="1051"/>
      <c r="N70" s="1357">
        <f>P7</f>
        <v>1576.875</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7</v>
      </c>
      <c r="H75" s="1007"/>
      <c r="I75" s="1008"/>
      <c r="J75" s="1005">
        <f>(J23+J27+J34+J43+J60+J65+J67+J69+J71)*('SDK1'!$O$59%*$G$75/12)</f>
        <v>11.461198964104167</v>
      </c>
      <c r="K75" s="513"/>
      <c r="L75" s="522"/>
      <c r="M75" s="1005">
        <f>(M23+M27+M34+M43+M60+M65+M67+M69+M71)*('SDK1'!$O$59%*$G$75/12)</f>
        <v>13.073191971272221</v>
      </c>
      <c r="N75" s="1007"/>
      <c r="O75" s="1006"/>
      <c r="P75" s="1005">
        <f>(P23+P27+P34+P43+P60+P65+P67+P69+P71)*('SDK1'!$O$59%*$G$75/12)</f>
        <v>14.930924931406945</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D149" s="12"/>
      <c r="F149" s="12"/>
      <c r="G149" s="12"/>
      <c r="H149" s="12"/>
      <c r="I149" s="12"/>
      <c r="J149" s="12"/>
      <c r="M149" s="31"/>
      <c r="N149" s="31"/>
      <c r="O149" s="31"/>
      <c r="P149" s="31"/>
      <c r="Q149" s="31"/>
    </row>
    <row r="150" spans="1:17">
      <c r="A150" s="31"/>
      <c r="B150" s="441"/>
      <c r="C150" s="12"/>
      <c r="D150" s="12"/>
      <c r="F150" s="12"/>
      <c r="G150" s="12"/>
      <c r="H150" s="12"/>
      <c r="I150" s="12"/>
      <c r="J150" s="12"/>
      <c r="M150" s="31"/>
      <c r="N150" s="31"/>
      <c r="O150" s="31"/>
      <c r="P150" s="31"/>
      <c r="Q150" s="31"/>
    </row>
    <row r="151" spans="1:17">
      <c r="A151" s="31"/>
      <c r="B151" s="441"/>
      <c r="C151" s="12"/>
      <c r="D151" s="12"/>
      <c r="F151" s="12"/>
      <c r="G151" s="12"/>
      <c r="H151" s="12"/>
      <c r="I151" s="12"/>
      <c r="J151" s="12"/>
      <c r="M151" s="31"/>
      <c r="N151" s="31"/>
      <c r="O151" s="31"/>
      <c r="P151" s="31"/>
      <c r="Q151" s="31"/>
    </row>
    <row r="152" spans="1:17">
      <c r="A152" s="31"/>
      <c r="B152" s="441"/>
      <c r="C152" s="12"/>
      <c r="D152" s="12"/>
      <c r="F152" s="12"/>
      <c r="G152" s="12"/>
      <c r="H152" s="12"/>
      <c r="I152" s="12"/>
      <c r="J152" s="12"/>
      <c r="M152" s="31"/>
      <c r="N152" s="31"/>
      <c r="O152" s="31"/>
      <c r="P152" s="31"/>
      <c r="Q152" s="31"/>
    </row>
    <row r="153" spans="1:17">
      <c r="A153" s="31"/>
      <c r="B153" s="441"/>
      <c r="C153" s="12"/>
      <c r="D153" s="12"/>
      <c r="F153" s="12"/>
      <c r="G153" s="12"/>
      <c r="H153" s="12"/>
      <c r="I153" s="12"/>
      <c r="J153" s="12"/>
      <c r="M153" s="31"/>
      <c r="N153" s="31"/>
      <c r="O153" s="31"/>
      <c r="P153" s="31"/>
      <c r="Q153" s="31"/>
    </row>
    <row r="154" spans="1:17">
      <c r="A154" s="31"/>
      <c r="B154" s="441"/>
      <c r="C154" s="12"/>
      <c r="D154" s="12"/>
      <c r="F154" s="12"/>
      <c r="G154" s="12"/>
      <c r="H154" s="12"/>
      <c r="I154" s="12"/>
      <c r="J154" s="12"/>
      <c r="M154" s="31"/>
      <c r="N154" s="31"/>
      <c r="O154" s="31"/>
      <c r="P154" s="31"/>
      <c r="Q154" s="31"/>
    </row>
    <row r="155" spans="1:17">
      <c r="A155" s="31"/>
      <c r="B155" s="441"/>
      <c r="C155" s="12"/>
      <c r="D155" s="12"/>
      <c r="F155" s="12"/>
      <c r="G155" s="12"/>
      <c r="H155" s="12"/>
      <c r="I155" s="12"/>
      <c r="J155" s="12"/>
      <c r="M155" s="31"/>
      <c r="N155" s="31"/>
      <c r="O155" s="31"/>
      <c r="P155" s="31"/>
      <c r="Q155" s="31"/>
    </row>
    <row r="156" spans="1:17">
      <c r="A156" s="31"/>
      <c r="B156" s="441"/>
      <c r="C156" s="12"/>
      <c r="D156" s="12"/>
      <c r="F156" s="12"/>
      <c r="G156" s="12"/>
      <c r="H156" s="12"/>
      <c r="I156" s="12"/>
      <c r="J156" s="12"/>
      <c r="M156" s="31"/>
      <c r="N156" s="31"/>
      <c r="O156" s="31"/>
      <c r="P156" s="31"/>
      <c r="Q156" s="31"/>
    </row>
    <row r="157" spans="1:17">
      <c r="A157" s="31"/>
      <c r="B157" s="441"/>
      <c r="C157" s="12"/>
      <c r="D157" s="12"/>
      <c r="F157" s="12"/>
      <c r="G157" s="12"/>
      <c r="H157" s="12"/>
      <c r="I157" s="12"/>
      <c r="J157" s="12"/>
      <c r="M157" s="31"/>
      <c r="N157" s="31"/>
      <c r="O157" s="31"/>
      <c r="P157" s="31"/>
      <c r="Q157" s="31"/>
    </row>
    <row r="158" spans="1:17">
      <c r="A158" s="31"/>
      <c r="B158" s="441"/>
      <c r="C158" s="12"/>
      <c r="D158" s="12"/>
      <c r="F158" s="12"/>
      <c r="G158" s="12"/>
      <c r="H158" s="12"/>
      <c r="I158" s="12"/>
      <c r="J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24" orientation="portrait" r:id="rId1"/>
      <headerFooter alignWithMargins="0">
        <oddFooter>&amp;L&amp;11LEL Schwäbisch Gmünd&amp;C31&amp;R&amp;11&amp;F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24" orientation="portrait" r:id="rId2"/>
      <headerFooter alignWithMargins="0">
        <oddFooter>&amp;L&amp;11LEL Schwäbisch Gmünd&amp;C31&amp;R&amp;11&amp;F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24" orientation="portrait" r:id="rId3"/>
      <headerFooter alignWithMargins="0">
        <oddFooter>&amp;L&amp;11LEL Schwäbisch Gmünd&amp;C31&amp;R&amp;11&amp;F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allowBlank="1" showInputMessage="1" showErrorMessage="1" sqref="H15:H17 K15:K17 N15:N17" xr:uid="{00000000-0002-0000-1D00-000000000000}">
      <formula1>"ja,nein"</formula1>
    </dataValidation>
    <dataValidation type="list" showInputMessage="1" showErrorMessage="1" sqref="H14 K14 N14" xr:uid="{00000000-0002-0000-1D00-000001000000}">
      <formula1>"ja,nein"</formula1>
    </dataValidation>
    <dataValidation type="whole" allowBlank="1" showInputMessage="1" showErrorMessage="1" errorTitle="Anteil Erntegut" error="Prozentwert darf nur zwischen 0 und 100 liegen." sqref="O68 L68 I68" xr:uid="{00000000-0002-0000-1D00-000002000000}">
      <formula1>0</formula1>
      <formula2>100</formula2>
    </dataValidation>
    <dataValidation type="decimal" allowBlank="1" showInputMessage="1" showErrorMessage="1" errorTitle="Wassergehalt Getreide" error="Zulässig sind nur Werte zwischen 14,1 und 29,0 % Wassergehalt." sqref="N68 H68 K68" xr:uid="{00000000-0002-0000-1D00-000003000000}">
      <formula1>14.1</formula1>
      <formula2>29</formula2>
    </dataValidation>
    <dataValidation type="list" allowBlank="1" showInputMessage="1" showErrorMessage="1" errorTitle="Organisationsabh. Ausgleichsl." error="Bitte aus Dropdownliste auswählen." sqref="D19:F19" xr:uid="{00000000-0002-0000-1D00-000004000000}">
      <formula1>$C$60:$C$75</formula1>
    </dataValidation>
  </dataValidations>
  <hyperlinks>
    <hyperlink ref="F9" location="'SDK1'!A1" display="Preis ändern" xr:uid="{00000000-0004-0000-1D00-000000000000}"/>
  </hyperlinks>
  <printOptions horizontalCentered="1"/>
  <pageMargins left="0.59055118110236227" right="0.59055118110236227" top="0.59055118110236227" bottom="0.59055118110236227" header="0.39370078740157483" footer="0.39370078740157483"/>
  <pageSetup paperSize="9" scale="65" firstPageNumber="24" orientation="portrait" r:id="rId4"/>
  <headerFooter alignWithMargins="0">
    <oddFooter>&amp;L&amp;11LEL Schwäbisch Gmünd&amp;C31&amp;R&amp;11&amp;F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1505" r:id="rId7" name="Check Box 1">
              <controlPr defaultSize="0" autoFill="0" autoLine="0" autoPict="0">
                <anchor moveWithCells="1">
                  <from>
                    <xdr:col>12</xdr:col>
                    <xdr:colOff>289560</xdr:colOff>
                    <xdr:row>3</xdr:row>
                    <xdr:rowOff>38100</xdr:rowOff>
                  </from>
                  <to>
                    <xdr:col>12</xdr:col>
                    <xdr:colOff>533400</xdr:colOff>
                    <xdr:row>4</xdr:row>
                    <xdr:rowOff>0</xdr:rowOff>
                  </to>
                </anchor>
              </controlPr>
            </control>
          </mc:Choice>
        </mc:AlternateContent>
        <mc:AlternateContent xmlns:mc="http://schemas.openxmlformats.org/markup-compatibility/2006">
          <mc:Choice Requires="x14">
            <control shapeId="21506" r:id="rId8" name="Check Box 2">
              <controlPr defaultSize="0" autoFill="0" autoLine="0" autoPict="0">
                <anchor moveWithCells="1">
                  <from>
                    <xdr:col>12</xdr:col>
                    <xdr:colOff>289560</xdr:colOff>
                    <xdr:row>2</xdr:row>
                    <xdr:rowOff>45720</xdr:rowOff>
                  </from>
                  <to>
                    <xdr:col>12</xdr:col>
                    <xdr:colOff>533400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1D00-000006000000}">
          <x14:formula1>
            <xm:f>'SD2'!$C$11:$C$50</xm:f>
          </x14:formula1>
          <xm:sqref>C14:F17</xm:sqref>
        </x14:dataValidation>
        <x14:dataValidation type="list" allowBlank="1" showInputMessage="1" showErrorMessage="1" errorTitle="Organisationsabh. Ausgleichsl." error="Bitte aus Dropdownliste auswählen." xr:uid="{00000000-0002-0000-1D00-000007000000}">
          <x14:formula1>
            <xm:f>'SD2'!$C$60:$C$77</xm:f>
          </x14:formula1>
          <xm:sqref>C19:C21</xm:sqref>
        </x14:dataValidation>
        <x14:dataValidation type="list" allowBlank="1" showInputMessage="1" showErrorMessage="1" errorTitle="Arbeitsgänge" error="Bitte aus Dropdownliste auswählen." xr:uid="{00000000-0002-0000-1D00-000008000000}">
          <x14:formula1>
            <xm:f>'SD3'!$C$23:$C$75</xm:f>
          </x14:formula1>
          <xm:sqref>C46:D57</xm:sqref>
        </x14:dataValidation>
        <x14:dataValidation type="list" allowBlank="1" showInputMessage="1" showErrorMessage="1" errorTitle="Lohnmaschinen" error="Bitte aus Dropdownliste auswählen." xr:uid="{00000000-0002-0000-1D00-000009000000}">
          <x14:formula1>
            <xm:f>'SD3'!$C$90:$C$104</xm:f>
          </x14:formula1>
          <xm:sqref>C62:E64</xm:sqref>
        </x14:dataValidation>
        <x14:dataValidation type="list" allowBlank="1" showInputMessage="1" showErrorMessage="1" errorTitle="Pflanzenschutzmittel" error="Bitte aus Dropdownliste auswählen." xr:uid="{00000000-0002-0000-1D00-00000A000000}">
          <x14:formula1>
            <xm:f>'SDK5'!$H$214:$H$249</xm:f>
          </x14:formula1>
          <xm:sqref>C36:E36 C37:E37 C38:E38 C39:E39 C40:E40 C41:E41 C42:E42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1">
    <tabColor rgb="FFFFFF00"/>
    <pageSetUpPr fitToPage="1"/>
  </sheetPr>
  <dimension ref="A1:AO218"/>
  <sheetViews>
    <sheetView workbookViewId="0">
      <selection activeCell="N51" sqref="N51"/>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9" width="10.5" style="31" hidden="1" customWidth="1"/>
    <col min="30" max="35" width="10.5" style="31" customWidth="1"/>
    <col min="36" max="16384" width="10.5" style="31"/>
  </cols>
  <sheetData>
    <row r="1" spans="1:41" s="1317" customFormat="1" ht="30.45" customHeight="1">
      <c r="A1" s="3740"/>
      <c r="B1" s="258"/>
      <c r="C1" s="1333"/>
      <c r="D1" s="1253"/>
      <c r="E1" s="255"/>
      <c r="F1" s="255"/>
      <c r="G1" s="430"/>
      <c r="H1" s="1328"/>
      <c r="I1" s="3212" t="s">
        <v>1679</v>
      </c>
      <c r="J1" s="3210">
        <f>(J7+J13+J18+J22)-(J23+J27+J34+J43+J60+J65+J67+J69+J71+J75)</f>
        <v>302.14600725736773</v>
      </c>
      <c r="K1" s="4360">
        <f>M1-J1</f>
        <v>246.90696298221133</v>
      </c>
      <c r="L1" s="4360"/>
      <c r="M1" s="3210">
        <f>(M7+M13+M18+M22)-(M23+M27+M34+M43+M60+M65+M67+M69+M71+M75)</f>
        <v>549.05297023957905</v>
      </c>
      <c r="N1" s="4360">
        <f>P1-M1</f>
        <v>243.1229358272783</v>
      </c>
      <c r="O1" s="4360"/>
      <c r="P1" s="3210">
        <f>(P7+P13+P18+P22)-(P23+P27+P34+P43+P60+P65+P67+P69+P71+P75)</f>
        <v>792.17590606685735</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87</v>
      </c>
      <c r="L2" s="4372"/>
      <c r="M2" s="4372"/>
      <c r="N2" s="4372"/>
      <c r="O2" s="4372"/>
      <c r="P2" s="4372"/>
      <c r="Q2" s="1345">
        <v>0</v>
      </c>
      <c r="AB2" s="3229"/>
    </row>
    <row r="3" spans="1:41" s="1317" customFormat="1" ht="32.4" customHeight="1">
      <c r="A3" s="1321"/>
      <c r="B3" s="4405" t="s">
        <v>1727</v>
      </c>
      <c r="C3" s="4405"/>
      <c r="D3" s="4405"/>
      <c r="E3" s="4405"/>
      <c r="F3" s="4405"/>
      <c r="G3" s="4405"/>
      <c r="H3" s="4405"/>
      <c r="J3" s="4368" t="s">
        <v>886</v>
      </c>
      <c r="K3" s="4369"/>
      <c r="L3" s="4369"/>
      <c r="M3" s="1327"/>
      <c r="N3" s="4373" t="str">
        <f>IF(AND(T3=TRUE,T4=TRUE),"nur 1 Strohnutzung möglich","")</f>
        <v/>
      </c>
      <c r="O3" s="4374"/>
      <c r="P3" s="1326"/>
      <c r="Q3" s="1321"/>
      <c r="T3" s="1343" t="b">
        <v>1</v>
      </c>
    </row>
    <row r="4" spans="1:41" s="1317" customFormat="1" ht="20.25" customHeight="1">
      <c r="A4" s="1321"/>
      <c r="B4" s="309" t="s">
        <v>779</v>
      </c>
      <c r="C4" s="31"/>
      <c r="D4" s="31"/>
      <c r="E4" s="4406" t="s">
        <v>890</v>
      </c>
      <c r="F4" s="4406"/>
      <c r="G4" s="4406"/>
      <c r="H4" s="4406"/>
      <c r="I4" s="4406"/>
      <c r="J4" s="4368" t="s">
        <v>875</v>
      </c>
      <c r="K4" s="4369"/>
      <c r="L4" s="4369"/>
      <c r="M4" s="1323"/>
      <c r="N4" s="4374"/>
      <c r="O4" s="4374"/>
      <c r="P4" s="1322">
        <f>'SDK1'!O3</f>
        <v>2024</v>
      </c>
      <c r="Q4" s="1321"/>
      <c r="T4" s="1343" t="b">
        <v>0</v>
      </c>
      <c r="U4" s="1318"/>
    </row>
    <row r="5" spans="1:41" ht="6" customHeight="1"/>
    <row r="6" spans="1:41" s="1311" customFormat="1" ht="24" customHeight="1">
      <c r="A6" s="41"/>
      <c r="B6" s="1316" t="s">
        <v>832</v>
      </c>
      <c r="C6" s="1315"/>
      <c r="D6" s="1315"/>
      <c r="E6" s="1315"/>
      <c r="F6" s="1315"/>
      <c r="G6" s="1314"/>
      <c r="H6" s="4366" t="s">
        <v>171</v>
      </c>
      <c r="I6" s="4367"/>
      <c r="J6" s="1313">
        <f>M6*0.75</f>
        <v>50.25</v>
      </c>
      <c r="K6" s="4379" t="s">
        <v>144</v>
      </c>
      <c r="L6" s="4380"/>
      <c r="M6" s="1313">
        <v>67</v>
      </c>
      <c r="N6" s="4366" t="s">
        <v>170</v>
      </c>
      <c r="O6" s="4367"/>
      <c r="P6" s="1312">
        <f>M6*1.25</f>
        <v>83.75</v>
      </c>
      <c r="Q6" s="49"/>
    </row>
    <row r="7" spans="1:41" s="196" customFormat="1" ht="18.75" customHeight="1">
      <c r="A7" s="40"/>
      <c r="B7" s="245" t="s">
        <v>883</v>
      </c>
      <c r="C7" s="40"/>
      <c r="D7" s="40"/>
      <c r="E7" s="40"/>
      <c r="F7" s="40"/>
      <c r="G7" s="1310"/>
      <c r="H7" s="1307"/>
      <c r="I7" s="1306"/>
      <c r="J7" s="1041">
        <f>SUM(I9:I12)</f>
        <v>1308.0074999999999</v>
      </c>
      <c r="K7" s="1309"/>
      <c r="L7" s="1308"/>
      <c r="M7" s="1044">
        <f>SUM(L9:L12)</f>
        <v>1744.01</v>
      </c>
      <c r="N7" s="1307"/>
      <c r="O7" s="1306"/>
      <c r="P7" s="1041">
        <f>SUM(O9:O12)</f>
        <v>2180.0124999999998</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'SDK1'!O21</f>
        <v>16.399999999999999</v>
      </c>
      <c r="H9" s="1303">
        <f>J6-H10</f>
        <v>50.25</v>
      </c>
      <c r="I9" s="1299">
        <f>H9*G9</f>
        <v>824.09999999999991</v>
      </c>
      <c r="J9" s="37"/>
      <c r="K9" s="1302">
        <f>M6-K10</f>
        <v>67</v>
      </c>
      <c r="L9" s="1301">
        <f>K9*G9</f>
        <v>1098.8</v>
      </c>
      <c r="M9" s="1280"/>
      <c r="N9" s="1300">
        <f>P6-N10</f>
        <v>83.75</v>
      </c>
      <c r="O9" s="1299">
        <f>N9*G9</f>
        <v>1373.4999999999998</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483.90749999999997</v>
      </c>
      <c r="S10" s="1288">
        <f>L10+L11+L12</f>
        <v>645.21</v>
      </c>
      <c r="T10" s="1287">
        <f>O10+O11+O12</f>
        <v>806.51249999999993</v>
      </c>
      <c r="W10" s="196" t="s">
        <v>879</v>
      </c>
    </row>
    <row r="11" spans="1:41" s="1268" customFormat="1" ht="15" customHeight="1">
      <c r="A11" s="309"/>
      <c r="B11" s="217"/>
      <c r="C11" s="39" t="s">
        <v>878</v>
      </c>
      <c r="D11" s="309"/>
      <c r="E11" s="1286">
        <v>0.9</v>
      </c>
      <c r="F11" s="39" t="s">
        <v>877</v>
      </c>
      <c r="G11" s="3230">
        <f>'SDK1'!$O$48</f>
        <v>10.7</v>
      </c>
      <c r="H11" s="3151">
        <f>IF(OR($T$3,$T$4)=TRUE,J6*$E$11,0)</f>
        <v>45.225000000000001</v>
      </c>
      <c r="I11" s="3152">
        <f>H11*$G$11</f>
        <v>483.90749999999997</v>
      </c>
      <c r="J11" s="3153"/>
      <c r="K11" s="3154">
        <f>IF(OR($T$3,$T$4)=TRUE,M6*$E$11,0)</f>
        <v>60.300000000000004</v>
      </c>
      <c r="L11" s="3155">
        <f>K11*$G$11</f>
        <v>645.21</v>
      </c>
      <c r="M11" s="3156"/>
      <c r="N11" s="3157">
        <f>IF(OR($T$3,$T$4)=TRUE,P6*$E$11,0)</f>
        <v>75.375</v>
      </c>
      <c r="O11" s="3152">
        <f>N11*$G$11</f>
        <v>806.51249999999993</v>
      </c>
      <c r="P11" s="3158"/>
      <c r="Q11" s="34"/>
      <c r="W11" s="1268" t="s">
        <v>876</v>
      </c>
    </row>
    <row r="12" spans="1:41" s="1268" customFormat="1" ht="15" hidden="1" customHeight="1">
      <c r="A12" s="309"/>
      <c r="B12" s="185"/>
      <c r="C12" s="223" t="s">
        <v>1652</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f>IF(OR(T3=TRUE,T4=TRUE),J6*$E$11,"0")</f>
        <v>45.225000000000001</v>
      </c>
      <c r="Y13" s="1265">
        <f>IF(OR(T3=TRUE,T4=TRUE),M6*$E$11,"0")</f>
        <v>60.300000000000004</v>
      </c>
      <c r="Z13" s="1264">
        <f>IF(OR(T3=TRUE,T4=TRUE),P6*$E$11,"0")</f>
        <v>75.375</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20.351250000000007</v>
      </c>
      <c r="Y14" s="1260">
        <f>$Y$13*F30</f>
        <v>27.135000000000012</v>
      </c>
      <c r="Z14" s="1260">
        <f>$Z$13*F30</f>
        <v>33.91875000000001</v>
      </c>
    </row>
    <row r="15" spans="1:41" s="36" customFormat="1" ht="15" customHeight="1">
      <c r="A15" s="39"/>
      <c r="B15" s="1247"/>
      <c r="C15" s="4365"/>
      <c r="D15" s="4365"/>
      <c r="E15" s="4365"/>
      <c r="F15" s="4365"/>
      <c r="G15" s="1263"/>
      <c r="H15" s="1262" t="s">
        <v>871</v>
      </c>
      <c r="I15" s="2827">
        <f>IF(H15="ja",$Q15,0)</f>
        <v>0</v>
      </c>
      <c r="J15" s="1343"/>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12.210750000000001</v>
      </c>
      <c r="Y15" s="1260">
        <f>$Y$13*F31</f>
        <v>16.281000000000002</v>
      </c>
      <c r="Z15" s="1260">
        <f>$Z$13*F31</f>
        <v>20.35125</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69.194249999999997</v>
      </c>
      <c r="Y16" s="1260">
        <f>$Y$13*F32</f>
        <v>92.259</v>
      </c>
      <c r="Z16" s="1260">
        <f>$Z$13*F32</f>
        <v>115.32374999999999</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8.1404999999999994</v>
      </c>
      <c r="Y17" s="1260">
        <f>$Y$13*F33</f>
        <v>10.854000000000001</v>
      </c>
      <c r="Z17" s="1260">
        <f>$Z$13*F33</f>
        <v>13.567499999999999</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111</v>
      </c>
      <c r="K23" s="1046"/>
      <c r="L23" s="1045"/>
      <c r="M23" s="1227">
        <f>SUM(L25:L26)</f>
        <v>111</v>
      </c>
      <c r="N23" s="1043"/>
      <c r="O23" s="1042"/>
      <c r="P23" s="1026">
        <f>SUM(O25:O26)</f>
        <v>111</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t="s">
        <v>889</v>
      </c>
      <c r="E25" s="4384"/>
      <c r="F25" s="1222">
        <f>'SDK7'!F51/100</f>
        <v>0.74</v>
      </c>
      <c r="G25" s="1221">
        <f>F25*(100+$D$24)/100</f>
        <v>0.74</v>
      </c>
      <c r="H25" s="1220">
        <v>150</v>
      </c>
      <c r="I25" s="1181">
        <f>H25*$G25</f>
        <v>111</v>
      </c>
      <c r="J25" s="39"/>
      <c r="K25" s="1220">
        <f>H25</f>
        <v>150</v>
      </c>
      <c r="L25" s="1023">
        <f>K25*$G25</f>
        <v>111</v>
      </c>
      <c r="M25" s="1016"/>
      <c r="N25" s="1220">
        <f>H25</f>
        <v>150</v>
      </c>
      <c r="O25" s="1181">
        <f>N25*$G25</f>
        <v>111</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316.29921999999999</v>
      </c>
      <c r="K27" s="1175"/>
      <c r="L27" s="1174"/>
      <c r="M27" s="1044">
        <f>SUM(L30:L32)</f>
        <v>413.79896000000002</v>
      </c>
      <c r="N27" s="1173"/>
      <c r="O27" s="1172"/>
      <c r="P27" s="1041">
        <f>SUM(O30:O32)</f>
        <v>511.2987</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1.79</v>
      </c>
      <c r="F30" s="1201">
        <f>VLOOKUP(K2,'SD8'!B9:L42,7,FALSE)</f>
        <v>0.45000000000000018</v>
      </c>
      <c r="G30" s="1200">
        <v>20</v>
      </c>
      <c r="H30" s="1198">
        <f>IF(J$6=0,0,(J$6*$E30+$G30+X14))</f>
        <v>130.29875000000001</v>
      </c>
      <c r="I30" s="1181">
        <f>H30*$D30</f>
        <v>155.05551250000002</v>
      </c>
      <c r="J30" s="39"/>
      <c r="K30" s="1199">
        <f>IF(M$6=0,0,(M$6*$E30+$G30+Y14))</f>
        <v>167.06500000000003</v>
      </c>
      <c r="L30" s="1023">
        <f>K30*$D30</f>
        <v>198.80735000000001</v>
      </c>
      <c r="M30" s="1016"/>
      <c r="N30" s="1198">
        <f>IF(P$6=0,0,(P$6*$E30+$G30+Z14))</f>
        <v>203.83125000000001</v>
      </c>
      <c r="O30" s="1181">
        <f>N30*$D30</f>
        <v>242.55918750000001</v>
      </c>
      <c r="P30" s="1145"/>
      <c r="Q30" s="34"/>
    </row>
    <row r="31" spans="1:26" s="36" customFormat="1" ht="15" customHeight="1">
      <c r="A31" s="746"/>
      <c r="B31" s="217"/>
      <c r="C31" s="746" t="s">
        <v>234</v>
      </c>
      <c r="D31" s="1150">
        <f>'SDK1'!O53</f>
        <v>1.2</v>
      </c>
      <c r="E31" s="1201">
        <f>VLOOKUP(K2,'SD8'!B9:L42,4,FALSE)</f>
        <v>0.8</v>
      </c>
      <c r="F31" s="1201">
        <f>VLOOKUP(K2,'SD8'!B9:L42,8,FALSE)</f>
        <v>0.27</v>
      </c>
      <c r="G31" s="1200"/>
      <c r="H31" s="1198">
        <f>IF(J$6=0,0,(J$6*$E31+$G31+X15))</f>
        <v>52.410750000000007</v>
      </c>
      <c r="I31" s="1181">
        <f>H31*$D31</f>
        <v>62.892900000000004</v>
      </c>
      <c r="J31" s="39"/>
      <c r="K31" s="1199">
        <f>IF(M$6=0,0,(M$6*$E31+$G31+Y15))</f>
        <v>69.881</v>
      </c>
      <c r="L31" s="1023">
        <f>K31*$D31</f>
        <v>83.857199999999992</v>
      </c>
      <c r="M31" s="1016"/>
      <c r="N31" s="1198">
        <f>IF(P$6=0,0,(P$6*$E31+$G31+Z15))</f>
        <v>87.351249999999993</v>
      </c>
      <c r="O31" s="1181">
        <f>N31*$D31</f>
        <v>104.82149999999999</v>
      </c>
      <c r="P31" s="1145"/>
      <c r="Q31" s="34"/>
    </row>
    <row r="32" spans="1:26" s="36" customFormat="1" ht="15" customHeight="1">
      <c r="A32" s="746"/>
      <c r="B32" s="185"/>
      <c r="C32" s="2791" t="s">
        <v>232</v>
      </c>
      <c r="D32" s="1133">
        <f>'SDK1'!O54</f>
        <v>0.99</v>
      </c>
      <c r="E32" s="1197">
        <f>VLOOKUP(K2,'SD8'!B9:L42,5,FALSE)</f>
        <v>0.6</v>
      </c>
      <c r="F32" s="1197">
        <f>VLOOKUP(K2,'SD8'!B9:L42,9,FALSE)</f>
        <v>1.5299999999999998</v>
      </c>
      <c r="G32" s="1196"/>
      <c r="H32" s="1194">
        <f>IF(J$6=0,0,(J$6*$E32+$G32+X16))</f>
        <v>99.344249999999988</v>
      </c>
      <c r="I32" s="1177">
        <f>H32*$D32</f>
        <v>98.350807499999988</v>
      </c>
      <c r="J32" s="223"/>
      <c r="K32" s="1195">
        <f>IF(M$6=0,0,(M$6*$E32+$G32+Y16))</f>
        <v>132.459</v>
      </c>
      <c r="L32" s="1017">
        <f>K32*$D32</f>
        <v>131.13441</v>
      </c>
      <c r="M32" s="1256"/>
      <c r="N32" s="1194">
        <f>IF(P$6=0,0,(P$6*$E32+$G32+Z16))</f>
        <v>165.57374999999999</v>
      </c>
      <c r="O32" s="1177">
        <f>N32*$D32</f>
        <v>163.91801249999997</v>
      </c>
      <c r="P32" s="1176"/>
      <c r="Q32" s="34"/>
    </row>
    <row r="33" spans="1:17" s="36" customFormat="1" ht="15" hidden="1" customHeight="1">
      <c r="A33" s="746"/>
      <c r="B33" s="185"/>
      <c r="C33" s="771" t="s">
        <v>230</v>
      </c>
      <c r="D33" s="1133">
        <f>'SDK1'!P55</f>
        <v>0.45</v>
      </c>
      <c r="E33" s="1197">
        <f>VLOOKUP(K2,'SD8'!B9:L42,6,FALSE)</f>
        <v>0.2</v>
      </c>
      <c r="F33" s="1197">
        <f>VLOOKUP(K2,'SD8'!B9:L42,10,FALSE)</f>
        <v>0.18</v>
      </c>
      <c r="G33" s="1196"/>
      <c r="H33" s="1194">
        <f>IF(J$6=0,0,(J$6*$E33+$G33+X17))</f>
        <v>18.1905</v>
      </c>
      <c r="I33" s="1177">
        <f>H33*$D33</f>
        <v>8.1857249999999997</v>
      </c>
      <c r="J33" s="39"/>
      <c r="K33" s="1195">
        <f>IF(M$6=0,0,(M$6*$E33+$G33+Y17))</f>
        <v>24.254000000000001</v>
      </c>
      <c r="L33" s="1017">
        <f>K33*$D33</f>
        <v>10.914300000000001</v>
      </c>
      <c r="M33" s="1016"/>
      <c r="N33" s="1194">
        <f>IF(P$6=0,0,(P$6*$E33+$G33+Z17))</f>
        <v>30.317499999999999</v>
      </c>
      <c r="O33" s="1177">
        <f>N33*$D33</f>
        <v>13.642875</v>
      </c>
      <c r="P33" s="1176"/>
      <c r="Q33" s="34"/>
    </row>
    <row r="34" spans="1:17" s="511" customFormat="1" ht="18.75" customHeight="1">
      <c r="A34" s="711"/>
      <c r="B34" s="716" t="s">
        <v>859</v>
      </c>
      <c r="C34" s="711"/>
      <c r="D34" s="33"/>
      <c r="E34" s="33"/>
      <c r="F34" s="4381" t="s">
        <v>858</v>
      </c>
      <c r="G34" s="4382"/>
      <c r="H34" s="1191"/>
      <c r="I34" s="1190"/>
      <c r="J34" s="1041">
        <f>SUM(I36:I42)</f>
        <v>154.12</v>
      </c>
      <c r="K34" s="1193"/>
      <c r="L34" s="1192"/>
      <c r="M34" s="1044">
        <f>SUM(L36:L42)</f>
        <v>154.12</v>
      </c>
      <c r="N34" s="1191"/>
      <c r="O34" s="1190"/>
      <c r="P34" s="1041">
        <f>SUM(O36:O42)</f>
        <v>154.12</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534</v>
      </c>
      <c r="D36" s="4389"/>
      <c r="E36" s="4390"/>
      <c r="F36" s="1183">
        <f>IF(C36="",0,VLOOKUP(C36,'SDK5'!C3:AF83,2,FALSE))</f>
        <v>306</v>
      </c>
      <c r="G36" s="1183">
        <f t="shared" ref="G36:G42" si="0">F36*(100+$D$35)/100</f>
        <v>306</v>
      </c>
      <c r="H36" s="1182">
        <v>0.22</v>
      </c>
      <c r="I36" s="1181">
        <f t="shared" ref="I36:I42" si="1">$G36*H36</f>
        <v>67.320000000000007</v>
      </c>
      <c r="J36" s="39"/>
      <c r="K36" s="1182">
        <v>0.22</v>
      </c>
      <c r="L36" s="1023">
        <f t="shared" ref="L36:L42" si="2">$G36*K36</f>
        <v>67.320000000000007</v>
      </c>
      <c r="M36" s="1016"/>
      <c r="N36" s="1182">
        <v>0.22</v>
      </c>
      <c r="O36" s="1181">
        <f t="shared" ref="O36:O42" si="3">$G36*N36</f>
        <v>67.320000000000007</v>
      </c>
      <c r="P36" s="1185"/>
      <c r="Q36" s="34"/>
    </row>
    <row r="37" spans="1:17" s="36" customFormat="1" ht="15" customHeight="1">
      <c r="A37" s="746"/>
      <c r="B37" s="1021"/>
      <c r="C37" s="4375" t="s">
        <v>528</v>
      </c>
      <c r="D37" s="4375"/>
      <c r="E37" s="4376"/>
      <c r="F37" s="1183">
        <f>IF(C37="",0,VLOOKUP(C37,'SDK5'!C4:AF84,2,FALSE))</f>
        <v>5.5</v>
      </c>
      <c r="G37" s="1183">
        <f t="shared" si="0"/>
        <v>5.5</v>
      </c>
      <c r="H37" s="1182">
        <v>1.2</v>
      </c>
      <c r="I37" s="1181">
        <f t="shared" si="1"/>
        <v>6.6</v>
      </c>
      <c r="J37" s="39"/>
      <c r="K37" s="1182">
        <v>1.2</v>
      </c>
      <c r="L37" s="1023">
        <f t="shared" si="2"/>
        <v>6.6</v>
      </c>
      <c r="M37" s="1016"/>
      <c r="N37" s="1182">
        <v>1.2</v>
      </c>
      <c r="O37" s="1181">
        <f t="shared" si="3"/>
        <v>6.6</v>
      </c>
      <c r="P37" s="1145"/>
      <c r="Q37" s="34"/>
    </row>
    <row r="38" spans="1:17" s="36" customFormat="1" ht="15" customHeight="1">
      <c r="A38" s="746"/>
      <c r="B38" s="1184"/>
      <c r="C38" s="4375" t="s">
        <v>1483</v>
      </c>
      <c r="D38" s="4375"/>
      <c r="E38" s="4376"/>
      <c r="F38" s="1183">
        <f>IF(C38="",0,VLOOKUP(C38,'SDK5'!C5:AF85,2,FALSE))</f>
        <v>80.2</v>
      </c>
      <c r="G38" s="1183">
        <f t="shared" si="0"/>
        <v>80.2</v>
      </c>
      <c r="H38" s="1182">
        <v>1</v>
      </c>
      <c r="I38" s="1181">
        <f t="shared" si="1"/>
        <v>80.2</v>
      </c>
      <c r="J38" s="39"/>
      <c r="K38" s="1182">
        <v>1</v>
      </c>
      <c r="L38" s="1023">
        <f t="shared" si="2"/>
        <v>80.2</v>
      </c>
      <c r="M38" s="1016"/>
      <c r="N38" s="1182">
        <v>1</v>
      </c>
      <c r="O38" s="1181">
        <f t="shared" si="3"/>
        <v>80.2</v>
      </c>
      <c r="P38" s="1145"/>
      <c r="Q38" s="34"/>
    </row>
    <row r="39" spans="1:17" s="36" customFormat="1" ht="15" customHeight="1">
      <c r="A39" s="746"/>
      <c r="B39" s="1021"/>
      <c r="C39" s="4375"/>
      <c r="D39" s="4375"/>
      <c r="E39" s="4376"/>
      <c r="F39" s="1183">
        <f>IF(C39="",0,VLOOKUP(C39,'SDK5'!C6:AF86,2,FALSE))</f>
        <v>0</v>
      </c>
      <c r="G39" s="1183">
        <f t="shared" si="0"/>
        <v>0</v>
      </c>
      <c r="H39" s="1182"/>
      <c r="I39" s="1181">
        <f t="shared" si="1"/>
        <v>0</v>
      </c>
      <c r="J39" s="39"/>
      <c r="K39" s="1182"/>
      <c r="L39" s="1023">
        <f t="shared" si="2"/>
        <v>0</v>
      </c>
      <c r="M39" s="1016"/>
      <c r="N39" s="1182"/>
      <c r="O39" s="1181">
        <f t="shared" si="3"/>
        <v>0</v>
      </c>
      <c r="P39" s="1145"/>
      <c r="Q39" s="34"/>
    </row>
    <row r="40" spans="1:17" s="36" customFormat="1" ht="15" customHeight="1">
      <c r="A40" s="746"/>
      <c r="B40" s="1021"/>
      <c r="C40" s="4375"/>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175.42387090704997</v>
      </c>
      <c r="K43" s="1175"/>
      <c r="L43" s="1174"/>
      <c r="M43" s="1044">
        <f>SUM(M46:M57)</f>
        <v>185.87982951606665</v>
      </c>
      <c r="N43" s="1173"/>
      <c r="O43" s="1172"/>
      <c r="P43" s="1041">
        <f>SUM(P46:P57)</f>
        <v>200.07617740508331</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2723" t="s">
        <v>1589</v>
      </c>
      <c r="D46" s="2724"/>
      <c r="E46" s="1152">
        <f>IF($C46=0,0,VLOOKUP($C46,'SD3'!$C$24:$O$85,4,FALSE))</f>
        <v>120</v>
      </c>
      <c r="F46" s="1151">
        <f>IF($C46=0,0,VLOOKUP($C46,'SD3'!$C$24:$O$85,12,FALSE))</f>
        <v>1.38</v>
      </c>
      <c r="G46" s="1150">
        <f>IF($C46=0,0,VLOOKUP($C46,'SD3'!$C$24:$O$85,13,FALSE))</f>
        <v>64.642445999999993</v>
      </c>
      <c r="H46" s="1155">
        <v>1</v>
      </c>
      <c r="I46" s="1154">
        <f t="shared" ref="I46:I57" si="4">$F46*H46</f>
        <v>1.38</v>
      </c>
      <c r="J46" s="1145">
        <f t="shared" ref="J46:J57" si="5">H46*$G46</f>
        <v>64.642445999999993</v>
      </c>
      <c r="K46" s="1155">
        <v>1</v>
      </c>
      <c r="L46" s="1156">
        <f t="shared" ref="L46:L57" si="6">$F46*K46</f>
        <v>1.38</v>
      </c>
      <c r="M46" s="1148">
        <f t="shared" ref="M46:M57" si="7">K46*$G46</f>
        <v>64.642445999999993</v>
      </c>
      <c r="N46" s="1155">
        <v>1</v>
      </c>
      <c r="O46" s="1154">
        <f t="shared" ref="O46:O57" si="8">$F46*N46</f>
        <v>1.38</v>
      </c>
      <c r="P46" s="1145">
        <f t="shared" ref="P46:P57" si="9">N46*$G46</f>
        <v>64.642445999999993</v>
      </c>
      <c r="Q46" s="34">
        <f>$Q$2*H46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2723" t="s">
        <v>346</v>
      </c>
      <c r="D48" s="2724"/>
      <c r="E48" s="1152">
        <f>IF($C48=0,0,VLOOKUP($C48,'SD3'!$C$24:$O$85,4,FALSE))</f>
        <v>83</v>
      </c>
      <c r="F48" s="1151">
        <f>IF($C48=0,0,VLOOKUP($C48,'SD3'!$C$24:$O$85,12,FALSE))</f>
        <v>0.16</v>
      </c>
      <c r="G48" s="1150">
        <f>IF($C48=0,0,VLOOKUP($C48,'SD3'!$C$24:$O$85,13,FALSE))</f>
        <v>3.7403892799999996</v>
      </c>
      <c r="H48" s="1147">
        <v>2</v>
      </c>
      <c r="I48" s="1146">
        <f t="shared" si="4"/>
        <v>0.32</v>
      </c>
      <c r="J48" s="1145">
        <f t="shared" si="5"/>
        <v>7.4807785599999992</v>
      </c>
      <c r="K48" s="1147">
        <v>2</v>
      </c>
      <c r="L48" s="1149">
        <f t="shared" si="6"/>
        <v>0.32</v>
      </c>
      <c r="M48" s="1148">
        <f t="shared" si="7"/>
        <v>7.4807785599999992</v>
      </c>
      <c r="N48" s="1147">
        <v>3</v>
      </c>
      <c r="O48" s="1146">
        <f t="shared" si="8"/>
        <v>0.48</v>
      </c>
      <c r="P48" s="1145">
        <f t="shared" si="9"/>
        <v>11.22116784</v>
      </c>
      <c r="Q48" s="34"/>
    </row>
    <row r="49" spans="1:17" s="36" customFormat="1" ht="15" customHeight="1">
      <c r="A49" s="746"/>
      <c r="B49" s="1153"/>
      <c r="C49" s="4387" t="s">
        <v>1591</v>
      </c>
      <c r="D49" s="4388"/>
      <c r="E49" s="1152">
        <f>IF($C49=0,0,VLOOKUP($C49,'SD3'!$C$24:$O$85,4,FALSE))</f>
        <v>83</v>
      </c>
      <c r="F49" s="1151">
        <f>IF($C49=0,0,VLOOKUP($C49,'SD3'!$C$24:$O$85,12,FALSE))</f>
        <v>0.22</v>
      </c>
      <c r="G49" s="1150">
        <f>IF($C49=0,0,VLOOKUP($C49,'SD3'!$C$24:$O$85,13,FALSE))</f>
        <v>6.6430352599999996</v>
      </c>
      <c r="H49" s="1147">
        <v>2</v>
      </c>
      <c r="I49" s="1146">
        <f t="shared" si="4"/>
        <v>0.44</v>
      </c>
      <c r="J49" s="1145">
        <f t="shared" si="5"/>
        <v>13.286070519999999</v>
      </c>
      <c r="K49" s="1147">
        <v>2</v>
      </c>
      <c r="L49" s="1149">
        <f t="shared" si="6"/>
        <v>0.44</v>
      </c>
      <c r="M49" s="1148">
        <f t="shared" si="7"/>
        <v>13.286070519999999</v>
      </c>
      <c r="N49" s="1147">
        <v>2</v>
      </c>
      <c r="O49" s="1146">
        <f t="shared" si="8"/>
        <v>0.44</v>
      </c>
      <c r="P49" s="1145">
        <f t="shared" si="9"/>
        <v>13.286070519999999</v>
      </c>
      <c r="Q49" s="34"/>
    </row>
    <row r="50" spans="1:17" s="36" customFormat="1" ht="15" customHeight="1">
      <c r="A50" s="746"/>
      <c r="B50" s="1153"/>
      <c r="C50" s="4403" t="s">
        <v>1748</v>
      </c>
      <c r="D50" s="4404"/>
      <c r="E50" s="1152">
        <f>IF($C50=0,0,VLOOKUP($C50,'SD3'!$C$24:$O$85,4,FALSE))</f>
        <v>120</v>
      </c>
      <c r="F50" s="1151">
        <f>IF($C50=0,0,VLOOKUP($C50,'SD3'!$C$24:$O$85,12,FALSE))</f>
        <v>0.37</v>
      </c>
      <c r="G50" s="1150">
        <f>IF($C50=0,0,VLOOKUP($C50,'SD3'!$C$24:$O$85,13,FALSE))</f>
        <v>11.7573302</v>
      </c>
      <c r="H50" s="3654">
        <f>J6/75</f>
        <v>0.67</v>
      </c>
      <c r="I50" s="1146">
        <f t="shared" si="4"/>
        <v>0.24790000000000001</v>
      </c>
      <c r="J50" s="1145">
        <f t="shared" si="5"/>
        <v>7.8774112340000002</v>
      </c>
      <c r="K50" s="3654">
        <f>M6/75</f>
        <v>0.89333333333333331</v>
      </c>
      <c r="L50" s="1149">
        <f t="shared" si="6"/>
        <v>0.33053333333333335</v>
      </c>
      <c r="M50" s="1148">
        <f t="shared" si="7"/>
        <v>10.503214978666666</v>
      </c>
      <c r="N50" s="3654">
        <f>P6/75</f>
        <v>1.1166666666666667</v>
      </c>
      <c r="O50" s="1146">
        <f t="shared" si="8"/>
        <v>0.41316666666666668</v>
      </c>
      <c r="P50" s="1145">
        <f t="shared" si="9"/>
        <v>13.129018723333333</v>
      </c>
      <c r="Q50" s="34"/>
    </row>
    <row r="51" spans="1:17" s="36" customFormat="1" ht="15" customHeight="1">
      <c r="A51" s="746"/>
      <c r="B51" s="1153"/>
      <c r="C51" s="4387" t="s">
        <v>360</v>
      </c>
      <c r="D51" s="4388"/>
      <c r="E51" s="1152">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IF($T$4=TRUE,0,H11/50)</f>
        <v>0.90450000000000008</v>
      </c>
      <c r="I57" s="1130">
        <f t="shared" si="4"/>
        <v>1.1758500000000001</v>
      </c>
      <c r="J57" s="1129">
        <f t="shared" si="5"/>
        <v>23.490464593049996</v>
      </c>
      <c r="K57" s="1131">
        <f>IF($T$4=TRUE,0,K11/50)</f>
        <v>1.2060000000000002</v>
      </c>
      <c r="L57" s="1132">
        <f t="shared" si="6"/>
        <v>1.5678000000000003</v>
      </c>
      <c r="M57" s="1079">
        <f t="shared" si="7"/>
        <v>31.320619457399996</v>
      </c>
      <c r="N57" s="1131">
        <f>IF($T$4=TRUE,0,N11/50)</f>
        <v>1.5075000000000001</v>
      </c>
      <c r="O57" s="1130">
        <f t="shared" si="8"/>
        <v>1.9597500000000001</v>
      </c>
      <c r="P57" s="1129">
        <f t="shared" si="9"/>
        <v>39.150774321749992</v>
      </c>
      <c r="Q57" s="34"/>
    </row>
    <row r="58" spans="1:17" s="46" customFormat="1" ht="18.75" customHeight="1">
      <c r="A58" s="811"/>
      <c r="B58" s="716" t="s">
        <v>848</v>
      </c>
      <c r="C58" s="811"/>
      <c r="D58" s="811"/>
      <c r="E58" s="811"/>
      <c r="F58" s="34"/>
      <c r="G58" s="1047"/>
      <c r="H58" s="1124"/>
      <c r="I58" s="1123">
        <f>SUM($I$46:$I$57)</f>
        <v>5.0637499999999998</v>
      </c>
      <c r="J58" s="1128"/>
      <c r="K58" s="1127"/>
      <c r="L58" s="1126">
        <f>SUM($L$46:$L$57)</f>
        <v>5.5383333333333331</v>
      </c>
      <c r="M58" s="1125"/>
      <c r="N58" s="1124"/>
      <c r="O58" s="1123">
        <f>SUM($O$46:$O$57)</f>
        <v>6.1729166666666657</v>
      </c>
      <c r="P58" s="1122"/>
      <c r="Q58" s="34"/>
    </row>
    <row r="59" spans="1:17" s="46" customFormat="1" ht="15" customHeight="1">
      <c r="A59" s="811"/>
      <c r="B59" s="1121"/>
      <c r="C59" s="285"/>
      <c r="D59" s="222" t="s">
        <v>847</v>
      </c>
      <c r="E59" s="1120">
        <v>80</v>
      </c>
      <c r="F59" s="285" t="s">
        <v>846</v>
      </c>
      <c r="G59" s="1119"/>
      <c r="H59" s="1115"/>
      <c r="I59" s="1114">
        <f>IF(I58+SUM($I$46:$I$57)*$E$59%&gt;I58+10,I58+10,I58+SUM($I$46:$I$57)*$E$59%)</f>
        <v>9.1147500000000008</v>
      </c>
      <c r="J59" s="1113"/>
      <c r="K59" s="1118"/>
      <c r="L59" s="1117">
        <f>IF(L58+SUM($L$46:$L$57)*$E$59%&gt;L58+10,L58+10,L58+SUM($L$46:$L$57)*$E$59%)</f>
        <v>9.9689999999999994</v>
      </c>
      <c r="M59" s="1116"/>
      <c r="N59" s="1115"/>
      <c r="O59" s="1114">
        <f>IF(O58+SUM($O$46:$O$57)*$E$59%&gt;O58+10,O58+10,O58+SUM($O$46:$O$57)*$E$59%)</f>
        <v>11.111249999999998</v>
      </c>
      <c r="P59" s="1113"/>
      <c r="Q59" s="34"/>
    </row>
    <row r="60" spans="1:17" s="36" customFormat="1" ht="18.75" customHeight="1">
      <c r="A60" s="746"/>
      <c r="B60" s="716" t="s">
        <v>845</v>
      </c>
      <c r="C60" s="811"/>
      <c r="D60" s="811"/>
      <c r="E60" s="39"/>
      <c r="F60" s="39"/>
      <c r="G60" s="1112"/>
      <c r="H60" s="1104"/>
      <c r="I60" s="1103"/>
      <c r="J60" s="1111">
        <f>IF(J6=0,0,SUM(I62:I64))</f>
        <v>324.74250000000001</v>
      </c>
      <c r="K60" s="1107"/>
      <c r="L60" s="1106"/>
      <c r="M60" s="1044">
        <f>IF(M6=0,0,SUM(L62:L64))</f>
        <v>374.49</v>
      </c>
      <c r="N60" s="1104"/>
      <c r="O60" s="1103"/>
      <c r="P60" s="1111">
        <f>IF(P6=0,0,SUM(O62:O64))</f>
        <v>424.23749999999995</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296</v>
      </c>
      <c r="D62" s="4365"/>
      <c r="E62" s="4365"/>
      <c r="F62" s="1101">
        <f>IF($C62=0,0,VLOOKUP($C62,'SD3'!$C$90:$D$104,2,FALSE))</f>
        <v>175.5</v>
      </c>
      <c r="G62" s="1100">
        <f>(100+$D$61)/100*F62</f>
        <v>175.5</v>
      </c>
      <c r="H62" s="173"/>
      <c r="I62" s="1096">
        <f>$G$62</f>
        <v>175.5</v>
      </c>
      <c r="J62" s="173"/>
      <c r="K62" s="1099"/>
      <c r="L62" s="1098">
        <f>$G$62</f>
        <v>175.5</v>
      </c>
      <c r="M62" s="1016"/>
      <c r="N62" s="1097"/>
      <c r="O62" s="1096">
        <f>$G$62</f>
        <v>175.5</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3.3</v>
      </c>
      <c r="G64" s="1082">
        <f>(100+$D$61)/100*F64</f>
        <v>3.3</v>
      </c>
      <c r="H64" s="1078"/>
      <c r="I64" s="1077">
        <f>H11*$G$64</f>
        <v>149.24250000000001</v>
      </c>
      <c r="J64" s="173"/>
      <c r="K64" s="1081"/>
      <c r="L64" s="1080">
        <f>K11*$G$64</f>
        <v>198.99</v>
      </c>
      <c r="M64" s="1079"/>
      <c r="N64" s="1078"/>
      <c r="O64" s="1077">
        <f>N11*$G$64</f>
        <v>248.73749999999998</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66.706874999999982</v>
      </c>
      <c r="K67" s="1068" t="s">
        <v>842</v>
      </c>
      <c r="L67" s="1067" t="s">
        <v>841</v>
      </c>
      <c r="M67" s="1044">
        <f>S68*(K9+K10)*L68%+F68</f>
        <v>88.942499999999981</v>
      </c>
      <c r="N67" s="1066" t="s">
        <v>842</v>
      </c>
      <c r="O67" s="1065" t="s">
        <v>841</v>
      </c>
      <c r="P67" s="1041">
        <f>T68*(N9+N10)*O68%+F68</f>
        <v>111.17812499999998</v>
      </c>
      <c r="Q67" s="34"/>
    </row>
    <row r="68" spans="1:20" s="511" customFormat="1" ht="15" customHeight="1">
      <c r="A68" s="711"/>
      <c r="B68" s="1064"/>
      <c r="C68" s="4393" t="s">
        <v>564</v>
      </c>
      <c r="D68" s="4393"/>
      <c r="E68" s="4393"/>
      <c r="F68" s="1063"/>
      <c r="G68" s="1054" t="s">
        <v>163</v>
      </c>
      <c r="H68" s="1061">
        <v>16</v>
      </c>
      <c r="I68" s="1060">
        <v>50</v>
      </c>
      <c r="J68" s="1059"/>
      <c r="K68" s="1061">
        <v>16</v>
      </c>
      <c r="L68" s="1060">
        <v>50</v>
      </c>
      <c r="M68" s="1062"/>
      <c r="N68" s="1061">
        <v>16</v>
      </c>
      <c r="O68" s="1060">
        <v>50</v>
      </c>
      <c r="P68" s="1059"/>
      <c r="Q68" s="34"/>
      <c r="R68" s="1058">
        <f>IF($H$68=0,0,VLOOKUP($H$68,'SD6'!B8:C151,'SD6'!C1,FALSE))*(1+'SDK1'!O11/100)</f>
        <v>2.6549999999999994</v>
      </c>
      <c r="S68" s="1058">
        <f>IF($K$68=0,0,VLOOKUP($K$68,'SD6'!B8:C151,'SD6'!C1,FALSE))*(1+'SDK1'!O11/100)</f>
        <v>2.6549999999999994</v>
      </c>
      <c r="T68" s="1058">
        <f>IF($N$68=0,0,VLOOKUP($N$68,'SD6'!B8:C151,'SD6'!C1,FALSE))*(1+'SDK1'!O11/100)</f>
        <v>2.6549999999999994</v>
      </c>
    </row>
    <row r="69" spans="1:20" s="511" customFormat="1" ht="18.75" customHeight="1">
      <c r="A69" s="711"/>
      <c r="B69" s="716" t="s">
        <v>839</v>
      </c>
      <c r="C69" s="711"/>
      <c r="D69" s="711"/>
      <c r="E69" s="34"/>
      <c r="F69" s="34"/>
      <c r="G69" s="1047"/>
      <c r="H69" s="38"/>
      <c r="I69" s="51"/>
      <c r="J69" s="1041">
        <f>H70*$F70/1000</f>
        <v>20.92812</v>
      </c>
      <c r="K69" s="1057"/>
      <c r="L69" s="1056"/>
      <c r="M69" s="1044">
        <f>K70*$F70/1000</f>
        <v>27.904160000000001</v>
      </c>
      <c r="N69" s="38"/>
      <c r="O69" s="51"/>
      <c r="P69" s="1041">
        <f>N70*$F70/1000</f>
        <v>34.880199999999995</v>
      </c>
      <c r="Q69" s="34"/>
    </row>
    <row r="70" spans="1:20" s="511" customFormat="1" ht="15" customHeight="1">
      <c r="A70" s="711"/>
      <c r="B70" s="772"/>
      <c r="C70" s="771" t="s">
        <v>606</v>
      </c>
      <c r="D70" s="285"/>
      <c r="E70" s="222"/>
      <c r="F70" s="3742">
        <f>'SDK7'!G101</f>
        <v>16</v>
      </c>
      <c r="G70" s="1054" t="s">
        <v>163</v>
      </c>
      <c r="H70" s="1357">
        <f>J7</f>
        <v>1308.0074999999999</v>
      </c>
      <c r="I70" s="1049"/>
      <c r="J70" s="1048"/>
      <c r="K70" s="1053">
        <f>M7</f>
        <v>1744.01</v>
      </c>
      <c r="L70" s="1052"/>
      <c r="M70" s="1051"/>
      <c r="N70" s="1357">
        <f>P7</f>
        <v>2180.0124999999998</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7</v>
      </c>
      <c r="H75" s="1007"/>
      <c r="I75" s="1008"/>
      <c r="J75" s="1005">
        <f>(J23+J27+J34+J43+J60+J65+J67+J69+J71)*('SDK1'!$O$59%*$G$75/12)</f>
        <v>13.640906835582252</v>
      </c>
      <c r="K75" s="513"/>
      <c r="L75" s="522"/>
      <c r="M75" s="1005">
        <f>(M23+M27+M34+M43+M60+M65+M67+M69+M71)*('SDK1'!$O$59%*$G$75/12)</f>
        <v>15.821580244354113</v>
      </c>
      <c r="N75" s="1007"/>
      <c r="O75" s="1006"/>
      <c r="P75" s="1005">
        <f>(P23+P27+P34+P43+P60+P65+P67+P69+P71)*('SDK1'!$O$59%*$G$75/12)</f>
        <v>18.045891528059304</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H151" s="1354"/>
      <c r="J151" s="1353"/>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26" orientation="portrait" r:id="rId1"/>
      <headerFooter alignWithMargins="0">
        <oddFooter>&amp;L&amp;11LEL Schwäbisch Gmünd&amp;C33&amp;R&amp;11&amp;F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26" orientation="portrait" r:id="rId2"/>
      <headerFooter alignWithMargins="0">
        <oddFooter>&amp;L&amp;11LEL Schwäbisch Gmünd&amp;C33&amp;R&amp;11&amp;F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26" orientation="portrait" r:id="rId3"/>
      <headerFooter alignWithMargins="0">
        <oddFooter>&amp;L&amp;11LEL Schwäbisch Gmünd&amp;C33&amp;R&amp;11&amp;F</oddFooter>
      </headerFooter>
    </customSheetView>
  </customSheetViews>
  <mergeCells count="48">
    <mergeCell ref="B3:H3"/>
    <mergeCell ref="C20:F20"/>
    <mergeCell ref="C21:F21"/>
    <mergeCell ref="C17:F17"/>
    <mergeCell ref="E22:G22"/>
    <mergeCell ref="B75:C75"/>
    <mergeCell ref="C38:E38"/>
    <mergeCell ref="C74:E74"/>
    <mergeCell ref="C55:D55"/>
    <mergeCell ref="C68:E68"/>
    <mergeCell ref="C62:E62"/>
    <mergeCell ref="C64:E64"/>
    <mergeCell ref="C73:E73"/>
    <mergeCell ref="C63:E63"/>
    <mergeCell ref="C57:D57"/>
    <mergeCell ref="C56:D56"/>
    <mergeCell ref="K1:L1"/>
    <mergeCell ref="C49:D49"/>
    <mergeCell ref="C52:D52"/>
    <mergeCell ref="C53:D53"/>
    <mergeCell ref="C54:D54"/>
    <mergeCell ref="C50:D50"/>
    <mergeCell ref="C51:D51"/>
    <mergeCell ref="J4:L4"/>
    <mergeCell ref="E10:F10"/>
    <mergeCell ref="F23:G23"/>
    <mergeCell ref="F34:G34"/>
    <mergeCell ref="C47:D47"/>
    <mergeCell ref="C41:E41"/>
    <mergeCell ref="C37:E37"/>
    <mergeCell ref="C36:E36"/>
    <mergeCell ref="C40:E40"/>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6:F16"/>
  </mergeCells>
  <dataValidations count="5">
    <dataValidation type="list" allowBlank="1" showInputMessage="1" showErrorMessage="1" sqref="H15:H17 K15:K17 N15:N17" xr:uid="{00000000-0002-0000-1E00-000000000000}">
      <formula1>"ja,nein"</formula1>
    </dataValidation>
    <dataValidation type="list" showInputMessage="1" showErrorMessage="1" sqref="H14 K14 N14" xr:uid="{00000000-0002-0000-1E00-000001000000}">
      <formula1>"ja,nein"</formula1>
    </dataValidation>
    <dataValidation type="whole" allowBlank="1" showInputMessage="1" showErrorMessage="1" errorTitle="Anteil Erntegut" error="Prozentwert darf nur zwischen 0 und 100 liegen." sqref="O68 L68 I68" xr:uid="{00000000-0002-0000-1E00-000002000000}">
      <formula1>0</formula1>
      <formula2>100</formula2>
    </dataValidation>
    <dataValidation type="decimal" allowBlank="1" showInputMessage="1" showErrorMessage="1" errorTitle="Wassergehalt Getreide" error="Zulässig sind nur Werte zwischen 14,1 und 29,0 % Wassergehalt." sqref="H68 K68 N68" xr:uid="{00000000-0002-0000-1E00-000003000000}">
      <formula1>14.1</formula1>
      <formula2>29</formula2>
    </dataValidation>
    <dataValidation type="list" allowBlank="1" showInputMessage="1" showErrorMessage="1" errorTitle="Organisationsabh. Ausgleichsl." error="Bitte aus Dropdownliste auswählen." sqref="D19:F19" xr:uid="{00000000-0002-0000-1E00-000004000000}">
      <formula1>$C$60:$C$75</formula1>
    </dataValidation>
  </dataValidations>
  <hyperlinks>
    <hyperlink ref="F9" location="'SDK1'!A1" display="Preis ändern" xr:uid="{00000000-0004-0000-1E00-000000000000}"/>
  </hyperlinks>
  <printOptions horizontalCentered="1"/>
  <pageMargins left="0.59055118110236227" right="0.59055118110236227" top="0.59055118110236227" bottom="0.59055118110236227" header="0.39370078740157483" footer="0.39370078740157483"/>
  <pageSetup paperSize="9" scale="65" firstPageNumber="26" orientation="portrait" r:id="rId4"/>
  <headerFooter alignWithMargins="0">
    <oddFooter>&amp;L&amp;11LEL Schwäbisch Gmünd&amp;C33&amp;R&amp;11&amp;F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2529" r:id="rId7" name="Check Box 1">
              <controlPr defaultSize="0" autoFill="0" autoLine="0" autoPict="0">
                <anchor moveWithCells="1">
                  <from>
                    <xdr:col>12</xdr:col>
                    <xdr:colOff>289560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2530" r:id="rId8" name="Check Box 2">
              <controlPr defaultSize="0" autoFill="0" autoLine="0" autoPict="0">
                <anchor moveWithCells="1">
                  <from>
                    <xdr:col>12</xdr:col>
                    <xdr:colOff>289560</xdr:colOff>
                    <xdr:row>2</xdr:row>
                    <xdr:rowOff>45720</xdr:rowOff>
                  </from>
                  <to>
                    <xdr:col>13</xdr:col>
                    <xdr:colOff>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1E00-000005000000}">
          <x14:formula1>
            <xm:f>'SD2'!$C$11:$C$50</xm:f>
          </x14:formula1>
          <xm:sqref>C14:F17</xm:sqref>
        </x14:dataValidation>
        <x14:dataValidation type="list" allowBlank="1" showInputMessage="1" showErrorMessage="1" errorTitle="Organisationsabh. Ausgleichsl." error="Bitte aus Dropdownliste auswählen." xr:uid="{00000000-0002-0000-1E00-000006000000}">
          <x14:formula1>
            <xm:f>'SD2'!$C$60:$C$77</xm:f>
          </x14:formula1>
          <xm:sqref>C19:C21</xm:sqref>
        </x14:dataValidation>
        <x14:dataValidation type="list" allowBlank="1" showInputMessage="1" showErrorMessage="1" errorTitle="Arbeitsgänge" error="Bitte aus Dropdownliste auswählen." xr:uid="{00000000-0002-0000-1E00-000007000000}">
          <x14:formula1>
            <xm:f>'SD3'!$C$23:$C$75</xm:f>
          </x14:formula1>
          <xm:sqref>C46:D57</xm:sqref>
        </x14:dataValidation>
        <x14:dataValidation type="list" allowBlank="1" showInputMessage="1" showErrorMessage="1" errorTitle="Lohnmaschinen" error="Bitte aus Dropdownliste auswählen." xr:uid="{00000000-0002-0000-1E00-000008000000}">
          <x14:formula1>
            <xm:f>'SD3'!$C$90:$C$104</xm:f>
          </x14:formula1>
          <xm:sqref>C62:E64</xm:sqref>
        </x14:dataValidation>
        <x14:dataValidation type="list" allowBlank="1" showInputMessage="1" showErrorMessage="1" errorTitle="Pflanzenschutzmittel" error="Bitte aus Dropdownliste auswählen." xr:uid="{00000000-0002-0000-1E00-000009000000}">
          <x14:formula1>
            <xm:f>'SDK5'!$I$214:$I$250</xm:f>
          </x14:formula1>
          <xm:sqref>C36:E36 C37:E37 C38:E38 C39:E39 C40:E40 C41:E41 C42:E42</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2">
    <tabColor rgb="FFFFFF00"/>
    <pageSetUpPr fitToPage="1"/>
  </sheetPr>
  <dimension ref="A1:AO218"/>
  <sheetViews>
    <sheetView workbookViewId="0">
      <selection activeCell="N51" sqref="N51"/>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9" width="10.5" style="31" hidden="1" customWidth="1"/>
    <col min="30" max="32" width="10.5" style="31" customWidth="1"/>
    <col min="33" max="16384" width="10.5" style="31"/>
  </cols>
  <sheetData>
    <row r="1" spans="1:41" s="1317" customFormat="1" ht="30.45" customHeight="1">
      <c r="A1" s="3740"/>
      <c r="B1" s="258"/>
      <c r="C1" s="1333"/>
      <c r="D1" s="1253"/>
      <c r="E1" s="255"/>
      <c r="F1" s="255"/>
      <c r="G1" s="430"/>
      <c r="H1" s="1328"/>
      <c r="I1" s="3212" t="s">
        <v>1679</v>
      </c>
      <c r="J1" s="3210">
        <f>(J7+J13+J18+J22)-(J23+J27+J34+J43+J60+J65+J67+J69+J71+J75)</f>
        <v>258.11387422019925</v>
      </c>
      <c r="K1" s="4360">
        <f>M1-J1</f>
        <v>246.1443977491665</v>
      </c>
      <c r="L1" s="4360"/>
      <c r="M1" s="3210">
        <f>(M7+M13+M18+M22)-(M23+M27+M34+M43+M60+M65+M67+M69+M71+M75)</f>
        <v>504.25827196936575</v>
      </c>
      <c r="N1" s="4360">
        <f>P1-M1</f>
        <v>184.02767059423286</v>
      </c>
      <c r="O1" s="4360"/>
      <c r="P1" s="3210">
        <f>(P7+P13+P18+P22)-(P23+P27+P34+P43+P60+P65+P67+P69+P71+P75)</f>
        <v>688.28594256359861</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85</v>
      </c>
      <c r="L2" s="4372"/>
      <c r="M2" s="4372"/>
      <c r="N2" s="4372"/>
      <c r="O2" s="4372"/>
      <c r="P2" s="4372"/>
      <c r="Q2" s="1345">
        <v>30</v>
      </c>
      <c r="AB2" s="3229"/>
    </row>
    <row r="3" spans="1:41" s="1317" customFormat="1" ht="32.4" customHeight="1">
      <c r="A3" s="1321"/>
      <c r="B3" s="4405" t="s">
        <v>1727</v>
      </c>
      <c r="C3" s="4405"/>
      <c r="D3" s="4405"/>
      <c r="E3" s="4405"/>
      <c r="F3" s="4405"/>
      <c r="G3" s="4405"/>
      <c r="H3" s="4405"/>
      <c r="J3" s="4368" t="s">
        <v>886</v>
      </c>
      <c r="K3" s="4369"/>
      <c r="L3" s="4369"/>
      <c r="M3" s="1327"/>
      <c r="N3" s="4373" t="str">
        <f>IF(AND(T3=TRUE,T4=TRUE),"nur 1 Strohnutzung möglich","")</f>
        <v/>
      </c>
      <c r="O3" s="4374"/>
      <c r="P3" s="1326"/>
      <c r="Q3" s="1321"/>
      <c r="T3" s="1343" t="b">
        <v>1</v>
      </c>
    </row>
    <row r="4" spans="1:41" s="1317" customFormat="1" ht="20.25" customHeight="1">
      <c r="A4" s="1321"/>
      <c r="B4" s="309" t="s">
        <v>779</v>
      </c>
      <c r="C4" s="31"/>
      <c r="D4" s="31"/>
      <c r="E4" s="4406" t="s">
        <v>890</v>
      </c>
      <c r="F4" s="4406"/>
      <c r="G4" s="4406"/>
      <c r="H4" s="4406"/>
      <c r="I4" s="4406"/>
      <c r="J4" s="4368" t="s">
        <v>875</v>
      </c>
      <c r="K4" s="4369"/>
      <c r="L4" s="4369"/>
      <c r="M4" s="1323"/>
      <c r="N4" s="4374"/>
      <c r="O4" s="4374"/>
      <c r="P4" s="1322">
        <f>'SDK1'!O3</f>
        <v>2024</v>
      </c>
      <c r="Q4" s="1321"/>
      <c r="T4" s="1343" t="b">
        <v>0</v>
      </c>
      <c r="U4" s="1318"/>
    </row>
    <row r="5" spans="1:41" ht="6" customHeight="1"/>
    <row r="6" spans="1:41" s="1311" customFormat="1" ht="24" customHeight="1">
      <c r="A6" s="41"/>
      <c r="B6" s="1316" t="s">
        <v>832</v>
      </c>
      <c r="C6" s="1315"/>
      <c r="D6" s="1315"/>
      <c r="E6" s="1315"/>
      <c r="F6" s="1315"/>
      <c r="G6" s="1314"/>
      <c r="H6" s="4366" t="s">
        <v>171</v>
      </c>
      <c r="I6" s="4367"/>
      <c r="J6" s="1313">
        <f>M6*0.75</f>
        <v>52.5</v>
      </c>
      <c r="K6" s="4379" t="s">
        <v>144</v>
      </c>
      <c r="L6" s="4380"/>
      <c r="M6" s="1313">
        <v>70</v>
      </c>
      <c r="N6" s="4366" t="s">
        <v>170</v>
      </c>
      <c r="O6" s="4367"/>
      <c r="P6" s="1312">
        <f>M6*1.25</f>
        <v>87.5</v>
      </c>
      <c r="Q6" s="49"/>
    </row>
    <row r="7" spans="1:41" s="196" customFormat="1" ht="18.75" customHeight="1">
      <c r="A7" s="40"/>
      <c r="B7" s="245" t="s">
        <v>883</v>
      </c>
      <c r="C7" s="40"/>
      <c r="D7" s="40"/>
      <c r="E7" s="40"/>
      <c r="F7" s="40"/>
      <c r="G7" s="1310"/>
      <c r="H7" s="1307"/>
      <c r="I7" s="1306"/>
      <c r="J7" s="1041">
        <f>SUM(I9:I12)</f>
        <v>1243.7249999999999</v>
      </c>
      <c r="K7" s="1309"/>
      <c r="L7" s="1308"/>
      <c r="M7" s="1044">
        <f>SUM(L9:L12)</f>
        <v>1658.3</v>
      </c>
      <c r="N7" s="1307"/>
      <c r="O7" s="1306"/>
      <c r="P7" s="1041">
        <f>SUM(O9:O12)</f>
        <v>2072.875</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'SDK1'!O22</f>
        <v>16.2</v>
      </c>
      <c r="H9" s="1303">
        <f>J6-H10</f>
        <v>52.5</v>
      </c>
      <c r="I9" s="1299">
        <f>H9*G9</f>
        <v>850.5</v>
      </c>
      <c r="J9" s="37"/>
      <c r="K9" s="1302">
        <f>M6-K10</f>
        <v>70</v>
      </c>
      <c r="L9" s="1301">
        <f>K9*G9</f>
        <v>1134</v>
      </c>
      <c r="M9" s="1280"/>
      <c r="N9" s="1300">
        <f>P6-N10</f>
        <v>87.5</v>
      </c>
      <c r="O9" s="1299">
        <f>N9*G9</f>
        <v>1417.5</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393.22499999999997</v>
      </c>
      <c r="S10" s="1288">
        <f>L10+L11+L12</f>
        <v>524.29999999999995</v>
      </c>
      <c r="T10" s="1287">
        <f>O10+O11+O12</f>
        <v>655.37499999999989</v>
      </c>
      <c r="W10" s="196" t="s">
        <v>879</v>
      </c>
    </row>
    <row r="11" spans="1:41" s="1268" customFormat="1" ht="15" customHeight="1">
      <c r="A11" s="309"/>
      <c r="B11" s="217"/>
      <c r="C11" s="39" t="s">
        <v>878</v>
      </c>
      <c r="D11" s="309"/>
      <c r="E11" s="1286">
        <v>0.7</v>
      </c>
      <c r="F11" s="39" t="s">
        <v>877</v>
      </c>
      <c r="G11" s="3230">
        <f>'SDK1'!$O$48</f>
        <v>10.7</v>
      </c>
      <c r="H11" s="3151">
        <f>IF(OR($T$3,$T$4)=TRUE,J6*$E$11,0)</f>
        <v>36.75</v>
      </c>
      <c r="I11" s="3152">
        <f>H11*$G$11</f>
        <v>393.22499999999997</v>
      </c>
      <c r="J11" s="3153"/>
      <c r="K11" s="3154">
        <f>IF(OR($T$3,$T$4)=TRUE,M6*$E$11,0)</f>
        <v>49</v>
      </c>
      <c r="L11" s="3155">
        <f>K11*$G$11</f>
        <v>524.29999999999995</v>
      </c>
      <c r="M11" s="3156"/>
      <c r="N11" s="3157">
        <f>IF(OR($T$3,$T$4)=TRUE,P6*$E$11,0)</f>
        <v>61.249999999999993</v>
      </c>
      <c r="O11" s="3152">
        <f>N11*$G$11</f>
        <v>655.37499999999989</v>
      </c>
      <c r="P11" s="3158"/>
      <c r="Q11" s="34"/>
      <c r="W11" s="1268" t="s">
        <v>876</v>
      </c>
    </row>
    <row r="12" spans="1:41" s="1268" customFormat="1" ht="15" hidden="1" customHeight="1">
      <c r="A12" s="309"/>
      <c r="B12" s="185"/>
      <c r="C12" s="223" t="s">
        <v>1652</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f>IF(OR(T3=TRUE,T4=TRUE),J6*$E$11,"0")</f>
        <v>36.75</v>
      </c>
      <c r="Y13" s="1265">
        <f>IF(OR(T3=TRUE,T4=TRUE),M6*$E$11,"0")</f>
        <v>49</v>
      </c>
      <c r="Z13" s="1264">
        <f>IF(OR(T3=TRUE,T4=TRUE),P6*$E$11,"0")</f>
        <v>61.249999999999993</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12.862500000000002</v>
      </c>
      <c r="Y14" s="1260">
        <f>$Y$13*F30</f>
        <v>17.150000000000006</v>
      </c>
      <c r="Z14" s="1260">
        <f>$Z$13*F30</f>
        <v>21.437500000000004</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7.7174999999999985</v>
      </c>
      <c r="Y15" s="1260">
        <f>$Y$13*F31</f>
        <v>10.29</v>
      </c>
      <c r="Z15" s="1260">
        <f>$Z$13*F31</f>
        <v>12.862499999999997</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43.732499999999995</v>
      </c>
      <c r="Y16" s="1260">
        <f>$Y$13*F32</f>
        <v>58.309999999999995</v>
      </c>
      <c r="Z16" s="1260">
        <f>$Z$13*F32</f>
        <v>72.887499999999989</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2.5725000000000002</v>
      </c>
      <c r="Y17" s="1260">
        <f>$Y$13*F33</f>
        <v>3.43</v>
      </c>
      <c r="Z17" s="1260">
        <f>$Z$13*F33</f>
        <v>4.2874999999999996</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93.75</v>
      </c>
      <c r="K23" s="1046"/>
      <c r="L23" s="1045"/>
      <c r="M23" s="1227">
        <f>SUM(L25:L26)</f>
        <v>93.75</v>
      </c>
      <c r="N23" s="1043"/>
      <c r="O23" s="1042"/>
      <c r="P23" s="1026">
        <f>SUM(O25:O26)</f>
        <v>131.25</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'SDK7'!F52/100</f>
        <v>0.75</v>
      </c>
      <c r="G25" s="1221">
        <f>F25*(100+$D$24)/100</f>
        <v>0.75</v>
      </c>
      <c r="H25" s="1220">
        <v>125</v>
      </c>
      <c r="I25" s="1181">
        <f>H25*$G25</f>
        <v>93.75</v>
      </c>
      <c r="J25" s="39"/>
      <c r="K25" s="1220">
        <f>H25</f>
        <v>125</v>
      </c>
      <c r="L25" s="1023">
        <f>K25*$G25</f>
        <v>93.75</v>
      </c>
      <c r="M25" s="1016"/>
      <c r="N25" s="1220">
        <v>175</v>
      </c>
      <c r="O25" s="1181">
        <f>N25*$G25</f>
        <v>131.25</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285.07779999999997</v>
      </c>
      <c r="K27" s="1175"/>
      <c r="L27" s="1174"/>
      <c r="M27" s="1044">
        <f>SUM(L30:L32)</f>
        <v>372.17039999999997</v>
      </c>
      <c r="N27" s="1173"/>
      <c r="O27" s="1172"/>
      <c r="P27" s="1041">
        <f>SUM(O30:O32)</f>
        <v>459.26299999999998</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1.79</v>
      </c>
      <c r="F30" s="1201">
        <f>VLOOKUP(K2,'SD8'!B9:L42,7,FALSE)</f>
        <v>0.35000000000000009</v>
      </c>
      <c r="G30" s="1200">
        <v>20</v>
      </c>
      <c r="H30" s="1198">
        <f>IF(J$6=0,0,(J$6*$E30+$G30+X14))</f>
        <v>126.83750000000001</v>
      </c>
      <c r="I30" s="1181">
        <f>H30*$D30</f>
        <v>150.93662499999999</v>
      </c>
      <c r="J30" s="39"/>
      <c r="K30" s="1199">
        <f>IF(M$6=0,0,(M$6*$E30+$G30+Y14))</f>
        <v>162.45000000000002</v>
      </c>
      <c r="L30" s="1023">
        <f>K30*$D30</f>
        <v>193.31550000000001</v>
      </c>
      <c r="M30" s="1016"/>
      <c r="N30" s="1198">
        <f>IF(P$6=0,0,(P$6*$E30+$G30+Z14))</f>
        <v>198.0625</v>
      </c>
      <c r="O30" s="1181">
        <f>N30*$D30</f>
        <v>235.69437499999998</v>
      </c>
      <c r="P30" s="1145"/>
      <c r="Q30" s="34"/>
    </row>
    <row r="31" spans="1:26" s="36" customFormat="1" ht="15" customHeight="1">
      <c r="A31" s="746"/>
      <c r="B31" s="217"/>
      <c r="C31" s="746" t="s">
        <v>234</v>
      </c>
      <c r="D31" s="1150">
        <f>'SDK1'!O53</f>
        <v>1.2</v>
      </c>
      <c r="E31" s="1201">
        <f>VLOOKUP(K2,'SD8'!B9:L42,4,FALSE)</f>
        <v>0.8</v>
      </c>
      <c r="F31" s="1201">
        <f>VLOOKUP(K2,'SD8'!B9:L42,8,FALSE)</f>
        <v>0.20999999999999996</v>
      </c>
      <c r="G31" s="1200"/>
      <c r="H31" s="1198">
        <f>IF(J$6=0,0,(J$6*$E31+$G31+X15))</f>
        <v>49.717500000000001</v>
      </c>
      <c r="I31" s="1181">
        <f>H31*$D31</f>
        <v>59.661000000000001</v>
      </c>
      <c r="J31" s="39"/>
      <c r="K31" s="1199">
        <f>IF(M$6=0,0,(M$6*$E31+$G31+Y15))</f>
        <v>66.289999999999992</v>
      </c>
      <c r="L31" s="1023">
        <f>K31*$D31</f>
        <v>79.547999999999988</v>
      </c>
      <c r="M31" s="1016"/>
      <c r="N31" s="1198">
        <f>IF(P$6=0,0,(P$6*$E31+$G31+Z15))</f>
        <v>82.862499999999997</v>
      </c>
      <c r="O31" s="1181">
        <f>N31*$D31</f>
        <v>99.434999999999988</v>
      </c>
      <c r="P31" s="1145"/>
      <c r="Q31" s="34"/>
    </row>
    <row r="32" spans="1:26" s="36" customFormat="1" ht="15" customHeight="1">
      <c r="A32" s="746"/>
      <c r="B32" s="185"/>
      <c r="C32" s="2791" t="s">
        <v>232</v>
      </c>
      <c r="D32" s="1133">
        <f>'SDK1'!O54</f>
        <v>0.99</v>
      </c>
      <c r="E32" s="1197">
        <f>VLOOKUP(K2,'SD8'!B9:L42,5,FALSE)</f>
        <v>0.6</v>
      </c>
      <c r="F32" s="1197">
        <f>VLOOKUP(K2,'SD8'!B9:L42,9,FALSE)</f>
        <v>1.19</v>
      </c>
      <c r="G32" s="1196"/>
      <c r="H32" s="1194">
        <f>IF(J$6=0,0,(J$6*$E32+$G32+X16))</f>
        <v>75.232499999999987</v>
      </c>
      <c r="I32" s="1177">
        <f>H32*$D32</f>
        <v>74.480174999999988</v>
      </c>
      <c r="J32" s="223"/>
      <c r="K32" s="1195">
        <f>IF(M$6=0,0,(M$6*$E32+$G32+Y16))</f>
        <v>100.31</v>
      </c>
      <c r="L32" s="1017">
        <f>K32*$D32</f>
        <v>99.306899999999999</v>
      </c>
      <c r="M32" s="1256"/>
      <c r="N32" s="1194">
        <f>IF(P$6=0,0,(P$6*$E32+$G32+Z16))</f>
        <v>125.38749999999999</v>
      </c>
      <c r="O32" s="1177">
        <f>N32*$D32</f>
        <v>124.13362499999998</v>
      </c>
      <c r="P32" s="1176"/>
      <c r="Q32" s="34"/>
    </row>
    <row r="33" spans="1:17" s="36" customFormat="1" ht="15" hidden="1" customHeight="1">
      <c r="A33" s="746"/>
      <c r="B33" s="185"/>
      <c r="C33" s="771" t="s">
        <v>230</v>
      </c>
      <c r="D33" s="1133">
        <f>'SDK1'!P55</f>
        <v>0.45</v>
      </c>
      <c r="E33" s="1197">
        <f>VLOOKUP(K2,'SD8'!B9:L42,6,FALSE)</f>
        <v>0.2</v>
      </c>
      <c r="F33" s="1197">
        <f>VLOOKUP(K2,'SD8'!B9:L42,10,FALSE)</f>
        <v>7.0000000000000007E-2</v>
      </c>
      <c r="G33" s="1196"/>
      <c r="H33" s="1194">
        <f>IF(J$6=0,0,(J$6*$E33+$G33+X17))</f>
        <v>13.0725</v>
      </c>
      <c r="I33" s="1177">
        <f>H33*$D33</f>
        <v>5.882625</v>
      </c>
      <c r="J33" s="39"/>
      <c r="K33" s="1195">
        <f>IF(M$6=0,0,(M$6*$E33+$G33+Y17))</f>
        <v>17.43</v>
      </c>
      <c r="L33" s="1017">
        <f>K33*$D33</f>
        <v>7.8434999999999997</v>
      </c>
      <c r="M33" s="1016"/>
      <c r="N33" s="1194">
        <f>IF(P$6=0,0,(P$6*$E33+$G33+Z17))</f>
        <v>21.787500000000001</v>
      </c>
      <c r="O33" s="1177">
        <f>N33*$D33</f>
        <v>9.8043750000000003</v>
      </c>
      <c r="P33" s="1176"/>
      <c r="Q33" s="34"/>
    </row>
    <row r="34" spans="1:17" s="511" customFormat="1" ht="18.75" customHeight="1">
      <c r="A34" s="711"/>
      <c r="B34" s="716" t="s">
        <v>859</v>
      </c>
      <c r="C34" s="711"/>
      <c r="D34" s="33"/>
      <c r="E34" s="33"/>
      <c r="F34" s="4381" t="s">
        <v>858</v>
      </c>
      <c r="G34" s="4382"/>
      <c r="H34" s="1191"/>
      <c r="I34" s="1190"/>
      <c r="J34" s="1041">
        <f>SUM(I36:I42)</f>
        <v>205.99</v>
      </c>
      <c r="K34" s="1193"/>
      <c r="L34" s="1192"/>
      <c r="M34" s="1044">
        <f>SUM(L36:L42)</f>
        <v>205.99</v>
      </c>
      <c r="N34" s="1191"/>
      <c r="O34" s="1190"/>
      <c r="P34" s="1041">
        <f>SUM(O36:O42)</f>
        <v>226.15000000000003</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541</v>
      </c>
      <c r="D36" s="4389"/>
      <c r="E36" s="4390"/>
      <c r="F36" s="1183">
        <f>IF(C36="",0,VLOOKUP(C36,'SDK5'!C3:AF83,2,FALSE))</f>
        <v>53.5</v>
      </c>
      <c r="G36" s="1183">
        <f t="shared" ref="G36:G42" si="0">F36*(100+$D$35)/100</f>
        <v>53.5</v>
      </c>
      <c r="H36" s="1356">
        <v>0.9</v>
      </c>
      <c r="I36" s="1181">
        <f t="shared" ref="I36:I42" si="1">$G36*H36</f>
        <v>48.15</v>
      </c>
      <c r="J36" s="39"/>
      <c r="K36" s="1356">
        <v>0.9</v>
      </c>
      <c r="L36" s="1023">
        <f t="shared" ref="L36:L42" si="2">$G36*K36</f>
        <v>48.15</v>
      </c>
      <c r="M36" s="1016"/>
      <c r="N36" s="1356">
        <v>0.9</v>
      </c>
      <c r="O36" s="1181">
        <f t="shared" ref="O36:O42" si="3">$G36*N36</f>
        <v>48.15</v>
      </c>
      <c r="P36" s="1185"/>
      <c r="Q36" s="34"/>
    </row>
    <row r="37" spans="1:17" s="36" customFormat="1" ht="15" customHeight="1">
      <c r="A37" s="746"/>
      <c r="B37" s="1021"/>
      <c r="C37" s="4375" t="s">
        <v>516</v>
      </c>
      <c r="D37" s="4375"/>
      <c r="E37" s="4376"/>
      <c r="F37" s="1183">
        <f>IF(C37="",0,VLOOKUP(C37,'SDK5'!C4:AF84,2,FALSE))</f>
        <v>85.5</v>
      </c>
      <c r="G37" s="1183">
        <f t="shared" si="0"/>
        <v>85.5</v>
      </c>
      <c r="H37" s="1356">
        <v>0.5</v>
      </c>
      <c r="I37" s="1181">
        <f t="shared" si="1"/>
        <v>42.75</v>
      </c>
      <c r="J37" s="39"/>
      <c r="K37" s="1356">
        <v>0.5</v>
      </c>
      <c r="L37" s="1023">
        <f t="shared" si="2"/>
        <v>42.75</v>
      </c>
      <c r="M37" s="1016"/>
      <c r="N37" s="1356">
        <v>0.5</v>
      </c>
      <c r="O37" s="1181">
        <f t="shared" si="3"/>
        <v>42.75</v>
      </c>
      <c r="P37" s="1145"/>
      <c r="Q37" s="34"/>
    </row>
    <row r="38" spans="1:17" s="36" customFormat="1" ht="15" customHeight="1">
      <c r="A38" s="746"/>
      <c r="B38" s="1184"/>
      <c r="C38" s="4375" t="s">
        <v>506</v>
      </c>
      <c r="D38" s="4375"/>
      <c r="E38" s="4376"/>
      <c r="F38" s="1183">
        <f>IF(C38="",0,VLOOKUP(C38,'SDK5'!C5:AF85,2,FALSE))</f>
        <v>68.900000000000006</v>
      </c>
      <c r="G38" s="1183">
        <f t="shared" si="0"/>
        <v>68.900000000000006</v>
      </c>
      <c r="H38" s="1356">
        <v>0.5</v>
      </c>
      <c r="I38" s="1181">
        <f t="shared" si="1"/>
        <v>34.450000000000003</v>
      </c>
      <c r="J38" s="39"/>
      <c r="K38" s="1356">
        <v>0.5</v>
      </c>
      <c r="L38" s="1023">
        <f t="shared" si="2"/>
        <v>34.450000000000003</v>
      </c>
      <c r="M38" s="1016"/>
      <c r="N38" s="1356">
        <v>0.5</v>
      </c>
      <c r="O38" s="1181">
        <f t="shared" si="3"/>
        <v>34.450000000000003</v>
      </c>
      <c r="P38" s="1145"/>
      <c r="Q38" s="34"/>
    </row>
    <row r="39" spans="1:17" s="36" customFormat="1" ht="15" customHeight="1">
      <c r="A39" s="746"/>
      <c r="B39" s="1021"/>
      <c r="C39" s="4375" t="s">
        <v>1497</v>
      </c>
      <c r="D39" s="4375"/>
      <c r="E39" s="4376"/>
      <c r="F39" s="1183">
        <f>IF(C39="",0,VLOOKUP(C39,'SDK5'!C6:AF86,2,FALSE))</f>
        <v>56</v>
      </c>
      <c r="G39" s="1183">
        <f t="shared" si="0"/>
        <v>56</v>
      </c>
      <c r="H39" s="1356">
        <v>1.2</v>
      </c>
      <c r="I39" s="1181">
        <f t="shared" si="1"/>
        <v>67.2</v>
      </c>
      <c r="J39" s="39"/>
      <c r="K39" s="1356">
        <v>1.2</v>
      </c>
      <c r="L39" s="1023">
        <f t="shared" si="2"/>
        <v>67.2</v>
      </c>
      <c r="M39" s="1016"/>
      <c r="N39" s="1356">
        <v>1.5</v>
      </c>
      <c r="O39" s="1181">
        <f t="shared" si="3"/>
        <v>84</v>
      </c>
      <c r="P39" s="1145"/>
      <c r="Q39" s="34"/>
    </row>
    <row r="40" spans="1:17" s="36" customFormat="1" ht="15" customHeight="1">
      <c r="A40" s="746"/>
      <c r="B40" s="1021"/>
      <c r="C40" s="4375" t="s">
        <v>1498</v>
      </c>
      <c r="D40" s="4375"/>
      <c r="E40" s="4376"/>
      <c r="F40" s="1183">
        <f>IF(C40="",0,VLOOKUP(C40,'SDK5'!C7:AF87,2,FALSE))</f>
        <v>33.6</v>
      </c>
      <c r="G40" s="1183">
        <f t="shared" si="0"/>
        <v>33.6</v>
      </c>
      <c r="H40" s="1356">
        <v>0.4</v>
      </c>
      <c r="I40" s="1181">
        <f t="shared" si="1"/>
        <v>13.440000000000001</v>
      </c>
      <c r="J40" s="39"/>
      <c r="K40" s="1356">
        <v>0.4</v>
      </c>
      <c r="L40" s="1023">
        <f t="shared" si="2"/>
        <v>13.440000000000001</v>
      </c>
      <c r="M40" s="1016"/>
      <c r="N40" s="1356">
        <v>0.5</v>
      </c>
      <c r="O40" s="1181">
        <f t="shared" si="3"/>
        <v>16.8</v>
      </c>
      <c r="P40" s="1145"/>
      <c r="Q40" s="34"/>
    </row>
    <row r="41" spans="1:17" s="36" customFormat="1" ht="15" customHeight="1">
      <c r="A41" s="746"/>
      <c r="B41" s="1021"/>
      <c r="C41" s="4375"/>
      <c r="D41" s="4375"/>
      <c r="E41" s="4376"/>
      <c r="F41" s="1183">
        <f>IF(C41="",0,VLOOKUP(C41,'SDK5'!C8:AF88,2,FALSE))</f>
        <v>0</v>
      </c>
      <c r="G41" s="1183">
        <f t="shared" si="0"/>
        <v>0</v>
      </c>
      <c r="H41" s="1356"/>
      <c r="I41" s="1181">
        <f t="shared" si="1"/>
        <v>0</v>
      </c>
      <c r="J41" s="39"/>
      <c r="K41" s="1356"/>
      <c r="L41" s="1023">
        <f t="shared" si="2"/>
        <v>0</v>
      </c>
      <c r="M41" s="1016"/>
      <c r="N41" s="1356"/>
      <c r="O41" s="1181">
        <f t="shared" si="3"/>
        <v>0</v>
      </c>
      <c r="P41" s="1145"/>
      <c r="Q41" s="34"/>
    </row>
    <row r="42" spans="1:17" s="36" customFormat="1" ht="15" customHeight="1">
      <c r="A42" s="746"/>
      <c r="B42" s="1180"/>
      <c r="C42" s="4361"/>
      <c r="D42" s="4361"/>
      <c r="E42" s="4362"/>
      <c r="F42" s="1179">
        <f>IF(C42="",0,VLOOKUP(C42,'SDK5'!C9:AF89,2,FALSE))</f>
        <v>0</v>
      </c>
      <c r="G42" s="1179">
        <f t="shared" si="0"/>
        <v>0</v>
      </c>
      <c r="H42" s="1355"/>
      <c r="I42" s="1177">
        <f t="shared" si="1"/>
        <v>0</v>
      </c>
      <c r="J42" s="39"/>
      <c r="K42" s="1355"/>
      <c r="L42" s="1017">
        <f t="shared" si="2"/>
        <v>0</v>
      </c>
      <c r="M42" s="1016"/>
      <c r="N42" s="1355"/>
      <c r="O42" s="1177">
        <f t="shared" si="3"/>
        <v>0</v>
      </c>
      <c r="P42" s="1176"/>
      <c r="Q42" s="34"/>
    </row>
    <row r="43" spans="1:17" s="511" customFormat="1" ht="18.75" customHeight="1">
      <c r="A43" s="711"/>
      <c r="B43" s="716" t="s">
        <v>856</v>
      </c>
      <c r="C43" s="711"/>
      <c r="D43" s="711"/>
      <c r="E43" s="711"/>
      <c r="F43" s="711"/>
      <c r="G43" s="1047"/>
      <c r="H43" s="1173"/>
      <c r="I43" s="1172"/>
      <c r="J43" s="1041">
        <f>SUM(J46:J57)</f>
        <v>178.0175987115</v>
      </c>
      <c r="K43" s="1175"/>
      <c r="L43" s="1174"/>
      <c r="M43" s="1044">
        <f>SUM(M46:M57)</f>
        <v>187.12378816866664</v>
      </c>
      <c r="N43" s="1173"/>
      <c r="O43" s="1172"/>
      <c r="P43" s="1041">
        <f>SUM(P46:P57)</f>
        <v>199.97036690583332</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87" t="s">
        <v>1589</v>
      </c>
      <c r="D46" s="4388"/>
      <c r="E46" s="1152">
        <f>IF($C46=0,0,VLOOKUP($C46,'SD3'!$C$24:$O$85,4,FALSE))</f>
        <v>120</v>
      </c>
      <c r="F46" s="1151">
        <f>IF($C46=0,0,VLOOKUP($C46,'SD3'!$C$24:$O$85,12,FALSE))</f>
        <v>1.38</v>
      </c>
      <c r="G46" s="1150">
        <f>IF($C46=0,0,VLOOKUP($C46,'SD3'!$C$24:$O$85,13,FALSE))</f>
        <v>64.642445999999993</v>
      </c>
      <c r="H46" s="1155">
        <v>1</v>
      </c>
      <c r="I46" s="1154">
        <f t="shared" ref="I46:I57" si="4">$F46*H46</f>
        <v>1.38</v>
      </c>
      <c r="J46" s="1145">
        <f t="shared" ref="J46:J57" si="5">H46*$G46</f>
        <v>64.642445999999993</v>
      </c>
      <c r="K46" s="1155">
        <v>1</v>
      </c>
      <c r="L46" s="1156">
        <f t="shared" ref="L46:L57" si="6">$F46*K46</f>
        <v>1.38</v>
      </c>
      <c r="M46" s="1148">
        <f t="shared" ref="M46:M57" si="7">K46*$G46</f>
        <v>64.642445999999993</v>
      </c>
      <c r="N46" s="1155">
        <v>1</v>
      </c>
      <c r="O46" s="1154">
        <f t="shared" ref="O46:O57" si="8">$F46*N46</f>
        <v>1.38</v>
      </c>
      <c r="P46" s="1145">
        <f t="shared" ref="P46:P57" si="9">N46*$G46</f>
        <v>64.642445999999993</v>
      </c>
      <c r="Q46" s="34">
        <f>$Q$2*H46</f>
        <v>30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346</v>
      </c>
      <c r="D48" s="4388"/>
      <c r="E48" s="1152">
        <f>IF($C48=0,0,VLOOKUP($C48,'SD3'!$C$24:$O$85,4,FALSE))</f>
        <v>83</v>
      </c>
      <c r="F48" s="1151">
        <f>IF($C48=0,0,VLOOKUP($C48,'SD3'!$C$24:$O$85,12,FALSE))</f>
        <v>0.16</v>
      </c>
      <c r="G48" s="1150">
        <f>IF($C48=0,0,VLOOKUP($C48,'SD3'!$C$24:$O$85,13,FALSE))</f>
        <v>3.7403892799999996</v>
      </c>
      <c r="H48" s="1147">
        <v>2</v>
      </c>
      <c r="I48" s="1146">
        <f t="shared" si="4"/>
        <v>0.32</v>
      </c>
      <c r="J48" s="1145">
        <f t="shared" si="5"/>
        <v>7.4807785599999992</v>
      </c>
      <c r="K48" s="1147">
        <v>2</v>
      </c>
      <c r="L48" s="1149">
        <f t="shared" si="6"/>
        <v>0.32</v>
      </c>
      <c r="M48" s="1148">
        <f t="shared" si="7"/>
        <v>7.4807785599999992</v>
      </c>
      <c r="N48" s="1147">
        <v>3</v>
      </c>
      <c r="O48" s="1146">
        <f t="shared" si="8"/>
        <v>0.48</v>
      </c>
      <c r="P48" s="1145">
        <f t="shared" si="9"/>
        <v>11.22116784</v>
      </c>
      <c r="Q48" s="34"/>
    </row>
    <row r="49" spans="1:17" s="36" customFormat="1" ht="15" customHeight="1">
      <c r="A49" s="746"/>
      <c r="B49" s="1153"/>
      <c r="C49" s="4387" t="s">
        <v>1591</v>
      </c>
      <c r="D49" s="4388"/>
      <c r="E49" s="1152">
        <f>IF($C49=0,0,VLOOKUP($C49,'SD3'!$C$24:$O$85,4,FALSE))</f>
        <v>83</v>
      </c>
      <c r="F49" s="1151">
        <f>IF($C49=0,0,VLOOKUP($C49,'SD3'!$C$24:$O$85,12,FALSE))</f>
        <v>0.22</v>
      </c>
      <c r="G49" s="1150">
        <f>IF($C49=0,0,VLOOKUP($C49,'SD3'!$C$24:$O$85,13,FALSE))</f>
        <v>6.6430352599999996</v>
      </c>
      <c r="H49" s="1147">
        <v>3</v>
      </c>
      <c r="I49" s="1146">
        <f t="shared" si="4"/>
        <v>0.66</v>
      </c>
      <c r="J49" s="1145">
        <f t="shared" si="5"/>
        <v>19.92910578</v>
      </c>
      <c r="K49" s="1147">
        <v>3</v>
      </c>
      <c r="L49" s="1149">
        <f t="shared" si="6"/>
        <v>0.66</v>
      </c>
      <c r="M49" s="1148">
        <f t="shared" si="7"/>
        <v>19.92910578</v>
      </c>
      <c r="N49" s="1147">
        <v>3</v>
      </c>
      <c r="O49" s="1146">
        <f t="shared" si="8"/>
        <v>0.66</v>
      </c>
      <c r="P49" s="1145">
        <f t="shared" si="9"/>
        <v>19.92910578</v>
      </c>
      <c r="Q49" s="34"/>
    </row>
    <row r="50" spans="1:17" s="36" customFormat="1" ht="15" customHeight="1">
      <c r="A50" s="746"/>
      <c r="B50" s="1153"/>
      <c r="C50" s="4403" t="s">
        <v>1748</v>
      </c>
      <c r="D50" s="4404"/>
      <c r="E50" s="1152">
        <f>IF($C50=0,0,VLOOKUP($C50,'SD3'!$C$24:$O$85,4,FALSE))</f>
        <v>120</v>
      </c>
      <c r="F50" s="1151">
        <f>IF($C50=0,0,VLOOKUP($C50,'SD3'!$C$24:$O$85,12,FALSE))</f>
        <v>0.37</v>
      </c>
      <c r="G50" s="1150">
        <f>IF($C50=0,0,VLOOKUP($C50,'SD3'!$C$24:$O$85,13,FALSE))</f>
        <v>11.7573302</v>
      </c>
      <c r="H50" s="3654">
        <f>J6/75</f>
        <v>0.7</v>
      </c>
      <c r="I50" s="1146">
        <f t="shared" si="4"/>
        <v>0.25900000000000001</v>
      </c>
      <c r="J50" s="1145">
        <f t="shared" si="5"/>
        <v>8.2301311399999992</v>
      </c>
      <c r="K50" s="3654">
        <f>M6/75</f>
        <v>0.93333333333333335</v>
      </c>
      <c r="L50" s="1149">
        <f t="shared" si="6"/>
        <v>0.34533333333333333</v>
      </c>
      <c r="M50" s="1148">
        <f t="shared" si="7"/>
        <v>10.973508186666667</v>
      </c>
      <c r="N50" s="3654">
        <f>P6/75</f>
        <v>1.1666666666666667</v>
      </c>
      <c r="O50" s="1146">
        <f t="shared" si="8"/>
        <v>0.4316666666666667</v>
      </c>
      <c r="P50" s="1145">
        <f t="shared" si="9"/>
        <v>13.716885233333334</v>
      </c>
      <c r="Q50" s="34"/>
    </row>
    <row r="51" spans="1:17" s="36" customFormat="1" ht="15" customHeight="1">
      <c r="A51" s="746"/>
      <c r="B51" s="1153"/>
      <c r="C51" s="4387" t="s">
        <v>360</v>
      </c>
      <c r="D51" s="4388"/>
      <c r="E51" s="1152">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IF($T$4=TRUE,0,H11/50)</f>
        <v>0.73499999999999999</v>
      </c>
      <c r="I57" s="1130">
        <f t="shared" si="4"/>
        <v>0.95550000000000002</v>
      </c>
      <c r="J57" s="1129">
        <f t="shared" si="5"/>
        <v>19.088437231499995</v>
      </c>
      <c r="K57" s="1131">
        <f>IF($T$4=TRUE,0,K11/50)</f>
        <v>0.98</v>
      </c>
      <c r="L57" s="1132">
        <f t="shared" si="6"/>
        <v>1.274</v>
      </c>
      <c r="M57" s="1079">
        <f t="shared" si="7"/>
        <v>25.451249641999993</v>
      </c>
      <c r="N57" s="1131">
        <f>IF($T$4=TRUE,0,N11/50)</f>
        <v>1.2249999999999999</v>
      </c>
      <c r="O57" s="1130">
        <f t="shared" si="8"/>
        <v>1.5924999999999998</v>
      </c>
      <c r="P57" s="1129">
        <f t="shared" si="9"/>
        <v>31.814062052499988</v>
      </c>
      <c r="Q57" s="34"/>
    </row>
    <row r="58" spans="1:17" s="46" customFormat="1" ht="18.75" customHeight="1">
      <c r="A58" s="811"/>
      <c r="B58" s="716" t="s">
        <v>848</v>
      </c>
      <c r="C58" s="811"/>
      <c r="D58" s="811"/>
      <c r="E58" s="811"/>
      <c r="F58" s="34"/>
      <c r="G58" s="1047"/>
      <c r="H58" s="1124"/>
      <c r="I58" s="1123">
        <f>SUM($I$46:$I$57)</f>
        <v>5.0744999999999996</v>
      </c>
      <c r="J58" s="1128"/>
      <c r="K58" s="1127"/>
      <c r="L58" s="1126">
        <f>SUM($L$46:$L$57)</f>
        <v>5.4793333333333338</v>
      </c>
      <c r="M58" s="1125"/>
      <c r="N58" s="1124"/>
      <c r="O58" s="1123">
        <f>SUM($O$46:$O$57)</f>
        <v>6.0441666666666656</v>
      </c>
      <c r="P58" s="1122"/>
      <c r="Q58" s="34"/>
    </row>
    <row r="59" spans="1:17" s="46" customFormat="1" ht="15" customHeight="1">
      <c r="A59" s="811"/>
      <c r="B59" s="1121"/>
      <c r="C59" s="285"/>
      <c r="D59" s="222" t="s">
        <v>847</v>
      </c>
      <c r="E59" s="1120">
        <v>80</v>
      </c>
      <c r="F59" s="285" t="s">
        <v>846</v>
      </c>
      <c r="G59" s="1119"/>
      <c r="H59" s="1115"/>
      <c r="I59" s="1114">
        <f>IF(I58+SUM($I$46:$I$57)*$E$59%&gt;I58+10,I58+10,I58+SUM($I$46:$I$57)*$E$59%)</f>
        <v>9.1341000000000001</v>
      </c>
      <c r="J59" s="1113"/>
      <c r="K59" s="1118"/>
      <c r="L59" s="1117">
        <f>IF(L58+SUM($L$46:$L$57)*$E$59%&gt;L58+10,L58+10,L58+SUM($L$46:$L$57)*$E$59%)</f>
        <v>9.8628</v>
      </c>
      <c r="M59" s="1116"/>
      <c r="N59" s="1115"/>
      <c r="O59" s="1114">
        <f>IF(O58+SUM($O$46:$O$57)*$E$59%&gt;O58+10,O58+10,O58+SUM($O$46:$O$57)*$E$59%)</f>
        <v>10.879499999999998</v>
      </c>
      <c r="P59" s="1113"/>
      <c r="Q59" s="34"/>
    </row>
    <row r="60" spans="1:17" s="36" customFormat="1" ht="18.75" customHeight="1">
      <c r="A60" s="746"/>
      <c r="B60" s="716" t="s">
        <v>845</v>
      </c>
      <c r="C60" s="811"/>
      <c r="D60" s="811"/>
      <c r="E60" s="39"/>
      <c r="F60" s="39"/>
      <c r="G60" s="1112"/>
      <c r="H60" s="1104"/>
      <c r="I60" s="1103"/>
      <c r="J60" s="1111">
        <f>IF(J6=0,0,SUM(I62:I64))</f>
        <v>296.77499999999998</v>
      </c>
      <c r="K60" s="1107"/>
      <c r="L60" s="1106"/>
      <c r="M60" s="1044">
        <f>IF(M6=0,0,SUM(L62:L64))</f>
        <v>337.2</v>
      </c>
      <c r="N60" s="1104"/>
      <c r="O60" s="1103"/>
      <c r="P60" s="1111">
        <f>IF(P6=0,0,SUM(O62:O64))</f>
        <v>377.625</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296</v>
      </c>
      <c r="D62" s="4365"/>
      <c r="E62" s="4365"/>
      <c r="F62" s="1101">
        <f>IF($C62=0,0,VLOOKUP($C62,'SD3'!$C$90:$D$104,2,FALSE))</f>
        <v>175.5</v>
      </c>
      <c r="G62" s="1100">
        <f>(100+$D$61)/100*F62</f>
        <v>175.5</v>
      </c>
      <c r="H62" s="173"/>
      <c r="I62" s="1096">
        <f>$G$62</f>
        <v>175.5</v>
      </c>
      <c r="J62" s="173"/>
      <c r="K62" s="1099"/>
      <c r="L62" s="1098">
        <f>$G$62</f>
        <v>175.5</v>
      </c>
      <c r="M62" s="1016"/>
      <c r="N62" s="1097"/>
      <c r="O62" s="1096">
        <f>$G$62</f>
        <v>175.5</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3.3</v>
      </c>
      <c r="G64" s="1082">
        <f>(100+$D$61)/100*F64</f>
        <v>3.3</v>
      </c>
      <c r="H64" s="1078"/>
      <c r="I64" s="1077">
        <f>H11*$G$64</f>
        <v>121.27499999999999</v>
      </c>
      <c r="J64" s="173"/>
      <c r="K64" s="1081"/>
      <c r="L64" s="1080">
        <f>K11*$G$64</f>
        <v>161.69999999999999</v>
      </c>
      <c r="M64" s="1079"/>
      <c r="N64" s="1078"/>
      <c r="O64" s="1077">
        <f>N11*$G$64</f>
        <v>202.12499999999997</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69.69374999999998</v>
      </c>
      <c r="K67" s="1068" t="s">
        <v>842</v>
      </c>
      <c r="L67" s="1067" t="s">
        <v>841</v>
      </c>
      <c r="M67" s="1044">
        <f>S68*(K9+K10)*L68%+F68</f>
        <v>92.924999999999983</v>
      </c>
      <c r="N67" s="1066" t="s">
        <v>842</v>
      </c>
      <c r="O67" s="1065" t="s">
        <v>841</v>
      </c>
      <c r="P67" s="1041">
        <f>T68*(N9+N10)*O68%+F68</f>
        <v>116.15624999999997</v>
      </c>
      <c r="Q67" s="34"/>
    </row>
    <row r="68" spans="1:20" s="511" customFormat="1" ht="15" customHeight="1">
      <c r="A68" s="711"/>
      <c r="B68" s="1064"/>
      <c r="C68" s="4393" t="s">
        <v>564</v>
      </c>
      <c r="D68" s="4393"/>
      <c r="E68" s="4393"/>
      <c r="F68" s="1063"/>
      <c r="G68" s="1054" t="s">
        <v>163</v>
      </c>
      <c r="H68" s="1061">
        <v>16</v>
      </c>
      <c r="I68" s="1060">
        <v>50</v>
      </c>
      <c r="J68" s="1059"/>
      <c r="K68" s="1061">
        <v>16</v>
      </c>
      <c r="L68" s="1060">
        <v>50</v>
      </c>
      <c r="M68" s="1062"/>
      <c r="N68" s="1061">
        <v>16</v>
      </c>
      <c r="O68" s="1060">
        <v>50</v>
      </c>
      <c r="P68" s="1059"/>
      <c r="Q68" s="34"/>
      <c r="R68" s="1058">
        <f>IF($H$68=0,0,VLOOKUP($H$68,'SD6'!B8:C151,'SD6'!C1,FALSE))*(1+'SDK1'!O11/100)</f>
        <v>2.6549999999999994</v>
      </c>
      <c r="S68" s="1058">
        <f>IF($K$68=0,0,VLOOKUP($K$68,'SD6'!B8:C151,'SD6'!C1,FALSE))*(1+'SDK1'!O11/100)</f>
        <v>2.6549999999999994</v>
      </c>
      <c r="T68" s="1058">
        <f>IF($N$68=0,0,VLOOKUP($N$68,'SD6'!B8:C151,'SD6'!C1,FALSE))*(1+'SDK1'!O11/100)</f>
        <v>2.6549999999999994</v>
      </c>
    </row>
    <row r="69" spans="1:20" s="511" customFormat="1" ht="18.75" customHeight="1">
      <c r="A69" s="711"/>
      <c r="B69" s="716" t="s">
        <v>839</v>
      </c>
      <c r="C69" s="711"/>
      <c r="D69" s="711"/>
      <c r="E69" s="34"/>
      <c r="F69" s="34"/>
      <c r="G69" s="1047"/>
      <c r="H69" s="38"/>
      <c r="I69" s="51"/>
      <c r="J69" s="1041">
        <f>H70*$F70/1000</f>
        <v>19.8996</v>
      </c>
      <c r="K69" s="1057"/>
      <c r="L69" s="1056"/>
      <c r="M69" s="1044">
        <f>K70*$F70/1000</f>
        <v>26.532799999999998</v>
      </c>
      <c r="N69" s="38"/>
      <c r="O69" s="51"/>
      <c r="P69" s="1041">
        <f>N70*$F70/1000</f>
        <v>33.165999999999997</v>
      </c>
      <c r="Q69" s="34"/>
    </row>
    <row r="70" spans="1:20" s="511" customFormat="1" ht="15" customHeight="1">
      <c r="A70" s="711"/>
      <c r="B70" s="772"/>
      <c r="C70" s="771" t="s">
        <v>606</v>
      </c>
      <c r="D70" s="285"/>
      <c r="E70" s="222"/>
      <c r="F70" s="3742">
        <f>'SDK7'!G101</f>
        <v>16</v>
      </c>
      <c r="G70" s="1054" t="s">
        <v>163</v>
      </c>
      <c r="H70" s="1357">
        <f>J7</f>
        <v>1243.7249999999999</v>
      </c>
      <c r="I70" s="1049"/>
      <c r="J70" s="1048"/>
      <c r="K70" s="1053">
        <f>M7</f>
        <v>1658.3</v>
      </c>
      <c r="L70" s="1052"/>
      <c r="M70" s="1051"/>
      <c r="N70" s="1357">
        <f>P7</f>
        <v>2072.875</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7</v>
      </c>
      <c r="H75" s="1007"/>
      <c r="I75" s="1008"/>
      <c r="J75" s="1005">
        <f>(J23+J27+J34+J43+J60+J65+J67+J69+J71)*('SDK1'!$O$59%*$G$75/12)</f>
        <v>13.407377068300832</v>
      </c>
      <c r="K75" s="513"/>
      <c r="L75" s="522"/>
      <c r="M75" s="1005">
        <f>(M23+M27+M34+M43+M60+M65+M67+M69+M71)*('SDK1'!$O$59%*$G$75/12)</f>
        <v>15.349739861967777</v>
      </c>
      <c r="N75" s="1007"/>
      <c r="O75" s="1006"/>
      <c r="P75" s="1005">
        <f>(P23+P27+P34+P43+P60+P65+P67+P69+P71)*('SDK1'!$O$59%*$G$75/12)</f>
        <v>18.008440530568055</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H150" s="1354"/>
      <c r="J150" s="1353"/>
      <c r="M150" s="31"/>
      <c r="N150" s="31"/>
      <c r="O150" s="31"/>
      <c r="P150" s="31"/>
      <c r="Q150" s="31"/>
    </row>
    <row r="151" spans="1:17">
      <c r="A151" s="31"/>
      <c r="B151" s="441"/>
      <c r="C151" s="12"/>
      <c r="H151" s="1354"/>
      <c r="J151" s="1353"/>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D154" s="12"/>
      <c r="F154" s="12"/>
      <c r="G154" s="12"/>
      <c r="H154" s="12"/>
      <c r="I154" s="12"/>
      <c r="J154" s="12"/>
      <c r="M154" s="31"/>
      <c r="N154" s="31"/>
      <c r="O154" s="31"/>
      <c r="P154" s="31"/>
      <c r="Q154" s="31"/>
    </row>
    <row r="155" spans="1:17">
      <c r="A155" s="31"/>
      <c r="B155" s="441"/>
      <c r="C155" s="12"/>
      <c r="D155" s="12"/>
      <c r="F155" s="12"/>
      <c r="G155" s="12"/>
      <c r="H155" s="12"/>
      <c r="I155" s="12"/>
      <c r="J155" s="12"/>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J34" sqref="AJ34"/>
      <pageMargins left="0.59055118110236227" right="0.59055118110236227" top="0.59055118110236227" bottom="0.59055118110236227" header="0.39370078740157483" footer="0.39370078740157483"/>
      <printOptions horizontalCentered="1"/>
      <pageSetup paperSize="9" scale="68" firstPageNumber="28" orientation="portrait" r:id="rId1"/>
      <headerFooter alignWithMargins="0">
        <oddFooter>&amp;L&amp;11LEL Schwäbisch Gmünd&amp;C35&amp;R&amp;11&amp;F</oddFooter>
      </headerFooter>
    </customSheetView>
    <customSheetView guid="{5D5C9B61-9ABD-4513-AAEB-8333A9D6196C}" fitToPage="1" hiddenRows="1" hiddenColumns="1">
      <selection activeCell="AJ34" sqref="AJ34"/>
      <pageMargins left="0.59055118110236227" right="0.59055118110236227" top="0.59055118110236227" bottom="0.59055118110236227" header="0.39370078740157483" footer="0.39370078740157483"/>
      <printOptions horizontalCentered="1"/>
      <pageSetup paperSize="9" scale="68" firstPageNumber="28" orientation="portrait" r:id="rId2"/>
      <headerFooter alignWithMargins="0">
        <oddFooter>&amp;L&amp;11LEL Schwäbisch Gmünd&amp;C35&amp;R&amp;11&amp;F</oddFooter>
      </headerFooter>
    </customSheetView>
    <customSheetView guid="{22A73C4F-9004-4CEF-8499-B1F91BE1B569}" fitToPage="1" hiddenRows="1" hiddenColumns="1">
      <selection activeCell="AJ34" sqref="AJ34"/>
      <pageMargins left="0.59055118110236227" right="0.59055118110236227" top="0.59055118110236227" bottom="0.59055118110236227" header="0.39370078740157483" footer="0.39370078740157483"/>
      <printOptions horizontalCentered="1"/>
      <pageSetup paperSize="9" scale="68" firstPageNumber="28" orientation="portrait" r:id="rId3"/>
      <headerFooter alignWithMargins="0">
        <oddFooter>&amp;L&amp;11LEL Schwäbisch Gmünd&amp;C35&amp;R&amp;11&amp;F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showInputMessage="1" showErrorMessage="1" sqref="H14 K14 N14" xr:uid="{00000000-0002-0000-1F00-000000000000}">
      <formula1>"ja,nein"</formula1>
    </dataValidation>
    <dataValidation type="list" allowBlank="1" showInputMessage="1" showErrorMessage="1" sqref="H15:H17 K15:K17 N15:N17" xr:uid="{00000000-0002-0000-1F00-000001000000}">
      <formula1>"ja,nein"</formula1>
    </dataValidation>
    <dataValidation type="whole" allowBlank="1" showInputMessage="1" showErrorMessage="1" errorTitle="Anteil Erntegut" error="Prozentwert darf nur zwischen 0 und 100 liegen." sqref="O68 L68 I68" xr:uid="{00000000-0002-0000-1F00-000002000000}">
      <formula1>0</formula1>
      <formula2>100</formula2>
    </dataValidation>
    <dataValidation type="decimal" allowBlank="1" showInputMessage="1" showErrorMessage="1" errorTitle="Wassergehalt Getreide" error="Zulässig sind nur Werte zwischen 14,1 und 29,0 % Wassergehalt." sqref="H68 K68 N68" xr:uid="{00000000-0002-0000-1F00-000003000000}">
      <formula1>14.1</formula1>
      <formula2>29</formula2>
    </dataValidation>
    <dataValidation type="list" allowBlank="1" showInputMessage="1" showErrorMessage="1" errorTitle="Organisationsabh. Ausgleichsl." error="Bitte aus Dropdownliste auswählen." sqref="D19:F19" xr:uid="{00000000-0002-0000-1F00-000004000000}">
      <formula1>$C$60:$C$75</formula1>
    </dataValidation>
  </dataValidations>
  <hyperlinks>
    <hyperlink ref="F9" location="'SDK1'!A1" display="Preis ändern" xr:uid="{00000000-0004-0000-1F00-000000000000}"/>
  </hyperlinks>
  <printOptions horizontalCentered="1"/>
  <pageMargins left="0.59055118110236227" right="0.59055118110236227" top="0.59055118110236227" bottom="0.59055118110236227" header="0.39370078740157483" footer="0.39370078740157483"/>
  <pageSetup paperSize="9" scale="68" firstPageNumber="28" orientation="portrait" r:id="rId4"/>
  <headerFooter alignWithMargins="0">
    <oddFooter>&amp;L&amp;11LEL Schwäbisch Gmünd&amp;C35&amp;R&amp;11&amp;F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3553" r:id="rId7" name="Check Box 1">
              <controlPr defaultSize="0" autoFill="0" autoLine="0" autoPict="0">
                <anchor moveWithCells="1">
                  <from>
                    <xdr:col>12</xdr:col>
                    <xdr:colOff>289560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3554" r:id="rId8" name="Check Box 2">
              <controlPr defaultSize="0" autoFill="0" autoLine="0" autoPict="0">
                <anchor moveWithCells="1">
                  <from>
                    <xdr:col>12</xdr:col>
                    <xdr:colOff>289560</xdr:colOff>
                    <xdr:row>2</xdr:row>
                    <xdr:rowOff>0</xdr:rowOff>
                  </from>
                  <to>
                    <xdr:col>13</xdr:col>
                    <xdr:colOff>0</xdr:colOff>
                    <xdr:row>2</xdr:row>
                    <xdr:rowOff>236220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1F00-000005000000}">
          <x14:formula1>
            <xm:f>'SD2'!$C$11:$C$50</xm:f>
          </x14:formula1>
          <xm:sqref>C14:F17</xm:sqref>
        </x14:dataValidation>
        <x14:dataValidation type="list" allowBlank="1" showInputMessage="1" showErrorMessage="1" errorTitle="Organisationsabh. Ausgleichsl." error="Bitte aus Dropdownliste auswählen." xr:uid="{00000000-0002-0000-1F00-000006000000}">
          <x14:formula1>
            <xm:f>'SD2'!$C$60:$C$77</xm:f>
          </x14:formula1>
          <xm:sqref>C19:C21</xm:sqref>
        </x14:dataValidation>
        <x14:dataValidation type="list" allowBlank="1" showInputMessage="1" showErrorMessage="1" errorTitle="Arbeitsgänge" error="Bitte aus Dropdownliste auswählen." xr:uid="{00000000-0002-0000-1F00-000007000000}">
          <x14:formula1>
            <xm:f>'SD3'!$C$23:$C$75</xm:f>
          </x14:formula1>
          <xm:sqref>C46:D57</xm:sqref>
        </x14:dataValidation>
        <x14:dataValidation type="list" allowBlank="1" showInputMessage="1" showErrorMessage="1" errorTitle="Lohnmaschinen" error="Bitte aus Dropdownliste auswählen." xr:uid="{00000000-0002-0000-1F00-000008000000}">
          <x14:formula1>
            <xm:f>'SD3'!$C$90:$C$104</xm:f>
          </x14:formula1>
          <xm:sqref>C62:E64</xm:sqref>
        </x14:dataValidation>
        <x14:dataValidation type="list" allowBlank="1" showInputMessage="1" showErrorMessage="1" errorTitle="Pflanzenschutzmittel" error="Bitte aus Dropdownliste auswählen." xr:uid="{00000000-0002-0000-1F00-000009000000}">
          <x14:formula1>
            <xm:f>'SDK5'!$J$214:$J$245</xm:f>
          </x14:formula1>
          <xm:sqref>C36:E36 C37:E37 C38:E38 C39:E39 C40:E40 C41:E41 C42:E42</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4">
    <tabColor rgb="FFFFFF00"/>
    <pageSetUpPr fitToPage="1"/>
  </sheetPr>
  <dimension ref="A1:AO218"/>
  <sheetViews>
    <sheetView workbookViewId="0">
      <selection activeCell="N51" sqref="N51"/>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7" width="10.5" style="31" hidden="1" customWidth="1"/>
    <col min="28" max="29" width="0" style="31" hidden="1" customWidth="1"/>
    <col min="30" max="16384" width="10.5" style="31"/>
  </cols>
  <sheetData>
    <row r="1" spans="1:41" s="1317" customFormat="1" ht="30.45" customHeight="1">
      <c r="A1" s="3740"/>
      <c r="B1" s="258"/>
      <c r="C1" s="1333"/>
      <c r="D1" s="1253"/>
      <c r="E1" s="255"/>
      <c r="F1" s="255"/>
      <c r="G1" s="430"/>
      <c r="H1" s="1328"/>
      <c r="I1" s="3212" t="s">
        <v>1679</v>
      </c>
      <c r="J1" s="3210">
        <f>(J7+J13+J18+J22)-(J23+J27+J34+J43+J60+J65+J67+J69+J71+J75)</f>
        <v>316.60746799369338</v>
      </c>
      <c r="K1" s="4360">
        <f>M1-J1</f>
        <v>192.79490712200902</v>
      </c>
      <c r="L1" s="4360"/>
      <c r="M1" s="3210">
        <f>(M7+M13+M18+M22)-(M23+M27+M34+M43+M60+M65+M67+M69+M71+M75)</f>
        <v>509.4023751157024</v>
      </c>
      <c r="N1" s="4360">
        <f>P1-M1</f>
        <v>304.90140712200878</v>
      </c>
      <c r="O1" s="4360"/>
      <c r="P1" s="3210">
        <f>(P7+P13+P18+P22)-(P23+P27+P34+P43+P60+P65+P67+P69+P71+P75)</f>
        <v>814.30378223771118</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200</v>
      </c>
      <c r="L2" s="4372"/>
      <c r="M2" s="4372"/>
      <c r="N2" s="4372"/>
      <c r="O2" s="4372"/>
      <c r="P2" s="4372"/>
      <c r="Q2" s="1345">
        <v>0</v>
      </c>
      <c r="AB2" s="3229"/>
    </row>
    <row r="3" spans="1:41" s="1317" customFormat="1" ht="32.4" customHeight="1">
      <c r="A3" s="1321"/>
      <c r="B3" s="4405" t="s">
        <v>1727</v>
      </c>
      <c r="C3" s="4405"/>
      <c r="D3" s="4405"/>
      <c r="E3" s="4405"/>
      <c r="F3" s="4405"/>
      <c r="G3" s="4405"/>
      <c r="H3" s="4405"/>
      <c r="J3" s="4368" t="s">
        <v>886</v>
      </c>
      <c r="K3" s="4369"/>
      <c r="L3" s="4369"/>
      <c r="M3" s="1327"/>
      <c r="N3" s="4373" t="str">
        <f>IF(AND(T3=TRUE,T4=TRUE),"nur 1 Strohnutzung möglich","")</f>
        <v/>
      </c>
      <c r="O3" s="4374"/>
      <c r="P3" s="1326"/>
      <c r="Q3" s="1321"/>
      <c r="T3" s="1343" t="b">
        <v>1</v>
      </c>
    </row>
    <row r="4" spans="1:41" s="1317" customFormat="1" ht="20.25" customHeight="1">
      <c r="A4" s="1321"/>
      <c r="B4" s="309" t="s">
        <v>779</v>
      </c>
      <c r="C4" s="31"/>
      <c r="D4" s="31"/>
      <c r="E4" s="4406" t="s">
        <v>890</v>
      </c>
      <c r="F4" s="4406"/>
      <c r="G4" s="4406"/>
      <c r="H4" s="4406"/>
      <c r="I4" s="4406"/>
      <c r="J4" s="4368" t="s">
        <v>875</v>
      </c>
      <c r="K4" s="4369"/>
      <c r="L4" s="4369"/>
      <c r="M4" s="1323"/>
      <c r="N4" s="4374"/>
      <c r="O4" s="4374"/>
      <c r="P4" s="1322">
        <f>'SDK1'!O3</f>
        <v>2024</v>
      </c>
      <c r="Q4" s="1321"/>
      <c r="T4" s="1343" t="b">
        <v>0</v>
      </c>
      <c r="U4" s="1318"/>
    </row>
    <row r="5" spans="1:41" ht="6" customHeight="1"/>
    <row r="6" spans="1:41" s="1311" customFormat="1" ht="24" customHeight="1">
      <c r="A6" s="41"/>
      <c r="B6" s="1316" t="s">
        <v>832</v>
      </c>
      <c r="C6" s="1315"/>
      <c r="D6" s="1315"/>
      <c r="E6" s="1315"/>
      <c r="F6" s="1315"/>
      <c r="G6" s="1314"/>
      <c r="H6" s="4366" t="s">
        <v>171</v>
      </c>
      <c r="I6" s="4367"/>
      <c r="J6" s="1313">
        <f>M6*0.75</f>
        <v>42</v>
      </c>
      <c r="K6" s="4379" t="s">
        <v>144</v>
      </c>
      <c r="L6" s="4380"/>
      <c r="M6" s="1313">
        <v>56</v>
      </c>
      <c r="N6" s="4366" t="s">
        <v>170</v>
      </c>
      <c r="O6" s="4367"/>
      <c r="P6" s="1312">
        <f>M6*1.25</f>
        <v>70</v>
      </c>
      <c r="Q6" s="49"/>
    </row>
    <row r="7" spans="1:41" s="196" customFormat="1" ht="18.75" customHeight="1">
      <c r="A7" s="40"/>
      <c r="B7" s="245" t="s">
        <v>883</v>
      </c>
      <c r="C7" s="40"/>
      <c r="D7" s="40"/>
      <c r="E7" s="40"/>
      <c r="F7" s="40"/>
      <c r="G7" s="1310"/>
      <c r="H7" s="1307"/>
      <c r="I7" s="1306"/>
      <c r="J7" s="1041">
        <f>SUM(I9:I12)</f>
        <v>1136.52</v>
      </c>
      <c r="K7" s="1309"/>
      <c r="L7" s="1308"/>
      <c r="M7" s="1044">
        <f>SUM(L9:L12)</f>
        <v>1515.3600000000001</v>
      </c>
      <c r="N7" s="1307"/>
      <c r="O7" s="1306"/>
      <c r="P7" s="1041">
        <f>SUM(O9:O12)</f>
        <v>1894.1999999999998</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'SDK1'!O24</f>
        <v>18.5</v>
      </c>
      <c r="H9" s="1303">
        <f>J6-H10</f>
        <v>42</v>
      </c>
      <c r="I9" s="1299">
        <f>H9*G9</f>
        <v>777</v>
      </c>
      <c r="J9" s="37"/>
      <c r="K9" s="1302">
        <f>M6-K10</f>
        <v>56</v>
      </c>
      <c r="L9" s="1301">
        <f>K9*G9</f>
        <v>1036</v>
      </c>
      <c r="M9" s="1280"/>
      <c r="N9" s="1300">
        <f>P6-N10</f>
        <v>70</v>
      </c>
      <c r="O9" s="1299">
        <f>N9*G9</f>
        <v>1295</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359.52</v>
      </c>
      <c r="S10" s="1288">
        <f>L10+L11+L12</f>
        <v>479.36</v>
      </c>
      <c r="T10" s="1287">
        <f>O10+O11+O12</f>
        <v>599.19999999999993</v>
      </c>
      <c r="W10" s="196" t="s">
        <v>879</v>
      </c>
    </row>
    <row r="11" spans="1:41" s="1268" customFormat="1" ht="15" customHeight="1">
      <c r="A11" s="309"/>
      <c r="B11" s="217"/>
      <c r="C11" s="39" t="s">
        <v>878</v>
      </c>
      <c r="D11" s="309"/>
      <c r="E11" s="1286">
        <v>0.8</v>
      </c>
      <c r="F11" s="39" t="s">
        <v>877</v>
      </c>
      <c r="G11" s="1285">
        <f>'SDK1'!$O$48</f>
        <v>10.7</v>
      </c>
      <c r="H11" s="3151">
        <f>IF(OR($T$3,$T$4)=TRUE,J6*$E$11,0)</f>
        <v>33.6</v>
      </c>
      <c r="I11" s="3228">
        <f>H11*$G$11</f>
        <v>359.52</v>
      </c>
      <c r="J11" s="3153"/>
      <c r="K11" s="3154">
        <f>IF(OR($T$3,$T$4)=TRUE,M6*$E$11,0)</f>
        <v>44.800000000000004</v>
      </c>
      <c r="L11" s="3155">
        <f>K11*$G$11</f>
        <v>479.36</v>
      </c>
      <c r="M11" s="3156"/>
      <c r="N11" s="3157">
        <f>IF(OR($T$3,$T$4)=TRUE,P6*$E$11,0)</f>
        <v>56</v>
      </c>
      <c r="O11" s="3152">
        <f>N11*$G$11</f>
        <v>599.19999999999993</v>
      </c>
      <c r="P11" s="3158"/>
      <c r="Q11" s="34"/>
      <c r="W11" s="1268" t="s">
        <v>876</v>
      </c>
    </row>
    <row r="12" spans="1:41" s="1268" customFormat="1" ht="15" hidden="1" customHeight="1">
      <c r="A12" s="309"/>
      <c r="B12" s="185"/>
      <c r="C12" s="223" t="s">
        <v>1652</v>
      </c>
      <c r="D12" s="1277"/>
      <c r="E12" s="1276"/>
      <c r="F12" s="223" t="s">
        <v>874</v>
      </c>
      <c r="G12" s="1275"/>
      <c r="H12" s="1274"/>
      <c r="I12" s="1269">
        <f>IF(T4=TRUE,L12*(J6/M6),0)</f>
        <v>0</v>
      </c>
      <c r="J12" s="1273"/>
      <c r="K12" s="1270"/>
      <c r="L12" s="1272">
        <v>0</v>
      </c>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f>IF(OR(T3=TRUE,T4=TRUE),J6*$E$11,"0")</f>
        <v>33.6</v>
      </c>
      <c r="Y13" s="1265">
        <f>IF(OR(T3=TRUE,T4=TRUE),M6*$E$11,"0")</f>
        <v>44.800000000000004</v>
      </c>
      <c r="Z13" s="1264">
        <f>IF(OR(T3=TRUE,T4=TRUE),P6*$E$11,"0")</f>
        <v>56</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13.439999999999998</v>
      </c>
      <c r="Y14" s="1260">
        <f>$Y$13*F30</f>
        <v>17.919999999999998</v>
      </c>
      <c r="Z14" s="1260">
        <f>$Z$13*F30</f>
        <v>22.399999999999995</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8.0640000000000001</v>
      </c>
      <c r="Y15" s="1260">
        <f>$Y$13*F31</f>
        <v>10.752000000000001</v>
      </c>
      <c r="Z15" s="1260">
        <f>$Z$13*F31</f>
        <v>13.44</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37.632000000000005</v>
      </c>
      <c r="Y16" s="1260">
        <f>$Y$13*F32</f>
        <v>50.176000000000009</v>
      </c>
      <c r="Z16" s="1260">
        <f>$Z$13*F32</f>
        <v>62.720000000000006</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5.3759999999999994</v>
      </c>
      <c r="Y17" s="1260">
        <f>$Y$13*F33</f>
        <v>7.1679999999999993</v>
      </c>
      <c r="Z17" s="1260">
        <f>$Z$13*F33</f>
        <v>8.9599999999999991</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146.25</v>
      </c>
      <c r="K23" s="1046"/>
      <c r="L23" s="1045"/>
      <c r="M23" s="1227">
        <f>SUM(L25:L26)</f>
        <v>127.5</v>
      </c>
      <c r="N23" s="1043"/>
      <c r="O23" s="1042"/>
      <c r="P23" s="1026">
        <f>SUM(O25:O26)</f>
        <v>146.25</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'SDK7'!F54/100</f>
        <v>0.75</v>
      </c>
      <c r="G25" s="1221">
        <f>F25*(100+$D$24)/100</f>
        <v>0.75</v>
      </c>
      <c r="H25" s="1361">
        <v>195</v>
      </c>
      <c r="I25" s="1181">
        <f>H25*$G25</f>
        <v>146.25</v>
      </c>
      <c r="J25" s="39"/>
      <c r="K25" s="1361">
        <v>170</v>
      </c>
      <c r="L25" s="1023">
        <f>K25*$G25</f>
        <v>127.5</v>
      </c>
      <c r="M25" s="1016"/>
      <c r="N25" s="1361">
        <f>H25</f>
        <v>195</v>
      </c>
      <c r="O25" s="1181">
        <f>N25*$G25</f>
        <v>146.25</v>
      </c>
      <c r="P25" s="1145"/>
      <c r="Q25" s="34"/>
    </row>
    <row r="26" spans="1:26" s="36" customFormat="1" ht="15" customHeight="1">
      <c r="A26" s="746"/>
      <c r="B26" s="772"/>
      <c r="C26" s="1219"/>
      <c r="D26" s="4385"/>
      <c r="E26" s="4386"/>
      <c r="F26" s="1218"/>
      <c r="G26" s="1217">
        <f>F26*(100+$D$24)/100</f>
        <v>0</v>
      </c>
      <c r="H26" s="1360"/>
      <c r="I26" s="1177">
        <f>H26*$G26</f>
        <v>0</v>
      </c>
      <c r="J26" s="39"/>
      <c r="K26" s="1360"/>
      <c r="L26" s="1017">
        <f>K26*$G26</f>
        <v>0</v>
      </c>
      <c r="M26" s="1016"/>
      <c r="N26" s="1360">
        <f>H26</f>
        <v>0</v>
      </c>
      <c r="O26" s="1177">
        <f>N26*$G26</f>
        <v>0</v>
      </c>
      <c r="P26" s="1176"/>
      <c r="Q26" s="34"/>
    </row>
    <row r="27" spans="1:26" s="511" customFormat="1" ht="18.75" customHeight="1">
      <c r="A27" s="711"/>
      <c r="B27" s="1215" t="s">
        <v>865</v>
      </c>
      <c r="C27" s="711"/>
      <c r="D27" s="51"/>
      <c r="E27" s="34"/>
      <c r="F27" s="34"/>
      <c r="G27" s="1214"/>
      <c r="H27" s="1173"/>
      <c r="I27" s="1172"/>
      <c r="J27" s="1041">
        <f>SUM(I30:I32)</f>
        <v>257.45188000000002</v>
      </c>
      <c r="K27" s="1175"/>
      <c r="L27" s="1174"/>
      <c r="M27" s="1044">
        <f>SUM(L30:L32)</f>
        <v>335.33583999999996</v>
      </c>
      <c r="N27" s="1173"/>
      <c r="O27" s="1172"/>
      <c r="P27" s="1041">
        <f>SUM(O30:O32)</f>
        <v>413.21979999999996</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2.11</v>
      </c>
      <c r="F30" s="1201">
        <f>VLOOKUP(K2,'SD8'!B9:L42,7,FALSE)</f>
        <v>0.39999999999999991</v>
      </c>
      <c r="G30" s="1200">
        <v>20</v>
      </c>
      <c r="H30" s="1198">
        <f>IF(J$6=0,0,(J$6*$E30+$G30+X14))</f>
        <v>122.05999999999999</v>
      </c>
      <c r="I30" s="1181">
        <f>H30*$D30</f>
        <v>145.25139999999999</v>
      </c>
      <c r="J30" s="39"/>
      <c r="K30" s="1199">
        <f>IF(M$6=0,0,(M$6*$E30+$G30+Y14))</f>
        <v>156.07999999999998</v>
      </c>
      <c r="L30" s="1023">
        <f>K30*$D30</f>
        <v>185.73519999999996</v>
      </c>
      <c r="M30" s="1016"/>
      <c r="N30" s="1198">
        <f>IF(P$6=0,0,(P$6*$E30+$G30+Z14))</f>
        <v>190.1</v>
      </c>
      <c r="O30" s="1181">
        <f>N30*$D30</f>
        <v>226.21899999999999</v>
      </c>
      <c r="P30" s="1145"/>
      <c r="Q30" s="34"/>
    </row>
    <row r="31" spans="1:26" s="36" customFormat="1" ht="15" customHeight="1">
      <c r="A31" s="746"/>
      <c r="B31" s="217"/>
      <c r="C31" s="746" t="s">
        <v>234</v>
      </c>
      <c r="D31" s="1150">
        <f>'SDK1'!O53</f>
        <v>1.2</v>
      </c>
      <c r="E31" s="1201">
        <f>VLOOKUP(K2,'SD8'!B9:L42,4,FALSE)</f>
        <v>0.8</v>
      </c>
      <c r="F31" s="1201">
        <f>VLOOKUP(K2,'SD8'!B9:L42,8,FALSE)</f>
        <v>0.24</v>
      </c>
      <c r="G31" s="1200"/>
      <c r="H31" s="1198">
        <f>IF(J$6=0,0,(J$6*$E31+$G31+X15))</f>
        <v>41.664000000000001</v>
      </c>
      <c r="I31" s="1181">
        <f>H31*$D31</f>
        <v>49.9968</v>
      </c>
      <c r="J31" s="39"/>
      <c r="K31" s="1199">
        <f>IF(M$6=0,0,(M$6*$E31+$G31+Y15))</f>
        <v>55.552000000000007</v>
      </c>
      <c r="L31" s="1023">
        <f>K31*$D31</f>
        <v>66.662400000000005</v>
      </c>
      <c r="M31" s="1016"/>
      <c r="N31" s="1198">
        <f>IF(P$6=0,0,(P$6*$E31+$G31+Z15))</f>
        <v>69.44</v>
      </c>
      <c r="O31" s="1181">
        <f>N31*$D31</f>
        <v>83.327999999999989</v>
      </c>
      <c r="P31" s="1145"/>
      <c r="Q31" s="34"/>
    </row>
    <row r="32" spans="1:26" s="36" customFormat="1" ht="15" customHeight="1">
      <c r="A32" s="746"/>
      <c r="B32" s="185"/>
      <c r="C32" s="2791" t="s">
        <v>232</v>
      </c>
      <c r="D32" s="1133">
        <f>'SDK1'!O54</f>
        <v>0.99</v>
      </c>
      <c r="E32" s="1197">
        <f>VLOOKUP(K2,'SD8'!B9:L42,5,FALSE)</f>
        <v>0.6</v>
      </c>
      <c r="F32" s="1197">
        <f>VLOOKUP(K2,'SD8'!B9:L42,9,FALSE)</f>
        <v>1.1200000000000001</v>
      </c>
      <c r="G32" s="1196"/>
      <c r="H32" s="1194">
        <f>IF(J$6=0,0,(J$6*$E32+$G32+X16))</f>
        <v>62.832000000000008</v>
      </c>
      <c r="I32" s="1177">
        <f>H32*$D32</f>
        <v>62.203680000000006</v>
      </c>
      <c r="J32" s="223"/>
      <c r="K32" s="1195">
        <f>IF(M$6=0,0,(M$6*$E32+$G32+Y16))</f>
        <v>83.77600000000001</v>
      </c>
      <c r="L32" s="1017">
        <f>K32*$D32</f>
        <v>82.938240000000008</v>
      </c>
      <c r="M32" s="1256"/>
      <c r="N32" s="1194">
        <f>IF(P$6=0,0,(P$6*$E32+$G32+Z16))</f>
        <v>104.72</v>
      </c>
      <c r="O32" s="1177">
        <f>N32*$D32</f>
        <v>103.6728</v>
      </c>
      <c r="P32" s="1176"/>
      <c r="Q32" s="34"/>
    </row>
    <row r="33" spans="1:17" s="36" customFormat="1" ht="15" hidden="1" customHeight="1">
      <c r="A33" s="746"/>
      <c r="B33" s="185"/>
      <c r="C33" s="771" t="s">
        <v>230</v>
      </c>
      <c r="D33" s="1133">
        <f>'SDK1'!P55</f>
        <v>0.45</v>
      </c>
      <c r="E33" s="1197">
        <f>VLOOKUP(K2,'SD8'!B9:L42,6,FALSE)</f>
        <v>0.2</v>
      </c>
      <c r="F33" s="1197">
        <f>VLOOKUP(K2,'SD8'!B9:L42,10,FALSE)</f>
        <v>0.15999999999999998</v>
      </c>
      <c r="G33" s="1196"/>
      <c r="H33" s="1194">
        <f>IF(J$6=0,0,(J$6*$E33+$G33+X17))</f>
        <v>13.776</v>
      </c>
      <c r="I33" s="1177">
        <f>H33*$D33</f>
        <v>6.1992000000000003</v>
      </c>
      <c r="J33" s="39"/>
      <c r="K33" s="1195">
        <f>IF(M$6=0,0,(M$6*$E33+$G33+Y17))</f>
        <v>18.368000000000002</v>
      </c>
      <c r="L33" s="1017">
        <f>K33*$D33</f>
        <v>8.2656000000000009</v>
      </c>
      <c r="M33" s="1016"/>
      <c r="N33" s="1194">
        <f>IF(P$6=0,0,(P$6*$E33+$G33+Z17))</f>
        <v>22.96</v>
      </c>
      <c r="O33" s="1177">
        <f>N33*$D33</f>
        <v>10.332000000000001</v>
      </c>
      <c r="P33" s="1176"/>
      <c r="Q33" s="34"/>
    </row>
    <row r="34" spans="1:17" s="511" customFormat="1" ht="18.75" customHeight="1">
      <c r="A34" s="711"/>
      <c r="B34" s="716" t="s">
        <v>859</v>
      </c>
      <c r="C34" s="711"/>
      <c r="D34" s="33"/>
      <c r="E34" s="33"/>
      <c r="F34" s="4381" t="s">
        <v>858</v>
      </c>
      <c r="G34" s="4382"/>
      <c r="H34" s="1191"/>
      <c r="I34" s="1190"/>
      <c r="J34" s="1041">
        <f>SUM(I36:I42)</f>
        <v>112.315</v>
      </c>
      <c r="K34" s="1193"/>
      <c r="L34" s="1192"/>
      <c r="M34" s="1044">
        <f>SUM(L36:L42)</f>
        <v>112.315</v>
      </c>
      <c r="N34" s="1191"/>
      <c r="O34" s="1190"/>
      <c r="P34" s="1041">
        <f>SUM(O36:O42)</f>
        <v>112.315</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502</v>
      </c>
      <c r="D36" s="4389"/>
      <c r="E36" s="4390"/>
      <c r="F36" s="1183">
        <f>IF(C36="",0,VLOOKUP(C36,'SDK5'!C3:AF83,2,FALSE))</f>
        <v>642.29999999999995</v>
      </c>
      <c r="G36" s="1183">
        <f t="shared" ref="G36:G42" si="0">F36*(100+$D$35)/100</f>
        <v>642.29999999999995</v>
      </c>
      <c r="H36" s="1182">
        <v>0.05</v>
      </c>
      <c r="I36" s="1181">
        <f t="shared" ref="I36:I42" si="1">$G36*H36</f>
        <v>32.115000000000002</v>
      </c>
      <c r="J36" s="39"/>
      <c r="K36" s="1182">
        <v>0.05</v>
      </c>
      <c r="L36" s="1023">
        <f t="shared" ref="L36:L42" si="2">$G36*K36</f>
        <v>32.115000000000002</v>
      </c>
      <c r="M36" s="1016"/>
      <c r="N36" s="1182">
        <v>0.05</v>
      </c>
      <c r="O36" s="1181">
        <f t="shared" ref="O36:O42" si="3">$G36*N36</f>
        <v>32.115000000000002</v>
      </c>
      <c r="P36" s="1185"/>
      <c r="Q36" s="34"/>
    </row>
    <row r="37" spans="1:17" s="36" customFormat="1" ht="15" customHeight="1">
      <c r="A37" s="746"/>
      <c r="B37" s="1021"/>
      <c r="C37" s="4375" t="s">
        <v>1483</v>
      </c>
      <c r="D37" s="4375"/>
      <c r="E37" s="4376"/>
      <c r="F37" s="1183">
        <f>IF(C37="",0,VLOOKUP(C37,'SDK5'!C4:AF84,2,FALSE))</f>
        <v>80.2</v>
      </c>
      <c r="G37" s="1183">
        <f t="shared" si="0"/>
        <v>80.2</v>
      </c>
      <c r="H37" s="1182">
        <v>1</v>
      </c>
      <c r="I37" s="1181">
        <f t="shared" si="1"/>
        <v>80.2</v>
      </c>
      <c r="J37" s="39"/>
      <c r="K37" s="1182">
        <v>1</v>
      </c>
      <c r="L37" s="1023">
        <f t="shared" si="2"/>
        <v>80.2</v>
      </c>
      <c r="M37" s="1016"/>
      <c r="N37" s="1182">
        <v>1</v>
      </c>
      <c r="O37" s="1181">
        <f t="shared" si="3"/>
        <v>80.2</v>
      </c>
      <c r="P37" s="1145"/>
      <c r="Q37" s="34"/>
    </row>
    <row r="38" spans="1:17" s="36" customFormat="1" ht="15" customHeight="1">
      <c r="A38" s="746"/>
      <c r="B38" s="1184"/>
      <c r="C38" s="4375"/>
      <c r="D38" s="4375"/>
      <c r="E38" s="4376"/>
      <c r="F38" s="1183">
        <f>IF(C38="",0,VLOOKUP(C38,'SDK5'!C5:AF85,2,FALSE))</f>
        <v>0</v>
      </c>
      <c r="G38" s="1183">
        <f t="shared" si="0"/>
        <v>0</v>
      </c>
      <c r="H38" s="1182"/>
      <c r="I38" s="1181">
        <f t="shared" si="1"/>
        <v>0</v>
      </c>
      <c r="J38" s="39"/>
      <c r="K38" s="1182"/>
      <c r="L38" s="1023">
        <f t="shared" si="2"/>
        <v>0</v>
      </c>
      <c r="M38" s="1016"/>
      <c r="N38" s="1182"/>
      <c r="O38" s="1181">
        <f t="shared" si="3"/>
        <v>0</v>
      </c>
      <c r="P38" s="1145"/>
      <c r="Q38" s="34"/>
    </row>
    <row r="39" spans="1:17" s="36" customFormat="1" ht="15" customHeight="1">
      <c r="A39" s="746"/>
      <c r="B39" s="1021"/>
      <c r="C39" s="4375"/>
      <c r="D39" s="4375"/>
      <c r="E39" s="4376"/>
      <c r="F39" s="1183">
        <f>IF(C39="",0,VLOOKUP(C39,'SDK5'!C6:AF86,2,FALSE))</f>
        <v>0</v>
      </c>
      <c r="G39" s="1183">
        <f t="shared" si="0"/>
        <v>0</v>
      </c>
      <c r="H39" s="1182"/>
      <c r="I39" s="1181">
        <f t="shared" si="1"/>
        <v>0</v>
      </c>
      <c r="J39" s="39"/>
      <c r="K39" s="1182"/>
      <c r="L39" s="1023">
        <f t="shared" si="2"/>
        <v>0</v>
      </c>
      <c r="M39" s="1016"/>
      <c r="N39" s="1182"/>
      <c r="O39" s="1181">
        <f t="shared" si="3"/>
        <v>0</v>
      </c>
      <c r="P39" s="1145"/>
      <c r="Q39" s="34"/>
    </row>
    <row r="40" spans="1:17" s="36" customFormat="1" ht="15" customHeight="1">
      <c r="A40" s="746"/>
      <c r="B40" s="1021"/>
      <c r="C40" s="4375"/>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168.09238546079999</v>
      </c>
      <c r="K43" s="1175"/>
      <c r="L43" s="1174"/>
      <c r="M43" s="1044">
        <f>SUM(M46:M57)</f>
        <v>176.10451558773332</v>
      </c>
      <c r="N43" s="1173"/>
      <c r="O43" s="1172"/>
      <c r="P43" s="1041">
        <f>SUM(P46:P57)</f>
        <v>184.11664571466667</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409"/>
      <c r="E46" s="1152">
        <f>IF($C46=0,0,VLOOKUP($C46,'SD3'!$C$24:$O$85,4,FALSE))</f>
        <v>120</v>
      </c>
      <c r="F46" s="1151">
        <f>IF($C46=0,0,VLOOKUP($C46,'SD3'!$C$24:$O$85,12,FALSE))</f>
        <v>1.38</v>
      </c>
      <c r="G46" s="1150">
        <f>IF($C46=0,0,VLOOKUP($C46,'SD3'!$C$24:$O$85,13,FALSE))</f>
        <v>64.642445999999993</v>
      </c>
      <c r="H46" s="1147">
        <v>1</v>
      </c>
      <c r="I46" s="1154">
        <f t="shared" ref="I46:I57" si="4">$F46*H46</f>
        <v>1.38</v>
      </c>
      <c r="J46" s="1145">
        <f t="shared" ref="J46:J57" si="5">H46*$G46</f>
        <v>64.642445999999993</v>
      </c>
      <c r="K46" s="1147">
        <v>1</v>
      </c>
      <c r="L46" s="1156">
        <f t="shared" ref="L46:L57" si="6">$F46*K46</f>
        <v>1.38</v>
      </c>
      <c r="M46" s="1148">
        <f t="shared" ref="M46:M57" si="7">K46*$G46</f>
        <v>64.642445999999993</v>
      </c>
      <c r="N46" s="1147">
        <v>1</v>
      </c>
      <c r="O46" s="1154">
        <f t="shared" ref="O46:O57" si="8">$F46*N46</f>
        <v>1.38</v>
      </c>
      <c r="P46" s="1145">
        <f t="shared" ref="P46:P57" si="9">N46*$G46</f>
        <v>64.642445999999993</v>
      </c>
      <c r="Q46" s="34">
        <f>$Q$2*H46</f>
        <v>0</v>
      </c>
    </row>
    <row r="47" spans="1:17" s="36" customFormat="1" ht="15" customHeight="1">
      <c r="A47" s="746"/>
      <c r="B47" s="1153"/>
      <c r="C47" s="4387" t="s">
        <v>354</v>
      </c>
      <c r="D47" s="440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346</v>
      </c>
      <c r="D48" s="4408"/>
      <c r="E48" s="1152">
        <f>IF($C48=0,0,VLOOKUP($C48,'SD3'!$C$24:$O$85,4,FALSE))</f>
        <v>83</v>
      </c>
      <c r="F48" s="1151">
        <f>IF($C48=0,0,VLOOKUP($C48,'SD3'!$C$24:$O$85,12,FALSE))</f>
        <v>0.16</v>
      </c>
      <c r="G48" s="1150">
        <f>IF($C48=0,0,VLOOKUP($C48,'SD3'!$C$24:$O$85,13,FALSE))</f>
        <v>3.7403892799999996</v>
      </c>
      <c r="H48" s="1147">
        <v>2</v>
      </c>
      <c r="I48" s="1146">
        <f t="shared" si="4"/>
        <v>0.32</v>
      </c>
      <c r="J48" s="1145">
        <f t="shared" si="5"/>
        <v>7.4807785599999992</v>
      </c>
      <c r="K48" s="1147">
        <v>2</v>
      </c>
      <c r="L48" s="1149">
        <f t="shared" si="6"/>
        <v>0.32</v>
      </c>
      <c r="M48" s="1148">
        <f t="shared" si="7"/>
        <v>7.4807785599999992</v>
      </c>
      <c r="N48" s="1147">
        <v>2</v>
      </c>
      <c r="O48" s="1146">
        <f t="shared" si="8"/>
        <v>0.32</v>
      </c>
      <c r="P48" s="1145">
        <f t="shared" si="9"/>
        <v>7.4807785599999992</v>
      </c>
      <c r="Q48" s="34"/>
    </row>
    <row r="49" spans="1:17" s="36" customFormat="1" ht="15" customHeight="1">
      <c r="A49" s="746"/>
      <c r="B49" s="1153"/>
      <c r="C49" s="4387" t="s">
        <v>1591</v>
      </c>
      <c r="D49" s="4408"/>
      <c r="E49" s="1152">
        <f>IF($C49=0,0,VLOOKUP($C49,'SD3'!$C$24:$O$85,4,FALSE))</f>
        <v>83</v>
      </c>
      <c r="F49" s="1151">
        <f>IF($C49=0,0,VLOOKUP($C49,'SD3'!$C$24:$O$85,12,FALSE))</f>
        <v>0.22</v>
      </c>
      <c r="G49" s="1150">
        <f>IF($C49=0,0,VLOOKUP($C49,'SD3'!$C$24:$O$85,13,FALSE))</f>
        <v>6.6430352599999996</v>
      </c>
      <c r="H49" s="1147">
        <v>2</v>
      </c>
      <c r="I49" s="1146">
        <f t="shared" si="4"/>
        <v>0.44</v>
      </c>
      <c r="J49" s="1145">
        <f t="shared" si="5"/>
        <v>13.286070519999999</v>
      </c>
      <c r="K49" s="1147">
        <v>2</v>
      </c>
      <c r="L49" s="1149">
        <f t="shared" si="6"/>
        <v>0.44</v>
      </c>
      <c r="M49" s="1148">
        <f t="shared" si="7"/>
        <v>13.286070519999999</v>
      </c>
      <c r="N49" s="1147">
        <v>2</v>
      </c>
      <c r="O49" s="1146">
        <f t="shared" si="8"/>
        <v>0.44</v>
      </c>
      <c r="P49" s="1145">
        <f t="shared" si="9"/>
        <v>13.286070519999999</v>
      </c>
      <c r="Q49" s="34"/>
    </row>
    <row r="50" spans="1:17" s="36" customFormat="1" ht="15" customHeight="1">
      <c r="A50" s="746"/>
      <c r="B50" s="1153"/>
      <c r="C50" s="4403" t="s">
        <v>1748</v>
      </c>
      <c r="D50" s="4404"/>
      <c r="E50" s="1152">
        <f>IF($C50=0,0,VLOOKUP($C50,'SD3'!$C$24:$O$85,4,FALSE))</f>
        <v>120</v>
      </c>
      <c r="F50" s="1151">
        <f>IF($C50=0,0,VLOOKUP($C50,'SD3'!$C$24:$O$85,12,FALSE))</f>
        <v>0.37</v>
      </c>
      <c r="G50" s="1150">
        <f>IF($C50=0,0,VLOOKUP($C50,'SD3'!$C$24:$O$85,13,FALSE))</f>
        <v>11.7573302</v>
      </c>
      <c r="H50" s="3654">
        <f>J6/75</f>
        <v>0.56000000000000005</v>
      </c>
      <c r="I50" s="1146">
        <f t="shared" si="4"/>
        <v>0.20720000000000002</v>
      </c>
      <c r="J50" s="1145">
        <f t="shared" si="5"/>
        <v>6.5841049120000008</v>
      </c>
      <c r="K50" s="3654">
        <f>M6/75</f>
        <v>0.7466666666666667</v>
      </c>
      <c r="L50" s="1149">
        <f t="shared" si="6"/>
        <v>0.27626666666666666</v>
      </c>
      <c r="M50" s="1148">
        <f t="shared" si="7"/>
        <v>8.7788065493333338</v>
      </c>
      <c r="N50" s="3654">
        <f>P6/75</f>
        <v>0.93333333333333335</v>
      </c>
      <c r="O50" s="1146">
        <f t="shared" si="8"/>
        <v>0.34533333333333333</v>
      </c>
      <c r="P50" s="1145">
        <f t="shared" si="9"/>
        <v>10.973508186666667</v>
      </c>
      <c r="Q50" s="34"/>
    </row>
    <row r="51" spans="1:17" s="36" customFormat="1" ht="15" customHeight="1">
      <c r="A51" s="746"/>
      <c r="B51" s="1153"/>
      <c r="C51" s="4387" t="s">
        <v>360</v>
      </c>
      <c r="D51" s="4388"/>
      <c r="E51" s="1152">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IF($T$4=TRUE,0,H11/50)</f>
        <v>0.67200000000000004</v>
      </c>
      <c r="I57" s="1130">
        <f t="shared" si="4"/>
        <v>0.87360000000000004</v>
      </c>
      <c r="J57" s="1129">
        <f t="shared" si="5"/>
        <v>17.452285468799996</v>
      </c>
      <c r="K57" s="1131">
        <f>IF($T$4=TRUE,0,K11/50)</f>
        <v>0.89600000000000013</v>
      </c>
      <c r="L57" s="1132">
        <f t="shared" si="6"/>
        <v>1.1648000000000003</v>
      </c>
      <c r="M57" s="1079">
        <f t="shared" si="7"/>
        <v>23.269713958399997</v>
      </c>
      <c r="N57" s="1131">
        <f>IF($T$4=TRUE,0,N11/50)</f>
        <v>1.1200000000000001</v>
      </c>
      <c r="O57" s="1130">
        <f t="shared" si="8"/>
        <v>1.4560000000000002</v>
      </c>
      <c r="P57" s="1129">
        <f t="shared" si="9"/>
        <v>29.087142447999994</v>
      </c>
      <c r="Q57" s="34"/>
    </row>
    <row r="58" spans="1:17" s="46" customFormat="1" ht="18.75" customHeight="1">
      <c r="A58" s="811"/>
      <c r="B58" s="716" t="s">
        <v>848</v>
      </c>
      <c r="C58" s="811"/>
      <c r="D58" s="811"/>
      <c r="E58" s="811"/>
      <c r="F58" s="34"/>
      <c r="G58" s="1047"/>
      <c r="H58" s="1124"/>
      <c r="I58" s="1123">
        <f>SUM($I$46:$I$57)</f>
        <v>4.7207999999999997</v>
      </c>
      <c r="J58" s="1128"/>
      <c r="K58" s="1127"/>
      <c r="L58" s="1126">
        <f>SUM($L$46:$L$57)</f>
        <v>5.0810666666666666</v>
      </c>
      <c r="M58" s="1125"/>
      <c r="N58" s="1124"/>
      <c r="O58" s="1123">
        <f>SUM($O$46:$O$57)</f>
        <v>5.4413333333333336</v>
      </c>
      <c r="P58" s="1122"/>
      <c r="Q58" s="34"/>
    </row>
    <row r="59" spans="1:17" s="46" customFormat="1" ht="15" customHeight="1">
      <c r="A59" s="811"/>
      <c r="B59" s="1121"/>
      <c r="C59" s="285"/>
      <c r="D59" s="222" t="s">
        <v>847</v>
      </c>
      <c r="E59" s="1120">
        <v>80</v>
      </c>
      <c r="F59" s="285" t="s">
        <v>846</v>
      </c>
      <c r="G59" s="1119"/>
      <c r="H59" s="1115"/>
      <c r="I59" s="1114">
        <f>IF(I58+SUM($I$46:$I$57)*$E$59%&gt;I58+10,I58+10,I58+SUM($I$46:$I$57)*$E$59%)</f>
        <v>8.4974399999999992</v>
      </c>
      <c r="J59" s="1113"/>
      <c r="K59" s="1118"/>
      <c r="L59" s="1117">
        <f>IF(L58+SUM($L$46:$L$57)*$E$59%&gt;L58+10,L58+10,L58+SUM($L$46:$L$57)*$E$59%)</f>
        <v>9.1459200000000003</v>
      </c>
      <c r="M59" s="1116"/>
      <c r="N59" s="1115"/>
      <c r="O59" s="1114">
        <f>IF(O58+SUM($O$46:$O$57)*$E$59%&gt;O58+10,O58+10,O58+SUM($O$46:$O$57)*$E$59%)</f>
        <v>9.7943999999999996</v>
      </c>
      <c r="P59" s="1113"/>
      <c r="Q59" s="34"/>
    </row>
    <row r="60" spans="1:17" s="36" customFormat="1" ht="18.75" customHeight="1">
      <c r="A60" s="746"/>
      <c r="B60" s="716" t="s">
        <v>845</v>
      </c>
      <c r="C60" s="811"/>
      <c r="D60" s="811"/>
      <c r="E60" s="39"/>
      <c r="F60" s="39"/>
      <c r="G60" s="1112"/>
      <c r="H60" s="1104"/>
      <c r="I60" s="1103"/>
      <c r="J60" s="1111">
        <f>IF(J6=0,0,SUM(I62:I64))</f>
        <v>286.38</v>
      </c>
      <c r="K60" s="1107"/>
      <c r="L60" s="1106"/>
      <c r="M60" s="1044">
        <f>IF(M6=0,0,SUM(L62:L64))</f>
        <v>323.34000000000003</v>
      </c>
      <c r="N60" s="1104"/>
      <c r="O60" s="1103"/>
      <c r="P60" s="1111">
        <f>IF(P6=0,0,SUM(O62:O64))</f>
        <v>360.29999999999995</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296</v>
      </c>
      <c r="D62" s="4365"/>
      <c r="E62" s="4365"/>
      <c r="F62" s="1101">
        <f>IF($C62=0,0,VLOOKUP($C62,'SD3'!$C$90:$D$104,2,FALSE))</f>
        <v>175.5</v>
      </c>
      <c r="G62" s="1100">
        <f>(100+$D$61)/100*F62</f>
        <v>175.5</v>
      </c>
      <c r="H62" s="173"/>
      <c r="I62" s="1096">
        <f>$G$62</f>
        <v>175.5</v>
      </c>
      <c r="J62" s="173"/>
      <c r="K62" s="1099"/>
      <c r="L62" s="1098">
        <f>$G$62</f>
        <v>175.5</v>
      </c>
      <c r="M62" s="1016"/>
      <c r="N62" s="1097"/>
      <c r="O62" s="1096">
        <f>$G$62</f>
        <v>175.5</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3.3</v>
      </c>
      <c r="G64" s="1082">
        <f>(100+$D$61)/100*F64</f>
        <v>3.3</v>
      </c>
      <c r="H64" s="1078"/>
      <c r="I64" s="1077">
        <f>H11*$G$64</f>
        <v>110.88</v>
      </c>
      <c r="J64" s="173"/>
      <c r="K64" s="1081"/>
      <c r="L64" s="1080">
        <f>K11*$G$64</f>
        <v>147.84</v>
      </c>
      <c r="M64" s="1079"/>
      <c r="N64" s="1078"/>
      <c r="O64" s="1077">
        <f>N11*$G$64</f>
        <v>184.79999999999998</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3472"/>
      <c r="G67" s="3471"/>
      <c r="H67" s="1066" t="s">
        <v>842</v>
      </c>
      <c r="I67" s="1065" t="s">
        <v>841</v>
      </c>
      <c r="J67" s="1041">
        <f>R68*(H9+H10)*I68%+F68</f>
        <v>0</v>
      </c>
      <c r="K67" s="1068" t="s">
        <v>842</v>
      </c>
      <c r="L67" s="1067" t="s">
        <v>841</v>
      </c>
      <c r="M67" s="1044">
        <f>S68*(K9+K10)*L68%+F68</f>
        <v>74.339999999999975</v>
      </c>
      <c r="N67" s="1066" t="s">
        <v>842</v>
      </c>
      <c r="O67" s="1065" t="s">
        <v>841</v>
      </c>
      <c r="P67" s="1041">
        <f>T68*(N9+N10)*O68%+F68</f>
        <v>0</v>
      </c>
      <c r="Q67" s="34"/>
    </row>
    <row r="68" spans="1:20" s="511" customFormat="1" ht="15" customHeight="1">
      <c r="A68" s="711"/>
      <c r="B68" s="1064"/>
      <c r="C68" s="4393" t="s">
        <v>564</v>
      </c>
      <c r="D68" s="4393"/>
      <c r="E68" s="4393"/>
      <c r="F68" s="1063"/>
      <c r="G68" s="1054" t="s">
        <v>163</v>
      </c>
      <c r="H68" s="1061">
        <v>18</v>
      </c>
      <c r="I68" s="1060"/>
      <c r="J68" s="1059"/>
      <c r="K68" s="1061">
        <v>16</v>
      </c>
      <c r="L68" s="1060">
        <v>50</v>
      </c>
      <c r="M68" s="1062"/>
      <c r="N68" s="1061">
        <v>20</v>
      </c>
      <c r="O68" s="1060"/>
      <c r="P68" s="1059"/>
      <c r="Q68" s="34"/>
      <c r="R68" s="1058">
        <f>IF($H$68=0,0,VLOOKUP($H$68,'SD6'!B8:C151,'SD6'!C1,FALSE))*(1+'SDK1'!O11/100)</f>
        <v>4.0550000000000024</v>
      </c>
      <c r="S68" s="1058">
        <f>IF($K$68=0,0,VLOOKUP($K$68,'SD6'!B8:C151,'SD6'!C1,FALSE))*(1+'SDK1'!O11/100)</f>
        <v>2.6549999999999994</v>
      </c>
      <c r="T68" s="1058">
        <f>IF($N$68=0,0,VLOOKUP($N$68,'SD6'!B8:C151,'SD6'!C1,FALSE))*(1+'SDK1'!O11/100)</f>
        <v>5.4550000000000081</v>
      </c>
    </row>
    <row r="69" spans="1:20" s="511" customFormat="1" ht="18.75" customHeight="1">
      <c r="A69" s="711"/>
      <c r="B69" s="716" t="s">
        <v>839</v>
      </c>
      <c r="C69" s="711"/>
      <c r="D69" s="711"/>
      <c r="E69" s="34"/>
      <c r="F69" s="34"/>
      <c r="G69" s="1047"/>
      <c r="H69" s="1267"/>
      <c r="I69" s="385"/>
      <c r="J69" s="1111">
        <f>H70*$F70/1000</f>
        <v>18.18432</v>
      </c>
      <c r="K69" s="1057"/>
      <c r="L69" s="1056"/>
      <c r="M69" s="1044">
        <f>K70*$F70/1000</f>
        <v>24.245760000000001</v>
      </c>
      <c r="N69" s="1267"/>
      <c r="O69" s="51"/>
      <c r="P69" s="1041">
        <f>N70*$F70/1000</f>
        <v>30.307199999999998</v>
      </c>
      <c r="Q69" s="34"/>
    </row>
    <row r="70" spans="1:20" s="511" customFormat="1" ht="15" customHeight="1">
      <c r="A70" s="711"/>
      <c r="B70" s="772"/>
      <c r="C70" s="771" t="s">
        <v>606</v>
      </c>
      <c r="D70" s="285"/>
      <c r="E70" s="222"/>
      <c r="F70" s="3742">
        <f>'SDK7'!G102</f>
        <v>16</v>
      </c>
      <c r="G70" s="1054" t="s">
        <v>163</v>
      </c>
      <c r="H70" s="1357">
        <f>J7</f>
        <v>1136.52</v>
      </c>
      <c r="I70" s="1359"/>
      <c r="J70" s="1358"/>
      <c r="K70" s="1053">
        <f>M7</f>
        <v>1515.3600000000001</v>
      </c>
      <c r="L70" s="1052"/>
      <c r="M70" s="1051"/>
      <c r="N70" s="1357">
        <f>P7</f>
        <v>1894.1999999999998</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3470"/>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f>(J23+J27+J34+J43+J60+J65+J67+J69+J71)*('SDK1'!$O$59%*$G$75/12)</f>
        <v>8.2389465455066659</v>
      </c>
      <c r="K75" s="513"/>
      <c r="L75" s="522"/>
      <c r="M75" s="1005">
        <f>(M23+M27+M34+M43+M60+M65+M67+M69+M71)*('SDK1'!$O$59%*$G$75/12)</f>
        <v>9.7765092965644449</v>
      </c>
      <c r="N75" s="1007"/>
      <c r="O75" s="1006"/>
      <c r="P75" s="1005">
        <f>(P23+P27+P34+P43+P60+P65+P67+P69+P71)*('SDK1'!$O$59%*$G$75/12)</f>
        <v>10.387572047622221</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H151" s="1354"/>
      <c r="J151" s="1353"/>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2" orientation="portrait" r:id="rId1"/>
      <headerFooter alignWithMargins="0">
        <oddFooter>&amp;L&amp;11LEL Schwäbisch Gmünd&amp;C39&amp;R&amp;11&amp;F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2" orientation="portrait" r:id="rId2"/>
      <headerFooter alignWithMargins="0">
        <oddFooter>&amp;L&amp;11LEL Schwäbisch Gmünd&amp;C39&amp;R&amp;11&amp;F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2" orientation="portrait" r:id="rId3"/>
      <headerFooter alignWithMargins="0">
        <oddFooter>&amp;L&amp;11LEL Schwäbisch Gmünd&amp;C39&amp;R&amp;11&amp;F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showInputMessage="1" showErrorMessage="1" sqref="H14 K14 N14" xr:uid="{00000000-0002-0000-2100-000000000000}">
      <formula1>"ja,nein"</formula1>
    </dataValidation>
    <dataValidation type="list" allowBlank="1" showInputMessage="1" showErrorMessage="1" sqref="H15:H17 K15:K17 N15:N17" xr:uid="{00000000-0002-0000-2100-000001000000}">
      <formula1>"ja,nein"</formula1>
    </dataValidation>
    <dataValidation type="whole" allowBlank="1" showInputMessage="1" showErrorMessage="1" errorTitle="Anteil Erntegut" error="Prozentwert darf nur zwischen 0 und 100 liegen." sqref="O68 L68 I68" xr:uid="{00000000-0002-0000-2100-000002000000}">
      <formula1>0</formula1>
      <formula2>100</formula2>
    </dataValidation>
    <dataValidation type="decimal" allowBlank="1" showInputMessage="1" showErrorMessage="1" errorTitle="Wassergehalt Getreide" error="Zulässig sind nur Werte zwischen 14,1 und 29,0 % Wassergehalt." sqref="H68 K68 N68" xr:uid="{00000000-0002-0000-2100-000003000000}">
      <formula1>14.1</formula1>
      <formula2>29</formula2>
    </dataValidation>
    <dataValidation type="list" allowBlank="1" showInputMessage="1" showErrorMessage="1" errorTitle="Organisationsabh. Ausgleichsl." error="Bitte aus Dropdownliste auswählen." sqref="D19:F19" xr:uid="{00000000-0002-0000-2100-000004000000}">
      <formula1>$C$60:$C$75</formula1>
    </dataValidation>
  </dataValidations>
  <hyperlinks>
    <hyperlink ref="F9" location="'SDK1'!A1" display="Preis ändern" xr:uid="{00000000-0004-0000-2100-000000000000}"/>
  </hyperlinks>
  <printOptions horizontalCentered="1"/>
  <pageMargins left="0.59055118110236227" right="0.59055118110236227" top="0.59055118110236227" bottom="0.59055118110236227" header="0.39370078740157483" footer="0.39370078740157483"/>
  <pageSetup paperSize="9" scale="65" firstPageNumber="32" orientation="portrait" r:id="rId4"/>
  <headerFooter alignWithMargins="0">
    <oddFooter>&amp;L&amp;11LEL Schwäbisch Gmünd&amp;C39&amp;R&amp;11&amp;F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5601" r:id="rId7" name="Check Box 1">
              <controlPr defaultSize="0" autoFill="0" autoLine="0" autoPict="0">
                <anchor moveWithCells="1">
                  <from>
                    <xdr:col>12</xdr:col>
                    <xdr:colOff>289560</xdr:colOff>
                    <xdr:row>3</xdr:row>
                    <xdr:rowOff>0</xdr:rowOff>
                  </from>
                  <to>
                    <xdr:col>13</xdr:col>
                    <xdr:colOff>0</xdr:colOff>
                    <xdr:row>3</xdr:row>
                    <xdr:rowOff>213360</xdr:rowOff>
                  </to>
                </anchor>
              </controlPr>
            </control>
          </mc:Choice>
        </mc:AlternateContent>
        <mc:AlternateContent xmlns:mc="http://schemas.openxmlformats.org/markup-compatibility/2006">
          <mc:Choice Requires="x14">
            <control shapeId="25602" r:id="rId8" name="Check Box 2">
              <controlPr defaultSize="0" autoFill="0" autoLine="0" autoPict="0">
                <anchor moveWithCells="1">
                  <from>
                    <xdr:col>12</xdr:col>
                    <xdr:colOff>289560</xdr:colOff>
                    <xdr:row>2</xdr:row>
                    <xdr:rowOff>45720</xdr:rowOff>
                  </from>
                  <to>
                    <xdr:col>13</xdr:col>
                    <xdr:colOff>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100-000005000000}">
          <x14:formula1>
            <xm:f>'SD2'!$C$11:$C$50</xm:f>
          </x14:formula1>
          <xm:sqref>C14:F17</xm:sqref>
        </x14:dataValidation>
        <x14:dataValidation type="list" allowBlank="1" showInputMessage="1" showErrorMessage="1" errorTitle="Organisationsabh. Ausgleichsl." error="Bitte aus Dropdownliste auswählen." xr:uid="{00000000-0002-0000-2100-000006000000}">
          <x14:formula1>
            <xm:f>'SD2'!$C$60:$C$77</xm:f>
          </x14:formula1>
          <xm:sqref>C19:C21</xm:sqref>
        </x14:dataValidation>
        <x14:dataValidation type="list" allowBlank="1" showInputMessage="1" showErrorMessage="1" errorTitle="Arbeitsgänge" error="Bitte aus Dropdownliste auswählen." xr:uid="{00000000-0002-0000-2100-000007000000}">
          <x14:formula1>
            <xm:f>'SD3'!$C$23:$C$75</xm:f>
          </x14:formula1>
          <xm:sqref>C46:C57 D50:D57</xm:sqref>
        </x14:dataValidation>
        <x14:dataValidation type="list" allowBlank="1" showInputMessage="1" showErrorMessage="1" errorTitle="Lohnmaschinen" error="Bitte aus Dropdownliste auswählen." xr:uid="{00000000-0002-0000-2100-000009000000}">
          <x14:formula1>
            <xm:f>'SD3'!$C$90:$C$104</xm:f>
          </x14:formula1>
          <xm:sqref>C62:E64</xm:sqref>
        </x14:dataValidation>
        <x14:dataValidation type="list" allowBlank="1" showInputMessage="1" showErrorMessage="1" errorTitle="Pflanzenschutzmittel" error="Bitte aus Dropdownliste auswählen." xr:uid="{00000000-0002-0000-2100-00000A000000}">
          <x14:formula1>
            <xm:f>'SDK5'!$K$214:$K$241</xm:f>
          </x14:formula1>
          <xm:sqref>C36:E36 C37:E37 C38:E38 C39:E39 C40:E40 C41:E41 C42:E42</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3">
    <tabColor rgb="FFFFFF00"/>
    <pageSetUpPr fitToPage="1"/>
  </sheetPr>
  <dimension ref="A1:AO218"/>
  <sheetViews>
    <sheetView workbookViewId="0">
      <selection activeCell="N51" sqref="N51"/>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9" width="10.5" style="31" hidden="1" customWidth="1"/>
    <col min="30" max="16384" width="10.5" style="31"/>
  </cols>
  <sheetData>
    <row r="1" spans="1:41" s="1317" customFormat="1" ht="30.45" customHeight="1">
      <c r="A1" s="3740"/>
      <c r="B1" s="258"/>
      <c r="C1" s="1333"/>
      <c r="D1" s="1253"/>
      <c r="E1" s="255"/>
      <c r="F1" s="255"/>
      <c r="G1" s="430"/>
      <c r="H1" s="1328"/>
      <c r="I1" s="3212" t="s">
        <v>1679</v>
      </c>
      <c r="J1" s="3210">
        <f>(J7+J13+J18+J22)-(J23+J27+J34+J43+J60+J65+J67+J69+J71+J75)</f>
        <v>463.68500690421547</v>
      </c>
      <c r="K1" s="4360">
        <f>M1-J1</f>
        <v>310.93466482223857</v>
      </c>
      <c r="L1" s="4360"/>
      <c r="M1" s="3210">
        <f>(M7+M13+M18+M22)-(M23+M27+M34+M43+M60+M65+M67+M69+M71+M75)</f>
        <v>774.61967172645404</v>
      </c>
      <c r="N1" s="4360">
        <f>P1-M1</f>
        <v>335.62984197717151</v>
      </c>
      <c r="O1" s="4360"/>
      <c r="P1" s="3210">
        <f>(P7+P13+P18+P22)-(P23+P27+P34+P43+P60+P65+P67+P69+P71+P75)</f>
        <v>1110.2495137036256</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83</v>
      </c>
      <c r="L2" s="4372"/>
      <c r="M2" s="4372"/>
      <c r="N2" s="4372"/>
      <c r="O2" s="4372"/>
      <c r="P2" s="4372"/>
      <c r="Q2" s="1345">
        <v>0</v>
      </c>
      <c r="AB2" s="3229"/>
    </row>
    <row r="3" spans="1:41" s="1317" customFormat="1" ht="32.4" customHeight="1">
      <c r="A3" s="1321"/>
      <c r="B3" s="4405" t="s">
        <v>1727</v>
      </c>
      <c r="C3" s="4405"/>
      <c r="D3" s="4405"/>
      <c r="E3" s="4405"/>
      <c r="F3" s="4405"/>
      <c r="G3" s="4405"/>
      <c r="H3" s="4405"/>
      <c r="J3" s="4368" t="s">
        <v>886</v>
      </c>
      <c r="K3" s="4369"/>
      <c r="L3" s="4369"/>
      <c r="M3" s="1327"/>
      <c r="N3" s="4373" t="str">
        <f>IF(AND(T3=TRUE,T4=TRUE),"nur 1 Strohnutzung möglich","")</f>
        <v/>
      </c>
      <c r="O3" s="4374"/>
      <c r="P3" s="1326"/>
      <c r="Q3" s="1321"/>
      <c r="T3" s="1343" t="b">
        <v>1</v>
      </c>
    </row>
    <row r="4" spans="1:41" s="1317" customFormat="1" ht="20.25" customHeight="1">
      <c r="A4" s="1321"/>
      <c r="B4" s="309" t="s">
        <v>779</v>
      </c>
      <c r="C4" s="31"/>
      <c r="D4" s="31"/>
      <c r="E4" s="4406" t="s">
        <v>890</v>
      </c>
      <c r="F4" s="4406"/>
      <c r="G4" s="4406"/>
      <c r="H4" s="4406"/>
      <c r="I4" s="4406"/>
      <c r="J4" s="4368" t="s">
        <v>875</v>
      </c>
      <c r="K4" s="4369"/>
      <c r="L4" s="4369"/>
      <c r="M4" s="1323"/>
      <c r="N4" s="4374"/>
      <c r="O4" s="4374"/>
      <c r="P4" s="1322">
        <f>'SDK1'!O3</f>
        <v>2024</v>
      </c>
      <c r="Q4" s="1321"/>
      <c r="T4" s="1343" t="b">
        <v>0</v>
      </c>
      <c r="U4" s="1318"/>
    </row>
    <row r="5" spans="1:41" ht="6" customHeight="1"/>
    <row r="6" spans="1:41" s="1311" customFormat="1" ht="24" customHeight="1">
      <c r="A6" s="41"/>
      <c r="B6" s="1316" t="s">
        <v>832</v>
      </c>
      <c r="C6" s="1315"/>
      <c r="D6" s="1315"/>
      <c r="E6" s="1315"/>
      <c r="F6" s="1315"/>
      <c r="G6" s="1314"/>
      <c r="H6" s="4366" t="s">
        <v>171</v>
      </c>
      <c r="I6" s="4367"/>
      <c r="J6" s="1313">
        <f>M6*0.75</f>
        <v>42</v>
      </c>
      <c r="K6" s="4379" t="s">
        <v>144</v>
      </c>
      <c r="L6" s="4380"/>
      <c r="M6" s="1313">
        <v>56</v>
      </c>
      <c r="N6" s="4366" t="s">
        <v>170</v>
      </c>
      <c r="O6" s="4367"/>
      <c r="P6" s="1312">
        <f>M6*1.25</f>
        <v>70</v>
      </c>
      <c r="Q6" s="49"/>
    </row>
    <row r="7" spans="1:41" s="196" customFormat="1" ht="18.75" customHeight="1">
      <c r="A7" s="40"/>
      <c r="B7" s="245" t="s">
        <v>883</v>
      </c>
      <c r="C7" s="40"/>
      <c r="D7" s="40"/>
      <c r="E7" s="40"/>
      <c r="F7" s="40"/>
      <c r="G7" s="1310"/>
      <c r="H7" s="1307"/>
      <c r="I7" s="1306"/>
      <c r="J7" s="1041">
        <f>SUM(I9:I12)</f>
        <v>1496.46</v>
      </c>
      <c r="K7" s="1309"/>
      <c r="L7" s="1308"/>
      <c r="M7" s="1044">
        <f>SUM(L9:L12)</f>
        <v>1995.28</v>
      </c>
      <c r="N7" s="1307"/>
      <c r="O7" s="1306"/>
      <c r="P7" s="1041">
        <f>SUM(O9:O12)</f>
        <v>2494.1</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'SDK1'!O23</f>
        <v>26</v>
      </c>
      <c r="H9" s="1303">
        <f>J6-H10</f>
        <v>42</v>
      </c>
      <c r="I9" s="1299">
        <f>H9*G9</f>
        <v>1092</v>
      </c>
      <c r="J9" s="37"/>
      <c r="K9" s="1302">
        <f>M6-K10</f>
        <v>56</v>
      </c>
      <c r="L9" s="1301">
        <f>K9*G9</f>
        <v>1456</v>
      </c>
      <c r="M9" s="1280"/>
      <c r="N9" s="1300">
        <f>P6-N10</f>
        <v>70</v>
      </c>
      <c r="O9" s="1299">
        <f>N9*G9</f>
        <v>1820</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404.46000000000004</v>
      </c>
      <c r="S10" s="1288">
        <f>L10+L11+L12</f>
        <v>539.28</v>
      </c>
      <c r="T10" s="1287">
        <f>O10+O11+O12</f>
        <v>674.09999999999991</v>
      </c>
      <c r="W10" s="196" t="s">
        <v>879</v>
      </c>
    </row>
    <row r="11" spans="1:41" s="1268" customFormat="1" ht="15" customHeight="1">
      <c r="A11" s="309"/>
      <c r="B11" s="217"/>
      <c r="C11" s="39" t="s">
        <v>878</v>
      </c>
      <c r="D11" s="309"/>
      <c r="E11" s="1286">
        <v>0.9</v>
      </c>
      <c r="F11" s="39" t="s">
        <v>877</v>
      </c>
      <c r="G11" s="1285">
        <f>'SDK1'!$O$48</f>
        <v>10.7</v>
      </c>
      <c r="H11" s="3151">
        <f>IF(OR($T$3,$T$4)=TRUE,J6*$E$11,0)</f>
        <v>37.800000000000004</v>
      </c>
      <c r="I11" s="3152">
        <f>H11*$G$11</f>
        <v>404.46000000000004</v>
      </c>
      <c r="J11" s="3153"/>
      <c r="K11" s="3154">
        <f>IF(OR($T$3,$T$4)=TRUE,M6*$E$11,0)</f>
        <v>50.4</v>
      </c>
      <c r="L11" s="3155">
        <f>K11*$G$11</f>
        <v>539.28</v>
      </c>
      <c r="M11" s="3156"/>
      <c r="N11" s="3157">
        <f>IF(OR($T$3,$T$4)=TRUE,P6*$E$11,0)</f>
        <v>63</v>
      </c>
      <c r="O11" s="3152">
        <f>N11*$G$11</f>
        <v>674.09999999999991</v>
      </c>
      <c r="P11" s="3158"/>
      <c r="Q11" s="34"/>
      <c r="W11" s="1268" t="s">
        <v>876</v>
      </c>
    </row>
    <row r="12" spans="1:41" s="1268" customFormat="1" ht="15" hidden="1" customHeight="1">
      <c r="A12" s="309"/>
      <c r="B12" s="185"/>
      <c r="C12" s="223" t="s">
        <v>1652</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f>IF(OR(T3=TRUE,T4=TRUE),J6*$E$11,"0")</f>
        <v>37.800000000000004</v>
      </c>
      <c r="Y13" s="1265">
        <f>IF(OR(T3=TRUE,T4=TRUE),M6*$E$11,"0")</f>
        <v>50.4</v>
      </c>
      <c r="Z13" s="1264">
        <f>IF(OR(T3=TRUE,T4=TRUE),P6*$E$11,"0")</f>
        <v>63</v>
      </c>
    </row>
    <row r="14" spans="1:41" s="36" customFormat="1" ht="15" customHeight="1">
      <c r="A14" s="39"/>
      <c r="B14" s="1247"/>
      <c r="C14" s="4365"/>
      <c r="D14" s="4365"/>
      <c r="E14" s="4365"/>
      <c r="F14" s="4365"/>
      <c r="G14" s="1263"/>
      <c r="H14" s="1262" t="s">
        <v>871</v>
      </c>
      <c r="I14" s="2827">
        <f>IF(H14="ja",Q14,0)</f>
        <v>0</v>
      </c>
      <c r="J14" s="39"/>
      <c r="K14" s="1262" t="s">
        <v>871</v>
      </c>
      <c r="L14" s="1098">
        <f>IF(K14="ja",Q14,0)</f>
        <v>0</v>
      </c>
      <c r="M14" s="1016"/>
      <c r="N14" s="1262" t="s">
        <v>871</v>
      </c>
      <c r="O14" s="2827">
        <f>IF(N14="ja",Q14,0)</f>
        <v>0</v>
      </c>
      <c r="P14" s="1013"/>
      <c r="Q14" s="1261">
        <f>IF(C14=0,0,VLOOKUP(C14,'SD2'!$C$11:$O$50,'SD2'!$O$1,FALSE))</f>
        <v>0</v>
      </c>
      <c r="R14" s="1253"/>
      <c r="S14" s="196"/>
      <c r="T14" s="196"/>
      <c r="W14" s="36" t="s">
        <v>236</v>
      </c>
      <c r="X14" s="1260">
        <f>$X$13*F30</f>
        <v>18.900000000000002</v>
      </c>
      <c r="Y14" s="1260">
        <f>$Y$13*F30</f>
        <v>25.2</v>
      </c>
      <c r="Z14" s="1260">
        <f>$Z$13*F30</f>
        <v>31.5</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1013"/>
      <c r="Q15" s="1261">
        <f>IF(C15=0,0,VLOOKUP(C15,'SD2'!$C$11:$O$50,'SD2'!$O$1,FALSE))</f>
        <v>0</v>
      </c>
      <c r="R15" s="1253"/>
      <c r="S15" s="196"/>
      <c r="T15" s="196"/>
      <c r="W15" s="36" t="s">
        <v>685</v>
      </c>
      <c r="X15" s="1260">
        <f>$X$13*F31</f>
        <v>11.340000000000003</v>
      </c>
      <c r="Y15" s="1260">
        <f>$Y$13*F31</f>
        <v>15.120000000000001</v>
      </c>
      <c r="Z15" s="1260">
        <f>$Z$13*F31</f>
        <v>18.900000000000002</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1013"/>
      <c r="Q16" s="1261">
        <f>IF(C16=0,0,VLOOKUP(C16,'SD2'!$C$11:$O$50,'SD2'!$O$1,FALSE))</f>
        <v>0</v>
      </c>
      <c r="R16" s="1253"/>
      <c r="S16" s="196"/>
      <c r="T16" s="196"/>
      <c r="W16" s="36" t="s">
        <v>684</v>
      </c>
      <c r="X16" s="1260">
        <f>$X$13*F32</f>
        <v>64.260000000000005</v>
      </c>
      <c r="Y16" s="1260">
        <f>$Y$13*F32</f>
        <v>85.679999999999993</v>
      </c>
      <c r="Z16" s="1260">
        <f>$Z$13*F32</f>
        <v>107.1</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1013"/>
      <c r="Q17" s="1261">
        <f>IF(C17=0,0,VLOOKUP(C17,'SD2'!$C$11:$O$50,'SD2'!$O$1,FALSE))</f>
        <v>0</v>
      </c>
      <c r="R17" s="1253"/>
      <c r="S17" s="196"/>
      <c r="T17" s="196"/>
      <c r="W17" s="36" t="s">
        <v>230</v>
      </c>
      <c r="X17" s="1260">
        <f>$X$13*F33</f>
        <v>6.048</v>
      </c>
      <c r="Y17" s="1260">
        <f>$Y$13*F33</f>
        <v>8.0639999999999983</v>
      </c>
      <c r="Z17" s="1260">
        <f>$Z$13*F33</f>
        <v>10.079999999999998</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3468"/>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1013"/>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1013"/>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1013"/>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175.75</v>
      </c>
      <c r="K23" s="1046"/>
      <c r="L23" s="1045"/>
      <c r="M23" s="1227">
        <f>SUM(L25:L26)</f>
        <v>175.75</v>
      </c>
      <c r="N23" s="1043"/>
      <c r="O23" s="1042"/>
      <c r="P23" s="1026">
        <f>SUM(O25:O26)</f>
        <v>175.75</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'SDK7'!F53/100</f>
        <v>0.95</v>
      </c>
      <c r="G25" s="1221">
        <f>F25*(100+$D$24)/100</f>
        <v>0.95</v>
      </c>
      <c r="H25" s="1220">
        <v>185</v>
      </c>
      <c r="I25" s="1181">
        <f>H25*$G25</f>
        <v>175.75</v>
      </c>
      <c r="J25" s="39"/>
      <c r="K25" s="1220">
        <f>H25</f>
        <v>185</v>
      </c>
      <c r="L25" s="1023">
        <f>K25*$G25</f>
        <v>175.75</v>
      </c>
      <c r="M25" s="1016"/>
      <c r="N25" s="1220">
        <f>H25</f>
        <v>185</v>
      </c>
      <c r="O25" s="1181">
        <f>N25*$G25</f>
        <v>175.75</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277.0684</v>
      </c>
      <c r="K27" s="1175"/>
      <c r="L27" s="1174"/>
      <c r="M27" s="1044">
        <f>SUM(L30:L32)</f>
        <v>361.49119999999999</v>
      </c>
      <c r="N27" s="1173"/>
      <c r="O27" s="1172"/>
      <c r="P27" s="1041">
        <f>SUM(O30:O32)</f>
        <v>445.91399999999999</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1.6</v>
      </c>
      <c r="F30" s="1201">
        <f>VLOOKUP(K2,'SD8'!B9:L42,7,FALSE)</f>
        <v>0.5</v>
      </c>
      <c r="G30" s="1200">
        <v>20</v>
      </c>
      <c r="H30" s="1198">
        <f>IF(J$6=0,0,(J$6*$E30+$G30+X14))</f>
        <v>106.10000000000001</v>
      </c>
      <c r="I30" s="1181">
        <f>H30*$D30</f>
        <v>126.259</v>
      </c>
      <c r="J30" s="39"/>
      <c r="K30" s="1199">
        <f>IF(M$6=0,0,(M$6*$E30+$G30+Y14))</f>
        <v>134.80000000000001</v>
      </c>
      <c r="L30" s="1023">
        <f>K30*$D30</f>
        <v>160.41200000000001</v>
      </c>
      <c r="M30" s="1016"/>
      <c r="N30" s="1198">
        <f>IF(P$6=0,0,(P$6*$E30+$G30+Z14))</f>
        <v>163.5</v>
      </c>
      <c r="O30" s="1181">
        <f>N30*$D30</f>
        <v>194.565</v>
      </c>
      <c r="P30" s="1145"/>
      <c r="Q30" s="34"/>
    </row>
    <row r="31" spans="1:26" s="36" customFormat="1" ht="15" customHeight="1">
      <c r="A31" s="746"/>
      <c r="B31" s="217"/>
      <c r="C31" s="746" t="s">
        <v>234</v>
      </c>
      <c r="D31" s="1150">
        <f>'SDK1'!O53</f>
        <v>1.2</v>
      </c>
      <c r="E31" s="1201">
        <f>VLOOKUP(K2,'SD8'!B9:L42,4,FALSE)</f>
        <v>0.8</v>
      </c>
      <c r="F31" s="1201">
        <f>VLOOKUP(K2,'SD8'!B9:L42,8,FALSE)</f>
        <v>0.30000000000000004</v>
      </c>
      <c r="G31" s="1200"/>
      <c r="H31" s="1198">
        <f>IF(J$6=0,0,(J$6*$E31+$G31+X15))</f>
        <v>44.940000000000005</v>
      </c>
      <c r="I31" s="1181">
        <f>H31*$D31</f>
        <v>53.928000000000004</v>
      </c>
      <c r="J31" s="39"/>
      <c r="K31" s="1199">
        <f>IF(M$6=0,0,(M$6*$E31+$G31+Y15))</f>
        <v>59.92</v>
      </c>
      <c r="L31" s="1023">
        <f>K31*$D31</f>
        <v>71.903999999999996</v>
      </c>
      <c r="M31" s="1016"/>
      <c r="N31" s="1198">
        <f>IF(P$6=0,0,(P$6*$E31+$G31+Z15))</f>
        <v>74.900000000000006</v>
      </c>
      <c r="O31" s="1181">
        <f>N31*$D31</f>
        <v>89.88000000000001</v>
      </c>
      <c r="P31" s="1145"/>
      <c r="Q31" s="34"/>
    </row>
    <row r="32" spans="1:26" s="36" customFormat="1" ht="15" customHeight="1">
      <c r="A32" s="746"/>
      <c r="B32" s="185"/>
      <c r="C32" s="2791" t="s">
        <v>232</v>
      </c>
      <c r="D32" s="1133">
        <f>'SDK1'!O54</f>
        <v>0.99</v>
      </c>
      <c r="E32" s="1197">
        <f>VLOOKUP(K2,'SD8'!B9:L42,5,FALSE)</f>
        <v>0.8</v>
      </c>
      <c r="F32" s="1197">
        <f>VLOOKUP(K2,'SD8'!B9:L42,9,FALSE)</f>
        <v>1.7</v>
      </c>
      <c r="G32" s="1196"/>
      <c r="H32" s="1194">
        <f>IF(J$6=0,0,(J$6*$E32+$G32+X16))</f>
        <v>97.860000000000014</v>
      </c>
      <c r="I32" s="1177">
        <f>H32*$D32</f>
        <v>96.881400000000014</v>
      </c>
      <c r="J32" s="223"/>
      <c r="K32" s="1195">
        <f>IF(M$6=0,0,(M$6*$E32+$G32+Y16))</f>
        <v>130.47999999999999</v>
      </c>
      <c r="L32" s="1017">
        <f>K32*$D32</f>
        <v>129.17519999999999</v>
      </c>
      <c r="M32" s="1256"/>
      <c r="N32" s="1194">
        <f>IF(P$6=0,0,(P$6*$E32+$G32+Z16))</f>
        <v>163.1</v>
      </c>
      <c r="O32" s="1177">
        <f>N32*$D32</f>
        <v>161.46899999999999</v>
      </c>
      <c r="P32" s="1176"/>
      <c r="Q32" s="34"/>
    </row>
    <row r="33" spans="1:17" s="36" customFormat="1" ht="15" hidden="1" customHeight="1">
      <c r="A33" s="746"/>
      <c r="B33" s="185"/>
      <c r="C33" s="771" t="s">
        <v>230</v>
      </c>
      <c r="D33" s="1133">
        <f>'SDK1'!P55</f>
        <v>0.45</v>
      </c>
      <c r="E33" s="1197">
        <f>VLOOKUP(K2,'SD8'!B9:L42,6,FALSE)</f>
        <v>0.2</v>
      </c>
      <c r="F33" s="1197">
        <f>VLOOKUP(K2,'SD8'!B9:L42,10,FALSE)</f>
        <v>0.15999999999999998</v>
      </c>
      <c r="G33" s="1196"/>
      <c r="H33" s="1194">
        <f>IF(J$6=0,0,(J$6*$E33+$G33+X17))</f>
        <v>14.448</v>
      </c>
      <c r="I33" s="1177">
        <f>H33*$D33</f>
        <v>6.5016000000000007</v>
      </c>
      <c r="J33" s="39"/>
      <c r="K33" s="1195">
        <f>IF(M$6=0,0,(M$6*$E33+$G33+Y17))</f>
        <v>19.263999999999999</v>
      </c>
      <c r="L33" s="1017">
        <f>K33*$D33</f>
        <v>8.6687999999999992</v>
      </c>
      <c r="M33" s="1016"/>
      <c r="N33" s="1194">
        <f>IF(P$6=0,0,(P$6*$E33+$G33+Z17))</f>
        <v>24.08</v>
      </c>
      <c r="O33" s="1177">
        <f>N33*$D33</f>
        <v>10.836</v>
      </c>
      <c r="P33" s="1176"/>
      <c r="Q33" s="34"/>
    </row>
    <row r="34" spans="1:17" s="511" customFormat="1" ht="18.75" customHeight="1">
      <c r="A34" s="711"/>
      <c r="B34" s="716" t="s">
        <v>859</v>
      </c>
      <c r="C34" s="711"/>
      <c r="D34" s="33"/>
      <c r="E34" s="33"/>
      <c r="F34" s="4381" t="s">
        <v>858</v>
      </c>
      <c r="G34" s="4382"/>
      <c r="H34" s="1191"/>
      <c r="I34" s="1190"/>
      <c r="J34" s="1041">
        <f>SUM(I36:I42)</f>
        <v>186.14999999999998</v>
      </c>
      <c r="K34" s="1193"/>
      <c r="L34" s="1192"/>
      <c r="M34" s="1044">
        <f>SUM(L36:L42)</f>
        <v>206.82</v>
      </c>
      <c r="N34" s="1191"/>
      <c r="O34" s="1190"/>
      <c r="P34" s="1041">
        <f>SUM(O36:O42)</f>
        <v>206.82</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516</v>
      </c>
      <c r="D36" s="4412"/>
      <c r="E36" s="4413"/>
      <c r="F36" s="1183">
        <f>IF(C36="",0,VLOOKUP(C36,'SDK5'!C3:AF83,2,FALSE))</f>
        <v>85.5</v>
      </c>
      <c r="G36" s="1183">
        <f t="shared" ref="G36:G42" si="0">F36*(100+$D$35)/100</f>
        <v>85.5</v>
      </c>
      <c r="H36" s="1356">
        <v>0.5</v>
      </c>
      <c r="I36" s="1181">
        <f t="shared" ref="I36:I42" si="1">$G36*H36</f>
        <v>42.75</v>
      </c>
      <c r="J36" s="39"/>
      <c r="K36" s="1356">
        <v>0.5</v>
      </c>
      <c r="L36" s="1023">
        <f t="shared" ref="L36:L42" si="2">$G36*K36</f>
        <v>42.75</v>
      </c>
      <c r="M36" s="1016"/>
      <c r="N36" s="1356">
        <v>0.5</v>
      </c>
      <c r="O36" s="1181">
        <f t="shared" ref="O36:O42" si="3">$G36*N36</f>
        <v>42.75</v>
      </c>
      <c r="P36" s="1185"/>
      <c r="Q36" s="34"/>
    </row>
    <row r="37" spans="1:17" s="36" customFormat="1" ht="15" customHeight="1">
      <c r="A37" s="746"/>
      <c r="B37" s="1021"/>
      <c r="C37" s="4375" t="s">
        <v>552</v>
      </c>
      <c r="D37" s="4410"/>
      <c r="E37" s="4411"/>
      <c r="F37" s="1183">
        <f>IF(C37="",0,VLOOKUP(C37,'SDK5'!C4:AF84,2,FALSE))</f>
        <v>35.700000000000003</v>
      </c>
      <c r="G37" s="1183">
        <f t="shared" si="0"/>
        <v>35.700000000000003</v>
      </c>
      <c r="H37" s="1356">
        <v>1</v>
      </c>
      <c r="I37" s="1181">
        <f t="shared" si="1"/>
        <v>35.700000000000003</v>
      </c>
      <c r="J37" s="39"/>
      <c r="K37" s="1356">
        <v>1</v>
      </c>
      <c r="L37" s="1023">
        <f t="shared" si="2"/>
        <v>35.700000000000003</v>
      </c>
      <c r="M37" s="1016"/>
      <c r="N37" s="1356">
        <v>1</v>
      </c>
      <c r="O37" s="1181">
        <f t="shared" si="3"/>
        <v>35.700000000000003</v>
      </c>
      <c r="P37" s="1145"/>
      <c r="Q37" s="34"/>
    </row>
    <row r="38" spans="1:17" s="36" customFormat="1" ht="15" customHeight="1">
      <c r="A38" s="746"/>
      <c r="B38" s="1184"/>
      <c r="C38" s="4375" t="s">
        <v>506</v>
      </c>
      <c r="D38" s="4410"/>
      <c r="E38" s="4411"/>
      <c r="F38" s="1183">
        <f>IF(C38="",0,VLOOKUP(C38,'SDK5'!C5:AF85,2,FALSE))</f>
        <v>68.900000000000006</v>
      </c>
      <c r="G38" s="1183">
        <f t="shared" si="0"/>
        <v>68.900000000000006</v>
      </c>
      <c r="H38" s="1356"/>
      <c r="I38" s="1181">
        <f t="shared" si="1"/>
        <v>0</v>
      </c>
      <c r="J38" s="39"/>
      <c r="K38" s="1356">
        <v>0.3</v>
      </c>
      <c r="L38" s="1023">
        <f t="shared" si="2"/>
        <v>20.67</v>
      </c>
      <c r="M38" s="1016"/>
      <c r="N38" s="1356">
        <v>0.3</v>
      </c>
      <c r="O38" s="1181">
        <f t="shared" si="3"/>
        <v>20.67</v>
      </c>
      <c r="P38" s="1145"/>
      <c r="Q38" s="34"/>
    </row>
    <row r="39" spans="1:17" s="36" customFormat="1" ht="15" customHeight="1">
      <c r="A39" s="746"/>
      <c r="B39" s="1021"/>
      <c r="C39" s="4375" t="s">
        <v>1482</v>
      </c>
      <c r="D39" s="4410"/>
      <c r="E39" s="4411"/>
      <c r="F39" s="1183">
        <f>IF(C39="",0,VLOOKUP(C39,'SDK5'!C6:AF86,2,FALSE))</f>
        <v>71.8</v>
      </c>
      <c r="G39" s="1183">
        <f t="shared" si="0"/>
        <v>71.8</v>
      </c>
      <c r="H39" s="1356">
        <v>1.5</v>
      </c>
      <c r="I39" s="1181">
        <f t="shared" si="1"/>
        <v>107.69999999999999</v>
      </c>
      <c r="J39" s="39"/>
      <c r="K39" s="1356">
        <v>1.5</v>
      </c>
      <c r="L39" s="1023">
        <f t="shared" si="2"/>
        <v>107.69999999999999</v>
      </c>
      <c r="M39" s="1016"/>
      <c r="N39" s="1356">
        <v>1.5</v>
      </c>
      <c r="O39" s="1181">
        <f t="shared" si="3"/>
        <v>107.69999999999999</v>
      </c>
      <c r="P39" s="1145"/>
      <c r="Q39" s="34"/>
    </row>
    <row r="40" spans="1:17" s="36" customFormat="1" ht="15" customHeight="1">
      <c r="A40" s="746"/>
      <c r="B40" s="1021"/>
      <c r="C40" s="4375"/>
      <c r="D40" s="4375"/>
      <c r="E40" s="4376"/>
      <c r="F40" s="1183">
        <f>IF(C40="",0,VLOOKUP(C40,'SDK5'!C7:AF87,2,FALSE))</f>
        <v>0</v>
      </c>
      <c r="G40" s="1183">
        <f t="shared" si="0"/>
        <v>0</v>
      </c>
      <c r="H40" s="1356"/>
      <c r="I40" s="1181">
        <f t="shared" si="1"/>
        <v>0</v>
      </c>
      <c r="J40" s="39"/>
      <c r="K40" s="1356"/>
      <c r="L40" s="1023">
        <f t="shared" si="2"/>
        <v>0</v>
      </c>
      <c r="M40" s="1016"/>
      <c r="N40" s="1356"/>
      <c r="O40" s="1181">
        <f t="shared" si="3"/>
        <v>0</v>
      </c>
      <c r="P40" s="1145"/>
      <c r="Q40" s="34"/>
    </row>
    <row r="41" spans="1:17" s="36" customFormat="1" ht="15" customHeight="1">
      <c r="A41" s="746"/>
      <c r="B41" s="1021"/>
      <c r="C41" s="4375"/>
      <c r="D41" s="4375"/>
      <c r="E41" s="4376"/>
      <c r="F41" s="1183">
        <f>IF(C41="",0,VLOOKUP(C41,'SDK5'!C8:AF88,2,FALSE))</f>
        <v>0</v>
      </c>
      <c r="G41" s="1183">
        <f t="shared" si="0"/>
        <v>0</v>
      </c>
      <c r="H41" s="1356"/>
      <c r="I41" s="1181">
        <f t="shared" si="1"/>
        <v>0</v>
      </c>
      <c r="J41" s="39"/>
      <c r="K41" s="1356"/>
      <c r="L41" s="1023">
        <f t="shared" si="2"/>
        <v>0</v>
      </c>
      <c r="M41" s="1016"/>
      <c r="N41" s="1356"/>
      <c r="O41" s="1181">
        <f t="shared" si="3"/>
        <v>0</v>
      </c>
      <c r="P41" s="1145"/>
      <c r="Q41" s="34"/>
    </row>
    <row r="42" spans="1:17" s="36" customFormat="1" ht="15" customHeight="1">
      <c r="A42" s="746"/>
      <c r="B42" s="1180"/>
      <c r="C42" s="4361"/>
      <c r="D42" s="4361"/>
      <c r="E42" s="4362"/>
      <c r="F42" s="1179">
        <f>IF(C42="",0,VLOOKUP(C42,'SDK5'!C9:AF89,2,FALSE))</f>
        <v>0</v>
      </c>
      <c r="G42" s="1179">
        <f t="shared" si="0"/>
        <v>0</v>
      </c>
      <c r="H42" s="1355"/>
      <c r="I42" s="1177">
        <f t="shared" si="1"/>
        <v>0</v>
      </c>
      <c r="J42" s="39"/>
      <c r="K42" s="1355"/>
      <c r="L42" s="1017">
        <f t="shared" si="2"/>
        <v>0</v>
      </c>
      <c r="M42" s="1016"/>
      <c r="N42" s="1355"/>
      <c r="O42" s="1177">
        <f t="shared" si="3"/>
        <v>0</v>
      </c>
      <c r="P42" s="1176"/>
      <c r="Q42" s="34"/>
    </row>
    <row r="43" spans="1:17" s="511" customFormat="1" ht="18.75" customHeight="1">
      <c r="A43" s="711"/>
      <c r="B43" s="716" t="s">
        <v>856</v>
      </c>
      <c r="C43" s="711"/>
      <c r="D43" s="711"/>
      <c r="E43" s="711"/>
      <c r="F43" s="711"/>
      <c r="G43" s="1047"/>
      <c r="H43" s="1173"/>
      <c r="I43" s="1172"/>
      <c r="J43" s="1041">
        <f>SUM(J46:J57)</f>
        <v>176.91695640439997</v>
      </c>
      <c r="K43" s="1175"/>
      <c r="L43" s="1174"/>
      <c r="M43" s="1044">
        <f>SUM(M46:M57)</f>
        <v>189.39665437253331</v>
      </c>
      <c r="N43" s="1173"/>
      <c r="O43" s="1172"/>
      <c r="P43" s="1041">
        <f>SUM(P46:P57)</f>
        <v>198.13596306066668</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4"/>
      <c r="D45" s="746"/>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87" t="s">
        <v>1589</v>
      </c>
      <c r="D46" s="4387"/>
      <c r="E46" s="2725">
        <f>IF($C46=0,0,VLOOKUP($C46,'SD3'!$C$24:$O$85,4,FALSE))</f>
        <v>120</v>
      </c>
      <c r="F46" s="1151">
        <f>IF($C46=0,0,VLOOKUP($C46,'SD3'!$C$24:$O$85,12,FALSE))</f>
        <v>1.38</v>
      </c>
      <c r="G46" s="1150">
        <f>IF($C46=0,0,VLOOKUP($C46,'SD3'!$C$24:$O$85,13,FALSE))</f>
        <v>64.642445999999993</v>
      </c>
      <c r="H46" s="1155">
        <v>1</v>
      </c>
      <c r="I46" s="1154">
        <f t="shared" ref="I46:I57" si="4">$F46*H46</f>
        <v>1.38</v>
      </c>
      <c r="J46" s="1145">
        <f t="shared" ref="J46:J57" si="5">H46*$G46</f>
        <v>64.642445999999993</v>
      </c>
      <c r="K46" s="1155">
        <v>1</v>
      </c>
      <c r="L46" s="1156">
        <f t="shared" ref="L46:L57" si="6">$F46*K46</f>
        <v>1.38</v>
      </c>
      <c r="M46" s="1148">
        <f t="shared" ref="M46:M57" si="7">K46*$G46</f>
        <v>64.642445999999993</v>
      </c>
      <c r="N46" s="1155">
        <v>1</v>
      </c>
      <c r="O46" s="1154">
        <f t="shared" ref="O46:O57" si="8">$F46*N46</f>
        <v>1.38</v>
      </c>
      <c r="P46" s="1145">
        <f t="shared" ref="P46:P57" si="9">N46*$G46</f>
        <v>64.642445999999993</v>
      </c>
      <c r="Q46" s="34">
        <f>$Q$2*H46</f>
        <v>0</v>
      </c>
    </row>
    <row r="47" spans="1:17" s="36" customFormat="1" ht="15" customHeight="1">
      <c r="A47" s="746"/>
      <c r="B47" s="1153"/>
      <c r="C47" s="4387" t="s">
        <v>354</v>
      </c>
      <c r="D47" s="4387"/>
      <c r="E47" s="2726">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346</v>
      </c>
      <c r="D48" s="4387"/>
      <c r="E48" s="2726">
        <f>IF($C48=0,0,VLOOKUP($C48,'SD3'!$C$24:$O$85,4,FALSE))</f>
        <v>83</v>
      </c>
      <c r="F48" s="1151">
        <f>IF($C48=0,0,VLOOKUP($C48,'SD3'!$C$24:$O$85,12,FALSE))</f>
        <v>0.16</v>
      </c>
      <c r="G48" s="1150">
        <f>IF($C48=0,0,VLOOKUP($C48,'SD3'!$C$24:$O$85,13,FALSE))</f>
        <v>3.7403892799999996</v>
      </c>
      <c r="H48" s="1147">
        <v>2</v>
      </c>
      <c r="I48" s="1146">
        <f t="shared" si="4"/>
        <v>0.32</v>
      </c>
      <c r="J48" s="1145">
        <f t="shared" si="5"/>
        <v>7.4807785599999992</v>
      </c>
      <c r="K48" s="1147">
        <v>3</v>
      </c>
      <c r="L48" s="1149">
        <f t="shared" si="6"/>
        <v>0.48</v>
      </c>
      <c r="M48" s="1148">
        <f t="shared" si="7"/>
        <v>11.22116784</v>
      </c>
      <c r="N48" s="1147">
        <v>3</v>
      </c>
      <c r="O48" s="1146">
        <f t="shared" si="8"/>
        <v>0.48</v>
      </c>
      <c r="P48" s="1145">
        <f t="shared" si="9"/>
        <v>11.22116784</v>
      </c>
      <c r="Q48" s="34"/>
    </row>
    <row r="49" spans="1:17" s="36" customFormat="1" ht="15" customHeight="1">
      <c r="A49" s="746"/>
      <c r="B49" s="1153"/>
      <c r="C49" s="4387" t="s">
        <v>1591</v>
      </c>
      <c r="D49" s="4387"/>
      <c r="E49" s="2726">
        <f>IF($C49=0,0,VLOOKUP($C49,'SD3'!$C$24:$O$85,4,FALSE))</f>
        <v>83</v>
      </c>
      <c r="F49" s="1151">
        <f>IF($C49=0,0,VLOOKUP($C49,'SD3'!$C$24:$O$85,12,FALSE))</f>
        <v>0.22</v>
      </c>
      <c r="G49" s="1150">
        <f>IF($C49=0,0,VLOOKUP($C49,'SD3'!$C$24:$O$85,13,FALSE))</f>
        <v>6.6430352599999996</v>
      </c>
      <c r="H49" s="1147">
        <v>3</v>
      </c>
      <c r="I49" s="1146">
        <f t="shared" si="4"/>
        <v>0.66</v>
      </c>
      <c r="J49" s="1145">
        <f t="shared" si="5"/>
        <v>19.92910578</v>
      </c>
      <c r="K49" s="1147">
        <v>3</v>
      </c>
      <c r="L49" s="1149">
        <f t="shared" si="6"/>
        <v>0.66</v>
      </c>
      <c r="M49" s="1148">
        <f t="shared" si="7"/>
        <v>19.92910578</v>
      </c>
      <c r="N49" s="1147">
        <v>3</v>
      </c>
      <c r="O49" s="1146">
        <f t="shared" si="8"/>
        <v>0.66</v>
      </c>
      <c r="P49" s="1145">
        <f t="shared" si="9"/>
        <v>19.92910578</v>
      </c>
      <c r="Q49" s="34"/>
    </row>
    <row r="50" spans="1:17" s="36" customFormat="1" ht="15" customHeight="1">
      <c r="A50" s="746"/>
      <c r="B50" s="1153"/>
      <c r="C50" s="4403" t="s">
        <v>1748</v>
      </c>
      <c r="D50" s="4403"/>
      <c r="E50" s="2726">
        <f>IF($C50=0,0,VLOOKUP($C50,'SD3'!$C$24:$O$85,4,FALSE))</f>
        <v>120</v>
      </c>
      <c r="F50" s="1151">
        <f>IF($C50=0,0,VLOOKUP($C50,'SD3'!$C$24:$O$85,12,FALSE))</f>
        <v>0.37</v>
      </c>
      <c r="G50" s="1150">
        <f>IF($C50=0,0,VLOOKUP($C50,'SD3'!$C$24:$O$85,13,FALSE))</f>
        <v>11.7573302</v>
      </c>
      <c r="H50" s="3654">
        <f>J6/75</f>
        <v>0.56000000000000005</v>
      </c>
      <c r="I50" s="1146">
        <f t="shared" si="4"/>
        <v>0.20720000000000002</v>
      </c>
      <c r="J50" s="1145">
        <f t="shared" si="5"/>
        <v>6.5841049120000008</v>
      </c>
      <c r="K50" s="3654">
        <f>M6/75</f>
        <v>0.7466666666666667</v>
      </c>
      <c r="L50" s="1149">
        <f t="shared" si="6"/>
        <v>0.27626666666666666</v>
      </c>
      <c r="M50" s="1148">
        <f t="shared" si="7"/>
        <v>8.7788065493333338</v>
      </c>
      <c r="N50" s="3654">
        <f>P6/75</f>
        <v>0.93333333333333335</v>
      </c>
      <c r="O50" s="1146">
        <f t="shared" si="8"/>
        <v>0.34533333333333333</v>
      </c>
      <c r="P50" s="1145">
        <f t="shared" si="9"/>
        <v>10.973508186666667</v>
      </c>
      <c r="Q50" s="34"/>
    </row>
    <row r="51" spans="1:17" s="36" customFormat="1" ht="15" customHeight="1">
      <c r="A51" s="746"/>
      <c r="B51" s="1153"/>
      <c r="C51" s="4387" t="s">
        <v>360</v>
      </c>
      <c r="D51" s="4387" t="s">
        <v>360</v>
      </c>
      <c r="E51" s="2726">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row>
    <row r="52" spans="1:17" s="36" customFormat="1" ht="15" customHeight="1">
      <c r="A52" s="746"/>
      <c r="B52" s="1153"/>
      <c r="C52" s="4387"/>
      <c r="D52" s="4387"/>
      <c r="E52" s="2726">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7"/>
      <c r="E53" s="2726">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7"/>
      <c r="E54" s="2726">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7"/>
      <c r="E55" s="2726">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4"/>
      <c r="E56" s="2727">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IF($T$4=TRUE,0,H11/50)</f>
        <v>0.75600000000000012</v>
      </c>
      <c r="I57" s="1130">
        <f t="shared" si="4"/>
        <v>0.98280000000000023</v>
      </c>
      <c r="J57" s="1129">
        <f t="shared" si="5"/>
        <v>19.633821152399999</v>
      </c>
      <c r="K57" s="1131">
        <f>IF($T$4=TRUE,0,K11/50)</f>
        <v>1.008</v>
      </c>
      <c r="L57" s="1132">
        <f t="shared" si="6"/>
        <v>1.3104</v>
      </c>
      <c r="M57" s="1079">
        <f t="shared" si="7"/>
        <v>26.178428203199992</v>
      </c>
      <c r="N57" s="1131">
        <f>IF($T$4=TRUE,0,N11/50)</f>
        <v>1.26</v>
      </c>
      <c r="O57" s="1130">
        <f t="shared" si="8"/>
        <v>1.6380000000000001</v>
      </c>
      <c r="P57" s="1129">
        <f t="shared" si="9"/>
        <v>32.723035253999996</v>
      </c>
      <c r="Q57" s="34"/>
    </row>
    <row r="58" spans="1:17" s="46" customFormat="1" ht="18.75" customHeight="1">
      <c r="A58" s="811"/>
      <c r="B58" s="716" t="s">
        <v>848</v>
      </c>
      <c r="C58" s="811"/>
      <c r="D58" s="811"/>
      <c r="E58" s="811"/>
      <c r="F58" s="34"/>
      <c r="G58" s="1047"/>
      <c r="H58" s="1124"/>
      <c r="I58" s="1123">
        <f>SUM($I$46:$I$57)</f>
        <v>5.05</v>
      </c>
      <c r="J58" s="1128"/>
      <c r="K58" s="1127"/>
      <c r="L58" s="1126">
        <f>SUM($L$46:$L$57)</f>
        <v>5.6066666666666674</v>
      </c>
      <c r="M58" s="1125"/>
      <c r="N58" s="1124"/>
      <c r="O58" s="1123">
        <f>SUM($O$46:$O$57)</f>
        <v>6.0033333333333339</v>
      </c>
      <c r="P58" s="1122"/>
      <c r="Q58" s="34"/>
    </row>
    <row r="59" spans="1:17" s="46" customFormat="1" ht="15" customHeight="1">
      <c r="A59" s="811"/>
      <c r="B59" s="1121"/>
      <c r="C59" s="285"/>
      <c r="D59" s="222" t="s">
        <v>847</v>
      </c>
      <c r="E59" s="1120">
        <v>80</v>
      </c>
      <c r="F59" s="285" t="s">
        <v>846</v>
      </c>
      <c r="G59" s="1119"/>
      <c r="H59" s="1115"/>
      <c r="I59" s="1114">
        <f>IF(I58+SUM($I$46:$I$57)*$E$59%&gt;I58+10,I58+10,I58+SUM($I$46:$I$57)*$E$59%)</f>
        <v>9.09</v>
      </c>
      <c r="J59" s="1113"/>
      <c r="K59" s="1118"/>
      <c r="L59" s="1117">
        <f>IF(L58+SUM($L$46:$L$57)*$E$59%&gt;L58+10,L58+10,L58+SUM($L$46:$L$57)*$E$59%)</f>
        <v>10.092000000000002</v>
      </c>
      <c r="M59" s="1116"/>
      <c r="N59" s="1115"/>
      <c r="O59" s="1114">
        <f>IF(O58+SUM($O$46:$O$57)*$E$59%&gt;O58+10,O58+10,O58+SUM($O$46:$O$57)*$E$59%)</f>
        <v>10.806000000000001</v>
      </c>
      <c r="P59" s="1113"/>
      <c r="Q59" s="34"/>
    </row>
    <row r="60" spans="1:17" s="36" customFormat="1" ht="18.75" customHeight="1">
      <c r="A60" s="746"/>
      <c r="B60" s="716" t="s">
        <v>845</v>
      </c>
      <c r="C60" s="811"/>
      <c r="D60" s="811"/>
      <c r="E60" s="39"/>
      <c r="F60" s="39"/>
      <c r="G60" s="1112"/>
      <c r="H60" s="1104"/>
      <c r="I60" s="1103"/>
      <c r="J60" s="1111">
        <f>IF(J6=0,0,SUM(I62:I64))</f>
        <v>300.24</v>
      </c>
      <c r="K60" s="1107"/>
      <c r="L60" s="1106"/>
      <c r="M60" s="1044">
        <f>IF(M6=0,0,SUM(L62:L64))</f>
        <v>341.82</v>
      </c>
      <c r="N60" s="1104"/>
      <c r="O60" s="1103"/>
      <c r="P60" s="1111">
        <f>IF(P6=0,0,SUM(O62:O64))</f>
        <v>383.4</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296</v>
      </c>
      <c r="D62" s="4365"/>
      <c r="E62" s="4365"/>
      <c r="F62" s="1101">
        <f>IF($C62=0,0,VLOOKUP($C62,'SD3'!$C$90:$D$104,2,FALSE))</f>
        <v>175.5</v>
      </c>
      <c r="G62" s="1100">
        <f>(100+$D$61)/100*F62</f>
        <v>175.5</v>
      </c>
      <c r="H62" s="173"/>
      <c r="I62" s="1096">
        <f>$G$62</f>
        <v>175.5</v>
      </c>
      <c r="J62" s="173"/>
      <c r="K62" s="1099"/>
      <c r="L62" s="1098">
        <f>$G$62</f>
        <v>175.5</v>
      </c>
      <c r="M62" s="1016"/>
      <c r="N62" s="1097"/>
      <c r="O62" s="1096">
        <f>$G$62</f>
        <v>175.5</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3.3</v>
      </c>
      <c r="G64" s="1082">
        <f>(100+$D$61)/100*F64</f>
        <v>3.3</v>
      </c>
      <c r="H64" s="1078"/>
      <c r="I64" s="1077">
        <f>H11*$G$64</f>
        <v>124.74000000000001</v>
      </c>
      <c r="J64" s="173"/>
      <c r="K64" s="1081"/>
      <c r="L64" s="1080">
        <f>K11*$G$64</f>
        <v>166.32</v>
      </c>
      <c r="M64" s="1079"/>
      <c r="N64" s="1078"/>
      <c r="O64" s="1077">
        <f>N11*$G$64</f>
        <v>207.89999999999998</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55.754999999999988</v>
      </c>
      <c r="K67" s="1068" t="s">
        <v>842</v>
      </c>
      <c r="L67" s="1067" t="s">
        <v>841</v>
      </c>
      <c r="M67" s="1044">
        <f>S68*(K9+K10)*L68%+F68</f>
        <v>74.339999999999975</v>
      </c>
      <c r="N67" s="1066" t="s">
        <v>842</v>
      </c>
      <c r="O67" s="1065" t="s">
        <v>841</v>
      </c>
      <c r="P67" s="1041">
        <f>T68*(N9+N10)*O68%+F68</f>
        <v>92.924999999999983</v>
      </c>
      <c r="Q67" s="34"/>
    </row>
    <row r="68" spans="1:20" s="511" customFormat="1" ht="15" customHeight="1">
      <c r="A68" s="711"/>
      <c r="B68" s="1064"/>
      <c r="C68" s="4393" t="s">
        <v>564</v>
      </c>
      <c r="D68" s="4393"/>
      <c r="E68" s="4393"/>
      <c r="F68" s="1063"/>
      <c r="G68" s="1054" t="s">
        <v>163</v>
      </c>
      <c r="H68" s="1061">
        <v>16</v>
      </c>
      <c r="I68" s="1060">
        <v>50</v>
      </c>
      <c r="J68" s="1059"/>
      <c r="K68" s="1061">
        <v>16</v>
      </c>
      <c r="L68" s="1060">
        <v>50</v>
      </c>
      <c r="M68" s="1062"/>
      <c r="N68" s="1061">
        <v>16</v>
      </c>
      <c r="O68" s="1060">
        <v>50</v>
      </c>
      <c r="P68" s="1059"/>
      <c r="Q68" s="34"/>
      <c r="R68" s="1058">
        <f>IF($H$68=0,0,VLOOKUP($H$68,'SD6'!B8:C151,'SD6'!C1,FALSE))*(1+'SDK1'!O11/100)</f>
        <v>2.6549999999999994</v>
      </c>
      <c r="S68" s="1058">
        <f>IF($K$68=0,0,VLOOKUP($K$68,'SD6'!B8:C151,'SD6'!C1,FALSE))*(1+'SDK1'!O11/100)</f>
        <v>2.6549999999999994</v>
      </c>
      <c r="T68" s="1058">
        <f>IF($N$68=0,0,VLOOKUP($N$68,'SD6'!B8:C151,'SD6'!C1,FALSE))*(1+'SDK1'!O11/100)</f>
        <v>2.6549999999999994</v>
      </c>
    </row>
    <row r="69" spans="1:20" s="511" customFormat="1" ht="18.75" customHeight="1">
      <c r="A69" s="711"/>
      <c r="B69" s="716" t="s">
        <v>839</v>
      </c>
      <c r="C69" s="711"/>
      <c r="D69" s="711"/>
      <c r="E69" s="34"/>
      <c r="F69" s="34"/>
      <c r="G69" s="1047"/>
      <c r="H69" s="38"/>
      <c r="I69" s="51"/>
      <c r="J69" s="1041">
        <f>H70*$F70/1000</f>
        <v>23.943360000000002</v>
      </c>
      <c r="K69" s="1057"/>
      <c r="L69" s="1056"/>
      <c r="M69" s="1044">
        <f>K70*$F70/1000</f>
        <v>31.924479999999999</v>
      </c>
      <c r="N69" s="38"/>
      <c r="O69" s="51"/>
      <c r="P69" s="1041">
        <f>N70*$F70/1000</f>
        <v>39.9056</v>
      </c>
      <c r="Q69" s="34"/>
    </row>
    <row r="70" spans="1:20" s="511" customFormat="1" ht="15" customHeight="1">
      <c r="A70" s="711"/>
      <c r="B70" s="772"/>
      <c r="C70" s="771" t="s">
        <v>606</v>
      </c>
      <c r="D70" s="285"/>
      <c r="E70" s="222"/>
      <c r="F70" s="3742">
        <f>'SDK7'!G101</f>
        <v>16</v>
      </c>
      <c r="G70" s="1054" t="s">
        <v>163</v>
      </c>
      <c r="H70" s="1357">
        <f>J7</f>
        <v>1496.46</v>
      </c>
      <c r="I70" s="1049"/>
      <c r="J70" s="1048"/>
      <c r="K70" s="1053">
        <f>M7</f>
        <v>1995.28</v>
      </c>
      <c r="L70" s="1052"/>
      <c r="M70" s="1051"/>
      <c r="N70" s="1357">
        <f>P7</f>
        <v>2494.1</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3470"/>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7</v>
      </c>
      <c r="H75" s="1007"/>
      <c r="I75" s="1008"/>
      <c r="J75" s="1005">
        <f>(J23+J27+J34+J43+J60+J65+J67+J69+J71)*('SDK1'!$O$59%*$G$75/12)</f>
        <v>13.951276691384665</v>
      </c>
      <c r="K75" s="513"/>
      <c r="L75" s="522"/>
      <c r="M75" s="1005">
        <f>(M23+M27+M34+M43+M60+M65+M67+M69+M71)*('SDK1'!$O$59%*$G$75/12)</f>
        <v>16.117993901012884</v>
      </c>
      <c r="N75" s="1007"/>
      <c r="O75" s="1006"/>
      <c r="P75" s="1005">
        <f>(P23+P27+P34+P43+P60+P65+P67+P69+P71)*('SDK1'!$O$59%*$G$75/12)</f>
        <v>17.999923235707779</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0" orientation="portrait" r:id="rId1"/>
      <headerFooter alignWithMargins="0">
        <oddFooter>&amp;L&amp;11LEL Schwäbisch Gmünd&amp;C37&amp;R&amp;11&amp;F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0" orientation="portrait" r:id="rId2"/>
      <headerFooter alignWithMargins="0">
        <oddFooter>&amp;L&amp;11LEL Schwäbisch Gmünd&amp;C37&amp;R&amp;11&amp;F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0" orientation="portrait" r:id="rId3"/>
      <headerFooter alignWithMargins="0">
        <oddFooter>&amp;L&amp;11LEL Schwäbisch Gmünd&amp;C37&amp;R&amp;11&amp;F</oddFooter>
      </headerFooter>
    </customSheetView>
  </customSheetViews>
  <mergeCells count="50">
    <mergeCell ref="B75:C75"/>
    <mergeCell ref="C73:E73"/>
    <mergeCell ref="C51:D51"/>
    <mergeCell ref="C52:D52"/>
    <mergeCell ref="C53:D53"/>
    <mergeCell ref="C54:D54"/>
    <mergeCell ref="C74:E74"/>
    <mergeCell ref="C55:D55"/>
    <mergeCell ref="C68:E68"/>
    <mergeCell ref="C62:E62"/>
    <mergeCell ref="C64:E64"/>
    <mergeCell ref="C57:D57"/>
    <mergeCell ref="C63:E63"/>
    <mergeCell ref="C56:D56"/>
    <mergeCell ref="K2:P2"/>
    <mergeCell ref="E22:G22"/>
    <mergeCell ref="F34:G34"/>
    <mergeCell ref="N6:O6"/>
    <mergeCell ref="D25:E25"/>
    <mergeCell ref="J3:L3"/>
    <mergeCell ref="E10:F10"/>
    <mergeCell ref="C20:F20"/>
    <mergeCell ref="C21:F21"/>
    <mergeCell ref="B3:H3"/>
    <mergeCell ref="K1:L1"/>
    <mergeCell ref="C36:E36"/>
    <mergeCell ref="C40:E40"/>
    <mergeCell ref="N3:O4"/>
    <mergeCell ref="J4:L4"/>
    <mergeCell ref="F23:G23"/>
    <mergeCell ref="D26:E26"/>
    <mergeCell ref="C14:F14"/>
    <mergeCell ref="C15:F15"/>
    <mergeCell ref="K6:L6"/>
    <mergeCell ref="N1:O1"/>
    <mergeCell ref="H6:I6"/>
    <mergeCell ref="C19:F19"/>
    <mergeCell ref="E4:I4"/>
    <mergeCell ref="C16:F16"/>
    <mergeCell ref="C17:F17"/>
    <mergeCell ref="C37:E37"/>
    <mergeCell ref="C38:E38"/>
    <mergeCell ref="C39:E39"/>
    <mergeCell ref="C46:D46"/>
    <mergeCell ref="C47:D47"/>
    <mergeCell ref="C50:D50"/>
    <mergeCell ref="C48:D48"/>
    <mergeCell ref="C42:E42"/>
    <mergeCell ref="C41:E41"/>
    <mergeCell ref="C49:D49"/>
  </mergeCells>
  <dataValidations count="5">
    <dataValidation type="list" showInputMessage="1" showErrorMessage="1" sqref="H14 K14 N14" xr:uid="{00000000-0002-0000-2000-000000000000}">
      <formula1>"ja,nein"</formula1>
    </dataValidation>
    <dataValidation type="list" allowBlank="1" showInputMessage="1" showErrorMessage="1" sqref="H15:H17 K15:K17 N15:N17" xr:uid="{00000000-0002-0000-2000-000001000000}">
      <formula1>"ja,nein"</formula1>
    </dataValidation>
    <dataValidation type="whole" allowBlank="1" showInputMessage="1" showErrorMessage="1" errorTitle="Anteil Erntegut" error="Prozentwert darf nur zwischen 0 und 100 liegen." sqref="O68 L68 I68" xr:uid="{00000000-0002-0000-2000-000002000000}">
      <formula1>0</formula1>
      <formula2>100</formula2>
    </dataValidation>
    <dataValidation type="decimal" allowBlank="1" showInputMessage="1" showErrorMessage="1" errorTitle="Wassergehalt Getreide" error="Zulässig sind nur Werte zwischen 14,1 und 29,0 % Wassergehalt." sqref="H68 K68 N68" xr:uid="{00000000-0002-0000-2000-000003000000}">
      <formula1>14.1</formula1>
      <formula2>29</formula2>
    </dataValidation>
    <dataValidation type="list" allowBlank="1" showInputMessage="1" showErrorMessage="1" errorTitle="Organisationsabh. Ausgleichsl." error="Bitte aus Dropdownliste auswählen." sqref="D19:F19" xr:uid="{00000000-0002-0000-2000-000004000000}">
      <formula1>$C$60:$C$75</formula1>
    </dataValidation>
  </dataValidations>
  <hyperlinks>
    <hyperlink ref="F9" location="'SDK1'!A1" display="Preis ändern" xr:uid="{00000000-0004-0000-2000-000000000000}"/>
  </hyperlinks>
  <printOptions horizontalCentered="1"/>
  <pageMargins left="0.59055118110236227" right="0.59055118110236227" top="0.59055118110236227" bottom="0.59055118110236227" header="0.39370078740157483" footer="0.39370078740157483"/>
  <pageSetup paperSize="9" scale="65" firstPageNumber="30" orientation="portrait" r:id="rId4"/>
  <headerFooter alignWithMargins="0">
    <oddFooter>&amp;L&amp;11LEL Schwäbisch Gmünd&amp;C37&amp;R&amp;11&amp;F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4577" r:id="rId7" name="Check Box 1">
              <controlPr defaultSize="0" autoFill="0" autoLine="0" autoPict="0">
                <anchor moveWithCells="1">
                  <from>
                    <xdr:col>12</xdr:col>
                    <xdr:colOff>289560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4578" r:id="rId8" name="Check Box 2">
              <controlPr defaultSize="0" autoFill="0" autoLine="0" autoPict="0">
                <anchor moveWithCells="1">
                  <from>
                    <xdr:col>12</xdr:col>
                    <xdr:colOff>289560</xdr:colOff>
                    <xdr:row>2</xdr:row>
                    <xdr:rowOff>45720</xdr:rowOff>
                  </from>
                  <to>
                    <xdr:col>13</xdr:col>
                    <xdr:colOff>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000-000005000000}">
          <x14:formula1>
            <xm:f>'SD2'!$C$11:$C$50</xm:f>
          </x14:formula1>
          <xm:sqref>C14:F17</xm:sqref>
        </x14:dataValidation>
        <x14:dataValidation type="list" allowBlank="1" showInputMessage="1" showErrorMessage="1" errorTitle="Organisationsabh. Ausgleichsl." error="Bitte aus Dropdownliste auswählen." xr:uid="{00000000-0002-0000-2000-000006000000}">
          <x14:formula1>
            <xm:f>'SD2'!$C$60:$C$77</xm:f>
          </x14:formula1>
          <xm:sqref>C19:C21</xm:sqref>
        </x14:dataValidation>
        <x14:dataValidation type="list" allowBlank="1" showInputMessage="1" showErrorMessage="1" errorTitle="Arbeitsgänge" error="Bitte aus Dropdownliste auswählen." xr:uid="{00000000-0002-0000-2000-000007000000}">
          <x14:formula1>
            <xm:f>'SD3'!$C$23:$C$75</xm:f>
          </x14:formula1>
          <xm:sqref>C46:D57</xm:sqref>
        </x14:dataValidation>
        <x14:dataValidation type="list" allowBlank="1" showInputMessage="1" showErrorMessage="1" errorTitle="Lohnmaschinen" error="Bitte aus Dropdownliste auswählen." xr:uid="{00000000-0002-0000-2000-000008000000}">
          <x14:formula1>
            <xm:f>'SD3'!$C$90:$C$104</xm:f>
          </x14:formula1>
          <xm:sqref>C62:E64</xm:sqref>
        </x14:dataValidation>
        <x14:dataValidation type="list" allowBlank="1" showInputMessage="1" showErrorMessage="1" errorTitle="Pflanzenschutzmittel" error="Bitte aus Dropdownliste auswählen." xr:uid="{00000000-0002-0000-2000-000009000000}">
          <x14:formula1>
            <xm:f>'SDK5'!$G$214:$G$242</xm:f>
          </x14:formula1>
          <xm:sqref>C36:E36 C37:E37 C38:E38 C39:E39 C40:E40 C41:E41 C42:E42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5">
    <tabColor rgb="FFFFFF00"/>
    <pageSetUpPr fitToPage="1"/>
  </sheetPr>
  <dimension ref="A1:AO218"/>
  <sheetViews>
    <sheetView workbookViewId="0">
      <selection activeCell="N51" sqref="N51"/>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7" width="10.5" style="31" hidden="1" customWidth="1"/>
    <col min="28" max="29" width="0" style="31" hidden="1" customWidth="1"/>
    <col min="30" max="16384" width="10.5" style="31"/>
  </cols>
  <sheetData>
    <row r="1" spans="1:41" s="1317" customFormat="1" ht="30.45" customHeight="1">
      <c r="A1" s="3740"/>
      <c r="B1" s="258"/>
      <c r="C1" s="1333"/>
      <c r="D1" s="1253"/>
      <c r="E1" s="255"/>
      <c r="F1" s="255"/>
      <c r="G1" s="430"/>
      <c r="H1" s="1328"/>
      <c r="I1" s="3212" t="s">
        <v>1679</v>
      </c>
      <c r="J1" s="3210">
        <f>(J7+J13+J18+J22)-(J23+J27+J34+J43+J60+J65+J67+J69+J71+J75)</f>
        <v>145.18166526096661</v>
      </c>
      <c r="K1" s="4360">
        <f>M1-J1</f>
        <v>197.52867565554425</v>
      </c>
      <c r="L1" s="4360"/>
      <c r="M1" s="3210">
        <f>(M7+M13+M18+M22)-(M23+M27+M34+M43+M60+M65+M67+M69+M71+M75)</f>
        <v>342.71034091651086</v>
      </c>
      <c r="N1" s="4360">
        <f>P1-M1</f>
        <v>197.5286756555447</v>
      </c>
      <c r="O1" s="4360"/>
      <c r="P1" s="3210">
        <f>(P7+P13+P18+P22)-(P23+P27+P34+P43+P60+P65+P67+P69+P71+P75)</f>
        <v>540.23901657205556</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199</v>
      </c>
      <c r="L2" s="4372"/>
      <c r="M2" s="4372"/>
      <c r="N2" s="4372"/>
      <c r="O2" s="4372"/>
      <c r="P2" s="4372"/>
      <c r="Q2" s="1345">
        <v>0</v>
      </c>
    </row>
    <row r="3" spans="1:41" s="1317" customFormat="1" ht="32.4" customHeight="1">
      <c r="A3" s="1321"/>
      <c r="B3" s="4405" t="s">
        <v>1727</v>
      </c>
      <c r="C3" s="4405"/>
      <c r="D3" s="4405"/>
      <c r="E3" s="4405"/>
      <c r="F3" s="4405"/>
      <c r="G3" s="4405"/>
      <c r="H3" s="4405"/>
      <c r="J3" s="4368" t="s">
        <v>886</v>
      </c>
      <c r="K3" s="4369"/>
      <c r="L3" s="4369"/>
      <c r="M3" s="1327"/>
      <c r="N3" s="4373" t="str">
        <f>IF(AND(T3=TRUE,T4=TRUE),"nur 1 Strohnutzung möglich","")</f>
        <v/>
      </c>
      <c r="O3" s="4374"/>
      <c r="P3" s="1326"/>
      <c r="Q3" s="1321"/>
      <c r="T3" s="1343" t="b">
        <v>1</v>
      </c>
    </row>
    <row r="4" spans="1:41" s="1317" customFormat="1" ht="20.25" customHeight="1">
      <c r="A4" s="1321"/>
      <c r="B4" s="309" t="s">
        <v>779</v>
      </c>
      <c r="C4" s="31"/>
      <c r="D4" s="31"/>
      <c r="E4" s="4406" t="s">
        <v>890</v>
      </c>
      <c r="F4" s="4406"/>
      <c r="G4" s="4406"/>
      <c r="H4" s="4406"/>
      <c r="I4" s="4406"/>
      <c r="J4" s="4368" t="s">
        <v>875</v>
      </c>
      <c r="K4" s="4369"/>
      <c r="L4" s="4369"/>
      <c r="M4" s="1323"/>
      <c r="N4" s="4374"/>
      <c r="O4" s="4374"/>
      <c r="P4" s="1322">
        <f>'SDK1'!O3</f>
        <v>2024</v>
      </c>
      <c r="Q4" s="1321"/>
      <c r="T4" s="1343" t="b">
        <v>0</v>
      </c>
      <c r="U4" s="1318"/>
    </row>
    <row r="5" spans="1:41" ht="6" customHeight="1"/>
    <row r="6" spans="1:41" s="1311" customFormat="1" ht="24" customHeight="1">
      <c r="A6" s="41"/>
      <c r="B6" s="1316" t="s">
        <v>832</v>
      </c>
      <c r="C6" s="1315"/>
      <c r="D6" s="1315"/>
      <c r="E6" s="1315"/>
      <c r="F6" s="1315"/>
      <c r="G6" s="1314"/>
      <c r="H6" s="4366" t="s">
        <v>171</v>
      </c>
      <c r="I6" s="4367"/>
      <c r="J6" s="1313">
        <f>M6*0.75</f>
        <v>41.25</v>
      </c>
      <c r="K6" s="4379" t="s">
        <v>144</v>
      </c>
      <c r="L6" s="4380"/>
      <c r="M6" s="1313">
        <v>55</v>
      </c>
      <c r="N6" s="4366" t="s">
        <v>170</v>
      </c>
      <c r="O6" s="4367"/>
      <c r="P6" s="1312">
        <f>M6*1.25</f>
        <v>68.75</v>
      </c>
      <c r="Q6" s="49"/>
    </row>
    <row r="7" spans="1:41" s="196" customFormat="1" ht="18.75" customHeight="1">
      <c r="A7" s="40"/>
      <c r="B7" s="245" t="s">
        <v>883</v>
      </c>
      <c r="C7" s="40"/>
      <c r="D7" s="40"/>
      <c r="E7" s="40"/>
      <c r="F7" s="40"/>
      <c r="G7" s="1310"/>
      <c r="H7" s="1307"/>
      <c r="I7" s="1306"/>
      <c r="J7" s="1041">
        <f>SUM(I9:I12)</f>
        <v>1021.3499999999999</v>
      </c>
      <c r="K7" s="1309"/>
      <c r="L7" s="1308"/>
      <c r="M7" s="1044">
        <f>SUM(L9:L12)</f>
        <v>1361.8</v>
      </c>
      <c r="N7" s="1307"/>
      <c r="O7" s="1306"/>
      <c r="P7" s="1041">
        <f>SUM(O9:O12)</f>
        <v>1702.25</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'SDK1'!O25</f>
        <v>16.2</v>
      </c>
      <c r="H9" s="1303">
        <f>J6-H10</f>
        <v>41.25</v>
      </c>
      <c r="I9" s="1299">
        <f>H9*G9</f>
        <v>668.25</v>
      </c>
      <c r="J9" s="37"/>
      <c r="K9" s="1302">
        <f>M6-K10</f>
        <v>55</v>
      </c>
      <c r="L9" s="1301">
        <f>K9*G9</f>
        <v>891</v>
      </c>
      <c r="M9" s="1280"/>
      <c r="N9" s="1300">
        <f>P6-N10</f>
        <v>68.75</v>
      </c>
      <c r="O9" s="1299">
        <f>N9*G9</f>
        <v>1113.75</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353.09999999999997</v>
      </c>
      <c r="S10" s="1288">
        <f>L10+L11+L12</f>
        <v>470.79999999999995</v>
      </c>
      <c r="T10" s="1287">
        <f>O10+O11+O12</f>
        <v>588.5</v>
      </c>
      <c r="W10" s="196" t="s">
        <v>879</v>
      </c>
    </row>
    <row r="11" spans="1:41" s="1268" customFormat="1" ht="15" customHeight="1">
      <c r="A11" s="309"/>
      <c r="B11" s="217"/>
      <c r="C11" s="39" t="s">
        <v>878</v>
      </c>
      <c r="D11" s="309"/>
      <c r="E11" s="1286">
        <v>0.8</v>
      </c>
      <c r="F11" s="39" t="s">
        <v>877</v>
      </c>
      <c r="G11" s="1285">
        <f>'SDK1'!$O$48</f>
        <v>10.7</v>
      </c>
      <c r="H11" s="3151">
        <f>IF(OR($T$3,$T$4)=TRUE,J6*$E$11,0)</f>
        <v>33</v>
      </c>
      <c r="I11" s="3152">
        <f>H11*$G$11</f>
        <v>353.09999999999997</v>
      </c>
      <c r="J11" s="3153"/>
      <c r="K11" s="3154">
        <f>IF(OR($T$3,$T$4)=TRUE,M6*$E$11,0)</f>
        <v>44</v>
      </c>
      <c r="L11" s="3155">
        <f>K11*$G$11</f>
        <v>470.79999999999995</v>
      </c>
      <c r="M11" s="3156"/>
      <c r="N11" s="3157">
        <f>IF(OR($T$3,$T$4)=TRUE,P6*$E$11,0)</f>
        <v>55</v>
      </c>
      <c r="O11" s="3152">
        <f>N11*$G$11</f>
        <v>588.5</v>
      </c>
      <c r="P11" s="3158"/>
      <c r="Q11" s="34"/>
      <c r="W11" s="1268" t="s">
        <v>876</v>
      </c>
    </row>
    <row r="12" spans="1:41" s="1268" customFormat="1" ht="15" hidden="1" customHeight="1">
      <c r="A12" s="309"/>
      <c r="B12" s="185"/>
      <c r="C12" s="223" t="s">
        <v>1652</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f>IF(OR(T3=TRUE,T4=TRUE),J6*$E$11,"0")</f>
        <v>33</v>
      </c>
      <c r="Y13" s="1265">
        <f>IF(OR(T3=TRUE,T4=TRUE),M6*$E$11,"0")</f>
        <v>44</v>
      </c>
      <c r="Z13" s="1264">
        <f>IF(OR(T3=TRUE,T4=TRUE),P6*$E$11,"0")</f>
        <v>55</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13.199999999999998</v>
      </c>
      <c r="Y14" s="1260">
        <f>$Y$13*F30</f>
        <v>17.599999999999994</v>
      </c>
      <c r="Z14" s="1260">
        <f>$Z$13*F30</f>
        <v>21.999999999999996</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7.92</v>
      </c>
      <c r="Y15" s="1260">
        <f>$Y$13*F31</f>
        <v>10.559999999999999</v>
      </c>
      <c r="Z15" s="1260">
        <f>$Z$13*F31</f>
        <v>13.2</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44.879999999999995</v>
      </c>
      <c r="Y16" s="1260">
        <f>$Y$13*F32</f>
        <v>59.839999999999996</v>
      </c>
      <c r="Z16" s="1260">
        <f>$Z$13*F32</f>
        <v>74.8</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2.6400000000000006</v>
      </c>
      <c r="Y17" s="1260">
        <f>$Y$13*F33</f>
        <v>3.5200000000000005</v>
      </c>
      <c r="Z17" s="1260">
        <f>$Z$13*F33</f>
        <v>4.4000000000000012</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127.05</v>
      </c>
      <c r="K23" s="1046"/>
      <c r="L23" s="1045"/>
      <c r="M23" s="1227">
        <f>SUM(L25:L26)</f>
        <v>127.05</v>
      </c>
      <c r="N23" s="1043"/>
      <c r="O23" s="1042"/>
      <c r="P23" s="1026">
        <f>SUM(O25:O26)</f>
        <v>127.05</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'SDK7'!F55/100</f>
        <v>0.77</v>
      </c>
      <c r="G25" s="1221">
        <f>F25*(100+$D$24)/100</f>
        <v>0.77</v>
      </c>
      <c r="H25" s="1220">
        <v>165</v>
      </c>
      <c r="I25" s="1181">
        <f>H25*$G25</f>
        <v>127.05</v>
      </c>
      <c r="J25" s="39"/>
      <c r="K25" s="1220">
        <f>H25</f>
        <v>165</v>
      </c>
      <c r="L25" s="1023">
        <f>K25*$G25</f>
        <v>127.05</v>
      </c>
      <c r="M25" s="1016"/>
      <c r="N25" s="1220">
        <f>H25</f>
        <v>165</v>
      </c>
      <c r="O25" s="1181">
        <f>N25*$G25</f>
        <v>127.05</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245.41232500000001</v>
      </c>
      <c r="K27" s="1175"/>
      <c r="L27" s="1174"/>
      <c r="M27" s="1044">
        <f>SUM(L30:L32)</f>
        <v>319.28310000000005</v>
      </c>
      <c r="N27" s="1173"/>
      <c r="O27" s="1172"/>
      <c r="P27" s="1041">
        <f>SUM(O30:O32)</f>
        <v>393.15387499999997</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1.79</v>
      </c>
      <c r="F30" s="1201">
        <f>VLOOKUP(K2,'SD8'!B9:L42,7,FALSE)</f>
        <v>0.39999999999999991</v>
      </c>
      <c r="G30" s="1200">
        <v>20</v>
      </c>
      <c r="H30" s="1198">
        <f>IF(J$6=0,0,(J$6*$E30+$G30+X14))</f>
        <v>107.03750000000001</v>
      </c>
      <c r="I30" s="1181">
        <f>H30*$D30</f>
        <v>127.37462500000001</v>
      </c>
      <c r="J30" s="39"/>
      <c r="K30" s="1199">
        <f>IF(M$6=0,0,(M$6*$E30+$G30+Y14))</f>
        <v>136.05000000000001</v>
      </c>
      <c r="L30" s="1023">
        <f>K30*$D30</f>
        <v>161.89950000000002</v>
      </c>
      <c r="M30" s="1016"/>
      <c r="N30" s="1198">
        <f>IF(P$6=0,0,(P$6*$E30+$G30+Z14))</f>
        <v>165.0625</v>
      </c>
      <c r="O30" s="1181">
        <f>N30*$D30</f>
        <v>196.424375</v>
      </c>
      <c r="P30" s="1145"/>
      <c r="Q30" s="34"/>
    </row>
    <row r="31" spans="1:26" s="36" customFormat="1" ht="15" customHeight="1">
      <c r="A31" s="746"/>
      <c r="B31" s="217"/>
      <c r="C31" s="746" t="s">
        <v>234</v>
      </c>
      <c r="D31" s="1150">
        <f>'SDK1'!O53</f>
        <v>1.2</v>
      </c>
      <c r="E31" s="1201">
        <f>VLOOKUP(K2,'SD8'!B9:L42,4,FALSE)</f>
        <v>0.8</v>
      </c>
      <c r="F31" s="1201">
        <f>VLOOKUP(K2,'SD8'!B9:L42,8,FALSE)</f>
        <v>0.24</v>
      </c>
      <c r="G31" s="1200"/>
      <c r="H31" s="1198">
        <f>IF(J$6=0,0,(J$6*$E31+$G31+X15))</f>
        <v>40.92</v>
      </c>
      <c r="I31" s="1181">
        <f>H31*$D31</f>
        <v>49.103999999999999</v>
      </c>
      <c r="J31" s="39"/>
      <c r="K31" s="1199">
        <f>IF(M$6=0,0,(M$6*$E31+$G31+Y15))</f>
        <v>54.56</v>
      </c>
      <c r="L31" s="1023">
        <f>K31*$D31</f>
        <v>65.471999999999994</v>
      </c>
      <c r="M31" s="1016"/>
      <c r="N31" s="1198">
        <f>IF(P$6=0,0,(P$6*$E31+$G31+Z15))</f>
        <v>68.2</v>
      </c>
      <c r="O31" s="1181">
        <f>N31*$D31</f>
        <v>81.84</v>
      </c>
      <c r="P31" s="1145"/>
      <c r="Q31" s="34"/>
    </row>
    <row r="32" spans="1:26" s="36" customFormat="1" ht="15" customHeight="1">
      <c r="A32" s="746"/>
      <c r="B32" s="185"/>
      <c r="C32" s="2791" t="s">
        <v>232</v>
      </c>
      <c r="D32" s="1133">
        <f>'SDK1'!O54</f>
        <v>0.99</v>
      </c>
      <c r="E32" s="1197">
        <f>VLOOKUP(K2,'SD8'!B9:L42,5,FALSE)</f>
        <v>0.6</v>
      </c>
      <c r="F32" s="1197">
        <f>VLOOKUP(K2,'SD8'!B9:L42,9,FALSE)</f>
        <v>1.3599999999999999</v>
      </c>
      <c r="G32" s="1196"/>
      <c r="H32" s="1194">
        <f>IF(J$6=0,0,(J$6*$E32+$G32+X16))</f>
        <v>69.63</v>
      </c>
      <c r="I32" s="1177">
        <f>H32*$D32</f>
        <v>68.933700000000002</v>
      </c>
      <c r="J32" s="223"/>
      <c r="K32" s="1195">
        <f>IF(M$6=0,0,(M$6*$E32+$G32+Y16))</f>
        <v>92.84</v>
      </c>
      <c r="L32" s="1017">
        <f>K32*$D32</f>
        <v>91.911600000000007</v>
      </c>
      <c r="M32" s="1256"/>
      <c r="N32" s="1194">
        <f>IF(P$6=0,0,(P$6*$E32+$G32+Z16))</f>
        <v>116.05</v>
      </c>
      <c r="O32" s="1177">
        <f>N32*$D32</f>
        <v>114.8895</v>
      </c>
      <c r="P32" s="1176"/>
      <c r="Q32" s="34"/>
    </row>
    <row r="33" spans="1:17" s="36" customFormat="1" ht="15" hidden="1" customHeight="1">
      <c r="A33" s="746"/>
      <c r="B33" s="185"/>
      <c r="C33" s="771" t="s">
        <v>230</v>
      </c>
      <c r="D33" s="1133">
        <f>'SDK1'!P55</f>
        <v>0.45</v>
      </c>
      <c r="E33" s="1197">
        <f>VLOOKUP(K2,'SD8'!B9:L42,6,FALSE)</f>
        <v>0.2</v>
      </c>
      <c r="F33" s="1197">
        <f>VLOOKUP(K2,'SD8'!B9:L42,10,FALSE)</f>
        <v>8.0000000000000016E-2</v>
      </c>
      <c r="G33" s="1196"/>
      <c r="H33" s="1194">
        <f>IF(J$6=0,0,(J$6*$E33+$G33+X17))</f>
        <v>10.89</v>
      </c>
      <c r="I33" s="1177">
        <f>H33*$D33</f>
        <v>4.9005000000000001</v>
      </c>
      <c r="J33" s="39"/>
      <c r="K33" s="1195">
        <f>IF(M$6=0,0,(M$6*$E33+$G33+Y17))</f>
        <v>14.52</v>
      </c>
      <c r="L33" s="1017">
        <f>K33*$D33</f>
        <v>6.5339999999999998</v>
      </c>
      <c r="M33" s="1016"/>
      <c r="N33" s="1194">
        <f>IF(P$6=0,0,(P$6*$E33+$G33+Z17))</f>
        <v>18.150000000000002</v>
      </c>
      <c r="O33" s="1177">
        <f>N33*$D33</f>
        <v>8.1675000000000004</v>
      </c>
      <c r="P33" s="1176"/>
      <c r="Q33" s="34"/>
    </row>
    <row r="34" spans="1:17" s="511" customFormat="1" ht="18.75" customHeight="1">
      <c r="A34" s="711"/>
      <c r="B34" s="716" t="s">
        <v>859</v>
      </c>
      <c r="C34" s="711"/>
      <c r="D34" s="33"/>
      <c r="E34" s="33"/>
      <c r="F34" s="4381" t="s">
        <v>858</v>
      </c>
      <c r="G34" s="4382"/>
      <c r="H34" s="1191"/>
      <c r="I34" s="1190"/>
      <c r="J34" s="1041">
        <f>SUM(I36:I42)</f>
        <v>148.83799999999999</v>
      </c>
      <c r="K34" s="1193"/>
      <c r="L34" s="1192"/>
      <c r="M34" s="1044">
        <f>SUM(L36:L42)</f>
        <v>148.83799999999999</v>
      </c>
      <c r="N34" s="1191"/>
      <c r="O34" s="1190"/>
      <c r="P34" s="1041">
        <f>SUM(O36:O42)</f>
        <v>148.83799999999999</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541</v>
      </c>
      <c r="D36" s="4389"/>
      <c r="E36" s="4390"/>
      <c r="F36" s="1183">
        <f>IF(C36="",0,VLOOKUP(C36,'SDK5'!C3:AF83,2,FALSE))</f>
        <v>53.5</v>
      </c>
      <c r="G36" s="1183">
        <f t="shared" ref="G36:G42" si="0">F36*(100+$D$35)/100</f>
        <v>53.5</v>
      </c>
      <c r="H36" s="1182">
        <v>0.9</v>
      </c>
      <c r="I36" s="1181">
        <f t="shared" ref="I36:I42" si="1">$G36*H36</f>
        <v>48.15</v>
      </c>
      <c r="J36" s="39"/>
      <c r="K36" s="1182">
        <v>0.9</v>
      </c>
      <c r="L36" s="1023">
        <f t="shared" ref="L36:L42" si="2">$G36*K36</f>
        <v>48.15</v>
      </c>
      <c r="M36" s="1016"/>
      <c r="N36" s="1182">
        <v>0.9</v>
      </c>
      <c r="O36" s="1181">
        <f t="shared" ref="O36:O42" si="3">$G36*N36</f>
        <v>48.15</v>
      </c>
      <c r="P36" s="1185"/>
      <c r="Q36" s="34"/>
    </row>
    <row r="37" spans="1:17" s="36" customFormat="1" ht="15" customHeight="1">
      <c r="A37" s="746"/>
      <c r="B37" s="1021"/>
      <c r="C37" s="4375" t="s">
        <v>500</v>
      </c>
      <c r="D37" s="4375"/>
      <c r="E37" s="4376"/>
      <c r="F37" s="1183">
        <f>IF(C37="",0,VLOOKUP(C37,'SDK5'!C4:AF84,2,FALSE))</f>
        <v>144.44</v>
      </c>
      <c r="G37" s="1183">
        <f t="shared" si="0"/>
        <v>144.44</v>
      </c>
      <c r="H37" s="1182">
        <v>0.2</v>
      </c>
      <c r="I37" s="1181">
        <f t="shared" si="1"/>
        <v>28.888000000000002</v>
      </c>
      <c r="J37" s="39"/>
      <c r="K37" s="1182">
        <v>0.2</v>
      </c>
      <c r="L37" s="1023">
        <f t="shared" si="2"/>
        <v>28.888000000000002</v>
      </c>
      <c r="M37" s="1016"/>
      <c r="N37" s="1182">
        <v>0.2</v>
      </c>
      <c r="O37" s="1181">
        <f t="shared" si="3"/>
        <v>28.888000000000002</v>
      </c>
      <c r="P37" s="1145"/>
      <c r="Q37" s="34"/>
    </row>
    <row r="38" spans="1:17" s="36" customFormat="1" ht="15" customHeight="1">
      <c r="A38" s="746"/>
      <c r="B38" s="1184"/>
      <c r="C38" s="4375" t="s">
        <v>1482</v>
      </c>
      <c r="D38" s="4375"/>
      <c r="E38" s="4376"/>
      <c r="F38" s="1183">
        <f>IF(C38="",0,VLOOKUP(C38,'SDK5'!C5:AF85,2,FALSE))</f>
        <v>71.8</v>
      </c>
      <c r="G38" s="1183">
        <f t="shared" si="0"/>
        <v>71.8</v>
      </c>
      <c r="H38" s="1182">
        <v>1</v>
      </c>
      <c r="I38" s="1181">
        <f t="shared" si="1"/>
        <v>71.8</v>
      </c>
      <c r="J38" s="39"/>
      <c r="K38" s="1182">
        <v>1</v>
      </c>
      <c r="L38" s="1023">
        <f t="shared" si="2"/>
        <v>71.8</v>
      </c>
      <c r="M38" s="1016"/>
      <c r="N38" s="1182">
        <v>1</v>
      </c>
      <c r="O38" s="1181">
        <f t="shared" si="3"/>
        <v>71.8</v>
      </c>
      <c r="P38" s="1145"/>
      <c r="Q38" s="34"/>
    </row>
    <row r="39" spans="1:17" s="36" customFormat="1" ht="15" customHeight="1">
      <c r="A39" s="746"/>
      <c r="B39" s="1021"/>
      <c r="C39" s="4375" t="s">
        <v>311</v>
      </c>
      <c r="D39" s="4375"/>
      <c r="E39" s="4376"/>
      <c r="F39" s="1183">
        <f>IF(C39="",0,VLOOKUP(C39,'SDK5'!C6:AF86,2,FALSE))</f>
        <v>0</v>
      </c>
      <c r="G39" s="1183">
        <f t="shared" si="0"/>
        <v>0</v>
      </c>
      <c r="H39" s="1182"/>
      <c r="I39" s="1181">
        <f t="shared" si="1"/>
        <v>0</v>
      </c>
      <c r="J39" s="39"/>
      <c r="K39" s="1182"/>
      <c r="L39" s="1023">
        <f t="shared" si="2"/>
        <v>0</v>
      </c>
      <c r="M39" s="1016"/>
      <c r="N39" s="1182"/>
      <c r="O39" s="1181">
        <f t="shared" si="3"/>
        <v>0</v>
      </c>
      <c r="P39" s="1145"/>
      <c r="Q39" s="34"/>
    </row>
    <row r="40" spans="1:17" s="36" customFormat="1" ht="15" customHeight="1">
      <c r="A40" s="746"/>
      <c r="B40" s="1021"/>
      <c r="C40" s="4375"/>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167.663164204</v>
      </c>
      <c r="K43" s="1175"/>
      <c r="L43" s="1174"/>
      <c r="M43" s="1044">
        <f>SUM(M46:M57)</f>
        <v>175.53222057866668</v>
      </c>
      <c r="N43" s="1173"/>
      <c r="O43" s="1172"/>
      <c r="P43" s="1041">
        <f>SUM(P46:P57)</f>
        <v>183.40127695333334</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409"/>
      <c r="E46" s="1152">
        <f>IF($C46=0,0,VLOOKUP($C46,'SD3'!$C$24:$O$85,4,FALSE))</f>
        <v>120</v>
      </c>
      <c r="F46" s="1151">
        <f>IF($C46=0,0,VLOOKUP($C46,'SD3'!$C$24:$O$85,12,FALSE))</f>
        <v>1.38</v>
      </c>
      <c r="G46" s="1150">
        <f>IF($C46=0,0,VLOOKUP($C46,'SD3'!$C$24:$O$85,13,FALSE))</f>
        <v>64.642445999999993</v>
      </c>
      <c r="H46" s="1147">
        <v>1</v>
      </c>
      <c r="I46" s="1154">
        <f t="shared" ref="I46:I57" si="4">$F46*H46</f>
        <v>1.38</v>
      </c>
      <c r="J46" s="1145">
        <f t="shared" ref="J46:J57" si="5">H46*$G46</f>
        <v>64.642445999999993</v>
      </c>
      <c r="K46" s="1147">
        <v>1</v>
      </c>
      <c r="L46" s="1156">
        <f t="shared" ref="L46:L57" si="6">$F46*K46</f>
        <v>1.38</v>
      </c>
      <c r="M46" s="1148">
        <f t="shared" ref="M46:M57" si="7">K46*$G46</f>
        <v>64.642445999999993</v>
      </c>
      <c r="N46" s="1147">
        <v>1</v>
      </c>
      <c r="O46" s="1154">
        <f t="shared" ref="O46:O57" si="8">$F46*N46</f>
        <v>1.38</v>
      </c>
      <c r="P46" s="1145">
        <f t="shared" ref="P46:P57" si="9">N46*$G46</f>
        <v>64.642445999999993</v>
      </c>
      <c r="Q46" s="34">
        <f>$Q$2*H46</f>
        <v>0</v>
      </c>
    </row>
    <row r="47" spans="1:17" s="36" customFormat="1" ht="15" customHeight="1">
      <c r="A47" s="746"/>
      <c r="B47" s="1153"/>
      <c r="C47" s="4387" t="s">
        <v>354</v>
      </c>
      <c r="D47" s="440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1591</v>
      </c>
      <c r="D48" s="4408"/>
      <c r="E48" s="1152">
        <f>IF($C48=0,0,VLOOKUP($C48,'SD3'!$C$24:$O$85,4,FALSE))</f>
        <v>83</v>
      </c>
      <c r="F48" s="1151">
        <f>IF($C48=0,0,VLOOKUP($C48,'SD3'!$C$24:$O$85,12,FALSE))</f>
        <v>0.22</v>
      </c>
      <c r="G48" s="1150">
        <f>IF($C48=0,0,VLOOKUP($C48,'SD3'!$C$24:$O$85,13,FALSE))</f>
        <v>6.6430352599999996</v>
      </c>
      <c r="H48" s="1147">
        <v>2</v>
      </c>
      <c r="I48" s="1146">
        <f t="shared" si="4"/>
        <v>0.44</v>
      </c>
      <c r="J48" s="1145">
        <f t="shared" si="5"/>
        <v>13.286070519999999</v>
      </c>
      <c r="K48" s="1147">
        <v>2</v>
      </c>
      <c r="L48" s="1149">
        <f t="shared" si="6"/>
        <v>0.44</v>
      </c>
      <c r="M48" s="1148">
        <f t="shared" si="7"/>
        <v>13.286070519999999</v>
      </c>
      <c r="N48" s="1147">
        <v>2</v>
      </c>
      <c r="O48" s="1146">
        <f t="shared" si="8"/>
        <v>0.44</v>
      </c>
      <c r="P48" s="1145">
        <f t="shared" si="9"/>
        <v>13.286070519999999</v>
      </c>
      <c r="Q48" s="34"/>
    </row>
    <row r="49" spans="1:17" s="36" customFormat="1" ht="15" customHeight="1">
      <c r="A49" s="746"/>
      <c r="B49" s="1153"/>
      <c r="C49" s="4387" t="s">
        <v>346</v>
      </c>
      <c r="D49" s="4408"/>
      <c r="E49" s="1152">
        <f>IF($C49=0,0,VLOOKUP($C49,'SD3'!$C$24:$O$85,4,FALSE))</f>
        <v>83</v>
      </c>
      <c r="F49" s="1151">
        <f>IF($C49=0,0,VLOOKUP($C49,'SD3'!$C$24:$O$85,12,FALSE))</f>
        <v>0.16</v>
      </c>
      <c r="G49" s="1150">
        <f>IF($C49=0,0,VLOOKUP($C49,'SD3'!$C$24:$O$85,13,FALSE))</f>
        <v>3.7403892799999996</v>
      </c>
      <c r="H49" s="1147">
        <v>2</v>
      </c>
      <c r="I49" s="1146">
        <f t="shared" si="4"/>
        <v>0.32</v>
      </c>
      <c r="J49" s="1145">
        <f t="shared" si="5"/>
        <v>7.4807785599999992</v>
      </c>
      <c r="K49" s="1147">
        <v>2</v>
      </c>
      <c r="L49" s="1149">
        <f t="shared" si="6"/>
        <v>0.32</v>
      </c>
      <c r="M49" s="1148">
        <f t="shared" si="7"/>
        <v>7.4807785599999992</v>
      </c>
      <c r="N49" s="1147">
        <v>2</v>
      </c>
      <c r="O49" s="1146">
        <f t="shared" si="8"/>
        <v>0.32</v>
      </c>
      <c r="P49" s="1145">
        <f t="shared" si="9"/>
        <v>7.4807785599999992</v>
      </c>
      <c r="Q49" s="34"/>
    </row>
    <row r="50" spans="1:17" s="36" customFormat="1" ht="15" customHeight="1">
      <c r="A50" s="746"/>
      <c r="B50" s="1153"/>
      <c r="C50" s="4403" t="s">
        <v>1748</v>
      </c>
      <c r="D50" s="4414"/>
      <c r="E50" s="1152">
        <f>IF($C50=0,0,VLOOKUP($C50,'SD3'!$C$24:$O$85,4,FALSE))</f>
        <v>120</v>
      </c>
      <c r="F50" s="1151">
        <f>IF($C50=0,0,VLOOKUP($C50,'SD3'!$C$24:$O$85,12,FALSE))</f>
        <v>0.37</v>
      </c>
      <c r="G50" s="1150">
        <f>IF($C50=0,0,VLOOKUP($C50,'SD3'!$C$24:$O$85,13,FALSE))</f>
        <v>11.7573302</v>
      </c>
      <c r="H50" s="3654">
        <f>J6/75</f>
        <v>0.55000000000000004</v>
      </c>
      <c r="I50" s="1146">
        <f t="shared" si="4"/>
        <v>0.20350000000000001</v>
      </c>
      <c r="J50" s="1145">
        <f t="shared" si="5"/>
        <v>6.4665316100000005</v>
      </c>
      <c r="K50" s="3654">
        <f>M6/75</f>
        <v>0.73333333333333328</v>
      </c>
      <c r="L50" s="1149">
        <f t="shared" si="6"/>
        <v>0.27133333333333332</v>
      </c>
      <c r="M50" s="1148">
        <f t="shared" si="7"/>
        <v>8.6220421466666668</v>
      </c>
      <c r="N50" s="3654">
        <f>P6/75</f>
        <v>0.91666666666666663</v>
      </c>
      <c r="O50" s="1146">
        <f t="shared" si="8"/>
        <v>0.33916666666666667</v>
      </c>
      <c r="P50" s="1145">
        <f t="shared" si="9"/>
        <v>10.777552683333333</v>
      </c>
      <c r="Q50" s="34"/>
    </row>
    <row r="51" spans="1:17" s="36" customFormat="1" ht="15" customHeight="1">
      <c r="A51" s="746"/>
      <c r="B51" s="1153"/>
      <c r="C51" s="4387" t="s">
        <v>360</v>
      </c>
      <c r="D51" s="4408"/>
      <c r="E51" s="1152">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row>
    <row r="52" spans="1:17" s="36" customFormat="1" ht="15" customHeight="1">
      <c r="A52" s="746"/>
      <c r="B52" s="1153"/>
      <c r="C52" s="4387"/>
      <c r="D52" s="440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IF($T$4=TRUE,0,H11/50)</f>
        <v>0.66</v>
      </c>
      <c r="I57" s="1130">
        <f t="shared" si="4"/>
        <v>0.8580000000000001</v>
      </c>
      <c r="J57" s="1129">
        <f t="shared" si="5"/>
        <v>17.140637513999998</v>
      </c>
      <c r="K57" s="1131">
        <f>IF($T$4=TRUE,0,K11/50)</f>
        <v>0.88</v>
      </c>
      <c r="L57" s="1132">
        <f t="shared" si="6"/>
        <v>1.1440000000000001</v>
      </c>
      <c r="M57" s="1079">
        <f t="shared" si="7"/>
        <v>22.854183351999996</v>
      </c>
      <c r="N57" s="1131">
        <f>IF($T$4=TRUE,0,N11/50)</f>
        <v>1.1000000000000001</v>
      </c>
      <c r="O57" s="1130">
        <f t="shared" si="8"/>
        <v>1.4300000000000002</v>
      </c>
      <c r="P57" s="1129">
        <f t="shared" si="9"/>
        <v>28.567729189999994</v>
      </c>
      <c r="Q57" s="34"/>
    </row>
    <row r="58" spans="1:17" s="46" customFormat="1" ht="18.75" customHeight="1">
      <c r="A58" s="811"/>
      <c r="B58" s="716" t="s">
        <v>848</v>
      </c>
      <c r="C58" s="811"/>
      <c r="D58" s="811"/>
      <c r="E58" s="811"/>
      <c r="F58" s="34"/>
      <c r="G58" s="1047"/>
      <c r="H58" s="1124"/>
      <c r="I58" s="1123">
        <f>SUM($I$46:$I$57)</f>
        <v>4.7014999999999993</v>
      </c>
      <c r="J58" s="1128"/>
      <c r="K58" s="1127"/>
      <c r="L58" s="1126">
        <f>SUM($L$46:$L$57)</f>
        <v>5.0553333333333335</v>
      </c>
      <c r="M58" s="1125"/>
      <c r="N58" s="1124"/>
      <c r="O58" s="1123">
        <f>SUM($O$46:$O$57)</f>
        <v>5.4091666666666667</v>
      </c>
      <c r="P58" s="1122"/>
      <c r="Q58" s="34"/>
    </row>
    <row r="59" spans="1:17" s="46" customFormat="1" ht="15" customHeight="1">
      <c r="A59" s="811"/>
      <c r="B59" s="1121"/>
      <c r="C59" s="285"/>
      <c r="D59" s="222" t="s">
        <v>847</v>
      </c>
      <c r="E59" s="1120">
        <v>80</v>
      </c>
      <c r="F59" s="285" t="s">
        <v>846</v>
      </c>
      <c r="G59" s="1119"/>
      <c r="H59" s="1115"/>
      <c r="I59" s="1114">
        <f>IF(I58+SUM($I$46:$I$57)*$E$59%&gt;I58+10,I58+10,I58+SUM($I$46:$I$57)*$E$59%)</f>
        <v>8.4626999999999981</v>
      </c>
      <c r="J59" s="1113"/>
      <c r="K59" s="1118"/>
      <c r="L59" s="1117">
        <f>IF(L58+SUM($L$46:$L$57)*$E$59%&gt;L58+10,L58+10,L58+SUM($L$46:$L$57)*$E$59%)</f>
        <v>9.0996000000000006</v>
      </c>
      <c r="M59" s="1116"/>
      <c r="N59" s="1115"/>
      <c r="O59" s="1114">
        <f>IF(O58+SUM($O$46:$O$57)*$E$59%&gt;O58+10,O58+10,O58+SUM($O$46:$O$57)*$E$59%)</f>
        <v>9.7364999999999995</v>
      </c>
      <c r="P59" s="1113"/>
      <c r="Q59" s="34"/>
    </row>
    <row r="60" spans="1:17" s="36" customFormat="1" ht="18.75" customHeight="1">
      <c r="A60" s="746"/>
      <c r="B60" s="716" t="s">
        <v>845</v>
      </c>
      <c r="C60" s="811"/>
      <c r="D60" s="811"/>
      <c r="E60" s="39"/>
      <c r="F60" s="39"/>
      <c r="G60" s="1112"/>
      <c r="H60" s="1104"/>
      <c r="I60" s="1103"/>
      <c r="J60" s="1111">
        <f>IF(J6=0,0,SUM(I62:I64))</f>
        <v>284.39999999999998</v>
      </c>
      <c r="K60" s="1107"/>
      <c r="L60" s="1106"/>
      <c r="M60" s="1044">
        <f>IF(M6=0,0,SUM(L62:L64))</f>
        <v>320.7</v>
      </c>
      <c r="N60" s="1104"/>
      <c r="O60" s="1103"/>
      <c r="P60" s="1111">
        <f>IF(P6=0,0,SUM(O62:O64))</f>
        <v>357</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296</v>
      </c>
      <c r="D62" s="4365"/>
      <c r="E62" s="4365"/>
      <c r="F62" s="1101">
        <f>IF($C62=0,0,VLOOKUP($C62,'SD3'!$C$90:$D$104,2,FALSE))</f>
        <v>175.5</v>
      </c>
      <c r="G62" s="1100">
        <f>(100+$D$61)/100*F62</f>
        <v>175.5</v>
      </c>
      <c r="H62" s="173"/>
      <c r="I62" s="1096">
        <f>$G$62</f>
        <v>175.5</v>
      </c>
      <c r="J62" s="173"/>
      <c r="K62" s="1099"/>
      <c r="L62" s="1098">
        <f>$G$62</f>
        <v>175.5</v>
      </c>
      <c r="M62" s="1016"/>
      <c r="N62" s="1097"/>
      <c r="O62" s="1096">
        <f>$G$62</f>
        <v>175.5</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3.3</v>
      </c>
      <c r="G64" s="1082">
        <f>(100+$D$61)/100*F64</f>
        <v>3.3</v>
      </c>
      <c r="H64" s="1078"/>
      <c r="I64" s="1077">
        <f>H11*$G$64</f>
        <v>108.89999999999999</v>
      </c>
      <c r="J64" s="173"/>
      <c r="K64" s="1081"/>
      <c r="L64" s="1080">
        <f>K11*$G$64</f>
        <v>145.19999999999999</v>
      </c>
      <c r="M64" s="1079"/>
      <c r="N64" s="1078"/>
      <c r="O64" s="1077">
        <f>N11*$G$64</f>
        <v>181.5</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3472"/>
      <c r="G67" s="3471"/>
      <c r="H67" s="1066" t="s">
        <v>842</v>
      </c>
      <c r="I67" s="1065" t="s">
        <v>841</v>
      </c>
      <c r="J67" s="1041">
        <f>R68*(H9+H10)*I68%+F68</f>
        <v>54.759374999999984</v>
      </c>
      <c r="K67" s="1068" t="s">
        <v>842</v>
      </c>
      <c r="L67" s="1067" t="s">
        <v>841</v>
      </c>
      <c r="M67" s="1044">
        <f>S68*(K9+K10)*L68%+F68</f>
        <v>73.012499999999989</v>
      </c>
      <c r="N67" s="1066" t="s">
        <v>842</v>
      </c>
      <c r="O67" s="1065" t="s">
        <v>841</v>
      </c>
      <c r="P67" s="1041">
        <f>T68*(N9+N10)*O68%+F68</f>
        <v>91.265624999999972</v>
      </c>
      <c r="Q67" s="34"/>
    </row>
    <row r="68" spans="1:20" s="511" customFormat="1" ht="15" customHeight="1">
      <c r="A68" s="711"/>
      <c r="B68" s="1064"/>
      <c r="C68" s="4393" t="s">
        <v>564</v>
      </c>
      <c r="D68" s="4393"/>
      <c r="E68" s="4393"/>
      <c r="F68" s="1063"/>
      <c r="G68" s="1054" t="s">
        <v>163</v>
      </c>
      <c r="H68" s="1061">
        <v>16</v>
      </c>
      <c r="I68" s="1060">
        <v>50</v>
      </c>
      <c r="J68" s="1059"/>
      <c r="K68" s="1061">
        <v>16</v>
      </c>
      <c r="L68" s="1060">
        <v>50</v>
      </c>
      <c r="M68" s="1062"/>
      <c r="N68" s="1061">
        <v>16</v>
      </c>
      <c r="O68" s="1060">
        <v>50</v>
      </c>
      <c r="P68" s="1059"/>
      <c r="Q68" s="34"/>
      <c r="R68" s="1058">
        <f>IF($H$68=0,0,VLOOKUP($H$68,'SD6'!B8:C151,'SD6'!C1,FALSE))*(1+'SDK1'!O11/100)</f>
        <v>2.6549999999999994</v>
      </c>
      <c r="S68" s="1058">
        <f>IF($K$68=0,0,VLOOKUP($K$68,'SD6'!B8:C151,'SD6'!C1,FALSE))*(1+'SDK1'!O11/100)</f>
        <v>2.6549999999999994</v>
      </c>
      <c r="T68" s="1058">
        <f>IF($N$68=0,0,VLOOKUP($N$68,'SD6'!B8:C151,'SD6'!C1,FALSE))*(1+'SDK1'!O11/100)</f>
        <v>2.6549999999999994</v>
      </c>
    </row>
    <row r="69" spans="1:20" s="511" customFormat="1" ht="18.75" customHeight="1">
      <c r="A69" s="711"/>
      <c r="B69" s="716" t="s">
        <v>839</v>
      </c>
      <c r="C69" s="711"/>
      <c r="D69" s="711"/>
      <c r="E69" s="34"/>
      <c r="F69" s="34"/>
      <c r="G69" s="1047"/>
      <c r="H69" s="1267"/>
      <c r="I69" s="51"/>
      <c r="J69" s="1041">
        <f>H70*$F70/1000</f>
        <v>16.3416</v>
      </c>
      <c r="K69" s="1057"/>
      <c r="L69" s="1056"/>
      <c r="M69" s="1044">
        <f>K70*$F70/1000</f>
        <v>21.788799999999998</v>
      </c>
      <c r="N69" s="38"/>
      <c r="O69" s="51"/>
      <c r="P69" s="1041">
        <f>N70*$F70/1000</f>
        <v>27.236000000000001</v>
      </c>
      <c r="Q69" s="34"/>
    </row>
    <row r="70" spans="1:20" s="511" customFormat="1" ht="15" customHeight="1">
      <c r="A70" s="711"/>
      <c r="B70" s="772"/>
      <c r="C70" s="771" t="s">
        <v>606</v>
      </c>
      <c r="D70" s="285"/>
      <c r="E70" s="222"/>
      <c r="F70" s="3742">
        <f>'SDK7'!G102</f>
        <v>16</v>
      </c>
      <c r="G70" s="1054" t="s">
        <v>163</v>
      </c>
      <c r="H70" s="1357">
        <f>J7</f>
        <v>1021.3499999999999</v>
      </c>
      <c r="I70" s="1049"/>
      <c r="J70" s="1048"/>
      <c r="K70" s="1053">
        <f>M7</f>
        <v>1361.8</v>
      </c>
      <c r="L70" s="1052"/>
      <c r="M70" s="1051"/>
      <c r="N70" s="1357">
        <f>P7</f>
        <v>1702.25</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3470"/>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f>(J23+J27+J34+J43+J60+J65+J67+J69+J71)*('SDK1'!$O$59%*$G$75/12)</f>
        <v>8.7038705350333334</v>
      </c>
      <c r="K75" s="513"/>
      <c r="L75" s="522"/>
      <c r="M75" s="1005">
        <f>(M23+M27+M34+M43+M60+M65+M67+M69+M71)*('SDK1'!$O$59%*$G$75/12)</f>
        <v>9.8850385048222247</v>
      </c>
      <c r="N75" s="1007"/>
      <c r="O75" s="1006"/>
      <c r="P75" s="1005">
        <f>(P23+P27+P34+P43+P60+P65+P67+P69+P71)*('SDK1'!$O$59%*$G$75/12)</f>
        <v>11.066206474611111</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H151" s="1354"/>
      <c r="J151" s="1353"/>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4" orientation="portrait" r:id="rId1"/>
      <headerFooter alignWithMargins="0">
        <oddFooter>&amp;L&amp;11LEL Schwäbisch Gmünd&amp;C41&amp;R&amp;11&amp;F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4" orientation="portrait" r:id="rId2"/>
      <headerFooter alignWithMargins="0">
        <oddFooter>&amp;L&amp;11LEL Schwäbisch Gmünd&amp;C41&amp;R&amp;11&amp;F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4" orientation="portrait" r:id="rId3"/>
      <headerFooter alignWithMargins="0">
        <oddFooter>&amp;L&amp;11LEL Schwäbisch Gmünd&amp;C41&amp;R&amp;11&amp;F</oddFooter>
      </headerFooter>
    </customSheetView>
  </customSheetViews>
  <mergeCells count="50">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 ref="B3:H3"/>
  </mergeCells>
  <dataValidations count="5">
    <dataValidation type="list" showInputMessage="1" showErrorMessage="1" sqref="H14 K14 N14" xr:uid="{00000000-0002-0000-2200-000000000000}">
      <formula1>"ja,nein"</formula1>
    </dataValidation>
    <dataValidation type="list" allowBlank="1" showInputMessage="1" showErrorMessage="1" sqref="H15:H17 K15:K17 N15:N17" xr:uid="{00000000-0002-0000-2200-000001000000}">
      <formula1>"ja,nein"</formula1>
    </dataValidation>
    <dataValidation type="whole" allowBlank="1" showInputMessage="1" showErrorMessage="1" errorTitle="Anteil Erntegut" error="Prozentwert darf nur zwischen 0 und 100 liegen." sqref="O68 L68 I68" xr:uid="{00000000-0002-0000-2200-000002000000}">
      <formula1>0</formula1>
      <formula2>100</formula2>
    </dataValidation>
    <dataValidation type="decimal" allowBlank="1" showInputMessage="1" showErrorMessage="1" errorTitle="Wassergehalt Getreide" error="Zulässig sind nur Werte zwischen 14,1 und 29,0 % Wassergehalt." sqref="H68 K68 N68" xr:uid="{00000000-0002-0000-2200-000003000000}">
      <formula1>14.1</formula1>
      <formula2>29</formula2>
    </dataValidation>
    <dataValidation type="list" allowBlank="1" showInputMessage="1" showErrorMessage="1" errorTitle="Organisationsabh. Ausgleichsl." error="Bitte aus Dropdownliste auswählen." sqref="D19:F19" xr:uid="{00000000-0002-0000-2200-000004000000}">
      <formula1>$C$60:$C$75</formula1>
    </dataValidation>
  </dataValidations>
  <hyperlinks>
    <hyperlink ref="F9" location="'SDK1'!A1" display="Preis ändern" xr:uid="{00000000-0004-0000-2200-000000000000}"/>
  </hyperlinks>
  <printOptions horizontalCentered="1"/>
  <pageMargins left="0.59055118110236227" right="0.59055118110236227" top="0.59055118110236227" bottom="0.59055118110236227" header="0.39370078740157483" footer="0.39370078740157483"/>
  <pageSetup paperSize="9" scale="65" firstPageNumber="34" orientation="portrait" r:id="rId4"/>
  <headerFooter alignWithMargins="0">
    <oddFooter>&amp;L&amp;11LEL Schwäbisch Gmünd&amp;C41&amp;R&amp;11&amp;F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6625" r:id="rId7" name="Check Box 1">
              <controlPr defaultSize="0" autoFill="0" autoLine="0" autoPict="0">
                <anchor moveWithCells="1">
                  <from>
                    <xdr:col>12</xdr:col>
                    <xdr:colOff>289560</xdr:colOff>
                    <xdr:row>3</xdr:row>
                    <xdr:rowOff>0</xdr:rowOff>
                  </from>
                  <to>
                    <xdr:col>13</xdr:col>
                    <xdr:colOff>0</xdr:colOff>
                    <xdr:row>3</xdr:row>
                    <xdr:rowOff>213360</xdr:rowOff>
                  </to>
                </anchor>
              </controlPr>
            </control>
          </mc:Choice>
        </mc:AlternateContent>
        <mc:AlternateContent xmlns:mc="http://schemas.openxmlformats.org/markup-compatibility/2006">
          <mc:Choice Requires="x14">
            <control shapeId="26626" r:id="rId8" name="Check Box 2">
              <controlPr defaultSize="0" autoFill="0" autoLine="0" autoPict="0">
                <anchor moveWithCells="1">
                  <from>
                    <xdr:col>12</xdr:col>
                    <xdr:colOff>289560</xdr:colOff>
                    <xdr:row>2</xdr:row>
                    <xdr:rowOff>45720</xdr:rowOff>
                  </from>
                  <to>
                    <xdr:col>13</xdr:col>
                    <xdr:colOff>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200-000005000000}">
          <x14:formula1>
            <xm:f>'SD2'!$C$11:$C$50</xm:f>
          </x14:formula1>
          <xm:sqref>C14:F17</xm:sqref>
        </x14:dataValidation>
        <x14:dataValidation type="list" allowBlank="1" showInputMessage="1" showErrorMessage="1" errorTitle="Organisationsabh. Ausgleichsl." error="Bitte aus Dropdownliste auswählen." xr:uid="{00000000-0002-0000-2200-000006000000}">
          <x14:formula1>
            <xm:f>'SD2'!$C$60:$C$77</xm:f>
          </x14:formula1>
          <xm:sqref>C19:C21</xm:sqref>
        </x14:dataValidation>
        <x14:dataValidation type="list" allowBlank="1" showInputMessage="1" showErrorMessage="1" errorTitle="Arbeitsgänge" error="Bitte aus Dropdownliste auswählen." xr:uid="{00000000-0002-0000-2200-000007000000}">
          <x14:formula1>
            <xm:f>'SD3'!$C$23:$C$75</xm:f>
          </x14:formula1>
          <xm:sqref>C46:C57 D53:D57</xm:sqref>
        </x14:dataValidation>
        <x14:dataValidation type="list" allowBlank="1" showInputMessage="1" showErrorMessage="1" errorTitle="Lohnmaschinen" error="Bitte aus Dropdownliste auswählen." xr:uid="{00000000-0002-0000-2200-000009000000}">
          <x14:formula1>
            <xm:f>'SD3'!$C$90:$C$104</xm:f>
          </x14:formula1>
          <xm:sqref>C62:E64</xm:sqref>
        </x14:dataValidation>
        <x14:dataValidation type="list" allowBlank="1" showInputMessage="1" showErrorMessage="1" errorTitle="Pflanzenschutzmittel" error="Bitte aus Dropdownliste auswählen." xr:uid="{00000000-0002-0000-2200-00000A000000}">
          <x14:formula1>
            <xm:f>'SDK5'!$L$214:$L$242</xm:f>
          </x14:formula1>
          <xm:sqref>C36:E36 C37:E37 C38:E38 C39:E39 C40:E40 C41:E41 C42:E42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6">
    <tabColor rgb="FFFFFF00"/>
    <pageSetUpPr fitToPage="1"/>
  </sheetPr>
  <dimension ref="A1:AO218"/>
  <sheetViews>
    <sheetView workbookViewId="0">
      <selection activeCell="N52" sqref="N52"/>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7" width="10.5" style="31" hidden="1" customWidth="1"/>
    <col min="28" max="29" width="0" style="31" hidden="1" customWidth="1"/>
    <col min="30" max="16384" width="10.5" style="31"/>
  </cols>
  <sheetData>
    <row r="1" spans="1:41" s="1317" customFormat="1" ht="30.45" customHeight="1">
      <c r="A1" s="3740"/>
      <c r="B1" s="258"/>
      <c r="C1" s="1333"/>
      <c r="D1" s="1253"/>
      <c r="E1" s="255"/>
      <c r="F1" s="255"/>
      <c r="G1" s="430"/>
      <c r="H1" s="1328"/>
      <c r="I1" s="3212" t="s">
        <v>1679</v>
      </c>
      <c r="J1" s="3210">
        <f>(J7+J13+J18+J22)-(J23+J27+J34+J43+J60+J65+J67+J69+J71+J75)</f>
        <v>547.77442991610837</v>
      </c>
      <c r="K1" s="4360">
        <f>M1-J1</f>
        <v>228.24036036039433</v>
      </c>
      <c r="L1" s="4360"/>
      <c r="M1" s="3210">
        <f>(M7+M13+M18+M22)-(M23+M27+M34+M43+M60+M65+M67+M69+M71+M75)</f>
        <v>776.01479027650271</v>
      </c>
      <c r="N1" s="4360">
        <f>P1-M1</f>
        <v>228.24036036039456</v>
      </c>
      <c r="O1" s="4360"/>
      <c r="P1" s="3210">
        <f>(P7+P13+P18+P22)-(P23+P27+P34+P43+P60+P65+P67+P69+P71+P75)</f>
        <v>1004.2551506368973</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76</v>
      </c>
      <c r="L2" s="4372"/>
      <c r="M2" s="4372"/>
      <c r="N2" s="4372"/>
      <c r="O2" s="4372"/>
      <c r="P2" s="4372"/>
      <c r="Q2" s="1345">
        <v>0</v>
      </c>
      <c r="AB2" s="3473"/>
    </row>
    <row r="3" spans="1:41" s="1317" customFormat="1" ht="32.4" customHeight="1">
      <c r="A3" s="1321"/>
      <c r="B3" s="4405" t="s">
        <v>1727</v>
      </c>
      <c r="C3" s="4405"/>
      <c r="D3" s="4405"/>
      <c r="E3" s="4405"/>
      <c r="F3" s="4405"/>
      <c r="G3" s="4405"/>
      <c r="H3" s="4405"/>
      <c r="J3" s="4368" t="s">
        <v>886</v>
      </c>
      <c r="K3" s="4369"/>
      <c r="L3" s="4369"/>
      <c r="M3" s="1327"/>
      <c r="N3" s="4373" t="str">
        <f>IF(AND(T3=TRUE,T4=TRUE),"nur 1 Strohnutzung möglich","")</f>
        <v/>
      </c>
      <c r="O3" s="4374"/>
      <c r="P3" s="1326"/>
      <c r="Q3" s="1321"/>
      <c r="T3" s="1343" t="b">
        <v>1</v>
      </c>
    </row>
    <row r="4" spans="1:41" s="1317" customFormat="1" ht="20.25" customHeight="1">
      <c r="A4" s="1321"/>
      <c r="B4" s="309" t="s">
        <v>779</v>
      </c>
      <c r="C4" s="31"/>
      <c r="D4" s="31"/>
      <c r="E4" s="4406" t="s">
        <v>890</v>
      </c>
      <c r="F4" s="4406"/>
      <c r="G4" s="4406"/>
      <c r="H4" s="4406"/>
      <c r="I4" s="4406"/>
      <c r="J4" s="4368" t="s">
        <v>875</v>
      </c>
      <c r="K4" s="4369"/>
      <c r="L4" s="4369"/>
      <c r="M4" s="1323"/>
      <c r="N4" s="4374"/>
      <c r="O4" s="4374"/>
      <c r="P4" s="1322">
        <f>'SDK1'!O3</f>
        <v>2024</v>
      </c>
      <c r="Q4" s="1321"/>
      <c r="T4" s="1343" t="b">
        <v>0</v>
      </c>
      <c r="U4" s="1318"/>
    </row>
    <row r="5" spans="1:41" ht="6" customHeight="1"/>
    <row r="6" spans="1:41" s="1311" customFormat="1" ht="24" customHeight="1">
      <c r="A6" s="41"/>
      <c r="B6" s="1316" t="s">
        <v>832</v>
      </c>
      <c r="C6" s="1315"/>
      <c r="D6" s="1315"/>
      <c r="E6" s="1315"/>
      <c r="F6" s="1315"/>
      <c r="G6" s="1314"/>
      <c r="H6" s="4366" t="s">
        <v>171</v>
      </c>
      <c r="I6" s="4367"/>
      <c r="J6" s="1313">
        <v>45</v>
      </c>
      <c r="K6" s="4379" t="s">
        <v>144</v>
      </c>
      <c r="L6" s="4380"/>
      <c r="M6" s="1313">
        <v>55</v>
      </c>
      <c r="N6" s="4366" t="s">
        <v>170</v>
      </c>
      <c r="O6" s="4367"/>
      <c r="P6" s="1312">
        <v>65</v>
      </c>
      <c r="Q6" s="49"/>
    </row>
    <row r="7" spans="1:41" s="196" customFormat="1" ht="18.75" customHeight="1">
      <c r="A7" s="40"/>
      <c r="B7" s="245" t="s">
        <v>883</v>
      </c>
      <c r="C7" s="40"/>
      <c r="D7" s="40"/>
      <c r="E7" s="40"/>
      <c r="F7" s="40"/>
      <c r="G7" s="1310"/>
      <c r="H7" s="1307"/>
      <c r="I7" s="1306"/>
      <c r="J7" s="1041">
        <f>SUM(I9:I12)</f>
        <v>1438.05</v>
      </c>
      <c r="K7" s="1309"/>
      <c r="L7" s="1308"/>
      <c r="M7" s="1044">
        <f>SUM(L9:L12)</f>
        <v>1758.65</v>
      </c>
      <c r="N7" s="1307"/>
      <c r="O7" s="1306"/>
      <c r="P7" s="1041">
        <f>SUM(O9:O12)</f>
        <v>2079.25</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363">
        <f>'SDK1'!O26</f>
        <v>25.5</v>
      </c>
      <c r="H9" s="1303">
        <f>J6-H10</f>
        <v>40</v>
      </c>
      <c r="I9" s="1299">
        <f>H9*G9</f>
        <v>1020</v>
      </c>
      <c r="J9" s="37"/>
      <c r="K9" s="1302">
        <f>M6-K10</f>
        <v>49</v>
      </c>
      <c r="L9" s="1301">
        <f>K9*G9</f>
        <v>1249.5</v>
      </c>
      <c r="M9" s="1280"/>
      <c r="N9" s="1300">
        <f>P6-N10</f>
        <v>58</v>
      </c>
      <c r="O9" s="1299">
        <f>N9*G9</f>
        <v>1479</v>
      </c>
      <c r="P9" s="37"/>
      <c r="Q9" s="34"/>
      <c r="R9" s="517"/>
      <c r="S9" s="208" t="s">
        <v>887</v>
      </c>
      <c r="T9" s="1298"/>
    </row>
    <row r="10" spans="1:41" s="1268" customFormat="1" ht="15" customHeight="1">
      <c r="A10" s="309"/>
      <c r="B10" s="185"/>
      <c r="C10" s="223" t="str">
        <f>IF('SDK1'!O9&gt;0,"Nebenprodukt (incl. MwSt.)","Nebenprodukt (ohne MwSt)")</f>
        <v>Nebenprodukt (ohne MwSt)</v>
      </c>
      <c r="D10" s="1277"/>
      <c r="E10" s="4416" t="s">
        <v>891</v>
      </c>
      <c r="F10" s="4417"/>
      <c r="G10" s="1362">
        <f>'SDK1'!O25</f>
        <v>16.2</v>
      </c>
      <c r="H10" s="1292">
        <v>5</v>
      </c>
      <c r="I10" s="1291">
        <f>H10*G10</f>
        <v>81</v>
      </c>
      <c r="J10" s="1296"/>
      <c r="K10" s="1295">
        <v>6</v>
      </c>
      <c r="L10" s="1294">
        <f>K10*G10</f>
        <v>97.199999999999989</v>
      </c>
      <c r="M10" s="1293"/>
      <c r="N10" s="1292">
        <v>7</v>
      </c>
      <c r="O10" s="1291">
        <f>N10*G10</f>
        <v>113.39999999999999</v>
      </c>
      <c r="P10" s="1290"/>
      <c r="Q10" s="34"/>
      <c r="R10" s="1289">
        <f>I10+I11+I12</f>
        <v>418.04999999999995</v>
      </c>
      <c r="S10" s="1288">
        <f>L10+L11+L12</f>
        <v>509.15</v>
      </c>
      <c r="T10" s="1287">
        <f>O10+O11+O12</f>
        <v>600.25</v>
      </c>
      <c r="W10" s="196" t="s">
        <v>879</v>
      </c>
    </row>
    <row r="11" spans="1:41" s="1268" customFormat="1" ht="15" customHeight="1">
      <c r="A11" s="309"/>
      <c r="B11" s="217"/>
      <c r="C11" s="39" t="s">
        <v>878</v>
      </c>
      <c r="D11" s="309"/>
      <c r="E11" s="1286">
        <v>0.7</v>
      </c>
      <c r="F11" s="39" t="s">
        <v>877</v>
      </c>
      <c r="G11" s="1285">
        <f>'SDK1'!$O$48</f>
        <v>10.7</v>
      </c>
      <c r="H11" s="3151">
        <f>IF(OR($T$3,$T$4)=TRUE,J6*$E$11,0)</f>
        <v>31.499999999999996</v>
      </c>
      <c r="I11" s="3152">
        <f>H11*$G$11</f>
        <v>337.04999999999995</v>
      </c>
      <c r="J11" s="3153"/>
      <c r="K11" s="3154">
        <f>IF(OR($T$3,$T$4)=TRUE,M6*$E$11,0)</f>
        <v>38.5</v>
      </c>
      <c r="L11" s="3155">
        <f>K11*$G$11</f>
        <v>411.95</v>
      </c>
      <c r="M11" s="3156"/>
      <c r="N11" s="3157">
        <f>IF(OR($T$3,$T$4)=TRUE,P6*$E$11,0)</f>
        <v>45.5</v>
      </c>
      <c r="O11" s="3152">
        <f>N11*$G$11</f>
        <v>486.84999999999997</v>
      </c>
      <c r="P11" s="3158"/>
      <c r="Q11" s="34"/>
      <c r="W11" s="1268" t="s">
        <v>876</v>
      </c>
    </row>
    <row r="12" spans="1:41" s="1268" customFormat="1" ht="15" hidden="1" customHeight="1">
      <c r="A12" s="309"/>
      <c r="B12" s="185"/>
      <c r="C12" s="223" t="s">
        <v>1652</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f>IF(OR(T3=TRUE,T4=TRUE),J6*$E$11,"0")</f>
        <v>31.499999999999996</v>
      </c>
      <c r="Y13" s="1265">
        <f>IF(OR(T3=TRUE,T4=TRUE),M6*$E$11,"0")</f>
        <v>38.5</v>
      </c>
      <c r="Z13" s="1264">
        <f>IF(OR(T3=TRUE,T4=TRUE),P6*$E$11,"0")</f>
        <v>45.5</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11.025000000000002</v>
      </c>
      <c r="Y14" s="1260">
        <f>$Y$13*F30</f>
        <v>13.475000000000003</v>
      </c>
      <c r="Z14" s="1260">
        <f>$Z$13*F30</f>
        <v>15.925000000000004</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6.6149999999999984</v>
      </c>
      <c r="Y15" s="1260">
        <f>$Y$13*F31</f>
        <v>8.0849999999999991</v>
      </c>
      <c r="Z15" s="1260">
        <f>$Z$13*F31</f>
        <v>9.5549999999999979</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37.484999999999992</v>
      </c>
      <c r="Y16" s="1260">
        <f>$Y$13*F32</f>
        <v>45.814999999999998</v>
      </c>
      <c r="Z16" s="1260">
        <f>$Z$13*F32</f>
        <v>54.144999999999996</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2.2050000000000001</v>
      </c>
      <c r="Y17" s="1260">
        <f>$Y$13*F33</f>
        <v>2.6950000000000003</v>
      </c>
      <c r="Z17" s="1260">
        <f>$Z$13*F33</f>
        <v>3.1850000000000005</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139.19999999999999</v>
      </c>
      <c r="K23" s="1046"/>
      <c r="L23" s="1045"/>
      <c r="M23" s="1227">
        <f>SUM(L25:L26)</f>
        <v>139.19999999999999</v>
      </c>
      <c r="N23" s="1043"/>
      <c r="O23" s="1042"/>
      <c r="P23" s="1026">
        <f>SUM(O25:O26)</f>
        <v>139.19999999999999</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'SDK7'!F56/100</f>
        <v>0.87</v>
      </c>
      <c r="G25" s="1221">
        <f>F25*(100+$D$24)/100</f>
        <v>0.87</v>
      </c>
      <c r="H25" s="1220">
        <v>160</v>
      </c>
      <c r="I25" s="1181">
        <f>H25*$G25</f>
        <v>139.19999999999999</v>
      </c>
      <c r="J25" s="39"/>
      <c r="K25" s="1220">
        <f>H25</f>
        <v>160</v>
      </c>
      <c r="L25" s="1023">
        <f>K25*$G25</f>
        <v>139.19999999999999</v>
      </c>
      <c r="M25" s="1016"/>
      <c r="N25" s="1220">
        <f>H25</f>
        <v>160</v>
      </c>
      <c r="O25" s="1181">
        <f>N25*$G25</f>
        <v>139.19999999999999</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225.79689999999999</v>
      </c>
      <c r="K27" s="1175"/>
      <c r="L27" s="1174"/>
      <c r="M27" s="1044">
        <f>SUM(L30:L32)</f>
        <v>270.68510000000003</v>
      </c>
      <c r="N27" s="1173"/>
      <c r="O27" s="1172"/>
      <c r="P27" s="1041">
        <f>SUM(O30:O32)</f>
        <v>315.57330000000002</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1.38</v>
      </c>
      <c r="F30" s="1201">
        <f>VLOOKUP(K2,'SD8'!B9:L42,7,FALSE)</f>
        <v>0.35000000000000009</v>
      </c>
      <c r="G30" s="1200">
        <v>20</v>
      </c>
      <c r="H30" s="1198">
        <f>IF(J$6=0,0,(J$6*$E30+$G30+X14))</f>
        <v>93.125</v>
      </c>
      <c r="I30" s="1181">
        <f>H30*$D30</f>
        <v>110.81874999999999</v>
      </c>
      <c r="J30" s="39"/>
      <c r="K30" s="1199">
        <f>IF(M$6=0,0,(M$6*$E30+$G30+Y14))</f>
        <v>109.375</v>
      </c>
      <c r="L30" s="1023">
        <f>K30*$D30</f>
        <v>130.15625</v>
      </c>
      <c r="M30" s="1016"/>
      <c r="N30" s="1198">
        <f>IF(P$6=0,0,(P$6*$E30+$G30+Z14))</f>
        <v>125.625</v>
      </c>
      <c r="O30" s="1181">
        <f>N30*$D30</f>
        <v>149.49375000000001</v>
      </c>
      <c r="P30" s="1145"/>
      <c r="Q30" s="34"/>
    </row>
    <row r="31" spans="1:26" s="36" customFormat="1" ht="15" customHeight="1">
      <c r="A31" s="746"/>
      <c r="B31" s="217"/>
      <c r="C31" s="746" t="s">
        <v>234</v>
      </c>
      <c r="D31" s="1150">
        <f>'SDK1'!O53</f>
        <v>1.2</v>
      </c>
      <c r="E31" s="1201">
        <f>VLOOKUP(K2,'SD8'!B9:L42,4,FALSE)</f>
        <v>0.8</v>
      </c>
      <c r="F31" s="1201">
        <f>VLOOKUP(K2,'SD8'!B9:L42,8,FALSE)</f>
        <v>0.20999999999999996</v>
      </c>
      <c r="G31" s="1200"/>
      <c r="H31" s="1198">
        <f>IF(J$6=0,0,(J$6*$E31+$G31+X15))</f>
        <v>42.614999999999995</v>
      </c>
      <c r="I31" s="1181">
        <f>H31*$D31</f>
        <v>51.137999999999991</v>
      </c>
      <c r="J31" s="39"/>
      <c r="K31" s="1199">
        <f>IF(M$6=0,0,(M$6*$E31+$G31+Y15))</f>
        <v>52.085000000000001</v>
      </c>
      <c r="L31" s="1023">
        <f>K31*$D31</f>
        <v>62.501999999999995</v>
      </c>
      <c r="M31" s="1016"/>
      <c r="N31" s="1198">
        <f>IF(P$6=0,0,(P$6*$E31+$G31+Z15))</f>
        <v>61.555</v>
      </c>
      <c r="O31" s="1181">
        <f>N31*$D31</f>
        <v>73.866</v>
      </c>
      <c r="P31" s="1145"/>
      <c r="Q31" s="34"/>
    </row>
    <row r="32" spans="1:26" s="36" customFormat="1" ht="15" customHeight="1">
      <c r="A32" s="746"/>
      <c r="B32" s="185"/>
      <c r="C32" s="2791" t="s">
        <v>232</v>
      </c>
      <c r="D32" s="1133">
        <f>'SDK1'!O54</f>
        <v>0.99</v>
      </c>
      <c r="E32" s="1197">
        <f>VLOOKUP(K2,'SD8'!B9:L42,5,FALSE)</f>
        <v>0.6</v>
      </c>
      <c r="F32" s="1197">
        <f>VLOOKUP(K2,'SD8'!B9:L42,9,FALSE)</f>
        <v>1.19</v>
      </c>
      <c r="G32" s="1196"/>
      <c r="H32" s="1194">
        <f>IF(J$6=0,0,(J$6*$E32+$G32+X16))</f>
        <v>64.484999999999985</v>
      </c>
      <c r="I32" s="1177">
        <f>H32*$D32</f>
        <v>63.840149999999987</v>
      </c>
      <c r="J32" s="223"/>
      <c r="K32" s="1195">
        <f>IF(M$6=0,0,(M$6*$E32+$G32+Y16))</f>
        <v>78.814999999999998</v>
      </c>
      <c r="L32" s="1017">
        <f>K32*$D32</f>
        <v>78.026849999999996</v>
      </c>
      <c r="M32" s="1256"/>
      <c r="N32" s="1194">
        <f>IF(P$6=0,0,(P$6*$E32+$G32+Z16))</f>
        <v>93.144999999999996</v>
      </c>
      <c r="O32" s="1177">
        <f>N32*$D32</f>
        <v>92.213549999999998</v>
      </c>
      <c r="P32" s="1176"/>
      <c r="Q32" s="34"/>
    </row>
    <row r="33" spans="1:17" s="36" customFormat="1" ht="15" hidden="1" customHeight="1">
      <c r="A33" s="746"/>
      <c r="B33" s="185"/>
      <c r="C33" s="771" t="s">
        <v>230</v>
      </c>
      <c r="D33" s="1133">
        <f>'SDK1'!P55</f>
        <v>0.45</v>
      </c>
      <c r="E33" s="1197">
        <f>VLOOKUP(K2,'SD8'!B9:L42,6,FALSE)</f>
        <v>0.2</v>
      </c>
      <c r="F33" s="1197">
        <f>VLOOKUP(K2,'SD8'!B9:L42,10,FALSE)</f>
        <v>7.0000000000000007E-2</v>
      </c>
      <c r="G33" s="1196"/>
      <c r="H33" s="1194">
        <f>IF(J$6=0,0,(J$6*$E33+$G33+X17))</f>
        <v>11.205</v>
      </c>
      <c r="I33" s="1177">
        <f>H33*$D33</f>
        <v>5.0422500000000001</v>
      </c>
      <c r="J33" s="39"/>
      <c r="K33" s="1195">
        <f>IF(M$6=0,0,(M$6*$E33+$G33+Y17))</f>
        <v>13.695</v>
      </c>
      <c r="L33" s="1017">
        <f>K33*$D33</f>
        <v>6.16275</v>
      </c>
      <c r="M33" s="1016"/>
      <c r="N33" s="1194">
        <f>IF(P$6=0,0,(P$6*$E33+$G33+Z17))</f>
        <v>16.185000000000002</v>
      </c>
      <c r="O33" s="1177">
        <f>N33*$D33</f>
        <v>7.2832500000000016</v>
      </c>
      <c r="P33" s="1176"/>
      <c r="Q33" s="34"/>
    </row>
    <row r="34" spans="1:17" s="511" customFormat="1" ht="18.75" customHeight="1">
      <c r="A34" s="711"/>
      <c r="B34" s="716" t="s">
        <v>859</v>
      </c>
      <c r="C34" s="711"/>
      <c r="D34" s="33"/>
      <c r="E34" s="33"/>
      <c r="F34" s="4381" t="s">
        <v>858</v>
      </c>
      <c r="G34" s="4382"/>
      <c r="H34" s="1191"/>
      <c r="I34" s="1190"/>
      <c r="J34" s="1041">
        <f>SUM(I36:I42)</f>
        <v>163.79000000000002</v>
      </c>
      <c r="K34" s="1193"/>
      <c r="L34" s="1192"/>
      <c r="M34" s="1044">
        <f>SUM(L36:L42)</f>
        <v>163.79000000000002</v>
      </c>
      <c r="N34" s="1191"/>
      <c r="O34" s="1190"/>
      <c r="P34" s="1041">
        <f>SUM(O36:O42)</f>
        <v>163.79000000000002</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541</v>
      </c>
      <c r="D36" s="4389"/>
      <c r="E36" s="4390"/>
      <c r="F36" s="1183">
        <f>IF(C36="",0,VLOOKUP(C36,'SDK5'!C3:AF83,2,FALSE))</f>
        <v>53.5</v>
      </c>
      <c r="G36" s="1183">
        <f t="shared" ref="G36:G42" si="0">F36*(100+$D$35)/100</f>
        <v>53.5</v>
      </c>
      <c r="H36" s="1182">
        <v>0.9</v>
      </c>
      <c r="I36" s="1181">
        <f t="shared" ref="I36:I42" si="1">$G36*H36</f>
        <v>48.15</v>
      </c>
      <c r="J36" s="39"/>
      <c r="K36" s="1182">
        <v>0.9</v>
      </c>
      <c r="L36" s="1023">
        <f t="shared" ref="L36:L42" si="2">$G36*K36</f>
        <v>48.15</v>
      </c>
      <c r="M36" s="1016"/>
      <c r="N36" s="1182">
        <v>0.9</v>
      </c>
      <c r="O36" s="1181">
        <f t="shared" ref="O36:O42" si="3">$G36*N36</f>
        <v>48.15</v>
      </c>
      <c r="P36" s="1185"/>
      <c r="Q36" s="34" t="str">
        <f>VLOOKUP(C36,'SDK5'!$C$5:$AF$91,3,FALSE)</f>
        <v>H</v>
      </c>
    </row>
    <row r="37" spans="1:17" s="36" customFormat="1" ht="15" customHeight="1">
      <c r="A37" s="746"/>
      <c r="B37" s="1021"/>
      <c r="C37" s="4375" t="s">
        <v>1484</v>
      </c>
      <c r="D37" s="4375"/>
      <c r="E37" s="4376"/>
      <c r="F37" s="1183">
        <f>IF(C37="",0,VLOOKUP(C37,'SDK5'!C4:AF84,2,FALSE))</f>
        <v>35</v>
      </c>
      <c r="G37" s="1183">
        <f t="shared" si="0"/>
        <v>35</v>
      </c>
      <c r="H37" s="1182">
        <v>1</v>
      </c>
      <c r="I37" s="1181">
        <f t="shared" si="1"/>
        <v>35</v>
      </c>
      <c r="J37" s="39"/>
      <c r="K37" s="1182">
        <v>1</v>
      </c>
      <c r="L37" s="1023">
        <f t="shared" si="2"/>
        <v>35</v>
      </c>
      <c r="M37" s="1016"/>
      <c r="N37" s="1182">
        <v>1</v>
      </c>
      <c r="O37" s="1181">
        <f t="shared" si="3"/>
        <v>35</v>
      </c>
      <c r="P37" s="1145"/>
      <c r="Q37" s="34" t="str">
        <f>VLOOKUP(C37,'SDK5'!$C$5:$AF$91,3,FALSE)</f>
        <v>H</v>
      </c>
    </row>
    <row r="38" spans="1:17" s="36" customFormat="1" ht="15" customHeight="1">
      <c r="A38" s="746"/>
      <c r="B38" s="1184"/>
      <c r="C38" s="4375" t="s">
        <v>1497</v>
      </c>
      <c r="D38" s="4375"/>
      <c r="E38" s="4376"/>
      <c r="F38" s="1183">
        <f>IF(C38="",0,VLOOKUP(C38,'SDK5'!C5:AF85,2,FALSE))</f>
        <v>56</v>
      </c>
      <c r="G38" s="1183">
        <f t="shared" si="0"/>
        <v>56</v>
      </c>
      <c r="H38" s="1182">
        <v>1.2</v>
      </c>
      <c r="I38" s="1181">
        <f t="shared" si="1"/>
        <v>67.2</v>
      </c>
      <c r="J38" s="39"/>
      <c r="K38" s="1182">
        <v>1.2</v>
      </c>
      <c r="L38" s="1023">
        <f t="shared" si="2"/>
        <v>67.2</v>
      </c>
      <c r="M38" s="1016"/>
      <c r="N38" s="1182">
        <v>1.2</v>
      </c>
      <c r="O38" s="1181">
        <f t="shared" si="3"/>
        <v>67.2</v>
      </c>
      <c r="P38" s="1145"/>
      <c r="Q38" s="34" t="str">
        <f>VLOOKUP(C38,'SDK5'!$C$5:$AF$91,3,FALSE)</f>
        <v>F</v>
      </c>
    </row>
    <row r="39" spans="1:17" s="36" customFormat="1" ht="15" customHeight="1">
      <c r="A39" s="746"/>
      <c r="B39" s="1021"/>
      <c r="C39" s="4375" t="s">
        <v>1498</v>
      </c>
      <c r="D39" s="4375"/>
      <c r="E39" s="4376"/>
      <c r="F39" s="1183">
        <f>IF(C39="",0,VLOOKUP(C39,'SDK5'!C6:AF86,2,FALSE))</f>
        <v>33.6</v>
      </c>
      <c r="G39" s="1183">
        <f>F39*(100+$D$35)/100</f>
        <v>33.6</v>
      </c>
      <c r="H39" s="1182">
        <v>0.4</v>
      </c>
      <c r="I39" s="1181">
        <f t="shared" si="1"/>
        <v>13.440000000000001</v>
      </c>
      <c r="J39" s="39"/>
      <c r="K39" s="1182">
        <v>0.4</v>
      </c>
      <c r="L39" s="1023">
        <f t="shared" si="2"/>
        <v>13.440000000000001</v>
      </c>
      <c r="M39" s="1016"/>
      <c r="N39" s="1182">
        <v>0.4</v>
      </c>
      <c r="O39" s="1181">
        <f t="shared" si="3"/>
        <v>13.440000000000001</v>
      </c>
      <c r="P39" s="1145"/>
      <c r="Q39" s="34" t="str">
        <f>VLOOKUP(C39,'SDK5'!$C$5:$AF$91,3,FALSE)</f>
        <v>F</v>
      </c>
    </row>
    <row r="40" spans="1:17" s="36" customFormat="1" ht="15" customHeight="1">
      <c r="A40" s="746"/>
      <c r="B40" s="1021"/>
      <c r="C40" s="4375"/>
      <c r="D40" s="4375"/>
      <c r="E40" s="4376"/>
      <c r="F40" s="1183">
        <f>IF(C40="",0,VLOOKUP(C40,'SDK5'!C7:AF87,2,FALSE))</f>
        <v>0</v>
      </c>
      <c r="G40" s="1183"/>
      <c r="H40" s="1182"/>
      <c r="I40" s="1181">
        <f t="shared" si="1"/>
        <v>0</v>
      </c>
      <c r="J40" s="39"/>
      <c r="K40" s="1182"/>
      <c r="L40" s="1023">
        <f t="shared" si="2"/>
        <v>0</v>
      </c>
      <c r="M40" s="1016"/>
      <c r="N40" s="1182"/>
      <c r="O40" s="1181">
        <f t="shared" si="3"/>
        <v>0</v>
      </c>
      <c r="P40" s="1145"/>
      <c r="Q40" s="34" t="e">
        <f>VLOOKUP(C40,'SDK5'!$C$5:$AF$91,3,FALSE)</f>
        <v>#N/A</v>
      </c>
    </row>
    <row r="41" spans="1:17"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t="e">
        <f>VLOOKUP(C41,'SDK5'!$C$5:$AF$91,3,FALSE)</f>
        <v>#N/A</v>
      </c>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t="e">
        <f>VLOOKUP(C42,'SDK5'!$C$5:$AF$91,3,FALSE)</f>
        <v>#N/A</v>
      </c>
    </row>
    <row r="43" spans="1:17" s="511" customFormat="1" ht="18.75" customHeight="1">
      <c r="A43" s="711"/>
      <c r="B43" s="716" t="s">
        <v>856</v>
      </c>
      <c r="C43" s="711"/>
      <c r="D43" s="711"/>
      <c r="E43" s="711"/>
      <c r="F43" s="711"/>
      <c r="G43" s="1047"/>
      <c r="H43" s="1173"/>
      <c r="I43" s="1172"/>
      <c r="J43" s="1041">
        <f>SUM(J46:J57)</f>
        <v>167.47191082699999</v>
      </c>
      <c r="K43" s="1175"/>
      <c r="L43" s="1174"/>
      <c r="M43" s="1044">
        <f>SUM(M46:M57)</f>
        <v>172.67544765966667</v>
      </c>
      <c r="N43" s="1173"/>
      <c r="O43" s="1172"/>
      <c r="P43" s="1041">
        <f>SUM(P46:P57)</f>
        <v>177.87898449233333</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360</v>
      </c>
      <c r="D46" s="4364"/>
      <c r="E46" s="1152">
        <f>IF($C46=0,0,VLOOKUP($C46,'SD3'!$C$24:$O$85,4,FALSE))</f>
        <v>120</v>
      </c>
      <c r="F46" s="1151">
        <f>IF($C46=0,0,VLOOKUP($C46,'SD3'!$C$24:$O$85,12,FALSE))</f>
        <v>0.79</v>
      </c>
      <c r="G46" s="1150">
        <f>IF($C46=0,0,VLOOKUP($C46,'SD3'!$C$24:$O$85,13,FALSE))</f>
        <v>27.987262000000001</v>
      </c>
      <c r="H46" s="1155">
        <v>1</v>
      </c>
      <c r="I46" s="1154">
        <f t="shared" ref="I46:I57" si="4">$F46*H46</f>
        <v>0.79</v>
      </c>
      <c r="J46" s="1145">
        <f t="shared" ref="J46:J57" si="5">H46*$G46</f>
        <v>27.987262000000001</v>
      </c>
      <c r="K46" s="1155">
        <v>1</v>
      </c>
      <c r="L46" s="1156">
        <f t="shared" ref="L46:L57" si="6">$F46*K46</f>
        <v>0.79</v>
      </c>
      <c r="M46" s="1148">
        <f t="shared" ref="M46:M57" si="7">K46*$G46</f>
        <v>27.987262000000001</v>
      </c>
      <c r="N46" s="1155">
        <v>1</v>
      </c>
      <c r="O46" s="1154">
        <f t="shared" ref="O46:O57" si="8">$F46*N46</f>
        <v>0.79</v>
      </c>
      <c r="P46" s="1145">
        <f t="shared" ref="P46:P57" si="9">N46*$G46</f>
        <v>27.987262000000001</v>
      </c>
      <c r="Q46" s="34">
        <f>$Q$2*H46</f>
        <v>0</v>
      </c>
    </row>
    <row r="47" spans="1:17" s="36" customFormat="1" ht="15" customHeight="1">
      <c r="A47" s="746"/>
      <c r="B47" s="1153"/>
      <c r="C47" s="4387" t="s">
        <v>1589</v>
      </c>
      <c r="D47" s="4388"/>
      <c r="E47" s="1152">
        <f>IF($C47=0,0,VLOOKUP($C47,'SD3'!$C$24:$O$85,4,FALSE))</f>
        <v>120</v>
      </c>
      <c r="F47" s="1151">
        <f>IF($C47=0,0,VLOOKUP($C47,'SD3'!$C$24:$O$85,12,FALSE))</f>
        <v>1.38</v>
      </c>
      <c r="G47" s="1150">
        <f>IF($C47=0,0,VLOOKUP($C47,'SD3'!$C$24:$O$85,13,FALSE))</f>
        <v>64.642445999999993</v>
      </c>
      <c r="H47" s="1147">
        <v>1</v>
      </c>
      <c r="I47" s="1146">
        <f t="shared" si="4"/>
        <v>1.38</v>
      </c>
      <c r="J47" s="1145">
        <f t="shared" si="5"/>
        <v>64.642445999999993</v>
      </c>
      <c r="K47" s="1147">
        <v>1</v>
      </c>
      <c r="L47" s="1149">
        <f t="shared" si="6"/>
        <v>1.38</v>
      </c>
      <c r="M47" s="1148">
        <f t="shared" si="7"/>
        <v>64.642445999999993</v>
      </c>
      <c r="N47" s="1147">
        <v>1</v>
      </c>
      <c r="O47" s="1146">
        <f t="shared" si="8"/>
        <v>1.38</v>
      </c>
      <c r="P47" s="1145">
        <f t="shared" si="9"/>
        <v>64.642445999999993</v>
      </c>
      <c r="Q47" s="34"/>
    </row>
    <row r="48" spans="1:17" s="36" customFormat="1" ht="15" customHeight="1">
      <c r="A48" s="746"/>
      <c r="B48" s="1153"/>
      <c r="C48" s="4387" t="s">
        <v>354</v>
      </c>
      <c r="D48" s="4388"/>
      <c r="E48" s="1152">
        <f>IF($C48=0,0,VLOOKUP($C48,'SD3'!$C$24:$O$85,4,FALSE))</f>
        <v>120</v>
      </c>
      <c r="F48" s="1151">
        <f>IF($C48=0,0,VLOOKUP($C48,'SD3'!$C$24:$O$85,12,FALSE))</f>
        <v>0.71</v>
      </c>
      <c r="G48" s="1150">
        <f>IF($C48=0,0,VLOOKUP($C48,'SD3'!$C$24:$O$85,13,FALSE))</f>
        <v>30.659437999999998</v>
      </c>
      <c r="H48" s="1147">
        <v>1</v>
      </c>
      <c r="I48" s="1146">
        <f t="shared" si="4"/>
        <v>0.71</v>
      </c>
      <c r="J48" s="1145">
        <f t="shared" si="5"/>
        <v>30.659437999999998</v>
      </c>
      <c r="K48" s="1147">
        <v>1</v>
      </c>
      <c r="L48" s="1149">
        <f t="shared" si="6"/>
        <v>0.71</v>
      </c>
      <c r="M48" s="1148">
        <f t="shared" si="7"/>
        <v>30.659437999999998</v>
      </c>
      <c r="N48" s="1147">
        <v>1</v>
      </c>
      <c r="O48" s="1146">
        <f t="shared" si="8"/>
        <v>0.71</v>
      </c>
      <c r="P48" s="1145">
        <f t="shared" si="9"/>
        <v>30.659437999999998</v>
      </c>
      <c r="Q48" s="34"/>
    </row>
    <row r="49" spans="1:17" s="36" customFormat="1" ht="15" customHeight="1">
      <c r="A49" s="746"/>
      <c r="B49" s="1153"/>
      <c r="C49" s="4387" t="s">
        <v>1591</v>
      </c>
      <c r="D49" s="4388"/>
      <c r="E49" s="1152">
        <f>IF($C49=0,0,VLOOKUP($C49,'SD3'!$C$24:$O$85,4,FALSE))</f>
        <v>83</v>
      </c>
      <c r="F49" s="1151">
        <f>IF($C49=0,0,VLOOKUP($C49,'SD3'!$C$24:$O$85,12,FALSE))</f>
        <v>0.22</v>
      </c>
      <c r="G49" s="1150">
        <f>IF($C49=0,0,VLOOKUP($C49,'SD3'!$C$24:$O$85,13,FALSE))</f>
        <v>6.6430352599999996</v>
      </c>
      <c r="H49" s="1147">
        <v>2</v>
      </c>
      <c r="I49" s="1146">
        <f t="shared" si="4"/>
        <v>0.44</v>
      </c>
      <c r="J49" s="1145">
        <f t="shared" si="5"/>
        <v>13.286070519999999</v>
      </c>
      <c r="K49" s="1147">
        <v>2</v>
      </c>
      <c r="L49" s="1149">
        <f t="shared" si="6"/>
        <v>0.44</v>
      </c>
      <c r="M49" s="1148">
        <f t="shared" si="7"/>
        <v>13.286070519999999</v>
      </c>
      <c r="N49" s="1147">
        <v>2</v>
      </c>
      <c r="O49" s="1146">
        <f t="shared" si="8"/>
        <v>0.44</v>
      </c>
      <c r="P49" s="1145">
        <f t="shared" si="9"/>
        <v>13.286070519999999</v>
      </c>
      <c r="Q49" s="34"/>
    </row>
    <row r="50" spans="1:17" s="36" customFormat="1" ht="15" customHeight="1">
      <c r="A50" s="746"/>
      <c r="B50" s="1153"/>
      <c r="C50" s="4387" t="s">
        <v>346</v>
      </c>
      <c r="D50" s="4388"/>
      <c r="E50" s="1152">
        <f>IF($C50=0,0,VLOOKUP($C50,'SD3'!$C$24:$O$85,4,FALSE))</f>
        <v>83</v>
      </c>
      <c r="F50" s="1151">
        <f>IF($C50=0,0,VLOOKUP($C50,'SD3'!$C$24:$O$85,12,FALSE))</f>
        <v>0.16</v>
      </c>
      <c r="G50" s="1150">
        <f>IF($C50=0,0,VLOOKUP($C50,'SD3'!$C$24:$O$85,13,FALSE))</f>
        <v>3.7403892799999996</v>
      </c>
      <c r="H50" s="3741">
        <v>2</v>
      </c>
      <c r="I50" s="1146">
        <f t="shared" si="4"/>
        <v>0.32</v>
      </c>
      <c r="J50" s="1145">
        <f t="shared" si="5"/>
        <v>7.4807785599999992</v>
      </c>
      <c r="K50" s="3741">
        <v>2</v>
      </c>
      <c r="L50" s="1149">
        <f t="shared" si="6"/>
        <v>0.32</v>
      </c>
      <c r="M50" s="1148">
        <f t="shared" si="7"/>
        <v>7.4807785599999992</v>
      </c>
      <c r="N50" s="3741">
        <v>2</v>
      </c>
      <c r="O50" s="1146">
        <f t="shared" si="8"/>
        <v>0.32</v>
      </c>
      <c r="P50" s="1145">
        <f t="shared" si="9"/>
        <v>7.4807785599999992</v>
      </c>
      <c r="Q50" s="34"/>
    </row>
    <row r="51" spans="1:17" s="36" customFormat="1" ht="15" customHeight="1">
      <c r="A51" s="746"/>
      <c r="B51" s="1153"/>
      <c r="C51" s="4403" t="s">
        <v>1748</v>
      </c>
      <c r="D51" s="4404"/>
      <c r="E51" s="1152">
        <f>IF($C51=0,0,VLOOKUP($C51,'SD3'!$C$24:$O$85,4,FALSE))</f>
        <v>120</v>
      </c>
      <c r="F51" s="1151">
        <f>IF($C51=0,0,VLOOKUP($C51,'SD3'!$C$24:$O$85,12,FALSE))</f>
        <v>0.37</v>
      </c>
      <c r="G51" s="1150">
        <f>IF($C51=0,0,VLOOKUP($C51,'SD3'!$C$24:$O$85,13,FALSE))</f>
        <v>11.7573302</v>
      </c>
      <c r="H51" s="3611">
        <f>J6/75</f>
        <v>0.6</v>
      </c>
      <c r="I51" s="1146">
        <f t="shared" si="4"/>
        <v>0.222</v>
      </c>
      <c r="J51" s="1145">
        <f t="shared" si="5"/>
        <v>7.0543981200000001</v>
      </c>
      <c r="K51" s="3611">
        <f>M6/75</f>
        <v>0.73333333333333328</v>
      </c>
      <c r="L51" s="1149">
        <f t="shared" si="6"/>
        <v>0.27133333333333332</v>
      </c>
      <c r="M51" s="1148">
        <f t="shared" si="7"/>
        <v>8.6220421466666668</v>
      </c>
      <c r="N51" s="3611">
        <f>P6/75</f>
        <v>0.8666666666666667</v>
      </c>
      <c r="O51" s="1146">
        <f t="shared" si="8"/>
        <v>0.32066666666666666</v>
      </c>
      <c r="P51" s="1145">
        <f t="shared" si="9"/>
        <v>10.189686173333333</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IF($T$4=TRUE,0,H11/50)</f>
        <v>0.62999999999999989</v>
      </c>
      <c r="I57" s="1130">
        <f t="shared" si="4"/>
        <v>0.81899999999999984</v>
      </c>
      <c r="J57" s="1129">
        <f t="shared" si="5"/>
        <v>16.361517626999994</v>
      </c>
      <c r="K57" s="1131">
        <f>IF($T$4=TRUE,0,K11/50)</f>
        <v>0.77</v>
      </c>
      <c r="L57" s="1132">
        <f t="shared" si="6"/>
        <v>1.0010000000000001</v>
      </c>
      <c r="M57" s="1079">
        <f t="shared" si="7"/>
        <v>19.997410432999995</v>
      </c>
      <c r="N57" s="1131">
        <f>IF($T$4=TRUE,0,N11/50)</f>
        <v>0.91</v>
      </c>
      <c r="O57" s="1130">
        <f t="shared" si="8"/>
        <v>1.1830000000000001</v>
      </c>
      <c r="P57" s="1129">
        <f t="shared" si="9"/>
        <v>23.633303238999996</v>
      </c>
      <c r="Q57" s="34"/>
    </row>
    <row r="58" spans="1:17" s="46" customFormat="1" ht="18.75" customHeight="1">
      <c r="A58" s="811"/>
      <c r="B58" s="716" t="s">
        <v>848</v>
      </c>
      <c r="C58" s="811"/>
      <c r="D58" s="811"/>
      <c r="E58" s="811"/>
      <c r="F58" s="34"/>
      <c r="G58" s="1047"/>
      <c r="H58" s="1124"/>
      <c r="I58" s="1123">
        <f>SUM($I$46:$I$57)</f>
        <v>4.6809999999999992</v>
      </c>
      <c r="J58" s="1128"/>
      <c r="K58" s="1127"/>
      <c r="L58" s="1126">
        <f>SUM($L$46:$L$57)</f>
        <v>4.9123333333333328</v>
      </c>
      <c r="M58" s="1125"/>
      <c r="N58" s="1124"/>
      <c r="O58" s="1123">
        <f>SUM($O$46:$O$57)</f>
        <v>5.1436666666666664</v>
      </c>
      <c r="P58" s="1122"/>
      <c r="Q58" s="34"/>
    </row>
    <row r="59" spans="1:17" s="46" customFormat="1" ht="15" customHeight="1">
      <c r="A59" s="811"/>
      <c r="B59" s="1121"/>
      <c r="C59" s="285"/>
      <c r="D59" s="222" t="s">
        <v>847</v>
      </c>
      <c r="E59" s="1120">
        <v>80</v>
      </c>
      <c r="F59" s="285" t="s">
        <v>846</v>
      </c>
      <c r="G59" s="1119"/>
      <c r="H59" s="1115"/>
      <c r="I59" s="1114">
        <f>IF(I58+SUM($I$46:$I$57)*$E$59%&gt;I58+10,I58+10,I58+SUM($I$46:$I$57)*$E$59%)</f>
        <v>8.4257999999999988</v>
      </c>
      <c r="J59" s="1113"/>
      <c r="K59" s="1118"/>
      <c r="L59" s="1117">
        <f>IF(L58+SUM($L$46:$L$57)*$E$59%&gt;L58+10,L58+10,L58+SUM($L$46:$L$57)*$E$59%)</f>
        <v>8.8421999999999983</v>
      </c>
      <c r="M59" s="1116"/>
      <c r="N59" s="1115"/>
      <c r="O59" s="1114">
        <f>IF(O58+SUM($O$46:$O$57)*$E$59%&gt;O58+10,O58+10,O58+SUM($O$46:$O$57)*$E$59%)</f>
        <v>9.2585999999999995</v>
      </c>
      <c r="P59" s="1113"/>
      <c r="Q59" s="34"/>
    </row>
    <row r="60" spans="1:17" s="36" customFormat="1" ht="18.75" customHeight="1">
      <c r="A60" s="746"/>
      <c r="B60" s="716" t="s">
        <v>845</v>
      </c>
      <c r="C60" s="811"/>
      <c r="D60" s="811"/>
      <c r="E60" s="39"/>
      <c r="F60" s="39"/>
      <c r="G60" s="1112"/>
      <c r="H60" s="1104"/>
      <c r="I60" s="1103"/>
      <c r="J60" s="1111">
        <f>IF(J6=0,0,SUM(I62:I64))</f>
        <v>279.45</v>
      </c>
      <c r="K60" s="1107"/>
      <c r="L60" s="1106"/>
      <c r="M60" s="1044">
        <f>IF(M6=0,0,SUM(L62:L64))</f>
        <v>302.55</v>
      </c>
      <c r="N60" s="1104"/>
      <c r="O60" s="1103"/>
      <c r="P60" s="1111">
        <f>IF(P6=0,0,SUM(O62:O64))</f>
        <v>325.64999999999998</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296</v>
      </c>
      <c r="D62" s="4365"/>
      <c r="E62" s="4365"/>
      <c r="F62" s="1101">
        <f>IF($C62=0,0,VLOOKUP($C62,'SD3'!$C$90:$D$104,2,FALSE))</f>
        <v>175.5</v>
      </c>
      <c r="G62" s="1100">
        <f>(100+$D$61)/100*F62</f>
        <v>175.5</v>
      </c>
      <c r="H62" s="173"/>
      <c r="I62" s="1096">
        <f>$G$62</f>
        <v>175.5</v>
      </c>
      <c r="J62" s="173"/>
      <c r="K62" s="1099"/>
      <c r="L62" s="1098">
        <f>$G$62</f>
        <v>175.5</v>
      </c>
      <c r="M62" s="1016"/>
      <c r="N62" s="1097"/>
      <c r="O62" s="1096">
        <f>$G$62</f>
        <v>175.5</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3.3</v>
      </c>
      <c r="G64" s="1082">
        <f>(100+$D$61)/100*F64</f>
        <v>3.3</v>
      </c>
      <c r="H64" s="1078"/>
      <c r="I64" s="1077">
        <f>H11*$G$64</f>
        <v>103.94999999999999</v>
      </c>
      <c r="J64" s="173"/>
      <c r="K64" s="1081"/>
      <c r="L64" s="1080">
        <f>K11*$G$64</f>
        <v>127.05</v>
      </c>
      <c r="M64" s="1079"/>
      <c r="N64" s="1078"/>
      <c r="O64" s="1077">
        <f>N11*$G$64</f>
        <v>150.15</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3472"/>
      <c r="G67" s="3471"/>
      <c r="H67" s="1066" t="s">
        <v>842</v>
      </c>
      <c r="I67" s="1065" t="s">
        <v>841</v>
      </c>
      <c r="J67" s="1041">
        <f>R68*(H9+H10)*I68%+F68</f>
        <v>59.737499999999983</v>
      </c>
      <c r="K67" s="1068" t="s">
        <v>842</v>
      </c>
      <c r="L67" s="1067" t="s">
        <v>841</v>
      </c>
      <c r="M67" s="1044">
        <f>S68*(K9+K10)*L68%+F68</f>
        <v>73.012499999999989</v>
      </c>
      <c r="N67" s="1066" t="s">
        <v>842</v>
      </c>
      <c r="O67" s="1065" t="s">
        <v>841</v>
      </c>
      <c r="P67" s="1041">
        <f>T68*(N9+N10)*O68%+F68</f>
        <v>86.28749999999998</v>
      </c>
      <c r="Q67" s="34"/>
    </row>
    <row r="68" spans="1:20" s="511" customFormat="1" ht="15" customHeight="1">
      <c r="A68" s="711"/>
      <c r="B68" s="1064"/>
      <c r="C68" s="4393" t="s">
        <v>564</v>
      </c>
      <c r="D68" s="4393"/>
      <c r="E68" s="4393"/>
      <c r="F68" s="1063"/>
      <c r="G68" s="1054" t="s">
        <v>163</v>
      </c>
      <c r="H68" s="1061">
        <v>16</v>
      </c>
      <c r="I68" s="1060">
        <v>50</v>
      </c>
      <c r="J68" s="1059"/>
      <c r="K68" s="1061">
        <v>16</v>
      </c>
      <c r="L68" s="1060">
        <v>50</v>
      </c>
      <c r="M68" s="1062"/>
      <c r="N68" s="1061">
        <v>16</v>
      </c>
      <c r="O68" s="1060">
        <v>50</v>
      </c>
      <c r="P68" s="1059"/>
      <c r="Q68" s="34"/>
      <c r="R68" s="1058">
        <f>IF($H$68=0,0,VLOOKUP($H$68,'SD6'!B8:C151,'SD6'!C1,FALSE))*(1+'SDK1'!O11/100)</f>
        <v>2.6549999999999994</v>
      </c>
      <c r="S68" s="1058">
        <f>IF($K$68=0,0,VLOOKUP($K$68,'SD6'!B8:C151,'SD6'!C1,FALSE))*(1+'SDK1'!O11/100)</f>
        <v>2.6549999999999994</v>
      </c>
      <c r="T68" s="1058">
        <f>IF($N$68=0,0,VLOOKUP($N$68,'SD6'!B8:C151,'SD6'!C1,FALSE))*(1+'SDK1'!O11/100)</f>
        <v>2.6549999999999994</v>
      </c>
    </row>
    <row r="69" spans="1:20" s="511" customFormat="1" ht="18.75" customHeight="1">
      <c r="A69" s="711"/>
      <c r="B69" s="716" t="s">
        <v>839</v>
      </c>
      <c r="C69" s="711"/>
      <c r="D69" s="711"/>
      <c r="E69" s="4415"/>
      <c r="F69" s="4415"/>
      <c r="G69" s="1047"/>
      <c r="H69" s="38"/>
      <c r="I69" s="51"/>
      <c r="J69" s="1041">
        <f>H70*$F70/1000</f>
        <v>23.008800000000001</v>
      </c>
      <c r="K69" s="1057"/>
      <c r="L69" s="1056"/>
      <c r="M69" s="1044">
        <f>K70*$F70/1000</f>
        <v>28.138400000000001</v>
      </c>
      <c r="N69" s="38"/>
      <c r="O69" s="51"/>
      <c r="P69" s="1041">
        <f>N70*$F70/1000</f>
        <v>33.268000000000001</v>
      </c>
      <c r="Q69" s="34"/>
    </row>
    <row r="70" spans="1:20" s="511" customFormat="1" ht="15" customHeight="1">
      <c r="A70" s="711"/>
      <c r="B70" s="772"/>
      <c r="C70" s="771" t="s">
        <v>606</v>
      </c>
      <c r="D70" s="285"/>
      <c r="E70" s="222"/>
      <c r="F70" s="3742">
        <f>'SDK7'!G102</f>
        <v>16</v>
      </c>
      <c r="G70" s="1054" t="s">
        <v>163</v>
      </c>
      <c r="H70" s="1357">
        <f>J7</f>
        <v>1438.05</v>
      </c>
      <c r="I70" s="1049"/>
      <c r="J70" s="1048"/>
      <c r="K70" s="1053">
        <f>M7</f>
        <v>1758.65</v>
      </c>
      <c r="L70" s="1052"/>
      <c r="M70" s="1051"/>
      <c r="N70" s="1357">
        <f>P7</f>
        <v>2079.25</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3470"/>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f>(J23+J27+J34+J43+J60+J65+J67+J69+J71)*('SDK1'!$O$59%*$G$75/12)</f>
        <v>8.8204592568916667</v>
      </c>
      <c r="K75" s="513"/>
      <c r="L75" s="522"/>
      <c r="M75" s="1005">
        <f>(M23+M27+M34+M43+M60+M65+M67+M69+M71)*('SDK1'!$O$59%*$G$75/12)</f>
        <v>9.583762063830557</v>
      </c>
      <c r="N75" s="1007"/>
      <c r="O75" s="1006"/>
      <c r="P75" s="1005">
        <f>(P23+P27+P34+P43+P60+P65+P67+P69+P71)*('SDK1'!$O$59%*$G$75/12)</f>
        <v>10.347064870769444</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H151" s="1354"/>
      <c r="J151" s="1353"/>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topLeftCell="A37">
      <selection activeCell="AL26" sqref="AL26"/>
      <pageMargins left="0.59055118110236227" right="0.59055118110236227" top="0.59055118110236227" bottom="0.59055118110236227" header="0.39370078740157483" footer="0.39370078740157483"/>
      <printOptions horizontalCentered="1"/>
      <pageSetup paperSize="9" scale="65" firstPageNumber="36" orientation="portrait" r:id="rId1"/>
      <headerFooter alignWithMargins="0">
        <oddFooter>&amp;L&amp;11LEL Schwäbisch Gmünd&amp;C43&amp;R&amp;11&amp;F</oddFooter>
      </headerFooter>
    </customSheetView>
    <customSheetView guid="{5D5C9B61-9ABD-4513-AAEB-8333A9D6196C}" fitToPage="1" hiddenRows="1" hiddenColumns="1" topLeftCell="A37">
      <selection activeCell="AL26" sqref="AL26"/>
      <pageMargins left="0.59055118110236227" right="0.59055118110236227" top="0.59055118110236227" bottom="0.59055118110236227" header="0.39370078740157483" footer="0.39370078740157483"/>
      <printOptions horizontalCentered="1"/>
      <pageSetup paperSize="9" scale="65" firstPageNumber="36" orientation="portrait" r:id="rId2"/>
      <headerFooter alignWithMargins="0">
        <oddFooter>&amp;L&amp;11LEL Schwäbisch Gmünd&amp;C43&amp;R&amp;11&amp;F</oddFooter>
      </headerFooter>
    </customSheetView>
    <customSheetView guid="{22A73C4F-9004-4CEF-8499-B1F91BE1B569}" fitToPage="1" hiddenRows="1" hiddenColumns="1" topLeftCell="A37">
      <selection activeCell="AL26" sqref="AL26"/>
      <pageMargins left="0.59055118110236227" right="0.59055118110236227" top="0.59055118110236227" bottom="0.59055118110236227" header="0.39370078740157483" footer="0.39370078740157483"/>
      <printOptions horizontalCentered="1"/>
      <pageSetup paperSize="9" scale="65" firstPageNumber="36" orientation="portrait" r:id="rId3"/>
      <headerFooter alignWithMargins="0">
        <oddFooter>&amp;L&amp;11LEL Schwäbisch Gmünd&amp;C43&amp;R&amp;11&amp;F</oddFooter>
      </headerFooter>
    </customSheetView>
  </customSheetViews>
  <mergeCells count="51">
    <mergeCell ref="C74:E74"/>
    <mergeCell ref="C17:F17"/>
    <mergeCell ref="C19:F19"/>
    <mergeCell ref="C36:E36"/>
    <mergeCell ref="C42:E42"/>
    <mergeCell ref="C39:E39"/>
    <mergeCell ref="C40:E40"/>
    <mergeCell ref="C41:E41"/>
    <mergeCell ref="F34:G34"/>
    <mergeCell ref="C73:E73"/>
    <mergeCell ref="C64:E64"/>
    <mergeCell ref="C63:E63"/>
    <mergeCell ref="C57:D57"/>
    <mergeCell ref="C56:D56"/>
    <mergeCell ref="C47:D47"/>
    <mergeCell ref="C52:D52"/>
    <mergeCell ref="C51:D51"/>
    <mergeCell ref="C46:D46"/>
    <mergeCell ref="C37:E37"/>
    <mergeCell ref="J3:L3"/>
    <mergeCell ref="D25:E25"/>
    <mergeCell ref="D26:E26"/>
    <mergeCell ref="B3:H3"/>
    <mergeCell ref="N3:O4"/>
    <mergeCell ref="F23:G23"/>
    <mergeCell ref="N1:O1"/>
    <mergeCell ref="C16:F16"/>
    <mergeCell ref="C20:F20"/>
    <mergeCell ref="E22:G22"/>
    <mergeCell ref="K2:P2"/>
    <mergeCell ref="C14:F14"/>
    <mergeCell ref="C15:F15"/>
    <mergeCell ref="N6:O6"/>
    <mergeCell ref="E10:F10"/>
    <mergeCell ref="K1:L1"/>
    <mergeCell ref="B75:C75"/>
    <mergeCell ref="J4:L4"/>
    <mergeCell ref="H6:I6"/>
    <mergeCell ref="C21:F21"/>
    <mergeCell ref="C62:E62"/>
    <mergeCell ref="E69:F69"/>
    <mergeCell ref="C68:E68"/>
    <mergeCell ref="C49:D49"/>
    <mergeCell ref="C38:E38"/>
    <mergeCell ref="C55:D55"/>
    <mergeCell ref="C48:D48"/>
    <mergeCell ref="C53:D53"/>
    <mergeCell ref="C50:D50"/>
    <mergeCell ref="K6:L6"/>
    <mergeCell ref="E4:I4"/>
    <mergeCell ref="C54:D54"/>
  </mergeCells>
  <dataValidations count="5">
    <dataValidation type="list" showInputMessage="1" showErrorMessage="1" sqref="H14 K14 N14" xr:uid="{00000000-0002-0000-2300-000000000000}">
      <formula1>"ja,nein"</formula1>
    </dataValidation>
    <dataValidation type="list" allowBlank="1" showInputMessage="1" showErrorMessage="1" sqref="H15:H17 K15:K17 N15:N17" xr:uid="{00000000-0002-0000-2300-000001000000}">
      <formula1>"ja,nein"</formula1>
    </dataValidation>
    <dataValidation type="whole" allowBlank="1" showInputMessage="1" showErrorMessage="1" errorTitle="Anteil Erntegut" error="Prozentwert darf nur zwischen 0 und 100 liegen." sqref="O68 L68 I68" xr:uid="{00000000-0002-0000-2300-000002000000}">
      <formula1>0</formula1>
      <formula2>100</formula2>
    </dataValidation>
    <dataValidation type="decimal" allowBlank="1" showInputMessage="1" showErrorMessage="1" errorTitle="Wassergehalt Getreide" error="Zulässig sind nur Werte zwischen 14,1 und 29,0 % Wassergehalt." sqref="H68 K68 N68" xr:uid="{00000000-0002-0000-2300-000003000000}">
      <formula1>14.1</formula1>
      <formula2>29</formula2>
    </dataValidation>
    <dataValidation type="list" allowBlank="1" showInputMessage="1" showErrorMessage="1" errorTitle="Organisationsabh. Ausgleichsl." error="Bitte aus Dropdownliste auswählen." sqref="D19:F19" xr:uid="{00000000-0002-0000-2300-000004000000}">
      <formula1>$C$60:$C$75</formula1>
    </dataValidation>
  </dataValidations>
  <hyperlinks>
    <hyperlink ref="F9" location="'SDK1'!A1" display="Preis ändern" xr:uid="{00000000-0004-0000-2300-000000000000}"/>
  </hyperlinks>
  <printOptions horizontalCentered="1"/>
  <pageMargins left="0.59055118110236227" right="0.59055118110236227" top="0.59055118110236227" bottom="0.59055118110236227" header="0.39370078740157483" footer="0.39370078740157483"/>
  <pageSetup paperSize="9" scale="65" firstPageNumber="36" orientation="portrait" r:id="rId4"/>
  <headerFooter alignWithMargins="0">
    <oddFooter>&amp;L&amp;11LEL Schwäbisch Gmünd&amp;C43&amp;R&amp;11&amp;F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7649" r:id="rId7" name="Check Box 1">
              <controlPr defaultSize="0" autoFill="0" autoLine="0" autoPict="0">
                <anchor moveWithCells="1">
                  <from>
                    <xdr:col>12</xdr:col>
                    <xdr:colOff>289560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7650" r:id="rId8" name="Check Box 2">
              <controlPr defaultSize="0" autoFill="0" autoLine="0" autoPict="0">
                <anchor moveWithCells="1">
                  <from>
                    <xdr:col>12</xdr:col>
                    <xdr:colOff>289560</xdr:colOff>
                    <xdr:row>2</xdr:row>
                    <xdr:rowOff>45720</xdr:rowOff>
                  </from>
                  <to>
                    <xdr:col>13</xdr:col>
                    <xdr:colOff>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300-000005000000}">
          <x14:formula1>
            <xm:f>'SD2'!$C$11:$C$50</xm:f>
          </x14:formula1>
          <xm:sqref>C14:F17</xm:sqref>
        </x14:dataValidation>
        <x14:dataValidation type="list" allowBlank="1" showInputMessage="1" showErrorMessage="1" errorTitle="Organisationsabh. Ausgleichsl." error="Bitte aus Dropdownliste auswählen." xr:uid="{00000000-0002-0000-2300-000006000000}">
          <x14:formula1>
            <xm:f>'SD2'!$C$60:$C$77</xm:f>
          </x14:formula1>
          <xm:sqref>C19:C21</xm:sqref>
        </x14:dataValidation>
        <x14:dataValidation type="list" allowBlank="1" showInputMessage="1" showErrorMessage="1" errorTitle="Arbeitsgänge" error="Bitte aus Dropdownliste auswählen." xr:uid="{00000000-0002-0000-2300-000007000000}">
          <x14:formula1>
            <xm:f>'SD3'!$C$23:$C$75</xm:f>
          </x14:formula1>
          <xm:sqref>C46:D57</xm:sqref>
        </x14:dataValidation>
        <x14:dataValidation type="list" allowBlank="1" showInputMessage="1" showErrorMessage="1" errorTitle="Lohnmaschinen" error="Bitte aus Dropdownliste auswählen." xr:uid="{00000000-0002-0000-2300-000008000000}">
          <x14:formula1>
            <xm:f>'SD3'!$C$90:$C$104</xm:f>
          </x14:formula1>
          <xm:sqref>C62:E64</xm:sqref>
        </x14:dataValidation>
        <x14:dataValidation type="list" allowBlank="1" showInputMessage="1" showErrorMessage="1" errorTitle="Pflanzenschutzmittel" error="Bitte aus Dropdownliste auswählen." xr:uid="{00000000-0002-0000-2300-000009000000}">
          <x14:formula1>
            <xm:f>'SDK5'!$M$214:$M$243</xm:f>
          </x14:formula1>
          <xm:sqref>C36:E36 C37:E37 C38:E38 C39:E39 C40:E40 C41:E41 C42:E42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7">
    <tabColor rgb="FFFFFF00"/>
    <pageSetUpPr fitToPage="1"/>
  </sheetPr>
  <dimension ref="A1:AO218"/>
  <sheetViews>
    <sheetView workbookViewId="0">
      <selection activeCell="N50" sqref="N50"/>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5" width="7.19921875" style="34" customWidth="1"/>
    <col min="16" max="16" width="10.09765625" style="34" customWidth="1"/>
    <col min="17" max="17" width="19.69921875" style="34" hidden="1" customWidth="1"/>
    <col min="18" max="18" width="12" style="31" hidden="1" customWidth="1"/>
    <col min="19" max="21" width="10.5" style="31" hidden="1" customWidth="1"/>
    <col min="22" max="22" width="12.8984375" style="31" hidden="1" customWidth="1"/>
    <col min="23" max="27" width="10.5" style="31" hidden="1" customWidth="1"/>
    <col min="28" max="29" width="0" style="31" hidden="1" customWidth="1"/>
    <col min="30" max="16384" width="10.5" style="31"/>
  </cols>
  <sheetData>
    <row r="1" spans="1:41" s="1317" customFormat="1" ht="30.45" customHeight="1">
      <c r="A1" s="3740"/>
      <c r="B1" s="258"/>
      <c r="C1" s="1333"/>
      <c r="D1" s="1253"/>
      <c r="E1" s="255"/>
      <c r="F1" s="255"/>
      <c r="G1" s="430"/>
      <c r="H1" s="1328"/>
      <c r="I1" s="3212" t="s">
        <v>1679</v>
      </c>
      <c r="J1" s="3210">
        <f>(J7+J13+J18+J22)-(J23+J27+J34+J43+J60+J65+J67+J69+J71+J75)</f>
        <v>376.13425455922913</v>
      </c>
      <c r="K1" s="4360">
        <f>M1-J1</f>
        <v>210.9695348340764</v>
      </c>
      <c r="L1" s="4360"/>
      <c r="M1" s="3210">
        <f>(M7+M13+M18+M22)-(M23+M27+M34+M43+M60+M65+M67+M69+M71+M75)</f>
        <v>587.10378939330553</v>
      </c>
      <c r="N1" s="4360">
        <f>P1-M1</f>
        <v>223.05984402474314</v>
      </c>
      <c r="O1" s="4360"/>
      <c r="P1" s="3210">
        <f>(P7+P13+P18+P22)-(P23+P27+P34+P43+P60+P65+P67+P69+P71+P75)</f>
        <v>810.16363341804868</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198</v>
      </c>
      <c r="L2" s="4372"/>
      <c r="M2" s="4372"/>
      <c r="N2" s="4372"/>
      <c r="O2" s="4372"/>
      <c r="P2" s="4372"/>
      <c r="Q2" s="1345">
        <v>0</v>
      </c>
      <c r="AB2" s="1321"/>
    </row>
    <row r="3" spans="1:41" s="1317" customFormat="1" ht="32.4" customHeight="1">
      <c r="A3" s="1321"/>
      <c r="B3" s="4405" t="s">
        <v>1727</v>
      </c>
      <c r="C3" s="4405"/>
      <c r="D3" s="4405"/>
      <c r="E3" s="4405"/>
      <c r="F3" s="4405"/>
      <c r="G3" s="4405"/>
      <c r="H3" s="4405"/>
      <c r="J3" s="4368" t="s">
        <v>886</v>
      </c>
      <c r="K3" s="4369"/>
      <c r="L3" s="4369"/>
      <c r="M3" s="1327"/>
      <c r="N3" s="4373" t="str">
        <f>IF(AND(T3=TRUE,T4=TRUE),"nur 1 Strohnutzung möglich","")</f>
        <v/>
      </c>
      <c r="O3" s="4374"/>
      <c r="P3" s="1326"/>
      <c r="Q3" s="1321"/>
      <c r="T3" s="1343" t="b">
        <v>1</v>
      </c>
    </row>
    <row r="4" spans="1:41" s="1317" customFormat="1" ht="20.25" customHeight="1">
      <c r="A4" s="1321"/>
      <c r="B4" s="309" t="s">
        <v>779</v>
      </c>
      <c r="C4" s="31"/>
      <c r="D4" s="31"/>
      <c r="E4" s="4406" t="s">
        <v>890</v>
      </c>
      <c r="F4" s="4406"/>
      <c r="G4" s="4406"/>
      <c r="H4" s="4406"/>
      <c r="I4" s="4406"/>
      <c r="J4" s="4368" t="s">
        <v>875</v>
      </c>
      <c r="K4" s="4369"/>
      <c r="L4" s="4369"/>
      <c r="M4" s="1323"/>
      <c r="N4" s="4374"/>
      <c r="O4" s="4374"/>
      <c r="P4" s="1322">
        <f>'SDK1'!O3</f>
        <v>2024</v>
      </c>
      <c r="Q4" s="1321"/>
      <c r="T4" s="1343" t="b">
        <v>0</v>
      </c>
      <c r="U4" s="1318"/>
    </row>
    <row r="5" spans="1:41" ht="6" customHeight="1"/>
    <row r="6" spans="1:41" s="1311" customFormat="1" ht="24" customHeight="1">
      <c r="A6" s="41"/>
      <c r="B6" s="1316" t="s">
        <v>832</v>
      </c>
      <c r="C6" s="1315"/>
      <c r="D6" s="1315"/>
      <c r="E6" s="1315"/>
      <c r="F6" s="1315"/>
      <c r="G6" s="1314"/>
      <c r="H6" s="4366" t="s">
        <v>171</v>
      </c>
      <c r="I6" s="4367"/>
      <c r="J6" s="1313">
        <f>M6*0.75</f>
        <v>37.5</v>
      </c>
      <c r="K6" s="4379" t="s">
        <v>144</v>
      </c>
      <c r="L6" s="4380"/>
      <c r="M6" s="1313">
        <v>50</v>
      </c>
      <c r="N6" s="4366" t="s">
        <v>170</v>
      </c>
      <c r="O6" s="4367"/>
      <c r="P6" s="1312">
        <f>M6*1.25</f>
        <v>62.5</v>
      </c>
      <c r="Q6" s="49"/>
    </row>
    <row r="7" spans="1:41" s="196" customFormat="1" ht="18.75" customHeight="1">
      <c r="A7" s="40"/>
      <c r="B7" s="245" t="s">
        <v>883</v>
      </c>
      <c r="C7" s="40"/>
      <c r="D7" s="40"/>
      <c r="E7" s="40"/>
      <c r="F7" s="40"/>
      <c r="G7" s="1310"/>
      <c r="H7" s="1307"/>
      <c r="I7" s="1306"/>
      <c r="J7" s="1041">
        <f>SUM(I9:I12)</f>
        <v>1150.125</v>
      </c>
      <c r="K7" s="1309"/>
      <c r="L7" s="1308"/>
      <c r="M7" s="1044">
        <f>SUM(L9:L12)</f>
        <v>1533.5</v>
      </c>
      <c r="N7" s="1307"/>
      <c r="O7" s="1306"/>
      <c r="P7" s="1041">
        <f>SUM(O9:O12)</f>
        <v>1916.875</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'SDK1'!O27</f>
        <v>18.899999999999999</v>
      </c>
      <c r="H9" s="1303">
        <f>J6-H10</f>
        <v>37.5</v>
      </c>
      <c r="I9" s="1299">
        <f>H9*G9</f>
        <v>708.75</v>
      </c>
      <c r="J9" s="37"/>
      <c r="K9" s="1302">
        <f>M6-K10</f>
        <v>50</v>
      </c>
      <c r="L9" s="1301">
        <f>K9*G9</f>
        <v>944.99999999999989</v>
      </c>
      <c r="M9" s="1280"/>
      <c r="N9" s="1300">
        <f>P6-N10</f>
        <v>62.5</v>
      </c>
      <c r="O9" s="1299">
        <f>N9*G9</f>
        <v>1181.25</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441.37499999999994</v>
      </c>
      <c r="S10" s="1288">
        <f>L10+L11+L12</f>
        <v>588.5</v>
      </c>
      <c r="T10" s="1287">
        <f>O10+O11+O12</f>
        <v>735.625</v>
      </c>
      <c r="W10" s="196" t="s">
        <v>879</v>
      </c>
    </row>
    <row r="11" spans="1:41" s="1268" customFormat="1" ht="15" customHeight="1">
      <c r="A11" s="309"/>
      <c r="B11" s="217"/>
      <c r="C11" s="39" t="s">
        <v>878</v>
      </c>
      <c r="D11" s="309"/>
      <c r="E11" s="1286">
        <v>1.1000000000000001</v>
      </c>
      <c r="F11" s="39" t="s">
        <v>877</v>
      </c>
      <c r="G11" s="1285">
        <f>'SDK1'!$O$48</f>
        <v>10.7</v>
      </c>
      <c r="H11" s="3151">
        <f>IF(OR($T$3,$T$4)=TRUE,J6*$E$11,0)</f>
        <v>41.25</v>
      </c>
      <c r="I11" s="3152">
        <f>H11*$G$11</f>
        <v>441.37499999999994</v>
      </c>
      <c r="J11" s="3153"/>
      <c r="K11" s="3154">
        <f>IF(OR($T$3,$T$4)=TRUE,M6*$E$11,0)</f>
        <v>55.000000000000007</v>
      </c>
      <c r="L11" s="3155">
        <f>K11*$G$11</f>
        <v>588.5</v>
      </c>
      <c r="M11" s="3156"/>
      <c r="N11" s="3157">
        <f>IF(OR($T$3,$T$4)=TRUE,P6*$E$11,0)</f>
        <v>68.75</v>
      </c>
      <c r="O11" s="3152">
        <f>N11*$G$11</f>
        <v>735.625</v>
      </c>
      <c r="P11" s="3158"/>
      <c r="Q11" s="34"/>
      <c r="W11" s="1268" t="s">
        <v>876</v>
      </c>
    </row>
    <row r="12" spans="1:41" s="1268" customFormat="1" ht="15" hidden="1" customHeight="1">
      <c r="A12" s="309"/>
      <c r="B12" s="185"/>
      <c r="C12" s="223" t="s">
        <v>1652</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f>IF(OR(T3=TRUE,T4=TRUE),J6*$E$11,"0")</f>
        <v>41.25</v>
      </c>
      <c r="Y13" s="1265">
        <f>IF(OR(T3=TRUE,T4=TRUE),M6*$E$11,"0")</f>
        <v>55.000000000000007</v>
      </c>
      <c r="Z13" s="1264">
        <f>IF(OR(T3=TRUE,T4=TRUE),P6*$E$11,"0")</f>
        <v>68.75</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22.687500000000004</v>
      </c>
      <c r="Y14" s="1260">
        <f>$Y$13*F30</f>
        <v>30.250000000000007</v>
      </c>
      <c r="Z14" s="1260">
        <f>$Z$13*F30</f>
        <v>37.8125</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13.612499999999994</v>
      </c>
      <c r="Y15" s="1260">
        <f>$Y$13*F31</f>
        <v>18.149999999999995</v>
      </c>
      <c r="Z15" s="1260">
        <f>$Z$13*F31</f>
        <v>22.687499999999989</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77.137500000000003</v>
      </c>
      <c r="Y16" s="1260">
        <f>$Y$13*F32</f>
        <v>102.85000000000002</v>
      </c>
      <c r="Z16" s="1260">
        <f>$Z$13*F32</f>
        <v>128.5625</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9.0749999999999993</v>
      </c>
      <c r="Y17" s="1260">
        <f>$Y$13*F33</f>
        <v>12.1</v>
      </c>
      <c r="Z17" s="1260">
        <f>$Z$13*F33</f>
        <v>15.124999999999998</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94.429999999999993</v>
      </c>
      <c r="K23" s="1046"/>
      <c r="L23" s="1045"/>
      <c r="M23" s="1227">
        <f>SUM(L25:L26)</f>
        <v>94.429999999999993</v>
      </c>
      <c r="N23" s="1043"/>
      <c r="O23" s="1042"/>
      <c r="P23" s="1026">
        <f>SUM(O25:O26)</f>
        <v>94.429999999999993</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'SDK7'!F57/100</f>
        <v>0.71</v>
      </c>
      <c r="G25" s="1221">
        <f>F25*(100+$D$24)/100</f>
        <v>0.71</v>
      </c>
      <c r="H25" s="1220">
        <v>133</v>
      </c>
      <c r="I25" s="1181">
        <f>H25*$G25</f>
        <v>94.429999999999993</v>
      </c>
      <c r="J25" s="39"/>
      <c r="K25" s="1220">
        <f>H25</f>
        <v>133</v>
      </c>
      <c r="L25" s="1023">
        <f>K25*$G25</f>
        <v>94.429999999999993</v>
      </c>
      <c r="M25" s="1016"/>
      <c r="N25" s="1220">
        <f>H25</f>
        <v>133</v>
      </c>
      <c r="O25" s="1181">
        <f>N25*$G25</f>
        <v>94.429999999999993</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269.15799999999996</v>
      </c>
      <c r="K27" s="1175"/>
      <c r="L27" s="1174"/>
      <c r="M27" s="1044">
        <f>SUM(L30:L32)</f>
        <v>350.94399999999996</v>
      </c>
      <c r="N27" s="1173"/>
      <c r="O27" s="1172"/>
      <c r="P27" s="1041">
        <f>SUM(O30:O32)</f>
        <v>432.73</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1.51</v>
      </c>
      <c r="F30" s="1201">
        <f>VLOOKUP(K2,'SD8'!B9:L42,7,FALSE)</f>
        <v>0.55000000000000004</v>
      </c>
      <c r="G30" s="1200">
        <v>20</v>
      </c>
      <c r="H30" s="1198">
        <f>IF(J$6=0,0,(J$6*$E30+$G30+X14))</f>
        <v>99.3125</v>
      </c>
      <c r="I30" s="1181">
        <f>H30*$D30</f>
        <v>118.18187499999999</v>
      </c>
      <c r="J30" s="39"/>
      <c r="K30" s="1199">
        <f>IF(M$6=0,0,(M$6*$E30+$G30+Y14))</f>
        <v>125.75</v>
      </c>
      <c r="L30" s="1023">
        <f>K30*$D30</f>
        <v>149.64249999999998</v>
      </c>
      <c r="M30" s="1016"/>
      <c r="N30" s="1198">
        <f>IF(P$6=0,0,(P$6*$E30+$G30+Z14))</f>
        <v>152.1875</v>
      </c>
      <c r="O30" s="1181">
        <f>N30*$D30</f>
        <v>181.10312500000001</v>
      </c>
      <c r="P30" s="1145"/>
      <c r="Q30" s="34"/>
    </row>
    <row r="31" spans="1:26" s="36" customFormat="1" ht="15" customHeight="1">
      <c r="A31" s="746"/>
      <c r="B31" s="217"/>
      <c r="C31" s="746" t="s">
        <v>234</v>
      </c>
      <c r="D31" s="1150">
        <f>'SDK1'!O53</f>
        <v>1.2</v>
      </c>
      <c r="E31" s="1201">
        <f>VLOOKUP(K2,'SD8'!B9:L42,4,FALSE)</f>
        <v>0.8</v>
      </c>
      <c r="F31" s="1201">
        <f>VLOOKUP(K2,'SD8'!B9:L42,8,FALSE)</f>
        <v>0.32999999999999985</v>
      </c>
      <c r="G31" s="1200"/>
      <c r="H31" s="1198">
        <f>IF(J$6=0,0,(J$6*$E31+$G31+X15))</f>
        <v>43.612499999999997</v>
      </c>
      <c r="I31" s="1181">
        <f>H31*$D31</f>
        <v>52.334999999999994</v>
      </c>
      <c r="J31" s="39"/>
      <c r="K31" s="1199">
        <f>IF(M$6=0,0,(M$6*$E31+$G31+Y15))</f>
        <v>58.149999999999991</v>
      </c>
      <c r="L31" s="1023">
        <f>K31*$D31</f>
        <v>69.779999999999987</v>
      </c>
      <c r="M31" s="1016"/>
      <c r="N31" s="1198">
        <f>IF(P$6=0,0,(P$6*$E31+$G31+Z15))</f>
        <v>72.687499999999986</v>
      </c>
      <c r="O31" s="1181">
        <f>N31*$D31</f>
        <v>87.22499999999998</v>
      </c>
      <c r="P31" s="1145"/>
      <c r="Q31" s="34"/>
    </row>
    <row r="32" spans="1:26" s="36" customFormat="1" ht="15" customHeight="1">
      <c r="A32" s="746"/>
      <c r="B32" s="185"/>
      <c r="C32" s="2791" t="s">
        <v>232</v>
      </c>
      <c r="D32" s="1133">
        <f>'SDK1'!O54</f>
        <v>0.99</v>
      </c>
      <c r="E32" s="1197">
        <f>VLOOKUP(K2,'SD8'!B9:L42,5,FALSE)</f>
        <v>0.6</v>
      </c>
      <c r="F32" s="1197">
        <f>VLOOKUP(K2,'SD8'!B9:L42,9,FALSE)</f>
        <v>1.87</v>
      </c>
      <c r="G32" s="1196"/>
      <c r="H32" s="1194">
        <f>IF(J$6=0,0,(J$6*$E32+$G32+X16))</f>
        <v>99.637500000000003</v>
      </c>
      <c r="I32" s="1177">
        <f>H32*$D32</f>
        <v>98.641125000000002</v>
      </c>
      <c r="J32" s="223"/>
      <c r="K32" s="1195">
        <f>IF(M$6=0,0,(M$6*$E32+$G32+Y16))</f>
        <v>132.85000000000002</v>
      </c>
      <c r="L32" s="1017">
        <f>K32*$D32</f>
        <v>131.52150000000003</v>
      </c>
      <c r="M32" s="1256"/>
      <c r="N32" s="1194">
        <f>IF(P$6=0,0,(P$6*$E32+$G32+Z16))</f>
        <v>166.0625</v>
      </c>
      <c r="O32" s="1177">
        <f>N32*$D32</f>
        <v>164.40187499999999</v>
      </c>
      <c r="P32" s="1176"/>
      <c r="Q32" s="34"/>
    </row>
    <row r="33" spans="1:17" s="36" customFormat="1" ht="15" hidden="1" customHeight="1">
      <c r="A33" s="746"/>
      <c r="B33" s="185"/>
      <c r="C33" s="771" t="s">
        <v>230</v>
      </c>
      <c r="D33" s="1133">
        <f>'SDK1'!P55</f>
        <v>0.45</v>
      </c>
      <c r="E33" s="1197">
        <f>VLOOKUP(K2,'SD8'!B9:L42,6,FALSE)</f>
        <v>0.2</v>
      </c>
      <c r="F33" s="1197">
        <f>VLOOKUP(K2,'SD8'!B9:L42,10,FALSE)</f>
        <v>0.21999999999999997</v>
      </c>
      <c r="G33" s="1196"/>
      <c r="H33" s="1194">
        <f>IF(J$6=0,0,(J$6*$E33+$G33+X17))</f>
        <v>16.574999999999999</v>
      </c>
      <c r="I33" s="1177">
        <f>H33*$D33</f>
        <v>7.4587500000000002</v>
      </c>
      <c r="J33" s="39"/>
      <c r="K33" s="1195">
        <f>IF(M$6=0,0,(M$6*$E33+$G33+Y17))</f>
        <v>22.1</v>
      </c>
      <c r="L33" s="1017">
        <f>K33*$D33</f>
        <v>9.9450000000000003</v>
      </c>
      <c r="M33" s="1016"/>
      <c r="N33" s="1194">
        <f>IF(P$6=0,0,(P$6*$E33+$G33+Z17))</f>
        <v>27.625</v>
      </c>
      <c r="O33" s="1177">
        <f>N33*$D33</f>
        <v>12.43125</v>
      </c>
      <c r="P33" s="1176"/>
      <c r="Q33" s="34"/>
    </row>
    <row r="34" spans="1:17" s="511" customFormat="1" ht="18.75" customHeight="1">
      <c r="A34" s="711"/>
      <c r="B34" s="716" t="s">
        <v>859</v>
      </c>
      <c r="C34" s="711"/>
      <c r="D34" s="33"/>
      <c r="E34" s="33"/>
      <c r="F34" s="4381" t="s">
        <v>858</v>
      </c>
      <c r="G34" s="4382"/>
      <c r="H34" s="1191"/>
      <c r="I34" s="1190"/>
      <c r="J34" s="1041">
        <f>SUM(I36:I42)</f>
        <v>32.115000000000002</v>
      </c>
      <c r="K34" s="1193"/>
      <c r="L34" s="1192"/>
      <c r="M34" s="1044">
        <f>SUM(L36:L42)</f>
        <v>40.365000000000002</v>
      </c>
      <c r="N34" s="1191"/>
      <c r="O34" s="1190"/>
      <c r="P34" s="1041">
        <f>SUM(O36:O42)</f>
        <v>40.365000000000002</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528</v>
      </c>
      <c r="D36" s="4389"/>
      <c r="E36" s="4390"/>
      <c r="F36" s="1183">
        <f>IF(C36="",0,VLOOKUP(C36,'SDK5'!C3:AF83,2,FALSE))</f>
        <v>5.5</v>
      </c>
      <c r="G36" s="1183">
        <f t="shared" ref="G36:G42" si="0">F36*(100+$D$35)/100</f>
        <v>5.5</v>
      </c>
      <c r="H36" s="1182"/>
      <c r="I36" s="1181">
        <f t="shared" ref="I36:I42" si="1">$G36*H36</f>
        <v>0</v>
      </c>
      <c r="J36" s="39"/>
      <c r="K36" s="1182">
        <v>1.5</v>
      </c>
      <c r="L36" s="1023">
        <f t="shared" ref="L36:L42" si="2">$G36*K36</f>
        <v>8.25</v>
      </c>
      <c r="M36" s="1016"/>
      <c r="N36" s="1182">
        <v>1.5</v>
      </c>
      <c r="O36" s="1181">
        <f t="shared" ref="O36:O42" si="3">$G36*N36</f>
        <v>8.25</v>
      </c>
      <c r="P36" s="1185"/>
      <c r="Q36" s="34"/>
    </row>
    <row r="37" spans="1:17" s="36" customFormat="1" ht="15" customHeight="1">
      <c r="A37" s="746"/>
      <c r="B37" s="1021"/>
      <c r="C37" s="4375" t="s">
        <v>502</v>
      </c>
      <c r="D37" s="4375"/>
      <c r="E37" s="4376"/>
      <c r="F37" s="1183">
        <f>IF(C37="",0,VLOOKUP(C37,'SDK5'!C4:AF84,2,FALSE))</f>
        <v>642.29999999999995</v>
      </c>
      <c r="G37" s="1183">
        <f t="shared" si="0"/>
        <v>642.29999999999995</v>
      </c>
      <c r="H37" s="1182">
        <v>0.05</v>
      </c>
      <c r="I37" s="1181">
        <f t="shared" si="1"/>
        <v>32.115000000000002</v>
      </c>
      <c r="J37" s="39"/>
      <c r="K37" s="1182">
        <v>0.05</v>
      </c>
      <c r="L37" s="1023">
        <f t="shared" si="2"/>
        <v>32.115000000000002</v>
      </c>
      <c r="M37" s="1016"/>
      <c r="N37" s="1182">
        <v>0.05</v>
      </c>
      <c r="O37" s="1181">
        <f t="shared" si="3"/>
        <v>32.115000000000002</v>
      </c>
      <c r="P37" s="1145"/>
      <c r="Q37" s="34"/>
    </row>
    <row r="38" spans="1:17" s="36" customFormat="1" ht="15" customHeight="1">
      <c r="A38" s="746"/>
      <c r="B38" s="1184"/>
      <c r="C38" s="4375"/>
      <c r="D38" s="4375"/>
      <c r="E38" s="4376"/>
      <c r="F38" s="1183">
        <f>IF(C38="",0,VLOOKUP(C38,'SDK5'!C5:AF85,2,FALSE))</f>
        <v>0</v>
      </c>
      <c r="G38" s="1183">
        <v>0</v>
      </c>
      <c r="H38" s="1182"/>
      <c r="I38" s="1181">
        <f t="shared" si="1"/>
        <v>0</v>
      </c>
      <c r="J38" s="39"/>
      <c r="K38" s="1182"/>
      <c r="L38" s="1023">
        <f t="shared" si="2"/>
        <v>0</v>
      </c>
      <c r="M38" s="1016"/>
      <c r="N38" s="1182"/>
      <c r="O38" s="1181">
        <f t="shared" si="3"/>
        <v>0</v>
      </c>
      <c r="P38" s="1145"/>
      <c r="Q38" s="34"/>
    </row>
    <row r="39" spans="1:17" s="36" customFormat="1" ht="15" customHeight="1">
      <c r="A39" s="746"/>
      <c r="B39" s="1021"/>
      <c r="C39" s="4375"/>
      <c r="D39" s="4375"/>
      <c r="E39" s="4376"/>
      <c r="F39" s="1183">
        <f>IF(C39="",0,VLOOKUP(C39,'SDK5'!C6:AF86,2,FALSE))</f>
        <v>0</v>
      </c>
      <c r="G39" s="1183">
        <f t="shared" si="0"/>
        <v>0</v>
      </c>
      <c r="H39" s="1182"/>
      <c r="I39" s="1181">
        <f t="shared" si="1"/>
        <v>0</v>
      </c>
      <c r="J39" s="39"/>
      <c r="K39" s="1182"/>
      <c r="L39" s="1023">
        <f t="shared" si="2"/>
        <v>0</v>
      </c>
      <c r="M39" s="1016"/>
      <c r="N39" s="1182"/>
      <c r="O39" s="1181">
        <f t="shared" si="3"/>
        <v>0</v>
      </c>
      <c r="P39" s="1145"/>
      <c r="Q39" s="34"/>
    </row>
    <row r="40" spans="1:17" s="36" customFormat="1" ht="15" customHeight="1">
      <c r="A40" s="746"/>
      <c r="B40" s="1021"/>
      <c r="C40" s="4375"/>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167.62006779249998</v>
      </c>
      <c r="K43" s="1175"/>
      <c r="L43" s="1174"/>
      <c r="M43" s="1044">
        <f>SUM(M46:M57)</f>
        <v>180.46194440333332</v>
      </c>
      <c r="N43" s="1173"/>
      <c r="O43" s="1172"/>
      <c r="P43" s="1041">
        <f>SUM(P46:P57)</f>
        <v>189.56343173416667</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87" t="s">
        <v>1589</v>
      </c>
      <c r="D46" s="4388"/>
      <c r="E46" s="1152">
        <f>IF($C46=0,0,VLOOKUP($C46,'SD3'!$C$24:$O$85,4,FALSE))</f>
        <v>120</v>
      </c>
      <c r="F46" s="1151">
        <f>IF($C46=0,0,VLOOKUP($C46,'SD3'!$C$24:$O$85,12,FALSE))</f>
        <v>1.38</v>
      </c>
      <c r="G46" s="1150">
        <f>IF($C46=0,0,VLOOKUP($C46,'SD3'!$C$24:$O$85,13,FALSE))</f>
        <v>64.642445999999993</v>
      </c>
      <c r="H46" s="1147">
        <v>1</v>
      </c>
      <c r="I46" s="1154">
        <f t="shared" ref="I46:I57" si="4">$F46*H46</f>
        <v>1.38</v>
      </c>
      <c r="J46" s="1145">
        <f t="shared" ref="J46:J57" si="5">H46*$G46</f>
        <v>64.642445999999993</v>
      </c>
      <c r="K46" s="1147">
        <v>1</v>
      </c>
      <c r="L46" s="1156">
        <f t="shared" ref="L46:L57" si="6">$F46*K46</f>
        <v>1.38</v>
      </c>
      <c r="M46" s="1148">
        <f t="shared" ref="M46:M57" si="7">K46*$G46</f>
        <v>64.642445999999993</v>
      </c>
      <c r="N46" s="1147">
        <v>1</v>
      </c>
      <c r="O46" s="1154">
        <f t="shared" ref="O46:O57" si="8">$F46*N46</f>
        <v>1.38</v>
      </c>
      <c r="P46" s="1145">
        <f t="shared" ref="P46:P57" si="9">N46*$G46</f>
        <v>64.642445999999993</v>
      </c>
      <c r="Q46" s="34">
        <f>$Q$2*H46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1591</v>
      </c>
      <c r="D48" s="4388"/>
      <c r="E48" s="1152">
        <f>IF($C48=0,0,VLOOKUP($C48,'SD3'!$C$24:$O$85,4,FALSE))</f>
        <v>83</v>
      </c>
      <c r="F48" s="1151">
        <f>IF($C48=0,0,VLOOKUP($C48,'SD3'!$C$24:$O$85,12,FALSE))</f>
        <v>0.22</v>
      </c>
      <c r="G48" s="1150">
        <f>IF($C48=0,0,VLOOKUP($C48,'SD3'!$C$24:$O$85,13,FALSE))</f>
        <v>6.6430352599999996</v>
      </c>
      <c r="H48" s="1147">
        <v>2</v>
      </c>
      <c r="I48" s="1146">
        <f t="shared" si="4"/>
        <v>0.44</v>
      </c>
      <c r="J48" s="1145">
        <f t="shared" si="5"/>
        <v>13.286070519999999</v>
      </c>
      <c r="K48" s="1147">
        <v>2</v>
      </c>
      <c r="L48" s="1149">
        <f t="shared" si="6"/>
        <v>0.44</v>
      </c>
      <c r="M48" s="1148">
        <f t="shared" si="7"/>
        <v>13.286070519999999</v>
      </c>
      <c r="N48" s="1147">
        <v>2</v>
      </c>
      <c r="O48" s="1146">
        <f t="shared" si="8"/>
        <v>0.44</v>
      </c>
      <c r="P48" s="1145">
        <f t="shared" si="9"/>
        <v>13.286070519999999</v>
      </c>
      <c r="Q48" s="34"/>
    </row>
    <row r="49" spans="1:17" s="36" customFormat="1" ht="15" customHeight="1">
      <c r="A49" s="746"/>
      <c r="B49" s="1153"/>
      <c r="C49" s="4387" t="s">
        <v>346</v>
      </c>
      <c r="D49" s="4388"/>
      <c r="E49" s="1152">
        <f>IF($C49=0,0,VLOOKUP($C49,'SD3'!$C$24:$O$85,4,FALSE))</f>
        <v>83</v>
      </c>
      <c r="F49" s="1151">
        <f>IF($C49=0,0,VLOOKUP($C49,'SD3'!$C$24:$O$85,12,FALSE))</f>
        <v>0.16</v>
      </c>
      <c r="G49" s="1150">
        <f>IF($C49=0,0,VLOOKUP($C49,'SD3'!$C$24:$O$85,13,FALSE))</f>
        <v>3.7403892799999996</v>
      </c>
      <c r="H49" s="1147">
        <v>1</v>
      </c>
      <c r="I49" s="1146">
        <f t="shared" si="4"/>
        <v>0.16</v>
      </c>
      <c r="J49" s="1145">
        <f t="shared" si="5"/>
        <v>3.7403892799999996</v>
      </c>
      <c r="K49" s="1147">
        <v>2</v>
      </c>
      <c r="L49" s="1149">
        <f t="shared" si="6"/>
        <v>0.32</v>
      </c>
      <c r="M49" s="1148">
        <f t="shared" si="7"/>
        <v>7.4807785599999992</v>
      </c>
      <c r="N49" s="1147">
        <v>2</v>
      </c>
      <c r="O49" s="1146">
        <f t="shared" si="8"/>
        <v>0.32</v>
      </c>
      <c r="P49" s="1145">
        <f t="shared" si="9"/>
        <v>7.4807785599999992</v>
      </c>
      <c r="Q49" s="34"/>
    </row>
    <row r="50" spans="1:17" s="36" customFormat="1" ht="15" customHeight="1">
      <c r="A50" s="746"/>
      <c r="B50" s="1153"/>
      <c r="C50" s="4403" t="s">
        <v>1748</v>
      </c>
      <c r="D50" s="4404"/>
      <c r="E50" s="1152">
        <f>IF($C50=0,0,VLOOKUP($C50,'SD3'!$C$24:$O$85,4,FALSE))</f>
        <v>120</v>
      </c>
      <c r="F50" s="1151">
        <f>IF($C50=0,0,VLOOKUP($C50,'SD3'!$C$24:$O$85,12,FALSE))</f>
        <v>0.37</v>
      </c>
      <c r="G50" s="1150">
        <f>IF($C50=0,0,VLOOKUP($C50,'SD3'!$C$24:$O$85,13,FALSE))</f>
        <v>11.7573302</v>
      </c>
      <c r="H50" s="3654">
        <f>J6/75</f>
        <v>0.5</v>
      </c>
      <c r="I50" s="1146">
        <f t="shared" si="4"/>
        <v>0.185</v>
      </c>
      <c r="J50" s="1145">
        <f t="shared" si="5"/>
        <v>5.8786651000000001</v>
      </c>
      <c r="K50" s="3654">
        <f>M6/75</f>
        <v>0.66666666666666663</v>
      </c>
      <c r="L50" s="1149">
        <f t="shared" si="6"/>
        <v>0.24666666666666665</v>
      </c>
      <c r="M50" s="1148">
        <f t="shared" si="7"/>
        <v>7.8382201333333335</v>
      </c>
      <c r="N50" s="3654">
        <f>P6/75</f>
        <v>0.83333333333333337</v>
      </c>
      <c r="O50" s="1146">
        <f t="shared" si="8"/>
        <v>0.30833333333333335</v>
      </c>
      <c r="P50" s="1145">
        <f t="shared" si="9"/>
        <v>9.7977751666666677</v>
      </c>
      <c r="Q50" s="34"/>
    </row>
    <row r="51" spans="1:17" s="36" customFormat="1" ht="15" customHeight="1">
      <c r="A51" s="746"/>
      <c r="B51" s="1153"/>
      <c r="C51" s="4387" t="s">
        <v>360</v>
      </c>
      <c r="D51" s="4388"/>
      <c r="E51" s="1152">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IF($T$4=TRUE,0,H11/50)</f>
        <v>0.82499999999999996</v>
      </c>
      <c r="I57" s="1130">
        <f t="shared" si="4"/>
        <v>1.0725</v>
      </c>
      <c r="J57" s="1129">
        <f t="shared" si="5"/>
        <v>21.425796892499992</v>
      </c>
      <c r="K57" s="1131">
        <f>IF($T$4=TRUE,0,K11/50)</f>
        <v>1.1000000000000001</v>
      </c>
      <c r="L57" s="1132">
        <f t="shared" si="6"/>
        <v>1.4300000000000002</v>
      </c>
      <c r="M57" s="1079">
        <f t="shared" si="7"/>
        <v>28.567729189999994</v>
      </c>
      <c r="N57" s="1131">
        <f>IF($T$4=TRUE,0,N11/50)</f>
        <v>1.375</v>
      </c>
      <c r="O57" s="1130">
        <f t="shared" si="8"/>
        <v>1.7875000000000001</v>
      </c>
      <c r="P57" s="1129">
        <f t="shared" si="9"/>
        <v>35.709661487499993</v>
      </c>
      <c r="Q57" s="34"/>
    </row>
    <row r="58" spans="1:17" s="46" customFormat="1" ht="18.75" customHeight="1">
      <c r="A58" s="811"/>
      <c r="B58" s="716" t="s">
        <v>848</v>
      </c>
      <c r="C58" s="811"/>
      <c r="D58" s="811"/>
      <c r="E58" s="811"/>
      <c r="F58" s="34"/>
      <c r="G58" s="1047"/>
      <c r="H58" s="1124"/>
      <c r="I58" s="1123">
        <f>SUM($I$46:$I$57)</f>
        <v>4.7374999999999998</v>
      </c>
      <c r="J58" s="1128"/>
      <c r="K58" s="1127"/>
      <c r="L58" s="1126">
        <f>SUM($L$46:$L$57)</f>
        <v>5.3166666666666664</v>
      </c>
      <c r="M58" s="1125"/>
      <c r="N58" s="1124"/>
      <c r="O58" s="1123">
        <f>SUM($O$46:$O$57)</f>
        <v>5.7358333333333338</v>
      </c>
      <c r="P58" s="1122"/>
      <c r="Q58" s="34"/>
    </row>
    <row r="59" spans="1:17" s="46" customFormat="1" ht="15" customHeight="1">
      <c r="A59" s="811"/>
      <c r="B59" s="1121"/>
      <c r="C59" s="285"/>
      <c r="D59" s="222" t="s">
        <v>847</v>
      </c>
      <c r="E59" s="1120">
        <v>80</v>
      </c>
      <c r="F59" s="285" t="s">
        <v>846</v>
      </c>
      <c r="G59" s="1119"/>
      <c r="H59" s="1115"/>
      <c r="I59" s="1114">
        <f>IF(I58+SUM($I$46:$I$57)*$E$59%&gt;I58+10,I58+10,I58+SUM($I$46:$I$57)*$E$59%)</f>
        <v>8.5274999999999999</v>
      </c>
      <c r="J59" s="1113"/>
      <c r="K59" s="1118"/>
      <c r="L59" s="1117">
        <f>IF(L58+SUM($L$46:$L$57)*$E$59%&gt;L58+10,L58+10,L58+SUM($L$46:$L$57)*$E$59%)</f>
        <v>9.57</v>
      </c>
      <c r="M59" s="1116"/>
      <c r="N59" s="1115"/>
      <c r="O59" s="1114">
        <f>IF(O58+SUM($O$46:$O$57)*$E$59%&gt;O58+10,O58+10,O58+SUM($O$46:$O$57)*$E$59%)</f>
        <v>10.3245</v>
      </c>
      <c r="P59" s="1113"/>
      <c r="Q59" s="34"/>
    </row>
    <row r="60" spans="1:17" s="36" customFormat="1" ht="18.75" customHeight="1">
      <c r="A60" s="746"/>
      <c r="B60" s="716" t="s">
        <v>845</v>
      </c>
      <c r="C60" s="811"/>
      <c r="D60" s="811"/>
      <c r="E60" s="39"/>
      <c r="F60" s="39"/>
      <c r="G60" s="1112"/>
      <c r="H60" s="1104"/>
      <c r="I60" s="1103"/>
      <c r="J60" s="1111">
        <f>IF(J6=0,0,SUM(I62:I64))</f>
        <v>311.625</v>
      </c>
      <c r="K60" s="1107"/>
      <c r="L60" s="1106"/>
      <c r="M60" s="1044">
        <f>IF(M6=0,0,SUM(L62:L64))</f>
        <v>357</v>
      </c>
      <c r="N60" s="1104"/>
      <c r="O60" s="1103"/>
      <c r="P60" s="1111">
        <f>IF(P6=0,0,SUM(O62:O64))</f>
        <v>402.375</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296</v>
      </c>
      <c r="D62" s="4365"/>
      <c r="E62" s="4365"/>
      <c r="F62" s="1101">
        <f>IF($C62=0,0,VLOOKUP($C62,'SD3'!$C$90:$D$104,2,FALSE))</f>
        <v>175.5</v>
      </c>
      <c r="G62" s="1100">
        <f>(100+$D$61)/100*F62</f>
        <v>175.5</v>
      </c>
      <c r="H62" s="173"/>
      <c r="I62" s="1096">
        <f>$G$62</f>
        <v>175.5</v>
      </c>
      <c r="J62" s="173"/>
      <c r="K62" s="1099"/>
      <c r="L62" s="1098">
        <f>$G$62</f>
        <v>175.5</v>
      </c>
      <c r="M62" s="1016"/>
      <c r="N62" s="1097"/>
      <c r="O62" s="1096">
        <f>$G$62</f>
        <v>175.5</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3.3</v>
      </c>
      <c r="G64" s="1082">
        <f>(100+$D$61)/100*F64</f>
        <v>3.3</v>
      </c>
      <c r="H64" s="1078"/>
      <c r="I64" s="1077">
        <f>H11*$G$64</f>
        <v>136.125</v>
      </c>
      <c r="J64" s="173"/>
      <c r="K64" s="1081"/>
      <c r="L64" s="1080">
        <f>K11*$G$64</f>
        <v>181.5</v>
      </c>
      <c r="M64" s="1079"/>
      <c r="N64" s="1078"/>
      <c r="O64" s="1077">
        <f>N11*$G$64</f>
        <v>226.875</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3472"/>
      <c r="G67" s="3471"/>
      <c r="H67" s="1066" t="s">
        <v>842</v>
      </c>
      <c r="I67" s="1065" t="s">
        <v>841</v>
      </c>
      <c r="J67" s="1041">
        <f>R68*(H9+H10)*I68%+F68</f>
        <v>49.781249999999986</v>
      </c>
      <c r="K67" s="1068" t="s">
        <v>842</v>
      </c>
      <c r="L67" s="1067" t="s">
        <v>841</v>
      </c>
      <c r="M67" s="1044">
        <f>S68*(K9+K10)*L68%+F68</f>
        <v>66.374999999999986</v>
      </c>
      <c r="N67" s="1066" t="s">
        <v>842</v>
      </c>
      <c r="O67" s="1065" t="s">
        <v>841</v>
      </c>
      <c r="P67" s="1041">
        <f>T68*(N9+N10)*O68%+F68</f>
        <v>82.968749999999986</v>
      </c>
      <c r="Q67" s="34"/>
    </row>
    <row r="68" spans="1:20" s="511" customFormat="1" ht="15" customHeight="1">
      <c r="A68" s="711"/>
      <c r="B68" s="1064"/>
      <c r="C68" s="4393" t="s">
        <v>564</v>
      </c>
      <c r="D68" s="4393"/>
      <c r="E68" s="4393"/>
      <c r="F68" s="1063"/>
      <c r="G68" s="1054" t="s">
        <v>163</v>
      </c>
      <c r="H68" s="1061">
        <v>16</v>
      </c>
      <c r="I68" s="1060">
        <v>50</v>
      </c>
      <c r="J68" s="1059"/>
      <c r="K68" s="1061">
        <v>16</v>
      </c>
      <c r="L68" s="1060">
        <v>50</v>
      </c>
      <c r="M68" s="1062"/>
      <c r="N68" s="1061">
        <v>16</v>
      </c>
      <c r="O68" s="1060">
        <v>50</v>
      </c>
      <c r="P68" s="1059"/>
      <c r="Q68" s="34"/>
      <c r="R68" s="1058">
        <f>IF($H$68=0,0,VLOOKUP($H$68,'SD6'!B8:C151,'SD6'!C1,FALSE))*(1+'SDK1'!O11/100)</f>
        <v>2.6549999999999994</v>
      </c>
      <c r="S68" s="1058">
        <f>IF($K$68=0,0,VLOOKUP($K$68,'SD6'!B8:C151,'SD6'!C1,FALSE))*(1+'SDK1'!O11/100)</f>
        <v>2.6549999999999994</v>
      </c>
      <c r="T68" s="1058">
        <f>IF($N$68=0,0,VLOOKUP($N$68,'SD6'!B8:C151,'SD6'!C1,FALSE))*(1+'SDK1'!O11/100)</f>
        <v>2.6549999999999994</v>
      </c>
    </row>
    <row r="69" spans="1:20" s="511" customFormat="1" ht="18.75" customHeight="1">
      <c r="A69" s="711"/>
      <c r="B69" s="716" t="s">
        <v>839</v>
      </c>
      <c r="C69" s="711"/>
      <c r="D69" s="711"/>
      <c r="E69" s="34"/>
      <c r="F69" s="34"/>
      <c r="G69" s="1047"/>
      <c r="H69" s="38"/>
      <c r="I69" s="51"/>
      <c r="J69" s="1041">
        <f>H70*$F70/1000</f>
        <v>18.402000000000001</v>
      </c>
      <c r="K69" s="1057"/>
      <c r="L69" s="1056"/>
      <c r="M69" s="1044">
        <f>K70*$F70/1000</f>
        <v>24.536000000000001</v>
      </c>
      <c r="N69" s="38"/>
      <c r="O69" s="51"/>
      <c r="P69" s="1041">
        <f>N70*$F70/1000</f>
        <v>30.67</v>
      </c>
      <c r="Q69" s="34"/>
    </row>
    <row r="70" spans="1:20" s="511" customFormat="1" ht="15" customHeight="1">
      <c r="A70" s="711"/>
      <c r="B70" s="772"/>
      <c r="C70" s="771" t="s">
        <v>606</v>
      </c>
      <c r="D70" s="285"/>
      <c r="E70" s="222"/>
      <c r="F70" s="3742">
        <f>'SDK7'!G102</f>
        <v>16</v>
      </c>
      <c r="G70" s="1054" t="s">
        <v>163</v>
      </c>
      <c r="H70" s="1050">
        <f>J7</f>
        <v>1150.125</v>
      </c>
      <c r="I70" s="1049"/>
      <c r="J70" s="1048"/>
      <c r="K70" s="1053">
        <f>M7</f>
        <v>1533.5</v>
      </c>
      <c r="L70" s="1052"/>
      <c r="M70" s="1051"/>
      <c r="N70" s="1050">
        <f>P7</f>
        <v>1916.875</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3470"/>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f>(J23+J27+J34+J43+J60+J65+J67+J69+J71)*('SDK1'!$O$59%*$G$75/12)</f>
        <v>7.8594276482708336</v>
      </c>
      <c r="K75" s="513"/>
      <c r="L75" s="522"/>
      <c r="M75" s="1005">
        <f>(M23+M27+M34+M43+M60+M65+M67+M69+M71)*('SDK1'!$O$59%*$G$75/12)</f>
        <v>9.2842662033611116</v>
      </c>
      <c r="N75" s="1007"/>
      <c r="O75" s="1006"/>
      <c r="P75" s="1005">
        <f>(P23+P27+P34+P43+P60+P65+P67+P69+P71)*('SDK1'!$O$59%*$G$75/12)</f>
        <v>10.609184847784721</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H151" s="1354"/>
      <c r="J151" s="1353"/>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8" orientation="portrait" r:id="rId1"/>
      <headerFooter alignWithMargins="0">
        <oddFooter>&amp;L&amp;11LEL Schwäbisch Gmünd&amp;C45&amp;R&amp;11&amp;F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8" orientation="portrait" r:id="rId2"/>
      <headerFooter alignWithMargins="0">
        <oddFooter>&amp;L&amp;11LEL Schwäbisch Gmünd&amp;C45&amp;R&amp;11&amp;F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8" orientation="portrait" r:id="rId3"/>
      <headerFooter alignWithMargins="0">
        <oddFooter>&amp;L&amp;11LEL Schwäbisch Gmünd&amp;C45&amp;R&amp;11&amp;F</oddFooter>
      </headerFooter>
    </customSheetView>
  </customSheetViews>
  <mergeCells count="50">
    <mergeCell ref="B3:H3"/>
    <mergeCell ref="K1:L1"/>
    <mergeCell ref="N1:O1"/>
    <mergeCell ref="N3:O4"/>
    <mergeCell ref="J3:L3"/>
    <mergeCell ref="J4:L4"/>
    <mergeCell ref="C42:E42"/>
    <mergeCell ref="H6:I6"/>
    <mergeCell ref="C19:F19"/>
    <mergeCell ref="C39:E39"/>
    <mergeCell ref="E4:I4"/>
    <mergeCell ref="C41:E41"/>
    <mergeCell ref="C37:E37"/>
    <mergeCell ref="C36:E36"/>
    <mergeCell ref="C40:E40"/>
    <mergeCell ref="C38:E38"/>
    <mergeCell ref="C20:F20"/>
    <mergeCell ref="C21:F21"/>
    <mergeCell ref="E22:G22"/>
    <mergeCell ref="B75:C75"/>
    <mergeCell ref="K2:P2"/>
    <mergeCell ref="D25:E25"/>
    <mergeCell ref="D26:E26"/>
    <mergeCell ref="C14:F14"/>
    <mergeCell ref="C15:F15"/>
    <mergeCell ref="N6:O6"/>
    <mergeCell ref="K6:L6"/>
    <mergeCell ref="E10:F10"/>
    <mergeCell ref="C16:F16"/>
    <mergeCell ref="C48:D48"/>
    <mergeCell ref="F23:G23"/>
    <mergeCell ref="F34:G34"/>
    <mergeCell ref="C47:D47"/>
    <mergeCell ref="C46:D46"/>
    <mergeCell ref="C17:F17"/>
    <mergeCell ref="C74:E74"/>
    <mergeCell ref="C55:D55"/>
    <mergeCell ref="C68:E68"/>
    <mergeCell ref="C62:E62"/>
    <mergeCell ref="C64:E64"/>
    <mergeCell ref="C73:E73"/>
    <mergeCell ref="C63:E63"/>
    <mergeCell ref="C57:D57"/>
    <mergeCell ref="C56:D56"/>
    <mergeCell ref="C49:D49"/>
    <mergeCell ref="C53:D53"/>
    <mergeCell ref="C54:D54"/>
    <mergeCell ref="C50:D50"/>
    <mergeCell ref="C51:D51"/>
    <mergeCell ref="C52:D52"/>
  </mergeCells>
  <dataValidations count="5">
    <dataValidation type="list" showInputMessage="1" showErrorMessage="1" sqref="H14 K14 N14" xr:uid="{00000000-0002-0000-2400-000000000000}">
      <formula1>"ja,nein"</formula1>
    </dataValidation>
    <dataValidation type="list" allowBlank="1" showInputMessage="1" showErrorMessage="1" sqref="H15:H17 K15:K17 N15:N17" xr:uid="{00000000-0002-0000-2400-000001000000}">
      <formula1>"ja,nein"</formula1>
    </dataValidation>
    <dataValidation type="whole" allowBlank="1" showInputMessage="1" showErrorMessage="1" errorTitle="Anteil Erntegut" error="Prozentwert darf nur zwischen 0 und 100 liegen." sqref="O68 L68 I68" xr:uid="{00000000-0002-0000-2400-000002000000}">
      <formula1>0</formula1>
      <formula2>100</formula2>
    </dataValidation>
    <dataValidation type="decimal" allowBlank="1" showInputMessage="1" showErrorMessage="1" errorTitle="Wassergehalt Getreide" error="Zulässig sind nur Werte zwischen 14,1 und 29,0 % Wassergehalt." sqref="H68 K68 N68" xr:uid="{00000000-0002-0000-2400-000003000000}">
      <formula1>14.1</formula1>
      <formula2>29</formula2>
    </dataValidation>
    <dataValidation type="list" allowBlank="1" showInputMessage="1" showErrorMessage="1" errorTitle="Organisationsabh. Ausgleichsl." error="Bitte aus Dropdownliste auswählen." sqref="D19:F19" xr:uid="{00000000-0002-0000-2400-000004000000}">
      <formula1>$C$60:$C$75</formula1>
    </dataValidation>
  </dataValidations>
  <hyperlinks>
    <hyperlink ref="F9" location="'SDK1'!A1" display="Preis ändern" xr:uid="{00000000-0004-0000-2400-000000000000}"/>
  </hyperlinks>
  <printOptions horizontalCentered="1"/>
  <pageMargins left="0.59055118110236227" right="0.59055118110236227" top="0.59055118110236227" bottom="0.59055118110236227" header="0.39370078740157483" footer="0.39370078740157483"/>
  <pageSetup paperSize="9" scale="65" firstPageNumber="38" orientation="portrait" r:id="rId4"/>
  <headerFooter alignWithMargins="0">
    <oddFooter>&amp;L&amp;11LEL Schwäbisch Gmünd&amp;C45&amp;R&amp;11&amp;F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8673" r:id="rId7" name="Check Box 1">
              <controlPr defaultSize="0" autoFill="0" autoLine="0" autoPict="0">
                <anchor moveWithCells="1">
                  <from>
                    <xdr:col>12</xdr:col>
                    <xdr:colOff>289560</xdr:colOff>
                    <xdr:row>3</xdr:row>
                    <xdr:rowOff>0</xdr:rowOff>
                  </from>
                  <to>
                    <xdr:col>13</xdr:col>
                    <xdr:colOff>0</xdr:colOff>
                    <xdr:row>3</xdr:row>
                    <xdr:rowOff>213360</xdr:rowOff>
                  </to>
                </anchor>
              </controlPr>
            </control>
          </mc:Choice>
        </mc:AlternateContent>
        <mc:AlternateContent xmlns:mc="http://schemas.openxmlformats.org/markup-compatibility/2006">
          <mc:Choice Requires="x14">
            <control shapeId="28674" r:id="rId8" name="Check Box 2">
              <controlPr defaultSize="0" autoFill="0" autoLine="0" autoPict="0">
                <anchor moveWithCells="1">
                  <from>
                    <xdr:col>12</xdr:col>
                    <xdr:colOff>289560</xdr:colOff>
                    <xdr:row>2</xdr:row>
                    <xdr:rowOff>0</xdr:rowOff>
                  </from>
                  <to>
                    <xdr:col>13</xdr:col>
                    <xdr:colOff>0</xdr:colOff>
                    <xdr:row>2</xdr:row>
                    <xdr:rowOff>236220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400-000005000000}">
          <x14:formula1>
            <xm:f>'SD2'!$C$11:$C$50</xm:f>
          </x14:formula1>
          <xm:sqref>C14:F17</xm:sqref>
        </x14:dataValidation>
        <x14:dataValidation type="list" allowBlank="1" showInputMessage="1" showErrorMessage="1" errorTitle="Organisationsabh. Ausgleichsl." error="Bitte aus Dropdownliste auswählen." xr:uid="{00000000-0002-0000-2400-000006000000}">
          <x14:formula1>
            <xm:f>'SD2'!$C$60:$C$77</xm:f>
          </x14:formula1>
          <xm:sqref>C19:C21</xm:sqref>
        </x14:dataValidation>
        <x14:dataValidation type="list" allowBlank="1" showInputMessage="1" showErrorMessage="1" errorTitle="Arbeitsgänge" error="Bitte aus Dropdownliste auswählen." xr:uid="{00000000-0002-0000-2400-000007000000}">
          <x14:formula1>
            <xm:f>'SD3'!$C$23:$C$75</xm:f>
          </x14:formula1>
          <xm:sqref>C46:D57</xm:sqref>
        </x14:dataValidation>
        <x14:dataValidation type="list" allowBlank="1" showInputMessage="1" showErrorMessage="1" errorTitle="Lohnmaschinen" error="Bitte aus Dropdownliste auswählen." xr:uid="{00000000-0002-0000-2400-000008000000}">
          <x14:formula1>
            <xm:f>'SD3'!$C$90:$C$104</xm:f>
          </x14:formula1>
          <xm:sqref>C62:E64</xm:sqref>
        </x14:dataValidation>
        <x14:dataValidation type="list" allowBlank="1" showInputMessage="1" showErrorMessage="1" errorTitle="Pflanzenschutzmittel" error="Bitte aus Dropdownliste auswählen." xr:uid="{00000000-0002-0000-2400-000009000000}">
          <x14:formula1>
            <xm:f>'SDK5'!$N$214:$N$233</xm:f>
          </x14:formula1>
          <xm:sqref>C36:E36 C37:E37 C38:E38 C39:E39 C40:E40 C41:E41 C42:E42</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8">
    <tabColor rgb="FFFFFF00"/>
    <pageSetUpPr fitToPage="1"/>
  </sheetPr>
  <dimension ref="A1:AO218"/>
  <sheetViews>
    <sheetView workbookViewId="0">
      <selection activeCell="N52" sqref="N52"/>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7" width="10.5" style="31" hidden="1" customWidth="1"/>
    <col min="28" max="29" width="0" style="31" hidden="1" customWidth="1"/>
    <col min="30" max="16384" width="10.5" style="31"/>
  </cols>
  <sheetData>
    <row r="1" spans="1:41" s="1317" customFormat="1" ht="30.45" customHeight="1">
      <c r="A1" s="3740"/>
      <c r="B1" s="258"/>
      <c r="C1" s="1333"/>
      <c r="D1" s="1253"/>
      <c r="E1" s="255"/>
      <c r="F1" s="255"/>
      <c r="G1" s="430"/>
      <c r="H1" s="1328"/>
      <c r="I1" s="3212" t="s">
        <v>1679</v>
      </c>
      <c r="J1" s="3210">
        <f>(J7+J13+J18+J22)-(J23+J27+J34+J43+J60+J65+J67+J69+J71+J75)</f>
        <v>500.37714318151325</v>
      </c>
      <c r="K1" s="4360">
        <f>M1-J1</f>
        <v>343.21900368094907</v>
      </c>
      <c r="L1" s="4360"/>
      <c r="M1" s="3210">
        <f>(M7+M13+M18+M22)-(M23+M27+M34+M43+M60+M65+M67+M69+M71+M75)</f>
        <v>843.59614686246232</v>
      </c>
      <c r="N1" s="4360">
        <f>P1-M1</f>
        <v>343.21900368094839</v>
      </c>
      <c r="O1" s="4360"/>
      <c r="P1" s="3210">
        <f>(P7+P13+P18+P22)-(P23+P27+P34+P43+P60+P65+P67+P69+P71+P75)</f>
        <v>1186.8151505434107</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72</v>
      </c>
      <c r="L2" s="4372"/>
      <c r="M2" s="4372"/>
      <c r="N2" s="4372"/>
      <c r="O2" s="4372"/>
      <c r="P2" s="4372"/>
      <c r="Q2" s="1345">
        <v>0</v>
      </c>
    </row>
    <row r="3" spans="1:41" s="1317" customFormat="1" ht="32.4" customHeight="1">
      <c r="A3" s="1321"/>
      <c r="B3" s="4405" t="s">
        <v>1727</v>
      </c>
      <c r="C3" s="4405"/>
      <c r="D3" s="4405"/>
      <c r="E3" s="4405"/>
      <c r="F3" s="4405"/>
      <c r="G3" s="4405"/>
      <c r="H3" s="4405"/>
      <c r="J3" s="4368" t="s">
        <v>886</v>
      </c>
      <c r="K3" s="4369"/>
      <c r="L3" s="4369"/>
      <c r="M3" s="1327"/>
      <c r="N3" s="4373" t="str">
        <f>IF(AND(T3=TRUE,T4=TRUE),"nur 1 Strohnutzung möglich","")</f>
        <v/>
      </c>
      <c r="O3" s="4374"/>
      <c r="P3" s="1326"/>
      <c r="Q3" s="1321"/>
      <c r="T3" s="1343" t="b">
        <v>1</v>
      </c>
    </row>
    <row r="4" spans="1:41" s="1317" customFormat="1" ht="20.25" customHeight="1">
      <c r="A4" s="1321"/>
      <c r="B4" s="309" t="s">
        <v>779</v>
      </c>
      <c r="C4" s="31"/>
      <c r="D4" s="31"/>
      <c r="E4" s="4406" t="s">
        <v>890</v>
      </c>
      <c r="F4" s="4406"/>
      <c r="G4" s="4406"/>
      <c r="H4" s="4406"/>
      <c r="I4" s="4406"/>
      <c r="J4" s="4368" t="s">
        <v>875</v>
      </c>
      <c r="K4" s="4369"/>
      <c r="L4" s="4369"/>
      <c r="M4" s="1323"/>
      <c r="N4" s="4374"/>
      <c r="O4" s="4374"/>
      <c r="P4" s="1322">
        <f>'SDK1'!O3</f>
        <v>2024</v>
      </c>
      <c r="Q4" s="1321"/>
      <c r="T4" s="1343" t="b">
        <v>0</v>
      </c>
      <c r="U4" s="1318"/>
    </row>
    <row r="5" spans="1:41" ht="6" customHeight="1"/>
    <row r="6" spans="1:41" s="1311" customFormat="1" ht="24" customHeight="1">
      <c r="A6" s="41"/>
      <c r="B6" s="1316" t="s">
        <v>832</v>
      </c>
      <c r="C6" s="1315"/>
      <c r="D6" s="1315"/>
      <c r="E6" s="1315"/>
      <c r="F6" s="1315"/>
      <c r="G6" s="1314"/>
      <c r="H6" s="4366" t="s">
        <v>171</v>
      </c>
      <c r="I6" s="4367"/>
      <c r="J6" s="1313">
        <f>M6*0.75</f>
        <v>39.75</v>
      </c>
      <c r="K6" s="4379" t="s">
        <v>144</v>
      </c>
      <c r="L6" s="4380"/>
      <c r="M6" s="1313">
        <v>53</v>
      </c>
      <c r="N6" s="4366" t="s">
        <v>170</v>
      </c>
      <c r="O6" s="4367"/>
      <c r="P6" s="1312">
        <f>M6*1.25</f>
        <v>66.25</v>
      </c>
      <c r="Q6" s="49"/>
    </row>
    <row r="7" spans="1:41" s="196" customFormat="1" ht="18.75" customHeight="1">
      <c r="A7" s="40"/>
      <c r="B7" s="245" t="s">
        <v>883</v>
      </c>
      <c r="C7" s="40"/>
      <c r="D7" s="40"/>
      <c r="E7" s="40"/>
      <c r="F7" s="40"/>
      <c r="G7" s="1310"/>
      <c r="H7" s="1307"/>
      <c r="I7" s="1306"/>
      <c r="J7" s="1041">
        <f>SUM(I9:I12)</f>
        <v>1473.135</v>
      </c>
      <c r="K7" s="1309"/>
      <c r="L7" s="1308"/>
      <c r="M7" s="1044">
        <f>SUM(L9:L12)</f>
        <v>1964.18</v>
      </c>
      <c r="N7" s="1307"/>
      <c r="O7" s="1306"/>
      <c r="P7" s="1041">
        <f>SUM(O9:O12)</f>
        <v>2455.2249999999999</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'SDK1'!O28</f>
        <v>28.5</v>
      </c>
      <c r="H9" s="1303">
        <f>J6-H10</f>
        <v>39.75</v>
      </c>
      <c r="I9" s="1299">
        <f>H9*G9</f>
        <v>1132.875</v>
      </c>
      <c r="J9" s="37"/>
      <c r="K9" s="1302">
        <f>M6-K10</f>
        <v>53</v>
      </c>
      <c r="L9" s="1301">
        <f>K9*G9</f>
        <v>1510.5</v>
      </c>
      <c r="M9" s="1280"/>
      <c r="N9" s="1300">
        <f>P6-N10</f>
        <v>66.25</v>
      </c>
      <c r="O9" s="1299">
        <f>N9*G9</f>
        <v>1888.125</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340.26</v>
      </c>
      <c r="S10" s="1288">
        <f>L10+L11+L12</f>
        <v>453.68</v>
      </c>
      <c r="T10" s="1287">
        <f>O10+O11+O12</f>
        <v>567.09999999999991</v>
      </c>
      <c r="W10" s="196" t="s">
        <v>879</v>
      </c>
    </row>
    <row r="11" spans="1:41" s="1268" customFormat="1" ht="15" customHeight="1">
      <c r="A11" s="309"/>
      <c r="B11" s="217"/>
      <c r="C11" s="39" t="s">
        <v>878</v>
      </c>
      <c r="D11" s="309"/>
      <c r="E11" s="1286">
        <v>0.8</v>
      </c>
      <c r="F11" s="39" t="s">
        <v>877</v>
      </c>
      <c r="G11" s="3230">
        <f>'SDK1'!$O$48</f>
        <v>10.7</v>
      </c>
      <c r="H11" s="3151">
        <f>IF(OR($T$3,$T$4)=TRUE,J6*$E$11,0)</f>
        <v>31.8</v>
      </c>
      <c r="I11" s="3152">
        <f>H11*$G$11</f>
        <v>340.26</v>
      </c>
      <c r="J11" s="3153"/>
      <c r="K11" s="3154">
        <f>IF(OR($T$3,$T$4)=TRUE,M6*$E$11,0)</f>
        <v>42.400000000000006</v>
      </c>
      <c r="L11" s="3155">
        <f>K11*$G$11</f>
        <v>453.68</v>
      </c>
      <c r="M11" s="3156"/>
      <c r="N11" s="3157">
        <f>IF(OR($T$3,$T$4)=TRUE,P6*$E$11,0)</f>
        <v>53</v>
      </c>
      <c r="O11" s="3152">
        <f>N11*$G$11</f>
        <v>567.09999999999991</v>
      </c>
      <c r="P11" s="3158"/>
      <c r="Q11" s="34"/>
      <c r="W11" s="1268" t="s">
        <v>876</v>
      </c>
    </row>
    <row r="12" spans="1:41" s="1268" customFormat="1" ht="15" hidden="1" customHeight="1">
      <c r="A12" s="309"/>
      <c r="B12" s="185"/>
      <c r="C12" s="223" t="s">
        <v>1652</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f>IF(OR(T3=TRUE,T4=TRUE),J6*$E$11,"0")</f>
        <v>31.8</v>
      </c>
      <c r="Y13" s="1265">
        <f>IF(OR(T3=TRUE,T4=TRUE),M6*$E$11,"0")</f>
        <v>42.400000000000006</v>
      </c>
      <c r="Z13" s="1264">
        <f>IF(OR(T3=TRUE,T4=TRUE),P6*$E$11,"0")</f>
        <v>53</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12.720000000000011</v>
      </c>
      <c r="Y14" s="1260">
        <f>$Y$13*F30</f>
        <v>16.960000000000019</v>
      </c>
      <c r="Z14" s="1260">
        <f>$Z$13*F30</f>
        <v>21.200000000000017</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7.6319999999999997</v>
      </c>
      <c r="Y15" s="1260">
        <f>$Y$13*F31</f>
        <v>10.176</v>
      </c>
      <c r="Z15" s="1260">
        <f>$Z$13*F31</f>
        <v>12.719999999999999</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43.247999999999998</v>
      </c>
      <c r="Y16" s="1260">
        <f>$Y$13*F32</f>
        <v>57.664000000000001</v>
      </c>
      <c r="Z16" s="1260">
        <f>$Z$13*F32</f>
        <v>72.08</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5.0879999999999992</v>
      </c>
      <c r="Y17" s="1260">
        <f>$Y$13*F33</f>
        <v>6.7839999999999998</v>
      </c>
      <c r="Z17" s="1260">
        <f>$Z$13*F33</f>
        <v>8.4799999999999986</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6" customHeight="1">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6" customHeight="1">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6" customHeight="1">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161.5</v>
      </c>
      <c r="K23" s="1046"/>
      <c r="L23" s="1045"/>
      <c r="M23" s="1227">
        <f>SUM(L25:L26)</f>
        <v>161.5</v>
      </c>
      <c r="N23" s="1043"/>
      <c r="O23" s="1042"/>
      <c r="P23" s="1026">
        <f>SUM(O25:O26)</f>
        <v>161.5</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'SDK7'!F58/100</f>
        <v>0.95</v>
      </c>
      <c r="G25" s="1221">
        <f>F25*(100+$D$24)/100</f>
        <v>0.95</v>
      </c>
      <c r="H25" s="1220">
        <v>170</v>
      </c>
      <c r="I25" s="1181">
        <f>H25*$G25</f>
        <v>161.5</v>
      </c>
      <c r="J25" s="39"/>
      <c r="K25" s="1220">
        <f>H25</f>
        <v>170</v>
      </c>
      <c r="L25" s="1023">
        <f>K25*$G25</f>
        <v>161.5</v>
      </c>
      <c r="M25" s="1016"/>
      <c r="N25" s="1220">
        <f>H25</f>
        <v>170</v>
      </c>
      <c r="O25" s="1181">
        <f>N25*$G25</f>
        <v>161.5</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259.58587</v>
      </c>
      <c r="K27" s="1175"/>
      <c r="L27" s="1174"/>
      <c r="M27" s="1044">
        <f>SUM(L30:L32)</f>
        <v>338.18115999999998</v>
      </c>
      <c r="N27" s="1173"/>
      <c r="O27" s="1172"/>
      <c r="P27" s="1041">
        <f>SUM(O30:O32)</f>
        <v>416.77645000000001</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2.2599999999999998</v>
      </c>
      <c r="F30" s="1201">
        <f>VLOOKUP(K2,'SD8'!B9:L42,7,FALSE)</f>
        <v>0.40000000000000036</v>
      </c>
      <c r="G30" s="1200">
        <v>20</v>
      </c>
      <c r="H30" s="1198">
        <f>IF(J$6=0,0,(J$6*$E30+$G30+X14))</f>
        <v>122.55500000000001</v>
      </c>
      <c r="I30" s="1181">
        <f>H30*$D30</f>
        <v>145.84045</v>
      </c>
      <c r="J30" s="39"/>
      <c r="K30" s="1199">
        <f>IF(M$6=0,0,(M$6*$E30+$G30+Y14))</f>
        <v>156.73999999999998</v>
      </c>
      <c r="L30" s="1023">
        <f>K30*$D30</f>
        <v>186.52059999999997</v>
      </c>
      <c r="M30" s="1016"/>
      <c r="N30" s="1198">
        <f>IF(P$6=0,0,(P$6*$E30+$G30+Z14))</f>
        <v>190.92500000000001</v>
      </c>
      <c r="O30" s="1181">
        <f>N30*$D30</f>
        <v>227.20075</v>
      </c>
      <c r="P30" s="1145"/>
      <c r="Q30" s="34"/>
    </row>
    <row r="31" spans="1:26" s="36" customFormat="1" ht="15" customHeight="1">
      <c r="A31" s="746"/>
      <c r="B31" s="217"/>
      <c r="C31" s="746" t="s">
        <v>234</v>
      </c>
      <c r="D31" s="1150">
        <f>'SDK1'!O53</f>
        <v>1.2</v>
      </c>
      <c r="E31" s="1201">
        <f>VLOOKUP(K2,'SD8'!B9:L42,4,FALSE)</f>
        <v>0.8</v>
      </c>
      <c r="F31" s="1201">
        <f>VLOOKUP(K2,'SD8'!B9:L42,8,FALSE)</f>
        <v>0.24</v>
      </c>
      <c r="G31" s="1200"/>
      <c r="H31" s="1198">
        <f>IF(J$6=0,0,(J$6*$E31+$G31+X15))</f>
        <v>39.432000000000002</v>
      </c>
      <c r="I31" s="1181">
        <f>H31*$D31</f>
        <v>47.318400000000004</v>
      </c>
      <c r="J31" s="39"/>
      <c r="K31" s="1199">
        <f>IF(M$6=0,0,(M$6*$E31+$G31+Y15))</f>
        <v>52.576000000000008</v>
      </c>
      <c r="L31" s="1023">
        <f>K31*$D31</f>
        <v>63.091200000000008</v>
      </c>
      <c r="M31" s="1016"/>
      <c r="N31" s="1198">
        <f>IF(P$6=0,0,(P$6*$E31+$G31+Z15))</f>
        <v>65.72</v>
      </c>
      <c r="O31" s="1181">
        <f>N31*$D31</f>
        <v>78.86399999999999</v>
      </c>
      <c r="P31" s="1145"/>
      <c r="Q31" s="34"/>
    </row>
    <row r="32" spans="1:26" s="36" customFormat="1" ht="15" customHeight="1">
      <c r="A32" s="746"/>
      <c r="B32" s="185"/>
      <c r="C32" s="2791" t="s">
        <v>232</v>
      </c>
      <c r="D32" s="1133">
        <f>'SDK1'!O54</f>
        <v>0.99</v>
      </c>
      <c r="E32" s="1197">
        <f>VLOOKUP(K2,'SD8'!B9:L42,5,FALSE)</f>
        <v>0.6</v>
      </c>
      <c r="F32" s="1197">
        <f>VLOOKUP(K2,'SD8'!B9:L42,9,FALSE)</f>
        <v>1.3599999999999999</v>
      </c>
      <c r="G32" s="1196"/>
      <c r="H32" s="1194">
        <f>IF(J$6=0,0,(J$6*$E32+$G32+X16))</f>
        <v>67.097999999999999</v>
      </c>
      <c r="I32" s="1177">
        <f>H32*$D32</f>
        <v>66.427019999999999</v>
      </c>
      <c r="J32" s="223"/>
      <c r="K32" s="1195">
        <f>IF(M$6=0,0,(M$6*$E32+$G32+Y16))</f>
        <v>89.463999999999999</v>
      </c>
      <c r="L32" s="1017">
        <f>K32*$D32</f>
        <v>88.569360000000003</v>
      </c>
      <c r="M32" s="1256"/>
      <c r="N32" s="1194">
        <f>IF(P$6=0,0,(P$6*$E32+$G32+Z16))</f>
        <v>111.83</v>
      </c>
      <c r="O32" s="1177">
        <f>N32*$D32</f>
        <v>110.71169999999999</v>
      </c>
      <c r="P32" s="1176"/>
      <c r="Q32" s="34"/>
    </row>
    <row r="33" spans="1:17" s="36" customFormat="1" ht="15" hidden="1" customHeight="1">
      <c r="A33" s="746"/>
      <c r="B33" s="185"/>
      <c r="C33" s="771" t="s">
        <v>230</v>
      </c>
      <c r="D33" s="1133">
        <f>'SDK1'!P55</f>
        <v>0.45</v>
      </c>
      <c r="E33" s="1197">
        <f>VLOOKUP(K2,'SD8'!B9:L42,6,FALSE)</f>
        <v>0.2</v>
      </c>
      <c r="F33" s="1197">
        <f>VLOOKUP(K2,'SD8'!B9:L42,10,FALSE)</f>
        <v>0.15999999999999998</v>
      </c>
      <c r="G33" s="1196"/>
      <c r="H33" s="1194">
        <f>IF(J$6=0,0,(J$6*$E33+$G33+X17))</f>
        <v>13.038</v>
      </c>
      <c r="I33" s="1177">
        <f>H33*$D33</f>
        <v>5.8671000000000006</v>
      </c>
      <c r="J33" s="39"/>
      <c r="K33" s="1195">
        <f>IF(M$6=0,0,(M$6*$E33+$G33+Y17))</f>
        <v>17.384</v>
      </c>
      <c r="L33" s="1017">
        <f>K33*$D33</f>
        <v>7.8228</v>
      </c>
      <c r="M33" s="1016"/>
      <c r="N33" s="1194">
        <f>IF(P$6=0,0,(P$6*$E33+$G33+Z17))</f>
        <v>21.729999999999997</v>
      </c>
      <c r="O33" s="1177">
        <f>N33*$D33</f>
        <v>9.7784999999999993</v>
      </c>
      <c r="P33" s="1176"/>
      <c r="Q33" s="34"/>
    </row>
    <row r="34" spans="1:17" s="511" customFormat="1" ht="18.75" customHeight="1">
      <c r="A34" s="711"/>
      <c r="B34" s="716" t="s">
        <v>859</v>
      </c>
      <c r="C34" s="711"/>
      <c r="D34" s="33"/>
      <c r="E34" s="33"/>
      <c r="F34" s="4381" t="s">
        <v>858</v>
      </c>
      <c r="G34" s="4382"/>
      <c r="H34" s="1191"/>
      <c r="I34" s="1190"/>
      <c r="J34" s="1041">
        <f>SUM(I36:I42)</f>
        <v>175.01999999999998</v>
      </c>
      <c r="K34" s="1193"/>
      <c r="L34" s="1192"/>
      <c r="M34" s="1044">
        <f>SUM(L36:L42)</f>
        <v>175.01999999999998</v>
      </c>
      <c r="N34" s="1191"/>
      <c r="O34" s="1190"/>
      <c r="P34" s="1041">
        <f>SUM(O36:O42)</f>
        <v>175.01999999999998</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534</v>
      </c>
      <c r="D36" s="4389"/>
      <c r="E36" s="4390"/>
      <c r="F36" s="1183">
        <f>IF(C36="",0,VLOOKUP(C36,'SDK5'!C3:AF83,2,FALSE))</f>
        <v>306</v>
      </c>
      <c r="G36" s="1183">
        <f t="shared" ref="G36:G42" si="0">F36*(100+$D$35)/100</f>
        <v>306</v>
      </c>
      <c r="H36" s="1182">
        <v>0.22</v>
      </c>
      <c r="I36" s="1181">
        <f t="shared" ref="I36:I42" si="1">$G36*H36</f>
        <v>67.320000000000007</v>
      </c>
      <c r="J36" s="39"/>
      <c r="K36" s="1182">
        <v>0.22</v>
      </c>
      <c r="L36" s="1023">
        <f t="shared" ref="L36:L42" si="2">$G36*K36</f>
        <v>67.320000000000007</v>
      </c>
      <c r="M36" s="1016"/>
      <c r="N36" s="1182">
        <v>0.22</v>
      </c>
      <c r="O36" s="1181">
        <f t="shared" ref="O36:O42" si="3">$G36*N36</f>
        <v>67.320000000000007</v>
      </c>
      <c r="P36" s="1185"/>
      <c r="Q36" s="34"/>
    </row>
    <row r="37" spans="1:17" s="36" customFormat="1" ht="15" customHeight="1">
      <c r="A37" s="746"/>
      <c r="B37" s="1021"/>
      <c r="C37" s="4375" t="s">
        <v>1482</v>
      </c>
      <c r="D37" s="4375"/>
      <c r="E37" s="4376"/>
      <c r="F37" s="1183">
        <f>IF(C37="",0,VLOOKUP(C37,'SDK5'!C4:AF84,2,FALSE))</f>
        <v>71.8</v>
      </c>
      <c r="G37" s="1183">
        <f t="shared" si="0"/>
        <v>71.8</v>
      </c>
      <c r="H37" s="1182">
        <v>1.5</v>
      </c>
      <c r="I37" s="1181">
        <f t="shared" si="1"/>
        <v>107.69999999999999</v>
      </c>
      <c r="J37" s="39"/>
      <c r="K37" s="1182">
        <v>1.5</v>
      </c>
      <c r="L37" s="1023">
        <f t="shared" si="2"/>
        <v>107.69999999999999</v>
      </c>
      <c r="M37" s="1016"/>
      <c r="N37" s="1182">
        <v>1.5</v>
      </c>
      <c r="O37" s="1181">
        <f t="shared" si="3"/>
        <v>107.69999999999999</v>
      </c>
      <c r="P37" s="1145"/>
      <c r="Q37" s="34"/>
    </row>
    <row r="38" spans="1:17" s="36" customFormat="1" ht="15" customHeight="1">
      <c r="A38" s="746"/>
      <c r="B38" s="1184"/>
      <c r="C38" s="4375"/>
      <c r="D38" s="4375"/>
      <c r="E38" s="4376"/>
      <c r="F38" s="1183">
        <f>IF(C38="",0,VLOOKUP(C38,'SDK5'!C5:AF85,2,FALSE))</f>
        <v>0</v>
      </c>
      <c r="G38" s="1183"/>
      <c r="H38" s="1182"/>
      <c r="I38" s="1181">
        <f t="shared" si="1"/>
        <v>0</v>
      </c>
      <c r="J38" s="39"/>
      <c r="K38" s="1182"/>
      <c r="L38" s="1023">
        <f t="shared" si="2"/>
        <v>0</v>
      </c>
      <c r="M38" s="1016"/>
      <c r="N38" s="1182"/>
      <c r="O38" s="1181">
        <f t="shared" si="3"/>
        <v>0</v>
      </c>
      <c r="P38" s="1145"/>
      <c r="Q38" s="34"/>
    </row>
    <row r="39" spans="1:17" s="36" customFormat="1" ht="15" customHeight="1">
      <c r="A39" s="746"/>
      <c r="B39" s="1021"/>
      <c r="C39" s="4375"/>
      <c r="D39" s="4375"/>
      <c r="E39" s="4376"/>
      <c r="F39" s="1183">
        <f>IF(C39="",0,VLOOKUP(C39,'SDK5'!C6:AF86,2,FALSE))</f>
        <v>0</v>
      </c>
      <c r="G39" s="1183">
        <f t="shared" si="0"/>
        <v>0</v>
      </c>
      <c r="H39" s="1182"/>
      <c r="I39" s="1181">
        <f t="shared" si="1"/>
        <v>0</v>
      </c>
      <c r="J39" s="39"/>
      <c r="K39" s="1182"/>
      <c r="L39" s="1023">
        <f t="shared" si="2"/>
        <v>0</v>
      </c>
      <c r="M39" s="1016"/>
      <c r="N39" s="1182"/>
      <c r="O39" s="1181">
        <f t="shared" si="3"/>
        <v>0</v>
      </c>
      <c r="P39" s="1145"/>
      <c r="Q39" s="34"/>
    </row>
    <row r="40" spans="1:17" s="36" customFormat="1" ht="15" customHeight="1">
      <c r="A40" s="746"/>
      <c r="B40" s="1021"/>
      <c r="C40" s="4375"/>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187.37157077039998</v>
      </c>
      <c r="K43" s="1175"/>
      <c r="L43" s="1174"/>
      <c r="M43" s="1044">
        <f>SUM(M46:M57)</f>
        <v>194.95447964053329</v>
      </c>
      <c r="N43" s="1173"/>
      <c r="O43" s="1172"/>
      <c r="P43" s="1041">
        <f>SUM(P46:P57)</f>
        <v>202.53738851066663</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87" t="s">
        <v>1589</v>
      </c>
      <c r="D46" s="4388"/>
      <c r="E46" s="1152">
        <f>IF($C46=0,0,VLOOKUP($C46,'SD3'!$C$24:$O$85,4,FALSE))</f>
        <v>120</v>
      </c>
      <c r="F46" s="1151">
        <f>IF($C46=0,0,VLOOKUP($C46,'SD3'!$C$24:$O$85,12,FALSE))</f>
        <v>1.38</v>
      </c>
      <c r="G46" s="1150">
        <f>IF($C46=0,0,VLOOKUP($C46,'SD3'!$C$24:$O$85,13,FALSE))</f>
        <v>64.642445999999993</v>
      </c>
      <c r="H46" s="1147">
        <v>1</v>
      </c>
      <c r="I46" s="1154">
        <f t="shared" ref="I46:I57" si="4">$F46*H46</f>
        <v>1.38</v>
      </c>
      <c r="J46" s="1145">
        <f t="shared" ref="J46:J57" si="5">H46*$G46</f>
        <v>64.642445999999993</v>
      </c>
      <c r="K46" s="1147">
        <v>1</v>
      </c>
      <c r="L46" s="1156">
        <f t="shared" ref="L46:L57" si="6">$F46*K46</f>
        <v>1.38</v>
      </c>
      <c r="M46" s="1148">
        <f t="shared" ref="M46:M57" si="7">K46*$G46</f>
        <v>64.642445999999993</v>
      </c>
      <c r="N46" s="1147">
        <v>1</v>
      </c>
      <c r="O46" s="1154">
        <f t="shared" ref="O46:O57" si="8">$F46*N46</f>
        <v>1.38</v>
      </c>
      <c r="P46" s="1145">
        <f t="shared" ref="P46:P57" si="9">N46*$G46</f>
        <v>64.642445999999993</v>
      </c>
      <c r="Q46" s="34">
        <f>$Q$2*H46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339</v>
      </c>
      <c r="D48" s="4388"/>
      <c r="E48" s="1152">
        <f>IF($C48=0,0,VLOOKUP($C48,'SD3'!$C$24:$O$85,4,FALSE))</f>
        <v>83</v>
      </c>
      <c r="F48" s="1151">
        <f>IF($C48=0,0,VLOOKUP($C48,'SD3'!$C$24:$O$85,12,FALSE))</f>
        <v>0.27</v>
      </c>
      <c r="G48" s="1150">
        <f>IF($C48=0,0,VLOOKUP($C48,'SD3'!$C$24:$O$85,13,FALSE))</f>
        <v>6.9619069099999997</v>
      </c>
      <c r="H48" s="1147">
        <v>2</v>
      </c>
      <c r="I48" s="1146">
        <f t="shared" si="4"/>
        <v>0.54</v>
      </c>
      <c r="J48" s="1145">
        <f t="shared" si="5"/>
        <v>13.923813819999999</v>
      </c>
      <c r="K48" s="1147">
        <v>2</v>
      </c>
      <c r="L48" s="1149">
        <f t="shared" si="6"/>
        <v>0.54</v>
      </c>
      <c r="M48" s="1148">
        <f t="shared" si="7"/>
        <v>13.923813819999999</v>
      </c>
      <c r="N48" s="1147">
        <v>2</v>
      </c>
      <c r="O48" s="1146">
        <f t="shared" si="8"/>
        <v>0.54</v>
      </c>
      <c r="P48" s="1145">
        <f t="shared" si="9"/>
        <v>13.923813819999999</v>
      </c>
      <c r="Q48" s="34"/>
    </row>
    <row r="49" spans="1:28" s="36" customFormat="1" ht="15" customHeight="1">
      <c r="A49" s="746"/>
      <c r="B49" s="1153"/>
      <c r="C49" s="4387" t="s">
        <v>1591</v>
      </c>
      <c r="D49" s="4388"/>
      <c r="E49" s="1152">
        <f>IF($C49=0,0,VLOOKUP($C49,'SD3'!$C$24:$O$85,4,FALSE))</f>
        <v>83</v>
      </c>
      <c r="F49" s="1151">
        <f>IF($C49=0,0,VLOOKUP($C49,'SD3'!$C$24:$O$85,12,FALSE))</f>
        <v>0.22</v>
      </c>
      <c r="G49" s="1150">
        <f>IF($C49=0,0,VLOOKUP($C49,'SD3'!$C$24:$O$85,13,FALSE))</f>
        <v>6.6430352599999996</v>
      </c>
      <c r="H49" s="1147">
        <v>3</v>
      </c>
      <c r="I49" s="1146">
        <f t="shared" si="4"/>
        <v>0.66</v>
      </c>
      <c r="J49" s="1145">
        <f t="shared" si="5"/>
        <v>19.92910578</v>
      </c>
      <c r="K49" s="1147">
        <v>3</v>
      </c>
      <c r="L49" s="1149">
        <f t="shared" si="6"/>
        <v>0.66</v>
      </c>
      <c r="M49" s="1148">
        <f t="shared" si="7"/>
        <v>19.92910578</v>
      </c>
      <c r="N49" s="1147">
        <v>3</v>
      </c>
      <c r="O49" s="1146">
        <f t="shared" si="8"/>
        <v>0.66</v>
      </c>
      <c r="P49" s="1145">
        <f t="shared" si="9"/>
        <v>19.92910578</v>
      </c>
      <c r="Q49" s="34"/>
      <c r="AB49" s="2903"/>
    </row>
    <row r="50" spans="1:28" s="36" customFormat="1" ht="15" customHeight="1">
      <c r="A50" s="746"/>
      <c r="B50" s="1153"/>
      <c r="C50" s="4387" t="s">
        <v>346</v>
      </c>
      <c r="D50" s="4388"/>
      <c r="E50" s="1152">
        <f>IF($C50=0,0,VLOOKUP($C50,'SD3'!$C$24:$O$85,4,FALSE))</f>
        <v>83</v>
      </c>
      <c r="F50" s="1151">
        <f>IF($C50=0,0,VLOOKUP($C50,'SD3'!$C$24:$O$85,12,FALSE))</f>
        <v>0.16</v>
      </c>
      <c r="G50" s="1150">
        <f>IF($C50=0,0,VLOOKUP($C50,'SD3'!$C$24:$O$85,13,FALSE))</f>
        <v>3.7403892799999996</v>
      </c>
      <c r="H50" s="3741">
        <v>2</v>
      </c>
      <c r="I50" s="1146">
        <f t="shared" si="4"/>
        <v>0.32</v>
      </c>
      <c r="J50" s="1145">
        <f t="shared" si="5"/>
        <v>7.4807785599999992</v>
      </c>
      <c r="K50" s="3741">
        <v>2</v>
      </c>
      <c r="L50" s="1149">
        <f t="shared" si="6"/>
        <v>0.32</v>
      </c>
      <c r="M50" s="1148">
        <f t="shared" si="7"/>
        <v>7.4807785599999992</v>
      </c>
      <c r="N50" s="3741">
        <v>2</v>
      </c>
      <c r="O50" s="1146">
        <f t="shared" si="8"/>
        <v>0.32</v>
      </c>
      <c r="P50" s="1145">
        <f t="shared" si="9"/>
        <v>7.4807785599999992</v>
      </c>
      <c r="Q50" s="34"/>
    </row>
    <row r="51" spans="1:28" s="36" customFormat="1" ht="15" customHeight="1">
      <c r="A51" s="746"/>
      <c r="B51" s="1153"/>
      <c r="C51" s="4403" t="s">
        <v>1748</v>
      </c>
      <c r="D51" s="4404"/>
      <c r="E51" s="1152">
        <f>IF($C51=0,0,VLOOKUP($C51,'SD3'!$C$24:$O$85,4,FALSE))</f>
        <v>120</v>
      </c>
      <c r="F51" s="1151">
        <f>IF($C51=0,0,VLOOKUP($C51,'SD3'!$C$24:$O$85,12,FALSE))</f>
        <v>0.37</v>
      </c>
      <c r="G51" s="1150">
        <f>IF($C51=0,0,VLOOKUP($C51,'SD3'!$C$24:$O$85,13,FALSE))</f>
        <v>11.7573302</v>
      </c>
      <c r="H51" s="3654">
        <f>J6/75</f>
        <v>0.53</v>
      </c>
      <c r="I51" s="1146">
        <f t="shared" si="4"/>
        <v>0.1961</v>
      </c>
      <c r="J51" s="1145">
        <f t="shared" si="5"/>
        <v>6.231385006</v>
      </c>
      <c r="K51" s="3654">
        <f>M6/75</f>
        <v>0.70666666666666667</v>
      </c>
      <c r="L51" s="1149">
        <f t="shared" si="6"/>
        <v>0.26146666666666668</v>
      </c>
      <c r="M51" s="1148">
        <f t="shared" si="7"/>
        <v>8.3085133413333327</v>
      </c>
      <c r="N51" s="3654">
        <f>P6/75</f>
        <v>0.8833333333333333</v>
      </c>
      <c r="O51" s="1146">
        <f t="shared" si="8"/>
        <v>0.32683333333333331</v>
      </c>
      <c r="P51" s="1145">
        <f t="shared" si="9"/>
        <v>10.385641676666667</v>
      </c>
      <c r="Q51" s="34"/>
    </row>
    <row r="52" spans="1:28" s="36" customFormat="1" ht="15" customHeight="1">
      <c r="A52" s="746"/>
      <c r="B52" s="1153"/>
      <c r="C52" s="4387" t="s">
        <v>360</v>
      </c>
      <c r="D52" s="4388"/>
      <c r="E52" s="1152">
        <f>IF($C52=0,0,VLOOKUP($C52,'SD3'!$C$24:$O$85,4,FALSE))</f>
        <v>120</v>
      </c>
      <c r="F52" s="1151">
        <f>IF($C52=0,0,VLOOKUP($C52,'SD3'!$C$24:$O$85,12,FALSE))</f>
        <v>0.79</v>
      </c>
      <c r="G52" s="1150">
        <f>IF($C52=0,0,VLOOKUP($C52,'SD3'!$C$24:$O$85,13,FALSE))</f>
        <v>27.987262000000001</v>
      </c>
      <c r="H52" s="1147">
        <v>1</v>
      </c>
      <c r="I52" s="1146">
        <f t="shared" si="4"/>
        <v>0.79</v>
      </c>
      <c r="J52" s="1145">
        <f t="shared" si="5"/>
        <v>27.987262000000001</v>
      </c>
      <c r="K52" s="1147">
        <v>1</v>
      </c>
      <c r="L52" s="1149">
        <f t="shared" si="6"/>
        <v>0.79</v>
      </c>
      <c r="M52" s="1148">
        <f t="shared" si="7"/>
        <v>27.987262000000001</v>
      </c>
      <c r="N52" s="1147">
        <v>1</v>
      </c>
      <c r="O52" s="1146">
        <f t="shared" si="8"/>
        <v>0.79</v>
      </c>
      <c r="P52" s="1145">
        <f t="shared" si="9"/>
        <v>27.987262000000001</v>
      </c>
      <c r="Q52" s="34"/>
    </row>
    <row r="53" spans="1:28"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28"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28"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28"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28"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IF($T$4=TRUE,0,H11/50)</f>
        <v>0.63600000000000001</v>
      </c>
      <c r="I57" s="1130">
        <f t="shared" si="4"/>
        <v>0.82680000000000009</v>
      </c>
      <c r="J57" s="1129">
        <f t="shared" si="5"/>
        <v>16.517341604399995</v>
      </c>
      <c r="K57" s="1131">
        <f>IF($T$4=TRUE,0,K11/50)</f>
        <v>0.84800000000000009</v>
      </c>
      <c r="L57" s="1132">
        <f t="shared" si="6"/>
        <v>1.1024</v>
      </c>
      <c r="M57" s="1079">
        <f t="shared" si="7"/>
        <v>22.023122139199998</v>
      </c>
      <c r="N57" s="1131">
        <f>IF($T$4=TRUE,0,N11/50)</f>
        <v>1.06</v>
      </c>
      <c r="O57" s="1130">
        <f t="shared" si="8"/>
        <v>1.3780000000000001</v>
      </c>
      <c r="P57" s="1129">
        <f t="shared" si="9"/>
        <v>27.528902673999994</v>
      </c>
      <c r="Q57" s="34"/>
    </row>
    <row r="58" spans="1:28" s="46" customFormat="1" ht="18.75" customHeight="1">
      <c r="A58" s="811"/>
      <c r="B58" s="716" t="s">
        <v>848</v>
      </c>
      <c r="C58" s="811"/>
      <c r="D58" s="811"/>
      <c r="E58" s="811"/>
      <c r="F58" s="34"/>
      <c r="G58" s="1047"/>
      <c r="H58" s="1124"/>
      <c r="I58" s="1123">
        <f>SUM($I$46:$I$57)</f>
        <v>5.4229000000000003</v>
      </c>
      <c r="J58" s="1128"/>
      <c r="K58" s="1127"/>
      <c r="L58" s="1126">
        <f>SUM($L$46:$L$57)</f>
        <v>5.7638666666666669</v>
      </c>
      <c r="M58" s="1125"/>
      <c r="N58" s="1124"/>
      <c r="O58" s="1123">
        <f>SUM($O$46:$O$57)</f>
        <v>6.1048333333333336</v>
      </c>
      <c r="P58" s="1122"/>
      <c r="Q58" s="34"/>
    </row>
    <row r="59" spans="1:28" s="46" customFormat="1" ht="15" customHeight="1">
      <c r="A59" s="811"/>
      <c r="B59" s="1121"/>
      <c r="C59" s="285"/>
      <c r="D59" s="222" t="s">
        <v>847</v>
      </c>
      <c r="E59" s="1120">
        <v>80</v>
      </c>
      <c r="F59" s="285" t="s">
        <v>846</v>
      </c>
      <c r="G59" s="1119"/>
      <c r="H59" s="1115"/>
      <c r="I59" s="1114">
        <f>IF(I58+SUM($I$46:$I$57)*$E$59%&gt;I58+10,I58+10,I58+SUM($I$46:$I$57)*$E$59%)</f>
        <v>9.7612200000000016</v>
      </c>
      <c r="J59" s="1113"/>
      <c r="K59" s="1118"/>
      <c r="L59" s="1117">
        <f>IF(L58+SUM($L$46:$L$57)*$E$59%&gt;L58+10,L58+10,L58+SUM($L$46:$L$57)*$E$59%)</f>
        <v>10.374960000000002</v>
      </c>
      <c r="M59" s="1116"/>
      <c r="N59" s="1115"/>
      <c r="O59" s="1114">
        <f>IF(O58+SUM($O$46:$O$57)*$E$59%&gt;O58+10,O58+10,O58+SUM($O$46:$O$57)*$E$59%)</f>
        <v>10.988700000000001</v>
      </c>
      <c r="P59" s="1113"/>
      <c r="Q59" s="34"/>
    </row>
    <row r="60" spans="1:28" s="36" customFormat="1" ht="18.75" customHeight="1">
      <c r="A60" s="746"/>
      <c r="B60" s="716" t="s">
        <v>845</v>
      </c>
      <c r="C60" s="811"/>
      <c r="D60" s="811"/>
      <c r="E60" s="39"/>
      <c r="F60" s="39"/>
      <c r="G60" s="1112"/>
      <c r="H60" s="1104"/>
      <c r="I60" s="1103"/>
      <c r="J60" s="1111">
        <f>IF(J6=0,0,SUM(I62:I64))</f>
        <v>280.44</v>
      </c>
      <c r="K60" s="1107"/>
      <c r="L60" s="1106"/>
      <c r="M60" s="1044">
        <f>IF(M6=0,0,SUM(L62:L64))</f>
        <v>315.42</v>
      </c>
      <c r="N60" s="1104"/>
      <c r="O60" s="1103"/>
      <c r="P60" s="1111">
        <f>IF(P6=0,0,SUM(O62:O64))</f>
        <v>350.4</v>
      </c>
      <c r="Q60" s="34"/>
    </row>
    <row r="61" spans="1:28"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28" s="36" customFormat="1" ht="15" customHeight="1">
      <c r="A62" s="746"/>
      <c r="B62" s="1021"/>
      <c r="C62" s="4365" t="s">
        <v>296</v>
      </c>
      <c r="D62" s="4365"/>
      <c r="E62" s="4365"/>
      <c r="F62" s="1101">
        <f>IF($C62=0,0,VLOOKUP($C62,'SD3'!$C$90:$D$104,2,FALSE))</f>
        <v>175.5</v>
      </c>
      <c r="G62" s="1100">
        <f>(100+$D$61)/100*F62</f>
        <v>175.5</v>
      </c>
      <c r="H62" s="173"/>
      <c r="I62" s="1096">
        <f>$G$62</f>
        <v>175.5</v>
      </c>
      <c r="J62" s="173"/>
      <c r="K62" s="1099"/>
      <c r="L62" s="1098">
        <f>$G$62</f>
        <v>175.5</v>
      </c>
      <c r="M62" s="1016"/>
      <c r="N62" s="1097"/>
      <c r="O62" s="1096">
        <f>$G$62</f>
        <v>175.5</v>
      </c>
      <c r="P62" s="1095"/>
      <c r="Q62" s="34"/>
    </row>
    <row r="63" spans="1:28"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28" s="36" customFormat="1" ht="15" customHeight="1">
      <c r="A64" s="746"/>
      <c r="B64" s="1084"/>
      <c r="C64" s="4396" t="s">
        <v>289</v>
      </c>
      <c r="D64" s="4396"/>
      <c r="E64" s="4396"/>
      <c r="F64" s="1083">
        <f>IF($T$3=FALSE,0,VLOOKUP($C64,'SD3'!$C$90:$D$104,2,FALSE))</f>
        <v>3.3</v>
      </c>
      <c r="G64" s="1082">
        <f>(100+$D$61)/100*F64</f>
        <v>3.3</v>
      </c>
      <c r="H64" s="1078"/>
      <c r="I64" s="1077">
        <f>H11*$G$64</f>
        <v>104.94</v>
      </c>
      <c r="J64" s="173"/>
      <c r="K64" s="1081"/>
      <c r="L64" s="1080">
        <f>K11*$G$64</f>
        <v>139.92000000000002</v>
      </c>
      <c r="M64" s="1079"/>
      <c r="N64" s="1078"/>
      <c r="O64" s="1077">
        <f>N11*$G$64</f>
        <v>174.89999999999998</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3472"/>
      <c r="G67" s="3471"/>
      <c r="H67" s="1066" t="s">
        <v>842</v>
      </c>
      <c r="I67" s="1065" t="s">
        <v>841</v>
      </c>
      <c r="J67" s="1041">
        <f>R68*(H9+H10)*I68%+F68</f>
        <v>52.768124999999991</v>
      </c>
      <c r="K67" s="1068" t="s">
        <v>842</v>
      </c>
      <c r="L67" s="1067" t="s">
        <v>841</v>
      </c>
      <c r="M67" s="1044">
        <f>S68*(K9+K10)*L68%+F68</f>
        <v>70.357499999999987</v>
      </c>
      <c r="N67" s="1066" t="s">
        <v>842</v>
      </c>
      <c r="O67" s="1065" t="s">
        <v>841</v>
      </c>
      <c r="P67" s="1041">
        <f>T68*(N9+N10)*O68%+F68</f>
        <v>87.946874999999977</v>
      </c>
      <c r="Q67" s="34"/>
    </row>
    <row r="68" spans="1:20" s="511" customFormat="1" ht="15" customHeight="1">
      <c r="A68" s="711"/>
      <c r="B68" s="1064"/>
      <c r="C68" s="4393" t="s">
        <v>564</v>
      </c>
      <c r="D68" s="4393"/>
      <c r="E68" s="4393"/>
      <c r="F68" s="1063"/>
      <c r="G68" s="1054" t="s">
        <v>163</v>
      </c>
      <c r="H68" s="1061">
        <v>16</v>
      </c>
      <c r="I68" s="1060">
        <v>50</v>
      </c>
      <c r="J68" s="1059"/>
      <c r="K68" s="1061">
        <v>16</v>
      </c>
      <c r="L68" s="1060">
        <v>50</v>
      </c>
      <c r="M68" s="1062"/>
      <c r="N68" s="1061">
        <v>16</v>
      </c>
      <c r="O68" s="1060">
        <v>50</v>
      </c>
      <c r="P68" s="1059"/>
      <c r="Q68" s="34"/>
      <c r="R68" s="1058">
        <f>IF($H$68=0,0,VLOOKUP($H$68,'SD6'!B8:C151,'SD6'!C1,FALSE))*(1+'SDK1'!O11/100)</f>
        <v>2.6549999999999994</v>
      </c>
      <c r="S68" s="1058">
        <f>IF($K$68=0,0,VLOOKUP($K$68,'SD6'!B8:C151,'SD6'!C1,FALSE))*(1+'SDK1'!O11/100)</f>
        <v>2.6549999999999994</v>
      </c>
      <c r="T68" s="1058">
        <f>IF($N$68=0,0,VLOOKUP($N$68,'SD6'!B8:C151,'SD6'!C1,FALSE))*(1+'SDK1'!O11/100)</f>
        <v>2.6549999999999994</v>
      </c>
    </row>
    <row r="69" spans="1:20" s="511" customFormat="1" ht="18.75" customHeight="1">
      <c r="A69" s="711"/>
      <c r="B69" s="716" t="s">
        <v>839</v>
      </c>
      <c r="C69" s="711"/>
      <c r="D69" s="711"/>
      <c r="E69" s="34"/>
      <c r="F69" s="34"/>
      <c r="G69" s="1047"/>
      <c r="H69" s="38"/>
      <c r="I69" s="51"/>
      <c r="J69" s="1041">
        <f>H70*$F70/1000</f>
        <v>23.570160000000001</v>
      </c>
      <c r="K69" s="1057"/>
      <c r="L69" s="1056"/>
      <c r="M69" s="1044">
        <f>K70*$F70/1000</f>
        <v>31.426880000000001</v>
      </c>
      <c r="N69" s="38"/>
      <c r="O69" s="51"/>
      <c r="P69" s="1041">
        <f>N70*$F70/1000</f>
        <v>39.2836</v>
      </c>
      <c r="Q69" s="34"/>
    </row>
    <row r="70" spans="1:20" s="511" customFormat="1" ht="15" customHeight="1">
      <c r="A70" s="711"/>
      <c r="B70" s="772"/>
      <c r="C70" s="771" t="s">
        <v>606</v>
      </c>
      <c r="D70" s="285"/>
      <c r="E70" s="222"/>
      <c r="F70" s="3742">
        <f>'SDK7'!G102</f>
        <v>16</v>
      </c>
      <c r="G70" s="1054" t="s">
        <v>163</v>
      </c>
      <c r="H70" s="1357">
        <f>J7</f>
        <v>1473.135</v>
      </c>
      <c r="I70" s="1049"/>
      <c r="J70" s="1048"/>
      <c r="K70" s="1053">
        <f>M7</f>
        <v>1964.18</v>
      </c>
      <c r="L70" s="1052"/>
      <c r="M70" s="1051"/>
      <c r="N70" s="1357">
        <f>P7</f>
        <v>2455.2249999999999</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3470"/>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f>(J23+J27+J34+J43+J60+J65+J67+J69+J71)*('SDK1'!$O$59%*$G$75/12)</f>
        <v>9.5021310480866656</v>
      </c>
      <c r="K75" s="513"/>
      <c r="L75" s="522"/>
      <c r="M75" s="1005">
        <f>(M23+M27+M34+M43+M60+M65+M67+M69+M71)*('SDK1'!$O$59%*$G$75/12)</f>
        <v>10.723833497004446</v>
      </c>
      <c r="N75" s="1007"/>
      <c r="O75" s="1006"/>
      <c r="P75" s="1005">
        <f>(P23+P27+P34+P43+P60+P65+P67+P69+P71)*('SDK1'!$O$59%*$G$75/12)</f>
        <v>11.945535945922224</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topLeftCell="A4">
      <selection activeCell="AL26" sqref="AL26"/>
      <pageMargins left="0.59055118110236227" right="0.59055118110236227" top="0.59055118110236227" bottom="0.59055118110236227" header="0.39370078740157483" footer="0.39370078740157483"/>
      <printOptions horizontalCentered="1"/>
      <pageSetup paperSize="9" scale="65" firstPageNumber="40" orientation="portrait" r:id="rId1"/>
      <headerFooter alignWithMargins="0">
        <oddFooter>&amp;L&amp;11LEL Schwäbisch Gmünd&amp;C47&amp;R&amp;11&amp;F</oddFooter>
      </headerFooter>
    </customSheetView>
    <customSheetView guid="{5D5C9B61-9ABD-4513-AAEB-8333A9D6196C}" fitToPage="1" hiddenRows="1" hiddenColumns="1" topLeftCell="A4">
      <selection activeCell="AL26" sqref="AL26"/>
      <pageMargins left="0.59055118110236227" right="0.59055118110236227" top="0.59055118110236227" bottom="0.59055118110236227" header="0.39370078740157483" footer="0.39370078740157483"/>
      <printOptions horizontalCentered="1"/>
      <pageSetup paperSize="9" scale="65" firstPageNumber="40" orientation="portrait" r:id="rId2"/>
      <headerFooter alignWithMargins="0">
        <oddFooter>&amp;L&amp;11LEL Schwäbisch Gmünd&amp;C47&amp;R&amp;11&amp;F</oddFooter>
      </headerFooter>
    </customSheetView>
    <customSheetView guid="{22A73C4F-9004-4CEF-8499-B1F91BE1B569}" fitToPage="1" hiddenRows="1" hiddenColumns="1" topLeftCell="A4">
      <selection activeCell="AL26" sqref="AL26"/>
      <pageMargins left="0.59055118110236227" right="0.59055118110236227" top="0.59055118110236227" bottom="0.59055118110236227" header="0.39370078740157483" footer="0.39370078740157483"/>
      <printOptions horizontalCentered="1"/>
      <pageSetup paperSize="9" scale="65" firstPageNumber="40" orientation="portrait" r:id="rId3"/>
      <headerFooter alignWithMargins="0">
        <oddFooter>&amp;L&amp;11LEL Schwäbisch Gmünd&amp;C47&amp;R&amp;11&amp;F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showInputMessage="1" showErrorMessage="1" sqref="H14 K14 N14" xr:uid="{00000000-0002-0000-2500-000000000000}">
      <formula1>"ja,nein"</formula1>
    </dataValidation>
    <dataValidation type="list" allowBlank="1" showInputMessage="1" showErrorMessage="1" sqref="H15:H17 K15:K17 N15:N17" xr:uid="{00000000-0002-0000-2500-000001000000}">
      <formula1>"ja,nein"</formula1>
    </dataValidation>
    <dataValidation type="whole" allowBlank="1" showInputMessage="1" showErrorMessage="1" errorTitle="Anteil Erntegut" error="Prozentwert darf nur zwischen 0 und 100 liegen." sqref="O68 L68 I68" xr:uid="{00000000-0002-0000-2500-000002000000}">
      <formula1>0</formula1>
      <formula2>100</formula2>
    </dataValidation>
    <dataValidation type="decimal" allowBlank="1" showInputMessage="1" showErrorMessage="1" errorTitle="Wassergehalt Getreide" error="Zulässig sind nur Werte zwischen 14,1 und 29,0 % Wassergehalt." sqref="H68 K68 N68" xr:uid="{00000000-0002-0000-2500-000003000000}">
      <formula1>14.1</formula1>
      <formula2>29</formula2>
    </dataValidation>
    <dataValidation type="list" allowBlank="1" showInputMessage="1" showErrorMessage="1" errorTitle="Organisationsabh. Ausgleichsl." error="Bitte aus Dropdownliste auswählen." sqref="D19:F21" xr:uid="{00000000-0002-0000-2500-000004000000}">
      <formula1>$C$60:$C$75</formula1>
    </dataValidation>
  </dataValidations>
  <hyperlinks>
    <hyperlink ref="F9" location="'SDK1'!A1" display="Preis ändern" xr:uid="{00000000-0004-0000-2500-000000000000}"/>
  </hyperlinks>
  <printOptions horizontalCentered="1"/>
  <pageMargins left="0.59055118110236227" right="0.59055118110236227" top="0.59055118110236227" bottom="0.59055118110236227" header="0.39370078740157483" footer="0.39370078740157483"/>
  <pageSetup paperSize="9" scale="65" firstPageNumber="40" orientation="portrait" r:id="rId4"/>
  <headerFooter alignWithMargins="0">
    <oddFooter>&amp;L&amp;11LEL Schwäbisch Gmünd&amp;C47&amp;R&amp;11&amp;F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9697" r:id="rId7" name="Check Box 1">
              <controlPr defaultSize="0" autoFill="0" autoLine="0" autoPict="0">
                <anchor moveWithCells="1">
                  <from>
                    <xdr:col>12</xdr:col>
                    <xdr:colOff>289560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9698" r:id="rId8" name="Check Box 2">
              <controlPr defaultSize="0" autoFill="0" autoLine="0" autoPict="0">
                <anchor moveWithCells="1">
                  <from>
                    <xdr:col>12</xdr:col>
                    <xdr:colOff>289560</xdr:colOff>
                    <xdr:row>2</xdr:row>
                    <xdr:rowOff>45720</xdr:rowOff>
                  </from>
                  <to>
                    <xdr:col>13</xdr:col>
                    <xdr:colOff>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500-000005000000}">
          <x14:formula1>
            <xm:f>'SD2'!$C$11:$C$50</xm:f>
          </x14:formula1>
          <xm:sqref>C14:F17</xm:sqref>
        </x14:dataValidation>
        <x14:dataValidation type="list" allowBlank="1" showInputMessage="1" showErrorMessage="1" errorTitle="Organisationsabh. Ausgleichsl." error="Bitte aus Dropdownliste auswählen." xr:uid="{00000000-0002-0000-2500-000006000000}">
          <x14:formula1>
            <xm:f>'SD2'!$C$60:$C$77</xm:f>
          </x14:formula1>
          <xm:sqref>C19:C21</xm:sqref>
        </x14:dataValidation>
        <x14:dataValidation type="list" allowBlank="1" showInputMessage="1" showErrorMessage="1" errorTitle="Arbeitsgänge" error="Bitte aus Dropdownliste auswählen." xr:uid="{00000000-0002-0000-2500-000007000000}">
          <x14:formula1>
            <xm:f>'SD3'!$C$23:$C$75</xm:f>
          </x14:formula1>
          <xm:sqref>C46:D57</xm:sqref>
        </x14:dataValidation>
        <x14:dataValidation type="list" allowBlank="1" showInputMessage="1" showErrorMessage="1" errorTitle="Lohnmaschinen" error="Bitte aus Dropdownliste auswählen." xr:uid="{00000000-0002-0000-2500-000008000000}">
          <x14:formula1>
            <xm:f>'SD3'!$C$90:$C$104</xm:f>
          </x14:formula1>
          <xm:sqref>C62:E64</xm:sqref>
        </x14:dataValidation>
        <x14:dataValidation type="list" allowBlank="1" showInputMessage="1" showErrorMessage="1" errorTitle="Pflanzenschutzmittel" error="Bitte aus Dropdownliste auswählen." xr:uid="{00000000-0002-0000-2500-000009000000}">
          <x14:formula1>
            <xm:f>'SDK5'!$O$214:$O$235</xm:f>
          </x14:formula1>
          <xm:sqref>C36:E42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39">
    <tabColor rgb="FF00B050"/>
    <pageSetUpPr fitToPage="1"/>
  </sheetPr>
  <dimension ref="A1:AO218"/>
  <sheetViews>
    <sheetView workbookViewId="0">
      <selection activeCell="N51" sqref="N51"/>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9" style="34" hidden="1" customWidth="1"/>
    <col min="18" max="22" width="9" style="31" hidden="1" customWidth="1"/>
    <col min="23" max="25" width="6.3984375" style="31" hidden="1" customWidth="1"/>
    <col min="26" max="26" width="4.09765625" style="31" hidden="1" customWidth="1"/>
    <col min="27" max="27" width="10.5" style="31" hidden="1" customWidth="1"/>
    <col min="28" max="28" width="0" style="31" hidden="1" customWidth="1"/>
    <col min="29" max="16384" width="10.5" style="31"/>
  </cols>
  <sheetData>
    <row r="1" spans="1:41" s="1317" customFormat="1" ht="30.45" customHeight="1">
      <c r="A1" s="1321"/>
      <c r="B1" s="258"/>
      <c r="C1" s="1333"/>
      <c r="D1" s="1253"/>
      <c r="E1" s="255"/>
      <c r="F1" s="255"/>
      <c r="G1" s="430"/>
      <c r="H1" s="1328"/>
      <c r="I1" s="3212" t="s">
        <v>1679</v>
      </c>
      <c r="J1" s="3210">
        <f>(J7+J13+J18+J22+I11+I12)-(J23+J27+J34+J43+J60+J65+J67+J69+J71+J75)</f>
        <v>352.40139241936686</v>
      </c>
      <c r="K1" s="4360">
        <f>M1-J1</f>
        <v>290.39476523578878</v>
      </c>
      <c r="L1" s="4360"/>
      <c r="M1" s="3210">
        <f>(M7+M13+M18+M22+L11+L12)-(M23+M27+M34+M43+M60+M65+M67+M69+M71+M75)</f>
        <v>642.79615765515564</v>
      </c>
      <c r="N1" s="4360">
        <f>P1-M1</f>
        <v>290.39476523578901</v>
      </c>
      <c r="O1" s="4360"/>
      <c r="P1" s="3210">
        <f>(P7+P13+P18+P22+O11+O12)-(P23+P27+P34+P43+P60+P65+P67+P69+P71+P75)</f>
        <v>933.19092289094465</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197</v>
      </c>
      <c r="L2" s="4372"/>
      <c r="M2" s="4372"/>
      <c r="N2" s="4372"/>
      <c r="O2" s="4372"/>
      <c r="P2" s="4372"/>
      <c r="Q2" s="1345">
        <v>30</v>
      </c>
      <c r="AB2" s="3229"/>
    </row>
    <row r="3" spans="1:41" s="1317" customFormat="1" ht="32.4" customHeight="1">
      <c r="A3" s="1321"/>
      <c r="B3" s="4405" t="s">
        <v>1727</v>
      </c>
      <c r="C3" s="4405"/>
      <c r="D3" s="4405"/>
      <c r="E3" s="4405"/>
      <c r="F3" s="4405"/>
      <c r="G3" s="4405"/>
      <c r="H3" s="4405"/>
      <c r="J3" s="4368"/>
      <c r="K3" s="4369"/>
      <c r="L3" s="4369"/>
      <c r="M3" s="1368"/>
      <c r="N3" s="4373" t="str">
        <f>IF(AND(T3=TRUE,T4=TRUE),"nur 1 Strohnutzung möglich","")</f>
        <v/>
      </c>
      <c r="O3" s="4374"/>
      <c r="P3" s="1326"/>
      <c r="Q3" s="1321"/>
      <c r="T3" s="1343" t="b">
        <v>0</v>
      </c>
    </row>
    <row r="4" spans="1:41" s="1317" customFormat="1" ht="20.25" customHeight="1">
      <c r="A4" s="1321"/>
      <c r="B4" s="309" t="s">
        <v>779</v>
      </c>
      <c r="C4" s="31"/>
      <c r="D4" s="31"/>
      <c r="E4" s="4406" t="s">
        <v>890</v>
      </c>
      <c r="F4" s="4406"/>
      <c r="G4" s="4406"/>
      <c r="H4" s="4406"/>
      <c r="I4" s="4406"/>
      <c r="J4" s="4368"/>
      <c r="K4" s="4369"/>
      <c r="L4" s="4369"/>
      <c r="M4" s="1367"/>
      <c r="N4" s="4374"/>
      <c r="O4" s="4374"/>
      <c r="P4" s="1322">
        <f>'SDK1'!O3</f>
        <v>2024</v>
      </c>
      <c r="Q4" s="1321"/>
      <c r="T4" s="1343"/>
    </row>
    <row r="5" spans="1:41" ht="6" customHeight="1"/>
    <row r="6" spans="1:41" s="1311" customFormat="1" ht="24" customHeight="1">
      <c r="A6" s="41"/>
      <c r="B6" s="1316" t="s">
        <v>832</v>
      </c>
      <c r="C6" s="1315"/>
      <c r="D6" s="1315"/>
      <c r="E6" s="1315"/>
      <c r="F6" s="1315"/>
      <c r="G6" s="1314"/>
      <c r="H6" s="4366" t="s">
        <v>171</v>
      </c>
      <c r="I6" s="4367"/>
      <c r="J6" s="1313">
        <f>M6*0.75</f>
        <v>73.5</v>
      </c>
      <c r="K6" s="4379" t="s">
        <v>144</v>
      </c>
      <c r="L6" s="4380"/>
      <c r="M6" s="1313">
        <v>98</v>
      </c>
      <c r="N6" s="4366" t="s">
        <v>170</v>
      </c>
      <c r="O6" s="4367"/>
      <c r="P6" s="1312">
        <f>M6*1.25</f>
        <v>122.5</v>
      </c>
      <c r="Q6" s="49"/>
    </row>
    <row r="7" spans="1:41" s="196" customFormat="1" ht="18.75" customHeight="1">
      <c r="A7" s="40"/>
      <c r="B7" s="245" t="s">
        <v>883</v>
      </c>
      <c r="C7" s="40"/>
      <c r="D7" s="40"/>
      <c r="E7" s="40"/>
      <c r="F7" s="40"/>
      <c r="G7" s="1310"/>
      <c r="H7" s="1307"/>
      <c r="I7" s="1306"/>
      <c r="J7" s="1041">
        <f>SUM(I9:I10)</f>
        <v>1374.45</v>
      </c>
      <c r="K7" s="1309"/>
      <c r="L7" s="1308"/>
      <c r="M7" s="1044">
        <f>SUM(L9:L10)</f>
        <v>1832.6</v>
      </c>
      <c r="N7" s="1307"/>
      <c r="O7" s="1306"/>
      <c r="P7" s="1041">
        <f>SUM(O9:O10)</f>
        <v>2290.75</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'SDK1'!O29</f>
        <v>18.7</v>
      </c>
      <c r="H9" s="1303">
        <f>J6-H10</f>
        <v>73.5</v>
      </c>
      <c r="I9" s="1299">
        <f>H9*G9</f>
        <v>1374.45</v>
      </c>
      <c r="J9" s="37"/>
      <c r="K9" s="1302">
        <f>M6-K10</f>
        <v>98</v>
      </c>
      <c r="L9" s="1301">
        <f>K9*G9</f>
        <v>1832.6</v>
      </c>
      <c r="M9" s="1280"/>
      <c r="N9" s="1300">
        <f>P6-N10</f>
        <v>122.5</v>
      </c>
      <c r="O9" s="1299">
        <f>N9*G9</f>
        <v>2290.75</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309"/>
      <c r="B11" s="217"/>
      <c r="C11" s="39" t="s">
        <v>878</v>
      </c>
      <c r="D11" s="309"/>
      <c r="E11" s="1286">
        <v>0.5</v>
      </c>
      <c r="F11" s="39" t="s">
        <v>877</v>
      </c>
      <c r="G11" s="1285">
        <f>'SDK1'!$O$48</f>
        <v>10.7</v>
      </c>
      <c r="H11" s="3151">
        <f>IF($T$3=FALSE,0,J6*$E$11)</f>
        <v>0</v>
      </c>
      <c r="I11" s="3152">
        <f>H11*$G$11</f>
        <v>0</v>
      </c>
      <c r="J11" s="3153"/>
      <c r="K11" s="3154">
        <f>IF($T$3=FALSE,0,M6*$E$11)</f>
        <v>0</v>
      </c>
      <c r="L11" s="3155">
        <f>K11*$G$11</f>
        <v>0</v>
      </c>
      <c r="M11" s="3156"/>
      <c r="N11" s="3157">
        <f>IF($T$3=FALSE,0,P6*$E$11)</f>
        <v>0</v>
      </c>
      <c r="O11" s="3152">
        <f>N11*$G$11</f>
        <v>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c r="D14" s="4365"/>
      <c r="E14" s="4365"/>
      <c r="F14" s="4365"/>
      <c r="G14" s="1263"/>
      <c r="H14" s="1262" t="s">
        <v>871</v>
      </c>
      <c r="I14" s="2827">
        <f>IF(H14="ja",Q14,0)</f>
        <v>0</v>
      </c>
      <c r="J14" s="39"/>
      <c r="K14" s="1262" t="s">
        <v>871</v>
      </c>
      <c r="L14" s="1098">
        <f>IF(K14="ja",Q14,0)</f>
        <v>0</v>
      </c>
      <c r="M14" s="1016"/>
      <c r="N14" s="1262" t="s">
        <v>871</v>
      </c>
      <c r="O14" s="2827">
        <f>IF(N14="ja",Q14,0)</f>
        <v>0</v>
      </c>
      <c r="P14" s="2826"/>
      <c r="Q14" s="1261">
        <f>IF(C14=0,0,VLOOKUP(C14,'SD2'!$C$11:$O$50,'SD2'!$O$1,FALSE))</f>
        <v>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6" customHeight="1">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6" customHeight="1">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6" customHeight="1">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243</v>
      </c>
      <c r="K23" s="1046"/>
      <c r="L23" s="1045"/>
      <c r="M23" s="1227">
        <f>SUM(L25:L26)</f>
        <v>243</v>
      </c>
      <c r="N23" s="1043"/>
      <c r="O23" s="1042"/>
      <c r="P23" s="1026">
        <f>SUM(O25:O26)</f>
        <v>243</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'SDK7'!F59</f>
        <v>135</v>
      </c>
      <c r="G25" s="1221">
        <f>F25*(100+$D$24)/100</f>
        <v>135</v>
      </c>
      <c r="H25" s="1220">
        <v>1.8</v>
      </c>
      <c r="I25" s="1181">
        <f>H25*$G25</f>
        <v>243</v>
      </c>
      <c r="J25" s="39"/>
      <c r="K25" s="1220">
        <v>1.8</v>
      </c>
      <c r="L25" s="1023">
        <f>K25*$G25</f>
        <v>243</v>
      </c>
      <c r="M25" s="1016"/>
      <c r="N25" s="1220">
        <v>1.8</v>
      </c>
      <c r="O25" s="1181">
        <f>N25*$G25</f>
        <v>243</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251.44419999999997</v>
      </c>
      <c r="K27" s="1175"/>
      <c r="L27" s="1174"/>
      <c r="M27" s="1044">
        <f>SUM(L30:L32)</f>
        <v>327.32559999999995</v>
      </c>
      <c r="N27" s="1173"/>
      <c r="O27" s="1172"/>
      <c r="P27" s="1041">
        <f>SUM(O30:O32)</f>
        <v>403.20699999999994</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1.38</v>
      </c>
      <c r="F30" s="1201">
        <f>VLOOKUP(K2,'SD8'!B9:L42,7,FALSE)</f>
        <v>0.89999999999999991</v>
      </c>
      <c r="G30" s="1200">
        <v>20</v>
      </c>
      <c r="H30" s="1198">
        <f>IF(J$6=0,0,(J$6*$E30+$G30+X14))</f>
        <v>121.42999999999999</v>
      </c>
      <c r="I30" s="1181">
        <f>H30*$D30</f>
        <v>144.50169999999997</v>
      </c>
      <c r="J30" s="39"/>
      <c r="K30" s="1199">
        <f>IF(M$6=0,0,(M$6*$E30+$G30+Y14))</f>
        <v>155.23999999999998</v>
      </c>
      <c r="L30" s="1023">
        <f>K30*$D30</f>
        <v>184.73559999999998</v>
      </c>
      <c r="M30" s="1016"/>
      <c r="N30" s="1198">
        <f>IF(P$6=0,0,(P$6*$E30+$G30+Z14))</f>
        <v>189.04999999999998</v>
      </c>
      <c r="O30" s="1181">
        <f>N30*$D30</f>
        <v>224.96949999999998</v>
      </c>
      <c r="P30" s="1145"/>
      <c r="Q30" s="34"/>
    </row>
    <row r="31" spans="1:26" s="36" customFormat="1" ht="15" customHeight="1">
      <c r="A31" s="746"/>
      <c r="B31" s="217"/>
      <c r="C31" s="746" t="s">
        <v>234</v>
      </c>
      <c r="D31" s="1150">
        <f>'SDK1'!O53</f>
        <v>1.2</v>
      </c>
      <c r="E31" s="1201">
        <f>VLOOKUP(K2,'SD8'!B9:L42,4,FALSE)</f>
        <v>0.8</v>
      </c>
      <c r="F31" s="1201">
        <f>VLOOKUP(K2,'SD8'!B9:L42,8,FALSE)</f>
        <v>0.19999999999999996</v>
      </c>
      <c r="G31" s="1200"/>
      <c r="H31" s="1198">
        <f>IF(J$6=0,0,(J$6*$E31+$G31+X15))</f>
        <v>58.800000000000004</v>
      </c>
      <c r="I31" s="1181">
        <f>H31*$D31</f>
        <v>70.56</v>
      </c>
      <c r="J31" s="39"/>
      <c r="K31" s="1199">
        <f>IF(M$6=0,0,(M$6*$E31+$G31+Y15))</f>
        <v>78.400000000000006</v>
      </c>
      <c r="L31" s="1023">
        <f>K31*$D31</f>
        <v>94.08</v>
      </c>
      <c r="M31" s="1016"/>
      <c r="N31" s="1198">
        <f>IF(P$6=0,0,(P$6*$E31+$G31+Z15))</f>
        <v>98</v>
      </c>
      <c r="O31" s="1181">
        <f>N31*$D31</f>
        <v>117.6</v>
      </c>
      <c r="P31" s="1145"/>
      <c r="Q31" s="34"/>
    </row>
    <row r="32" spans="1:26" s="36" customFormat="1" ht="15" customHeight="1">
      <c r="A32" s="746"/>
      <c r="B32" s="185"/>
      <c r="C32" s="2791" t="s">
        <v>232</v>
      </c>
      <c r="D32" s="1133">
        <f>'SDK1'!O54</f>
        <v>0.99</v>
      </c>
      <c r="E32" s="1197">
        <f>VLOOKUP(K2,'SD8'!B9:L42,5,FALSE)</f>
        <v>0.5</v>
      </c>
      <c r="F32" s="1197">
        <f>VLOOKUP(K2,'SD8'!B9:L42,9,FALSE)</f>
        <v>2</v>
      </c>
      <c r="G32" s="1196"/>
      <c r="H32" s="1194">
        <f>IF(J$6=0,0,(J$6*$E32+$G32+X16))</f>
        <v>36.75</v>
      </c>
      <c r="I32" s="1177">
        <f>H32*$D32</f>
        <v>36.3825</v>
      </c>
      <c r="J32" s="223"/>
      <c r="K32" s="1195">
        <f>IF(M$6=0,0,(M$6*$E32+$G32+Y16))</f>
        <v>49</v>
      </c>
      <c r="L32" s="1017">
        <f>K32*$D32</f>
        <v>48.51</v>
      </c>
      <c r="M32" s="1256"/>
      <c r="N32" s="1194">
        <f>IF(P$6=0,0,(P$6*$E32+$G32+Z16))</f>
        <v>61.25</v>
      </c>
      <c r="O32" s="1177">
        <f>N32*$D32</f>
        <v>60.637500000000003</v>
      </c>
      <c r="P32" s="1176"/>
      <c r="Q32" s="34"/>
    </row>
    <row r="33" spans="1:17" s="36" customFormat="1" ht="15" hidden="1" customHeight="1">
      <c r="A33" s="746"/>
      <c r="B33" s="185"/>
      <c r="C33" s="771" t="s">
        <v>230</v>
      </c>
      <c r="D33" s="1133">
        <f>'SDK1'!P55</f>
        <v>0.45</v>
      </c>
      <c r="E33" s="1197">
        <f>VLOOKUP(K2,'SD8'!B9:L42,6,FALSE)</f>
        <v>0.2</v>
      </c>
      <c r="F33" s="1197">
        <f>VLOOKUP(K2,'SD8'!B9:L42,10,FALSE)</f>
        <v>0.39999999999999997</v>
      </c>
      <c r="G33" s="1196"/>
      <c r="H33" s="1194">
        <f>IF(J$6=0,0,(J$6*$E33+$G33+X17))</f>
        <v>14.700000000000001</v>
      </c>
      <c r="I33" s="1177">
        <f>H33*$D33</f>
        <v>6.6150000000000002</v>
      </c>
      <c r="J33" s="39"/>
      <c r="K33" s="1195">
        <f>IF(M$6=0,0,(M$6*$E33+$G33+Y17))</f>
        <v>19.600000000000001</v>
      </c>
      <c r="L33" s="1017">
        <f>K33*$D33</f>
        <v>8.82</v>
      </c>
      <c r="M33" s="1016"/>
      <c r="N33" s="1194">
        <f>IF(P$6=0,0,(P$6*$E33+$G33+Z17))</f>
        <v>24.5</v>
      </c>
      <c r="O33" s="1177">
        <f>N33*$D33</f>
        <v>11.025</v>
      </c>
      <c r="P33" s="1176"/>
      <c r="Q33" s="34"/>
    </row>
    <row r="34" spans="1:17" s="511" customFormat="1" ht="18.75" customHeight="1">
      <c r="A34" s="711"/>
      <c r="B34" s="716" t="s">
        <v>859</v>
      </c>
      <c r="C34" s="711"/>
      <c r="D34" s="33"/>
      <c r="E34" s="33"/>
      <c r="F34" s="4381" t="s">
        <v>858</v>
      </c>
      <c r="G34" s="4382"/>
      <c r="H34" s="1191"/>
      <c r="I34" s="1190"/>
      <c r="J34" s="1041">
        <f>SUM(I36:I42)</f>
        <v>83.550000000000011</v>
      </c>
      <c r="K34" s="1193"/>
      <c r="L34" s="1192"/>
      <c r="M34" s="1044">
        <f>SUM(L36:L42)</f>
        <v>83.550000000000011</v>
      </c>
      <c r="N34" s="1191"/>
      <c r="O34" s="1190"/>
      <c r="P34" s="1041">
        <f>SUM(O36:O42)</f>
        <v>83.550000000000011</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508</v>
      </c>
      <c r="D36" s="4389"/>
      <c r="E36" s="4390"/>
      <c r="F36" s="1183">
        <f>IF(C36="",0,VLOOKUP(C36,'SDK5'!C3:AF83,2,FALSE))</f>
        <v>55.7</v>
      </c>
      <c r="G36" s="1183">
        <f t="shared" ref="G36:G42" si="0">F36*(100+$D$35)/100</f>
        <v>55.7</v>
      </c>
      <c r="H36" s="1182">
        <v>1.5</v>
      </c>
      <c r="I36" s="1181">
        <f t="shared" ref="I36:I42" si="1">$G36*H36</f>
        <v>83.550000000000011</v>
      </c>
      <c r="J36" s="39"/>
      <c r="K36" s="1182">
        <v>1.5</v>
      </c>
      <c r="L36" s="1023">
        <f t="shared" ref="L36:L42" si="2">$G36*K36</f>
        <v>83.550000000000011</v>
      </c>
      <c r="M36" s="1016"/>
      <c r="N36" s="1182">
        <v>1.5</v>
      </c>
      <c r="O36" s="1181">
        <f t="shared" ref="O36:O42" si="3">$G36*N36</f>
        <v>83.550000000000011</v>
      </c>
      <c r="P36" s="1185"/>
      <c r="Q36" s="34"/>
    </row>
    <row r="37" spans="1:17" s="36" customFormat="1" ht="15" customHeight="1">
      <c r="A37" s="746"/>
      <c r="B37" s="1021"/>
      <c r="C37" s="4375" t="s">
        <v>311</v>
      </c>
      <c r="D37" s="4375"/>
      <c r="E37" s="4376"/>
      <c r="F37" s="1183">
        <f>IF(C37="",0,VLOOKUP(C37,'SDK5'!C4:AF84,2,FALSE))</f>
        <v>0</v>
      </c>
      <c r="G37" s="1183">
        <f t="shared" si="0"/>
        <v>0</v>
      </c>
      <c r="H37" s="1182"/>
      <c r="I37" s="1181">
        <f t="shared" si="1"/>
        <v>0</v>
      </c>
      <c r="J37" s="39"/>
      <c r="K37" s="1182"/>
      <c r="L37" s="1023">
        <f t="shared" si="2"/>
        <v>0</v>
      </c>
      <c r="M37" s="1016"/>
      <c r="N37" s="1182"/>
      <c r="O37" s="1181">
        <f t="shared" si="3"/>
        <v>0</v>
      </c>
      <c r="P37" s="1145"/>
      <c r="Q37" s="34"/>
    </row>
    <row r="38" spans="1:17" s="36" customFormat="1" ht="15" customHeight="1">
      <c r="A38" s="746"/>
      <c r="B38" s="1184"/>
      <c r="C38" s="4375"/>
      <c r="D38" s="4375"/>
      <c r="E38" s="4376"/>
      <c r="F38" s="1183">
        <f>IF(C38="",0,VLOOKUP(C38,'SDK5'!C5:AF85,2,FALSE))</f>
        <v>0</v>
      </c>
      <c r="G38" s="1183">
        <f t="shared" si="0"/>
        <v>0</v>
      </c>
      <c r="H38" s="1182"/>
      <c r="I38" s="1181">
        <f t="shared" si="1"/>
        <v>0</v>
      </c>
      <c r="J38" s="39"/>
      <c r="K38" s="1182"/>
      <c r="L38" s="1023">
        <f t="shared" si="2"/>
        <v>0</v>
      </c>
      <c r="M38" s="1016"/>
      <c r="N38" s="1182"/>
      <c r="O38" s="1181">
        <f t="shared" si="3"/>
        <v>0</v>
      </c>
      <c r="P38" s="1145"/>
      <c r="Q38" s="34"/>
    </row>
    <row r="39" spans="1:17" s="36" customFormat="1" ht="15" customHeight="1">
      <c r="A39" s="746"/>
      <c r="B39" s="1021"/>
      <c r="C39" s="4375"/>
      <c r="D39" s="4375"/>
      <c r="E39" s="4376"/>
      <c r="F39" s="1183">
        <f>IF(C39="",0,VLOOKUP(C39,'SDK5'!C6:AF86,2,FALSE))</f>
        <v>0</v>
      </c>
      <c r="G39" s="1183">
        <f t="shared" si="0"/>
        <v>0</v>
      </c>
      <c r="H39" s="1182"/>
      <c r="I39" s="1181">
        <f t="shared" si="1"/>
        <v>0</v>
      </c>
      <c r="J39" s="39"/>
      <c r="K39" s="1182"/>
      <c r="L39" s="1023">
        <f t="shared" si="2"/>
        <v>0</v>
      </c>
      <c r="M39" s="1016"/>
      <c r="N39" s="1182"/>
      <c r="O39" s="1181">
        <f t="shared" si="3"/>
        <v>0</v>
      </c>
      <c r="P39" s="1145"/>
      <c r="Q39" s="34"/>
    </row>
    <row r="40" spans="1:17" s="36" customFormat="1" ht="15" customHeight="1">
      <c r="A40" s="746"/>
      <c r="B40" s="1021"/>
      <c r="C40" s="4375"/>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151.20481495599998</v>
      </c>
      <c r="K43" s="1175"/>
      <c r="L43" s="1174"/>
      <c r="M43" s="1044">
        <f>SUM(M46:M57)</f>
        <v>155.04554282133333</v>
      </c>
      <c r="N43" s="1173"/>
      <c r="O43" s="1172"/>
      <c r="P43" s="1041">
        <f>SUM(P46:P57)</f>
        <v>158.88627068666665</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87" t="s">
        <v>1589</v>
      </c>
      <c r="D46" s="4388"/>
      <c r="E46" s="1152">
        <f>IF($C46=0,0,VLOOKUP($C46,'SD3'!$C$24:$O$85,4,FALSE))</f>
        <v>120</v>
      </c>
      <c r="F46" s="1151">
        <f>IF($C46=0,0,VLOOKUP($C46,'SD3'!$C$24:$O$85,12,FALSE))</f>
        <v>1.38</v>
      </c>
      <c r="G46" s="1150">
        <f>IF($C46=0,0,VLOOKUP($C46,'SD3'!$C$24:$O$85,13,FALSE))</f>
        <v>64.642445999999993</v>
      </c>
      <c r="H46" s="1147">
        <v>1</v>
      </c>
      <c r="I46" s="1154">
        <f t="shared" ref="I46:I57" si="4">$F46*H46</f>
        <v>1.38</v>
      </c>
      <c r="J46" s="1145">
        <f t="shared" ref="J46:J57" si="5">H46*$G46</f>
        <v>64.642445999999993</v>
      </c>
      <c r="K46" s="1147">
        <v>1</v>
      </c>
      <c r="L46" s="1156">
        <f t="shared" ref="L46:L57" si="6">$F46*K46</f>
        <v>1.38</v>
      </c>
      <c r="M46" s="1148">
        <f t="shared" ref="M46:M57" si="7">K46*$G46</f>
        <v>64.642445999999993</v>
      </c>
      <c r="N46" s="1147">
        <v>1</v>
      </c>
      <c r="O46" s="1154">
        <f t="shared" ref="O46:O57" si="8">$F46*N46</f>
        <v>1.38</v>
      </c>
      <c r="P46" s="1145">
        <f t="shared" ref="P46:P57" si="9">N46*$G46</f>
        <v>64.642445999999993</v>
      </c>
      <c r="Q46" s="34">
        <f>$Q$2*H46</f>
        <v>30</v>
      </c>
    </row>
    <row r="47" spans="1:17" s="36" customFormat="1" ht="15" customHeight="1">
      <c r="A47" s="746"/>
      <c r="B47" s="1153"/>
      <c r="C47" s="4387" t="s">
        <v>357</v>
      </c>
      <c r="D47" s="4388"/>
      <c r="E47" s="1152">
        <f>IF($C47=0,0,VLOOKUP($C47,'SD3'!$C$24:$O$85,4,FALSE))</f>
        <v>83</v>
      </c>
      <c r="F47" s="1151">
        <f>IF($C47=0,0,VLOOKUP($C47,'SD3'!$C$24:$O$85,12,FALSE))</f>
        <v>1.02</v>
      </c>
      <c r="G47" s="1150">
        <f>IF($C47=0,0,VLOOKUP($C47,'SD3'!$C$24:$O$85,13,FALSE))</f>
        <v>29.5819738</v>
      </c>
      <c r="H47" s="1147">
        <v>1</v>
      </c>
      <c r="I47" s="1146">
        <f t="shared" si="4"/>
        <v>1.02</v>
      </c>
      <c r="J47" s="1145">
        <f t="shared" si="5"/>
        <v>29.5819738</v>
      </c>
      <c r="K47" s="1147">
        <v>1</v>
      </c>
      <c r="L47" s="1149">
        <f t="shared" si="6"/>
        <v>1.02</v>
      </c>
      <c r="M47" s="1148">
        <f t="shared" si="7"/>
        <v>29.5819738</v>
      </c>
      <c r="N47" s="1147">
        <v>1</v>
      </c>
      <c r="O47" s="1146">
        <f t="shared" si="8"/>
        <v>1.02</v>
      </c>
      <c r="P47" s="1145">
        <f t="shared" si="9"/>
        <v>29.5819738</v>
      </c>
      <c r="Q47" s="34"/>
    </row>
    <row r="48" spans="1:17" s="36" customFormat="1" ht="15" customHeight="1">
      <c r="A48" s="746"/>
      <c r="B48" s="1153"/>
      <c r="C48" s="4387" t="s">
        <v>351</v>
      </c>
      <c r="D48" s="4388"/>
      <c r="E48" s="1152">
        <f>IF($C48=0,0,VLOOKUP($C48,'SD3'!$C$24:$O$85,4,FALSE))</f>
        <v>83</v>
      </c>
      <c r="F48" s="1151">
        <f>IF($C48=0,0,VLOOKUP($C48,'SD3'!$C$24:$O$85,12,FALSE))</f>
        <v>0.78</v>
      </c>
      <c r="G48" s="1150">
        <f>IF($C48=0,0,VLOOKUP($C48,'SD3'!$C$24:$O$85,13,FALSE))</f>
        <v>31.33439774</v>
      </c>
      <c r="H48" s="1147">
        <v>1</v>
      </c>
      <c r="I48" s="1146">
        <f t="shared" si="4"/>
        <v>0.78</v>
      </c>
      <c r="J48" s="1145">
        <f t="shared" si="5"/>
        <v>31.33439774</v>
      </c>
      <c r="K48" s="1147">
        <v>1</v>
      </c>
      <c r="L48" s="1149">
        <f t="shared" si="6"/>
        <v>0.78</v>
      </c>
      <c r="M48" s="1148">
        <f t="shared" si="7"/>
        <v>31.33439774</v>
      </c>
      <c r="N48" s="1147">
        <v>1</v>
      </c>
      <c r="O48" s="1146">
        <f t="shared" si="8"/>
        <v>0.78</v>
      </c>
      <c r="P48" s="1145">
        <f t="shared" si="9"/>
        <v>31.33439774</v>
      </c>
      <c r="Q48" s="34"/>
    </row>
    <row r="49" spans="1:17" s="36" customFormat="1" ht="15" customHeight="1">
      <c r="A49" s="746"/>
      <c r="B49" s="1153"/>
      <c r="C49" s="4387" t="s">
        <v>346</v>
      </c>
      <c r="D49" s="4388"/>
      <c r="E49" s="1152">
        <f>IF($C49=0,0,VLOOKUP($C49,'SD3'!$C$24:$O$85,4,FALSE))</f>
        <v>83</v>
      </c>
      <c r="F49" s="1151">
        <f>IF($C49=0,0,VLOOKUP($C49,'SD3'!$C$24:$O$85,12,FALSE))</f>
        <v>0.16</v>
      </c>
      <c r="G49" s="1150">
        <f>IF($C49=0,0,VLOOKUP($C49,'SD3'!$C$24:$O$85,13,FALSE))</f>
        <v>3.7403892799999996</v>
      </c>
      <c r="H49" s="1147">
        <v>2</v>
      </c>
      <c r="I49" s="1146">
        <f t="shared" si="4"/>
        <v>0.32</v>
      </c>
      <c r="J49" s="1145">
        <f t="shared" si="5"/>
        <v>7.4807785599999992</v>
      </c>
      <c r="K49" s="1147">
        <v>2</v>
      </c>
      <c r="L49" s="1149">
        <f t="shared" si="6"/>
        <v>0.32</v>
      </c>
      <c r="M49" s="1148">
        <f t="shared" si="7"/>
        <v>7.4807785599999992</v>
      </c>
      <c r="N49" s="1147">
        <v>2</v>
      </c>
      <c r="O49" s="1146">
        <f t="shared" si="8"/>
        <v>0.32</v>
      </c>
      <c r="P49" s="1145">
        <f t="shared" si="9"/>
        <v>7.4807785599999992</v>
      </c>
      <c r="Q49" s="34"/>
    </row>
    <row r="50" spans="1:17" s="36" customFormat="1" ht="15" customHeight="1">
      <c r="A50" s="746"/>
      <c r="B50" s="1153"/>
      <c r="C50" s="4387" t="s">
        <v>1591</v>
      </c>
      <c r="D50" s="4388"/>
      <c r="E50" s="1152">
        <f>IF($C50=0,0,VLOOKUP($C50,'SD3'!$C$24:$O$85,4,FALSE))</f>
        <v>83</v>
      </c>
      <c r="F50" s="1151">
        <f>IF($C50=0,0,VLOOKUP($C50,'SD3'!$C$24:$O$85,12,FALSE))</f>
        <v>0.22</v>
      </c>
      <c r="G50" s="1150">
        <f>IF($C50=0,0,VLOOKUP($C50,'SD3'!$C$24:$O$85,13,FALSE))</f>
        <v>6.6430352599999996</v>
      </c>
      <c r="H50" s="1147">
        <v>1</v>
      </c>
      <c r="I50" s="1146">
        <f t="shared" si="4"/>
        <v>0.22</v>
      </c>
      <c r="J50" s="1145">
        <f t="shared" si="5"/>
        <v>6.6430352599999996</v>
      </c>
      <c r="K50" s="1147">
        <v>1</v>
      </c>
      <c r="L50" s="1149">
        <f t="shared" si="6"/>
        <v>0.22</v>
      </c>
      <c r="M50" s="1148">
        <f t="shared" si="7"/>
        <v>6.6430352599999996</v>
      </c>
      <c r="N50" s="1147">
        <v>1</v>
      </c>
      <c r="O50" s="1146">
        <f t="shared" si="8"/>
        <v>0.22</v>
      </c>
      <c r="P50" s="1145">
        <f t="shared" si="9"/>
        <v>6.6430352599999996</v>
      </c>
      <c r="Q50" s="34"/>
    </row>
    <row r="51" spans="1:17" s="36" customFormat="1" ht="15" customHeight="1">
      <c r="A51" s="746"/>
      <c r="B51" s="1153"/>
      <c r="C51" s="4403" t="s">
        <v>1748</v>
      </c>
      <c r="D51" s="4404"/>
      <c r="E51" s="1152">
        <f>IF($C51=0,0,VLOOKUP($C51,'SD3'!$C$24:$O$85,4,FALSE))</f>
        <v>120</v>
      </c>
      <c r="F51" s="1151">
        <f>IF($C51=0,0,VLOOKUP($C51,'SD3'!$C$24:$O$85,12,FALSE))</f>
        <v>0.37</v>
      </c>
      <c r="G51" s="1150">
        <f>IF($C51=0,0,VLOOKUP($C51,'SD3'!$C$24:$O$85,13,FALSE))</f>
        <v>11.7573302</v>
      </c>
      <c r="H51" s="3654">
        <f>$J$6/75</f>
        <v>0.98</v>
      </c>
      <c r="I51" s="1146">
        <f t="shared" si="4"/>
        <v>0.36259999999999998</v>
      </c>
      <c r="J51" s="1145">
        <f t="shared" si="5"/>
        <v>11.522183596</v>
      </c>
      <c r="K51" s="3654">
        <f>$M$6/75</f>
        <v>1.3066666666666666</v>
      </c>
      <c r="L51" s="1149">
        <f t="shared" si="6"/>
        <v>0.48346666666666666</v>
      </c>
      <c r="M51" s="1148">
        <f t="shared" si="7"/>
        <v>15.362911461333333</v>
      </c>
      <c r="N51" s="3654">
        <f>$P$6/75</f>
        <v>1.6333333333333333</v>
      </c>
      <c r="O51" s="1146">
        <f t="shared" si="8"/>
        <v>0.60433333333333328</v>
      </c>
      <c r="P51" s="1145">
        <f t="shared" si="9"/>
        <v>19.203639326666668</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v>0</v>
      </c>
      <c r="D57" s="4402"/>
      <c r="E57" s="1135">
        <f>IF($C57=0,0,VLOOKUP($C57,'SD3'!$C$24:$O$85,4,FALSE))</f>
        <v>0</v>
      </c>
      <c r="F57" s="1134">
        <f>IF($C57=0,0,VLOOKUP($C57,'SD3'!$C$24:$O$85,12,FALSE))</f>
        <v>0</v>
      </c>
      <c r="G57" s="1133">
        <f>IF($C57=0,0,VLOOKUP($C57,'SD3'!$C$24:$O$85,13,FALSE))</f>
        <v>0</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row>
    <row r="58" spans="1:17" s="46" customFormat="1" ht="18.75" customHeight="1">
      <c r="A58" s="811"/>
      <c r="B58" s="716" t="s">
        <v>848</v>
      </c>
      <c r="C58" s="811"/>
      <c r="D58" s="811"/>
      <c r="E58" s="811"/>
      <c r="F58" s="34"/>
      <c r="G58" s="1047"/>
      <c r="H58" s="1124"/>
      <c r="I58" s="1123">
        <f>SUM($I$46:$I$57)</f>
        <v>4.0825999999999993</v>
      </c>
      <c r="J58" s="1128"/>
      <c r="K58" s="1127"/>
      <c r="L58" s="1126">
        <f>SUM($L$46:$L$57)</f>
        <v>4.2034666666666665</v>
      </c>
      <c r="M58" s="1125"/>
      <c r="N58" s="1124"/>
      <c r="O58" s="1123">
        <f>SUM($O$46:$O$57)</f>
        <v>4.3243333333333327</v>
      </c>
      <c r="P58" s="1122"/>
      <c r="Q58" s="34"/>
    </row>
    <row r="59" spans="1:17" s="46" customFormat="1" ht="15" customHeight="1">
      <c r="A59" s="811"/>
      <c r="B59" s="1121"/>
      <c r="C59" s="285"/>
      <c r="D59" s="222" t="s">
        <v>847</v>
      </c>
      <c r="E59" s="1120">
        <v>80</v>
      </c>
      <c r="F59" s="285" t="s">
        <v>846</v>
      </c>
      <c r="G59" s="1119"/>
      <c r="H59" s="1115"/>
      <c r="I59" s="1114">
        <f>IF(I58+SUM($I$46:$I$57)*$E$59%&gt;I58+10,I58+10,I58+SUM($I$46:$I$57)*$E$59%)</f>
        <v>7.348679999999999</v>
      </c>
      <c r="J59" s="1113"/>
      <c r="K59" s="1118"/>
      <c r="L59" s="1117">
        <f>IF(L58+SUM($L$46:$L$57)*$E$59%&gt;L58+10,L58+10,L58+SUM($L$46:$L$57)*$E$59%)</f>
        <v>7.5662399999999996</v>
      </c>
      <c r="M59" s="1116"/>
      <c r="N59" s="1115"/>
      <c r="O59" s="1114">
        <f>IF(O58+SUM($O$46:$O$57)*$E$59%&gt;O58+10,O58+10,O58+SUM($O$46:$O$57)*$E$59%)</f>
        <v>7.7837999999999994</v>
      </c>
      <c r="P59" s="1113"/>
      <c r="Q59" s="34"/>
    </row>
    <row r="60" spans="1:17" s="36" customFormat="1" ht="18.75" customHeight="1">
      <c r="A60" s="746"/>
      <c r="B60" s="716" t="s">
        <v>845</v>
      </c>
      <c r="C60" s="811"/>
      <c r="D60" s="811"/>
      <c r="E60" s="39"/>
      <c r="F60" s="39"/>
      <c r="G60" s="1112"/>
      <c r="H60" s="1104"/>
      <c r="I60" s="1103"/>
      <c r="J60" s="1111">
        <f>IF(J6=0,0,SUM(I62:I64))</f>
        <v>200</v>
      </c>
      <c r="K60" s="1107"/>
      <c r="L60" s="1106"/>
      <c r="M60" s="1044">
        <f>IF(M6=0,0,SUM(L62:L64))</f>
        <v>200</v>
      </c>
      <c r="N60" s="1104"/>
      <c r="O60" s="1103"/>
      <c r="P60" s="1111">
        <f>IF(P6=0,0,SUM(O62:O64))</f>
        <v>200</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297</v>
      </c>
      <c r="D62" s="4365"/>
      <c r="E62" s="4365"/>
      <c r="F62" s="1101">
        <f>IF($C62=0,0,VLOOKUP($C62,'SD3'!$C$90:$D$104,2,FALSE))</f>
        <v>200</v>
      </c>
      <c r="G62" s="1100">
        <f>(100+$D$61)/100*F62</f>
        <v>200</v>
      </c>
      <c r="H62" s="173"/>
      <c r="I62" s="1096">
        <f>$G$62</f>
        <v>200</v>
      </c>
      <c r="J62" s="173"/>
      <c r="K62" s="1099"/>
      <c r="L62" s="1098">
        <f>$G$62</f>
        <v>200</v>
      </c>
      <c r="M62" s="1016"/>
      <c r="N62" s="1097"/>
      <c r="O62" s="1096">
        <f>$G$62</f>
        <v>200</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v>0</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34"/>
    </row>
    <row r="65" spans="1:22"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2" s="511" customFormat="1" ht="15" customHeight="1">
      <c r="A66" s="711"/>
      <c r="B66" s="1075"/>
      <c r="C66" s="815"/>
      <c r="D66" s="222" t="s">
        <v>691</v>
      </c>
      <c r="E66" s="1074"/>
      <c r="F66" s="1049"/>
      <c r="G66" s="1073" t="s">
        <v>362</v>
      </c>
      <c r="H66" s="1071"/>
      <c r="I66" s="1070"/>
      <c r="J66" s="1059"/>
      <c r="K66" s="1071"/>
      <c r="L66" s="1072"/>
      <c r="M66" s="1062"/>
      <c r="N66" s="1071"/>
      <c r="O66" s="1070"/>
      <c r="P66" s="1059"/>
      <c r="Q66" s="34"/>
      <c r="S66" s="1366"/>
      <c r="T66" s="1366"/>
      <c r="U66" s="1366"/>
      <c r="V66" s="1366"/>
    </row>
    <row r="67" spans="1:22" s="511" customFormat="1" ht="22.95" customHeight="1">
      <c r="A67" s="711"/>
      <c r="B67" s="716" t="s">
        <v>843</v>
      </c>
      <c r="C67" s="711"/>
      <c r="D67" s="711"/>
      <c r="E67" s="175"/>
      <c r="F67" s="1069"/>
      <c r="G67" s="1047"/>
      <c r="H67" s="1066" t="s">
        <v>842</v>
      </c>
      <c r="I67" s="1065" t="s">
        <v>841</v>
      </c>
      <c r="J67" s="1041">
        <f>T68*(H9+H10)*I68%+F68</f>
        <v>235.20000000000002</v>
      </c>
      <c r="K67" s="1068" t="s">
        <v>842</v>
      </c>
      <c r="L67" s="1067" t="s">
        <v>841</v>
      </c>
      <c r="M67" s="1044">
        <f>U68*(K9+K10)*L68%+F68</f>
        <v>313.60000000000002</v>
      </c>
      <c r="N67" s="1066" t="s">
        <v>842</v>
      </c>
      <c r="O67" s="1065" t="s">
        <v>841</v>
      </c>
      <c r="P67" s="1041">
        <f>V68*(N9+N10)*O68%+F68</f>
        <v>392</v>
      </c>
      <c r="Q67" s="34"/>
      <c r="T67" s="1058"/>
      <c r="U67" s="1058"/>
      <c r="V67" s="1058"/>
    </row>
    <row r="68" spans="1:22" s="511" customFormat="1" ht="15" customHeight="1">
      <c r="A68" s="711"/>
      <c r="B68" s="1064"/>
      <c r="C68" s="4393" t="s">
        <v>564</v>
      </c>
      <c r="D68" s="4393"/>
      <c r="E68" s="4393"/>
      <c r="F68" s="1063"/>
      <c r="G68" s="1054" t="s">
        <v>163</v>
      </c>
      <c r="H68" s="1061">
        <v>25</v>
      </c>
      <c r="I68" s="1060">
        <v>100</v>
      </c>
      <c r="J68" s="1059"/>
      <c r="K68" s="1061">
        <v>25</v>
      </c>
      <c r="L68" s="1060">
        <v>100</v>
      </c>
      <c r="M68" s="1062"/>
      <c r="N68" s="1061">
        <v>25</v>
      </c>
      <c r="O68" s="1060">
        <v>100</v>
      </c>
      <c r="P68" s="1059"/>
      <c r="Q68" s="34"/>
      <c r="S68" s="1365"/>
      <c r="T68" s="1058">
        <f>IF($H$68=0,0,VLOOKUP($H$68,'SD6'!H8:I356,'SD6'!$I$1,FALSE))*(1+'SDK1'!O11/100)</f>
        <v>3.2</v>
      </c>
      <c r="U68" s="1058">
        <f>IF($K$68=0,0,VLOOKUP($K$68,'SD6'!H8:I356,'SD6'!$I$1,FALSE))*(1+'SDK1'!O11/100)</f>
        <v>3.2</v>
      </c>
      <c r="V68" s="1058">
        <f>IF($N$68=0,0,VLOOKUP($N$68,'SD6'!H8:I356,'SD6'!$I$1,FALSE))*(1+'SDK1'!O11/100)</f>
        <v>3.2</v>
      </c>
    </row>
    <row r="69" spans="1:22" s="511" customFormat="1" ht="18.75" customHeight="1">
      <c r="A69" s="711"/>
      <c r="B69" s="716" t="s">
        <v>839</v>
      </c>
      <c r="C69" s="711"/>
      <c r="D69" s="711"/>
      <c r="E69" s="34"/>
      <c r="F69" s="34"/>
      <c r="G69" s="1047"/>
      <c r="H69" s="38"/>
      <c r="I69" s="51"/>
      <c r="J69" s="1041">
        <f>H70*$F70/1000</f>
        <v>24.740100000000002</v>
      </c>
      <c r="K69" s="1057"/>
      <c r="L69" s="1056"/>
      <c r="M69" s="1044">
        <f>K70*$F70/1000</f>
        <v>32.986799999999995</v>
      </c>
      <c r="N69" s="38"/>
      <c r="O69" s="51"/>
      <c r="P69" s="1041">
        <f>N70*$F70/1000</f>
        <v>41.233499999999999</v>
      </c>
      <c r="Q69" s="34"/>
      <c r="S69" s="1365"/>
      <c r="T69" s="12"/>
      <c r="U69" s="12"/>
      <c r="V69" s="12"/>
    </row>
    <row r="70" spans="1:22" s="511" customFormat="1" ht="15" customHeight="1">
      <c r="A70" s="711"/>
      <c r="B70" s="772"/>
      <c r="C70" s="771" t="s">
        <v>606</v>
      </c>
      <c r="D70" s="285"/>
      <c r="E70" s="222"/>
      <c r="F70" s="3742">
        <f>'SDK7'!G103</f>
        <v>18</v>
      </c>
      <c r="G70" s="1054" t="s">
        <v>163</v>
      </c>
      <c r="H70" s="1357">
        <f>J7</f>
        <v>1374.45</v>
      </c>
      <c r="I70" s="1049"/>
      <c r="J70" s="1048"/>
      <c r="K70" s="1053">
        <f>M7</f>
        <v>1832.6</v>
      </c>
      <c r="L70" s="1052"/>
      <c r="M70" s="1051"/>
      <c r="N70" s="1357">
        <f>P7</f>
        <v>2290.75</v>
      </c>
      <c r="O70" s="1049"/>
      <c r="P70" s="1048"/>
      <c r="Q70" s="34"/>
      <c r="S70" s="2909" t="s">
        <v>1570</v>
      </c>
    </row>
    <row r="71" spans="1:22" ht="18.75" customHeight="1">
      <c r="A71" s="309"/>
      <c r="B71" s="245" t="s">
        <v>838</v>
      </c>
      <c r="C71" s="309"/>
      <c r="D71" s="309"/>
      <c r="E71" s="175"/>
      <c r="G71" s="1047"/>
      <c r="H71" s="1043"/>
      <c r="I71" s="1042"/>
      <c r="J71" s="1041">
        <f>SUM(I73:I74)</f>
        <v>0</v>
      </c>
      <c r="K71" s="1046"/>
      <c r="L71" s="1045"/>
      <c r="M71" s="1044">
        <f>SUM(L73:L74)</f>
        <v>0</v>
      </c>
      <c r="N71" s="1043"/>
      <c r="O71" s="1042"/>
      <c r="P71" s="1041">
        <f>SUM(O73:O74)</f>
        <v>0</v>
      </c>
      <c r="S71" s="1364"/>
      <c r="T71" s="12"/>
      <c r="U71" s="12"/>
      <c r="V71" s="12"/>
    </row>
    <row r="72" spans="1:22"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2"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2"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2" s="511" customFormat="1" ht="30.45" customHeight="1">
      <c r="A75" s="711"/>
      <c r="B75" s="4391" t="s">
        <v>835</v>
      </c>
      <c r="C75" s="4392"/>
      <c r="D75" s="1012" t="s">
        <v>834</v>
      </c>
      <c r="E75" s="1011">
        <f>'SDK1'!$O$59/100</f>
        <v>0.02</v>
      </c>
      <c r="F75" s="1010" t="s">
        <v>833</v>
      </c>
      <c r="G75" s="1009">
        <v>5</v>
      </c>
      <c r="H75" s="1007"/>
      <c r="I75" s="1008"/>
      <c r="J75" s="1005">
        <f>(J23+J27+J34+J43+J60+J65+J67+J69+J71)*('SDK1'!$O$59%*$G$75/12)</f>
        <v>9.9094926246333337</v>
      </c>
      <c r="K75" s="513"/>
      <c r="L75" s="522"/>
      <c r="M75" s="1005">
        <f>(M23+M27+M34+M43+M60+M65+M67+M69+M71)*('SDK1'!$O$59%*$G$75/12)</f>
        <v>11.29589952351111</v>
      </c>
      <c r="N75" s="1007"/>
      <c r="O75" s="1006"/>
      <c r="P75" s="1005">
        <f>(P23+P27+P34+P43+P60+P65+P67+P69+P71)*('SDK1'!$O$59%*$G$75/12)</f>
        <v>12.682306422388887</v>
      </c>
      <c r="Q75" s="34"/>
    </row>
    <row r="78" spans="1:22">
      <c r="L78" s="12"/>
    </row>
    <row r="79" spans="1:22">
      <c r="L79" s="12"/>
    </row>
    <row r="80" spans="1:22">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D150" s="31"/>
      <c r="M150" s="31"/>
      <c r="N150" s="31"/>
      <c r="O150" s="31"/>
      <c r="P150" s="31"/>
      <c r="Q150" s="31"/>
    </row>
    <row r="151" spans="1:17">
      <c r="A151" s="31"/>
      <c r="B151" s="441"/>
      <c r="C151" s="12"/>
      <c r="H151" s="1354"/>
      <c r="J151" s="1353"/>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0" firstPageNumber="42" orientation="portrait" r:id="rId1"/>
      <headerFooter alignWithMargins="0">
        <oddFooter>&amp;L&amp;11LEL Schwäbisch Gmünd&amp;C49&amp;R&amp;11&amp;F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0" firstPageNumber="42" orientation="portrait" r:id="rId2"/>
      <headerFooter alignWithMargins="0">
        <oddFooter>&amp;L&amp;11LEL Schwäbisch Gmünd&amp;C49&amp;R&amp;11&amp;F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0" firstPageNumber="42" orientation="portrait" r:id="rId3"/>
      <headerFooter alignWithMargins="0">
        <oddFooter>&amp;L&amp;11LEL Schwäbisch Gmünd&amp;C49&amp;R&amp;11&amp;F</oddFooter>
      </headerFooter>
    </customSheetView>
  </customSheetViews>
  <mergeCells count="50">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 ref="B3:H3"/>
  </mergeCells>
  <dataValidations count="7">
    <dataValidation type="list" showInputMessage="1" showErrorMessage="1" sqref="H14 K14 N14" xr:uid="{00000000-0002-0000-2700-000000000000}">
      <formula1>"ja,nein"</formula1>
    </dataValidation>
    <dataValidation type="list" allowBlank="1" showInputMessage="1" showErrorMessage="1" sqref="H15:H17 K15:K17 N15:N17" xr:uid="{00000000-0002-0000-2700-000001000000}">
      <formula1>"ja,nein"</formula1>
    </dataValidation>
    <dataValidation type="whole" allowBlank="1" showInputMessage="1" showErrorMessage="1" errorTitle="Anteil Erntegut" error="Prozentwert darf nur zwischen 0 und 100 liegen." sqref="O68 L68 I68" xr:uid="{00000000-0002-0000-2700-000002000000}">
      <formula1>0</formula1>
      <formula2>100</formula2>
    </dataValidation>
    <dataValidation type="list" allowBlank="1" showInputMessage="1" showErrorMessage="1" errorTitle="Lohnmaschinen" error="Bitte aus Dropdownliste auswählen." sqref="C64:E64 C63" xr:uid="{00000000-0002-0000-2700-000003000000}">
      <formula1>$G$91:$G$113</formula1>
    </dataValidation>
    <dataValidation type="decimal" allowBlank="1" showInputMessage="1" showErrorMessage="1" errorTitle="Wassergehalt Körnermais" error="Zulässig sind nur Werte zwischen 15,1 und 28,9 % Wassergehalt." sqref="N68 H68" xr:uid="{00000000-0002-0000-2700-000004000000}">
      <formula1>15.1</formula1>
      <formula2>39.9</formula2>
    </dataValidation>
    <dataValidation type="decimal" allowBlank="1" showInputMessage="1" showErrorMessage="1" errorTitle="Wassergehalt Körnermais" error="Zulässig sind nur Werte zwischen 15,1 und 39,9 % Wassergehalt." sqref="K68" xr:uid="{00000000-0002-0000-2700-000005000000}">
      <formula1>15.1</formula1>
      <formula2>39.9</formula2>
    </dataValidation>
    <dataValidation type="list" allowBlank="1" showInputMessage="1" showErrorMessage="1" errorTitle="Organisationsabh. Ausgleichsl." error="Bitte aus Dropdownliste auswählen." sqref="D19:F19" xr:uid="{00000000-0002-0000-2700-000006000000}">
      <formula1>$C$60:$C$75</formula1>
    </dataValidation>
  </dataValidations>
  <hyperlinks>
    <hyperlink ref="F9" location="'SDK1'!A1" display="Preis ändern" xr:uid="{00000000-0004-0000-2700-000000000000}"/>
  </hyperlinks>
  <printOptions horizontalCentered="1"/>
  <pageMargins left="0.59055118110236227" right="0.59055118110236227" top="0.59055118110236227" bottom="0.59055118110236227" header="0.39370078740157483" footer="0.39370078740157483"/>
  <pageSetup paperSize="9" scale="70" firstPageNumber="42" orientation="portrait" r:id="rId4"/>
  <headerFooter alignWithMargins="0">
    <oddFooter>&amp;L&amp;11LEL Schwäbisch Gmünd&amp;C49&amp;R&amp;11&amp;F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700-000007000000}">
          <x14:formula1>
            <xm:f>'SD2'!$C$11:$C$50</xm:f>
          </x14:formula1>
          <xm:sqref>C14:F17</xm:sqref>
        </x14:dataValidation>
        <x14:dataValidation type="list" allowBlank="1" showInputMessage="1" showErrorMessage="1" errorTitle="Organisationsabh. Ausgleichsl." error="Bitte aus Dropdownliste auswählen." xr:uid="{00000000-0002-0000-2700-000008000000}">
          <x14:formula1>
            <xm:f>'SD2'!$C$60:$C$77</xm:f>
          </x14:formula1>
          <xm:sqref>C19:C21</xm:sqref>
        </x14:dataValidation>
        <x14:dataValidation type="list" allowBlank="1" showInputMessage="1" showErrorMessage="1" errorTitle="Arbeitsgänge" error="Bitte aus Dropdownliste auswählen." xr:uid="{00000000-0002-0000-2700-000009000000}">
          <x14:formula1>
            <xm:f>'SD3'!$C$23:$C$75</xm:f>
          </x14:formula1>
          <xm:sqref>C46:D57</xm:sqref>
        </x14:dataValidation>
        <x14:dataValidation type="list" allowBlank="1" showInputMessage="1" showErrorMessage="1" errorTitle="Lohnmaschinen" error="Bitte aus Dropdownliste auswählen." xr:uid="{00000000-0002-0000-2700-00000A000000}">
          <x14:formula1>
            <xm:f>'SD3'!$C$90:$C$104</xm:f>
          </x14:formula1>
          <xm:sqref>C62:E64</xm:sqref>
        </x14:dataValidation>
        <x14:dataValidation type="list" allowBlank="1" showInputMessage="1" showErrorMessage="1" errorTitle="Pflanzenschutzmittel" error="Bitte aus Dropdownliste auswählen." xr:uid="{00000000-0002-0000-2700-00000B000000}">
          <x14:formula1>
            <xm:f>'SDK5'!$R$214:$R$232</xm:f>
          </x14:formula1>
          <xm:sqref>C36:E36 C37:E37 C38:E38 C39:E39 C40:E40 C41:E41 C42:E42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dimension ref="A1:T114"/>
  <sheetViews>
    <sheetView workbookViewId="0"/>
  </sheetViews>
  <sheetFormatPr baseColWidth="10" defaultColWidth="10.19921875" defaultRowHeight="11.4"/>
  <cols>
    <col min="1" max="1" width="1.19921875" style="1713" customWidth="1"/>
    <col min="2" max="2" width="38.69921875" style="1713" customWidth="1"/>
    <col min="3" max="4" width="10.19921875" style="1713"/>
    <col min="5" max="5" width="7.69921875" style="1713" customWidth="1"/>
    <col min="6" max="6" width="7.5" style="1713" bestFit="1" customWidth="1"/>
    <col min="7" max="7" width="5.69921875" style="1713" customWidth="1"/>
    <col min="8" max="8" width="6.8984375" style="1713" bestFit="1" customWidth="1"/>
    <col min="9" max="9" width="10.3984375" style="1713" bestFit="1" customWidth="1"/>
    <col min="10" max="10" width="7.5" style="1713" bestFit="1" customWidth="1"/>
    <col min="11" max="11" width="7.5" style="1713" customWidth="1"/>
    <col min="12" max="12" width="6" style="1713" bestFit="1" customWidth="1"/>
    <col min="13" max="13" width="7.69921875" style="1713" bestFit="1" customWidth="1"/>
    <col min="14" max="14" width="5.69921875" style="1713" customWidth="1"/>
    <col min="15" max="15" width="6.59765625" style="1713" customWidth="1"/>
    <col min="16" max="17" width="7.69921875" style="1713" bestFit="1" customWidth="1"/>
    <col min="18" max="18" width="5.69921875" style="1713" customWidth="1"/>
    <col min="19" max="19" width="5.69921875" style="1713" bestFit="1" customWidth="1"/>
    <col min="20" max="16384" width="10.19921875" style="1713"/>
  </cols>
  <sheetData>
    <row r="1" spans="1:20" ht="39.450000000000003" customHeight="1" thickBot="1">
      <c r="A1" s="1806"/>
      <c r="B1" s="1805" t="s">
        <v>1226</v>
      </c>
      <c r="C1" s="1803"/>
      <c r="D1" s="1804"/>
      <c r="E1" s="1803"/>
      <c r="F1" s="1801"/>
      <c r="G1" s="1802"/>
      <c r="H1" s="1801"/>
      <c r="I1" s="1801"/>
      <c r="J1" s="1801"/>
      <c r="K1" s="1801"/>
      <c r="L1" s="1801"/>
      <c r="M1" s="1801"/>
      <c r="N1" s="1801"/>
      <c r="O1" s="1801"/>
      <c r="P1" s="1801"/>
      <c r="Q1" s="1800"/>
      <c r="R1" s="1800"/>
      <c r="S1" s="1800"/>
      <c r="T1" s="1774"/>
    </row>
    <row r="2" spans="1:20" ht="13.2" thickTop="1" thickBot="1">
      <c r="A2" s="1799"/>
      <c r="B2" s="1798" t="s">
        <v>1225</v>
      </c>
      <c r="C2" s="1797"/>
      <c r="D2" s="1808"/>
      <c r="E2" s="1795" t="s">
        <v>1228</v>
      </c>
      <c r="F2" s="1794"/>
      <c r="G2" s="1794"/>
      <c r="H2" s="1793"/>
      <c r="I2" s="1796"/>
      <c r="J2" s="1794"/>
      <c r="K2" s="1795" t="s">
        <v>1227</v>
      </c>
      <c r="L2" s="1794"/>
      <c r="M2" s="1794"/>
      <c r="N2" s="1793"/>
      <c r="O2" s="1774"/>
      <c r="P2" s="1774"/>
      <c r="Q2" s="1774"/>
      <c r="R2" s="1774"/>
    </row>
    <row r="3" spans="1:20" ht="13.2" thickTop="1" thickBot="1">
      <c r="A3" s="1792"/>
      <c r="B3" s="1791" t="s">
        <v>1222</v>
      </c>
      <c r="C3" s="1790"/>
      <c r="D3" s="1786">
        <v>2014</v>
      </c>
      <c r="E3" s="1786">
        <v>2015</v>
      </c>
      <c r="F3" s="1786">
        <v>2016</v>
      </c>
      <c r="G3" s="1789">
        <v>2017</v>
      </c>
      <c r="H3" s="1788" t="s">
        <v>1191</v>
      </c>
      <c r="I3" s="1787"/>
      <c r="J3" s="1786">
        <v>2014</v>
      </c>
      <c r="K3" s="1786">
        <v>2015</v>
      </c>
      <c r="L3" s="1786">
        <v>2016</v>
      </c>
      <c r="M3" s="1785">
        <v>2017</v>
      </c>
      <c r="N3" s="1784" t="s">
        <v>1191</v>
      </c>
      <c r="O3" s="1774"/>
      <c r="P3" s="1774"/>
      <c r="Q3" s="1774"/>
      <c r="R3" s="1774"/>
    </row>
    <row r="4" spans="1:20" ht="13.2" thickTop="1" thickBot="1">
      <c r="A4" s="1783"/>
      <c r="B4" s="1782" t="s">
        <v>666</v>
      </c>
      <c r="C4" s="1778" t="s">
        <v>417</v>
      </c>
      <c r="D4" s="1781">
        <v>1</v>
      </c>
      <c r="E4" s="1781">
        <v>1</v>
      </c>
      <c r="F4" s="1781">
        <v>1</v>
      </c>
      <c r="G4" s="1780">
        <v>1</v>
      </c>
      <c r="H4" s="1779"/>
      <c r="I4" s="1778" t="s">
        <v>417</v>
      </c>
      <c r="J4" s="1777"/>
      <c r="K4" s="1777"/>
      <c r="L4" s="1777"/>
      <c r="M4" s="1776"/>
      <c r="N4" s="1775"/>
      <c r="O4" s="1774"/>
      <c r="P4" s="1774"/>
      <c r="Q4" s="1774"/>
      <c r="R4" s="1774"/>
    </row>
    <row r="5" spans="1:20" ht="13.8" thickTop="1">
      <c r="B5" s="1742" t="s">
        <v>1221</v>
      </c>
      <c r="C5" s="1739" t="s">
        <v>220</v>
      </c>
      <c r="D5" s="1744">
        <v>25</v>
      </c>
      <c r="E5" s="1744">
        <v>25</v>
      </c>
      <c r="F5" s="1744">
        <v>25</v>
      </c>
      <c r="G5" s="1744">
        <v>23.75</v>
      </c>
      <c r="H5" s="1749">
        <f t="shared" ref="H5:H37" si="0">(D5*$D$4+E5*$E$4+F5*$F$4+G5*$G$4)/($D$4+$E$4+$F$4+$G$4)</f>
        <v>24.6875</v>
      </c>
      <c r="I5" s="1773" t="s">
        <v>164</v>
      </c>
      <c r="J5" s="1744">
        <v>64.599999999999994</v>
      </c>
      <c r="K5" s="1744">
        <v>52.5</v>
      </c>
      <c r="L5" s="1744">
        <v>42</v>
      </c>
      <c r="M5" s="1772">
        <v>75.400000000000006</v>
      </c>
      <c r="N5" s="1741">
        <f t="shared" ref="N5:N37" si="1">(J5*$D$4+K5*$E$4+L5*$F$4+M5*$G$4)/($D$4+$E$4+$F$4+$G$4)</f>
        <v>58.625</v>
      </c>
    </row>
    <row r="6" spans="1:20" ht="13.2">
      <c r="B6" s="1742" t="s">
        <v>83</v>
      </c>
      <c r="C6" s="1739" t="s">
        <v>220</v>
      </c>
      <c r="D6" s="1735">
        <v>23.5</v>
      </c>
      <c r="E6" s="1735">
        <v>18</v>
      </c>
      <c r="F6" s="1735">
        <v>16</v>
      </c>
      <c r="G6" s="1735">
        <v>17</v>
      </c>
      <c r="H6" s="1749">
        <f t="shared" si="0"/>
        <v>18.625</v>
      </c>
      <c r="I6" s="1758" t="s">
        <v>164</v>
      </c>
      <c r="J6" s="1755">
        <v>55</v>
      </c>
      <c r="K6" s="1755">
        <v>50</v>
      </c>
      <c r="L6" s="1755">
        <v>50</v>
      </c>
      <c r="M6" s="1735">
        <v>65.5</v>
      </c>
      <c r="N6" s="1741">
        <f t="shared" si="1"/>
        <v>55.125</v>
      </c>
    </row>
    <row r="7" spans="1:20" ht="13.2">
      <c r="B7" s="1765" t="s">
        <v>259</v>
      </c>
      <c r="C7" s="1764" t="s">
        <v>220</v>
      </c>
      <c r="D7" s="1763">
        <v>14.7</v>
      </c>
      <c r="E7" s="1763">
        <v>15</v>
      </c>
      <c r="F7" s="1763">
        <v>13.6</v>
      </c>
      <c r="G7" s="1763">
        <v>14.4</v>
      </c>
      <c r="H7" s="1749">
        <f t="shared" si="0"/>
        <v>14.424999999999999</v>
      </c>
      <c r="I7" s="1771" t="s">
        <v>164</v>
      </c>
      <c r="J7" s="1770">
        <v>83.5</v>
      </c>
      <c r="K7" s="1770">
        <v>76.3</v>
      </c>
      <c r="L7" s="1770">
        <v>66.099999999999994</v>
      </c>
      <c r="M7" s="1769">
        <f>$I$97</f>
        <v>73.600000000000009</v>
      </c>
      <c r="N7" s="1741">
        <f t="shared" si="1"/>
        <v>74.875</v>
      </c>
    </row>
    <row r="8" spans="1:20" ht="13.2">
      <c r="B8" s="1742" t="s">
        <v>80</v>
      </c>
      <c r="C8" s="1739" t="s">
        <v>220</v>
      </c>
      <c r="D8" s="1735">
        <v>14.7</v>
      </c>
      <c r="E8" s="1735">
        <v>15</v>
      </c>
      <c r="F8" s="1735">
        <v>13.6</v>
      </c>
      <c r="G8" s="1735">
        <v>14.4</v>
      </c>
      <c r="H8" s="1749">
        <f t="shared" si="0"/>
        <v>14.424999999999999</v>
      </c>
      <c r="I8" s="1758" t="s">
        <v>164</v>
      </c>
      <c r="J8" s="1744">
        <v>60.1</v>
      </c>
      <c r="K8" s="1744">
        <v>53.7</v>
      </c>
      <c r="L8" s="1744">
        <v>51.5</v>
      </c>
      <c r="M8" s="1735">
        <v>65.5</v>
      </c>
      <c r="N8" s="1741">
        <f t="shared" si="1"/>
        <v>57.7</v>
      </c>
    </row>
    <row r="9" spans="1:20" ht="13.2">
      <c r="B9" s="1742" t="s">
        <v>89</v>
      </c>
      <c r="C9" s="1739" t="s">
        <v>220</v>
      </c>
      <c r="D9" s="1735">
        <v>12.2</v>
      </c>
      <c r="E9" s="1735">
        <v>14</v>
      </c>
      <c r="F9" s="1735">
        <v>12.3</v>
      </c>
      <c r="G9" s="1735">
        <v>13.9</v>
      </c>
      <c r="H9" s="1749">
        <f t="shared" si="0"/>
        <v>13.1</v>
      </c>
      <c r="I9" s="1758" t="s">
        <v>164</v>
      </c>
      <c r="J9" s="1735">
        <v>53.7</v>
      </c>
      <c r="K9" s="1735">
        <v>52.9</v>
      </c>
      <c r="L9" s="1735">
        <v>54.2</v>
      </c>
      <c r="M9" s="1735">
        <v>55.6</v>
      </c>
      <c r="N9" s="1741">
        <f t="shared" si="1"/>
        <v>54.1</v>
      </c>
    </row>
    <row r="10" spans="1:20" ht="13.2">
      <c r="B10" s="1742" t="s">
        <v>1220</v>
      </c>
      <c r="C10" s="1739" t="s">
        <v>220</v>
      </c>
      <c r="D10" s="1735">
        <v>12.2</v>
      </c>
      <c r="E10" s="1735">
        <v>14</v>
      </c>
      <c r="F10" s="1735">
        <v>12.3</v>
      </c>
      <c r="G10" s="1735">
        <v>13.9</v>
      </c>
      <c r="H10" s="1749">
        <f t="shared" si="0"/>
        <v>13.1</v>
      </c>
      <c r="I10" s="1758" t="s">
        <v>164</v>
      </c>
      <c r="J10" s="1735">
        <v>53.7</v>
      </c>
      <c r="K10" s="1735">
        <v>52.9</v>
      </c>
      <c r="L10" s="1735">
        <v>54.2</v>
      </c>
      <c r="M10" s="1735">
        <v>55.6</v>
      </c>
      <c r="N10" s="1741">
        <f t="shared" si="1"/>
        <v>54.1</v>
      </c>
    </row>
    <row r="11" spans="1:20" ht="13.2" hidden="1">
      <c r="B11" s="1742" t="s">
        <v>1219</v>
      </c>
      <c r="C11" s="1739" t="s">
        <v>220</v>
      </c>
      <c r="D11" s="1735">
        <v>13</v>
      </c>
      <c r="E11" s="1735">
        <v>13.6</v>
      </c>
      <c r="F11" s="1735">
        <v>11.5</v>
      </c>
      <c r="G11" s="1735"/>
      <c r="H11" s="1749">
        <f t="shared" si="0"/>
        <v>9.5250000000000004</v>
      </c>
      <c r="I11" s="1758" t="s">
        <v>164</v>
      </c>
      <c r="J11" s="1735">
        <v>53.7</v>
      </c>
      <c r="K11" s="1735">
        <v>52.9</v>
      </c>
      <c r="L11" s="1735">
        <v>54.2</v>
      </c>
      <c r="M11" s="1735"/>
      <c r="N11" s="1741">
        <f t="shared" si="1"/>
        <v>40.200000000000003</v>
      </c>
    </row>
    <row r="12" spans="1:20" ht="13.2" hidden="1">
      <c r="B12" s="1742" t="s">
        <v>1218</v>
      </c>
      <c r="C12" s="1739" t="s">
        <v>220</v>
      </c>
      <c r="D12" s="1735">
        <v>13</v>
      </c>
      <c r="E12" s="1735">
        <v>13.6</v>
      </c>
      <c r="F12" s="1735">
        <v>11.5</v>
      </c>
      <c r="G12" s="1735"/>
      <c r="H12" s="1749">
        <f t="shared" si="0"/>
        <v>9.5250000000000004</v>
      </c>
      <c r="I12" s="1758" t="s">
        <v>164</v>
      </c>
      <c r="J12" s="1735">
        <v>53.7</v>
      </c>
      <c r="K12" s="1735">
        <v>52.9</v>
      </c>
      <c r="L12" s="1735">
        <v>54.2</v>
      </c>
      <c r="M12" s="1735"/>
      <c r="N12" s="1741">
        <f t="shared" si="1"/>
        <v>40.200000000000003</v>
      </c>
    </row>
    <row r="13" spans="1:20" ht="13.2">
      <c r="B13" s="1765" t="s">
        <v>85</v>
      </c>
      <c r="C13" s="1764" t="s">
        <v>220</v>
      </c>
      <c r="D13" s="1763">
        <v>13</v>
      </c>
      <c r="E13" s="1763">
        <v>13.6</v>
      </c>
      <c r="F13" s="1763">
        <v>11.5</v>
      </c>
      <c r="G13" s="1763">
        <v>12.6</v>
      </c>
      <c r="H13" s="1749">
        <f t="shared" si="0"/>
        <v>12.675000000000001</v>
      </c>
      <c r="I13" s="1762" t="s">
        <v>164</v>
      </c>
      <c r="J13" s="1761">
        <v>76.2</v>
      </c>
      <c r="K13" s="1761">
        <v>67.400000000000006</v>
      </c>
      <c r="L13" s="1761">
        <v>67.400000000000006</v>
      </c>
      <c r="M13" s="1761">
        <f>$I$101</f>
        <v>73.63333333333334</v>
      </c>
      <c r="N13" s="1741">
        <f t="shared" si="1"/>
        <v>71.158333333333346</v>
      </c>
    </row>
    <row r="14" spans="1:20" ht="13.2">
      <c r="B14" s="1742" t="s">
        <v>257</v>
      </c>
      <c r="C14" s="1739" t="s">
        <v>220</v>
      </c>
      <c r="D14" s="1735">
        <v>13</v>
      </c>
      <c r="E14" s="1735">
        <v>13.6</v>
      </c>
      <c r="F14" s="1735">
        <v>11.5</v>
      </c>
      <c r="G14" s="1735">
        <v>12.6</v>
      </c>
      <c r="H14" s="1749">
        <f t="shared" si="0"/>
        <v>12.675000000000001</v>
      </c>
      <c r="I14" s="1758" t="s">
        <v>164</v>
      </c>
      <c r="J14" s="1768">
        <v>59.7</v>
      </c>
      <c r="K14" s="1768">
        <v>53.9</v>
      </c>
      <c r="L14" s="1768">
        <v>49.6</v>
      </c>
      <c r="M14" s="1735">
        <v>58.2</v>
      </c>
      <c r="N14" s="1741">
        <f t="shared" si="1"/>
        <v>55.349999999999994</v>
      </c>
    </row>
    <row r="15" spans="1:20" ht="13.2">
      <c r="B15" s="1742" t="s">
        <v>76</v>
      </c>
      <c r="C15" s="1739" t="s">
        <v>220</v>
      </c>
      <c r="D15" s="1735">
        <v>17.7</v>
      </c>
      <c r="E15" s="1735">
        <v>17.899999999999999</v>
      </c>
      <c r="F15" s="1735">
        <v>16.8</v>
      </c>
      <c r="G15" s="1735">
        <v>17.899999999999999</v>
      </c>
      <c r="H15" s="1749">
        <f t="shared" si="0"/>
        <v>17.574999999999996</v>
      </c>
      <c r="I15" s="1758" t="s">
        <v>164</v>
      </c>
      <c r="J15" s="1735">
        <v>60</v>
      </c>
      <c r="K15" s="1735">
        <v>54.4</v>
      </c>
      <c r="L15" s="1735">
        <v>50.1</v>
      </c>
      <c r="M15" s="1735">
        <v>58.2</v>
      </c>
      <c r="N15" s="1741">
        <f t="shared" si="1"/>
        <v>55.674999999999997</v>
      </c>
    </row>
    <row r="16" spans="1:20" ht="13.2">
      <c r="B16" s="1742" t="s">
        <v>1217</v>
      </c>
      <c r="C16" s="1739" t="s">
        <v>220</v>
      </c>
      <c r="D16" s="1735">
        <v>14.5</v>
      </c>
      <c r="E16" s="1735">
        <v>14.5</v>
      </c>
      <c r="F16" s="1735">
        <v>14.25</v>
      </c>
      <c r="G16" s="1735">
        <v>14</v>
      </c>
      <c r="H16" s="1749">
        <f t="shared" si="0"/>
        <v>14.3125</v>
      </c>
      <c r="I16" s="1758" t="s">
        <v>164</v>
      </c>
      <c r="J16" s="1768">
        <v>52.5</v>
      </c>
      <c r="K16" s="1768">
        <v>46.6</v>
      </c>
      <c r="L16" s="1768">
        <v>45.6</v>
      </c>
      <c r="M16" s="1735">
        <v>46.1</v>
      </c>
      <c r="N16" s="1741">
        <f t="shared" si="1"/>
        <v>47.699999999999996</v>
      </c>
    </row>
    <row r="17" spans="2:14" ht="13.2">
      <c r="B17" s="1742" t="s">
        <v>1216</v>
      </c>
      <c r="C17" s="1739" t="s">
        <v>220</v>
      </c>
      <c r="D17" s="1735">
        <v>14.5</v>
      </c>
      <c r="E17" s="1735">
        <v>14.5</v>
      </c>
      <c r="F17" s="1735">
        <v>14.25</v>
      </c>
      <c r="G17" s="1735">
        <v>14</v>
      </c>
      <c r="H17" s="1749">
        <f t="shared" si="0"/>
        <v>14.3125</v>
      </c>
      <c r="I17" s="1758" t="s">
        <v>164</v>
      </c>
      <c r="J17" s="1735">
        <v>47.6</v>
      </c>
      <c r="K17" s="1735">
        <v>47</v>
      </c>
      <c r="L17" s="1735">
        <v>44.9</v>
      </c>
      <c r="M17" s="1735">
        <v>46.1</v>
      </c>
      <c r="N17" s="1741">
        <f t="shared" si="1"/>
        <v>46.4</v>
      </c>
    </row>
    <row r="18" spans="2:14" ht="13.2" hidden="1">
      <c r="B18" s="1742" t="s">
        <v>1215</v>
      </c>
      <c r="C18" s="1739" t="s">
        <v>220</v>
      </c>
      <c r="D18" s="1735">
        <v>13</v>
      </c>
      <c r="E18" s="1735">
        <v>13.6</v>
      </c>
      <c r="F18" s="1735">
        <v>11.5</v>
      </c>
      <c r="G18" s="1735"/>
      <c r="H18" s="1749">
        <f t="shared" si="0"/>
        <v>9.5250000000000004</v>
      </c>
      <c r="I18" s="1758" t="s">
        <v>164</v>
      </c>
      <c r="J18" s="1735">
        <v>55.4</v>
      </c>
      <c r="K18" s="1735">
        <v>43.7</v>
      </c>
      <c r="L18" s="1735">
        <v>46.3</v>
      </c>
      <c r="M18" s="1735"/>
      <c r="N18" s="1741">
        <f t="shared" si="1"/>
        <v>36.349999999999994</v>
      </c>
    </row>
    <row r="19" spans="2:14" ht="13.2" hidden="1">
      <c r="B19" s="1742" t="s">
        <v>1214</v>
      </c>
      <c r="C19" s="1739" t="s">
        <v>220</v>
      </c>
      <c r="D19" s="1735">
        <v>13</v>
      </c>
      <c r="E19" s="1735">
        <v>13.6</v>
      </c>
      <c r="F19" s="1735">
        <v>11.5</v>
      </c>
      <c r="G19" s="1735"/>
      <c r="H19" s="1749">
        <f t="shared" si="0"/>
        <v>9.5250000000000004</v>
      </c>
      <c r="I19" s="1758" t="s">
        <v>164</v>
      </c>
      <c r="J19" s="1735">
        <v>55.4</v>
      </c>
      <c r="K19" s="1735">
        <v>43.7</v>
      </c>
      <c r="L19" s="1735">
        <v>46.3</v>
      </c>
      <c r="M19" s="1735"/>
      <c r="N19" s="1741">
        <f t="shared" si="1"/>
        <v>36.349999999999994</v>
      </c>
    </row>
    <row r="20" spans="2:14" ht="13.2">
      <c r="B20" s="1742" t="s">
        <v>1213</v>
      </c>
      <c r="C20" s="1739" t="s">
        <v>220</v>
      </c>
      <c r="D20" s="1735">
        <v>13</v>
      </c>
      <c r="E20" s="1735">
        <v>13</v>
      </c>
      <c r="F20" s="1735">
        <v>12</v>
      </c>
      <c r="G20" s="1735">
        <v>13</v>
      </c>
      <c r="H20" s="1749">
        <f t="shared" si="0"/>
        <v>12.75</v>
      </c>
      <c r="I20" s="1758" t="s">
        <v>164</v>
      </c>
      <c r="J20" s="1768">
        <v>74.400000000000006</v>
      </c>
      <c r="K20" s="1768">
        <v>67.5</v>
      </c>
      <c r="L20" s="1768">
        <v>53.1</v>
      </c>
      <c r="M20" s="1735">
        <v>67.8</v>
      </c>
      <c r="N20" s="1741">
        <f t="shared" si="1"/>
        <v>65.7</v>
      </c>
    </row>
    <row r="21" spans="2:14" ht="13.2">
      <c r="B21" s="1742" t="s">
        <v>1212</v>
      </c>
      <c r="C21" s="1739" t="s">
        <v>220</v>
      </c>
      <c r="D21" s="1735">
        <v>13</v>
      </c>
      <c r="E21" s="1735">
        <v>13</v>
      </c>
      <c r="F21" s="1735">
        <v>12</v>
      </c>
      <c r="G21" s="1735">
        <v>13</v>
      </c>
      <c r="H21" s="1749">
        <f t="shared" si="0"/>
        <v>12.75</v>
      </c>
      <c r="I21" s="1758" t="s">
        <v>164</v>
      </c>
      <c r="J21" s="1735">
        <v>73.099999999999994</v>
      </c>
      <c r="K21" s="1735">
        <v>67.400000000000006</v>
      </c>
      <c r="L21" s="1735">
        <v>58.5</v>
      </c>
      <c r="M21" s="1735">
        <v>67.8</v>
      </c>
      <c r="N21" s="1741">
        <f t="shared" si="1"/>
        <v>66.7</v>
      </c>
    </row>
    <row r="22" spans="2:14" ht="13.2">
      <c r="B22" s="1742" t="s">
        <v>1211</v>
      </c>
      <c r="C22" s="1739" t="s">
        <v>220</v>
      </c>
      <c r="D22" s="1735">
        <v>22.1</v>
      </c>
      <c r="E22" s="1735">
        <v>22.7</v>
      </c>
      <c r="F22" s="1735">
        <v>22.5</v>
      </c>
      <c r="G22" s="1735">
        <v>22.3</v>
      </c>
      <c r="H22" s="1749">
        <f t="shared" si="0"/>
        <v>22.4</v>
      </c>
      <c r="I22" s="1758" t="s">
        <v>164</v>
      </c>
      <c r="J22" s="1735">
        <v>60</v>
      </c>
      <c r="K22" s="1735">
        <v>60</v>
      </c>
      <c r="L22" s="1735">
        <v>55</v>
      </c>
      <c r="M22" s="1735">
        <v>60</v>
      </c>
      <c r="N22" s="1741">
        <f t="shared" si="1"/>
        <v>58.75</v>
      </c>
    </row>
    <row r="23" spans="2:14" ht="13.2">
      <c r="B23" s="1742" t="s">
        <v>1210</v>
      </c>
      <c r="C23" s="1739" t="s">
        <v>220</v>
      </c>
      <c r="D23" s="1735">
        <v>22.1</v>
      </c>
      <c r="E23" s="1735">
        <v>22.7</v>
      </c>
      <c r="F23" s="1735">
        <v>24.7</v>
      </c>
      <c r="G23" s="1735"/>
      <c r="H23" s="1749">
        <f t="shared" si="0"/>
        <v>17.375</v>
      </c>
      <c r="I23" s="1758" t="s">
        <v>164</v>
      </c>
      <c r="J23" s="1735">
        <v>50</v>
      </c>
      <c r="K23" s="1735">
        <v>50</v>
      </c>
      <c r="L23" s="1735">
        <v>45</v>
      </c>
      <c r="M23" s="1735"/>
      <c r="N23" s="1741">
        <f t="shared" si="1"/>
        <v>36.25</v>
      </c>
    </row>
    <row r="24" spans="2:14" ht="13.2">
      <c r="B24" s="1765" t="s">
        <v>69</v>
      </c>
      <c r="C24" s="1764" t="s">
        <v>220</v>
      </c>
      <c r="D24" s="1763">
        <v>12.5</v>
      </c>
      <c r="E24" s="1763">
        <v>17</v>
      </c>
      <c r="F24" s="1763">
        <v>15</v>
      </c>
      <c r="G24" s="1763">
        <v>14.2</v>
      </c>
      <c r="H24" s="1749">
        <f t="shared" si="0"/>
        <v>14.675000000000001</v>
      </c>
      <c r="I24" s="1762" t="s">
        <v>164</v>
      </c>
      <c r="J24" s="1761">
        <v>115.7</v>
      </c>
      <c r="K24" s="1761">
        <v>84.3</v>
      </c>
      <c r="L24" s="1761">
        <v>96.1</v>
      </c>
      <c r="M24" s="1767">
        <v>106.5</v>
      </c>
      <c r="N24" s="1741">
        <f t="shared" si="1"/>
        <v>100.65</v>
      </c>
    </row>
    <row r="25" spans="2:14" ht="13.2" hidden="1">
      <c r="B25" s="1742" t="s">
        <v>1209</v>
      </c>
      <c r="C25" s="1739" t="s">
        <v>220</v>
      </c>
      <c r="D25" s="1735">
        <v>11.5</v>
      </c>
      <c r="E25" s="1735">
        <v>15.6</v>
      </c>
      <c r="F25" s="1735">
        <v>13.8</v>
      </c>
      <c r="G25" s="1735"/>
      <c r="H25" s="1749">
        <f t="shared" si="0"/>
        <v>10.225000000000001</v>
      </c>
      <c r="I25" s="1758" t="s">
        <v>164</v>
      </c>
      <c r="J25" s="1735">
        <v>140</v>
      </c>
      <c r="K25" s="1735">
        <v>103</v>
      </c>
      <c r="L25" s="1735">
        <v>130</v>
      </c>
      <c r="M25" s="1735"/>
      <c r="N25" s="1741">
        <f t="shared" si="1"/>
        <v>93.25</v>
      </c>
    </row>
    <row r="26" spans="2:14" ht="12.6" hidden="1" customHeight="1">
      <c r="B26" s="1742" t="s">
        <v>1208</v>
      </c>
      <c r="C26" s="1739" t="s">
        <v>220</v>
      </c>
      <c r="D26" s="1735"/>
      <c r="E26" s="1735">
        <v>21.5</v>
      </c>
      <c r="F26" s="1735">
        <v>15</v>
      </c>
      <c r="G26" s="1735"/>
      <c r="H26" s="1749">
        <f t="shared" si="0"/>
        <v>9.125</v>
      </c>
      <c r="I26" s="1758" t="s">
        <v>164</v>
      </c>
      <c r="J26" s="1735"/>
      <c r="K26" s="1735">
        <v>70</v>
      </c>
      <c r="L26" s="1735">
        <v>58.5</v>
      </c>
      <c r="M26" s="1735"/>
      <c r="N26" s="1741">
        <f t="shared" si="1"/>
        <v>32.125</v>
      </c>
    </row>
    <row r="27" spans="2:14" ht="13.2" hidden="1">
      <c r="B27" s="1742" t="s">
        <v>1207</v>
      </c>
      <c r="C27" s="1739" t="s">
        <v>220</v>
      </c>
      <c r="D27" s="1766"/>
      <c r="E27" s="1766"/>
      <c r="F27" s="1766"/>
      <c r="G27" s="1766"/>
      <c r="H27" s="1749">
        <f t="shared" si="0"/>
        <v>0</v>
      </c>
      <c r="I27" s="1758" t="s">
        <v>1206</v>
      </c>
      <c r="J27" s="1760"/>
      <c r="K27" s="1760"/>
      <c r="L27" s="1760"/>
      <c r="M27" s="1760"/>
      <c r="N27" s="1741">
        <f t="shared" si="1"/>
        <v>0</v>
      </c>
    </row>
    <row r="28" spans="2:14" ht="13.2" hidden="1">
      <c r="B28" s="1742" t="s">
        <v>1162</v>
      </c>
      <c r="C28" s="1739" t="s">
        <v>1205</v>
      </c>
      <c r="D28" s="1735">
        <v>2.1000000000000001E-2</v>
      </c>
      <c r="E28" s="1735">
        <v>2.4E-2</v>
      </c>
      <c r="F28" s="1735">
        <v>2.1000000000000001E-2</v>
      </c>
      <c r="G28" s="1735"/>
      <c r="H28" s="1749">
        <f t="shared" si="0"/>
        <v>1.6500000000000001E-2</v>
      </c>
      <c r="I28" s="1758" t="s">
        <v>164</v>
      </c>
      <c r="J28" s="1760">
        <v>88000</v>
      </c>
      <c r="K28" s="1760">
        <v>70000</v>
      </c>
      <c r="L28" s="1760">
        <v>89000</v>
      </c>
      <c r="M28" s="1760"/>
      <c r="N28" s="1741">
        <f t="shared" si="1"/>
        <v>61750</v>
      </c>
    </row>
    <row r="29" spans="2:14" ht="12.6" customHeight="1">
      <c r="B29" s="1742" t="s">
        <v>1204</v>
      </c>
      <c r="C29" s="1739" t="s">
        <v>220</v>
      </c>
      <c r="D29" s="1735">
        <v>104.9</v>
      </c>
      <c r="E29" s="1735">
        <v>107.184</v>
      </c>
      <c r="F29" s="1735">
        <v>100.86</v>
      </c>
      <c r="G29" s="1735">
        <v>93.7</v>
      </c>
      <c r="H29" s="1749">
        <f t="shared" si="0"/>
        <v>101.661</v>
      </c>
      <c r="I29" s="1758" t="s">
        <v>164</v>
      </c>
      <c r="J29" s="1735">
        <v>37.85</v>
      </c>
      <c r="K29" s="1735">
        <v>36.25</v>
      </c>
      <c r="L29" s="1735">
        <v>41</v>
      </c>
      <c r="M29" s="1735">
        <v>44.3</v>
      </c>
      <c r="N29" s="1741">
        <f t="shared" si="1"/>
        <v>39.849999999999994</v>
      </c>
    </row>
    <row r="30" spans="2:14" ht="13.2">
      <c r="B30" s="1765" t="s">
        <v>1203</v>
      </c>
      <c r="C30" s="1764" t="s">
        <v>220</v>
      </c>
      <c r="D30" s="1763">
        <v>28.6</v>
      </c>
      <c r="E30" s="1763">
        <v>35</v>
      </c>
      <c r="F30" s="1763">
        <v>33.700000000000003</v>
      </c>
      <c r="G30" s="1763">
        <v>34.1</v>
      </c>
      <c r="H30" s="1749">
        <f t="shared" si="0"/>
        <v>32.85</v>
      </c>
      <c r="I30" s="1762" t="s">
        <v>164</v>
      </c>
      <c r="J30" s="1761">
        <v>47.2</v>
      </c>
      <c r="K30" s="1761">
        <v>40.799999999999997</v>
      </c>
      <c r="L30" s="1761">
        <v>38.799999999999997</v>
      </c>
      <c r="M30" s="1761">
        <f>$I$109</f>
        <v>37.700000000000003</v>
      </c>
      <c r="N30" s="1741">
        <f t="shared" si="1"/>
        <v>41.125</v>
      </c>
    </row>
    <row r="31" spans="2:14" ht="13.2">
      <c r="B31" s="1742" t="s">
        <v>1202</v>
      </c>
      <c r="C31" s="1739" t="s">
        <v>220</v>
      </c>
      <c r="D31" s="1735">
        <v>28.6</v>
      </c>
      <c r="E31" s="1735">
        <v>35</v>
      </c>
      <c r="F31" s="1735">
        <v>33.700000000000003</v>
      </c>
      <c r="G31" s="1735">
        <v>34.1</v>
      </c>
      <c r="H31" s="1749">
        <f t="shared" si="0"/>
        <v>32.85</v>
      </c>
      <c r="I31" s="1758" t="s">
        <v>164</v>
      </c>
      <c r="J31" s="1735">
        <v>24.2</v>
      </c>
      <c r="K31" s="1735">
        <v>24</v>
      </c>
      <c r="L31" s="1735">
        <v>22</v>
      </c>
      <c r="M31" s="1735">
        <v>24</v>
      </c>
      <c r="N31" s="1741">
        <f t="shared" si="1"/>
        <v>23.55</v>
      </c>
    </row>
    <row r="32" spans="2:14" ht="13.2">
      <c r="B32" s="1742" t="s">
        <v>59</v>
      </c>
      <c r="C32" s="1739" t="s">
        <v>220</v>
      </c>
      <c r="D32" s="1735">
        <v>30.6</v>
      </c>
      <c r="E32" s="1735">
        <v>37</v>
      </c>
      <c r="F32" s="1735">
        <v>35.700000000000003</v>
      </c>
      <c r="G32" s="1735">
        <v>37</v>
      </c>
      <c r="H32" s="1749">
        <f t="shared" si="0"/>
        <v>35.075000000000003</v>
      </c>
      <c r="I32" s="1758" t="s">
        <v>1201</v>
      </c>
      <c r="J32" s="1760">
        <v>23.9</v>
      </c>
      <c r="K32" s="1760">
        <v>24</v>
      </c>
      <c r="L32" s="1760">
        <v>22</v>
      </c>
      <c r="M32" s="1759">
        <v>24</v>
      </c>
      <c r="N32" s="1741">
        <f t="shared" si="1"/>
        <v>23.475000000000001</v>
      </c>
    </row>
    <row r="33" spans="1:16" ht="13.2" hidden="1">
      <c r="B33" s="1742" t="s">
        <v>1200</v>
      </c>
      <c r="C33" s="1739" t="s">
        <v>1199</v>
      </c>
      <c r="D33" s="1735">
        <v>0.3</v>
      </c>
      <c r="E33" s="1735">
        <v>0.33</v>
      </c>
      <c r="F33" s="1735">
        <v>0.31</v>
      </c>
      <c r="G33" s="1735"/>
      <c r="H33" s="1749">
        <f t="shared" si="0"/>
        <v>0.23499999999999999</v>
      </c>
      <c r="I33" s="1758" t="s">
        <v>164</v>
      </c>
      <c r="J33" s="1735">
        <v>8500</v>
      </c>
      <c r="K33" s="1735">
        <v>6500</v>
      </c>
      <c r="L33" s="1735">
        <v>7400</v>
      </c>
      <c r="M33" s="1735"/>
      <c r="N33" s="1741">
        <f t="shared" si="1"/>
        <v>5600</v>
      </c>
    </row>
    <row r="34" spans="1:16" ht="13.2">
      <c r="B34" s="1742" t="s">
        <v>187</v>
      </c>
      <c r="C34" s="1739" t="s">
        <v>220</v>
      </c>
      <c r="D34" s="1735">
        <v>18</v>
      </c>
      <c r="E34" s="1735">
        <v>40</v>
      </c>
      <c r="F34" s="1735">
        <v>42</v>
      </c>
      <c r="G34" s="1735">
        <v>31</v>
      </c>
      <c r="H34" s="1749">
        <f t="shared" si="0"/>
        <v>32.75</v>
      </c>
      <c r="I34" s="1758" t="s">
        <v>164</v>
      </c>
      <c r="J34" s="1735">
        <v>270</v>
      </c>
      <c r="K34" s="1735">
        <v>260</v>
      </c>
      <c r="L34" s="1735">
        <v>240</v>
      </c>
      <c r="M34" s="1735">
        <v>260</v>
      </c>
      <c r="N34" s="1741">
        <f t="shared" si="1"/>
        <v>257.5</v>
      </c>
    </row>
    <row r="35" spans="1:16" ht="13.2">
      <c r="B35" s="1742" t="s">
        <v>618</v>
      </c>
      <c r="C35" s="1739" t="s">
        <v>220</v>
      </c>
      <c r="D35" s="1755">
        <v>13</v>
      </c>
      <c r="E35" s="1755">
        <v>21</v>
      </c>
      <c r="F35" s="1755">
        <v>18</v>
      </c>
      <c r="G35" s="1755">
        <v>13.5</v>
      </c>
      <c r="H35" s="1749">
        <f t="shared" si="0"/>
        <v>16.375</v>
      </c>
      <c r="I35" s="1757" t="s">
        <v>164</v>
      </c>
      <c r="J35" s="1756">
        <v>473.2</v>
      </c>
      <c r="K35" s="1756">
        <v>369.4</v>
      </c>
      <c r="L35" s="1756">
        <v>365.6</v>
      </c>
      <c r="M35" s="1755">
        <v>480</v>
      </c>
      <c r="N35" s="1741">
        <f t="shared" si="1"/>
        <v>422.04999999999995</v>
      </c>
    </row>
    <row r="36" spans="1:16" ht="13.2">
      <c r="B36" s="1742" t="s">
        <v>1198</v>
      </c>
      <c r="C36" s="1562" t="s">
        <v>220</v>
      </c>
      <c r="D36" s="1753">
        <v>24</v>
      </c>
      <c r="E36" s="1753">
        <v>30</v>
      </c>
      <c r="F36" s="1753">
        <v>28</v>
      </c>
      <c r="G36" s="1753">
        <v>25</v>
      </c>
      <c r="H36" s="1749">
        <f t="shared" si="0"/>
        <v>26.75</v>
      </c>
      <c r="I36" s="1754" t="s">
        <v>164</v>
      </c>
      <c r="J36" s="1753">
        <v>290</v>
      </c>
      <c r="K36" s="1753">
        <v>245</v>
      </c>
      <c r="L36" s="1753">
        <v>170</v>
      </c>
      <c r="M36" s="1753">
        <v>250</v>
      </c>
      <c r="N36" s="1741">
        <f t="shared" si="1"/>
        <v>238.75</v>
      </c>
    </row>
    <row r="37" spans="1:16" ht="13.8" thickBot="1">
      <c r="A37" s="1752"/>
      <c r="B37" s="1751" t="s">
        <v>44</v>
      </c>
      <c r="C37" s="1750" t="s">
        <v>220</v>
      </c>
      <c r="D37" s="1746">
        <v>3.3</v>
      </c>
      <c r="E37" s="1746">
        <v>3.63</v>
      </c>
      <c r="F37" s="1746">
        <v>3.53</v>
      </c>
      <c r="G37" s="1746">
        <v>3</v>
      </c>
      <c r="H37" s="1749">
        <f t="shared" si="0"/>
        <v>3.3649999999999998</v>
      </c>
      <c r="I37" s="1748" t="s">
        <v>164</v>
      </c>
      <c r="J37" s="1747">
        <v>878.4</v>
      </c>
      <c r="K37" s="1747">
        <v>673.8</v>
      </c>
      <c r="L37" s="1747">
        <v>775.2</v>
      </c>
      <c r="M37" s="1746">
        <v>910</v>
      </c>
      <c r="N37" s="1741">
        <f t="shared" si="1"/>
        <v>809.34999999999991</v>
      </c>
    </row>
    <row r="38" spans="1:16" ht="14.4" hidden="1" thickTop="1" thickBot="1">
      <c r="B38" s="1742" t="s">
        <v>1197</v>
      </c>
      <c r="C38" s="1739" t="s">
        <v>220</v>
      </c>
      <c r="D38" s="1745"/>
      <c r="E38" s="1745"/>
      <c r="F38" s="1745"/>
      <c r="G38" s="1745"/>
      <c r="H38" s="1745"/>
      <c r="I38" s="1743" t="e">
        <f>(D38*$D$4+E38*$E$4+F38*$F$4+G38*$G$4+H38*#REF!)/($D$4+$E$4+$F$4+$G$4+#REF!)</f>
        <v>#REF!</v>
      </c>
      <c r="J38" s="1807" t="s">
        <v>164</v>
      </c>
      <c r="K38" s="1745"/>
      <c r="L38" s="1744"/>
      <c r="M38" s="1744"/>
      <c r="N38" s="1744"/>
      <c r="O38" s="1744"/>
      <c r="P38" s="1743" t="e">
        <f>(K38*$D$4+L38*$E$4+M38*$F$4+N38*$G$4+O38*#REF!)/($D$4+$E$4+$F$4+$G$4+#REF!)</f>
        <v>#REF!</v>
      </c>
    </row>
    <row r="39" spans="1:16" ht="14.4" hidden="1" thickTop="1" thickBot="1">
      <c r="B39" s="1742" t="s">
        <v>1196</v>
      </c>
      <c r="C39" s="1739" t="s">
        <v>220</v>
      </c>
      <c r="D39" s="1736"/>
      <c r="E39" s="1736"/>
      <c r="F39" s="1736"/>
      <c r="G39" s="1736"/>
      <c r="H39" s="1736"/>
      <c r="I39" s="1734" t="e">
        <f>(D39*$D$4+E39*$E$4+F39*$F$4+G39*$G$4+H39*#REF!)/($D$4+$E$4+$F$4+$G$4+#REF!)</f>
        <v>#REF!</v>
      </c>
      <c r="J39" s="1737" t="s">
        <v>164</v>
      </c>
      <c r="K39" s="1736"/>
      <c r="L39" s="1735"/>
      <c r="M39" s="1735"/>
      <c r="N39" s="1735"/>
      <c r="O39" s="1735"/>
      <c r="P39" s="1734" t="e">
        <f>(K39*$D$4+L39*$E$4+M39*$F$4+N39*$G$4+O39*#REF!)/($D$4+$E$4+$F$4+$G$4+#REF!)</f>
        <v>#REF!</v>
      </c>
    </row>
    <row r="40" spans="1:16" ht="14.4" hidden="1" thickTop="1" thickBot="1">
      <c r="B40" s="1740" t="s">
        <v>1195</v>
      </c>
      <c r="C40" s="1739" t="s">
        <v>220</v>
      </c>
      <c r="D40" s="1738"/>
      <c r="E40" s="1738"/>
      <c r="F40" s="1738"/>
      <c r="G40" s="1738"/>
      <c r="H40" s="1738"/>
      <c r="I40" s="1734"/>
      <c r="J40" s="1737"/>
      <c r="K40" s="1736"/>
      <c r="L40" s="1735"/>
      <c r="M40" s="1735"/>
      <c r="N40" s="1735"/>
      <c r="O40" s="1735"/>
      <c r="P40" s="1734"/>
    </row>
    <row r="41" spans="1:16" ht="12" thickTop="1">
      <c r="A41" s="1733"/>
      <c r="B41" s="1732"/>
    </row>
    <row r="44" spans="1:16" ht="13.2">
      <c r="B44" s="1436" t="s">
        <v>1194</v>
      </c>
    </row>
    <row r="45" spans="1:16" ht="15.6" hidden="1">
      <c r="B45" s="1731" t="s">
        <v>1193</v>
      </c>
    </row>
    <row r="46" spans="1:16" ht="13.2" hidden="1">
      <c r="B46" s="1730" t="s">
        <v>1192</v>
      </c>
      <c r="C46" s="1721"/>
      <c r="D46" s="1721"/>
      <c r="E46" s="1721"/>
      <c r="F46" s="1729">
        <v>2011</v>
      </c>
      <c r="G46" s="1729">
        <v>2010</v>
      </c>
      <c r="H46" s="1729">
        <v>2009</v>
      </c>
      <c r="I46" s="1728">
        <v>2008</v>
      </c>
      <c r="J46" s="1728">
        <v>2007</v>
      </c>
      <c r="K46" s="1728"/>
      <c r="L46" s="1727" t="s">
        <v>1191</v>
      </c>
    </row>
    <row r="47" spans="1:16" ht="13.2" hidden="1">
      <c r="B47" s="1721"/>
      <c r="C47" s="1721"/>
      <c r="D47" s="1721"/>
      <c r="E47" s="1721"/>
      <c r="F47" s="1721"/>
      <c r="G47" s="1726"/>
      <c r="H47" s="1726"/>
      <c r="I47" s="1725"/>
      <c r="J47" s="1725"/>
      <c r="K47" s="1725"/>
      <c r="L47" s="1724"/>
    </row>
    <row r="48" spans="1:16" ht="13.2" hidden="1">
      <c r="B48" s="1723" t="s">
        <v>259</v>
      </c>
      <c r="C48" s="1721"/>
      <c r="D48" s="1721"/>
      <c r="E48" s="1721"/>
      <c r="F48" s="1722">
        <v>69.8</v>
      </c>
      <c r="G48" s="1721">
        <v>69</v>
      </c>
      <c r="H48" s="1721">
        <v>73.5</v>
      </c>
      <c r="I48" s="1720">
        <v>74.400000000000006</v>
      </c>
      <c r="J48" s="1720">
        <v>72.3</v>
      </c>
      <c r="K48" s="1720"/>
      <c r="L48" s="1720">
        <v>71.800000000000011</v>
      </c>
    </row>
    <row r="49" spans="2:12" ht="13.2" hidden="1">
      <c r="B49" s="1723" t="s">
        <v>80</v>
      </c>
      <c r="C49" s="1721"/>
      <c r="D49" s="1721"/>
      <c r="E49" s="1721"/>
      <c r="F49" s="1722"/>
      <c r="G49" s="1721">
        <v>56.1</v>
      </c>
      <c r="H49" s="1721">
        <v>60.1</v>
      </c>
      <c r="I49" s="1720">
        <v>59.1</v>
      </c>
      <c r="J49" s="1720">
        <v>54.8</v>
      </c>
      <c r="K49" s="1720"/>
      <c r="L49" s="1720">
        <v>57.525000000000006</v>
      </c>
    </row>
    <row r="50" spans="2:12" ht="13.2" hidden="1">
      <c r="B50" s="1723" t="s">
        <v>72</v>
      </c>
      <c r="C50" s="1721"/>
      <c r="D50" s="1721"/>
      <c r="E50" s="1721"/>
      <c r="F50" s="1722"/>
      <c r="G50" s="1721">
        <v>53.4</v>
      </c>
      <c r="H50" s="1721">
        <v>55.2</v>
      </c>
      <c r="I50" s="1720">
        <v>60.4</v>
      </c>
      <c r="J50" s="1720">
        <v>48.8</v>
      </c>
      <c r="K50" s="1720"/>
      <c r="L50" s="1720">
        <v>54.45</v>
      </c>
    </row>
    <row r="51" spans="2:12" ht="13.2" hidden="1">
      <c r="B51" s="1723" t="s">
        <v>930</v>
      </c>
      <c r="C51" s="1721"/>
      <c r="D51" s="1721"/>
      <c r="E51" s="1721"/>
      <c r="F51" s="1722"/>
      <c r="G51" s="1721">
        <v>55.7</v>
      </c>
      <c r="H51" s="1721">
        <v>60.2</v>
      </c>
      <c r="I51" s="1720">
        <v>58.8</v>
      </c>
      <c r="J51" s="1720">
        <v>53.1</v>
      </c>
      <c r="K51" s="1720"/>
      <c r="L51" s="1720">
        <v>56.949999999999996</v>
      </c>
    </row>
    <row r="52" spans="2:12" ht="13.2" hidden="1">
      <c r="B52" s="1723" t="s">
        <v>87</v>
      </c>
      <c r="C52" s="1721"/>
      <c r="D52" s="1721"/>
      <c r="E52" s="1721"/>
      <c r="F52" s="1722">
        <v>67.5</v>
      </c>
      <c r="G52" s="1721">
        <v>65.900000000000006</v>
      </c>
      <c r="H52" s="1721">
        <v>69</v>
      </c>
      <c r="I52" s="1720">
        <v>68.099999999999994</v>
      </c>
      <c r="J52" s="1720">
        <v>67.400000000000006</v>
      </c>
      <c r="K52" s="1720"/>
      <c r="L52" s="1720">
        <v>67.58</v>
      </c>
    </row>
    <row r="53" spans="2:12" ht="13.2" hidden="1">
      <c r="B53" s="1723" t="s">
        <v>85</v>
      </c>
      <c r="C53" s="1721"/>
      <c r="D53" s="1721"/>
      <c r="E53" s="1721"/>
      <c r="F53" s="1722">
        <v>61.7</v>
      </c>
      <c r="G53" s="1721">
        <v>62.1</v>
      </c>
      <c r="H53" s="1721">
        <v>65.599999999999994</v>
      </c>
      <c r="I53" s="1720">
        <v>58.4</v>
      </c>
      <c r="J53" s="1720">
        <v>60.2</v>
      </c>
      <c r="K53" s="1720"/>
      <c r="L53" s="1720">
        <v>61.6</v>
      </c>
    </row>
    <row r="54" spans="2:12" ht="13.2" hidden="1">
      <c r="B54" s="1723" t="s">
        <v>257</v>
      </c>
      <c r="C54" s="1721"/>
      <c r="D54" s="1721"/>
      <c r="E54" s="1721"/>
      <c r="F54" s="1722">
        <v>50.4</v>
      </c>
      <c r="G54" s="1721">
        <v>55</v>
      </c>
      <c r="H54" s="1721">
        <v>55.3</v>
      </c>
      <c r="I54" s="1720">
        <v>53.2</v>
      </c>
      <c r="J54" s="1720">
        <v>44.3</v>
      </c>
      <c r="K54" s="1720"/>
      <c r="L54" s="1720">
        <v>51.64</v>
      </c>
    </row>
    <row r="55" spans="2:12" ht="13.2" hidden="1">
      <c r="B55" s="1723" t="s">
        <v>74</v>
      </c>
      <c r="C55" s="1721"/>
      <c r="D55" s="1721"/>
      <c r="E55" s="1721"/>
      <c r="F55" s="1722">
        <v>47.8</v>
      </c>
      <c r="G55" s="1721">
        <v>49.5</v>
      </c>
      <c r="H55" s="1721">
        <v>59</v>
      </c>
      <c r="I55" s="1720">
        <v>55.5</v>
      </c>
      <c r="J55" s="1720">
        <v>44.7</v>
      </c>
      <c r="K55" s="1720"/>
      <c r="L55" s="1720">
        <v>51.3</v>
      </c>
    </row>
    <row r="56" spans="2:12" ht="13.2" hidden="1">
      <c r="B56" s="1723" t="s">
        <v>1190</v>
      </c>
      <c r="C56" s="1721"/>
      <c r="D56" s="1721"/>
      <c r="E56" s="1721"/>
      <c r="F56" s="1722">
        <v>121.2</v>
      </c>
      <c r="G56" s="1721">
        <v>98.5</v>
      </c>
      <c r="H56" s="1721">
        <v>109.2</v>
      </c>
      <c r="I56" s="1720">
        <v>105.4</v>
      </c>
      <c r="J56" s="1720">
        <v>97.9</v>
      </c>
      <c r="K56" s="1720"/>
      <c r="L56" s="1720">
        <v>106.43999999999998</v>
      </c>
    </row>
    <row r="57" spans="2:12" ht="13.2" hidden="1">
      <c r="B57" s="1723" t="s">
        <v>44</v>
      </c>
      <c r="C57" s="1721"/>
      <c r="D57" s="1721"/>
      <c r="E57" s="1721"/>
      <c r="F57" s="1722">
        <v>802.5</v>
      </c>
      <c r="G57" s="1721">
        <v>689.9</v>
      </c>
      <c r="H57" s="1721">
        <v>727.2</v>
      </c>
      <c r="I57" s="1720">
        <v>667.8</v>
      </c>
      <c r="J57" s="1720">
        <v>644.20000000000005</v>
      </c>
      <c r="K57" s="1720"/>
      <c r="L57" s="1720">
        <v>706.32</v>
      </c>
    </row>
    <row r="58" spans="2:12" ht="13.2" hidden="1">
      <c r="B58" s="1723" t="s">
        <v>187</v>
      </c>
      <c r="C58" s="1721"/>
      <c r="D58" s="1721"/>
      <c r="E58" s="1721"/>
      <c r="F58" s="1722"/>
      <c r="G58" s="1721"/>
      <c r="H58" s="1721">
        <v>270.7</v>
      </c>
      <c r="I58" s="1720">
        <v>282.39999999999998</v>
      </c>
      <c r="J58" s="1720">
        <v>283.7</v>
      </c>
      <c r="K58" s="1720"/>
      <c r="L58" s="1720">
        <v>278.93333333333334</v>
      </c>
    </row>
    <row r="59" spans="2:12" ht="13.2" hidden="1">
      <c r="B59" s="1723" t="s">
        <v>1189</v>
      </c>
      <c r="C59" s="1721"/>
      <c r="D59" s="1721"/>
      <c r="E59" s="1721"/>
      <c r="F59" s="1722"/>
      <c r="G59" s="1721"/>
      <c r="H59" s="1721">
        <v>387.2</v>
      </c>
      <c r="I59" s="1720">
        <v>371.3</v>
      </c>
      <c r="J59" s="1720">
        <v>363.3</v>
      </c>
      <c r="K59" s="1720"/>
      <c r="L59" s="1720">
        <v>373.93333333333334</v>
      </c>
    </row>
    <row r="60" spans="2:12" ht="13.2" hidden="1">
      <c r="B60" s="1723" t="s">
        <v>671</v>
      </c>
      <c r="C60" s="1721"/>
      <c r="D60" s="1721"/>
      <c r="E60" s="1721"/>
      <c r="F60" s="1722">
        <v>443.2</v>
      </c>
      <c r="G60" s="1721">
        <v>346.8</v>
      </c>
      <c r="H60" s="1721"/>
      <c r="I60" s="1720"/>
      <c r="J60" s="1720">
        <v>349.9</v>
      </c>
      <c r="K60" s="1720"/>
      <c r="L60" s="1720">
        <v>379.9666666666667</v>
      </c>
    </row>
    <row r="61" spans="2:12" ht="13.2" hidden="1">
      <c r="B61" s="1723" t="s">
        <v>63</v>
      </c>
      <c r="C61" s="1721"/>
      <c r="D61" s="1721"/>
      <c r="E61" s="1721"/>
      <c r="F61" s="1722">
        <v>26.5</v>
      </c>
      <c r="G61" s="1721">
        <v>38.799999999999997</v>
      </c>
      <c r="H61" s="1721">
        <v>41.8</v>
      </c>
      <c r="I61" s="1720">
        <v>37.4</v>
      </c>
      <c r="J61" s="1720">
        <v>42.1</v>
      </c>
      <c r="K61" s="1720"/>
      <c r="L61" s="1720">
        <v>37.32</v>
      </c>
    </row>
    <row r="62" spans="2:12" ht="13.2" hidden="1">
      <c r="B62" s="1723" t="s">
        <v>61</v>
      </c>
      <c r="C62" s="1721"/>
      <c r="D62" s="1721"/>
      <c r="E62" s="1721"/>
      <c r="F62" s="1722"/>
      <c r="G62" s="1721">
        <v>25.2</v>
      </c>
      <c r="H62" s="1721">
        <v>24.4</v>
      </c>
      <c r="I62" s="1720">
        <v>26.2</v>
      </c>
      <c r="J62" s="1720">
        <v>24.9</v>
      </c>
      <c r="K62" s="1720"/>
      <c r="L62" s="1720">
        <v>25.174999999999997</v>
      </c>
    </row>
    <row r="63" spans="2:12" ht="13.2" hidden="1">
      <c r="B63" s="1723" t="s">
        <v>53</v>
      </c>
      <c r="C63" s="1721"/>
      <c r="D63" s="1721"/>
      <c r="E63" s="1721"/>
      <c r="F63" s="1722"/>
      <c r="G63" s="1721">
        <v>34.6</v>
      </c>
      <c r="H63" s="1721">
        <v>35.9</v>
      </c>
      <c r="I63" s="1720">
        <v>36.700000000000003</v>
      </c>
      <c r="J63" s="1720">
        <v>34</v>
      </c>
      <c r="K63" s="1720"/>
      <c r="L63" s="1720">
        <v>35.299999999999997</v>
      </c>
    </row>
    <row r="64" spans="2:12" ht="13.2" hidden="1">
      <c r="B64" s="1723" t="s">
        <v>51</v>
      </c>
      <c r="C64" s="1721"/>
      <c r="D64" s="1721"/>
      <c r="E64" s="1721"/>
      <c r="F64" s="1722"/>
      <c r="G64" s="1721">
        <v>32.299999999999997</v>
      </c>
      <c r="H64" s="1721">
        <v>33.5</v>
      </c>
      <c r="I64" s="1720">
        <v>35</v>
      </c>
      <c r="J64" s="1720">
        <v>31.6</v>
      </c>
      <c r="K64" s="1720"/>
      <c r="L64" s="1720">
        <v>33.1</v>
      </c>
    </row>
    <row r="65" spans="2:12" ht="13.2" hidden="1">
      <c r="B65" s="1723" t="s">
        <v>1162</v>
      </c>
      <c r="C65" s="1721"/>
      <c r="D65" s="1721"/>
      <c r="E65" s="1721"/>
      <c r="F65" s="1722">
        <v>484.8</v>
      </c>
      <c r="G65" s="1721">
        <v>439.1</v>
      </c>
      <c r="H65" s="1721">
        <v>484.4</v>
      </c>
      <c r="I65" s="1720">
        <v>478.4</v>
      </c>
      <c r="J65" s="1720">
        <v>469.5</v>
      </c>
      <c r="K65" s="1720"/>
      <c r="L65" s="1720">
        <v>471.24000000000007</v>
      </c>
    </row>
    <row r="66" spans="2:12" ht="13.2" hidden="1">
      <c r="B66" s="1723" t="s">
        <v>1188</v>
      </c>
      <c r="C66" s="1721"/>
      <c r="D66" s="1721"/>
      <c r="E66" s="1721"/>
      <c r="F66" s="1722"/>
      <c r="G66" s="1721"/>
      <c r="H66" s="1721">
        <v>80.099999999999994</v>
      </c>
      <c r="I66" s="1720">
        <v>76.5</v>
      </c>
      <c r="J66" s="1720">
        <v>76.2</v>
      </c>
      <c r="K66" s="1720"/>
      <c r="L66" s="1720">
        <v>77.600000000000009</v>
      </c>
    </row>
    <row r="67" spans="2:12" ht="13.2" hidden="1">
      <c r="B67" s="1723" t="s">
        <v>1187</v>
      </c>
      <c r="C67" s="1721"/>
      <c r="D67" s="1721"/>
      <c r="E67" s="1721"/>
      <c r="F67" s="1722"/>
      <c r="G67" s="1721"/>
      <c r="H67" s="1721">
        <v>82</v>
      </c>
      <c r="I67" s="1720">
        <v>78.5</v>
      </c>
      <c r="J67" s="1720">
        <v>81.2</v>
      </c>
      <c r="K67" s="1720"/>
      <c r="L67" s="1720">
        <v>80.566666666666663</v>
      </c>
    </row>
    <row r="68" spans="2:12" ht="13.2" hidden="1">
      <c r="B68" s="1723" t="s">
        <v>1186</v>
      </c>
      <c r="C68" s="1721"/>
      <c r="D68" s="1721"/>
      <c r="E68" s="1721"/>
      <c r="F68" s="1722">
        <v>66.599999999999994</v>
      </c>
      <c r="G68" s="1721">
        <v>63.6</v>
      </c>
      <c r="H68" s="1721"/>
      <c r="I68" s="1720"/>
      <c r="J68" s="1720"/>
      <c r="K68" s="1720"/>
      <c r="L68" s="1720">
        <v>65.099999999999994</v>
      </c>
    </row>
    <row r="69" spans="2:12" ht="13.2" hidden="1">
      <c r="B69" s="1723" t="s">
        <v>1185</v>
      </c>
      <c r="C69" s="1721"/>
      <c r="D69" s="1721"/>
      <c r="E69" s="1721"/>
      <c r="F69" s="1722">
        <v>57.2</v>
      </c>
      <c r="G69" s="1721">
        <v>57.5</v>
      </c>
      <c r="H69" s="1721">
        <v>72.8</v>
      </c>
      <c r="I69" s="1720">
        <v>71.2</v>
      </c>
      <c r="J69" s="1720">
        <v>73</v>
      </c>
      <c r="K69" s="1720"/>
      <c r="L69" s="1720">
        <v>66.34</v>
      </c>
    </row>
    <row r="70" spans="2:12" ht="13.2" hidden="1">
      <c r="B70" s="1723" t="s">
        <v>1184</v>
      </c>
      <c r="C70" s="1721"/>
      <c r="D70" s="1721"/>
      <c r="E70" s="1721"/>
      <c r="F70" s="1722">
        <v>66</v>
      </c>
      <c r="G70" s="1721">
        <v>62.9</v>
      </c>
      <c r="H70" s="1721">
        <v>76.3</v>
      </c>
      <c r="I70" s="1720">
        <v>75.3</v>
      </c>
      <c r="J70" s="1720">
        <v>73.099999999999994</v>
      </c>
      <c r="K70" s="1720"/>
      <c r="L70" s="1720">
        <v>70.72</v>
      </c>
    </row>
    <row r="71" spans="2:12" ht="13.2">
      <c r="C71" s="3764" t="s">
        <v>1183</v>
      </c>
      <c r="D71" s="3765"/>
      <c r="E71" s="3765"/>
      <c r="F71" s="3765"/>
      <c r="G71" s="3765"/>
    </row>
    <row r="72" spans="2:12">
      <c r="B72" s="3766" t="s">
        <v>1182</v>
      </c>
      <c r="C72" s="1713">
        <v>2013</v>
      </c>
      <c r="D72" s="1713">
        <v>2014</v>
      </c>
      <c r="E72" s="1713">
        <v>2015</v>
      </c>
      <c r="F72" s="1713">
        <v>2016</v>
      </c>
      <c r="G72" s="1713">
        <v>2017</v>
      </c>
    </row>
    <row r="73" spans="2:12" ht="13.2">
      <c r="B73" s="3767"/>
      <c r="C73" s="3768" t="s">
        <v>164</v>
      </c>
      <c r="D73" s="3769"/>
      <c r="E73" s="3769"/>
      <c r="F73" s="3769"/>
      <c r="G73" s="3769"/>
    </row>
    <row r="74" spans="2:12" ht="13.2">
      <c r="B74" s="1718" t="s">
        <v>259</v>
      </c>
      <c r="C74" s="1715">
        <v>74.099999999999994</v>
      </c>
      <c r="D74" s="1715">
        <v>83.5</v>
      </c>
      <c r="E74" s="1715">
        <v>76.3</v>
      </c>
      <c r="F74" s="1715">
        <v>66.099999999999994</v>
      </c>
      <c r="G74" s="1715" t="s">
        <v>1161</v>
      </c>
    </row>
    <row r="75" spans="2:12" ht="13.2">
      <c r="B75" s="1718" t="s">
        <v>85</v>
      </c>
      <c r="C75" s="1715">
        <v>68.3</v>
      </c>
      <c r="D75" s="1715">
        <v>76.2</v>
      </c>
      <c r="E75" s="1715">
        <v>67.400000000000006</v>
      </c>
      <c r="F75" s="1715">
        <v>67.400000000000006</v>
      </c>
      <c r="G75" s="1715" t="s">
        <v>1161</v>
      </c>
    </row>
    <row r="76" spans="2:12" ht="13.2">
      <c r="B76" s="1718" t="s">
        <v>257</v>
      </c>
      <c r="C76" s="1715">
        <v>55.4</v>
      </c>
      <c r="D76" s="1715">
        <v>59.7</v>
      </c>
      <c r="E76" s="1715">
        <v>53.9</v>
      </c>
      <c r="F76" s="1715">
        <v>49.6</v>
      </c>
      <c r="G76" s="1715" t="s">
        <v>1161</v>
      </c>
    </row>
    <row r="77" spans="2:12" ht="13.2">
      <c r="B77" s="1718" t="s">
        <v>74</v>
      </c>
      <c r="C77" s="1715">
        <v>45.2</v>
      </c>
      <c r="D77" s="1715">
        <v>52.5</v>
      </c>
      <c r="E77" s="1715">
        <v>46.6</v>
      </c>
      <c r="F77" s="1715">
        <v>45.6</v>
      </c>
      <c r="G77" s="1715" t="s">
        <v>1161</v>
      </c>
    </row>
    <row r="78" spans="2:12" ht="13.2">
      <c r="B78" s="1718" t="s">
        <v>87</v>
      </c>
      <c r="C78" s="1715">
        <v>69.900000000000006</v>
      </c>
      <c r="D78" s="1715">
        <v>74.400000000000006</v>
      </c>
      <c r="E78" s="1715">
        <v>67.5</v>
      </c>
      <c r="F78" s="1715">
        <v>53.1</v>
      </c>
      <c r="G78" s="1715" t="s">
        <v>1161</v>
      </c>
    </row>
    <row r="79" spans="2:12" ht="13.2">
      <c r="B79" s="1718" t="s">
        <v>69</v>
      </c>
      <c r="C79" s="1715">
        <v>95.6</v>
      </c>
      <c r="D79" s="1715">
        <v>115.7</v>
      </c>
      <c r="E79" s="1715">
        <v>84.3</v>
      </c>
      <c r="F79" s="1715">
        <v>96.1</v>
      </c>
      <c r="G79" s="1715" t="s">
        <v>1161</v>
      </c>
    </row>
    <row r="80" spans="2:12" ht="13.2">
      <c r="B80" s="1718" t="s">
        <v>671</v>
      </c>
      <c r="C80" s="1715">
        <v>364.9</v>
      </c>
      <c r="D80" s="1715">
        <v>473.2</v>
      </c>
      <c r="E80" s="1715">
        <v>369.4</v>
      </c>
      <c r="F80" s="1715">
        <v>365.6</v>
      </c>
      <c r="G80" s="1715" t="s">
        <v>1161</v>
      </c>
    </row>
    <row r="81" spans="2:10" ht="13.2">
      <c r="B81" s="1718" t="s">
        <v>44</v>
      </c>
      <c r="C81" s="1715">
        <v>753.9</v>
      </c>
      <c r="D81" s="1715">
        <v>878.4</v>
      </c>
      <c r="E81" s="1715">
        <v>673.8</v>
      </c>
      <c r="F81" s="1715">
        <v>775.2</v>
      </c>
      <c r="G81" s="1715" t="s">
        <v>1161</v>
      </c>
    </row>
    <row r="82" spans="2:10" ht="13.2">
      <c r="B82" s="1718" t="s">
        <v>63</v>
      </c>
      <c r="C82" s="1715">
        <v>37</v>
      </c>
      <c r="D82" s="1715">
        <v>47.2</v>
      </c>
      <c r="E82" s="1715">
        <v>40.799999999999997</v>
      </c>
      <c r="F82" s="1715">
        <v>38.799999999999997</v>
      </c>
      <c r="G82" s="1715" t="s">
        <v>1161</v>
      </c>
    </row>
    <row r="83" spans="2:10" ht="13.2">
      <c r="B83" s="1718" t="s">
        <v>1162</v>
      </c>
      <c r="C83" s="1715">
        <v>426.6</v>
      </c>
      <c r="D83" s="1715">
        <v>485.3</v>
      </c>
      <c r="E83" s="1715">
        <v>393.2</v>
      </c>
      <c r="F83" s="1715">
        <v>427.1</v>
      </c>
      <c r="G83" s="1715" t="s">
        <v>1161</v>
      </c>
    </row>
    <row r="84" spans="2:10" ht="15.6">
      <c r="B84" s="1718" t="s">
        <v>1181</v>
      </c>
      <c r="C84" s="1715">
        <v>56.6</v>
      </c>
      <c r="D84" s="1715">
        <v>59.1</v>
      </c>
      <c r="E84" s="1715">
        <v>48.5</v>
      </c>
      <c r="F84" s="1715">
        <v>61.9</v>
      </c>
      <c r="G84" s="1715" t="s">
        <v>1161</v>
      </c>
    </row>
    <row r="85" spans="2:10" ht="15.6">
      <c r="B85" s="1718" t="s">
        <v>1180</v>
      </c>
      <c r="C85" s="1715">
        <v>63.4</v>
      </c>
      <c r="D85" s="1715">
        <v>57.5</v>
      </c>
      <c r="E85" s="1715">
        <v>47.4</v>
      </c>
      <c r="F85" s="1715">
        <v>52.3</v>
      </c>
      <c r="G85" s="1715" t="s">
        <v>1161</v>
      </c>
    </row>
    <row r="87" spans="2:10" ht="13.2" customHeight="1">
      <c r="B87" s="3770" t="s">
        <v>1179</v>
      </c>
      <c r="C87" s="3770"/>
      <c r="D87" s="3770"/>
      <c r="E87" s="3770"/>
      <c r="F87" s="3770"/>
      <c r="G87" s="3770"/>
      <c r="H87" s="3770"/>
      <c r="I87" s="3770"/>
      <c r="J87" s="3770"/>
    </row>
    <row r="88" spans="2:10" ht="13.2">
      <c r="B88" s="3771" t="s">
        <v>1178</v>
      </c>
      <c r="C88" s="3771" t="s">
        <v>1177</v>
      </c>
      <c r="D88" s="3771"/>
      <c r="E88" s="3771"/>
      <c r="F88" s="3771"/>
      <c r="G88" s="3771"/>
      <c r="H88" s="3770"/>
      <c r="I88" s="3770"/>
      <c r="J88" s="1719"/>
    </row>
    <row r="89" spans="2:10" ht="13.2">
      <c r="B89" s="3771"/>
      <c r="C89" s="3771"/>
      <c r="D89" s="3771"/>
      <c r="E89" s="3771"/>
      <c r="F89" s="3771"/>
      <c r="G89" s="3771"/>
      <c r="H89" s="3770"/>
      <c r="I89" s="3770"/>
      <c r="J89" s="1719"/>
    </row>
    <row r="90" spans="2:10" ht="26.4" customHeight="1">
      <c r="B90" s="3771"/>
      <c r="C90" s="3771"/>
      <c r="D90" s="3771"/>
      <c r="E90" s="3771"/>
      <c r="F90" s="3771"/>
      <c r="G90" s="3771"/>
      <c r="H90" s="3770"/>
      <c r="I90" s="3770"/>
      <c r="J90" s="1719"/>
    </row>
    <row r="91" spans="2:10" ht="39.6">
      <c r="B91" s="3771"/>
      <c r="C91" s="1719" t="s">
        <v>1176</v>
      </c>
      <c r="D91" s="1719" t="s">
        <v>1175</v>
      </c>
      <c r="E91" s="1719" t="s">
        <v>1174</v>
      </c>
      <c r="F91" s="1719" t="s">
        <v>1173</v>
      </c>
      <c r="G91" s="1719" t="s">
        <v>1172</v>
      </c>
      <c r="H91" s="1719"/>
      <c r="I91" s="1719" t="s">
        <v>1171</v>
      </c>
      <c r="J91" s="1719"/>
    </row>
    <row r="92" spans="2:10" ht="13.2" customHeight="1">
      <c r="B92" s="3771"/>
      <c r="C92" s="3770" t="s">
        <v>164</v>
      </c>
      <c r="D92" s="3770"/>
      <c r="E92" s="3770"/>
      <c r="F92" s="3770"/>
      <c r="G92" s="3770"/>
      <c r="H92" s="3770"/>
      <c r="I92" s="3770"/>
      <c r="J92" s="3770"/>
    </row>
    <row r="93" spans="2:10" ht="13.2">
      <c r="B93" s="1718" t="s">
        <v>1170</v>
      </c>
      <c r="C93" s="1717" t="s">
        <v>160</v>
      </c>
      <c r="D93" s="1717" t="s">
        <v>160</v>
      </c>
      <c r="E93" s="1717">
        <v>73.8</v>
      </c>
      <c r="F93" s="1717" t="s">
        <v>160</v>
      </c>
      <c r="G93" s="1717" t="s">
        <v>160</v>
      </c>
      <c r="H93" s="1715"/>
      <c r="I93" s="1716"/>
      <c r="J93" s="1715"/>
    </row>
    <row r="94" spans="2:10" ht="15.6">
      <c r="B94" s="1718" t="s">
        <v>1169</v>
      </c>
      <c r="C94" s="1717" t="s">
        <v>160</v>
      </c>
      <c r="D94" s="1717" t="s">
        <v>160</v>
      </c>
      <c r="E94" s="1717">
        <v>97.1</v>
      </c>
      <c r="F94" s="1717" t="s">
        <v>1161</v>
      </c>
      <c r="G94" s="1717" t="s">
        <v>160</v>
      </c>
      <c r="H94" s="1715"/>
      <c r="I94" s="1716">
        <v>97.1</v>
      </c>
      <c r="J94" s="1715"/>
    </row>
    <row r="95" spans="2:10" ht="13.2">
      <c r="B95" s="1718" t="s">
        <v>1168</v>
      </c>
      <c r="C95" s="1717">
        <v>69</v>
      </c>
      <c r="D95" s="1717">
        <v>69.900000000000006</v>
      </c>
      <c r="E95" s="1717">
        <v>70.3</v>
      </c>
      <c r="F95" s="1717" t="s">
        <v>160</v>
      </c>
      <c r="G95" s="1717" t="s">
        <v>160</v>
      </c>
      <c r="H95" s="1715"/>
      <c r="I95" s="1716"/>
      <c r="J95" s="1715"/>
    </row>
    <row r="96" spans="2:10" ht="13.2">
      <c r="B96" s="1718" t="s">
        <v>1167</v>
      </c>
      <c r="C96" s="1717">
        <v>73</v>
      </c>
      <c r="D96" s="1717">
        <v>72.900000000000006</v>
      </c>
      <c r="E96" s="1717">
        <v>74</v>
      </c>
      <c r="F96" s="1717" t="s">
        <v>160</v>
      </c>
      <c r="G96" s="1717" t="s">
        <v>160</v>
      </c>
      <c r="H96" s="1715"/>
      <c r="I96" s="1716"/>
      <c r="J96" s="1715"/>
    </row>
    <row r="97" spans="2:10" ht="15.6">
      <c r="B97" s="1718" t="s">
        <v>1166</v>
      </c>
      <c r="C97" s="1717">
        <v>73.400000000000006</v>
      </c>
      <c r="D97" s="1717">
        <v>73.2</v>
      </c>
      <c r="E97" s="1717">
        <v>74.2</v>
      </c>
      <c r="F97" s="1717" t="s">
        <v>160</v>
      </c>
      <c r="G97" s="1717" t="s">
        <v>160</v>
      </c>
      <c r="H97" s="1715"/>
      <c r="I97" s="1716">
        <f>(C97+D97+E97)/3</f>
        <v>73.600000000000009</v>
      </c>
      <c r="J97" s="1715"/>
    </row>
    <row r="98" spans="2:10" ht="13.2">
      <c r="B98" s="1718" t="s">
        <v>80</v>
      </c>
      <c r="C98" s="1717">
        <v>57.4</v>
      </c>
      <c r="D98" s="1717">
        <v>55.7</v>
      </c>
      <c r="E98" s="1717">
        <v>62</v>
      </c>
      <c r="F98" s="1717" t="s">
        <v>160</v>
      </c>
      <c r="G98" s="1717" t="s">
        <v>160</v>
      </c>
      <c r="H98" s="1715"/>
      <c r="I98" s="1716"/>
      <c r="J98" s="1715"/>
    </row>
    <row r="99" spans="2:10" ht="13.2">
      <c r="B99" s="1718" t="s">
        <v>1165</v>
      </c>
      <c r="C99" s="1717">
        <v>52.4</v>
      </c>
      <c r="D99" s="1717">
        <v>54.3</v>
      </c>
      <c r="E99" s="1717">
        <v>54.1</v>
      </c>
      <c r="F99" s="1717" t="s">
        <v>160</v>
      </c>
      <c r="G99" s="1717" t="s">
        <v>160</v>
      </c>
      <c r="H99" s="1715"/>
      <c r="I99" s="1716"/>
      <c r="J99" s="1715"/>
    </row>
    <row r="100" spans="2:10" ht="13.2">
      <c r="B100" s="1718" t="s">
        <v>1164</v>
      </c>
      <c r="C100" s="1717">
        <v>66</v>
      </c>
      <c r="D100" s="1717">
        <v>69</v>
      </c>
      <c r="E100" s="1717">
        <v>68.400000000000006</v>
      </c>
      <c r="F100" s="1717" t="s">
        <v>160</v>
      </c>
      <c r="G100" s="1717" t="s">
        <v>160</v>
      </c>
      <c r="H100" s="1715"/>
      <c r="I100" s="1716"/>
      <c r="J100" s="1715"/>
    </row>
    <row r="101" spans="2:10" ht="13.2">
      <c r="B101" s="1718" t="s">
        <v>85</v>
      </c>
      <c r="C101" s="1717">
        <v>71.599999999999994</v>
      </c>
      <c r="D101" s="1717">
        <v>75.2</v>
      </c>
      <c r="E101" s="1717">
        <v>74.099999999999994</v>
      </c>
      <c r="F101" s="1717" t="s">
        <v>160</v>
      </c>
      <c r="G101" s="1717" t="s">
        <v>160</v>
      </c>
      <c r="H101" s="1715"/>
      <c r="I101" s="1716">
        <f>(C101+D101+E101)/3</f>
        <v>73.63333333333334</v>
      </c>
      <c r="J101" s="1715"/>
    </row>
    <row r="102" spans="2:10" ht="13.2">
      <c r="B102" s="1718" t="s">
        <v>257</v>
      </c>
      <c r="C102" s="1717">
        <v>56.5</v>
      </c>
      <c r="D102" s="1717">
        <v>58.5</v>
      </c>
      <c r="E102" s="1717">
        <v>58.8</v>
      </c>
      <c r="F102" s="1717" t="s">
        <v>160</v>
      </c>
      <c r="G102" s="1717" t="s">
        <v>160</v>
      </c>
      <c r="H102" s="1715"/>
      <c r="I102" s="1716"/>
      <c r="J102" s="1715"/>
    </row>
    <row r="103" spans="2:10" ht="13.2">
      <c r="B103" s="1718" t="s">
        <v>74</v>
      </c>
      <c r="C103" s="1717">
        <v>49.7</v>
      </c>
      <c r="D103" s="1717">
        <v>50.8</v>
      </c>
      <c r="E103" s="1717">
        <v>49.1</v>
      </c>
      <c r="F103" s="1717" t="s">
        <v>160</v>
      </c>
      <c r="G103" s="1717" t="s">
        <v>160</v>
      </c>
      <c r="H103" s="1715"/>
      <c r="I103" s="1716"/>
      <c r="J103" s="1715"/>
    </row>
    <row r="104" spans="2:10" ht="13.2">
      <c r="B104" s="1718" t="s">
        <v>87</v>
      </c>
      <c r="C104" s="1717">
        <v>73.099999999999994</v>
      </c>
      <c r="D104" s="1717">
        <v>72.5</v>
      </c>
      <c r="E104" s="1717">
        <v>72.400000000000006</v>
      </c>
      <c r="F104" s="1717" t="s">
        <v>160</v>
      </c>
      <c r="G104" s="1717" t="s">
        <v>160</v>
      </c>
      <c r="H104" s="1715"/>
      <c r="I104" s="1716"/>
      <c r="J104" s="1715"/>
    </row>
    <row r="105" spans="2:10" ht="13.2">
      <c r="B105" s="1718" t="s">
        <v>53</v>
      </c>
      <c r="C105" s="1717" t="s">
        <v>160</v>
      </c>
      <c r="D105" s="1717">
        <v>37.4</v>
      </c>
      <c r="E105" s="1717">
        <v>36.1</v>
      </c>
      <c r="F105" s="1717" t="s">
        <v>160</v>
      </c>
      <c r="G105" s="1717" t="s">
        <v>160</v>
      </c>
      <c r="H105" s="1715"/>
      <c r="I105" s="1716"/>
      <c r="J105" s="1715"/>
    </row>
    <row r="106" spans="2:10" ht="13.2">
      <c r="B106" s="1718" t="s">
        <v>51</v>
      </c>
      <c r="C106" s="1717" t="s">
        <v>160</v>
      </c>
      <c r="D106" s="1717" t="s">
        <v>160</v>
      </c>
      <c r="E106" s="1717">
        <v>29.1</v>
      </c>
      <c r="F106" s="1717" t="s">
        <v>160</v>
      </c>
      <c r="G106" s="1717" t="s">
        <v>160</v>
      </c>
      <c r="H106" s="1715"/>
      <c r="I106" s="1716"/>
      <c r="J106" s="1715"/>
    </row>
    <row r="107" spans="2:10" ht="13.2">
      <c r="B107" s="1718" t="s">
        <v>1163</v>
      </c>
      <c r="C107" s="1717" t="s">
        <v>160</v>
      </c>
      <c r="D107" s="1717" t="s">
        <v>160</v>
      </c>
      <c r="E107" s="1717">
        <v>362.8</v>
      </c>
      <c r="F107" s="1717" t="s">
        <v>160</v>
      </c>
      <c r="G107" s="1717" t="s">
        <v>160</v>
      </c>
      <c r="H107" s="1715"/>
      <c r="I107" s="1716"/>
      <c r="J107" s="1715"/>
    </row>
    <row r="108" spans="2:10" ht="13.2">
      <c r="B108" s="1718" t="s">
        <v>44</v>
      </c>
      <c r="C108" s="1717" t="s">
        <v>160</v>
      </c>
      <c r="D108" s="1717" t="s">
        <v>160</v>
      </c>
      <c r="E108" s="1717" t="s">
        <v>160</v>
      </c>
      <c r="F108" s="1717" t="s">
        <v>160</v>
      </c>
      <c r="G108" s="1717" t="s">
        <v>1161</v>
      </c>
      <c r="H108" s="1715"/>
      <c r="I108" s="1716"/>
      <c r="J108" s="1715"/>
    </row>
    <row r="109" spans="2:10" ht="13.2">
      <c r="B109" s="1718" t="s">
        <v>63</v>
      </c>
      <c r="C109" s="1717">
        <v>38.1</v>
      </c>
      <c r="D109" s="1717">
        <v>36.700000000000003</v>
      </c>
      <c r="E109" s="1717">
        <v>38.299999999999997</v>
      </c>
      <c r="F109" s="1717" t="s">
        <v>160</v>
      </c>
      <c r="G109" s="1717" t="s">
        <v>160</v>
      </c>
      <c r="H109" s="1715"/>
      <c r="I109" s="1716">
        <f>(C109+D109+E109)/3</f>
        <v>37.700000000000003</v>
      </c>
      <c r="J109" s="1715"/>
    </row>
    <row r="110" spans="2:10" ht="13.2">
      <c r="B110" s="1718" t="s">
        <v>1162</v>
      </c>
      <c r="C110" s="1717" t="s">
        <v>160</v>
      </c>
      <c r="D110" s="1717" t="s">
        <v>160</v>
      </c>
      <c r="E110" s="1717">
        <v>460.5</v>
      </c>
      <c r="F110" s="1717" t="s">
        <v>1161</v>
      </c>
      <c r="G110" s="1717" t="s">
        <v>160</v>
      </c>
      <c r="H110" s="1715"/>
      <c r="I110" s="1716"/>
      <c r="J110" s="1715"/>
    </row>
    <row r="111" spans="2:10" ht="12.6">
      <c r="B111" s="1714" t="s">
        <v>1160</v>
      </c>
    </row>
    <row r="112" spans="2:10" ht="12.6">
      <c r="B112" s="1714" t="s">
        <v>1159</v>
      </c>
    </row>
    <row r="113" spans="2:2" ht="12.6">
      <c r="B113" s="1714" t="s">
        <v>1158</v>
      </c>
    </row>
    <row r="114" spans="2:2" ht="12.6">
      <c r="B114" s="1714" t="s">
        <v>1157</v>
      </c>
    </row>
  </sheetData>
  <customSheetViews>
    <customSheetView guid="{8063F48F-80B5-4ECD-B18A-51CBF126E780}"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customSheetView>
    <customSheetView guid="{5D5C9B61-9ABD-4513-AAEB-8333A9D6196C}"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2"/>
      <headerFooter>
        <oddFooter>&amp;L&amp;9LEL Schwäbisch Gmünd, Abt. II&amp;C&amp;9&amp;F&amp;R&amp;9&amp;A</oddFooter>
      </headerFooter>
    </customSheetView>
    <customSheetView guid="{22A73C4F-9004-4CEF-8499-B1F91BE1B569}"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3"/>
      <headerFooter>
        <oddFooter>&amp;L&amp;9LEL Schwäbisch Gmünd, Abt. II&amp;C&amp;9&amp;F&amp;R&amp;9&amp;A</oddFooter>
      </headerFooter>
    </customSheetView>
  </customSheetViews>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4"/>
  <headerFooter>
    <oddFooter>&amp;L&amp;9LEL Schwäbisch Gmünd, Abt. II&amp;C&amp;9&amp;F&amp;R&amp;9&amp;A</oddFooter>
  </headerFooter>
  <rowBreaks count="1" manualBreakCount="1">
    <brk id="44" max="16383" man="1"/>
  </rowBreaks>
  <legacy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0">
    <tabColor rgb="FF92D050"/>
    <pageSetUpPr fitToPage="1"/>
  </sheetPr>
  <dimension ref="A1:AO218"/>
  <sheetViews>
    <sheetView workbookViewId="0">
      <selection activeCell="N51" sqref="N51"/>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8" width="10.5" style="31" hidden="1" customWidth="1"/>
    <col min="29" max="29" width="21.5" style="31" hidden="1" customWidth="1"/>
    <col min="30" max="32" width="10.5" style="31" hidden="1" customWidth="1"/>
    <col min="33" max="16384" width="10.5" style="31"/>
  </cols>
  <sheetData>
    <row r="1" spans="1:41" s="1317" customFormat="1" ht="30.45" customHeight="1">
      <c r="A1" s="1321"/>
      <c r="B1" s="258"/>
      <c r="C1" s="1333"/>
      <c r="D1" s="1253"/>
      <c r="E1" s="255"/>
      <c r="F1" s="255"/>
      <c r="G1" s="430"/>
      <c r="H1" s="1328"/>
      <c r="I1" s="3212" t="s">
        <v>1679</v>
      </c>
      <c r="J1" s="3210" t="e">
        <f>(J7+J13+J18+J22)-(J23+J27+J34+J43+J60+J65+J67+J69+J71+J75)</f>
        <v>#VALUE!</v>
      </c>
      <c r="K1" s="4360" t="e">
        <f>M1-J1</f>
        <v>#VALUE!</v>
      </c>
      <c r="L1" s="4360"/>
      <c r="M1" s="3210" t="e">
        <f>(M7+M13+M18+M22)-(M23+M27+M34+M43+M60+M65+M67+M69+M71+M75)</f>
        <v>#VALUE!</v>
      </c>
      <c r="N1" s="4360" t="e">
        <f>P1-M1</f>
        <v>#VALUE!</v>
      </c>
      <c r="O1" s="4360"/>
      <c r="P1" s="3210" t="e">
        <f>(P7+P13+P18+P22+O11+O12)-(P23+P27+P34+P43+P60+P65+P67+P69+P71+P75)</f>
        <v>#VALUE!</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893</v>
      </c>
      <c r="L2" s="4372"/>
      <c r="M2" s="4372"/>
      <c r="N2" s="4372"/>
      <c r="O2" s="4372"/>
      <c r="P2" s="4372"/>
      <c r="Q2" s="1345">
        <v>0</v>
      </c>
      <c r="AB2" s="3229"/>
    </row>
    <row r="3" spans="1:41" s="1317" customFormat="1" ht="32.4" customHeight="1">
      <c r="A3" s="1321"/>
      <c r="B3" s="4405" t="s">
        <v>1727</v>
      </c>
      <c r="C3" s="4405"/>
      <c r="D3" s="4405"/>
      <c r="E3" s="4405"/>
      <c r="F3" s="4405"/>
      <c r="G3" s="4405"/>
      <c r="H3" s="4405"/>
      <c r="J3" s="4368"/>
      <c r="K3" s="4369"/>
      <c r="L3" s="4369"/>
      <c r="M3" s="1368"/>
      <c r="N3" s="4373"/>
      <c r="O3" s="4374"/>
      <c r="P3" s="1326"/>
      <c r="Q3" s="1321"/>
      <c r="T3" s="1343" t="b">
        <v>0</v>
      </c>
    </row>
    <row r="4" spans="1:41" s="1317" customFormat="1" ht="20.25" customHeight="1">
      <c r="A4" s="1321"/>
      <c r="B4" s="309" t="s">
        <v>779</v>
      </c>
      <c r="C4" s="31"/>
      <c r="D4" s="31"/>
      <c r="E4" s="4406" t="s">
        <v>890</v>
      </c>
      <c r="F4" s="4406"/>
      <c r="G4" s="4406"/>
      <c r="H4" s="4406"/>
      <c r="I4" s="4406"/>
      <c r="J4" s="4368"/>
      <c r="K4" s="4369"/>
      <c r="L4" s="4369"/>
      <c r="M4" s="1367"/>
      <c r="N4" s="4374"/>
      <c r="O4" s="4374"/>
      <c r="P4" s="1322">
        <f>'SDK1'!O3</f>
        <v>2024</v>
      </c>
      <c r="Q4" s="1321"/>
      <c r="T4" s="1343" t="b">
        <v>0</v>
      </c>
    </row>
    <row r="5" spans="1:41" ht="6" customHeight="1"/>
    <row r="6" spans="1:41" s="1311" customFormat="1" ht="24" customHeight="1">
      <c r="A6" s="41"/>
      <c r="B6" s="1316" t="s">
        <v>832</v>
      </c>
      <c r="C6" s="1315"/>
      <c r="D6" s="1315"/>
      <c r="E6" s="1315"/>
      <c r="F6" s="1315"/>
      <c r="G6" s="1314"/>
      <c r="H6" s="4366" t="s">
        <v>171</v>
      </c>
      <c r="I6" s="4367"/>
      <c r="J6" s="1313">
        <v>80</v>
      </c>
      <c r="K6" s="4379" t="s">
        <v>144</v>
      </c>
      <c r="L6" s="4380"/>
      <c r="M6" s="1313">
        <v>90</v>
      </c>
      <c r="N6" s="4366" t="s">
        <v>170</v>
      </c>
      <c r="O6" s="4367"/>
      <c r="P6" s="1312">
        <v>100</v>
      </c>
      <c r="Q6" s="49"/>
    </row>
    <row r="7" spans="1:41" s="196" customFormat="1" ht="18.75" customHeight="1">
      <c r="A7" s="40"/>
      <c r="B7" s="245" t="s">
        <v>883</v>
      </c>
      <c r="C7" s="40"/>
      <c r="D7" s="40"/>
      <c r="E7" s="40"/>
      <c r="F7" s="40"/>
      <c r="G7" s="1310"/>
      <c r="H7" s="1307"/>
      <c r="I7" s="1306"/>
      <c r="J7" s="1041" t="e">
        <f>SUM(I9:I12)</f>
        <v>#VALUE!</v>
      </c>
      <c r="K7" s="1309"/>
      <c r="L7" s="1308"/>
      <c r="M7" s="1044" t="e">
        <f>SUM(L9:L12)</f>
        <v>#VALUE!</v>
      </c>
      <c r="N7" s="1307"/>
      <c r="O7" s="1306"/>
      <c r="P7" s="1041" t="e">
        <f>SUM(O9:O12)</f>
        <v>#VALUE!</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3747" t="e">
        <f>'SDK1'!O30</f>
        <v>#VALUE!</v>
      </c>
      <c r="H9" s="1303">
        <f>J6-H10</f>
        <v>80</v>
      </c>
      <c r="I9" s="1299" t="e">
        <f>H9*G9</f>
        <v>#VALUE!</v>
      </c>
      <c r="J9" s="37"/>
      <c r="K9" s="1302">
        <f>M6-K10</f>
        <v>90</v>
      </c>
      <c r="L9" s="1301" t="e">
        <f>K9*G9</f>
        <v>#VALUE!</v>
      </c>
      <c r="M9" s="1280"/>
      <c r="N9" s="1300">
        <f>P6-N10</f>
        <v>100</v>
      </c>
      <c r="O9" s="1299" t="e">
        <f>N9*G9</f>
        <v>#VALUE!</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309"/>
      <c r="B11" s="217"/>
      <c r="C11" s="39" t="s">
        <v>878</v>
      </c>
      <c r="D11" s="309"/>
      <c r="E11" s="1286">
        <v>1</v>
      </c>
      <c r="F11" s="39" t="s">
        <v>877</v>
      </c>
      <c r="G11" s="1285">
        <f>'SDK1'!$O$48</f>
        <v>10.7</v>
      </c>
      <c r="H11" s="3151">
        <f>IF($T$3=FALSE,0,J6*$E$11)</f>
        <v>0</v>
      </c>
      <c r="I11" s="3152">
        <f>H11*$G$11</f>
        <v>0</v>
      </c>
      <c r="J11" s="3153"/>
      <c r="K11" s="3154">
        <f>IF($T$3=FALSE,0,M6*$E$11)</f>
        <v>0</v>
      </c>
      <c r="L11" s="3155">
        <f>K11*$G$11</f>
        <v>0</v>
      </c>
      <c r="M11" s="3156"/>
      <c r="N11" s="3157">
        <f>IF($T$3=FALSE,0,P6*$E$11)</f>
        <v>0</v>
      </c>
      <c r="O11" s="3152">
        <f>N11*$G$11</f>
        <v>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125</v>
      </c>
      <c r="K23" s="1046"/>
      <c r="L23" s="1045"/>
      <c r="M23" s="1227">
        <f>SUM(L25:L26)</f>
        <v>125</v>
      </c>
      <c r="N23" s="1043"/>
      <c r="O23" s="1042"/>
      <c r="P23" s="1026">
        <f>SUM(O25:O26)</f>
        <v>125</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'SDK7'!F60</f>
        <v>125</v>
      </c>
      <c r="G25" s="1221">
        <f>F25*(100+$D$24)/100</f>
        <v>125</v>
      </c>
      <c r="H25" s="1371">
        <v>1</v>
      </c>
      <c r="I25" s="1181">
        <f>H25*$G25</f>
        <v>125</v>
      </c>
      <c r="J25" s="39"/>
      <c r="K25" s="1371">
        <f>H25</f>
        <v>1</v>
      </c>
      <c r="L25" s="1023">
        <f>K25*$G25</f>
        <v>125</v>
      </c>
      <c r="M25" s="1016"/>
      <c r="N25" s="1371">
        <f>H25</f>
        <v>1</v>
      </c>
      <c r="O25" s="1181">
        <f>N25*$G25</f>
        <v>125</v>
      </c>
      <c r="P25" s="1145"/>
      <c r="Q25" s="34"/>
    </row>
    <row r="26" spans="1:26" s="36" customFormat="1" ht="15" customHeight="1">
      <c r="A26" s="746"/>
      <c r="B26" s="772"/>
      <c r="C26" s="1219"/>
      <c r="D26" s="4385"/>
      <c r="E26" s="4386"/>
      <c r="F26" s="1218"/>
      <c r="G26" s="1217">
        <f>F26*(100+$D$24)/100</f>
        <v>0</v>
      </c>
      <c r="H26" s="1370"/>
      <c r="I26" s="1177">
        <f>H26*$G26</f>
        <v>0</v>
      </c>
      <c r="J26" s="39"/>
      <c r="K26" s="1370">
        <f>H26</f>
        <v>0</v>
      </c>
      <c r="L26" s="1017">
        <f>K26*$G26</f>
        <v>0</v>
      </c>
      <c r="M26" s="1016"/>
      <c r="N26" s="1370">
        <f>H26</f>
        <v>0</v>
      </c>
      <c r="O26" s="1177">
        <f>N26*$G26</f>
        <v>0</v>
      </c>
      <c r="P26" s="1176"/>
      <c r="Q26" s="34"/>
    </row>
    <row r="27" spans="1:26" s="511" customFormat="1" ht="18.75" customHeight="1">
      <c r="A27" s="711"/>
      <c r="B27" s="1215" t="s">
        <v>865</v>
      </c>
      <c r="C27" s="711"/>
      <c r="D27" s="51"/>
      <c r="E27" s="34"/>
      <c r="F27" s="34"/>
      <c r="G27" s="1214"/>
      <c r="H27" s="1173"/>
      <c r="I27" s="1172"/>
      <c r="J27" s="1041">
        <f>SUM(I30:I32)</f>
        <v>330.88</v>
      </c>
      <c r="K27" s="1175"/>
      <c r="L27" s="1174"/>
      <c r="M27" s="1044">
        <f>SUM(L30:L32)</f>
        <v>369.26499999999993</v>
      </c>
      <c r="N27" s="1173"/>
      <c r="O27" s="1172"/>
      <c r="P27" s="1041">
        <f>SUM(O30:O32)</f>
        <v>407.64999999999992</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2.0699999999999998</v>
      </c>
      <c r="F30" s="1201">
        <f>VLOOKUP(K2,'SD8'!B9:L42,7,FALSE)</f>
        <v>0.11000000000000032</v>
      </c>
      <c r="G30" s="1200">
        <v>20</v>
      </c>
      <c r="H30" s="1198">
        <f>IF(J$6=0,0,(J$6*$E30+$G30+X14))</f>
        <v>185.6</v>
      </c>
      <c r="I30" s="1181">
        <f>H30*$D30</f>
        <v>220.86399999999998</v>
      </c>
      <c r="J30" s="39"/>
      <c r="K30" s="1199">
        <f>IF(M$6=0,0,(M$6*$E30+$G30+Y14))</f>
        <v>206.29999999999998</v>
      </c>
      <c r="L30" s="1023">
        <f>K30*$D30</f>
        <v>245.49699999999996</v>
      </c>
      <c r="M30" s="1016"/>
      <c r="N30" s="1198">
        <f>IF(P$6=0,0,(P$6*$E30+$G30+Z14))</f>
        <v>226.99999999999997</v>
      </c>
      <c r="O30" s="1181">
        <f>N30*$D30</f>
        <v>270.12999999999994</v>
      </c>
      <c r="P30" s="1145"/>
      <c r="Q30" s="34"/>
    </row>
    <row r="31" spans="1:26" s="36" customFormat="1" ht="15" customHeight="1">
      <c r="A31" s="746"/>
      <c r="B31" s="217"/>
      <c r="C31" s="746" t="s">
        <v>234</v>
      </c>
      <c r="D31" s="1150">
        <f>'SDK1'!O53</f>
        <v>1.2</v>
      </c>
      <c r="E31" s="1201">
        <f>VLOOKUP(K2,'SD8'!B9:L42,4,FALSE)</f>
        <v>0.75</v>
      </c>
      <c r="F31" s="1201">
        <f>VLOOKUP(K2,'SD8'!B9:L42,8,FALSE)</f>
        <v>0.29000000000000004</v>
      </c>
      <c r="G31" s="1200"/>
      <c r="H31" s="1198">
        <f>IF(J$6=0,0,(J$6*$E31+$G31+X15))</f>
        <v>60</v>
      </c>
      <c r="I31" s="1181">
        <f>H31*$D31</f>
        <v>72</v>
      </c>
      <c r="J31" s="39"/>
      <c r="K31" s="1199">
        <f>IF(M$6=0,0,(M$6*$E31+$G31+Y15))</f>
        <v>67.5</v>
      </c>
      <c r="L31" s="1023">
        <f>K31*$D31</f>
        <v>81</v>
      </c>
      <c r="M31" s="1016"/>
      <c r="N31" s="1198">
        <f>IF(P$6=0,0,(P$6*$E31+$G31+Z15))</f>
        <v>75</v>
      </c>
      <c r="O31" s="1181">
        <f>N31*$D31</f>
        <v>90</v>
      </c>
      <c r="P31" s="1145"/>
      <c r="Q31" s="34"/>
    </row>
    <row r="32" spans="1:26" s="36" customFormat="1" ht="15" customHeight="1">
      <c r="A32" s="746"/>
      <c r="B32" s="185"/>
      <c r="C32" s="2791" t="s">
        <v>232</v>
      </c>
      <c r="D32" s="1133">
        <f>'SDK1'!O54</f>
        <v>0.99</v>
      </c>
      <c r="E32" s="1197">
        <f>VLOOKUP(K2,'SD8'!B9:L42,5,FALSE)</f>
        <v>0.48</v>
      </c>
      <c r="F32" s="1197">
        <f>VLOOKUP(K2,'SD8'!B9:L42,9,FALSE)</f>
        <v>2.09</v>
      </c>
      <c r="G32" s="1196"/>
      <c r="H32" s="1194">
        <f>IF(J$6=0,0,(J$6*$E32+$G32+X16))</f>
        <v>38.4</v>
      </c>
      <c r="I32" s="1177">
        <f>H32*$D32</f>
        <v>38.015999999999998</v>
      </c>
      <c r="J32" s="223"/>
      <c r="K32" s="1195">
        <f>IF(M$6=0,0,(M$6*$E32+$G32+Y16))</f>
        <v>43.199999999999996</v>
      </c>
      <c r="L32" s="1017">
        <f>K32*$D32</f>
        <v>42.767999999999994</v>
      </c>
      <c r="M32" s="1256"/>
      <c r="N32" s="1194">
        <f>IF(P$6=0,0,(P$6*$E32+$G32+Z16))</f>
        <v>48</v>
      </c>
      <c r="O32" s="1177">
        <f>N32*$D32</f>
        <v>47.519999999999996</v>
      </c>
      <c r="P32" s="1176"/>
      <c r="Q32" s="34"/>
    </row>
    <row r="33" spans="1:34" s="36" customFormat="1" ht="15" hidden="1" customHeight="1">
      <c r="A33" s="746"/>
      <c r="B33" s="185"/>
      <c r="C33" s="771" t="s">
        <v>230</v>
      </c>
      <c r="D33" s="1133">
        <f>'SDK1'!P55</f>
        <v>0.45</v>
      </c>
      <c r="E33" s="1197">
        <f>VLOOKUP(K2,'SD8'!B9:L42,6,FALSE)</f>
        <v>0.26</v>
      </c>
      <c r="F33" s="1197">
        <f>VLOOKUP(K2,'SD8'!B9:L42,10,FALSE)</f>
        <v>0.29000000000000004</v>
      </c>
      <c r="G33" s="1196"/>
      <c r="H33" s="1194">
        <f>IF(J$6=0,0,(J$6*$E33+$G33+X17))</f>
        <v>20.8</v>
      </c>
      <c r="I33" s="1177">
        <f>H33*$D33</f>
        <v>9.3600000000000012</v>
      </c>
      <c r="J33" s="39"/>
      <c r="K33" s="1195">
        <f>IF(M$6=0,0,(M$6*$E33+$G33+Y17))</f>
        <v>23.400000000000002</v>
      </c>
      <c r="L33" s="1017">
        <f>K33*$D33</f>
        <v>10.530000000000001</v>
      </c>
      <c r="M33" s="1016"/>
      <c r="N33" s="1194">
        <f>IF(P$6=0,0,(P$6*$E33+$G33+Z17))</f>
        <v>26</v>
      </c>
      <c r="O33" s="1177">
        <f>N33*$D33</f>
        <v>11.700000000000001</v>
      </c>
      <c r="P33" s="1176"/>
      <c r="Q33" s="34"/>
    </row>
    <row r="34" spans="1:34" s="511" customFormat="1" ht="18.75" customHeight="1">
      <c r="A34" s="711"/>
      <c r="B34" s="716" t="s">
        <v>859</v>
      </c>
      <c r="C34" s="711"/>
      <c r="D34" s="33"/>
      <c r="E34" s="33"/>
      <c r="F34" s="4381" t="s">
        <v>858</v>
      </c>
      <c r="G34" s="4382"/>
      <c r="H34" s="1191"/>
      <c r="I34" s="1190"/>
      <c r="J34" s="1041">
        <f>SUM(I36:I42)</f>
        <v>35.75</v>
      </c>
      <c r="K34" s="1193"/>
      <c r="L34" s="1192"/>
      <c r="M34" s="1044">
        <f>SUM(L36:L42)</f>
        <v>35.75</v>
      </c>
      <c r="N34" s="1191"/>
      <c r="O34" s="1190"/>
      <c r="P34" s="1041">
        <f>SUM(O36:O42)</f>
        <v>35.75</v>
      </c>
      <c r="Q34" s="34"/>
    </row>
    <row r="35" spans="1:34"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34" s="36" customFormat="1" ht="15" customHeight="1">
      <c r="A36" s="746"/>
      <c r="B36" s="1021"/>
      <c r="C36" s="4389" t="s">
        <v>509</v>
      </c>
      <c r="D36" s="4389"/>
      <c r="E36" s="4390"/>
      <c r="F36" s="1183">
        <f>IF(C36="",0,VLOOKUP(C36,'SDK5'!C3:AF83,2,FALSE))</f>
        <v>71.5</v>
      </c>
      <c r="G36" s="1183">
        <f t="shared" ref="G36:G42" si="0">F36*(100+$D$35)/100</f>
        <v>71.5</v>
      </c>
      <c r="H36" s="1182">
        <v>0.5</v>
      </c>
      <c r="I36" s="1181">
        <f t="shared" ref="I36:I42" si="1">$G36*H36</f>
        <v>35.75</v>
      </c>
      <c r="J36" s="39"/>
      <c r="K36" s="1182">
        <v>0.5</v>
      </c>
      <c r="L36" s="1023">
        <f>$G36*K36</f>
        <v>35.75</v>
      </c>
      <c r="M36" s="1016"/>
      <c r="N36" s="1182">
        <v>0.5</v>
      </c>
      <c r="O36" s="1181">
        <f t="shared" ref="O36:O42" si="2">$G36*N36</f>
        <v>35.75</v>
      </c>
      <c r="P36" s="1185"/>
      <c r="Q36" s="34"/>
    </row>
    <row r="37" spans="1:34" s="36" customFormat="1" ht="15" customHeight="1">
      <c r="A37" s="746"/>
      <c r="B37" s="1021"/>
      <c r="C37" s="4375" t="s">
        <v>311</v>
      </c>
      <c r="D37" s="4375"/>
      <c r="E37" s="4376"/>
      <c r="F37" s="1183">
        <f>IF(C37="",0,VLOOKUP(C37,'SDK5'!C4:AF84,2,FALSE))</f>
        <v>0</v>
      </c>
      <c r="G37" s="1183">
        <f t="shared" si="0"/>
        <v>0</v>
      </c>
      <c r="H37" s="1182"/>
      <c r="I37" s="1181">
        <f t="shared" si="1"/>
        <v>0</v>
      </c>
      <c r="J37" s="39"/>
      <c r="K37" s="1182"/>
      <c r="L37" s="1023">
        <f>$G37*K37</f>
        <v>0</v>
      </c>
      <c r="M37" s="1016"/>
      <c r="N37" s="1182"/>
      <c r="O37" s="1181">
        <f t="shared" si="2"/>
        <v>0</v>
      </c>
      <c r="P37" s="1145"/>
      <c r="Q37" s="34"/>
    </row>
    <row r="38" spans="1:34" s="36" customFormat="1" ht="15" customHeight="1">
      <c r="A38" s="746"/>
      <c r="B38" s="1184"/>
      <c r="C38" s="4375"/>
      <c r="D38" s="4375"/>
      <c r="E38" s="4376"/>
      <c r="F38" s="1183">
        <f>IF(C38="",0,VLOOKUP(C38,'SDK5'!C5:AF85,2,FALSE))</f>
        <v>0</v>
      </c>
      <c r="G38" s="1183">
        <f t="shared" si="0"/>
        <v>0</v>
      </c>
      <c r="H38" s="1182"/>
      <c r="I38" s="1181">
        <f t="shared" si="1"/>
        <v>0</v>
      </c>
      <c r="J38" s="39"/>
      <c r="K38" s="1182"/>
      <c r="L38" s="1023">
        <f t="shared" ref="L38:L42" si="3">$G38*K38</f>
        <v>0</v>
      </c>
      <c r="M38" s="1016"/>
      <c r="N38" s="1182"/>
      <c r="O38" s="1181">
        <f t="shared" si="2"/>
        <v>0</v>
      </c>
      <c r="P38" s="1145"/>
      <c r="Q38" s="34"/>
    </row>
    <row r="39" spans="1:34" s="36" customFormat="1" ht="15" customHeight="1">
      <c r="A39" s="746"/>
      <c r="B39" s="1021"/>
      <c r="C39" s="4375"/>
      <c r="D39" s="4375"/>
      <c r="E39" s="4376"/>
      <c r="F39" s="1183">
        <f>IF(C39="",0,VLOOKUP(C39,'SDK5'!C6:AF86,2,FALSE))</f>
        <v>0</v>
      </c>
      <c r="G39" s="1183">
        <f t="shared" si="0"/>
        <v>0</v>
      </c>
      <c r="H39" s="1182"/>
      <c r="I39" s="1181">
        <f t="shared" si="1"/>
        <v>0</v>
      </c>
      <c r="J39" s="39"/>
      <c r="K39" s="1182"/>
      <c r="L39" s="1023">
        <f t="shared" si="3"/>
        <v>0</v>
      </c>
      <c r="M39" s="1016"/>
      <c r="N39" s="1182"/>
      <c r="O39" s="1181">
        <f t="shared" si="2"/>
        <v>0</v>
      </c>
      <c r="P39" s="1145"/>
      <c r="Q39" s="34"/>
    </row>
    <row r="40" spans="1:34" s="36" customFormat="1" ht="15" customHeight="1">
      <c r="A40" s="746"/>
      <c r="B40" s="1021"/>
      <c r="C40" s="4375"/>
      <c r="D40" s="4375"/>
      <c r="E40" s="4376"/>
      <c r="F40" s="1183">
        <f>IF(C40="",0,VLOOKUP(C40,'SDK5'!C7:AF87,2,FALSE))</f>
        <v>0</v>
      </c>
      <c r="G40" s="1183">
        <f t="shared" si="0"/>
        <v>0</v>
      </c>
      <c r="H40" s="1182"/>
      <c r="I40" s="1181">
        <f t="shared" si="1"/>
        <v>0</v>
      </c>
      <c r="J40" s="39"/>
      <c r="K40" s="1182"/>
      <c r="L40" s="1023">
        <f t="shared" si="3"/>
        <v>0</v>
      </c>
      <c r="M40" s="1016"/>
      <c r="N40" s="1182"/>
      <c r="O40" s="1181">
        <f t="shared" si="2"/>
        <v>0</v>
      </c>
      <c r="P40" s="1145"/>
      <c r="Q40" s="34"/>
    </row>
    <row r="41" spans="1:34"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3"/>
        <v>0</v>
      </c>
      <c r="M41" s="1016"/>
      <c r="N41" s="1182"/>
      <c r="O41" s="1181">
        <f t="shared" si="2"/>
        <v>0</v>
      </c>
      <c r="P41" s="1145"/>
      <c r="Q41" s="34"/>
    </row>
    <row r="42" spans="1:34"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3"/>
        <v>0</v>
      </c>
      <c r="M42" s="1016"/>
      <c r="N42" s="1178"/>
      <c r="O42" s="1177">
        <f t="shared" si="2"/>
        <v>0</v>
      </c>
      <c r="P42" s="1176"/>
      <c r="Q42" s="34"/>
    </row>
    <row r="43" spans="1:34" s="511" customFormat="1" ht="18.75" customHeight="1">
      <c r="A43" s="711"/>
      <c r="B43" s="716" t="s">
        <v>856</v>
      </c>
      <c r="C43" s="711"/>
      <c r="D43" s="711"/>
      <c r="E43" s="711"/>
      <c r="F43" s="711"/>
      <c r="G43" s="1047"/>
      <c r="H43" s="1173"/>
      <c r="I43" s="1172"/>
      <c r="J43" s="1041">
        <f>SUM(J46:J57)</f>
        <v>149.95411203333333</v>
      </c>
      <c r="K43" s="1175"/>
      <c r="L43" s="1174"/>
      <c r="M43" s="1044">
        <f>SUM(M46:M57)</f>
        <v>151.52175606</v>
      </c>
      <c r="N43" s="1173"/>
      <c r="O43" s="1172"/>
      <c r="P43" s="1041">
        <f>SUM(P46:P57)</f>
        <v>153.08940008666667</v>
      </c>
      <c r="Q43" s="34"/>
    </row>
    <row r="44" spans="1:34"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34"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34" s="36" customFormat="1" ht="15" customHeight="1">
      <c r="A46" s="746"/>
      <c r="B46" s="1157"/>
      <c r="C46" s="4387" t="s">
        <v>1589</v>
      </c>
      <c r="D46" s="4388"/>
      <c r="E46" s="1152">
        <f>IF($C46=0,0,VLOOKUP($C46,'SD3'!$C$24:$O$85,4,FALSE))</f>
        <v>120</v>
      </c>
      <c r="F46" s="1151">
        <f>IF($C46=0,0,VLOOKUP($C46,'SD3'!$C$24:$O$85,12,FALSE))</f>
        <v>1.38</v>
      </c>
      <c r="G46" s="1150">
        <f>IF($C46=0,0,VLOOKUP($C46,'SD3'!$C$24:$O$85,13,FALSE))</f>
        <v>64.642445999999993</v>
      </c>
      <c r="H46" s="1147">
        <v>1</v>
      </c>
      <c r="I46" s="1154">
        <f t="shared" ref="I46:I57" si="4">$F46*H46</f>
        <v>1.38</v>
      </c>
      <c r="J46" s="1145">
        <f t="shared" ref="J46:J57" si="5">H46*$G46</f>
        <v>64.642445999999993</v>
      </c>
      <c r="K46" s="1147">
        <v>1</v>
      </c>
      <c r="L46" s="1156">
        <f t="shared" ref="L46:L57" si="6">$F46*K46</f>
        <v>1.38</v>
      </c>
      <c r="M46" s="1148">
        <f t="shared" ref="M46:M57" si="7">K46*$G46</f>
        <v>64.642445999999993</v>
      </c>
      <c r="N46" s="1147">
        <v>1</v>
      </c>
      <c r="O46" s="1154">
        <f t="shared" ref="O46:O57" si="8">$F46*N46</f>
        <v>1.38</v>
      </c>
      <c r="P46" s="1145">
        <f t="shared" ref="P46:P57" si="9">N46*$G46</f>
        <v>64.642445999999993</v>
      </c>
      <c r="Q46" s="34">
        <f>$Q$2*H46</f>
        <v>0</v>
      </c>
    </row>
    <row r="47" spans="1:34"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34" s="36" customFormat="1" ht="15" customHeight="1">
      <c r="A48" s="746"/>
      <c r="B48" s="1153"/>
      <c r="C48" s="4387" t="s">
        <v>346</v>
      </c>
      <c r="D48" s="4388"/>
      <c r="E48" s="1152">
        <f>IF($C48=0,0,VLOOKUP($C48,'SD3'!$C$24:$O$85,4,FALSE))</f>
        <v>83</v>
      </c>
      <c r="F48" s="1151">
        <f>IF($C48=0,0,VLOOKUP($C48,'SD3'!$C$24:$O$85,12,FALSE))</f>
        <v>0.16</v>
      </c>
      <c r="G48" s="1150">
        <f>IF($C48=0,0,VLOOKUP($C48,'SD3'!$C$24:$O$85,13,FALSE))</f>
        <v>3.7403892799999996</v>
      </c>
      <c r="H48" s="1147">
        <v>2</v>
      </c>
      <c r="I48" s="1146">
        <f t="shared" si="4"/>
        <v>0.32</v>
      </c>
      <c r="J48" s="1145">
        <f t="shared" si="5"/>
        <v>7.4807785599999992</v>
      </c>
      <c r="K48" s="1147">
        <v>2</v>
      </c>
      <c r="L48" s="1149">
        <f t="shared" si="6"/>
        <v>0.32</v>
      </c>
      <c r="M48" s="1148">
        <f t="shared" si="7"/>
        <v>7.4807785599999992</v>
      </c>
      <c r="N48" s="1147">
        <v>2</v>
      </c>
      <c r="O48" s="1146">
        <f t="shared" si="8"/>
        <v>0.32</v>
      </c>
      <c r="P48" s="1145">
        <f t="shared" si="9"/>
        <v>7.4807785599999992</v>
      </c>
      <c r="Q48" s="34"/>
      <c r="AH48" s="2903"/>
    </row>
    <row r="49" spans="1:17" s="36" customFormat="1" ht="15" customHeight="1">
      <c r="A49" s="746"/>
      <c r="B49" s="1153"/>
      <c r="C49" s="4387" t="s">
        <v>1591</v>
      </c>
      <c r="D49" s="4388"/>
      <c r="E49" s="1152">
        <f>IF($C49=0,0,VLOOKUP($C49,'SD3'!$C$24:$O$85,4,FALSE))</f>
        <v>83</v>
      </c>
      <c r="F49" s="1151">
        <f>IF($C49=0,0,VLOOKUP($C49,'SD3'!$C$24:$O$85,12,FALSE))</f>
        <v>0.22</v>
      </c>
      <c r="G49" s="1150">
        <f>IF($C49=0,0,VLOOKUP($C49,'SD3'!$C$24:$O$85,13,FALSE))</f>
        <v>6.6430352599999996</v>
      </c>
      <c r="H49" s="1147">
        <v>1</v>
      </c>
      <c r="I49" s="1146">
        <f t="shared" si="4"/>
        <v>0.22</v>
      </c>
      <c r="J49" s="1145">
        <f t="shared" si="5"/>
        <v>6.6430352599999996</v>
      </c>
      <c r="K49" s="1147">
        <v>1</v>
      </c>
      <c r="L49" s="1149">
        <f t="shared" si="6"/>
        <v>0.22</v>
      </c>
      <c r="M49" s="1148">
        <f t="shared" si="7"/>
        <v>6.6430352599999996</v>
      </c>
      <c r="N49" s="1147">
        <v>1</v>
      </c>
      <c r="O49" s="1146">
        <f t="shared" si="8"/>
        <v>0.22</v>
      </c>
      <c r="P49" s="1145">
        <f t="shared" si="9"/>
        <v>6.6430352599999996</v>
      </c>
      <c r="Q49" s="34"/>
    </row>
    <row r="50" spans="1:17" s="36" customFormat="1" ht="15" customHeight="1">
      <c r="A50" s="746"/>
      <c r="B50" s="1153"/>
      <c r="C50" s="4403" t="s">
        <v>1748</v>
      </c>
      <c r="D50" s="4404"/>
      <c r="E50" s="1152">
        <f>IF($C50=0,0,VLOOKUP($C50,'SD3'!$C$24:$O$85,4,FALSE))</f>
        <v>120</v>
      </c>
      <c r="F50" s="1151">
        <f>IF($C50=0,0,VLOOKUP($C50,'SD3'!$C$24:$O$85,12,FALSE))</f>
        <v>0.37</v>
      </c>
      <c r="G50" s="1150">
        <f>IF($C50=0,0,VLOOKUP($C50,'SD3'!$C$24:$O$85,13,FALSE))</f>
        <v>11.7573302</v>
      </c>
      <c r="H50" s="3654">
        <f>J6/75</f>
        <v>1.0666666666666667</v>
      </c>
      <c r="I50" s="1146">
        <f t="shared" si="4"/>
        <v>0.39466666666666667</v>
      </c>
      <c r="J50" s="1145">
        <f t="shared" si="5"/>
        <v>12.541152213333334</v>
      </c>
      <c r="K50" s="3654">
        <f>M6/75</f>
        <v>1.2</v>
      </c>
      <c r="L50" s="1149">
        <f t="shared" si="6"/>
        <v>0.44400000000000001</v>
      </c>
      <c r="M50" s="1148">
        <f t="shared" si="7"/>
        <v>14.10879624</v>
      </c>
      <c r="N50" s="3654">
        <f>P6/75</f>
        <v>1.3333333333333333</v>
      </c>
      <c r="O50" s="1146">
        <f t="shared" si="8"/>
        <v>0.49333333333333329</v>
      </c>
      <c r="P50" s="1145">
        <f t="shared" si="9"/>
        <v>15.676440266666667</v>
      </c>
      <c r="Q50" s="34"/>
    </row>
    <row r="51" spans="1:17" s="36" customFormat="1" ht="15" customHeight="1">
      <c r="A51" s="746"/>
      <c r="B51" s="1153"/>
      <c r="C51" s="4387" t="s">
        <v>360</v>
      </c>
      <c r="D51" s="4388"/>
      <c r="E51" s="1152">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v>0</v>
      </c>
      <c r="D57" s="4402"/>
      <c r="E57" s="1135">
        <f>IF($C57=0,0,VLOOKUP($C57,'SD3'!$C$24:$O$85,4,FALSE))</f>
        <v>0</v>
      </c>
      <c r="F57" s="1134">
        <f>IF($C57=0,0,VLOOKUP($C57,'SD3'!$C$24:$O$85,12,FALSE))</f>
        <v>0</v>
      </c>
      <c r="G57" s="1133">
        <f>IF($C57=0,0,VLOOKUP($C57,'SD3'!$C$24:$O$85,13,FALSE))</f>
        <v>0</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row>
    <row r="58" spans="1:17" s="46" customFormat="1" ht="18.75" customHeight="1">
      <c r="A58" s="811"/>
      <c r="B58" s="716" t="s">
        <v>848</v>
      </c>
      <c r="C58" s="811"/>
      <c r="D58" s="811"/>
      <c r="E58" s="811"/>
      <c r="F58" s="34"/>
      <c r="G58" s="1047"/>
      <c r="H58" s="1124"/>
      <c r="I58" s="1123">
        <f>SUM($I$46:$I$57)</f>
        <v>3.8146666666666667</v>
      </c>
      <c r="J58" s="1128"/>
      <c r="K58" s="1127"/>
      <c r="L58" s="1126">
        <f>SUM($L$46:$L$57)</f>
        <v>3.8639999999999999</v>
      </c>
      <c r="M58" s="1125"/>
      <c r="N58" s="1124"/>
      <c r="O58" s="1123">
        <f>SUM($O$46:$O$57)</f>
        <v>3.9133333333333331</v>
      </c>
      <c r="P58" s="1122"/>
      <c r="Q58" s="34"/>
    </row>
    <row r="59" spans="1:17" s="46" customFormat="1" ht="15" customHeight="1">
      <c r="A59" s="811"/>
      <c r="B59" s="1121"/>
      <c r="C59" s="285"/>
      <c r="D59" s="222" t="s">
        <v>847</v>
      </c>
      <c r="E59" s="1120">
        <v>80</v>
      </c>
      <c r="F59" s="285" t="s">
        <v>846</v>
      </c>
      <c r="G59" s="1119"/>
      <c r="H59" s="1115"/>
      <c r="I59" s="1114">
        <f>IF(I58+SUM($I$46:$I$57)*$E$59%&gt;I58+10,I58+10,I58+SUM($I$46:$I$57)*$E$59%)</f>
        <v>6.8664000000000005</v>
      </c>
      <c r="J59" s="1113"/>
      <c r="K59" s="1118"/>
      <c r="L59" s="1117">
        <f>IF(L58+SUM($L$46:$L$57)*$E$59%&gt;L58+10,L58+10,L58+SUM($L$46:$L$57)*$E$59%)</f>
        <v>6.9551999999999996</v>
      </c>
      <c r="M59" s="1116"/>
      <c r="N59" s="1115"/>
      <c r="O59" s="1114">
        <f>IF(O58+SUM($O$46:$O$57)*$E$59%&gt;O58+10,O58+10,O58+SUM($O$46:$O$57)*$E$59%)</f>
        <v>7.0439999999999996</v>
      </c>
      <c r="P59" s="1113"/>
      <c r="Q59" s="34"/>
    </row>
    <row r="60" spans="1:17" s="36" customFormat="1" ht="18.75" customHeight="1">
      <c r="A60" s="746"/>
      <c r="B60" s="716" t="s">
        <v>845</v>
      </c>
      <c r="C60" s="811"/>
      <c r="D60" s="811"/>
      <c r="E60" s="39"/>
      <c r="F60" s="39"/>
      <c r="G60" s="1112"/>
      <c r="H60" s="1104"/>
      <c r="I60" s="1103"/>
      <c r="J60" s="1111">
        <f>IF(J6=0,0,SUM(I62:I64))</f>
        <v>175.5</v>
      </c>
      <c r="K60" s="1107"/>
      <c r="L60" s="1106"/>
      <c r="M60" s="1044">
        <f>IF(M6=0,0,SUM(L62:L64))</f>
        <v>175.5</v>
      </c>
      <c r="N60" s="1104"/>
      <c r="O60" s="1103"/>
      <c r="P60" s="1111">
        <f>IF(P6=0,0,SUM(O62:O64))</f>
        <v>175.5</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296</v>
      </c>
      <c r="D62" s="4365"/>
      <c r="E62" s="4365"/>
      <c r="F62" s="1101">
        <f>IF($C62=0,0,VLOOKUP($C62,'SD3'!$C$90:$D$104,2,FALSE))</f>
        <v>175.5</v>
      </c>
      <c r="G62" s="1100">
        <f>(100+$D$61)/100*F62</f>
        <v>175.5</v>
      </c>
      <c r="H62" s="173"/>
      <c r="I62" s="1096">
        <f>$G$62</f>
        <v>175.5</v>
      </c>
      <c r="J62" s="173"/>
      <c r="K62" s="1099"/>
      <c r="L62" s="1098">
        <f>$G$62</f>
        <v>175.5</v>
      </c>
      <c r="M62" s="1016"/>
      <c r="N62" s="1097"/>
      <c r="O62" s="1096">
        <f>$G$62</f>
        <v>175.5</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v>0</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492.40000000000089</v>
      </c>
      <c r="K67" s="1068" t="s">
        <v>842</v>
      </c>
      <c r="L67" s="1067" t="s">
        <v>841</v>
      </c>
      <c r="M67" s="1044">
        <f>S68*(K9+K10)*L68%+F68</f>
        <v>553.95000000000095</v>
      </c>
      <c r="N67" s="1066" t="s">
        <v>842</v>
      </c>
      <c r="O67" s="1065" t="s">
        <v>841</v>
      </c>
      <c r="P67" s="1041">
        <f>T68*(N9+N10)*O68%+F68</f>
        <v>615.50000000000114</v>
      </c>
      <c r="Q67" s="34"/>
    </row>
    <row r="68" spans="1:20" s="511" customFormat="1" ht="15" customHeight="1">
      <c r="A68" s="711"/>
      <c r="B68" s="1064"/>
      <c r="C68" s="4393" t="s">
        <v>564</v>
      </c>
      <c r="D68" s="4393"/>
      <c r="E68" s="4393"/>
      <c r="F68" s="1063"/>
      <c r="G68" s="1054" t="s">
        <v>163</v>
      </c>
      <c r="H68" s="1061">
        <v>21</v>
      </c>
      <c r="I68" s="1060">
        <v>100</v>
      </c>
      <c r="J68" s="1059"/>
      <c r="K68" s="1061">
        <v>21</v>
      </c>
      <c r="L68" s="1060">
        <v>100</v>
      </c>
      <c r="M68" s="1062"/>
      <c r="N68" s="1061">
        <v>21</v>
      </c>
      <c r="O68" s="1060">
        <v>100</v>
      </c>
      <c r="P68" s="1059"/>
      <c r="Q68" s="34"/>
      <c r="R68" s="1369">
        <f>IF($H$68=0,0,VLOOKUP($H$68,'SD6'!B8:C151,2,FALSE))*(1+'SDK1'!O11/100)</f>
        <v>6.1550000000000109</v>
      </c>
      <c r="S68" s="1369">
        <f>IF($H$68=0,0,VLOOKUP($K$68,'SD6'!B8:C151,2,FALSE))*(1+'SDK1'!Q11/100)</f>
        <v>6.1550000000000109</v>
      </c>
      <c r="T68" s="1369">
        <f>IF($H$68=0,0,VLOOKUP($N$68,'SD6'!B8:C151,2,FALSE))*(1+'SDK1'!R11/100)</f>
        <v>6.1550000000000109</v>
      </c>
    </row>
    <row r="69" spans="1:20" s="511" customFormat="1" ht="18.75" customHeight="1">
      <c r="A69" s="711"/>
      <c r="B69" s="716" t="s">
        <v>839</v>
      </c>
      <c r="C69" s="711"/>
      <c r="D69" s="711"/>
      <c r="E69" s="34"/>
      <c r="F69" s="34"/>
      <c r="G69" s="1047"/>
      <c r="H69" s="38"/>
      <c r="I69" s="51"/>
      <c r="J69" s="1041" t="e">
        <f>H70*$F70/1000</f>
        <v>#VALUE!</v>
      </c>
      <c r="K69" s="1057"/>
      <c r="L69" s="1056"/>
      <c r="M69" s="1044" t="e">
        <f>K70*$F70/1000</f>
        <v>#VALUE!</v>
      </c>
      <c r="N69" s="38"/>
      <c r="O69" s="51"/>
      <c r="P69" s="1041" t="e">
        <f>N70*$F70/1000</f>
        <v>#VALUE!</v>
      </c>
      <c r="Q69" s="34"/>
      <c r="R69" s="511" t="s">
        <v>892</v>
      </c>
    </row>
    <row r="70" spans="1:20" s="511" customFormat="1" ht="15" customHeight="1">
      <c r="A70" s="711"/>
      <c r="B70" s="772"/>
      <c r="C70" s="771" t="s">
        <v>606</v>
      </c>
      <c r="D70" s="285"/>
      <c r="E70" s="222"/>
      <c r="F70" s="3742">
        <f>'SDK7'!G111</f>
        <v>22</v>
      </c>
      <c r="G70" s="1054" t="s">
        <v>163</v>
      </c>
      <c r="H70" s="1357" t="e">
        <f>J7</f>
        <v>#VALUE!</v>
      </c>
      <c r="I70" s="1049"/>
      <c r="J70" s="1048"/>
      <c r="K70" s="1053" t="e">
        <f>M7</f>
        <v>#VALUE!</v>
      </c>
      <c r="L70" s="1052"/>
      <c r="M70" s="1051"/>
      <c r="N70" s="1357" t="e">
        <f>P7</f>
        <v>#VALUE!</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t="e">
        <f>(J23+J27+J34+J43+J60+J65+J67+J69+J71)*('SDK1'!$O$59%*$G$75/12)</f>
        <v>#VALUE!</v>
      </c>
      <c r="K75" s="513"/>
      <c r="L75" s="522"/>
      <c r="M75" s="1005" t="e">
        <f>(M23+M27+M34+M43+M60+M65+M67+M69+M71)*('SDK1'!$O$59%*$G$75/12)</f>
        <v>#VALUE!</v>
      </c>
      <c r="N75" s="1007"/>
      <c r="O75" s="1006"/>
      <c r="P75" s="1005" t="e">
        <f>(P23+P27+P34+P43+P60+P65+P67+P69+P71)*('SDK1'!$O$59%*$G$75/12)</f>
        <v>#VALUE!</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H151" s="1354"/>
      <c r="J151" s="1353"/>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78" orientation="portrait" r:id="rId1"/>
      <headerFooter alignWithMargins="0">
        <oddFooter>&amp;L&amp;11LEL Schwäbisch Gmünd&amp;C55&amp;R&amp;11&amp;F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78" orientation="portrait" r:id="rId2"/>
      <headerFooter alignWithMargins="0">
        <oddFooter>&amp;L&amp;11LEL Schwäbisch Gmünd&amp;C55&amp;R&amp;11&amp;F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78" orientation="portrait" r:id="rId3"/>
      <headerFooter alignWithMargins="0">
        <oddFooter>&amp;L&amp;11LEL Schwäbisch Gmünd&amp;C55&amp;R&amp;11&amp;F</oddFooter>
      </headerFooter>
    </customSheetView>
  </customSheetViews>
  <mergeCells count="50">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 ref="B3:H3"/>
  </mergeCells>
  <dataValidations count="4">
    <dataValidation type="list" showInputMessage="1" showErrorMessage="1" sqref="H14 K14 N14" xr:uid="{00000000-0002-0000-2600-000000000000}">
      <formula1>"ja,nein"</formula1>
    </dataValidation>
    <dataValidation type="list" allowBlank="1" showInputMessage="1" showErrorMessage="1" sqref="H15:H17 K15:K17 N15:N17" xr:uid="{00000000-0002-0000-2600-000001000000}">
      <formula1>"ja,nein"</formula1>
    </dataValidation>
    <dataValidation type="whole" allowBlank="1" showInputMessage="1" showErrorMessage="1" errorTitle="Anteil Erntegut" error="Prozentwert darf nur zwischen 0 und 100 liegen." sqref="O68 L68 I68" xr:uid="{00000000-0002-0000-2600-000002000000}">
      <formula1>0</formula1>
      <formula2>100</formula2>
    </dataValidation>
    <dataValidation type="list" allowBlank="1" showInputMessage="1" showErrorMessage="1" errorTitle="Organisationsabh. Ausgleichsl." error="Bitte aus Dropdownliste auswählen." sqref="D19:F19" xr:uid="{00000000-0002-0000-2600-000003000000}">
      <formula1>$C$60:$C$75</formula1>
    </dataValidation>
  </dataValidations>
  <hyperlinks>
    <hyperlink ref="F9" location="'SDK1'!A1" display="Preis ändern" xr:uid="{00000000-0004-0000-2600-000000000000}"/>
  </hyperlinks>
  <printOptions horizontalCentered="1"/>
  <pageMargins left="0.59055118110236227" right="0.59055118110236227" top="0.59055118110236227" bottom="0.59055118110236227" header="0.39370078740157483" footer="0.39370078740157483"/>
  <pageSetup paperSize="9" scale="65" firstPageNumber="78" orientation="portrait" r:id="rId4"/>
  <headerFooter alignWithMargins="0">
    <oddFooter>&amp;L&amp;11LEL Schwäbisch Gmünd&amp;C55&amp;R&amp;11&amp;F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600-000004000000}">
          <x14:formula1>
            <xm:f>'SD2'!$C$11:$C$50</xm:f>
          </x14:formula1>
          <xm:sqref>C14:F17</xm:sqref>
        </x14:dataValidation>
        <x14:dataValidation type="list" allowBlank="1" showInputMessage="1" showErrorMessage="1" errorTitle="Organisationsabh. Ausgleichsl." error="Bitte aus Dropdownliste auswählen." xr:uid="{00000000-0002-0000-2600-000005000000}">
          <x14:formula1>
            <xm:f>'SD2'!$C$60:$C$77</xm:f>
          </x14:formula1>
          <xm:sqref>C19:C21</xm:sqref>
        </x14:dataValidation>
        <x14:dataValidation type="list" allowBlank="1" showInputMessage="1" showErrorMessage="1" errorTitle="Arbeitsgänge" error="Bitte aus Dropdownliste auswählen." xr:uid="{00000000-0002-0000-2600-000006000000}">
          <x14:formula1>
            <xm:f>'SD3'!$C$23:$C$75</xm:f>
          </x14:formula1>
          <xm:sqref>C46:D57</xm:sqref>
        </x14:dataValidation>
        <x14:dataValidation type="list" allowBlank="1" showInputMessage="1" showErrorMessage="1" errorTitle="Lohnmaschinen" error="Bitte aus Dropdownliste auswählen." xr:uid="{00000000-0002-0000-2600-000007000000}">
          <x14:formula1>
            <xm:f>'SD3'!$C$90:$C$104</xm:f>
          </x14:formula1>
          <xm:sqref>C62:E64</xm:sqref>
        </x14:dataValidation>
        <x14:dataValidation type="list" allowBlank="1" showInputMessage="1" showErrorMessage="1" errorTitle="Pflanzenschutzmittel" error="Bitte aus Dropdownliste auswählen." xr:uid="{00000000-0002-0000-2600-000008000000}">
          <x14:formula1>
            <xm:f>'SDK5'!$Q$214:$Q$221</xm:f>
          </x14:formula1>
          <xm:sqref>C36:E42</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1">
    <tabColor rgb="FF7030A0"/>
    <pageSetUpPr fitToPage="1"/>
  </sheetPr>
  <dimension ref="A1:AO218"/>
  <sheetViews>
    <sheetView workbookViewId="0">
      <selection activeCell="N51" sqref="N51"/>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25.59765625" style="34" hidden="1" customWidth="1"/>
    <col min="18" max="18" width="12" style="31" hidden="1" customWidth="1"/>
    <col min="19" max="21" width="10.5" style="31" hidden="1" customWidth="1"/>
    <col min="22" max="22" width="12.8984375" style="31" hidden="1" customWidth="1"/>
    <col min="23" max="26" width="10.5" style="31" hidden="1" customWidth="1"/>
    <col min="27" max="28" width="0" style="31" hidden="1" customWidth="1"/>
    <col min="29" max="16384" width="10.5" style="31"/>
  </cols>
  <sheetData>
    <row r="1" spans="1:41" s="1317" customFormat="1" ht="30.45" customHeight="1">
      <c r="A1" s="1321"/>
      <c r="B1" s="258"/>
      <c r="C1" s="1333"/>
      <c r="D1" s="1253"/>
      <c r="E1" s="255"/>
      <c r="F1" s="255"/>
      <c r="G1" s="430"/>
      <c r="H1" s="1328"/>
      <c r="I1" s="3212" t="s">
        <v>1679</v>
      </c>
      <c r="J1" s="3210">
        <f>(J7+J13+J18+J22+I11+I12)-(J23+J27+J34+J43+J60+J65+J67+J69+J71+J75)</f>
        <v>380.98250419683336</v>
      </c>
      <c r="K1" s="4360">
        <f>M1-J1</f>
        <v>274.98464612165526</v>
      </c>
      <c r="L1" s="4360"/>
      <c r="M1" s="3210">
        <f>(M7+M13+M18+M22+L11+L12)-(M23+M27+M34+M43+M60+M65+M67+M69+M71+M75)</f>
        <v>655.96715031848862</v>
      </c>
      <c r="N1" s="4360">
        <f>P1-M1</f>
        <v>303.29415012635582</v>
      </c>
      <c r="O1" s="4360"/>
      <c r="P1" s="3210">
        <f>(P7+P13+P18+P22+O11+O12)-(P23+P27+P34+P43+P60+P65+P67+P69+P71+P75)</f>
        <v>959.26130044484444</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63</v>
      </c>
      <c r="L2" s="4372"/>
      <c r="M2" s="4372"/>
      <c r="N2" s="4372"/>
      <c r="O2" s="4372"/>
      <c r="P2" s="4372"/>
      <c r="Q2" s="1345">
        <v>20</v>
      </c>
      <c r="AB2" s="3229"/>
    </row>
    <row r="3" spans="1:41" s="1317" customFormat="1" ht="32.4" customHeight="1">
      <c r="A3" s="1321"/>
      <c r="B3" s="4405" t="s">
        <v>1727</v>
      </c>
      <c r="C3" s="4405"/>
      <c r="D3" s="4405"/>
      <c r="E3" s="4405"/>
      <c r="F3" s="4405"/>
      <c r="G3" s="4405"/>
      <c r="H3" s="4405"/>
      <c r="J3" s="4368"/>
      <c r="K3" s="4369"/>
      <c r="L3" s="4369"/>
      <c r="M3" s="1368"/>
      <c r="N3" s="4373" t="str">
        <f>IF(AND(T3=TRUE,T4=TRUE),"nur 1 Strohnutzung möglich","")</f>
        <v/>
      </c>
      <c r="O3" s="4374"/>
      <c r="P3" s="1326"/>
      <c r="Q3" s="1321"/>
      <c r="T3" s="1343" t="b">
        <v>0</v>
      </c>
    </row>
    <row r="4" spans="1:41" s="1317" customFormat="1" ht="20.25" customHeight="1">
      <c r="A4" s="1321"/>
      <c r="B4" s="309" t="s">
        <v>779</v>
      </c>
      <c r="C4" s="31"/>
      <c r="D4" s="31"/>
      <c r="E4" s="4406" t="s">
        <v>890</v>
      </c>
      <c r="F4" s="4406"/>
      <c r="G4" s="4406"/>
      <c r="H4" s="4406"/>
      <c r="I4" s="4406"/>
      <c r="J4" s="4368"/>
      <c r="K4" s="4369"/>
      <c r="L4" s="4369"/>
      <c r="M4" s="1367"/>
      <c r="N4" s="4374"/>
      <c r="O4" s="4374"/>
      <c r="P4" s="1322">
        <f>'SDK1'!O3</f>
        <v>2024</v>
      </c>
      <c r="Q4" s="1321"/>
      <c r="T4" s="1343"/>
    </row>
    <row r="5" spans="1:41" ht="6" customHeight="1"/>
    <row r="6" spans="1:41" s="1311" customFormat="1" ht="24" customHeight="1">
      <c r="A6" s="41"/>
      <c r="B6" s="1316" t="s">
        <v>832</v>
      </c>
      <c r="C6" s="1315"/>
      <c r="D6" s="1315"/>
      <c r="E6" s="1315"/>
      <c r="F6" s="1315"/>
      <c r="G6" s="1314"/>
      <c r="H6" s="4366" t="s">
        <v>171</v>
      </c>
      <c r="I6" s="4367"/>
      <c r="J6" s="1313">
        <f>M6*0.75</f>
        <v>30</v>
      </c>
      <c r="K6" s="4379" t="s">
        <v>144</v>
      </c>
      <c r="L6" s="4380"/>
      <c r="M6" s="1313">
        <v>40</v>
      </c>
      <c r="N6" s="4366" t="s">
        <v>170</v>
      </c>
      <c r="O6" s="4367"/>
      <c r="P6" s="1312">
        <f>M6*1.25</f>
        <v>50</v>
      </c>
      <c r="Q6" s="49"/>
    </row>
    <row r="7" spans="1:41" s="196" customFormat="1" ht="18.75" customHeight="1">
      <c r="A7" s="40"/>
      <c r="B7" s="245" t="s">
        <v>883</v>
      </c>
      <c r="C7" s="40"/>
      <c r="D7" s="40"/>
      <c r="E7" s="40"/>
      <c r="F7" s="40"/>
      <c r="G7" s="1310"/>
      <c r="H7" s="1307"/>
      <c r="I7" s="1306"/>
      <c r="J7" s="1041">
        <f>SUM(I9:I10)</f>
        <v>1245</v>
      </c>
      <c r="K7" s="1309"/>
      <c r="L7" s="1308"/>
      <c r="M7" s="1044">
        <f>SUM(L9:L10)</f>
        <v>1660</v>
      </c>
      <c r="N7" s="1307"/>
      <c r="O7" s="1306"/>
      <c r="P7" s="1041">
        <f>SUM(O9:O10)</f>
        <v>2075</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'SDK1'!O31</f>
        <v>41.5</v>
      </c>
      <c r="H9" s="1303">
        <f>J6-H10</f>
        <v>30</v>
      </c>
      <c r="I9" s="1299">
        <f>H9*G9</f>
        <v>1245</v>
      </c>
      <c r="J9" s="37"/>
      <c r="K9" s="1302">
        <f>M6-K10</f>
        <v>40</v>
      </c>
      <c r="L9" s="1301">
        <f>K9*G9</f>
        <v>1660</v>
      </c>
      <c r="M9" s="1280"/>
      <c r="N9" s="1300">
        <f>P6-N10</f>
        <v>50</v>
      </c>
      <c r="O9" s="1299">
        <f>N9*G9</f>
        <v>2075</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309"/>
      <c r="B11" s="217"/>
      <c r="C11" s="39" t="s">
        <v>878</v>
      </c>
      <c r="D11" s="309"/>
      <c r="E11" s="1286">
        <v>1.7</v>
      </c>
      <c r="F11" s="39" t="s">
        <v>877</v>
      </c>
      <c r="G11" s="1285">
        <f>'SDK1'!$O$48</f>
        <v>10.7</v>
      </c>
      <c r="H11" s="3151">
        <f>IF($T$3=FALSE,0,J6*$E$11)</f>
        <v>0</v>
      </c>
      <c r="I11" s="3152">
        <f>H11*$G$11</f>
        <v>0</v>
      </c>
      <c r="J11" s="3153"/>
      <c r="K11" s="3154">
        <f>IF($T$3=FALSE,0,M6*$E$11)</f>
        <v>0</v>
      </c>
      <c r="L11" s="3155">
        <f>K11*$G$11</f>
        <v>0</v>
      </c>
      <c r="M11" s="3156"/>
      <c r="N11" s="3157">
        <f>IF($T$3=FALSE,0,P6*$E$11)</f>
        <v>0</v>
      </c>
      <c r="O11" s="3152">
        <f>N11*$G$11</f>
        <v>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105</v>
      </c>
      <c r="K23" s="1046"/>
      <c r="L23" s="1045"/>
      <c r="M23" s="1227">
        <f>SUM(L25:L26)</f>
        <v>105</v>
      </c>
      <c r="N23" s="1043"/>
      <c r="O23" s="1042"/>
      <c r="P23" s="1026">
        <f>SUM(O25:O26)</f>
        <v>105</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t="s">
        <v>894</v>
      </c>
      <c r="E25" s="4384"/>
      <c r="F25" s="1222">
        <f>'SDK7'!F62</f>
        <v>182</v>
      </c>
      <c r="G25" s="1221">
        <f>F25*(100+$D$24)/100</f>
        <v>182</v>
      </c>
      <c r="H25" s="1371"/>
      <c r="I25" s="1181">
        <f>H25*$G25</f>
        <v>0</v>
      </c>
      <c r="J25" s="39"/>
      <c r="K25" s="1371">
        <f>H25</f>
        <v>0</v>
      </c>
      <c r="L25" s="1023">
        <f>K25*$G25</f>
        <v>0</v>
      </c>
      <c r="M25" s="1016"/>
      <c r="N25" s="1371">
        <f>H25</f>
        <v>0</v>
      </c>
      <c r="O25" s="1181">
        <f>N25*$G25</f>
        <v>0</v>
      </c>
      <c r="P25" s="1145"/>
      <c r="Q25" s="34"/>
    </row>
    <row r="26" spans="1:26" s="36" customFormat="1" ht="15" customHeight="1">
      <c r="A26" s="746"/>
      <c r="B26" s="772"/>
      <c r="C26" s="1219"/>
      <c r="D26" s="4385" t="s">
        <v>635</v>
      </c>
      <c r="E26" s="4386"/>
      <c r="F26" s="1218">
        <f>'SDK7'!F61</f>
        <v>300</v>
      </c>
      <c r="G26" s="1217">
        <f>F26*(100+$D$24)/100</f>
        <v>300</v>
      </c>
      <c r="H26" s="1370">
        <v>0.35</v>
      </c>
      <c r="I26" s="1177">
        <f>H26*$G26</f>
        <v>105</v>
      </c>
      <c r="J26" s="39"/>
      <c r="K26" s="1370">
        <f>H26</f>
        <v>0.35</v>
      </c>
      <c r="L26" s="1017">
        <f>K26*$G26</f>
        <v>105</v>
      </c>
      <c r="M26" s="1016"/>
      <c r="N26" s="1370">
        <f>H26</f>
        <v>0.35</v>
      </c>
      <c r="O26" s="1177">
        <f>N26*$G26</f>
        <v>105</v>
      </c>
      <c r="P26" s="1176"/>
      <c r="Q26" s="34"/>
    </row>
    <row r="27" spans="1:26" s="511" customFormat="1" ht="18.75" customHeight="1">
      <c r="A27" s="711"/>
      <c r="B27" s="1215" t="s">
        <v>865</v>
      </c>
      <c r="C27" s="711"/>
      <c r="D27" s="51"/>
      <c r="E27" s="34"/>
      <c r="F27" s="34"/>
      <c r="G27" s="1214"/>
      <c r="H27" s="1173"/>
      <c r="I27" s="1172"/>
      <c r="J27" s="1041">
        <f>SUM(I30:I32)</f>
        <v>273.59499999999997</v>
      </c>
      <c r="K27" s="1175"/>
      <c r="L27" s="1174"/>
      <c r="M27" s="1044">
        <f>SUM(L30:L32)</f>
        <v>344.96</v>
      </c>
      <c r="N27" s="1173"/>
      <c r="O27" s="1172"/>
      <c r="P27" s="1041">
        <f>SUM(O30:O32)</f>
        <v>416.32499999999999</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3.35</v>
      </c>
      <c r="F30" s="1201">
        <f>VLOOKUP(K2,'SD8'!B9:L42,7,FALSE)</f>
        <v>1.19</v>
      </c>
      <c r="G30" s="1200">
        <v>50</v>
      </c>
      <c r="H30" s="1198">
        <f>IF(J$6=0,0,(J$6*$E30+$G30+X14))</f>
        <v>150.5</v>
      </c>
      <c r="I30" s="1181">
        <f>H30*$D30</f>
        <v>179.095</v>
      </c>
      <c r="J30" s="39"/>
      <c r="K30" s="1199">
        <f>IF(M$6=0,0,(M$6*$E30+$G30+Y14))</f>
        <v>184</v>
      </c>
      <c r="L30" s="1023">
        <f>K30*$D30</f>
        <v>218.95999999999998</v>
      </c>
      <c r="M30" s="1016"/>
      <c r="N30" s="1198">
        <f>IF(P$6=0,0,(P$6*$E30+$G30+Z14))</f>
        <v>217.5</v>
      </c>
      <c r="O30" s="1181">
        <f>N30*$D30</f>
        <v>258.82499999999999</v>
      </c>
      <c r="P30" s="1145"/>
      <c r="Q30" s="34"/>
    </row>
    <row r="31" spans="1:26" s="36" customFormat="1" ht="15" customHeight="1">
      <c r="A31" s="746"/>
      <c r="B31" s="217"/>
      <c r="C31" s="746" t="s">
        <v>234</v>
      </c>
      <c r="D31" s="1150">
        <f>'SDK1'!O53</f>
        <v>1.2</v>
      </c>
      <c r="E31" s="1201">
        <f>VLOOKUP(K2,'SD8'!B9:L42,4,FALSE)</f>
        <v>1.8</v>
      </c>
      <c r="F31" s="1201">
        <f>VLOOKUP(K2,'SD8'!B9:L42,8,FALSE)</f>
        <v>0.67999999999999994</v>
      </c>
      <c r="G31" s="1200"/>
      <c r="H31" s="1198">
        <f>IF(J$6=0,0,(J$6*$E31+$G31+X15))</f>
        <v>54</v>
      </c>
      <c r="I31" s="1181">
        <f>H31*$D31</f>
        <v>64.8</v>
      </c>
      <c r="J31" s="39"/>
      <c r="K31" s="1199">
        <f>IF(M$6=0,0,(M$6*$E31+$G31+Y15))</f>
        <v>72</v>
      </c>
      <c r="L31" s="1023">
        <f>K31*$D31</f>
        <v>86.399999999999991</v>
      </c>
      <c r="M31" s="1016"/>
      <c r="N31" s="1198">
        <f>IF(P$6=0,0,(P$6*$E31+$G31+Z15))</f>
        <v>90</v>
      </c>
      <c r="O31" s="1181">
        <f>N31*$D31</f>
        <v>108</v>
      </c>
      <c r="P31" s="1145"/>
      <c r="Q31" s="34"/>
    </row>
    <row r="32" spans="1:26" s="36" customFormat="1" ht="15" customHeight="1">
      <c r="A32" s="746"/>
      <c r="B32" s="185"/>
      <c r="C32" s="2791" t="s">
        <v>232</v>
      </c>
      <c r="D32" s="1133">
        <f>'SDK1'!O54</f>
        <v>0.99</v>
      </c>
      <c r="E32" s="1197">
        <f>VLOOKUP(K2,'SD8'!B9:L42,5,FALSE)</f>
        <v>1</v>
      </c>
      <c r="F32" s="1197">
        <f>VLOOKUP(K2,'SD8'!B9:L42,9,FALSE)</f>
        <v>4.25</v>
      </c>
      <c r="G32" s="1196"/>
      <c r="H32" s="1194">
        <f>IF(J$6=0,0,(J$6*$E32+$G32+X16))</f>
        <v>30</v>
      </c>
      <c r="I32" s="1177">
        <f>H32*$D32</f>
        <v>29.7</v>
      </c>
      <c r="J32" s="223"/>
      <c r="K32" s="1195">
        <f>IF(M$6=0,0,(M$6*$E32+$G32+Y16))</f>
        <v>40</v>
      </c>
      <c r="L32" s="1017">
        <f>K32*$D32</f>
        <v>39.6</v>
      </c>
      <c r="M32" s="1256"/>
      <c r="N32" s="1194">
        <f>IF(P$6=0,0,(P$6*$E32+$G32+Z16))</f>
        <v>50</v>
      </c>
      <c r="O32" s="1177">
        <f>N32*$D32</f>
        <v>49.5</v>
      </c>
      <c r="P32" s="1176"/>
      <c r="Q32" s="34"/>
    </row>
    <row r="33" spans="1:17" s="36" customFormat="1" ht="15" hidden="1" customHeight="1">
      <c r="A33" s="746"/>
      <c r="B33" s="185"/>
      <c r="C33" s="771" t="s">
        <v>230</v>
      </c>
      <c r="D33" s="1133">
        <f>'SDK1'!P55</f>
        <v>0.45</v>
      </c>
      <c r="E33" s="1197">
        <f>VLOOKUP(K2,'SD8'!B9:L42,6,FALSE)</f>
        <v>0.5</v>
      </c>
      <c r="F33" s="1197">
        <f>VLOOKUP(K2,'SD8'!B9:L42,10,FALSE)</f>
        <v>0.7</v>
      </c>
      <c r="G33" s="1196"/>
      <c r="H33" s="1194">
        <f>IF(J$6=0,0,(J$6*$E33+$G33+X17))</f>
        <v>15</v>
      </c>
      <c r="I33" s="1177">
        <f>H33*$D33</f>
        <v>6.75</v>
      </c>
      <c r="J33" s="39"/>
      <c r="K33" s="1195">
        <f>IF(M$6=0,0,(M$6*$E33+$G33+Y17))</f>
        <v>20</v>
      </c>
      <c r="L33" s="1017">
        <f>K33*$D33</f>
        <v>9</v>
      </c>
      <c r="M33" s="1016"/>
      <c r="N33" s="1194">
        <f>IF(P$6=0,0,(P$6*$E33+$G33+Z17))</f>
        <v>25</v>
      </c>
      <c r="O33" s="1177">
        <f>N33*$D33</f>
        <v>11.25</v>
      </c>
      <c r="P33" s="1176"/>
      <c r="Q33" s="34"/>
    </row>
    <row r="34" spans="1:17" s="511" customFormat="1" ht="18.75" customHeight="1">
      <c r="A34" s="711"/>
      <c r="B34" s="716" t="s">
        <v>859</v>
      </c>
      <c r="C34" s="711"/>
      <c r="D34" s="33"/>
      <c r="E34" s="33"/>
      <c r="F34" s="4381" t="s">
        <v>858</v>
      </c>
      <c r="G34" s="4382"/>
      <c r="H34" s="1191"/>
      <c r="I34" s="1190"/>
      <c r="J34" s="1041">
        <f>SUM(I36:I42)</f>
        <v>185.22</v>
      </c>
      <c r="K34" s="1193"/>
      <c r="L34" s="1192"/>
      <c r="M34" s="1044">
        <f>SUM(L36:L42)</f>
        <v>206.56</v>
      </c>
      <c r="N34" s="1191"/>
      <c r="O34" s="1190"/>
      <c r="P34" s="1041">
        <f>SUM(O36:O42)</f>
        <v>206.56</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1572</v>
      </c>
      <c r="D36" s="4389"/>
      <c r="E36" s="4390"/>
      <c r="F36" s="1183">
        <f>IF(C36="",0,VLOOKUP(C36,'SDK5'!C3:AF83,2,FALSE))</f>
        <v>50.4</v>
      </c>
      <c r="G36" s="1183">
        <f t="shared" ref="G36:G42" si="0">F36*(100+$D$35)/100</f>
        <v>50.4</v>
      </c>
      <c r="H36" s="1182">
        <v>1.3</v>
      </c>
      <c r="I36" s="1181">
        <f>$G36*H36</f>
        <v>65.52</v>
      </c>
      <c r="J36" s="39"/>
      <c r="K36" s="1182">
        <v>1.3</v>
      </c>
      <c r="L36" s="1023">
        <f t="shared" ref="L36:L42" si="1">$G36*K36</f>
        <v>65.52</v>
      </c>
      <c r="M36" s="1016"/>
      <c r="N36" s="1182">
        <v>1.3</v>
      </c>
      <c r="O36" s="1181">
        <f t="shared" ref="O36:O42" si="2">$G36*N36</f>
        <v>65.52</v>
      </c>
      <c r="P36" s="1185"/>
      <c r="Q36" s="34"/>
    </row>
    <row r="37" spans="1:17" s="36" customFormat="1" ht="15" customHeight="1">
      <c r="A37" s="746"/>
      <c r="B37" s="1021"/>
      <c r="C37" s="4375" t="s">
        <v>483</v>
      </c>
      <c r="D37" s="4375"/>
      <c r="E37" s="4376"/>
      <c r="F37" s="1183">
        <f>IF(C37="",0,VLOOKUP(C37,'SDK5'!C4:AF84,2,FALSE))</f>
        <v>41.7</v>
      </c>
      <c r="G37" s="1183">
        <f t="shared" si="0"/>
        <v>41.7</v>
      </c>
      <c r="H37" s="1182">
        <v>1</v>
      </c>
      <c r="I37" s="1181">
        <f t="shared" ref="I37:I42" si="3">$G37*H37</f>
        <v>41.7</v>
      </c>
      <c r="J37" s="39"/>
      <c r="K37" s="1182">
        <v>1</v>
      </c>
      <c r="L37" s="1023">
        <f t="shared" si="1"/>
        <v>41.7</v>
      </c>
      <c r="M37" s="1016"/>
      <c r="N37" s="1182">
        <v>1</v>
      </c>
      <c r="O37" s="1181">
        <f t="shared" si="2"/>
        <v>41.7</v>
      </c>
      <c r="P37" s="1145"/>
      <c r="Q37" s="34"/>
    </row>
    <row r="38" spans="1:17" s="36" customFormat="1" ht="15" customHeight="1">
      <c r="A38" s="746"/>
      <c r="B38" s="1184"/>
      <c r="C38" s="4375" t="s">
        <v>479</v>
      </c>
      <c r="D38" s="4375"/>
      <c r="E38" s="4376"/>
      <c r="F38" s="1183">
        <f>IF(C38="",0,VLOOKUP(C38,'SDK5'!C5:AF85,2,FALSE))</f>
        <v>78</v>
      </c>
      <c r="G38" s="1183">
        <f t="shared" si="0"/>
        <v>78</v>
      </c>
      <c r="H38" s="1182">
        <v>1</v>
      </c>
      <c r="I38" s="1181">
        <f t="shared" si="3"/>
        <v>78</v>
      </c>
      <c r="J38" s="39"/>
      <c r="K38" s="1182">
        <v>1</v>
      </c>
      <c r="L38" s="1023">
        <f t="shared" si="1"/>
        <v>78</v>
      </c>
      <c r="M38" s="1016"/>
      <c r="N38" s="1182">
        <v>1</v>
      </c>
      <c r="O38" s="1181">
        <f t="shared" si="2"/>
        <v>78</v>
      </c>
      <c r="P38" s="1145"/>
      <c r="Q38" s="34"/>
    </row>
    <row r="39" spans="1:17" s="36" customFormat="1" ht="15" customHeight="1">
      <c r="A39" s="746"/>
      <c r="B39" s="1021"/>
      <c r="C39" s="4375" t="s">
        <v>1499</v>
      </c>
      <c r="D39" s="4375"/>
      <c r="E39" s="4376"/>
      <c r="F39" s="1183">
        <f>IF(C39="",0,VLOOKUP(C39,'SDK5'!C6:AF86,2,FALSE))</f>
        <v>106.7</v>
      </c>
      <c r="G39" s="1183">
        <f t="shared" si="0"/>
        <v>106.7</v>
      </c>
      <c r="H39" s="1182"/>
      <c r="I39" s="1181">
        <f t="shared" si="3"/>
        <v>0</v>
      </c>
      <c r="J39" s="39"/>
      <c r="K39" s="1182">
        <v>0.2</v>
      </c>
      <c r="L39" s="1023">
        <f t="shared" si="1"/>
        <v>21.340000000000003</v>
      </c>
      <c r="M39" s="1016"/>
      <c r="N39" s="1182">
        <v>0.2</v>
      </c>
      <c r="O39" s="1181">
        <f t="shared" si="2"/>
        <v>21.340000000000003</v>
      </c>
      <c r="P39" s="1145"/>
      <c r="Q39" s="34"/>
    </row>
    <row r="40" spans="1:17" s="36" customFormat="1" ht="15" customHeight="1">
      <c r="A40" s="746"/>
      <c r="B40" s="1021"/>
      <c r="C40" s="4375" t="s">
        <v>311</v>
      </c>
      <c r="D40" s="4375"/>
      <c r="E40" s="4376"/>
      <c r="F40" s="1183">
        <f>IF(C40="",0,VLOOKUP(C40,'SDK5'!C7:AF87,2,FALSE))</f>
        <v>0</v>
      </c>
      <c r="G40" s="1183">
        <f t="shared" si="0"/>
        <v>0</v>
      </c>
      <c r="H40" s="1182"/>
      <c r="I40" s="1181">
        <f t="shared" si="3"/>
        <v>0</v>
      </c>
      <c r="J40" s="39"/>
      <c r="K40" s="1182"/>
      <c r="L40" s="1023">
        <f t="shared" si="1"/>
        <v>0</v>
      </c>
      <c r="M40" s="1016"/>
      <c r="N40" s="1182"/>
      <c r="O40" s="1181">
        <f t="shared" si="2"/>
        <v>0</v>
      </c>
      <c r="P40" s="1145"/>
      <c r="Q40" s="34"/>
    </row>
    <row r="41" spans="1:17" s="36" customFormat="1" ht="15" customHeight="1">
      <c r="A41" s="746"/>
      <c r="B41" s="1021"/>
      <c r="C41" s="4375" t="s">
        <v>311</v>
      </c>
      <c r="D41" s="4375"/>
      <c r="E41" s="4376"/>
      <c r="F41" s="1183">
        <f>IF(C41="",0,VLOOKUP(C41,'SDK5'!C8:AF88,2,FALSE))</f>
        <v>0</v>
      </c>
      <c r="G41" s="1183">
        <f t="shared" si="0"/>
        <v>0</v>
      </c>
      <c r="H41" s="1182"/>
      <c r="I41" s="1181">
        <f t="shared" si="3"/>
        <v>0</v>
      </c>
      <c r="J41" s="39"/>
      <c r="K41" s="1182"/>
      <c r="L41" s="1023">
        <f t="shared" si="1"/>
        <v>0</v>
      </c>
      <c r="M41" s="1016"/>
      <c r="N41" s="1182"/>
      <c r="O41" s="1181">
        <f t="shared" si="2"/>
        <v>0</v>
      </c>
      <c r="P41" s="1145"/>
      <c r="Q41" s="34"/>
    </row>
    <row r="42" spans="1:17" s="36" customFormat="1" ht="15" customHeight="1">
      <c r="A42" s="746"/>
      <c r="B42" s="1180"/>
      <c r="C42" s="4361"/>
      <c r="D42" s="4361"/>
      <c r="E42" s="4362"/>
      <c r="F42" s="1179">
        <f>IF(C42="",0,VLOOKUP(C42,'SDK5'!C9:AF89,2,FALSE))</f>
        <v>0</v>
      </c>
      <c r="G42" s="1179">
        <f t="shared" si="0"/>
        <v>0</v>
      </c>
      <c r="H42" s="1178"/>
      <c r="I42" s="1177">
        <f t="shared" si="3"/>
        <v>0</v>
      </c>
      <c r="J42" s="39"/>
      <c r="K42" s="1178"/>
      <c r="L42" s="1017">
        <f t="shared" si="1"/>
        <v>0</v>
      </c>
      <c r="M42" s="1016"/>
      <c r="N42" s="1178"/>
      <c r="O42" s="1177">
        <f t="shared" si="2"/>
        <v>0</v>
      </c>
      <c r="P42" s="1176"/>
      <c r="Q42" s="34"/>
    </row>
    <row r="43" spans="1:17" s="511" customFormat="1" ht="18.75" customHeight="1">
      <c r="A43" s="711"/>
      <c r="B43" s="716" t="s">
        <v>856</v>
      </c>
      <c r="C43" s="711"/>
      <c r="D43" s="711"/>
      <c r="E43" s="711"/>
      <c r="F43" s="711"/>
      <c r="G43" s="1047"/>
      <c r="H43" s="1173"/>
      <c r="I43" s="1172"/>
      <c r="J43" s="1041">
        <f>SUM(J46:J57)</f>
        <v>159.14235170000001</v>
      </c>
      <c r="K43" s="1175"/>
      <c r="L43" s="1174"/>
      <c r="M43" s="1044">
        <f>SUM(M46:M57)</f>
        <v>167.35303098666662</v>
      </c>
      <c r="N43" s="1173"/>
      <c r="O43" s="1172"/>
      <c r="P43" s="1041">
        <f>SUM(P46:P57)</f>
        <v>168.92067501333332</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87" t="s">
        <v>1589</v>
      </c>
      <c r="D46" s="4388"/>
      <c r="E46" s="1152">
        <f>IF($C46=0,0,VLOOKUP($C46,'SD3'!$C$24:$O$85,4,FALSE))</f>
        <v>120</v>
      </c>
      <c r="F46" s="1151">
        <f>IF($C46=0,0,VLOOKUP($C46,'SD3'!$C$24:$O$85,12,FALSE))</f>
        <v>1.38</v>
      </c>
      <c r="G46" s="1150">
        <f>IF($C46=0,0,VLOOKUP($C46,'SD3'!$C$24:$O$85,13,FALSE))</f>
        <v>64.642445999999993</v>
      </c>
      <c r="H46" s="1147">
        <v>1</v>
      </c>
      <c r="I46" s="1154">
        <f t="shared" ref="I46:I57" si="4">$F46*H46</f>
        <v>1.38</v>
      </c>
      <c r="J46" s="1145">
        <f t="shared" ref="J46:J57" si="5">H46*$G46</f>
        <v>64.642445999999993</v>
      </c>
      <c r="K46" s="1147">
        <v>1</v>
      </c>
      <c r="L46" s="1156">
        <f t="shared" ref="L46:L57" si="6">$F46*K46</f>
        <v>1.38</v>
      </c>
      <c r="M46" s="1148">
        <f t="shared" ref="M46:M57" si="7">K46*$G46</f>
        <v>64.642445999999993</v>
      </c>
      <c r="N46" s="1147">
        <v>1</v>
      </c>
      <c r="O46" s="1154">
        <f t="shared" ref="O46:O57" si="8">$F46*N46</f>
        <v>1.38</v>
      </c>
      <c r="P46" s="1145">
        <f t="shared" ref="P46:P57" si="9">N46*$G46</f>
        <v>64.642445999999993</v>
      </c>
      <c r="Q46" s="34">
        <f>$Q$2*H46</f>
        <v>20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346</v>
      </c>
      <c r="D48" s="4388"/>
      <c r="E48" s="1152">
        <f>IF($C48=0,0,VLOOKUP($C48,'SD3'!$C$24:$O$85,4,FALSE))</f>
        <v>83</v>
      </c>
      <c r="F48" s="1151">
        <f>IF($C48=0,0,VLOOKUP($C48,'SD3'!$C$24:$O$85,12,FALSE))</f>
        <v>0.16</v>
      </c>
      <c r="G48" s="1150">
        <f>IF($C48=0,0,VLOOKUP($C48,'SD3'!$C$24:$O$85,13,FALSE))</f>
        <v>3.7403892799999996</v>
      </c>
      <c r="H48" s="1147">
        <v>3</v>
      </c>
      <c r="I48" s="1146">
        <f t="shared" si="4"/>
        <v>0.48</v>
      </c>
      <c r="J48" s="1145">
        <f t="shared" si="5"/>
        <v>11.22116784</v>
      </c>
      <c r="K48" s="1147">
        <v>3</v>
      </c>
      <c r="L48" s="1149">
        <f t="shared" si="6"/>
        <v>0.48</v>
      </c>
      <c r="M48" s="1148">
        <f t="shared" si="7"/>
        <v>11.22116784</v>
      </c>
      <c r="N48" s="1147">
        <v>3</v>
      </c>
      <c r="O48" s="1146">
        <f t="shared" si="8"/>
        <v>0.48</v>
      </c>
      <c r="P48" s="1145">
        <f t="shared" si="9"/>
        <v>11.22116784</v>
      </c>
      <c r="Q48" s="34"/>
    </row>
    <row r="49" spans="1:17" s="36" customFormat="1" ht="15" customHeight="1">
      <c r="A49" s="746"/>
      <c r="B49" s="1153"/>
      <c r="C49" s="4387" t="s">
        <v>1591</v>
      </c>
      <c r="D49" s="4388"/>
      <c r="E49" s="1152">
        <f>IF($C49=0,0,VLOOKUP($C49,'SD3'!$C$24:$O$85,4,FALSE))</f>
        <v>83</v>
      </c>
      <c r="F49" s="1151">
        <f>IF($C49=0,0,VLOOKUP($C49,'SD3'!$C$24:$O$85,12,FALSE))</f>
        <v>0.22</v>
      </c>
      <c r="G49" s="1150">
        <f>IF($C49=0,0,VLOOKUP($C49,'SD3'!$C$24:$O$85,13,FALSE))</f>
        <v>6.6430352599999996</v>
      </c>
      <c r="H49" s="1147">
        <v>3</v>
      </c>
      <c r="I49" s="1146">
        <f t="shared" si="4"/>
        <v>0.66</v>
      </c>
      <c r="J49" s="1145">
        <f t="shared" si="5"/>
        <v>19.92910578</v>
      </c>
      <c r="K49" s="1147">
        <v>4</v>
      </c>
      <c r="L49" s="1149">
        <f t="shared" si="6"/>
        <v>0.88</v>
      </c>
      <c r="M49" s="1148">
        <f t="shared" si="7"/>
        <v>26.572141039999998</v>
      </c>
      <c r="N49" s="1147">
        <v>4</v>
      </c>
      <c r="O49" s="1146">
        <f t="shared" si="8"/>
        <v>0.88</v>
      </c>
      <c r="P49" s="1145">
        <f t="shared" si="9"/>
        <v>26.572141039999998</v>
      </c>
      <c r="Q49" s="34"/>
    </row>
    <row r="50" spans="1:17" s="36" customFormat="1" ht="15" customHeight="1">
      <c r="A50" s="746"/>
      <c r="B50" s="1153"/>
      <c r="C50" s="4403" t="s">
        <v>1748</v>
      </c>
      <c r="D50" s="4404"/>
      <c r="E50" s="1152">
        <f>IF($C50=0,0,VLOOKUP($C50,'SD3'!$C$24:$O$85,4,FALSE))</f>
        <v>120</v>
      </c>
      <c r="F50" s="1151">
        <f>IF($C50=0,0,VLOOKUP($C50,'SD3'!$C$24:$O$85,12,FALSE))</f>
        <v>0.37</v>
      </c>
      <c r="G50" s="1150">
        <f>IF($C50=0,0,VLOOKUP($C50,'SD3'!$C$24:$O$85,13,FALSE))</f>
        <v>11.7573302</v>
      </c>
      <c r="H50" s="3654">
        <f>J6/75</f>
        <v>0.4</v>
      </c>
      <c r="I50" s="1146">
        <f t="shared" si="4"/>
        <v>0.14799999999999999</v>
      </c>
      <c r="J50" s="1145">
        <f t="shared" si="5"/>
        <v>4.7029320800000001</v>
      </c>
      <c r="K50" s="3654">
        <f>M6/75</f>
        <v>0.53333333333333333</v>
      </c>
      <c r="L50" s="1149">
        <f t="shared" si="6"/>
        <v>0.19733333333333333</v>
      </c>
      <c r="M50" s="1148">
        <f t="shared" si="7"/>
        <v>6.2705761066666668</v>
      </c>
      <c r="N50" s="3654">
        <f>P6/75</f>
        <v>0.66666666666666663</v>
      </c>
      <c r="O50" s="1146">
        <f t="shared" si="8"/>
        <v>0.24666666666666665</v>
      </c>
      <c r="P50" s="1145">
        <f t="shared" si="9"/>
        <v>7.8382201333333335</v>
      </c>
      <c r="Q50" s="34"/>
    </row>
    <row r="51" spans="1:17" s="36" customFormat="1" ht="15" customHeight="1">
      <c r="A51" s="746"/>
      <c r="B51" s="1153"/>
      <c r="C51" s="4387" t="s">
        <v>360</v>
      </c>
      <c r="D51" s="4388"/>
      <c r="E51" s="1152">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v>0</v>
      </c>
      <c r="D57" s="4402"/>
      <c r="E57" s="1135">
        <f>IF($C57=0,0,VLOOKUP($C57,'SD3'!$C$24:$O$85,4,FALSE))</f>
        <v>0</v>
      </c>
      <c r="F57" s="1134">
        <f>IF($C57=0,0,VLOOKUP($C57,'SD3'!$C$24:$O$85,12,FALSE))</f>
        <v>0</v>
      </c>
      <c r="G57" s="1133">
        <f>IF($C57=0,0,VLOOKUP($C57,'SD3'!$C$24:$O$85,13,FALSE))</f>
        <v>0</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row>
    <row r="58" spans="1:17" s="46" customFormat="1" ht="18.75" customHeight="1">
      <c r="A58" s="811"/>
      <c r="B58" s="716" t="s">
        <v>848</v>
      </c>
      <c r="C58" s="811"/>
      <c r="D58" s="811"/>
      <c r="E58" s="811"/>
      <c r="F58" s="34"/>
      <c r="G58" s="1047"/>
      <c r="H58" s="1124"/>
      <c r="I58" s="1123">
        <f>SUM($I$46:$I$57)</f>
        <v>4.1680000000000001</v>
      </c>
      <c r="J58" s="1128"/>
      <c r="K58" s="1127"/>
      <c r="L58" s="1126">
        <f>SUM($L$46:$L$57)</f>
        <v>4.4373333333333331</v>
      </c>
      <c r="M58" s="1125"/>
      <c r="N58" s="1124"/>
      <c r="O58" s="1123">
        <f>SUM($O$46:$O$57)</f>
        <v>4.4866666666666664</v>
      </c>
      <c r="P58" s="1122"/>
      <c r="Q58" s="34"/>
    </row>
    <row r="59" spans="1:17" s="46" customFormat="1" ht="15" customHeight="1">
      <c r="A59" s="811"/>
      <c r="B59" s="1121"/>
      <c r="C59" s="285"/>
      <c r="D59" s="222" t="s">
        <v>847</v>
      </c>
      <c r="E59" s="1120">
        <v>80</v>
      </c>
      <c r="F59" s="285" t="s">
        <v>846</v>
      </c>
      <c r="G59" s="1119"/>
      <c r="H59" s="1115"/>
      <c r="I59" s="1114">
        <f>IF(I58+SUM($I$46:$I$57)*$E$59%&gt;I58+10,I58+10,I58+SUM($I$46:$I$57)*$E$59%)</f>
        <v>7.5024000000000006</v>
      </c>
      <c r="J59" s="1113"/>
      <c r="K59" s="1118"/>
      <c r="L59" s="1117">
        <f>IF(L58+SUM($L$46:$L$57)*$E$59%&gt;L58+10,L58+10,L58+SUM($L$46:$L$57)*$E$59%)</f>
        <v>7.9871999999999996</v>
      </c>
      <c r="M59" s="1116"/>
      <c r="N59" s="1115"/>
      <c r="O59" s="1114">
        <f>IF(O58+SUM($O$46:$O$57)*$E$59%&gt;O58+10,O58+10,O58+SUM($O$46:$O$57)*$E$59%)</f>
        <v>8.0760000000000005</v>
      </c>
      <c r="P59" s="1113"/>
      <c r="Q59" s="34"/>
    </row>
    <row r="60" spans="1:17" s="36" customFormat="1" ht="18.75" customHeight="1">
      <c r="A60" s="746"/>
      <c r="B60" s="716" t="s">
        <v>845</v>
      </c>
      <c r="C60" s="811"/>
      <c r="D60" s="811"/>
      <c r="E60" s="39"/>
      <c r="F60" s="39"/>
      <c r="G60" s="1112"/>
      <c r="H60" s="1104"/>
      <c r="I60" s="1103"/>
      <c r="J60" s="1111">
        <f>IF(J6=0,0,SUM(I62:I64))</f>
        <v>193.6</v>
      </c>
      <c r="K60" s="1107"/>
      <c r="L60" s="1106"/>
      <c r="M60" s="1044">
        <f>IF(M6=0,0,SUM(L62:L64))</f>
        <v>193.6</v>
      </c>
      <c r="N60" s="1104"/>
      <c r="O60" s="1103"/>
      <c r="P60" s="1111">
        <f>IF(P6=0,0,SUM(O62:O64))</f>
        <v>193.6</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299</v>
      </c>
      <c r="D62" s="4365"/>
      <c r="E62" s="4365"/>
      <c r="F62" s="1101">
        <f>IF($C62=0,0,VLOOKUP($C62,'SD3'!$C$90:$D$104,2,FALSE))</f>
        <v>193.6</v>
      </c>
      <c r="G62" s="1100">
        <f>(100+$D$61)/100*F62</f>
        <v>193.6</v>
      </c>
      <c r="H62" s="173"/>
      <c r="I62" s="1096">
        <f>$G$62</f>
        <v>193.6</v>
      </c>
      <c r="J62" s="173"/>
      <c r="K62" s="1099"/>
      <c r="L62" s="1098">
        <f>$G$62</f>
        <v>193.6</v>
      </c>
      <c r="M62" s="1016"/>
      <c r="N62" s="1097"/>
      <c r="O62" s="1096">
        <f>$G$62</f>
        <v>193.6</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v>0</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56.430000000000057</v>
      </c>
      <c r="K67" s="1068" t="s">
        <v>842</v>
      </c>
      <c r="L67" s="1067" t="s">
        <v>841</v>
      </c>
      <c r="M67" s="1044">
        <f>S68*(K9+K10)*L68%+F68</f>
        <v>75.24000000000008</v>
      </c>
      <c r="N67" s="1066" t="s">
        <v>842</v>
      </c>
      <c r="O67" s="1065" t="s">
        <v>841</v>
      </c>
      <c r="P67" s="1041">
        <f>T68*(N9+N10)*O68%+F68</f>
        <v>94.050000000000097</v>
      </c>
      <c r="Q67" s="34"/>
    </row>
    <row r="68" spans="1:20" s="511" customFormat="1" ht="15" customHeight="1">
      <c r="A68" s="711"/>
      <c r="B68" s="1064"/>
      <c r="C68" s="4393" t="s">
        <v>564</v>
      </c>
      <c r="D68" s="4393"/>
      <c r="E68" s="4393"/>
      <c r="F68" s="1063"/>
      <c r="G68" s="1054" t="s">
        <v>163</v>
      </c>
      <c r="H68" s="1061">
        <v>11</v>
      </c>
      <c r="I68" s="1060">
        <v>66</v>
      </c>
      <c r="J68" s="1059"/>
      <c r="K68" s="1061">
        <v>11</v>
      </c>
      <c r="L68" s="1060">
        <v>66</v>
      </c>
      <c r="M68" s="1062"/>
      <c r="N68" s="1061">
        <v>11</v>
      </c>
      <c r="O68" s="1060">
        <v>66</v>
      </c>
      <c r="P68" s="1059"/>
      <c r="Q68" s="34"/>
      <c r="R68" s="1058">
        <f>IF($H$68=0,0,VLOOKUP($H$68,'SD6'!J8:K156,'SD6'!$I$1,FALSE))*(1+'SDK1'!O11/100)</f>
        <v>2.8500000000000028</v>
      </c>
      <c r="S68" s="1058">
        <f>IF($K$68=0,0,VLOOKUP($K$68,'SD6'!J8:K156,'SD6'!I1,FALSE))*(1+'SDK1'!O11/100)</f>
        <v>2.8500000000000028</v>
      </c>
      <c r="T68" s="1058">
        <f>IF($N$68=0,0,VLOOKUP($N$68,'SD6'!J8:K156,'SD6'!I1,FALSE))*(1+'SDK1'!O11/100)</f>
        <v>2.8500000000000028</v>
      </c>
    </row>
    <row r="69" spans="1:20" s="511" customFormat="1" ht="18.75" customHeight="1">
      <c r="A69" s="711"/>
      <c r="B69" s="716" t="s">
        <v>839</v>
      </c>
      <c r="C69" s="711"/>
      <c r="D69" s="711"/>
      <c r="E69" s="34"/>
      <c r="F69" s="34"/>
      <c r="G69" s="1047"/>
      <c r="H69" s="38"/>
      <c r="I69" s="51"/>
      <c r="J69" s="1041">
        <f>H70*$F70/1000</f>
        <v>56.024999999999999</v>
      </c>
      <c r="K69" s="1057"/>
      <c r="L69" s="1056"/>
      <c r="M69" s="1044">
        <f>K70*$F70/1000</f>
        <v>74.7</v>
      </c>
      <c r="N69" s="38"/>
      <c r="O69" s="51"/>
      <c r="P69" s="1041">
        <f>N70*$F70/1000</f>
        <v>93.375</v>
      </c>
      <c r="Q69" s="34"/>
    </row>
    <row r="70" spans="1:20" s="511" customFormat="1" ht="15" customHeight="1">
      <c r="A70" s="711"/>
      <c r="B70" s="772"/>
      <c r="C70" s="771" t="s">
        <v>606</v>
      </c>
      <c r="D70" s="285"/>
      <c r="E70" s="222"/>
      <c r="F70" s="3742">
        <f>'SDK7'!G105</f>
        <v>45</v>
      </c>
      <c r="G70" s="1054" t="s">
        <v>163</v>
      </c>
      <c r="H70" s="1357">
        <f>J7</f>
        <v>1245</v>
      </c>
      <c r="I70" s="1049"/>
      <c r="J70" s="1048"/>
      <c r="K70" s="1053">
        <f>M7</f>
        <v>1660</v>
      </c>
      <c r="L70" s="1052"/>
      <c r="M70" s="1051"/>
      <c r="N70" s="1357">
        <f>P7</f>
        <v>2075</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7</v>
      </c>
      <c r="H75" s="1007"/>
      <c r="I75" s="1008"/>
      <c r="J75" s="1005">
        <f>(J23+J27+J34+J43+J60+J65+J67+J69+J71)*('SDK1'!$O$59%*$G$75/12)</f>
        <v>12.005144103166666</v>
      </c>
      <c r="K75" s="513"/>
      <c r="L75" s="522"/>
      <c r="M75" s="1005">
        <f>(M23+M27+M34+M43+M60+M65+M67+M69+M71)*('SDK1'!$O$59%*$G$75/12)</f>
        <v>13.619818694844447</v>
      </c>
      <c r="N75" s="1007"/>
      <c r="O75" s="1006"/>
      <c r="P75" s="1005">
        <f>(P23+P27+P34+P43+P60+P65+P67+P69+P71)*('SDK1'!$O$59%*$G$75/12)</f>
        <v>14.908024541822224</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D150" s="31"/>
      <c r="M150" s="31"/>
      <c r="N150" s="31"/>
      <c r="O150" s="31"/>
      <c r="P150" s="31"/>
      <c r="Q150" s="31"/>
    </row>
    <row r="151" spans="1:17">
      <c r="A151" s="31"/>
      <c r="B151" s="441"/>
      <c r="C151" s="12"/>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D160" s="12"/>
      <c r="F160" s="12"/>
      <c r="G160" s="12"/>
      <c r="H160" s="12"/>
      <c r="I160" s="12"/>
      <c r="J160" s="12"/>
      <c r="M160" s="31"/>
      <c r="N160" s="31"/>
      <c r="O160" s="31"/>
      <c r="P160" s="31"/>
      <c r="Q160" s="31"/>
    </row>
    <row r="161" spans="1:17">
      <c r="A161" s="31"/>
      <c r="B161" s="441"/>
      <c r="C161" s="12"/>
      <c r="D161" s="12"/>
      <c r="F161" s="12"/>
      <c r="G161" s="12"/>
      <c r="H161" s="12"/>
      <c r="I161" s="12"/>
      <c r="J161" s="12"/>
      <c r="K161" s="31"/>
      <c r="L161" s="31"/>
      <c r="M161" s="31"/>
      <c r="N161" s="31"/>
      <c r="O161" s="31"/>
      <c r="P161" s="31"/>
      <c r="Q161" s="31"/>
    </row>
    <row r="162" spans="1:17">
      <c r="A162" s="31"/>
      <c r="B162" s="441"/>
      <c r="C162" s="12"/>
      <c r="D162" s="12"/>
      <c r="F162" s="12"/>
      <c r="G162" s="12"/>
      <c r="H162" s="12"/>
      <c r="I162" s="12"/>
      <c r="J162" s="12"/>
      <c r="K162" s="31"/>
      <c r="L162" s="31"/>
      <c r="M162" s="31"/>
      <c r="N162" s="31"/>
      <c r="O162" s="31"/>
      <c r="P162" s="31"/>
      <c r="Q162" s="31"/>
    </row>
    <row r="163" spans="1:17">
      <c r="A163" s="31"/>
      <c r="B163" s="441"/>
      <c r="C163" s="12"/>
      <c r="D163" s="12"/>
      <c r="F163" s="12"/>
      <c r="G163" s="12"/>
      <c r="H163" s="12"/>
      <c r="I163" s="12"/>
      <c r="J163" s="12"/>
      <c r="K163" s="31"/>
      <c r="L163" s="31"/>
      <c r="M163" s="31"/>
      <c r="N163" s="31"/>
      <c r="O163" s="31"/>
      <c r="P163" s="31"/>
      <c r="Q163" s="31"/>
    </row>
    <row r="164" spans="1:17">
      <c r="A164" s="31"/>
      <c r="B164" s="441"/>
      <c r="C164" s="12"/>
      <c r="K164" s="31"/>
      <c r="L164" s="31"/>
      <c r="M164" s="31"/>
      <c r="N164" s="31"/>
      <c r="O164" s="31"/>
      <c r="P164" s="31"/>
      <c r="Q164" s="31"/>
    </row>
    <row r="165" spans="1:17">
      <c r="A165" s="31"/>
      <c r="B165" s="441"/>
      <c r="C165" s="12"/>
      <c r="K165" s="31"/>
      <c r="L165" s="31"/>
      <c r="M165" s="31"/>
      <c r="N165" s="31"/>
      <c r="O165" s="31"/>
      <c r="P165" s="31"/>
      <c r="Q165" s="31"/>
    </row>
    <row r="166" spans="1:17">
      <c r="A166" s="31"/>
      <c r="B166" s="441"/>
      <c r="C166" s="12"/>
      <c r="K166" s="31"/>
      <c r="L166" s="31"/>
      <c r="M166" s="31"/>
      <c r="N166" s="31"/>
      <c r="O166" s="31"/>
      <c r="P166" s="31"/>
      <c r="Q166" s="31"/>
    </row>
    <row r="167" spans="1:17">
      <c r="A167" s="31"/>
      <c r="B167" s="441"/>
      <c r="C167" s="12"/>
      <c r="K167" s="31"/>
      <c r="L167" s="31"/>
      <c r="M167" s="31"/>
      <c r="N167" s="31"/>
      <c r="O167" s="31"/>
      <c r="P167" s="31"/>
      <c r="Q167" s="31"/>
    </row>
    <row r="168" spans="1:17">
      <c r="A168" s="31"/>
      <c r="B168" s="441"/>
      <c r="C168" s="12"/>
      <c r="K168" s="31"/>
      <c r="L168" s="31"/>
      <c r="M168" s="31"/>
      <c r="N168" s="31"/>
      <c r="O168" s="31"/>
      <c r="P168" s="31"/>
      <c r="Q168" s="31"/>
    </row>
    <row r="169" spans="1:17">
      <c r="A169" s="31"/>
      <c r="B169" s="441"/>
      <c r="C169" s="12"/>
      <c r="K169" s="31"/>
      <c r="L169" s="31"/>
      <c r="M169" s="31"/>
      <c r="N169" s="31"/>
      <c r="O169" s="31"/>
      <c r="P169" s="31"/>
      <c r="Q169" s="31"/>
    </row>
    <row r="170" spans="1:17">
      <c r="A170" s="31"/>
      <c r="B170" s="441"/>
      <c r="C170" s="12"/>
      <c r="K170" s="31"/>
      <c r="L170" s="31"/>
      <c r="M170" s="31"/>
      <c r="N170" s="31"/>
      <c r="O170" s="31"/>
      <c r="P170" s="31"/>
      <c r="Q170" s="31"/>
    </row>
    <row r="171" spans="1:17">
      <c r="A171" s="31"/>
      <c r="B171" s="441"/>
      <c r="C171" s="12"/>
      <c r="K171" s="31"/>
      <c r="L171" s="31"/>
      <c r="M171" s="31"/>
      <c r="N171" s="31"/>
      <c r="O171" s="31"/>
      <c r="P171" s="31"/>
      <c r="Q171" s="31"/>
    </row>
    <row r="172" spans="1:17">
      <c r="A172" s="31"/>
      <c r="B172" s="441"/>
      <c r="C172" s="12"/>
      <c r="K172" s="31"/>
      <c r="L172" s="31"/>
      <c r="M172" s="31"/>
      <c r="N172" s="31"/>
      <c r="O172" s="31"/>
      <c r="P172" s="31"/>
      <c r="Q172" s="31"/>
    </row>
    <row r="173" spans="1:17">
      <c r="A173" s="31"/>
      <c r="B173" s="441"/>
      <c r="C173" s="12"/>
      <c r="K173" s="31"/>
      <c r="L173" s="31"/>
      <c r="M173" s="31"/>
      <c r="N173" s="31"/>
      <c r="O173" s="31"/>
      <c r="P173" s="31"/>
      <c r="Q173" s="31"/>
    </row>
    <row r="174" spans="1:17">
      <c r="A174" s="31"/>
      <c r="B174" s="441"/>
      <c r="C174" s="12"/>
      <c r="K174" s="31"/>
      <c r="L174" s="31"/>
      <c r="M174" s="31"/>
      <c r="N174" s="31"/>
      <c r="O174" s="31"/>
      <c r="P174" s="31"/>
      <c r="Q174" s="31"/>
    </row>
    <row r="175" spans="1:17">
      <c r="A175" s="31"/>
      <c r="B175" s="441"/>
      <c r="C175" s="12"/>
      <c r="K175" s="31"/>
      <c r="L175" s="31"/>
      <c r="M175" s="31"/>
      <c r="N175" s="31"/>
      <c r="O175" s="31"/>
      <c r="P175" s="31"/>
      <c r="Q175" s="31"/>
    </row>
    <row r="176" spans="1:17">
      <c r="A176" s="31"/>
      <c r="B176" s="441"/>
      <c r="C176" s="12"/>
      <c r="K176" s="31"/>
      <c r="L176" s="31"/>
      <c r="M176" s="31"/>
      <c r="N176" s="31"/>
      <c r="O176" s="31"/>
      <c r="P176" s="31"/>
      <c r="Q176" s="31"/>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1:17">
      <c r="B193" s="441"/>
      <c r="C193" s="12"/>
      <c r="F193" s="31"/>
      <c r="G193" s="31"/>
      <c r="H193" s="31"/>
      <c r="I193" s="31"/>
      <c r="J193" s="31"/>
      <c r="K193" s="31"/>
      <c r="L193" s="31"/>
      <c r="M193" s="31"/>
      <c r="N193" s="31"/>
      <c r="O193" s="31"/>
      <c r="P193" s="31"/>
      <c r="Q193" s="31"/>
    </row>
    <row r="194" spans="1:17">
      <c r="B194" s="441"/>
      <c r="C194" s="12"/>
      <c r="F194" s="31"/>
      <c r="G194" s="31"/>
      <c r="H194" s="31"/>
      <c r="I194" s="31"/>
      <c r="J194" s="31"/>
      <c r="K194" s="31"/>
      <c r="L194" s="31"/>
      <c r="M194" s="31"/>
      <c r="N194" s="31"/>
      <c r="O194" s="31"/>
      <c r="P194" s="31"/>
      <c r="Q194" s="31"/>
    </row>
    <row r="195" spans="1:17">
      <c r="B195" s="441"/>
      <c r="C195" s="12"/>
      <c r="F195" s="31"/>
      <c r="G195" s="31"/>
      <c r="H195" s="31"/>
      <c r="I195" s="31"/>
      <c r="J195" s="31"/>
      <c r="K195" s="31"/>
      <c r="L195" s="31"/>
      <c r="M195" s="31"/>
      <c r="N195" s="31"/>
      <c r="O195" s="31"/>
      <c r="P195" s="31"/>
      <c r="Q195" s="31"/>
    </row>
    <row r="196" spans="1:17">
      <c r="B196" s="441"/>
      <c r="C196" s="12"/>
      <c r="F196" s="31"/>
      <c r="G196" s="31"/>
      <c r="H196" s="31"/>
      <c r="I196" s="31"/>
      <c r="J196" s="31"/>
      <c r="K196" s="31"/>
      <c r="L196" s="31"/>
      <c r="M196" s="31"/>
      <c r="N196" s="31"/>
      <c r="O196" s="31"/>
      <c r="P196" s="31"/>
      <c r="Q196" s="31"/>
    </row>
    <row r="197" spans="1:17">
      <c r="B197" s="441"/>
      <c r="C197" s="12"/>
      <c r="F197" s="31"/>
      <c r="G197" s="31"/>
      <c r="H197" s="31"/>
      <c r="I197" s="31"/>
      <c r="J197" s="31"/>
      <c r="K197" s="31"/>
      <c r="L197" s="31"/>
      <c r="M197" s="31"/>
      <c r="N197" s="31"/>
      <c r="O197" s="31"/>
      <c r="P197" s="31"/>
      <c r="Q197" s="31"/>
    </row>
    <row r="198" spans="1:17">
      <c r="B198" s="441"/>
      <c r="C198" s="12"/>
      <c r="F198" s="31"/>
      <c r="G198" s="31"/>
      <c r="H198" s="31"/>
      <c r="I198" s="31"/>
      <c r="J198" s="31"/>
      <c r="K198" s="31"/>
      <c r="L198" s="31"/>
      <c r="M198" s="31"/>
      <c r="N198" s="31"/>
      <c r="O198" s="31"/>
      <c r="P198" s="31"/>
      <c r="Q198" s="31"/>
    </row>
    <row r="199" spans="1:17">
      <c r="B199" s="441"/>
      <c r="C199" s="12"/>
      <c r="F199" s="31"/>
      <c r="G199" s="31"/>
      <c r="H199" s="31"/>
      <c r="I199" s="31"/>
      <c r="J199" s="31"/>
      <c r="K199" s="31"/>
      <c r="L199" s="31"/>
      <c r="M199" s="31"/>
      <c r="N199" s="31"/>
      <c r="O199" s="31"/>
      <c r="P199" s="31"/>
      <c r="Q199" s="31"/>
    </row>
    <row r="200" spans="1:17">
      <c r="B200" s="441"/>
      <c r="C200" s="12"/>
      <c r="F200" s="31"/>
      <c r="G200" s="31"/>
      <c r="H200" s="31"/>
      <c r="I200" s="31"/>
      <c r="J200" s="31"/>
      <c r="K200" s="31"/>
      <c r="L200" s="31"/>
      <c r="M200" s="31"/>
      <c r="N200" s="31"/>
      <c r="O200" s="31"/>
      <c r="P200" s="31"/>
      <c r="Q200" s="31"/>
    </row>
    <row r="201" spans="1:17">
      <c r="B201" s="441"/>
      <c r="C201" s="12"/>
      <c r="F201" s="31"/>
      <c r="G201" s="31"/>
      <c r="H201" s="31"/>
      <c r="I201" s="31"/>
      <c r="J201" s="31"/>
      <c r="K201" s="31"/>
      <c r="L201" s="31"/>
      <c r="M201" s="31"/>
      <c r="N201" s="31"/>
      <c r="O201" s="31"/>
      <c r="P201" s="31"/>
      <c r="Q201" s="31"/>
    </row>
    <row r="202" spans="1:17">
      <c r="A202" s="12"/>
      <c r="B202" s="441"/>
      <c r="C202" s="12"/>
      <c r="D202" s="12"/>
      <c r="F202" s="31"/>
      <c r="G202" s="31"/>
      <c r="H202" s="31"/>
      <c r="I202" s="31"/>
      <c r="J202" s="31"/>
      <c r="K202" s="31"/>
      <c r="L202" s="31"/>
      <c r="M202" s="31"/>
      <c r="N202" s="31"/>
      <c r="O202" s="31"/>
      <c r="P202" s="31"/>
      <c r="Q202" s="31"/>
    </row>
    <row r="203" spans="1:17">
      <c r="A203" s="12"/>
      <c r="B203" s="441"/>
      <c r="C203" s="12"/>
      <c r="D203" s="12"/>
      <c r="F203" s="31"/>
      <c r="G203" s="31"/>
      <c r="H203" s="31"/>
      <c r="I203" s="31"/>
      <c r="J203" s="31"/>
      <c r="K203" s="31"/>
      <c r="L203" s="31"/>
      <c r="M203" s="31"/>
      <c r="N203" s="31"/>
      <c r="O203" s="31"/>
      <c r="P203" s="31"/>
      <c r="Q203" s="31"/>
    </row>
    <row r="204" spans="1:17">
      <c r="A204" s="12"/>
      <c r="B204" s="441"/>
      <c r="C204" s="12"/>
      <c r="D204" s="12"/>
      <c r="F204" s="31"/>
      <c r="G204" s="31"/>
      <c r="H204" s="31"/>
      <c r="I204" s="31"/>
      <c r="J204" s="31"/>
      <c r="K204" s="31"/>
      <c r="L204" s="31"/>
      <c r="M204" s="31"/>
      <c r="N204" s="31"/>
      <c r="O204" s="31"/>
      <c r="P204" s="31"/>
      <c r="Q204" s="31"/>
    </row>
    <row r="205" spans="1:17">
      <c r="A205" s="12"/>
      <c r="B205" s="441"/>
      <c r="C205" s="12"/>
      <c r="D205" s="12"/>
      <c r="F205" s="31"/>
      <c r="G205" s="31"/>
      <c r="H205" s="31"/>
      <c r="I205" s="31"/>
      <c r="J205" s="31"/>
      <c r="K205" s="31"/>
      <c r="L205" s="31"/>
      <c r="M205" s="31"/>
      <c r="N205" s="31"/>
      <c r="O205" s="31"/>
      <c r="P205" s="31"/>
      <c r="Q205" s="31"/>
    </row>
    <row r="206" spans="1:17">
      <c r="A206" s="12"/>
      <c r="B206" s="441"/>
      <c r="C206" s="12"/>
      <c r="D206" s="12"/>
      <c r="F206" s="31"/>
      <c r="G206" s="31"/>
      <c r="H206" s="31"/>
      <c r="I206" s="31"/>
      <c r="J206" s="31"/>
      <c r="K206" s="31"/>
      <c r="L206" s="31"/>
      <c r="M206" s="31"/>
      <c r="N206" s="31"/>
      <c r="O206" s="31"/>
      <c r="P206" s="31"/>
      <c r="Q206" s="31"/>
    </row>
    <row r="207" spans="1:17">
      <c r="A207" s="12"/>
      <c r="B207" s="441"/>
      <c r="C207" s="12"/>
      <c r="D207" s="12"/>
      <c r="F207" s="31"/>
      <c r="G207" s="31"/>
      <c r="H207" s="31"/>
      <c r="I207" s="31"/>
      <c r="J207" s="31"/>
      <c r="K207" s="31"/>
      <c r="L207" s="31"/>
      <c r="M207" s="31"/>
      <c r="N207" s="31"/>
      <c r="O207" s="31"/>
      <c r="P207" s="31"/>
      <c r="Q207" s="31"/>
    </row>
    <row r="208" spans="1:17">
      <c r="B208" s="441"/>
      <c r="C208" s="12"/>
      <c r="F208" s="31"/>
      <c r="G208" s="31"/>
      <c r="H208" s="31"/>
      <c r="I208" s="31"/>
      <c r="J208" s="31"/>
      <c r="K208" s="31"/>
      <c r="L208" s="31"/>
      <c r="M208" s="31"/>
      <c r="N208" s="31"/>
      <c r="O208" s="31"/>
      <c r="P208" s="31"/>
      <c r="Q208" s="31"/>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0" firstPageNumber="44" orientation="portrait" r:id="rId1"/>
      <headerFooter alignWithMargins="0">
        <oddFooter>&amp;L&amp;11LEL Schwäbisch Gmünd&amp;C57&amp;R&amp;11&amp;F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0" firstPageNumber="44" orientation="portrait" r:id="rId2"/>
      <headerFooter alignWithMargins="0">
        <oddFooter>&amp;L&amp;11LEL Schwäbisch Gmünd&amp;C57&amp;R&amp;11&amp;F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0" firstPageNumber="44" orientation="portrait" r:id="rId3"/>
      <headerFooter alignWithMargins="0">
        <oddFooter>&amp;L&amp;11LEL Schwäbisch Gmünd&amp;C57&amp;R&amp;11&amp;F</oddFooter>
      </headerFooter>
    </customSheetView>
  </customSheetViews>
  <mergeCells count="50">
    <mergeCell ref="C68:E68"/>
    <mergeCell ref="C38:E38"/>
    <mergeCell ref="C55:D55"/>
    <mergeCell ref="C51:D51"/>
    <mergeCell ref="C49:D49"/>
    <mergeCell ref="C50:D50"/>
    <mergeCell ref="C42:E42"/>
    <mergeCell ref="C64:E64"/>
    <mergeCell ref="C63:E63"/>
    <mergeCell ref="C48:D48"/>
    <mergeCell ref="C52:D52"/>
    <mergeCell ref="C53:D53"/>
    <mergeCell ref="C54:D54"/>
    <mergeCell ref="C56:D56"/>
    <mergeCell ref="C57:D57"/>
    <mergeCell ref="N1:O1"/>
    <mergeCell ref="E4:I4"/>
    <mergeCell ref="N3:O4"/>
    <mergeCell ref="J3:L3"/>
    <mergeCell ref="J4:L4"/>
    <mergeCell ref="K2:P2"/>
    <mergeCell ref="B3:H3"/>
    <mergeCell ref="B75:C75"/>
    <mergeCell ref="K1:L1"/>
    <mergeCell ref="E10:F10"/>
    <mergeCell ref="C16:F16"/>
    <mergeCell ref="K6:L6"/>
    <mergeCell ref="E22:G22"/>
    <mergeCell ref="F23:G23"/>
    <mergeCell ref="H6:I6"/>
    <mergeCell ref="C41:E41"/>
    <mergeCell ref="C62:E62"/>
    <mergeCell ref="C74:E74"/>
    <mergeCell ref="C17:F17"/>
    <mergeCell ref="C19:F19"/>
    <mergeCell ref="C36:E36"/>
    <mergeCell ref="C37:E37"/>
    <mergeCell ref="C73:E73"/>
    <mergeCell ref="C14:F14"/>
    <mergeCell ref="C15:F15"/>
    <mergeCell ref="N6:O6"/>
    <mergeCell ref="F34:G34"/>
    <mergeCell ref="C47:D47"/>
    <mergeCell ref="C40:E40"/>
    <mergeCell ref="C39:E39"/>
    <mergeCell ref="C46:D46"/>
    <mergeCell ref="D25:E25"/>
    <mergeCell ref="D26:E26"/>
    <mergeCell ref="C20:F20"/>
    <mergeCell ref="C21:F21"/>
  </mergeCells>
  <dataValidations count="5">
    <dataValidation type="list" showInputMessage="1" showErrorMessage="1" sqref="H14 K14 N14" xr:uid="{00000000-0002-0000-2800-000000000000}">
      <formula1>"ja,nein"</formula1>
    </dataValidation>
    <dataValidation type="list" allowBlank="1" showInputMessage="1" showErrorMessage="1" sqref="H15:H17 K15:K17 N15:N17" xr:uid="{00000000-0002-0000-2800-000001000000}">
      <formula1>"ja,nein"</formula1>
    </dataValidation>
    <dataValidation type="whole" allowBlank="1" showInputMessage="1" showErrorMessage="1" errorTitle="Anteil Erntegut" error="Prozentwert darf nur zwischen 0 und 100 liegen." sqref="O68 L68 I68" xr:uid="{00000000-0002-0000-2800-000002000000}">
      <formula1>0</formula1>
      <formula2>100</formula2>
    </dataValidation>
    <dataValidation type="list" allowBlank="1" showInputMessage="1" showErrorMessage="1" errorTitle="Organisationsabh. Ausgleichsl." error="Bitte aus Dropdownliste auswählen." sqref="D19:F19" xr:uid="{00000000-0002-0000-2800-000003000000}">
      <formula1>$C$60:$C$75</formula1>
    </dataValidation>
    <dataValidation type="decimal" allowBlank="1" showInputMessage="1" showErrorMessage="1" errorTitle="Wassergehalt Getreide" error="Zulässig sind nur Werte zwischen 9,1 und 18,9 % Wassergehalt." sqref="K68 H68 N68" xr:uid="{00000000-0002-0000-2800-000004000000}">
      <formula1>9.1</formula1>
      <formula2>18.9</formula2>
    </dataValidation>
  </dataValidations>
  <hyperlinks>
    <hyperlink ref="F9" location="'SDK1'!A1" display="Preis ändern" xr:uid="{00000000-0004-0000-2800-000000000000}"/>
  </hyperlinks>
  <printOptions horizontalCentered="1"/>
  <pageMargins left="0.59055118110236227" right="0.59055118110236227" top="0.59055118110236227" bottom="0.59055118110236227" header="0.39370078740157483" footer="0.39370078740157483"/>
  <pageSetup paperSize="9" scale="70" firstPageNumber="44" orientation="portrait" r:id="rId4"/>
  <headerFooter alignWithMargins="0">
    <oddFooter>&amp;L&amp;11LEL Schwäbisch Gmünd&amp;C57&amp;R&amp;11&amp;F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800-000005000000}">
          <x14:formula1>
            <xm:f>'SD2'!$C$11:$C$50</xm:f>
          </x14:formula1>
          <xm:sqref>C14:F17</xm:sqref>
        </x14:dataValidation>
        <x14:dataValidation type="list" allowBlank="1" showInputMessage="1" showErrorMessage="1" errorTitle="Organisationsabh. Ausgleichsl." error="Bitte aus Dropdownliste auswählen." xr:uid="{00000000-0002-0000-2800-000006000000}">
          <x14:formula1>
            <xm:f>'SD2'!$C$60:$C$77</xm:f>
          </x14:formula1>
          <xm:sqref>C19:C21</xm:sqref>
        </x14:dataValidation>
        <x14:dataValidation type="list" allowBlank="1" showInputMessage="1" showErrorMessage="1" errorTitle="Arbeitsgänge" error="Bitte aus Dropdownliste auswählen." xr:uid="{00000000-0002-0000-2800-000007000000}">
          <x14:formula1>
            <xm:f>'SD3'!$C$23:$C$75</xm:f>
          </x14:formula1>
          <xm:sqref>C46:D57</xm:sqref>
        </x14:dataValidation>
        <x14:dataValidation type="list" allowBlank="1" showInputMessage="1" showErrorMessage="1" errorTitle="Lohnmaschinen" error="Bitte aus Dropdownliste auswählen." xr:uid="{00000000-0002-0000-2800-000008000000}">
          <x14:formula1>
            <xm:f>'SD3'!$C$90:$C$104</xm:f>
          </x14:formula1>
          <xm:sqref>C62:E64</xm:sqref>
        </x14:dataValidation>
        <x14:dataValidation type="list" allowBlank="1" showInputMessage="1" showErrorMessage="1" errorTitle="Pflanzenschutzmittel" error="Bitte aus Dropdownliste auswählen." xr:uid="{00000000-0002-0000-2800-000009000000}">
          <x14:formula1>
            <xm:f>'SDK5'!$S$214:$S$237</xm:f>
          </x14:formula1>
          <xm:sqref>C36:E36 C37:E37 C38:E38 C39:E39 C40:E40 C41:E41 C42:E42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2">
    <tabColor rgb="FF7030A0"/>
    <pageSetUpPr fitToPage="1"/>
  </sheetPr>
  <dimension ref="A1:AO218"/>
  <sheetViews>
    <sheetView workbookViewId="0">
      <selection activeCell="N51" sqref="N51"/>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6" width="10.5" style="31" hidden="1" customWidth="1"/>
    <col min="27" max="16384" width="10.5" style="31"/>
  </cols>
  <sheetData>
    <row r="1" spans="1:41" s="1317" customFormat="1" ht="30.45" customHeight="1">
      <c r="A1" s="1321"/>
      <c r="B1" s="258"/>
      <c r="C1" s="1333"/>
      <c r="D1" s="1253"/>
      <c r="E1" s="255"/>
      <c r="F1" s="255"/>
      <c r="G1" s="430"/>
      <c r="H1" s="1328"/>
      <c r="I1" s="3212" t="s">
        <v>1679</v>
      </c>
      <c r="J1" s="3210">
        <f>(J7+J13+J18+J22+I11+I12)-(J23+J27+J34+J43+J60+J65+J67+J69+J71+J75)</f>
        <v>5.4968849911332427</v>
      </c>
      <c r="K1" s="4360">
        <f>M1-J1</f>
        <v>133.42407519637766</v>
      </c>
      <c r="L1" s="4360"/>
      <c r="M1" s="3210">
        <f>(M7+M13+M18+M22+L11+L12)-(M23+M27+M34+M43+M60+M65+M67+M69+M71+M75)</f>
        <v>138.9209601875109</v>
      </c>
      <c r="N1" s="4360">
        <f>P1-M1</f>
        <v>161.64030241687783</v>
      </c>
      <c r="O1" s="4360"/>
      <c r="P1" s="3210">
        <f>(P7+P13+P18+P22+O11+O12)-(P23+P27+P34+P43+P60+P65+P67+P69+P71+P75)</f>
        <v>300.56126260438873</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195</v>
      </c>
      <c r="L2" s="4372"/>
      <c r="M2" s="4372"/>
      <c r="N2" s="4372"/>
      <c r="O2" s="4372"/>
      <c r="P2" s="4372"/>
      <c r="Q2" s="1345">
        <v>0</v>
      </c>
      <c r="AB2" s="3229"/>
    </row>
    <row r="3" spans="1:41" s="1317" customFormat="1" ht="32.4" customHeight="1">
      <c r="A3" s="1321"/>
      <c r="B3" s="4405" t="s">
        <v>1727</v>
      </c>
      <c r="C3" s="4405"/>
      <c r="D3" s="4405"/>
      <c r="E3" s="4405"/>
      <c r="F3" s="4405"/>
      <c r="G3" s="4405"/>
      <c r="H3" s="4405"/>
      <c r="J3" s="4368"/>
      <c r="K3" s="4369"/>
      <c r="L3" s="4369"/>
      <c r="M3" s="1368"/>
      <c r="N3" s="4373" t="str">
        <f>IF(AND(T3=TRUE,T4=TRUE),"nur 1 Strohnutzung möglich","")</f>
        <v/>
      </c>
      <c r="O3" s="4374"/>
      <c r="P3" s="1326"/>
      <c r="Q3" s="1321"/>
      <c r="T3" s="1343" t="b">
        <v>0</v>
      </c>
    </row>
    <row r="4" spans="1:41" s="1317" customFormat="1" ht="20.25" customHeight="1">
      <c r="A4" s="1321"/>
      <c r="B4" s="309" t="s">
        <v>779</v>
      </c>
      <c r="C4" s="31"/>
      <c r="D4" s="31"/>
      <c r="E4" s="4406" t="s">
        <v>890</v>
      </c>
      <c r="F4" s="4406"/>
      <c r="G4" s="4406"/>
      <c r="H4" s="4406"/>
      <c r="I4" s="4406"/>
      <c r="J4" s="4368"/>
      <c r="K4" s="4369"/>
      <c r="L4" s="4369"/>
      <c r="M4" s="1367"/>
      <c r="N4" s="4374"/>
      <c r="O4" s="4374"/>
      <c r="P4" s="1322">
        <f>'SDK1'!O3</f>
        <v>2024</v>
      </c>
      <c r="Q4" s="1321"/>
      <c r="T4" s="1343"/>
    </row>
    <row r="5" spans="1:41" ht="6" customHeight="1"/>
    <row r="6" spans="1:41" s="1311" customFormat="1" ht="24" customHeight="1">
      <c r="A6" s="41"/>
      <c r="B6" s="1316" t="s">
        <v>832</v>
      </c>
      <c r="C6" s="1315"/>
      <c r="D6" s="1315"/>
      <c r="E6" s="1315"/>
      <c r="F6" s="1315"/>
      <c r="G6" s="1314"/>
      <c r="H6" s="4366" t="s">
        <v>171</v>
      </c>
      <c r="I6" s="4367"/>
      <c r="J6" s="1313">
        <f>M6*0.75</f>
        <v>16.5</v>
      </c>
      <c r="K6" s="4379" t="s">
        <v>144</v>
      </c>
      <c r="L6" s="4380"/>
      <c r="M6" s="1313">
        <v>22</v>
      </c>
      <c r="N6" s="4366" t="s">
        <v>170</v>
      </c>
      <c r="O6" s="4367"/>
      <c r="P6" s="1312">
        <f>M6*1.25</f>
        <v>27.5</v>
      </c>
      <c r="Q6" s="49"/>
    </row>
    <row r="7" spans="1:41" s="196" customFormat="1" ht="18.75" customHeight="1">
      <c r="A7" s="40"/>
      <c r="B7" s="245" t="s">
        <v>883</v>
      </c>
      <c r="C7" s="40"/>
      <c r="D7" s="40"/>
      <c r="E7" s="40"/>
      <c r="F7" s="40"/>
      <c r="G7" s="1310"/>
      <c r="H7" s="1307"/>
      <c r="I7" s="1306"/>
      <c r="J7" s="1041">
        <f>SUM(I9:I10)</f>
        <v>684.75</v>
      </c>
      <c r="K7" s="1309"/>
      <c r="L7" s="1308"/>
      <c r="M7" s="1044">
        <f>SUM(L9:L10)</f>
        <v>913</v>
      </c>
      <c r="N7" s="1307"/>
      <c r="O7" s="1306"/>
      <c r="P7" s="1041">
        <f>SUM(O9:O10)</f>
        <v>1141.25</v>
      </c>
      <c r="Q7" s="34"/>
    </row>
    <row r="8" spans="1:41" s="196" customFormat="1" ht="13.2" customHeight="1">
      <c r="A8" s="40"/>
      <c r="B8" s="1226"/>
      <c r="C8" s="1305"/>
      <c r="D8" s="1305"/>
      <c r="E8" s="1305"/>
      <c r="F8" s="2776"/>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'SDK1'!O31</f>
        <v>41.5</v>
      </c>
      <c r="H9" s="1303">
        <f>J6-H10</f>
        <v>16.5</v>
      </c>
      <c r="I9" s="1299">
        <f>H9*G9</f>
        <v>684.75</v>
      </c>
      <c r="J9" s="37"/>
      <c r="K9" s="1302">
        <f>M6-K10</f>
        <v>22</v>
      </c>
      <c r="L9" s="1301">
        <f>K9*G9</f>
        <v>913</v>
      </c>
      <c r="M9" s="1280"/>
      <c r="N9" s="1300">
        <f>P6-N10</f>
        <v>27.5</v>
      </c>
      <c r="O9" s="1299">
        <f>N9*G9</f>
        <v>1141.25</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309"/>
      <c r="B11" s="217"/>
      <c r="C11" s="39" t="s">
        <v>878</v>
      </c>
      <c r="D11" s="309"/>
      <c r="E11" s="1286">
        <v>1.7</v>
      </c>
      <c r="F11" s="39" t="s">
        <v>877</v>
      </c>
      <c r="G11" s="1285">
        <f>'SDK1'!$O$48</f>
        <v>10.7</v>
      </c>
      <c r="H11" s="3151">
        <f>IF($T$3=FALSE,0,J6*$E$11)</f>
        <v>0</v>
      </c>
      <c r="I11" s="3152">
        <f>H11*$G$11</f>
        <v>0</v>
      </c>
      <c r="J11" s="3153"/>
      <c r="K11" s="3154">
        <f>IF($T$3=FALSE,0,M6*$E$11)</f>
        <v>0</v>
      </c>
      <c r="L11" s="3155">
        <f>K11*$G$11</f>
        <v>0</v>
      </c>
      <c r="M11" s="3156"/>
      <c r="N11" s="3157">
        <f>IF($T$3=FALSE,0,P6*$E$11)</f>
        <v>0</v>
      </c>
      <c r="O11" s="3152">
        <f>N11*$G$11</f>
        <v>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ustomHeight="1">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60</v>
      </c>
      <c r="K23" s="1046"/>
      <c r="L23" s="1045"/>
      <c r="M23" s="1227">
        <f>SUM(L25:L26)</f>
        <v>60</v>
      </c>
      <c r="N23" s="1043"/>
      <c r="O23" s="1042"/>
      <c r="P23" s="1026">
        <f>SUM(O25:O26)</f>
        <v>60</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t="s">
        <v>895</v>
      </c>
      <c r="E25" s="4384"/>
      <c r="F25" s="1222">
        <f>'SDK7'!F63:G63/100</f>
        <v>12</v>
      </c>
      <c r="G25" s="1221">
        <f>F25*(100+$D$24)/100</f>
        <v>12</v>
      </c>
      <c r="H25" s="1220">
        <v>5</v>
      </c>
      <c r="I25" s="1181">
        <f>H25*$G25</f>
        <v>60</v>
      </c>
      <c r="J25" s="39"/>
      <c r="K25" s="1220">
        <f>H25</f>
        <v>5</v>
      </c>
      <c r="L25" s="1023">
        <f>K25*$G25</f>
        <v>60</v>
      </c>
      <c r="M25" s="1016"/>
      <c r="N25" s="1220">
        <f>H25</f>
        <v>5</v>
      </c>
      <c r="O25" s="1181">
        <f>N25*$G25</f>
        <v>60</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177.25225</v>
      </c>
      <c r="K27" s="1175"/>
      <c r="L27" s="1174"/>
      <c r="M27" s="1044">
        <f>SUM(L30:L32)</f>
        <v>216.50300000000001</v>
      </c>
      <c r="N27" s="1173"/>
      <c r="O27" s="1172"/>
      <c r="P27" s="1041">
        <f>SUM(O30:O32)</f>
        <v>255.75375</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3.35</v>
      </c>
      <c r="F30" s="1201">
        <f>VLOOKUP(K2,'SD8'!B9:L42,7,FALSE)</f>
        <v>1.19</v>
      </c>
      <c r="G30" s="1200">
        <v>50</v>
      </c>
      <c r="H30" s="1198">
        <f>IF(J$6=0,0,(J$6*$E30+$G30+X14))</f>
        <v>105.27500000000001</v>
      </c>
      <c r="I30" s="1181">
        <f>H30*$D30</f>
        <v>125.27725</v>
      </c>
      <c r="J30" s="39"/>
      <c r="K30" s="1199">
        <f>IF(M$6=0,0,(M$6*$E30+$G30+Y14))</f>
        <v>123.7</v>
      </c>
      <c r="L30" s="1023">
        <f>K30*$D30</f>
        <v>147.203</v>
      </c>
      <c r="M30" s="1016"/>
      <c r="N30" s="1198">
        <f>IF(P$6=0,0,(P$6*$E30+$G30+Z14))</f>
        <v>142.125</v>
      </c>
      <c r="O30" s="1181">
        <f>N30*$D30</f>
        <v>169.12875</v>
      </c>
      <c r="P30" s="1145"/>
      <c r="Q30" s="34"/>
    </row>
    <row r="31" spans="1:26" s="36" customFormat="1" ht="15" customHeight="1">
      <c r="A31" s="746"/>
      <c r="B31" s="217"/>
      <c r="C31" s="746" t="s">
        <v>234</v>
      </c>
      <c r="D31" s="1150">
        <f>'SDK1'!O53</f>
        <v>1.2</v>
      </c>
      <c r="E31" s="1201">
        <f>VLOOKUP(K2,'SD8'!B9:L42,4,FALSE)</f>
        <v>1.8</v>
      </c>
      <c r="F31" s="1201">
        <f>VLOOKUP(K2,'SD8'!B9:L42,8,FALSE)</f>
        <v>0.67999999999999994</v>
      </c>
      <c r="G31" s="1200"/>
      <c r="H31" s="1198">
        <f>IF(J$6=0,0,(J$6*$E31+$G31+X15))</f>
        <v>29.7</v>
      </c>
      <c r="I31" s="1181">
        <f>H31*$D31</f>
        <v>35.64</v>
      </c>
      <c r="J31" s="39"/>
      <c r="K31" s="1199">
        <f>IF(M$6=0,0,(M$6*$E31+$G31+Y15))</f>
        <v>39.6</v>
      </c>
      <c r="L31" s="1023">
        <f>K31*$D31</f>
        <v>47.52</v>
      </c>
      <c r="M31" s="1016"/>
      <c r="N31" s="1198">
        <f>IF(P$6=0,0,(P$6*$E31+$G31+Z15))</f>
        <v>49.5</v>
      </c>
      <c r="O31" s="1181">
        <f>N31*$D31</f>
        <v>59.4</v>
      </c>
      <c r="P31" s="1145"/>
      <c r="Q31" s="34"/>
    </row>
    <row r="32" spans="1:26" s="36" customFormat="1" ht="15" customHeight="1">
      <c r="A32" s="746"/>
      <c r="B32" s="185"/>
      <c r="C32" s="2791" t="s">
        <v>232</v>
      </c>
      <c r="D32" s="1133">
        <f>'SDK1'!O54</f>
        <v>0.99</v>
      </c>
      <c r="E32" s="1197">
        <f>VLOOKUP(K2,'SD8'!B9:L42,5,FALSE)</f>
        <v>1</v>
      </c>
      <c r="F32" s="1197">
        <f>VLOOKUP(K2,'SD8'!B9:L42,9,FALSE)</f>
        <v>4.25</v>
      </c>
      <c r="G32" s="1196"/>
      <c r="H32" s="1194">
        <f>IF(J$6=0,0,(J$6*$E32+$G32+X16))</f>
        <v>16.5</v>
      </c>
      <c r="I32" s="1177">
        <f>H32*$D32</f>
        <v>16.335000000000001</v>
      </c>
      <c r="J32" s="223"/>
      <c r="K32" s="1195">
        <f>IF(M$6=0,0,(M$6*$E32+$G32+Y16))</f>
        <v>22</v>
      </c>
      <c r="L32" s="1017">
        <f>K32*$D32</f>
        <v>21.78</v>
      </c>
      <c r="M32" s="1256"/>
      <c r="N32" s="1194">
        <f>IF(P$6=0,0,(P$6*$E32+$G32+Z16))</f>
        <v>27.5</v>
      </c>
      <c r="O32" s="1177">
        <f>N32*$D32</f>
        <v>27.225000000000001</v>
      </c>
      <c r="P32" s="1176"/>
      <c r="Q32" s="34"/>
    </row>
    <row r="33" spans="1:17" s="36" customFormat="1" ht="15" hidden="1" customHeight="1">
      <c r="A33" s="746"/>
      <c r="B33" s="185"/>
      <c r="C33" s="771" t="s">
        <v>230</v>
      </c>
      <c r="D33" s="1133">
        <f>'SDK1'!P55</f>
        <v>0.45</v>
      </c>
      <c r="E33" s="1197">
        <f>VLOOKUP(K2,'SD8'!B9:L42,6,FALSE)</f>
        <v>0.5</v>
      </c>
      <c r="F33" s="1197">
        <f>VLOOKUP(K2,'SD8'!B9:L42,10,FALSE)</f>
        <v>0.7</v>
      </c>
      <c r="G33" s="1196"/>
      <c r="H33" s="1194">
        <f>IF(J$6=0,0,(J$6*$E33+$G33+X17))</f>
        <v>8.25</v>
      </c>
      <c r="I33" s="1177">
        <f>H33*$D33</f>
        <v>3.7124999999999999</v>
      </c>
      <c r="J33" s="39"/>
      <c r="K33" s="1195">
        <f>IF(M$6=0,0,(M$6*$E33+$G33+Y17))</f>
        <v>11</v>
      </c>
      <c r="L33" s="1017">
        <f>K33*$D33</f>
        <v>4.95</v>
      </c>
      <c r="M33" s="1016"/>
      <c r="N33" s="1194">
        <f>IF(P$6=0,0,(P$6*$E33+$G33+Z17))</f>
        <v>13.75</v>
      </c>
      <c r="O33" s="1177">
        <f>N33*$D33</f>
        <v>6.1875</v>
      </c>
      <c r="P33" s="1176"/>
      <c r="Q33" s="34"/>
    </row>
    <row r="34" spans="1:17" s="511" customFormat="1" ht="18.75" customHeight="1">
      <c r="A34" s="711"/>
      <c r="B34" s="716" t="s">
        <v>859</v>
      </c>
      <c r="C34" s="711"/>
      <c r="D34" s="33"/>
      <c r="E34" s="33"/>
      <c r="F34" s="4381" t="s">
        <v>858</v>
      </c>
      <c r="G34" s="4382"/>
      <c r="H34" s="1191"/>
      <c r="I34" s="1190"/>
      <c r="J34" s="1041">
        <f>SUM(I36:I42)</f>
        <v>187.2</v>
      </c>
      <c r="K34" s="1193"/>
      <c r="L34" s="1192"/>
      <c r="M34" s="1044">
        <f>SUM(L36:L42)</f>
        <v>208.54</v>
      </c>
      <c r="N34" s="1191"/>
      <c r="O34" s="1190"/>
      <c r="P34" s="1041">
        <f>SUM(O36:O42)</f>
        <v>208.54</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1729</v>
      </c>
      <c r="D36" s="4389"/>
      <c r="E36" s="4390"/>
      <c r="F36" s="1183">
        <f>IF(C36="",0,VLOOKUP(C36,'SDK5'!C1:AF83,2,FALSE))</f>
        <v>46.2</v>
      </c>
      <c r="G36" s="1183">
        <f>F36*(100+$D$35)/100</f>
        <v>46.2</v>
      </c>
      <c r="H36" s="1182">
        <v>2</v>
      </c>
      <c r="I36" s="1181">
        <f>$G36*H36</f>
        <v>92.4</v>
      </c>
      <c r="J36" s="39"/>
      <c r="K36" s="1182">
        <v>2</v>
      </c>
      <c r="L36" s="1023">
        <f t="shared" ref="L36:L42" si="0">$G36*K36</f>
        <v>92.4</v>
      </c>
      <c r="M36" s="1016"/>
      <c r="N36" s="1182">
        <v>2</v>
      </c>
      <c r="O36" s="1181">
        <f t="shared" ref="O36:O42" si="1">$G36*N36</f>
        <v>92.4</v>
      </c>
      <c r="P36" s="1185"/>
      <c r="Q36" s="34"/>
    </row>
    <row r="37" spans="1:17" s="36" customFormat="1" ht="15" customHeight="1">
      <c r="A37" s="746"/>
      <c r="B37" s="1021"/>
      <c r="C37" s="4375" t="s">
        <v>520</v>
      </c>
      <c r="D37" s="4375"/>
      <c r="E37" s="4376"/>
      <c r="F37" s="1183">
        <f>IF(C37="",0,VLOOKUP(C37,'SDK5'!C4:AF84,2,FALSE))</f>
        <v>28</v>
      </c>
      <c r="G37" s="1183">
        <f t="shared" ref="G37:G42" si="2">F37*(100+$D$35)/100</f>
        <v>28</v>
      </c>
      <c r="H37" s="1182">
        <v>0.6</v>
      </c>
      <c r="I37" s="1181">
        <f t="shared" ref="I37:I42" si="3">$G37*H37</f>
        <v>16.8</v>
      </c>
      <c r="J37" s="39"/>
      <c r="K37" s="1182">
        <v>0.6</v>
      </c>
      <c r="L37" s="1023">
        <f t="shared" si="0"/>
        <v>16.8</v>
      </c>
      <c r="M37" s="1016"/>
      <c r="N37" s="1182">
        <v>0.6</v>
      </c>
      <c r="O37" s="1181">
        <f t="shared" si="1"/>
        <v>16.8</v>
      </c>
      <c r="P37" s="1145"/>
      <c r="Q37" s="34"/>
    </row>
    <row r="38" spans="1:17" s="36" customFormat="1" ht="15" customHeight="1">
      <c r="A38" s="746"/>
      <c r="B38" s="1184"/>
      <c r="C38" s="4375" t="s">
        <v>479</v>
      </c>
      <c r="D38" s="4375"/>
      <c r="E38" s="4376"/>
      <c r="F38" s="1183">
        <f>IF(C38="",0,VLOOKUP(C38,'SDK5'!C5:AF85,2,FALSE))</f>
        <v>78</v>
      </c>
      <c r="G38" s="1183">
        <f t="shared" si="2"/>
        <v>78</v>
      </c>
      <c r="H38" s="1182">
        <v>1</v>
      </c>
      <c r="I38" s="1181">
        <f t="shared" si="3"/>
        <v>78</v>
      </c>
      <c r="J38" s="39"/>
      <c r="K38" s="1182">
        <v>1</v>
      </c>
      <c r="L38" s="1023">
        <f t="shared" si="0"/>
        <v>78</v>
      </c>
      <c r="M38" s="1016"/>
      <c r="N38" s="1182">
        <v>1</v>
      </c>
      <c r="O38" s="1181">
        <f t="shared" si="1"/>
        <v>78</v>
      </c>
      <c r="P38" s="1145"/>
      <c r="Q38" s="34"/>
    </row>
    <row r="39" spans="1:17" s="36" customFormat="1" ht="15" customHeight="1">
      <c r="A39" s="746"/>
      <c r="B39" s="1021"/>
      <c r="C39" s="4375" t="s">
        <v>1499</v>
      </c>
      <c r="D39" s="4375"/>
      <c r="E39" s="4376"/>
      <c r="F39" s="1183">
        <f>IF(C39="",0,VLOOKUP(C39,'SDK5'!C6:AF86,2,FALSE))</f>
        <v>106.7</v>
      </c>
      <c r="G39" s="1183">
        <f t="shared" si="2"/>
        <v>106.7</v>
      </c>
      <c r="H39" s="1182"/>
      <c r="I39" s="1181">
        <f t="shared" si="3"/>
        <v>0</v>
      </c>
      <c r="J39" s="39"/>
      <c r="K39" s="1182">
        <v>0.2</v>
      </c>
      <c r="L39" s="1023">
        <f t="shared" si="0"/>
        <v>21.340000000000003</v>
      </c>
      <c r="M39" s="1016"/>
      <c r="N39" s="1182">
        <v>0.2</v>
      </c>
      <c r="O39" s="1181">
        <f t="shared" si="1"/>
        <v>21.340000000000003</v>
      </c>
      <c r="P39" s="1145"/>
      <c r="Q39" s="34"/>
    </row>
    <row r="40" spans="1:17" s="36" customFormat="1" ht="15" customHeight="1">
      <c r="A40" s="746"/>
      <c r="B40" s="1021"/>
      <c r="C40" s="4375"/>
      <c r="D40" s="4375"/>
      <c r="E40" s="4376"/>
      <c r="F40" s="1183">
        <f>IF(C40="",0,VLOOKUP(C40,'SDK5'!C7:AF87,2,FALSE))</f>
        <v>0</v>
      </c>
      <c r="G40" s="1183">
        <f t="shared" si="2"/>
        <v>0</v>
      </c>
      <c r="H40" s="1182"/>
      <c r="I40" s="1181">
        <f t="shared" si="3"/>
        <v>0</v>
      </c>
      <c r="J40" s="39"/>
      <c r="K40" s="1182"/>
      <c r="L40" s="1023">
        <f t="shared" si="0"/>
        <v>0</v>
      </c>
      <c r="M40" s="1016"/>
      <c r="N40" s="1182"/>
      <c r="O40" s="1181">
        <f t="shared" si="1"/>
        <v>0</v>
      </c>
      <c r="P40" s="1145"/>
      <c r="Q40" s="34"/>
    </row>
    <row r="41" spans="1:17" s="36" customFormat="1" ht="15" customHeight="1">
      <c r="A41" s="746"/>
      <c r="B41" s="1021"/>
      <c r="C41" s="4375"/>
      <c r="D41" s="4375"/>
      <c r="E41" s="4376"/>
      <c r="F41" s="1183">
        <f>IF(C41="",0,VLOOKUP(C41,'SDK5'!C8:AF88,2,FALSE))</f>
        <v>0</v>
      </c>
      <c r="G41" s="1183">
        <f t="shared" si="2"/>
        <v>0</v>
      </c>
      <c r="H41" s="1182"/>
      <c r="I41" s="1181">
        <f t="shared" si="3"/>
        <v>0</v>
      </c>
      <c r="J41" s="39"/>
      <c r="K41" s="1182"/>
      <c r="L41" s="1023">
        <f t="shared" si="0"/>
        <v>0</v>
      </c>
      <c r="M41" s="1016"/>
      <c r="N41" s="1182"/>
      <c r="O41" s="1181">
        <f t="shared" si="1"/>
        <v>0</v>
      </c>
      <c r="P41" s="1145"/>
      <c r="Q41" s="34"/>
    </row>
    <row r="42" spans="1:17" s="36" customFormat="1" ht="15" customHeight="1">
      <c r="A42" s="746"/>
      <c r="B42" s="1180"/>
      <c r="C42" s="4361"/>
      <c r="D42" s="4361"/>
      <c r="E42" s="4362"/>
      <c r="F42" s="1179">
        <f>IF(C42="",0,VLOOKUP(C42,'SDK5'!C9:AF89,2,FALSE))</f>
        <v>0</v>
      </c>
      <c r="G42" s="1179">
        <f t="shared" si="2"/>
        <v>0</v>
      </c>
      <c r="H42" s="1178"/>
      <c r="I42" s="1177">
        <f t="shared" si="3"/>
        <v>0</v>
      </c>
      <c r="J42" s="39"/>
      <c r="K42" s="1178"/>
      <c r="L42" s="1017">
        <f t="shared" si="0"/>
        <v>0</v>
      </c>
      <c r="M42" s="1016"/>
      <c r="N42" s="1178"/>
      <c r="O42" s="1177">
        <f t="shared" si="1"/>
        <v>0</v>
      </c>
      <c r="P42" s="1176"/>
      <c r="Q42" s="34"/>
    </row>
    <row r="43" spans="1:17" s="511" customFormat="1" ht="18.75" customHeight="1">
      <c r="A43" s="711"/>
      <c r="B43" s="716" t="s">
        <v>856</v>
      </c>
      <c r="C43" s="711"/>
      <c r="D43" s="711"/>
      <c r="E43" s="711"/>
      <c r="F43" s="711"/>
      <c r="G43" s="1047"/>
      <c r="H43" s="1173"/>
      <c r="I43" s="1172"/>
      <c r="J43" s="1041">
        <f>SUM(J46:J57)</f>
        <v>153.28564298399999</v>
      </c>
      <c r="K43" s="1175"/>
      <c r="L43" s="1174"/>
      <c r="M43" s="1044">
        <f>SUM(M46:M57)</f>
        <v>160.79088245866666</v>
      </c>
      <c r="N43" s="1173"/>
      <c r="O43" s="1172"/>
      <c r="P43" s="1041">
        <f>SUM(P46:P57)</f>
        <v>161.65308667333335</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87" t="s">
        <v>1589</v>
      </c>
      <c r="D46" s="4388"/>
      <c r="E46" s="1152">
        <f>IF($C46=0,0,VLOOKUP($C46,'SD3'!$C$24:$O$85,4,FALSE))</f>
        <v>120</v>
      </c>
      <c r="F46" s="1151">
        <f>IF($C46=0,0,VLOOKUP($C46,'SD3'!$C$24:$O$85,12,FALSE))</f>
        <v>1.38</v>
      </c>
      <c r="G46" s="1150">
        <f>IF($C46=0,0,VLOOKUP($C46,'SD3'!$C$24:$O$85,13,FALSE))</f>
        <v>64.642445999999993</v>
      </c>
      <c r="H46" s="1147">
        <v>1</v>
      </c>
      <c r="I46" s="1154">
        <f t="shared" ref="I46:I57" si="4">$F46*H46</f>
        <v>1.38</v>
      </c>
      <c r="J46" s="1145">
        <f t="shared" ref="J46:J57" si="5">H46*$G46</f>
        <v>64.642445999999993</v>
      </c>
      <c r="K46" s="1147">
        <v>1</v>
      </c>
      <c r="L46" s="1156">
        <f t="shared" ref="L46:L57" si="6">$F46*K46</f>
        <v>1.38</v>
      </c>
      <c r="M46" s="1148">
        <f t="shared" ref="M46:M57" si="7">K46*$G46</f>
        <v>64.642445999999993</v>
      </c>
      <c r="N46" s="1147">
        <v>1</v>
      </c>
      <c r="O46" s="1154">
        <f t="shared" ref="O46:O57" si="8">$F46*N46</f>
        <v>1.38</v>
      </c>
      <c r="P46" s="1145">
        <f t="shared" ref="P46:P57" si="9">N46*$G46</f>
        <v>64.642445999999993</v>
      </c>
      <c r="Q46" s="34">
        <f>$Q$2*H46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346</v>
      </c>
      <c r="D48" s="4388"/>
      <c r="E48" s="1152">
        <f>IF($C48=0,0,VLOOKUP($C48,'SD3'!$C$24:$O$85,4,FALSE))</f>
        <v>83</v>
      </c>
      <c r="F48" s="1151">
        <f>IF($C48=0,0,VLOOKUP($C48,'SD3'!$C$24:$O$85,12,FALSE))</f>
        <v>0.16</v>
      </c>
      <c r="G48" s="1150">
        <f>IF($C48=0,0,VLOOKUP($C48,'SD3'!$C$24:$O$85,13,FALSE))</f>
        <v>3.7403892799999996</v>
      </c>
      <c r="H48" s="1147">
        <v>2</v>
      </c>
      <c r="I48" s="1146">
        <f t="shared" si="4"/>
        <v>0.32</v>
      </c>
      <c r="J48" s="1145">
        <f t="shared" si="5"/>
        <v>7.4807785599999992</v>
      </c>
      <c r="K48" s="1147">
        <v>2</v>
      </c>
      <c r="L48" s="1149">
        <f t="shared" si="6"/>
        <v>0.32</v>
      </c>
      <c r="M48" s="1148">
        <f t="shared" si="7"/>
        <v>7.4807785599999992</v>
      </c>
      <c r="N48" s="1147">
        <v>2</v>
      </c>
      <c r="O48" s="1146">
        <f t="shared" si="8"/>
        <v>0.32</v>
      </c>
      <c r="P48" s="1145">
        <f t="shared" si="9"/>
        <v>7.4807785599999992</v>
      </c>
      <c r="Q48" s="34"/>
    </row>
    <row r="49" spans="1:17" s="36" customFormat="1" ht="15" customHeight="1">
      <c r="A49" s="746"/>
      <c r="B49" s="1153"/>
      <c r="C49" s="4387" t="s">
        <v>1591</v>
      </c>
      <c r="D49" s="4388"/>
      <c r="E49" s="1152">
        <f>IF($C49=0,0,VLOOKUP($C49,'SD3'!$C$24:$O$85,4,FALSE))</f>
        <v>83</v>
      </c>
      <c r="F49" s="1151">
        <f>IF($C49=0,0,VLOOKUP($C49,'SD3'!$C$24:$O$85,12,FALSE))</f>
        <v>0.22</v>
      </c>
      <c r="G49" s="1150">
        <f>IF($C49=0,0,VLOOKUP($C49,'SD3'!$C$24:$O$85,13,FALSE))</f>
        <v>6.6430352599999996</v>
      </c>
      <c r="H49" s="1147">
        <v>3</v>
      </c>
      <c r="I49" s="1146">
        <f t="shared" si="4"/>
        <v>0.66</v>
      </c>
      <c r="J49" s="1145">
        <f t="shared" si="5"/>
        <v>19.92910578</v>
      </c>
      <c r="K49" s="1147">
        <v>4</v>
      </c>
      <c r="L49" s="1149">
        <f t="shared" si="6"/>
        <v>0.88</v>
      </c>
      <c r="M49" s="1148">
        <f t="shared" si="7"/>
        <v>26.572141039999998</v>
      </c>
      <c r="N49" s="1147">
        <v>4</v>
      </c>
      <c r="O49" s="1146">
        <f t="shared" si="8"/>
        <v>0.88</v>
      </c>
      <c r="P49" s="1145">
        <f t="shared" si="9"/>
        <v>26.572141039999998</v>
      </c>
      <c r="Q49" s="34"/>
    </row>
    <row r="50" spans="1:17" s="36" customFormat="1" ht="15" customHeight="1">
      <c r="A50" s="746"/>
      <c r="B50" s="1153"/>
      <c r="C50" s="4403" t="s">
        <v>1748</v>
      </c>
      <c r="D50" s="4404"/>
      <c r="E50" s="1152">
        <f>IF($C50=0,0,VLOOKUP($C50,'SD3'!$C$24:$O$85,4,FALSE))</f>
        <v>120</v>
      </c>
      <c r="F50" s="1151">
        <f>IF($C50=0,0,VLOOKUP($C50,'SD3'!$C$24:$O$85,12,FALSE))</f>
        <v>0.37</v>
      </c>
      <c r="G50" s="1150">
        <f>IF($C50=0,0,VLOOKUP($C50,'SD3'!$C$24:$O$85,13,FALSE))</f>
        <v>11.7573302</v>
      </c>
      <c r="H50" s="3654">
        <f>J6/75</f>
        <v>0.22</v>
      </c>
      <c r="I50" s="1146">
        <f t="shared" si="4"/>
        <v>8.14E-2</v>
      </c>
      <c r="J50" s="1145">
        <f t="shared" si="5"/>
        <v>2.5866126440000001</v>
      </c>
      <c r="K50" s="3654">
        <f>M6/75</f>
        <v>0.29333333333333333</v>
      </c>
      <c r="L50" s="1149">
        <f t="shared" si="6"/>
        <v>0.10853333333333333</v>
      </c>
      <c r="M50" s="1148">
        <f t="shared" si="7"/>
        <v>3.4488168586666665</v>
      </c>
      <c r="N50" s="3654">
        <f>P6/75</f>
        <v>0.36666666666666664</v>
      </c>
      <c r="O50" s="1146">
        <f t="shared" si="8"/>
        <v>0.13566666666666666</v>
      </c>
      <c r="P50" s="1145">
        <f t="shared" si="9"/>
        <v>4.3110210733333334</v>
      </c>
      <c r="Q50" s="34"/>
    </row>
    <row r="51" spans="1:17" s="36" customFormat="1" ht="15" customHeight="1">
      <c r="A51" s="746"/>
      <c r="B51" s="1153"/>
      <c r="C51" s="4387" t="s">
        <v>360</v>
      </c>
      <c r="D51" s="4388"/>
      <c r="E51" s="1152">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row>
    <row r="58" spans="1:17" s="46" customFormat="1" ht="18.75" customHeight="1">
      <c r="A58" s="811"/>
      <c r="B58" s="716" t="s">
        <v>848</v>
      </c>
      <c r="C58" s="811"/>
      <c r="D58" s="811"/>
      <c r="E58" s="811"/>
      <c r="F58" s="34"/>
      <c r="G58" s="1047"/>
      <c r="H58" s="1124"/>
      <c r="I58" s="1123">
        <f>SUM($I$46:$I$57)</f>
        <v>3.9413999999999998</v>
      </c>
      <c r="J58" s="1128"/>
      <c r="K58" s="1127"/>
      <c r="L58" s="1126">
        <f>SUM($L$46:$L$57)</f>
        <v>4.188533333333333</v>
      </c>
      <c r="M58" s="1125"/>
      <c r="N58" s="1124"/>
      <c r="O58" s="1123">
        <f>SUM($O$46:$O$57)</f>
        <v>4.2156666666666665</v>
      </c>
      <c r="P58" s="1122"/>
      <c r="Q58" s="34"/>
    </row>
    <row r="59" spans="1:17" s="46" customFormat="1" ht="15" customHeight="1">
      <c r="A59" s="811"/>
      <c r="B59" s="1121"/>
      <c r="C59" s="285"/>
      <c r="D59" s="222" t="s">
        <v>847</v>
      </c>
      <c r="E59" s="1120">
        <v>80</v>
      </c>
      <c r="F59" s="285" t="s">
        <v>846</v>
      </c>
      <c r="G59" s="1119"/>
      <c r="H59" s="1115"/>
      <c r="I59" s="1114">
        <f>IF(I58+SUM($I$46:$I$57)*$E$59%&gt;I58+10,I58+10,I58+SUM($I$46:$I$57)*$E$59%)</f>
        <v>7.0945199999999993</v>
      </c>
      <c r="J59" s="1113"/>
      <c r="K59" s="1118"/>
      <c r="L59" s="1117">
        <f>IF(L58+SUM($L$46:$L$57)*$E$59%&gt;L58+10,L58+10,L58+SUM($L$46:$L$57)*$E$59%)</f>
        <v>7.5393599999999994</v>
      </c>
      <c r="M59" s="1116"/>
      <c r="N59" s="1115"/>
      <c r="O59" s="1114">
        <f>IF(O58+SUM($O$46:$O$57)*$E$59%&gt;O58+10,O58+10,O58+SUM($O$46:$O$57)*$E$59%)</f>
        <v>7.5881999999999996</v>
      </c>
      <c r="P59" s="1113"/>
      <c r="Q59" s="34"/>
    </row>
    <row r="60" spans="1:17" s="36" customFormat="1" ht="18.75" customHeight="1">
      <c r="A60" s="746"/>
      <c r="B60" s="716" t="s">
        <v>845</v>
      </c>
      <c r="C60" s="811"/>
      <c r="D60" s="811"/>
      <c r="E60" s="39"/>
      <c r="F60" s="39"/>
      <c r="G60" s="1112"/>
      <c r="H60" s="1104"/>
      <c r="I60" s="1103"/>
      <c r="J60" s="1111">
        <f>IF(J6=0,0,SUM(I62:I64))</f>
        <v>193.6</v>
      </c>
      <c r="K60" s="1107"/>
      <c r="L60" s="1106"/>
      <c r="M60" s="1044">
        <f>IF(M6=0,0,SUM(L62:L64))</f>
        <v>193.6</v>
      </c>
      <c r="N60" s="1104"/>
      <c r="O60" s="1103"/>
      <c r="P60" s="1111">
        <f>IF(P6=0,0,SUM(O62:O64))</f>
        <v>193.6</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299</v>
      </c>
      <c r="D62" s="4365"/>
      <c r="E62" s="4365"/>
      <c r="F62" s="1101">
        <f>IF($C62=0,0,VLOOKUP($C62,'SD3'!$C$90:$D$104,2,FALSE))</f>
        <v>193.6</v>
      </c>
      <c r="G62" s="1100">
        <f>(100+$D$61)/100*F62</f>
        <v>193.6</v>
      </c>
      <c r="H62" s="173"/>
      <c r="I62" s="1096">
        <f>$G$62</f>
        <v>193.6</v>
      </c>
      <c r="J62" s="173"/>
      <c r="K62" s="1099"/>
      <c r="L62" s="1098">
        <f>$G$62</f>
        <v>193.6</v>
      </c>
      <c r="M62" s="1016"/>
      <c r="N62" s="1097"/>
      <c r="O62" s="1096">
        <f>$G$62</f>
        <v>193.6</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47.025000000000048</v>
      </c>
      <c r="K67" s="1068" t="s">
        <v>842</v>
      </c>
      <c r="L67" s="1067" t="s">
        <v>841</v>
      </c>
      <c r="M67" s="1044">
        <f>S68*(K9+K10)*L68%+F68</f>
        <v>62.70000000000006</v>
      </c>
      <c r="N67" s="1066" t="s">
        <v>842</v>
      </c>
      <c r="O67" s="1065" t="s">
        <v>841</v>
      </c>
      <c r="P67" s="1041">
        <f>T68*(N9+N10)*O68%+F68</f>
        <v>78.375000000000071</v>
      </c>
      <c r="Q67" s="34"/>
    </row>
    <row r="68" spans="1:20" s="511" customFormat="1" ht="15" customHeight="1">
      <c r="A68" s="711"/>
      <c r="B68" s="1064"/>
      <c r="C68" s="4393" t="s">
        <v>564</v>
      </c>
      <c r="D68" s="4393"/>
      <c r="E68" s="4393"/>
      <c r="F68" s="1063"/>
      <c r="G68" s="1054" t="s">
        <v>163</v>
      </c>
      <c r="H68" s="1061">
        <v>11</v>
      </c>
      <c r="I68" s="1060">
        <v>100</v>
      </c>
      <c r="J68" s="1059"/>
      <c r="K68" s="1061">
        <v>11</v>
      </c>
      <c r="L68" s="1060">
        <v>100</v>
      </c>
      <c r="M68" s="1062"/>
      <c r="N68" s="1061">
        <v>11</v>
      </c>
      <c r="O68" s="1060">
        <v>100</v>
      </c>
      <c r="P68" s="1059"/>
      <c r="Q68" s="34"/>
      <c r="R68" s="1058">
        <f>IF($H$68=0,0,VLOOKUP($H$68,'SD6'!J8:K156,'SD6'!$I$1,FALSE))*(1+'SDK1'!O11/100)</f>
        <v>2.8500000000000028</v>
      </c>
      <c r="S68" s="1058">
        <f>IF($K$68=0,0,VLOOKUP($K$68,'SD6'!J8:K156,'SD6'!I1,FALSE))*(1+'SDK1'!O11/100)</f>
        <v>2.8500000000000028</v>
      </c>
      <c r="T68" s="1058">
        <f>IF($N$68=0,0,VLOOKUP($N$68,'SD6'!J8:K156,'SD6'!I1,FALSE))*(1+'SDK1'!O11/100)</f>
        <v>2.8500000000000028</v>
      </c>
    </row>
    <row r="69" spans="1:20" s="511" customFormat="1" ht="18.75" customHeight="1">
      <c r="A69" s="711"/>
      <c r="B69" s="716" t="s">
        <v>839</v>
      </c>
      <c r="C69" s="711"/>
      <c r="D69" s="711"/>
      <c r="E69" s="34"/>
      <c r="F69" s="34"/>
      <c r="G69" s="1047"/>
      <c r="H69" s="38"/>
      <c r="I69" s="51"/>
      <c r="J69" s="1041">
        <f>H70*$F70/1000</f>
        <v>30.813749999999999</v>
      </c>
      <c r="K69" s="1057"/>
      <c r="L69" s="1056"/>
      <c r="M69" s="1044">
        <f>K70*$F70/1000</f>
        <v>41.085000000000001</v>
      </c>
      <c r="N69" s="38"/>
      <c r="O69" s="51"/>
      <c r="P69" s="1041">
        <f>N70*$F70/1000</f>
        <v>51.356250000000003</v>
      </c>
      <c r="Q69" s="34"/>
    </row>
    <row r="70" spans="1:20" s="511" customFormat="1" ht="15" customHeight="1">
      <c r="A70" s="711"/>
      <c r="B70" s="772"/>
      <c r="C70" s="771" t="s">
        <v>606</v>
      </c>
      <c r="D70" s="285"/>
      <c r="E70" s="222"/>
      <c r="F70" s="3742">
        <f>'SDK7'!G105</f>
        <v>45</v>
      </c>
      <c r="G70" s="1054" t="s">
        <v>163</v>
      </c>
      <c r="H70" s="1357">
        <f>J7</f>
        <v>684.75</v>
      </c>
      <c r="I70" s="1049"/>
      <c r="J70" s="1048"/>
      <c r="K70" s="1053">
        <f>M7</f>
        <v>913</v>
      </c>
      <c r="L70" s="1052"/>
      <c r="M70" s="1051"/>
      <c r="N70" s="1357">
        <f>P7</f>
        <v>1141.25</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f>(J23+J27+J34+J43+J60+J65+J67+J69+J71)*('SDK1'!$O$59%*$G$75/12)</f>
        <v>7.0764720248666668</v>
      </c>
      <c r="K75" s="513"/>
      <c r="L75" s="522"/>
      <c r="M75" s="1005">
        <f>(M23+M27+M34+M43+M60+M65+M67+M69+M71)*('SDK1'!$O$59%*$G$75/12)</f>
        <v>7.8601573538222231</v>
      </c>
      <c r="N75" s="1007"/>
      <c r="O75" s="1006"/>
      <c r="P75" s="1005">
        <f>(P23+P27+P34+P43+P60+P65+P67+P69+P71)*('SDK1'!$O$59%*$G$75/12)</f>
        <v>8.4106507222777793</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H151" s="1354"/>
      <c r="J151" s="1353"/>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46" orientation="portrait" r:id="rId1"/>
      <headerFooter alignWithMargins="0">
        <oddFooter>&amp;L&amp;11LEL Schwäbisch Gmünd&amp;C59&amp;R&amp;11&amp;F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46" orientation="portrait" r:id="rId2"/>
      <headerFooter alignWithMargins="0">
        <oddFooter>&amp;L&amp;11LEL Schwäbisch Gmünd&amp;C59&amp;R&amp;11&amp;F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46" orientation="portrait" r:id="rId3"/>
      <headerFooter alignWithMargins="0">
        <oddFooter>&amp;L&amp;11LEL Schwäbisch Gmünd&amp;C59&amp;R&amp;11&amp;F</oddFooter>
      </headerFooter>
    </customSheetView>
  </customSheetViews>
  <mergeCells count="50">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 ref="B3:H3"/>
  </mergeCells>
  <dataValidations count="5">
    <dataValidation type="list" showInputMessage="1" showErrorMessage="1" sqref="H14 K14 N14" xr:uid="{00000000-0002-0000-2900-000000000000}">
      <formula1>"ja,nein"</formula1>
    </dataValidation>
    <dataValidation type="list" allowBlank="1" showInputMessage="1" showErrorMessage="1" sqref="H15:H17 K15:K17 N15:N17" xr:uid="{00000000-0002-0000-2900-000001000000}">
      <formula1>"ja,nein"</formula1>
    </dataValidation>
    <dataValidation type="whole" allowBlank="1" showInputMessage="1" showErrorMessage="1" errorTitle="Anteil Erntegut" error="Prozentwert darf nur zwischen 0 und 100 liegen." sqref="O68 L68 I68" xr:uid="{00000000-0002-0000-2900-000002000000}">
      <formula1>0</formula1>
      <formula2>100</formula2>
    </dataValidation>
    <dataValidation type="list" allowBlank="1" showInputMessage="1" showErrorMessage="1" errorTitle="Organisationsabh. Ausgleichsl." error="Bitte aus Dropdownliste auswählen." sqref="D19:F19" xr:uid="{00000000-0002-0000-2900-000003000000}">
      <formula1>$C$60:$C$75</formula1>
    </dataValidation>
    <dataValidation type="decimal" allowBlank="1" showInputMessage="1" showErrorMessage="1" errorTitle="Wassergehalt Getreide" error="Zulässig sind nur Werte zwischen 9,1 und 18,9 % Wassergehalt." sqref="N68 K68 H68" xr:uid="{00000000-0002-0000-2900-000004000000}">
      <formula1>9.1</formula1>
      <formula2>18.9</formula2>
    </dataValidation>
  </dataValidations>
  <hyperlinks>
    <hyperlink ref="F9" location="'SDK1'!A1" display="Preis ändern" xr:uid="{00000000-0004-0000-2900-000000000000}"/>
  </hyperlinks>
  <printOptions horizontalCentered="1"/>
  <pageMargins left="0.59055118110236227" right="0.59055118110236227" top="0.59055118110236227" bottom="0.59055118110236227" header="0.39370078740157483" footer="0.39370078740157483"/>
  <pageSetup paperSize="9" scale="65" firstPageNumber="46" orientation="portrait" r:id="rId4"/>
  <headerFooter alignWithMargins="0">
    <oddFooter>&amp;L&amp;11LEL Schwäbisch Gmünd&amp;C59&amp;R&amp;11&amp;F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900-000005000000}">
          <x14:formula1>
            <xm:f>'SD2'!$C$11:$C$50</xm:f>
          </x14:formula1>
          <xm:sqref>C14:F17</xm:sqref>
        </x14:dataValidation>
        <x14:dataValidation type="list" allowBlank="1" showInputMessage="1" showErrorMessage="1" errorTitle="Organisationsabh. Ausgleichsl." error="Bitte aus Dropdownliste auswählen." xr:uid="{00000000-0002-0000-2900-000006000000}">
          <x14:formula1>
            <xm:f>'SD2'!$C$60:$C$77</xm:f>
          </x14:formula1>
          <xm:sqref>C19:C21</xm:sqref>
        </x14:dataValidation>
        <x14:dataValidation type="list" allowBlank="1" showInputMessage="1" showErrorMessage="1" errorTitle="Arbeitsgänge" error="Bitte aus Dropdownliste auswählen." xr:uid="{00000000-0002-0000-2900-000007000000}">
          <x14:formula1>
            <xm:f>'SD3'!$C$23:$C$75</xm:f>
          </x14:formula1>
          <xm:sqref>C46:D57</xm:sqref>
        </x14:dataValidation>
        <x14:dataValidation type="list" allowBlank="1" showInputMessage="1" showErrorMessage="1" errorTitle="Lohnmaschinen" error="Bitte aus Dropdownliste auswählen." xr:uid="{00000000-0002-0000-2900-000008000000}">
          <x14:formula1>
            <xm:f>'SD3'!$C$90:$C$104</xm:f>
          </x14:formula1>
          <xm:sqref>C62:E64</xm:sqref>
        </x14:dataValidation>
        <x14:dataValidation type="list" allowBlank="1" showInputMessage="1" showErrorMessage="1" errorTitle="Pflanzenschutzmittel" error="Bitte aus Dropdownliste auswählen." xr:uid="{00000000-0002-0000-2900-000009000000}">
          <x14:formula1>
            <xm:f>'SDK5'!$T$214:$T$232</xm:f>
          </x14:formula1>
          <xm:sqref>C36:E36 C37:E37 C38:E38 C39:E39 C40:E40 C41:E41 C42:E42</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4">
    <tabColor theme="8" tint="0.39997558519241921"/>
    <pageSetUpPr fitToPage="1"/>
  </sheetPr>
  <dimension ref="A1:AO218"/>
  <sheetViews>
    <sheetView workbookViewId="0">
      <selection activeCell="N51" sqref="N51"/>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6" width="10.5" style="31" hidden="1" customWidth="1"/>
    <col min="27" max="33" width="10.5" style="31" customWidth="1"/>
    <col min="34" max="16384" width="10.5" style="31"/>
  </cols>
  <sheetData>
    <row r="1" spans="1:41" s="1317" customFormat="1" ht="30.45" customHeight="1">
      <c r="A1" s="1321"/>
      <c r="B1" s="258"/>
      <c r="C1" s="1333"/>
      <c r="D1" s="1253"/>
      <c r="E1" s="255"/>
      <c r="F1" s="255"/>
      <c r="G1" s="430"/>
      <c r="H1" s="1328"/>
      <c r="I1" s="3212" t="s">
        <v>1679</v>
      </c>
      <c r="J1" s="3210">
        <f>(J7+J13+J18+J22+I11+I12)-(J23+J27+J34+J43+J60+J65+J67+J69+J71+J75)</f>
        <v>76.81651925172207</v>
      </c>
      <c r="K1" s="4360">
        <f>M1-J1</f>
        <v>240.87870142451129</v>
      </c>
      <c r="L1" s="4360"/>
      <c r="M1" s="3210">
        <f>(M7+M13+M18+M22+L11+L12)-(M23+M27+M34+M43+M60+M65+M67+M69+M71+M75)</f>
        <v>317.69522067623336</v>
      </c>
      <c r="N1" s="4360">
        <f>P1-M1</f>
        <v>240.87870142451106</v>
      </c>
      <c r="O1" s="4360"/>
      <c r="P1" s="3210">
        <f>(P7+P13+P18+P22+O11+O12)-(P23+P27+P34+P43+P60+P65+P67+P69+P71+P75)</f>
        <v>558.57392210074443</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193</v>
      </c>
      <c r="L2" s="4372"/>
      <c r="M2" s="4372"/>
      <c r="N2" s="4372"/>
      <c r="O2" s="4372"/>
      <c r="P2" s="4372"/>
      <c r="Q2" s="1345">
        <v>0</v>
      </c>
      <c r="AB2" s="3229"/>
    </row>
    <row r="3" spans="1:41" s="1317" customFormat="1" ht="32.4" customHeight="1">
      <c r="A3" s="1321"/>
      <c r="B3" s="4405" t="s">
        <v>1727</v>
      </c>
      <c r="C3" s="4405"/>
      <c r="D3" s="4405"/>
      <c r="E3" s="4405"/>
      <c r="F3" s="4405"/>
      <c r="G3" s="4405"/>
      <c r="H3" s="4405"/>
      <c r="J3" s="4368"/>
      <c r="K3" s="4418"/>
      <c r="L3" s="4418"/>
      <c r="M3" s="1368"/>
      <c r="N3" s="4421"/>
      <c r="O3" s="4422"/>
      <c r="P3" s="1326"/>
      <c r="Q3" s="1321"/>
      <c r="T3" s="1343" t="b">
        <v>0</v>
      </c>
    </row>
    <row r="4" spans="1:41" s="1317" customFormat="1" ht="20.25" customHeight="1">
      <c r="A4" s="1321"/>
      <c r="B4" s="309" t="s">
        <v>779</v>
      </c>
      <c r="C4" s="31"/>
      <c r="D4" s="31"/>
      <c r="E4" s="4406" t="s">
        <v>890</v>
      </c>
      <c r="F4" s="4406"/>
      <c r="G4" s="4406"/>
      <c r="H4" s="4406"/>
      <c r="I4" s="4406"/>
      <c r="J4" s="4368"/>
      <c r="K4" s="4418"/>
      <c r="L4" s="4418"/>
      <c r="M4" s="1367"/>
      <c r="N4" s="4422"/>
      <c r="O4" s="4422"/>
      <c r="P4" s="1322">
        <f>'SDK1'!O3</f>
        <v>2024</v>
      </c>
      <c r="Q4" s="1321"/>
      <c r="T4" s="1343"/>
    </row>
    <row r="5" spans="1:41" ht="6" customHeight="1"/>
    <row r="6" spans="1:41" s="1311" customFormat="1" ht="24" customHeight="1">
      <c r="A6" s="41"/>
      <c r="B6" s="1316" t="s">
        <v>832</v>
      </c>
      <c r="C6" s="1315"/>
      <c r="D6" s="1315"/>
      <c r="E6" s="1315"/>
      <c r="F6" s="1315"/>
      <c r="G6" s="1314"/>
      <c r="H6" s="4366" t="s">
        <v>171</v>
      </c>
      <c r="I6" s="4367"/>
      <c r="J6" s="1313">
        <v>20</v>
      </c>
      <c r="K6" s="4379" t="s">
        <v>144</v>
      </c>
      <c r="L6" s="4380"/>
      <c r="M6" s="1313">
        <v>27</v>
      </c>
      <c r="N6" s="4366" t="s">
        <v>170</v>
      </c>
      <c r="O6" s="4367"/>
      <c r="P6" s="1312">
        <v>34</v>
      </c>
      <c r="Q6" s="49"/>
    </row>
    <row r="7" spans="1:41" s="196" customFormat="1" ht="18.75" customHeight="1">
      <c r="A7" s="40"/>
      <c r="B7" s="245" t="s">
        <v>883</v>
      </c>
      <c r="C7" s="40"/>
      <c r="D7" s="40"/>
      <c r="E7" s="40"/>
      <c r="F7" s="40"/>
      <c r="G7" s="1310"/>
      <c r="H7" s="1307"/>
      <c r="I7" s="1306"/>
      <c r="J7" s="1041">
        <f>SUM(I9:I10)</f>
        <v>820</v>
      </c>
      <c r="K7" s="1309"/>
      <c r="L7" s="1308"/>
      <c r="M7" s="1044">
        <f>SUM(L9:L10)</f>
        <v>1107</v>
      </c>
      <c r="N7" s="1307"/>
      <c r="O7" s="1306"/>
      <c r="P7" s="1041">
        <f>SUM(O9:O10)</f>
        <v>1394</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'SDK1'!O33</f>
        <v>41</v>
      </c>
      <c r="H9" s="1303">
        <f>J6-H10</f>
        <v>20</v>
      </c>
      <c r="I9" s="1299">
        <f>H9*G9</f>
        <v>820</v>
      </c>
      <c r="J9" s="37"/>
      <c r="K9" s="1302">
        <f>M6-K10</f>
        <v>27</v>
      </c>
      <c r="L9" s="1301">
        <f>K9*G9</f>
        <v>1107</v>
      </c>
      <c r="M9" s="1280"/>
      <c r="N9" s="1300">
        <f>P6-N10</f>
        <v>34</v>
      </c>
      <c r="O9" s="1299">
        <f>N9*G9</f>
        <v>1394</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309"/>
      <c r="B11" s="217"/>
      <c r="C11" s="39" t="s">
        <v>878</v>
      </c>
      <c r="D11" s="309"/>
      <c r="E11" s="1286">
        <v>1</v>
      </c>
      <c r="F11" s="39" t="s">
        <v>877</v>
      </c>
      <c r="G11" s="1285">
        <f>'SDK1'!$O$48</f>
        <v>10.7</v>
      </c>
      <c r="H11" s="3151">
        <f>IF($T$3=FALSE,0,J6*$E$11)</f>
        <v>0</v>
      </c>
      <c r="I11" s="3152">
        <f>H11*$G$11</f>
        <v>0</v>
      </c>
      <c r="J11" s="3153"/>
      <c r="K11" s="3154">
        <f>IF($T$3=FALSE,0,M6*$E$11)</f>
        <v>0</v>
      </c>
      <c r="L11" s="3155">
        <f>K11*$G$11</f>
        <v>0</v>
      </c>
      <c r="M11" s="3156"/>
      <c r="N11" s="3157">
        <f>IF($T$3=FALSE,0,P6*$E$11)</f>
        <v>0</v>
      </c>
      <c r="O11" s="3152">
        <f>N11*$G$11</f>
        <v>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6" customHeight="1">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6" customHeight="1">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6" customHeight="1">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347.5</v>
      </c>
      <c r="K23" s="1046"/>
      <c r="L23" s="1045"/>
      <c r="M23" s="1227">
        <f>SUM(L25:L26)</f>
        <v>347.5</v>
      </c>
      <c r="N23" s="1043"/>
      <c r="O23" s="1042"/>
      <c r="P23" s="1026">
        <f>SUM(O25:O26)</f>
        <v>347.5</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'SDK7'!F65/100</f>
        <v>2.5</v>
      </c>
      <c r="G25" s="1221">
        <f>F25*(100+$D$24)/100</f>
        <v>2.5</v>
      </c>
      <c r="H25" s="1220">
        <v>139</v>
      </c>
      <c r="I25" s="1181">
        <f>H25*$G25</f>
        <v>347.5</v>
      </c>
      <c r="J25" s="39"/>
      <c r="K25" s="1220">
        <v>139</v>
      </c>
      <c r="L25" s="1023">
        <f>K25*$G25</f>
        <v>347.5</v>
      </c>
      <c r="M25" s="1016"/>
      <c r="N25" s="1220">
        <v>139</v>
      </c>
      <c r="O25" s="1181">
        <f>N25*$G25</f>
        <v>347.5</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52.912800000000011</v>
      </c>
      <c r="K27" s="1175"/>
      <c r="L27" s="1174"/>
      <c r="M27" s="1044">
        <f>SUM(L30:L32)</f>
        <v>71.43228000000002</v>
      </c>
      <c r="N27" s="1173"/>
      <c r="O27" s="1172"/>
      <c r="P27" s="1041">
        <f>SUM(O30:O32)</f>
        <v>89.951760000000007</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-0.89999999999999947</v>
      </c>
      <c r="F30" s="1201">
        <f>VLOOKUP(K2,'SD8'!B9:L42,7,FALSE)</f>
        <v>1.5</v>
      </c>
      <c r="G30" s="1200"/>
      <c r="H30" s="1198">
        <f>IF(J$6=0,0,(J$6*$E30+$G30+X14))</f>
        <v>-17.999999999999989</v>
      </c>
      <c r="I30" s="1181">
        <f>H30*$D30</f>
        <v>-21.419999999999987</v>
      </c>
      <c r="J30" s="39"/>
      <c r="K30" s="1199">
        <f>IF(M$6=0,0,(M$6*$E30+$G30+Y14))</f>
        <v>-24.299999999999986</v>
      </c>
      <c r="L30" s="1023">
        <f>K30*$D30</f>
        <v>-28.916999999999984</v>
      </c>
      <c r="M30" s="1016"/>
      <c r="N30" s="1198">
        <f>IF(P$6=0,0,(P$6*$E30+$G30+Z14))</f>
        <v>-30.59999999999998</v>
      </c>
      <c r="O30" s="1181">
        <f>N30*$D30</f>
        <v>-36.413999999999973</v>
      </c>
      <c r="P30" s="1145"/>
      <c r="Q30" s="34"/>
    </row>
    <row r="31" spans="1:26" s="36" customFormat="1" ht="15" customHeight="1">
      <c r="A31" s="746"/>
      <c r="B31" s="217"/>
      <c r="C31" s="746" t="s">
        <v>234</v>
      </c>
      <c r="D31" s="1150">
        <f>'SDK1'!O53</f>
        <v>1.2</v>
      </c>
      <c r="E31" s="1201">
        <f>VLOOKUP(K2,'SD8'!B9:L42,4,FALSE)</f>
        <v>1.5</v>
      </c>
      <c r="F31" s="1201">
        <f>VLOOKUP(K2,'SD8'!B9:L42,8,FALSE)</f>
        <v>0.30000000000000004</v>
      </c>
      <c r="G31" s="1200"/>
      <c r="H31" s="1198">
        <f>IF(J$6=0,0,(J$6*$E31+$G31+X15))</f>
        <v>30</v>
      </c>
      <c r="I31" s="1181">
        <f>H31*$D31</f>
        <v>36</v>
      </c>
      <c r="J31" s="39"/>
      <c r="K31" s="1199">
        <f>IF(M$6=0,0,(M$6*$E31+$G31+Y15))</f>
        <v>40.5</v>
      </c>
      <c r="L31" s="1023">
        <f>K31*$D31</f>
        <v>48.6</v>
      </c>
      <c r="M31" s="1016"/>
      <c r="N31" s="1198">
        <f>IF(P$6=0,0,(P$6*$E31+$G31+Z15))</f>
        <v>51</v>
      </c>
      <c r="O31" s="1181">
        <f>N31*$D31</f>
        <v>61.199999999999996</v>
      </c>
      <c r="P31" s="1145"/>
      <c r="Q31" s="34"/>
    </row>
    <row r="32" spans="1:26" s="36" customFormat="1" ht="15" customHeight="1">
      <c r="A32" s="746"/>
      <c r="B32" s="185"/>
      <c r="C32" s="2791" t="s">
        <v>232</v>
      </c>
      <c r="D32" s="1133">
        <f>'SDK1'!O54</f>
        <v>0.99</v>
      </c>
      <c r="E32" s="1197">
        <f>VLOOKUP(K2,'SD8'!B9:L42,5,FALSE)</f>
        <v>1.9359999999999999</v>
      </c>
      <c r="F32" s="1197">
        <f>VLOOKUP(K2,'SD8'!B9:L42,9,FALSE)</f>
        <v>3.2839999999999998</v>
      </c>
      <c r="G32" s="1196"/>
      <c r="H32" s="1194">
        <f>IF(J$6=0,0,(J$6*$E32+$G32+X16))</f>
        <v>38.72</v>
      </c>
      <c r="I32" s="1177">
        <f>H32*$D32</f>
        <v>38.332799999999999</v>
      </c>
      <c r="J32" s="223"/>
      <c r="K32" s="1195">
        <f>IF(M$6=0,0,(M$6*$E32+$G32+Y16))</f>
        <v>52.271999999999998</v>
      </c>
      <c r="L32" s="1017">
        <f>K32*$D32</f>
        <v>51.749279999999999</v>
      </c>
      <c r="M32" s="1256"/>
      <c r="N32" s="1194">
        <f>IF(P$6=0,0,(P$6*$E32+$G32+Z16))</f>
        <v>65.823999999999998</v>
      </c>
      <c r="O32" s="1177">
        <f>N32*$D32</f>
        <v>65.165759999999992</v>
      </c>
      <c r="P32" s="1176"/>
      <c r="Q32" s="34"/>
    </row>
    <row r="33" spans="1:17" s="36" customFormat="1" ht="15" hidden="1" customHeight="1">
      <c r="A33" s="746"/>
      <c r="B33" s="185"/>
      <c r="C33" s="771" t="s">
        <v>230</v>
      </c>
      <c r="D33" s="1133">
        <f>'SDK1'!P55</f>
        <v>0.45</v>
      </c>
      <c r="E33" s="1197">
        <f>VLOOKUP(K2,'SD8'!B9:L42,6,FALSE)</f>
        <v>0.3</v>
      </c>
      <c r="F33" s="1197">
        <f>VLOOKUP(K2,'SD8'!B9:L42,10,FALSE)</f>
        <v>0.66999999999999993</v>
      </c>
      <c r="G33" s="1196"/>
      <c r="H33" s="1194">
        <f>IF(J$6=0,0,(J$6*$E33+$G33+X17))</f>
        <v>6</v>
      </c>
      <c r="I33" s="1177">
        <f>H33*$D33</f>
        <v>2.7</v>
      </c>
      <c r="J33" s="39"/>
      <c r="K33" s="1195">
        <f>IF(M$6=0,0,(M$6*$E33+$G33+Y17))</f>
        <v>8.1</v>
      </c>
      <c r="L33" s="1017">
        <f>K33*$D33</f>
        <v>3.645</v>
      </c>
      <c r="M33" s="1016"/>
      <c r="N33" s="1194">
        <f>IF(P$6=0,0,(P$6*$E33+$G33+Z17))</f>
        <v>10.199999999999999</v>
      </c>
      <c r="O33" s="1177">
        <f>N33*$D33</f>
        <v>4.59</v>
      </c>
      <c r="P33" s="1176"/>
      <c r="Q33" s="34"/>
    </row>
    <row r="34" spans="1:17" s="511" customFormat="1" ht="18.75" customHeight="1">
      <c r="A34" s="711"/>
      <c r="B34" s="716" t="s">
        <v>859</v>
      </c>
      <c r="C34" s="711"/>
      <c r="D34" s="33"/>
      <c r="E34" s="33"/>
      <c r="F34" s="4381" t="s">
        <v>858</v>
      </c>
      <c r="G34" s="4382"/>
      <c r="H34" s="1191"/>
      <c r="I34" s="1190"/>
      <c r="J34" s="1041">
        <f>SUM(I36:I42)</f>
        <v>66.419999999999987</v>
      </c>
      <c r="K34" s="1193"/>
      <c r="L34" s="1192"/>
      <c r="M34" s="1044">
        <f>SUM(L36:L42)</f>
        <v>66.419999999999987</v>
      </c>
      <c r="N34" s="1191"/>
      <c r="O34" s="1190"/>
      <c r="P34" s="1041">
        <f>SUM(O36:O42)</f>
        <v>66.419999999999987</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485</v>
      </c>
      <c r="D36" s="4389"/>
      <c r="E36" s="4390"/>
      <c r="F36" s="1183">
        <f>IF(C36="",0,VLOOKUP(C36,'SDK5'!C3:AF83,2,FALSE))</f>
        <v>23.9</v>
      </c>
      <c r="G36" s="1183">
        <f t="shared" ref="G36:G42" si="0">F36*(100+$D$35)/100</f>
        <v>23.9</v>
      </c>
      <c r="H36" s="1374">
        <v>1.4</v>
      </c>
      <c r="I36" s="1181">
        <f t="shared" ref="I36:I42" si="1">$G36*H36</f>
        <v>33.459999999999994</v>
      </c>
      <c r="J36" s="39"/>
      <c r="K36" s="1374">
        <v>1.4</v>
      </c>
      <c r="L36" s="1023">
        <f t="shared" ref="L36:L42" si="2">$G36*K36</f>
        <v>33.459999999999994</v>
      </c>
      <c r="M36" s="1016"/>
      <c r="N36" s="1374">
        <v>1.4</v>
      </c>
      <c r="O36" s="1181">
        <f t="shared" ref="O36:O42" si="3">$G36*N36</f>
        <v>33.459999999999994</v>
      </c>
      <c r="P36" s="1185"/>
      <c r="Q36" s="34"/>
    </row>
    <row r="37" spans="1:17" s="36" customFormat="1" ht="15" customHeight="1">
      <c r="A37" s="746"/>
      <c r="B37" s="1021"/>
      <c r="C37" s="4375" t="s">
        <v>1419</v>
      </c>
      <c r="D37" s="4375"/>
      <c r="E37" s="4376"/>
      <c r="F37" s="1183">
        <f>IF(C37="",0,VLOOKUP(C37,'SDK5'!C4:AF84,2,FALSE))</f>
        <v>41.2</v>
      </c>
      <c r="G37" s="1183">
        <f t="shared" si="0"/>
        <v>41.2</v>
      </c>
      <c r="H37" s="1374">
        <v>0.8</v>
      </c>
      <c r="I37" s="1181">
        <f t="shared" si="1"/>
        <v>32.96</v>
      </c>
      <c r="J37" s="39"/>
      <c r="K37" s="1374">
        <v>0.8</v>
      </c>
      <c r="L37" s="1023">
        <f t="shared" si="2"/>
        <v>32.96</v>
      </c>
      <c r="M37" s="1016"/>
      <c r="N37" s="1374">
        <v>0.8</v>
      </c>
      <c r="O37" s="1181">
        <f t="shared" si="3"/>
        <v>32.96</v>
      </c>
      <c r="P37" s="1145"/>
      <c r="Q37" s="34"/>
    </row>
    <row r="38" spans="1:17" s="36" customFormat="1" ht="15" customHeight="1">
      <c r="A38" s="746"/>
      <c r="B38" s="1184"/>
      <c r="C38" s="4375" t="s">
        <v>311</v>
      </c>
      <c r="D38" s="4375"/>
      <c r="E38" s="4376"/>
      <c r="F38" s="1183">
        <f>IF(C38="",0,VLOOKUP(C38,'SDK5'!C5:AF85,2,FALSE))</f>
        <v>0</v>
      </c>
      <c r="G38" s="1183">
        <f t="shared" si="0"/>
        <v>0</v>
      </c>
      <c r="H38" s="1374"/>
      <c r="I38" s="1181">
        <f t="shared" si="1"/>
        <v>0</v>
      </c>
      <c r="J38" s="39"/>
      <c r="K38" s="1374"/>
      <c r="L38" s="1023">
        <f t="shared" si="2"/>
        <v>0</v>
      </c>
      <c r="M38" s="1016"/>
      <c r="N38" s="1374"/>
      <c r="O38" s="1181">
        <f t="shared" si="3"/>
        <v>0</v>
      </c>
      <c r="P38" s="1145"/>
      <c r="Q38" s="34"/>
    </row>
    <row r="39" spans="1:17" s="36" customFormat="1" ht="15" customHeight="1">
      <c r="A39" s="746"/>
      <c r="B39" s="1021"/>
      <c r="C39" s="4375"/>
      <c r="D39" s="4375"/>
      <c r="E39" s="4376"/>
      <c r="F39" s="1183">
        <f>IF(C39="",0,VLOOKUP(C39,'SDK5'!C6:AF86,2,FALSE))</f>
        <v>0</v>
      </c>
      <c r="G39" s="1183">
        <f t="shared" si="0"/>
        <v>0</v>
      </c>
      <c r="H39" s="1374"/>
      <c r="I39" s="1181">
        <f t="shared" si="1"/>
        <v>0</v>
      </c>
      <c r="J39" s="39"/>
      <c r="K39" s="1374"/>
      <c r="L39" s="1023">
        <f t="shared" si="2"/>
        <v>0</v>
      </c>
      <c r="M39" s="1016"/>
      <c r="N39" s="1374"/>
      <c r="O39" s="1181">
        <f t="shared" si="3"/>
        <v>0</v>
      </c>
      <c r="P39" s="1145"/>
      <c r="Q39" s="34"/>
    </row>
    <row r="40" spans="1:17" s="36" customFormat="1" ht="15" customHeight="1">
      <c r="A40" s="746"/>
      <c r="B40" s="1021"/>
      <c r="C40" s="4375"/>
      <c r="D40" s="4375"/>
      <c r="E40" s="4376"/>
      <c r="F40" s="1183">
        <f>IF(C40="",0,VLOOKUP(C40,'SDK5'!C7:AF87,2,FALSE))</f>
        <v>0</v>
      </c>
      <c r="G40" s="1183">
        <f t="shared" si="0"/>
        <v>0</v>
      </c>
      <c r="H40" s="1374"/>
      <c r="I40" s="1181">
        <f t="shared" si="1"/>
        <v>0</v>
      </c>
      <c r="J40" s="39"/>
      <c r="K40" s="1374"/>
      <c r="L40" s="1023">
        <f t="shared" si="2"/>
        <v>0</v>
      </c>
      <c r="M40" s="1016"/>
      <c r="N40" s="1374"/>
      <c r="O40" s="1181">
        <f t="shared" si="3"/>
        <v>0</v>
      </c>
      <c r="P40" s="1145"/>
      <c r="Q40" s="34"/>
    </row>
    <row r="41" spans="1:17" s="36" customFormat="1" ht="15" customHeight="1">
      <c r="A41" s="746"/>
      <c r="B41" s="1021"/>
      <c r="C41" s="4375"/>
      <c r="D41" s="4375"/>
      <c r="E41" s="4376"/>
      <c r="F41" s="1183">
        <f>IF(C41="",0,VLOOKUP(C41,'SDK5'!C8:AF88,2,FALSE))</f>
        <v>0</v>
      </c>
      <c r="G41" s="1183">
        <f t="shared" si="0"/>
        <v>0</v>
      </c>
      <c r="H41" s="1374"/>
      <c r="I41" s="1181">
        <f t="shared" si="1"/>
        <v>0</v>
      </c>
      <c r="J41" s="39"/>
      <c r="K41" s="1374"/>
      <c r="L41" s="1023">
        <f t="shared" si="2"/>
        <v>0</v>
      </c>
      <c r="M41" s="1016"/>
      <c r="N41" s="1374"/>
      <c r="O41" s="1181">
        <f t="shared" si="3"/>
        <v>0</v>
      </c>
      <c r="P41" s="1145"/>
      <c r="Q41" s="34"/>
    </row>
    <row r="42" spans="1:17" s="36" customFormat="1" ht="15" customHeight="1">
      <c r="A42" s="746"/>
      <c r="B42" s="1180"/>
      <c r="C42" s="4361"/>
      <c r="D42" s="4361"/>
      <c r="E42" s="4362"/>
      <c r="F42" s="1179">
        <f>IF(C42="",0,VLOOKUP(C42,'SDK5'!C9:AF89,2,FALSE))</f>
        <v>0</v>
      </c>
      <c r="G42" s="1179">
        <f t="shared" si="0"/>
        <v>0</v>
      </c>
      <c r="H42" s="1375"/>
      <c r="I42" s="1177">
        <f t="shared" si="1"/>
        <v>0</v>
      </c>
      <c r="J42" s="39"/>
      <c r="K42" s="1375"/>
      <c r="L42" s="1017">
        <f t="shared" si="2"/>
        <v>0</v>
      </c>
      <c r="M42" s="1016"/>
      <c r="N42" s="1375"/>
      <c r="O42" s="1177">
        <f t="shared" si="3"/>
        <v>0</v>
      </c>
      <c r="P42" s="1176"/>
      <c r="Q42" s="34"/>
    </row>
    <row r="43" spans="1:17" s="511" customFormat="1" ht="18.75" customHeight="1">
      <c r="A43" s="711"/>
      <c r="B43" s="716" t="s">
        <v>856</v>
      </c>
      <c r="C43" s="711"/>
      <c r="D43" s="711"/>
      <c r="E43" s="711"/>
      <c r="F43" s="711"/>
      <c r="G43" s="1047"/>
      <c r="H43" s="1173"/>
      <c r="I43" s="1172"/>
      <c r="J43" s="1041">
        <f>SUM(J46:J57)</f>
        <v>136.80785859333332</v>
      </c>
      <c r="K43" s="1374"/>
      <c r="L43" s="1174"/>
      <c r="M43" s="1044">
        <f>SUM(M46:M57)</f>
        <v>137.90520941199998</v>
      </c>
      <c r="N43" s="1173"/>
      <c r="O43" s="1172"/>
      <c r="P43" s="1041">
        <f>SUM(P46:P57)</f>
        <v>139.00256023066666</v>
      </c>
      <c r="Q43" s="34"/>
    </row>
    <row r="44" spans="1:17" s="36" customFormat="1" ht="15" customHeight="1">
      <c r="A44" s="746"/>
      <c r="B44" s="774"/>
      <c r="C44" s="746" t="s">
        <v>855</v>
      </c>
      <c r="D44" s="746"/>
      <c r="E44" s="1171" t="s">
        <v>365</v>
      </c>
      <c r="F44" s="1170" t="s">
        <v>854</v>
      </c>
      <c r="G44" s="1169"/>
      <c r="H44" s="306" t="s">
        <v>853</v>
      </c>
      <c r="I44" s="1165" t="s">
        <v>852</v>
      </c>
      <c r="J44" s="1164"/>
      <c r="K44" s="1374"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374" t="s">
        <v>849</v>
      </c>
      <c r="L45" s="1161" t="s">
        <v>113</v>
      </c>
      <c r="M45" s="1160" t="s">
        <v>163</v>
      </c>
      <c r="N45" s="1159" t="s">
        <v>849</v>
      </c>
      <c r="O45" s="1033" t="s">
        <v>113</v>
      </c>
      <c r="P45" s="1158" t="s">
        <v>163</v>
      </c>
      <c r="Q45" s="34"/>
    </row>
    <row r="46" spans="1:17"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47">
        <v>1</v>
      </c>
      <c r="I46" s="1154">
        <f t="shared" ref="I46:I57" si="4">$F46*H46</f>
        <v>1.38</v>
      </c>
      <c r="J46" s="1145">
        <f t="shared" ref="J46:J57" si="5">H46*$G46</f>
        <v>64.642445999999993</v>
      </c>
      <c r="K46" s="1147">
        <v>1</v>
      </c>
      <c r="L46" s="1156">
        <f t="shared" ref="L46:L57" si="6">$F46*K46</f>
        <v>1.38</v>
      </c>
      <c r="M46" s="1148">
        <f t="shared" ref="M46:M57" si="7">K46*$G46</f>
        <v>64.642445999999993</v>
      </c>
      <c r="N46" s="1147">
        <v>1</v>
      </c>
      <c r="O46" s="1154">
        <f t="shared" ref="O46:O57" si="8">$F46*N46</f>
        <v>1.38</v>
      </c>
      <c r="P46" s="1145">
        <f t="shared" ref="P46:P57" si="9">N46*$G46</f>
        <v>64.642445999999993</v>
      </c>
      <c r="Q46" s="34">
        <f>$Q$2*H46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346</v>
      </c>
      <c r="D48" s="4388"/>
      <c r="E48" s="1152">
        <f>IF($C48=0,0,VLOOKUP($C48,'SD3'!$C$24:$O$85,4,FALSE))</f>
        <v>83</v>
      </c>
      <c r="F48" s="1151">
        <f>IF($C48=0,0,VLOOKUP($C48,'SD3'!$C$24:$O$85,12,FALSE))</f>
        <v>0.16</v>
      </c>
      <c r="G48" s="1150">
        <f>IF($C48=0,0,VLOOKUP($C48,'SD3'!$C$24:$O$85,13,FALSE))</f>
        <v>3.7403892799999996</v>
      </c>
      <c r="H48" s="1147">
        <v>1</v>
      </c>
      <c r="I48" s="1146">
        <f t="shared" si="4"/>
        <v>0.16</v>
      </c>
      <c r="J48" s="1145">
        <f t="shared" si="5"/>
        <v>3.7403892799999996</v>
      </c>
      <c r="K48" s="1147">
        <v>1</v>
      </c>
      <c r="L48" s="1149">
        <f t="shared" si="6"/>
        <v>0.16</v>
      </c>
      <c r="M48" s="1148">
        <f t="shared" si="7"/>
        <v>3.7403892799999996</v>
      </c>
      <c r="N48" s="1147">
        <v>1</v>
      </c>
      <c r="O48" s="1146">
        <f t="shared" si="8"/>
        <v>0.16</v>
      </c>
      <c r="P48" s="1145">
        <f t="shared" si="9"/>
        <v>3.7403892799999996</v>
      </c>
      <c r="Q48" s="34"/>
    </row>
    <row r="49" spans="1:17" s="36" customFormat="1" ht="15" customHeight="1">
      <c r="A49" s="746"/>
      <c r="B49" s="1153"/>
      <c r="C49" s="4387" t="s">
        <v>1591</v>
      </c>
      <c r="D49" s="4388"/>
      <c r="E49" s="1152">
        <f>IF($C49=0,0,VLOOKUP($C49,'SD3'!$C$24:$O$85,4,FALSE))</f>
        <v>83</v>
      </c>
      <c r="F49" s="1151">
        <f>IF($C49=0,0,VLOOKUP($C49,'SD3'!$C$24:$O$85,12,FALSE))</f>
        <v>0.22</v>
      </c>
      <c r="G49" s="1150">
        <f>IF($C49=0,0,VLOOKUP($C49,'SD3'!$C$24:$O$85,13,FALSE))</f>
        <v>6.6430352599999996</v>
      </c>
      <c r="H49" s="1147">
        <v>1</v>
      </c>
      <c r="I49" s="1146">
        <f t="shared" si="4"/>
        <v>0.22</v>
      </c>
      <c r="J49" s="1145">
        <f t="shared" si="5"/>
        <v>6.6430352599999996</v>
      </c>
      <c r="K49" s="1147">
        <v>1</v>
      </c>
      <c r="L49" s="1149">
        <f t="shared" si="6"/>
        <v>0.22</v>
      </c>
      <c r="M49" s="1148">
        <f t="shared" si="7"/>
        <v>6.6430352599999996</v>
      </c>
      <c r="N49" s="1147">
        <v>1</v>
      </c>
      <c r="O49" s="1146">
        <f t="shared" si="8"/>
        <v>0.22</v>
      </c>
      <c r="P49" s="1145">
        <f t="shared" si="9"/>
        <v>6.6430352599999996</v>
      </c>
      <c r="Q49" s="34"/>
    </row>
    <row r="50" spans="1:17" s="36" customFormat="1" ht="15" customHeight="1">
      <c r="A50" s="746"/>
      <c r="B50" s="1153"/>
      <c r="C50" s="4419" t="s">
        <v>1748</v>
      </c>
      <c r="D50" s="4420"/>
      <c r="E50" s="1152">
        <f>IF($C50=0,0,VLOOKUP($C50,'SD3'!$C$24:$O$85,4,FALSE))</f>
        <v>120</v>
      </c>
      <c r="F50" s="1151">
        <f>IF($C50=0,0,VLOOKUP($C50,'SD3'!$C$24:$O$85,12,FALSE))</f>
        <v>0.37</v>
      </c>
      <c r="G50" s="1150">
        <f>IF($C50=0,0,VLOOKUP($C50,'SD3'!$C$24:$O$85,13,FALSE))</f>
        <v>11.7573302</v>
      </c>
      <c r="H50" s="3654">
        <f>J6/75</f>
        <v>0.26666666666666666</v>
      </c>
      <c r="I50" s="1146">
        <f t="shared" si="4"/>
        <v>9.8666666666666666E-2</v>
      </c>
      <c r="J50" s="1145">
        <f t="shared" si="5"/>
        <v>3.1352880533333334</v>
      </c>
      <c r="K50" s="3654">
        <f>M6/75</f>
        <v>0.36</v>
      </c>
      <c r="L50" s="1149">
        <f t="shared" si="6"/>
        <v>0.13319999999999999</v>
      </c>
      <c r="M50" s="1148">
        <f t="shared" si="7"/>
        <v>4.2326388719999999</v>
      </c>
      <c r="N50" s="3654">
        <f>P6/75</f>
        <v>0.45333333333333331</v>
      </c>
      <c r="O50" s="1146">
        <f t="shared" si="8"/>
        <v>0.16773333333333332</v>
      </c>
      <c r="P50" s="1145">
        <f t="shared" si="9"/>
        <v>5.3299896906666664</v>
      </c>
      <c r="Q50" s="34"/>
    </row>
    <row r="51" spans="1:17" s="36" customFormat="1" ht="15" customHeight="1">
      <c r="A51" s="746"/>
      <c r="B51" s="1153"/>
      <c r="C51" s="4387" t="s">
        <v>360</v>
      </c>
      <c r="D51" s="4388"/>
      <c r="E51" s="1152">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row>
    <row r="58" spans="1:17" s="46" customFormat="1" ht="18.75" customHeight="1">
      <c r="A58" s="811"/>
      <c r="B58" s="716" t="s">
        <v>848</v>
      </c>
      <c r="C58" s="811"/>
      <c r="D58" s="811"/>
      <c r="E58" s="811"/>
      <c r="F58" s="34"/>
      <c r="G58" s="1047"/>
      <c r="H58" s="1124"/>
      <c r="I58" s="1123">
        <f>SUM($I$46:$I$57)</f>
        <v>3.3586666666666667</v>
      </c>
      <c r="J58" s="1128"/>
      <c r="K58" s="1127"/>
      <c r="L58" s="1126">
        <f>SUM($L$46:$L$57)</f>
        <v>3.3932000000000002</v>
      </c>
      <c r="M58" s="1125"/>
      <c r="N58" s="1124"/>
      <c r="O58" s="1123">
        <f>SUM($O$46:$O$57)</f>
        <v>3.4277333333333337</v>
      </c>
      <c r="P58" s="1122"/>
      <c r="Q58" s="34"/>
    </row>
    <row r="59" spans="1:17" s="46" customFormat="1" ht="15" customHeight="1">
      <c r="A59" s="811"/>
      <c r="B59" s="1121"/>
      <c r="C59" s="285"/>
      <c r="D59" s="222" t="s">
        <v>847</v>
      </c>
      <c r="E59" s="1120">
        <v>80</v>
      </c>
      <c r="F59" s="285" t="s">
        <v>846</v>
      </c>
      <c r="G59" s="1119"/>
      <c r="H59" s="1115"/>
      <c r="I59" s="1114">
        <f>IF(I58+SUM($I$46:$I$57)*$E$59%&gt;I58+10,I58+10,I58+SUM($I$46:$I$57)*$E$59%)</f>
        <v>6.0456000000000003</v>
      </c>
      <c r="J59" s="1113"/>
      <c r="K59" s="1118"/>
      <c r="L59" s="1117">
        <f>IF(L58+SUM($L$46:$L$57)*$E$59%&gt;L58+10,L58+10,L58+SUM($L$46:$L$57)*$E$59%)</f>
        <v>6.1077600000000007</v>
      </c>
      <c r="M59" s="1116"/>
      <c r="N59" s="1115"/>
      <c r="O59" s="1114">
        <f>IF(O58+SUM($O$46:$O$57)*$E$59%&gt;O58+10,O58+10,O58+SUM($O$46:$O$57)*$E$59%)</f>
        <v>6.1699200000000012</v>
      </c>
      <c r="P59" s="1113"/>
      <c r="Q59" s="34"/>
    </row>
    <row r="60" spans="1:17" s="36" customFormat="1" ht="18.75" customHeight="1">
      <c r="A60" s="746"/>
      <c r="B60" s="716" t="s">
        <v>845</v>
      </c>
      <c r="C60" s="811"/>
      <c r="D60" s="811"/>
      <c r="E60" s="39"/>
      <c r="F60" s="39"/>
      <c r="G60" s="1112"/>
      <c r="H60" s="1104"/>
      <c r="I60" s="1103"/>
      <c r="J60" s="1111">
        <f>IF(J6=0,0,SUM(I62:I64))</f>
        <v>204.3</v>
      </c>
      <c r="K60" s="1107"/>
      <c r="L60" s="1106"/>
      <c r="M60" s="1044">
        <f>IF(M6=0,0,SUM(L62:L64))</f>
        <v>204.3</v>
      </c>
      <c r="N60" s="1104"/>
      <c r="O60" s="1103"/>
      <c r="P60" s="1111">
        <f>IF(P6=0,0,SUM(O62:O64))</f>
        <v>204.3</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298</v>
      </c>
      <c r="D62" s="4365"/>
      <c r="E62" s="4365"/>
      <c r="F62" s="1101">
        <f>IF($C62=0,0,VLOOKUP($C62,'SD3'!$C$90:$D$104,2,FALSE))</f>
        <v>204.3</v>
      </c>
      <c r="G62" s="1100">
        <f>(100+$D$61)/100*F62</f>
        <v>204.3</v>
      </c>
      <c r="H62" s="173"/>
      <c r="I62" s="1096">
        <f>$G$62</f>
        <v>204.3</v>
      </c>
      <c r="J62" s="173"/>
      <c r="K62" s="1099"/>
      <c r="L62" s="1098">
        <f>$G$62</f>
        <v>204.3</v>
      </c>
      <c r="M62" s="1016"/>
      <c r="N62" s="1097"/>
      <c r="O62" s="1096">
        <f>$G$62</f>
        <v>204.3</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51.678000000000026</v>
      </c>
      <c r="K67" s="1068" t="s">
        <v>842</v>
      </c>
      <c r="L67" s="1067" t="s">
        <v>841</v>
      </c>
      <c r="M67" s="1044">
        <f>S68*(K9+K10)*L68%+F68</f>
        <v>69.765300000000039</v>
      </c>
      <c r="N67" s="1066" t="s">
        <v>842</v>
      </c>
      <c r="O67" s="1065" t="s">
        <v>841</v>
      </c>
      <c r="P67" s="1041">
        <f>T68*(N9+N10)*O68%+F68</f>
        <v>87.852600000000052</v>
      </c>
      <c r="Q67" s="34"/>
    </row>
    <row r="68" spans="1:20" s="511" customFormat="1" ht="15" customHeight="1">
      <c r="A68" s="711"/>
      <c r="B68" s="1064"/>
      <c r="C68" s="4393" t="s">
        <v>564</v>
      </c>
      <c r="D68" s="4393"/>
      <c r="E68" s="4393"/>
      <c r="F68" s="1063"/>
      <c r="G68" s="1054" t="s">
        <v>163</v>
      </c>
      <c r="H68" s="1061">
        <v>18</v>
      </c>
      <c r="I68" s="1060">
        <v>66</v>
      </c>
      <c r="J68" s="1059"/>
      <c r="K68" s="1061">
        <v>18</v>
      </c>
      <c r="L68" s="1060">
        <v>66</v>
      </c>
      <c r="M68" s="1062"/>
      <c r="N68" s="1061">
        <v>18</v>
      </c>
      <c r="O68" s="1060">
        <v>66</v>
      </c>
      <c r="P68" s="1059"/>
      <c r="Q68" s="34"/>
      <c r="R68" s="1058">
        <f>IF($H$68=0,0,VLOOKUP($H$68,'SD6'!F8:G146,'SD6'!G1,FALSE))*(1+'SDK1'!O11/100)</f>
        <v>3.9150000000000018</v>
      </c>
      <c r="S68" s="1058">
        <f>IF($K$68=0,0,VLOOKUP($K$68,'SD6'!F8:G146,'SD6'!G1,FALSE))*(1+'SDK1'!O11/100)</f>
        <v>3.9150000000000018</v>
      </c>
      <c r="T68" s="1058">
        <f>IF($N$68=0,0,VLOOKUP($N$68,'SD6'!F8:G146,'SD6'!G1,FALSE))*(1+'SDK1'!O11/100)</f>
        <v>3.9150000000000018</v>
      </c>
    </row>
    <row r="69" spans="1:20" s="511" customFormat="1" ht="18.75" customHeight="1">
      <c r="A69" s="711"/>
      <c r="B69" s="716" t="s">
        <v>839</v>
      </c>
      <c r="C69" s="711"/>
      <c r="D69" s="711"/>
      <c r="E69" s="34"/>
      <c r="F69" s="34"/>
      <c r="G69" s="1047"/>
      <c r="H69" s="38"/>
      <c r="I69" s="51"/>
      <c r="J69" s="1041">
        <f>H70*$F70/1000</f>
        <v>22.96</v>
      </c>
      <c r="K69" s="1057"/>
      <c r="L69" s="1056"/>
      <c r="M69" s="1044">
        <f>K70*$F70/1000</f>
        <v>30.995999999999999</v>
      </c>
      <c r="N69" s="38"/>
      <c r="O69" s="51"/>
      <c r="P69" s="1041">
        <f>N70*$F70/1000</f>
        <v>39.031999999999996</v>
      </c>
      <c r="Q69" s="34"/>
    </row>
    <row r="70" spans="1:20" s="511" customFormat="1" ht="15" customHeight="1">
      <c r="A70" s="711"/>
      <c r="B70" s="772"/>
      <c r="C70" s="771" t="s">
        <v>606</v>
      </c>
      <c r="D70" s="285"/>
      <c r="E70" s="222"/>
      <c r="F70" s="3742">
        <f>'SDK7'!G110</f>
        <v>28</v>
      </c>
      <c r="G70" s="1054" t="s">
        <v>163</v>
      </c>
      <c r="H70" s="1357">
        <f>J7</f>
        <v>820</v>
      </c>
      <c r="I70" s="1049"/>
      <c r="J70" s="1048"/>
      <c r="K70" s="1053">
        <f>M7</f>
        <v>1107</v>
      </c>
      <c r="L70" s="1052"/>
      <c r="M70" s="1051"/>
      <c r="N70" s="1357">
        <f>P7</f>
        <v>1394</v>
      </c>
      <c r="O70" s="1049"/>
      <c r="P70" s="1048"/>
      <c r="Q70" s="34"/>
    </row>
    <row r="71" spans="1:20" ht="18.75" customHeight="1">
      <c r="A71" s="309"/>
      <c r="B71" s="245" t="s">
        <v>838</v>
      </c>
      <c r="C71" s="309"/>
      <c r="D71" s="309"/>
      <c r="E71" s="175"/>
      <c r="G71" s="1047"/>
      <c r="H71" s="1043"/>
      <c r="I71" s="1042"/>
      <c r="J71" s="1041">
        <f>SUM(I73:I74)</f>
        <v>30</v>
      </c>
      <c r="K71" s="1046"/>
      <c r="L71" s="1045"/>
      <c r="M71" s="1044">
        <f>SUM(L73:L74)</f>
        <v>30</v>
      </c>
      <c r="N71" s="1043"/>
      <c r="O71" s="1042"/>
      <c r="P71" s="1041">
        <f>SUM(O73:O74)</f>
        <v>30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t="s">
        <v>896</v>
      </c>
      <c r="D73" s="4400"/>
      <c r="E73" s="4400"/>
      <c r="F73" s="1025"/>
      <c r="G73" s="1024"/>
      <c r="H73" s="1018">
        <v>30</v>
      </c>
      <c r="I73" s="1022">
        <f>(100+$D$72)/100*H73</f>
        <v>30</v>
      </c>
      <c r="J73" s="39"/>
      <c r="K73" s="1018">
        <v>30</v>
      </c>
      <c r="L73" s="1023">
        <f>(100+$D$72)/100*K73</f>
        <v>30</v>
      </c>
      <c r="M73" s="1016"/>
      <c r="N73" s="1018">
        <v>30</v>
      </c>
      <c r="O73" s="1022">
        <f>(100+$D$72)/100*N73</f>
        <v>30</v>
      </c>
      <c r="P73" s="1013"/>
      <c r="Q73" s="34"/>
    </row>
    <row r="74" spans="1:20" s="36" customFormat="1" ht="15" customHeight="1">
      <c r="A74" s="746"/>
      <c r="B74" s="1021"/>
      <c r="C74" s="4399" t="s">
        <v>575</v>
      </c>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f>(J23+J27+J34+J43+J60+J65+J67+J69+J71)*('SDK1'!$O$59%*$G$75/12)</f>
        <v>7.6048221549444452</v>
      </c>
      <c r="K75" s="513"/>
      <c r="L75" s="522"/>
      <c r="M75" s="1005">
        <f>(M23+M27+M34+M43+M60+M65+M67+M69+M71)*('SDK1'!$O$59%*$G$75/12)</f>
        <v>7.9859899117666666</v>
      </c>
      <c r="N75" s="1007"/>
      <c r="O75" s="1006"/>
      <c r="P75" s="1005">
        <f>(P23+P27+P34+P43+P60+P65+P67+P69+P71)*('SDK1'!$O$59%*$G$75/12)</f>
        <v>8.367157668588888</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M151" s="31"/>
      <c r="N151" s="31"/>
      <c r="O151" s="31"/>
      <c r="P151" s="31"/>
      <c r="Q151" s="31"/>
    </row>
    <row r="152" spans="1:17">
      <c r="A152" s="31"/>
      <c r="B152" s="441"/>
      <c r="C152" s="12"/>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D159" s="12"/>
      <c r="F159" s="12"/>
      <c r="G159" s="12"/>
      <c r="H159" s="12"/>
      <c r="I159" s="12"/>
      <c r="J159" s="12"/>
      <c r="K159" s="12"/>
      <c r="M159" s="31"/>
      <c r="N159" s="31"/>
      <c r="O159" s="31"/>
      <c r="P159" s="31"/>
      <c r="Q159" s="31"/>
    </row>
    <row r="160" spans="1:17">
      <c r="A160" s="31"/>
      <c r="B160" s="441"/>
      <c r="C160" s="12"/>
      <c r="D160" s="12"/>
      <c r="F160" s="12"/>
      <c r="G160" s="12"/>
      <c r="H160" s="12"/>
      <c r="I160" s="12"/>
      <c r="J160" s="12"/>
      <c r="K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0" orientation="portrait" r:id="rId1"/>
      <headerFooter alignWithMargins="0">
        <oddFooter>&amp;L&amp;11LEL Schwäbisch Gmünd&amp;C63&amp;R&amp;11&amp;F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0" orientation="portrait" r:id="rId2"/>
      <headerFooter alignWithMargins="0">
        <oddFooter>&amp;L&amp;11LEL Schwäbisch Gmünd&amp;C63&amp;R&amp;11&amp;F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0" orientation="portrait" r:id="rId3"/>
      <headerFooter alignWithMargins="0">
        <oddFooter>&amp;L&amp;11LEL Schwäbisch Gmünd&amp;C63&amp;R&amp;11&amp;F</oddFooter>
      </headerFooter>
    </customSheetView>
  </customSheetViews>
  <mergeCells count="50">
    <mergeCell ref="C63:E63"/>
    <mergeCell ref="B75:C75"/>
    <mergeCell ref="K1:L1"/>
    <mergeCell ref="K2:P2"/>
    <mergeCell ref="D25:E25"/>
    <mergeCell ref="D26:E26"/>
    <mergeCell ref="C14:F14"/>
    <mergeCell ref="C15:F15"/>
    <mergeCell ref="N6:O6"/>
    <mergeCell ref="E10:F10"/>
    <mergeCell ref="K6:L6"/>
    <mergeCell ref="E4:I4"/>
    <mergeCell ref="N3:O4"/>
    <mergeCell ref="J3:L3"/>
    <mergeCell ref="C52:D52"/>
    <mergeCell ref="C57:D57"/>
    <mergeCell ref="C74:E74"/>
    <mergeCell ref="C64:E64"/>
    <mergeCell ref="C55:D55"/>
    <mergeCell ref="C73:E73"/>
    <mergeCell ref="F23:G23"/>
    <mergeCell ref="C38:E38"/>
    <mergeCell ref="C68:E68"/>
    <mergeCell ref="C62:E62"/>
    <mergeCell ref="C36:E36"/>
    <mergeCell ref="C42:E42"/>
    <mergeCell ref="C40:E40"/>
    <mergeCell ref="C41:E41"/>
    <mergeCell ref="F34:G34"/>
    <mergeCell ref="C39:E39"/>
    <mergeCell ref="C53:D53"/>
    <mergeCell ref="C54:D54"/>
    <mergeCell ref="N1:O1"/>
    <mergeCell ref="C16:F16"/>
    <mergeCell ref="C17:F17"/>
    <mergeCell ref="C19:F19"/>
    <mergeCell ref="E22:G22"/>
    <mergeCell ref="C20:F20"/>
    <mergeCell ref="C21:F21"/>
    <mergeCell ref="B3:H3"/>
    <mergeCell ref="C47:D47"/>
    <mergeCell ref="C46:D46"/>
    <mergeCell ref="C56:D56"/>
    <mergeCell ref="J4:L4"/>
    <mergeCell ref="H6:I6"/>
    <mergeCell ref="C37:E37"/>
    <mergeCell ref="C50:D50"/>
    <mergeCell ref="C51:D51"/>
    <mergeCell ref="C49:D49"/>
    <mergeCell ref="C48:D48"/>
  </mergeCells>
  <dataValidations count="5">
    <dataValidation type="list" showInputMessage="1" showErrorMessage="1" sqref="H14 K14 N14" xr:uid="{00000000-0002-0000-2A00-000000000000}">
      <formula1>"ja,nein"</formula1>
    </dataValidation>
    <dataValidation type="list" allowBlank="1" showInputMessage="1" showErrorMessage="1" sqref="H15:H17 K15:K17 N15:N17" xr:uid="{00000000-0002-0000-2A00-000001000000}">
      <formula1>"ja,nein"</formula1>
    </dataValidation>
    <dataValidation type="whole" allowBlank="1" showInputMessage="1" showErrorMessage="1" errorTitle="Anteil Erntegut" error="Prozentwert darf nur zwischen 0 und 100 liegen." sqref="O68 L68 I68" xr:uid="{00000000-0002-0000-2A00-000002000000}">
      <formula1>0</formula1>
      <formula2>100</formula2>
    </dataValidation>
    <dataValidation type="list" allowBlank="1" showInputMessage="1" showErrorMessage="1" errorTitle="Organisationsabh. Ausgleichsl." error="Bitte aus Dropdownliste auswählen." sqref="D19:F19" xr:uid="{00000000-0002-0000-2A00-000003000000}">
      <formula1>$C$60:$C$75</formula1>
    </dataValidation>
    <dataValidation type="decimal" allowBlank="1" showInputMessage="1" showErrorMessage="1" errorTitle="Wassergehalt Getreide" error="Zulässig sind nur Werte zwischen 9,1 und 26,9% Wassergehalt." sqref="N68 K68 H68" xr:uid="{00000000-0002-0000-2A00-000004000000}">
      <formula1>14.1</formula1>
      <formula2>26.9</formula2>
    </dataValidation>
  </dataValidations>
  <hyperlinks>
    <hyperlink ref="F9" location="'SDK1'!A1" display="Preis ändern" xr:uid="{00000000-0004-0000-2A00-000000000000}"/>
  </hyperlinks>
  <printOptions horizontalCentered="1"/>
  <pageMargins left="0.59055118110236227" right="0.59055118110236227" top="0.59055118110236227" bottom="0.59055118110236227" header="0.39370078740157483" footer="0.39370078740157483"/>
  <pageSetup paperSize="9" scale="65" firstPageNumber="50" orientation="portrait" r:id="rId4"/>
  <headerFooter alignWithMargins="0">
    <oddFooter>&amp;L&amp;11LEL Schwäbisch Gmünd&amp;C63&amp;R&amp;11&amp;F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A00-000005000000}">
          <x14:formula1>
            <xm:f>'SD2'!$C$11:$C$50</xm:f>
          </x14:formula1>
          <xm:sqref>C14:F17</xm:sqref>
        </x14:dataValidation>
        <x14:dataValidation type="list" allowBlank="1" showInputMessage="1" showErrorMessage="1" errorTitle="Organisationsabh. Ausgleichsl." error="Bitte aus Dropdownliste auswählen." xr:uid="{00000000-0002-0000-2A00-000006000000}">
          <x14:formula1>
            <xm:f>'SD2'!$C$60:$C$77</xm:f>
          </x14:formula1>
          <xm:sqref>C19:C21</xm:sqref>
        </x14:dataValidation>
        <x14:dataValidation type="list" allowBlank="1" showInputMessage="1" showErrorMessage="1" errorTitle="Arbeitsgänge" error="Bitte aus Dropdownliste auswählen." xr:uid="{00000000-0002-0000-2A00-000007000000}">
          <x14:formula1>
            <xm:f>'SD3'!$C$23:$C$75</xm:f>
          </x14:formula1>
          <xm:sqref>C46:C57 D52:D57</xm:sqref>
        </x14:dataValidation>
        <x14:dataValidation type="list" allowBlank="1" showInputMessage="1" showErrorMessage="1" errorTitle="Lohnmaschinen" error="Bitte aus Dropdownliste auswählen." xr:uid="{00000000-0002-0000-2A00-000008000000}">
          <x14:formula1>
            <xm:f>'SD3'!$C$90:$C$104</xm:f>
          </x14:formula1>
          <xm:sqref>C62:E64</xm:sqref>
        </x14:dataValidation>
        <x14:dataValidation type="list" allowBlank="1" showInputMessage="1" showErrorMessage="1" errorTitle="Pflanzenschutzmittel" error="Bitte aus Dropdownliste auswählen." xr:uid="{00000000-0002-0000-2A00-000009000000}">
          <x14:formula1>
            <xm:f>'SDK5'!$V$214:$V$229</xm:f>
          </x14:formula1>
          <xm:sqref>C36:E42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5">
    <tabColor rgb="FF92D050"/>
    <pageSetUpPr fitToPage="1"/>
  </sheetPr>
  <dimension ref="A1:AO218"/>
  <sheetViews>
    <sheetView workbookViewId="0">
      <selection activeCell="N52" sqref="N52"/>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6" width="10.5" style="31" hidden="1" customWidth="1"/>
    <col min="27" max="28" width="10.5" style="31" customWidth="1"/>
    <col min="29" max="16384" width="10.5" style="31"/>
  </cols>
  <sheetData>
    <row r="1" spans="1:41" s="1317" customFormat="1" ht="30.45" customHeight="1">
      <c r="A1" s="3748"/>
      <c r="B1" s="258"/>
      <c r="C1" s="1333"/>
      <c r="D1" s="1253"/>
      <c r="E1" s="255"/>
      <c r="F1" s="255"/>
      <c r="G1" s="430"/>
      <c r="H1" s="1328"/>
      <c r="I1" s="3212" t="s">
        <v>1679</v>
      </c>
      <c r="J1" s="3210" t="e">
        <f>(J7+J13+J18+J22+I11+I12)-(J23+J27+J34+J43+J60+J65+J67+J69+J71+J75)</f>
        <v>#VALUE!</v>
      </c>
      <c r="K1" s="4360" t="e">
        <f>M1-J1</f>
        <v>#VALUE!</v>
      </c>
      <c r="L1" s="4360"/>
      <c r="M1" s="3210" t="e">
        <f>(M7+M13+M18+M22+L11+L12)-(M23+M27+M34+M43+M60+M65+M67+M69+M71+M75)</f>
        <v>#VALUE!</v>
      </c>
      <c r="N1" s="4360" t="e">
        <f>P1-M1</f>
        <v>#VALUE!</v>
      </c>
      <c r="O1" s="4360"/>
      <c r="P1" s="3210" t="e">
        <f>(P7+P13+P18+P22+O11+O12)-(P23+P27+P34+P43+P60+P65+P67+P69+P71+P75)</f>
        <v>#VALUE!</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192</v>
      </c>
      <c r="L2" s="4372"/>
      <c r="M2" s="4372"/>
      <c r="N2" s="4372"/>
      <c r="O2" s="4372"/>
      <c r="P2" s="4372"/>
      <c r="Q2" s="1345">
        <v>0</v>
      </c>
      <c r="AB2" s="3229"/>
    </row>
    <row r="3" spans="1:41" s="1317" customFormat="1" ht="32.4" customHeight="1">
      <c r="A3" s="1321"/>
      <c r="B3" s="4405" t="s">
        <v>1727</v>
      </c>
      <c r="C3" s="4405"/>
      <c r="D3" s="4405"/>
      <c r="E3" s="4405"/>
      <c r="F3" s="4405"/>
      <c r="G3" s="4405"/>
      <c r="H3" s="4405"/>
      <c r="J3" s="4368"/>
      <c r="K3" s="4418"/>
      <c r="L3" s="4418"/>
      <c r="M3" s="1368"/>
      <c r="N3" s="4421"/>
      <c r="O3" s="4422"/>
      <c r="P3" s="1326"/>
      <c r="Q3" s="1321"/>
      <c r="T3" s="1343" t="b">
        <v>0</v>
      </c>
    </row>
    <row r="4" spans="1:41" s="1317" customFormat="1" ht="20.25" customHeight="1">
      <c r="A4" s="1321"/>
      <c r="B4" s="309" t="s">
        <v>779</v>
      </c>
      <c r="C4" s="31"/>
      <c r="D4" s="31"/>
      <c r="E4" s="4406" t="s">
        <v>890</v>
      </c>
      <c r="F4" s="4406"/>
      <c r="G4" s="4406"/>
      <c r="H4" s="4406"/>
      <c r="I4" s="4406"/>
      <c r="J4" s="4368"/>
      <c r="K4" s="4418"/>
      <c r="L4" s="4418"/>
      <c r="M4" s="1367"/>
      <c r="N4" s="4422"/>
      <c r="O4" s="4422"/>
      <c r="P4" s="1322">
        <f>'SDK1'!O3</f>
        <v>2024</v>
      </c>
      <c r="Q4" s="1321"/>
      <c r="T4" s="1343"/>
    </row>
    <row r="5" spans="1:41" ht="6" customHeight="1"/>
    <row r="6" spans="1:41" s="1311" customFormat="1" ht="24" customHeight="1">
      <c r="A6" s="41"/>
      <c r="B6" s="1316" t="s">
        <v>832</v>
      </c>
      <c r="C6" s="1315"/>
      <c r="D6" s="1315"/>
      <c r="E6" s="1315"/>
      <c r="F6" s="1315"/>
      <c r="G6" s="1314"/>
      <c r="H6" s="4366" t="s">
        <v>171</v>
      </c>
      <c r="I6" s="4367"/>
      <c r="J6" s="1313">
        <v>15</v>
      </c>
      <c r="K6" s="4379" t="s">
        <v>144</v>
      </c>
      <c r="L6" s="4380"/>
      <c r="M6" s="1313">
        <v>20</v>
      </c>
      <c r="N6" s="4366" t="s">
        <v>170</v>
      </c>
      <c r="O6" s="4367"/>
      <c r="P6" s="1312">
        <v>25</v>
      </c>
      <c r="Q6" s="49"/>
    </row>
    <row r="7" spans="1:41" s="196" customFormat="1" ht="18.75" customHeight="1">
      <c r="A7" s="40"/>
      <c r="B7" s="245" t="s">
        <v>883</v>
      </c>
      <c r="C7" s="40"/>
      <c r="D7" s="40"/>
      <c r="E7" s="40"/>
      <c r="F7" s="40"/>
      <c r="G7" s="1310"/>
      <c r="H7" s="1307"/>
      <c r="I7" s="1306"/>
      <c r="J7" s="1041" t="e">
        <f>SUM(I9:I10)</f>
        <v>#VALUE!</v>
      </c>
      <c r="K7" s="1309"/>
      <c r="L7" s="1308"/>
      <c r="M7" s="1044" t="e">
        <f>SUM(L9:L10)</f>
        <v>#VALUE!</v>
      </c>
      <c r="N7" s="1307"/>
      <c r="O7" s="1306"/>
      <c r="P7" s="1041" t="e">
        <f>SUM(O9:O10)</f>
        <v>#VALUE!</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3749" t="e">
        <f>'SDK1'!O34</f>
        <v>#VALUE!</v>
      </c>
      <c r="H9" s="1303">
        <f>J6-H10</f>
        <v>15</v>
      </c>
      <c r="I9" s="1299" t="e">
        <f>H9*G9</f>
        <v>#VALUE!</v>
      </c>
      <c r="J9" s="37"/>
      <c r="K9" s="1302">
        <f>M6-K10</f>
        <v>20</v>
      </c>
      <c r="L9" s="1301" t="e">
        <f>K9*G9</f>
        <v>#VALUE!</v>
      </c>
      <c r="M9" s="1280"/>
      <c r="N9" s="1300">
        <f>P6-N10</f>
        <v>25</v>
      </c>
      <c r="O9" s="1299" t="e">
        <f>N9*G9</f>
        <v>#VALUE!</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309"/>
      <c r="B11" s="217"/>
      <c r="C11" s="39" t="s">
        <v>878</v>
      </c>
      <c r="D11" s="309"/>
      <c r="E11" s="1286">
        <v>1.5</v>
      </c>
      <c r="F11" s="39" t="s">
        <v>877</v>
      </c>
      <c r="G11" s="1285">
        <f>'SDK1'!$O$48</f>
        <v>10.7</v>
      </c>
      <c r="H11" s="3151">
        <f>IF($T$3=FALSE,0,J6*$E$11)</f>
        <v>0</v>
      </c>
      <c r="I11" s="3152">
        <f>H11*$G$11</f>
        <v>0</v>
      </c>
      <c r="J11" s="3153"/>
      <c r="K11" s="3154">
        <f>IF($T$3=FALSE,0,M6*$E$11)</f>
        <v>0</v>
      </c>
      <c r="L11" s="3155">
        <f>K11*$G$11</f>
        <v>0</v>
      </c>
      <c r="M11" s="3156"/>
      <c r="N11" s="3157">
        <f>IF($T$3=FALSE,0,P6*$E$11)</f>
        <v>0</v>
      </c>
      <c r="O11" s="3152">
        <f>N11*$G$11</f>
        <v>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35</v>
      </c>
      <c r="K23" s="1046"/>
      <c r="L23" s="1045"/>
      <c r="M23" s="1227">
        <f>SUM(L25:L26)</f>
        <v>0.7</v>
      </c>
      <c r="N23" s="1043"/>
      <c r="O23" s="1042"/>
      <c r="P23" s="1026">
        <f>SUM(O25:O26)</f>
        <v>0.7</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'SDK7'!F66/100</f>
        <v>0.7</v>
      </c>
      <c r="G25" s="1221">
        <f>F25*(100+$D$24)/100</f>
        <v>0.7</v>
      </c>
      <c r="H25" s="1220">
        <v>50</v>
      </c>
      <c r="I25" s="1181">
        <f>H25*$G25</f>
        <v>35</v>
      </c>
      <c r="J25" s="39"/>
      <c r="K25" s="1220">
        <v>1</v>
      </c>
      <c r="L25" s="1023">
        <f>K25*$G25</f>
        <v>0.7</v>
      </c>
      <c r="M25" s="1016"/>
      <c r="N25" s="1220">
        <v>1</v>
      </c>
      <c r="O25" s="1181">
        <f>N25*$G25</f>
        <v>0.7</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98.924999999999983</v>
      </c>
      <c r="K27" s="1175"/>
      <c r="L27" s="1174"/>
      <c r="M27" s="1044">
        <f>SUM(L30:L32)</f>
        <v>131.9</v>
      </c>
      <c r="N27" s="1173"/>
      <c r="O27" s="1172"/>
      <c r="P27" s="1041">
        <f>SUM(O30:O32)</f>
        <v>164.875</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3.5</v>
      </c>
      <c r="F30" s="1201">
        <f>VLOOKUP(K2,'SD8'!B9:L42,7,FALSE)</f>
        <v>0.79999999999999982</v>
      </c>
      <c r="G30" s="1200"/>
      <c r="H30" s="1198">
        <f>IF(J$6=0,0,(J$6*$E30+$G30+X14))</f>
        <v>52.5</v>
      </c>
      <c r="I30" s="1181">
        <f>H30*$D30</f>
        <v>62.474999999999994</v>
      </c>
      <c r="J30" s="39"/>
      <c r="K30" s="1199">
        <f>IF(M$6=0,0,(M$6*$E30+$G30+Y14))</f>
        <v>70</v>
      </c>
      <c r="L30" s="1023">
        <f>K30*$D30</f>
        <v>83.3</v>
      </c>
      <c r="M30" s="1016"/>
      <c r="N30" s="1198">
        <f>IF(P$6=0,0,(P$6*$E30+$G30+Z14))</f>
        <v>87.5</v>
      </c>
      <c r="O30" s="1181">
        <f>N30*$D30</f>
        <v>104.125</v>
      </c>
      <c r="P30" s="1145"/>
      <c r="Q30" s="34"/>
    </row>
    <row r="31" spans="1:26" s="36" customFormat="1" ht="15" customHeight="1">
      <c r="A31" s="746"/>
      <c r="B31" s="217"/>
      <c r="C31" s="746" t="s">
        <v>234</v>
      </c>
      <c r="D31" s="1150">
        <f>'SDK1'!O53</f>
        <v>1.2</v>
      </c>
      <c r="E31" s="1201">
        <f>VLOOKUP(K2,'SD8'!B9:L42,4,FALSE)</f>
        <v>1.2</v>
      </c>
      <c r="F31" s="1201">
        <f>VLOOKUP(K2,'SD8'!B9:L42,8,FALSE)</f>
        <v>0.30000000000000004</v>
      </c>
      <c r="G31" s="1200"/>
      <c r="H31" s="1198">
        <f>IF(J$6=0,0,(J$6*$E31+$G31+X15))</f>
        <v>18</v>
      </c>
      <c r="I31" s="1181">
        <f>H31*$D31</f>
        <v>21.599999999999998</v>
      </c>
      <c r="J31" s="39"/>
      <c r="K31" s="1199">
        <f>IF(M$6=0,0,(M$6*$E31+$G31+Y15))</f>
        <v>24</v>
      </c>
      <c r="L31" s="1023">
        <f>K31*$D31</f>
        <v>28.799999999999997</v>
      </c>
      <c r="M31" s="1016"/>
      <c r="N31" s="1198">
        <f>IF(P$6=0,0,(P$6*$E31+$G31+Z15))</f>
        <v>30</v>
      </c>
      <c r="O31" s="1181">
        <f>N31*$D31</f>
        <v>36</v>
      </c>
      <c r="P31" s="1145"/>
      <c r="Q31" s="34"/>
    </row>
    <row r="32" spans="1:26" s="36" customFormat="1" ht="15" customHeight="1">
      <c r="A32" s="746"/>
      <c r="B32" s="185"/>
      <c r="C32" s="2791" t="s">
        <v>232</v>
      </c>
      <c r="D32" s="1133">
        <f>'SDK1'!O54</f>
        <v>0.99</v>
      </c>
      <c r="E32" s="1197">
        <f>VLOOKUP(K2,'SD8'!B9:L42,5,FALSE)</f>
        <v>1</v>
      </c>
      <c r="F32" s="1197">
        <f>VLOOKUP(K2,'SD8'!B9:L42,9,FALSE)</f>
        <v>2.1</v>
      </c>
      <c r="G32" s="1196"/>
      <c r="H32" s="1194">
        <f>IF(J$6=0,0,(J$6*$E32+$G32+X16))</f>
        <v>15</v>
      </c>
      <c r="I32" s="1177">
        <f>H32*$D32</f>
        <v>14.85</v>
      </c>
      <c r="J32" s="223"/>
      <c r="K32" s="1195">
        <f>IF(M$6=0,0,(M$6*$E32+$G32+Y16))</f>
        <v>20</v>
      </c>
      <c r="L32" s="1017">
        <f>K32*$D32</f>
        <v>19.8</v>
      </c>
      <c r="M32" s="1256"/>
      <c r="N32" s="1194">
        <f>IF(P$6=0,0,(P$6*$E32+$G32+Z16))</f>
        <v>25</v>
      </c>
      <c r="O32" s="1177">
        <f>N32*$D32</f>
        <v>24.75</v>
      </c>
      <c r="P32" s="1176"/>
      <c r="Q32" s="34"/>
    </row>
    <row r="33" spans="1:17" s="36" customFormat="1" ht="15" hidden="1" customHeight="1">
      <c r="A33" s="746"/>
      <c r="B33" s="185"/>
      <c r="C33" s="771" t="s">
        <v>230</v>
      </c>
      <c r="D33" s="1133">
        <f>'SDK1'!P55</f>
        <v>0.45</v>
      </c>
      <c r="E33" s="1197">
        <f>VLOOKUP(K2,'SD8'!B9:L42,6,FALSE)</f>
        <v>0.8</v>
      </c>
      <c r="F33" s="1197">
        <f>VLOOKUP(K2,'SD8'!B9:L42,10,FALSE)</f>
        <v>0.14999999999999991</v>
      </c>
      <c r="G33" s="1196"/>
      <c r="H33" s="1194">
        <f>IF(J$6=0,0,(J$6*$E33+$G33+X17))</f>
        <v>12</v>
      </c>
      <c r="I33" s="1177">
        <f>H33*$D33</f>
        <v>5.4</v>
      </c>
      <c r="J33" s="39"/>
      <c r="K33" s="1195">
        <f>IF(M$6=0,0,(M$6*$E33+$G33+Y17))</f>
        <v>16</v>
      </c>
      <c r="L33" s="1017">
        <f>K33*$D33</f>
        <v>7.2</v>
      </c>
      <c r="M33" s="1016"/>
      <c r="N33" s="1194">
        <f>IF(P$6=0,0,(P$6*$E33+$G33+Z17))</f>
        <v>20</v>
      </c>
      <c r="O33" s="1177">
        <f>N33*$D33</f>
        <v>9</v>
      </c>
      <c r="P33" s="1176"/>
      <c r="Q33" s="34"/>
    </row>
    <row r="34" spans="1:17" s="511" customFormat="1" ht="18.75" customHeight="1">
      <c r="A34" s="711"/>
      <c r="B34" s="716" t="s">
        <v>859</v>
      </c>
      <c r="C34" s="711"/>
      <c r="D34" s="33"/>
      <c r="E34" s="33"/>
      <c r="F34" s="4381" t="s">
        <v>858</v>
      </c>
      <c r="G34" s="4382"/>
      <c r="H34" s="1191"/>
      <c r="I34" s="1190"/>
      <c r="J34" s="1041">
        <f>SUM(I36:I42)</f>
        <v>31.200000000000003</v>
      </c>
      <c r="K34" s="1193"/>
      <c r="L34" s="1192"/>
      <c r="M34" s="1044">
        <f>SUM(L36:L42)</f>
        <v>31.200000000000003</v>
      </c>
      <c r="N34" s="1191"/>
      <c r="O34" s="1190"/>
      <c r="P34" s="1041">
        <f>SUM(O36:O42)</f>
        <v>31.200000000000003</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532</v>
      </c>
      <c r="D36" s="4389"/>
      <c r="E36" s="4390"/>
      <c r="F36" s="1183">
        <f>IF(C36="",0,VLOOKUP(C36,'SDK5'!C3:AF83,2,FALSE))</f>
        <v>24</v>
      </c>
      <c r="G36" s="1183">
        <f t="shared" ref="G36:G42" si="0">F36*(100+$D$35)/100</f>
        <v>24</v>
      </c>
      <c r="H36" s="1182">
        <v>1.3</v>
      </c>
      <c r="I36" s="1181">
        <f t="shared" ref="I36:I42" si="1">$G36*H36</f>
        <v>31.200000000000003</v>
      </c>
      <c r="J36" s="39"/>
      <c r="K36" s="1182">
        <v>1.3</v>
      </c>
      <c r="L36" s="1023">
        <f t="shared" ref="L36:L42" si="2">$G36*K36</f>
        <v>31.200000000000003</v>
      </c>
      <c r="M36" s="1016"/>
      <c r="N36" s="1182">
        <v>1.3</v>
      </c>
      <c r="O36" s="1181">
        <f t="shared" ref="O36:O42" si="3">$G36*N36</f>
        <v>31.200000000000003</v>
      </c>
      <c r="P36" s="1185"/>
      <c r="Q36" s="34"/>
    </row>
    <row r="37" spans="1:17" s="36" customFormat="1" ht="15" customHeight="1">
      <c r="A37" s="746"/>
      <c r="B37" s="1021"/>
      <c r="C37" s="4375"/>
      <c r="D37" s="4375"/>
      <c r="E37" s="4376"/>
      <c r="F37" s="1183">
        <f>IF(C37="",0,VLOOKUP(C37,'SDK5'!C4:AF84,2,FALSE))</f>
        <v>0</v>
      </c>
      <c r="G37" s="1183">
        <f t="shared" si="0"/>
        <v>0</v>
      </c>
      <c r="H37" s="1182"/>
      <c r="I37" s="1181">
        <f t="shared" si="1"/>
        <v>0</v>
      </c>
      <c r="J37" s="39"/>
      <c r="K37" s="1182"/>
      <c r="L37" s="1023">
        <f t="shared" si="2"/>
        <v>0</v>
      </c>
      <c r="M37" s="1016"/>
      <c r="N37" s="1182"/>
      <c r="O37" s="1181">
        <f t="shared" si="3"/>
        <v>0</v>
      </c>
      <c r="P37" s="1145"/>
      <c r="Q37" s="34"/>
    </row>
    <row r="38" spans="1:17" s="36" customFormat="1" ht="15" customHeight="1">
      <c r="A38" s="746"/>
      <c r="B38" s="1184"/>
      <c r="C38" s="4375"/>
      <c r="D38" s="4375"/>
      <c r="E38" s="4376"/>
      <c r="F38" s="1183">
        <f>IF(C38="",0,VLOOKUP(C38,'SDK5'!C5:AF85,2,FALSE))</f>
        <v>0</v>
      </c>
      <c r="G38" s="1183">
        <f t="shared" si="0"/>
        <v>0</v>
      </c>
      <c r="H38" s="1182"/>
      <c r="I38" s="1181">
        <f t="shared" si="1"/>
        <v>0</v>
      </c>
      <c r="J38" s="39"/>
      <c r="K38" s="1182"/>
      <c r="L38" s="1023">
        <f t="shared" si="2"/>
        <v>0</v>
      </c>
      <c r="M38" s="1016"/>
      <c r="N38" s="1182"/>
      <c r="O38" s="1181">
        <f t="shared" si="3"/>
        <v>0</v>
      </c>
      <c r="P38" s="1145"/>
      <c r="Q38" s="34"/>
    </row>
    <row r="39" spans="1:17" s="36" customFormat="1" ht="15" customHeight="1">
      <c r="A39" s="746"/>
      <c r="B39" s="1021"/>
      <c r="C39" s="4375"/>
      <c r="D39" s="4375"/>
      <c r="E39" s="4376"/>
      <c r="F39" s="1183">
        <f>IF(C39="",0,VLOOKUP(C39,'SDK5'!C6:AF86,2,FALSE))</f>
        <v>0</v>
      </c>
      <c r="G39" s="1183">
        <f t="shared" si="0"/>
        <v>0</v>
      </c>
      <c r="H39" s="1182"/>
      <c r="I39" s="1181">
        <f t="shared" si="1"/>
        <v>0</v>
      </c>
      <c r="J39" s="39"/>
      <c r="K39" s="1182"/>
      <c r="L39" s="1023">
        <f t="shared" si="2"/>
        <v>0</v>
      </c>
      <c r="M39" s="1016"/>
      <c r="N39" s="1182"/>
      <c r="O39" s="1181">
        <f t="shared" si="3"/>
        <v>0</v>
      </c>
      <c r="P39" s="1145"/>
      <c r="Q39" s="34"/>
    </row>
    <row r="40" spans="1:17" s="36" customFormat="1" ht="15" customHeight="1">
      <c r="A40" s="746"/>
      <c r="B40" s="1021"/>
      <c r="C40" s="4375"/>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155.72598298</v>
      </c>
      <c r="K43" s="1175"/>
      <c r="L43" s="1174"/>
      <c r="M43" s="1044">
        <f>SUM(M46:M57)</f>
        <v>156.50980499333332</v>
      </c>
      <c r="N43" s="1173"/>
      <c r="O43" s="1172"/>
      <c r="P43" s="1041">
        <f>SUM(P46:P57)</f>
        <v>157.29362700666667</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47">
        <v>1</v>
      </c>
      <c r="I46" s="1154">
        <f t="shared" ref="I46:I57" si="4">$F46*H46</f>
        <v>1.38</v>
      </c>
      <c r="J46" s="1145">
        <f t="shared" ref="J46:J57" si="5">H46*$G46</f>
        <v>64.642445999999993</v>
      </c>
      <c r="K46" s="1147">
        <v>1</v>
      </c>
      <c r="L46" s="1156">
        <f t="shared" ref="L46:L57" si="6">$F46*K46</f>
        <v>1.38</v>
      </c>
      <c r="M46" s="1148">
        <f t="shared" ref="M46:M57" si="7">K46*$G46</f>
        <v>64.642445999999993</v>
      </c>
      <c r="N46" s="1147">
        <v>1</v>
      </c>
      <c r="O46" s="1154">
        <f t="shared" ref="O46:O57" si="8">$F46*N46</f>
        <v>1.38</v>
      </c>
      <c r="P46" s="1145">
        <f t="shared" ref="P46:P57" si="9">N46*$G46</f>
        <v>64.642445999999993</v>
      </c>
      <c r="Q46" s="34">
        <f>$Q$2*H46</f>
        <v>0</v>
      </c>
    </row>
    <row r="47" spans="1:17" s="36" customFormat="1" ht="15" customHeight="1">
      <c r="A47" s="746"/>
      <c r="B47" s="1153"/>
      <c r="C47" s="4387"/>
      <c r="D47" s="4388"/>
      <c r="E47" s="1152">
        <f>IF($C47=0,0,VLOOKUP($C47,'SD3'!$C$24:$O$85,4,FALSE))</f>
        <v>0</v>
      </c>
      <c r="F47" s="1151">
        <f>IF($C47=0,0,VLOOKUP($C47,'SD3'!$C$24:$O$85,12,FALSE))</f>
        <v>0</v>
      </c>
      <c r="G47" s="1150">
        <f>IF($C47=0,0,VLOOKUP($C47,'SD3'!$C$24:$O$85,13,FALSE))</f>
        <v>0</v>
      </c>
      <c r="H47" s="1147"/>
      <c r="I47" s="1146">
        <f t="shared" si="4"/>
        <v>0</v>
      </c>
      <c r="J47" s="1145">
        <f t="shared" si="5"/>
        <v>0</v>
      </c>
      <c r="K47" s="1147"/>
      <c r="L47" s="1149">
        <f t="shared" si="6"/>
        <v>0</v>
      </c>
      <c r="M47" s="1148">
        <f t="shared" si="7"/>
        <v>0</v>
      </c>
      <c r="N47" s="1147"/>
      <c r="O47" s="1146">
        <f t="shared" si="8"/>
        <v>0</v>
      </c>
      <c r="P47" s="1145">
        <f t="shared" si="9"/>
        <v>0</v>
      </c>
      <c r="Q47" s="34"/>
    </row>
    <row r="48" spans="1:17" s="36" customFormat="1" ht="15" customHeight="1">
      <c r="A48" s="746"/>
      <c r="B48" s="1153"/>
      <c r="C48" s="4387" t="s">
        <v>354</v>
      </c>
      <c r="D48" s="4388"/>
      <c r="E48" s="1152">
        <f>IF($C48=0,0,VLOOKUP($C48,'SD3'!$C$24:$O$85,4,FALSE))</f>
        <v>120</v>
      </c>
      <c r="F48" s="1151">
        <f>IF($C48=0,0,VLOOKUP($C48,'SD3'!$C$24:$O$85,12,FALSE))</f>
        <v>0.71</v>
      </c>
      <c r="G48" s="1150">
        <f>IF($C48=0,0,VLOOKUP($C48,'SD3'!$C$24:$O$85,13,FALSE))</f>
        <v>30.659437999999998</v>
      </c>
      <c r="H48" s="1147">
        <v>1</v>
      </c>
      <c r="I48" s="1146">
        <f t="shared" si="4"/>
        <v>0.71</v>
      </c>
      <c r="J48" s="1145">
        <f t="shared" si="5"/>
        <v>30.659437999999998</v>
      </c>
      <c r="K48" s="1147">
        <v>1</v>
      </c>
      <c r="L48" s="1149">
        <f t="shared" si="6"/>
        <v>0.71</v>
      </c>
      <c r="M48" s="1148">
        <f t="shared" si="7"/>
        <v>30.659437999999998</v>
      </c>
      <c r="N48" s="1147">
        <v>1</v>
      </c>
      <c r="O48" s="1146">
        <f t="shared" si="8"/>
        <v>0.71</v>
      </c>
      <c r="P48" s="1145">
        <f t="shared" si="9"/>
        <v>30.659437999999998</v>
      </c>
      <c r="Q48" s="34"/>
    </row>
    <row r="49" spans="1:17" s="36" customFormat="1" ht="15" customHeight="1">
      <c r="A49" s="746"/>
      <c r="B49" s="1153"/>
      <c r="C49" s="4387" t="s">
        <v>356</v>
      </c>
      <c r="D49" s="4388"/>
      <c r="E49" s="1152">
        <f>IF($C49=0,0,VLOOKUP($C49,'SD3'!$C$24:$O$85,4,FALSE))</f>
        <v>83</v>
      </c>
      <c r="F49" s="1151">
        <f>IF($C49=0,0,VLOOKUP($C49,'SD3'!$C$24:$O$85,12,FALSE))</f>
        <v>0.53</v>
      </c>
      <c r="G49" s="1150">
        <f>IF($C49=0,0,VLOOKUP($C49,'SD3'!$C$24:$O$85,13,FALSE))</f>
        <v>12.740039489999999</v>
      </c>
      <c r="H49" s="1147">
        <v>1</v>
      </c>
      <c r="I49" s="1146">
        <f t="shared" si="4"/>
        <v>0.53</v>
      </c>
      <c r="J49" s="1145">
        <f t="shared" si="5"/>
        <v>12.740039489999999</v>
      </c>
      <c r="K49" s="1147">
        <v>1</v>
      </c>
      <c r="L49" s="1149">
        <f t="shared" si="6"/>
        <v>0.53</v>
      </c>
      <c r="M49" s="1148">
        <f t="shared" si="7"/>
        <v>12.740039489999999</v>
      </c>
      <c r="N49" s="1147">
        <v>1</v>
      </c>
      <c r="O49" s="1146">
        <f t="shared" si="8"/>
        <v>0.53</v>
      </c>
      <c r="P49" s="1145">
        <f t="shared" si="9"/>
        <v>12.740039489999999</v>
      </c>
      <c r="Q49" s="34"/>
    </row>
    <row r="50" spans="1:17" s="36" customFormat="1" ht="15" customHeight="1">
      <c r="A50" s="746"/>
      <c r="B50" s="1153"/>
      <c r="C50" s="4387" t="s">
        <v>339</v>
      </c>
      <c r="D50" s="4388"/>
      <c r="E50" s="1152">
        <f>IF($C50=0,0,VLOOKUP($C50,'SD3'!$C$24:$O$85,4,FALSE))</f>
        <v>83</v>
      </c>
      <c r="F50" s="1151">
        <f>IF($C50=0,0,VLOOKUP($C50,'SD3'!$C$24:$O$85,12,FALSE))</f>
        <v>0.27</v>
      </c>
      <c r="G50" s="1150">
        <f>IF($C50=0,0,VLOOKUP($C50,'SD3'!$C$24:$O$85,13,FALSE))</f>
        <v>6.9619069099999997</v>
      </c>
      <c r="H50" s="1147">
        <v>1</v>
      </c>
      <c r="I50" s="1146">
        <f t="shared" si="4"/>
        <v>0.27</v>
      </c>
      <c r="J50" s="1145">
        <f t="shared" si="5"/>
        <v>6.9619069099999997</v>
      </c>
      <c r="K50" s="1147">
        <v>1</v>
      </c>
      <c r="L50" s="1149">
        <f t="shared" si="6"/>
        <v>0.27</v>
      </c>
      <c r="M50" s="1148">
        <f t="shared" si="7"/>
        <v>6.9619069099999997</v>
      </c>
      <c r="N50" s="1147">
        <v>1</v>
      </c>
      <c r="O50" s="1146">
        <f t="shared" si="8"/>
        <v>0.27</v>
      </c>
      <c r="P50" s="1145">
        <f t="shared" si="9"/>
        <v>6.9619069099999997</v>
      </c>
      <c r="Q50" s="34"/>
    </row>
    <row r="51" spans="1:17" s="36" customFormat="1" ht="15" customHeight="1">
      <c r="A51" s="746"/>
      <c r="B51" s="1153"/>
      <c r="C51" s="4387" t="s">
        <v>346</v>
      </c>
      <c r="D51" s="4388"/>
      <c r="E51" s="1152">
        <f>IF($C51=0,0,VLOOKUP($C51,'SD3'!$C$24:$O$85,4,FALSE))</f>
        <v>83</v>
      </c>
      <c r="F51" s="1151">
        <f>IF($C51=0,0,VLOOKUP($C51,'SD3'!$C$24:$O$85,12,FALSE))</f>
        <v>0.16</v>
      </c>
      <c r="G51" s="1150">
        <f>IF($C51=0,0,VLOOKUP($C51,'SD3'!$C$24:$O$85,13,FALSE))</f>
        <v>3.7403892799999996</v>
      </c>
      <c r="H51" s="1147">
        <v>1</v>
      </c>
      <c r="I51" s="1146">
        <f t="shared" si="4"/>
        <v>0.16</v>
      </c>
      <c r="J51" s="1145">
        <f t="shared" si="5"/>
        <v>3.7403892799999996</v>
      </c>
      <c r="K51" s="1147">
        <v>1</v>
      </c>
      <c r="L51" s="1149">
        <f t="shared" si="6"/>
        <v>0.16</v>
      </c>
      <c r="M51" s="1148">
        <f t="shared" si="7"/>
        <v>3.7403892799999996</v>
      </c>
      <c r="N51" s="1147">
        <v>1</v>
      </c>
      <c r="O51" s="1146">
        <f t="shared" si="8"/>
        <v>0.16</v>
      </c>
      <c r="P51" s="1145">
        <f t="shared" si="9"/>
        <v>3.7403892799999996</v>
      </c>
      <c r="Q51" s="34"/>
    </row>
    <row r="52" spans="1:17" s="36" customFormat="1" ht="15" customHeight="1">
      <c r="A52" s="746"/>
      <c r="B52" s="1153"/>
      <c r="C52" s="4403" t="s">
        <v>1748</v>
      </c>
      <c r="D52" s="4404"/>
      <c r="E52" s="1152">
        <f>IF($C52=0,0,VLOOKUP($C52,'SD3'!$C$24:$O$85,4,FALSE))</f>
        <v>120</v>
      </c>
      <c r="F52" s="1151">
        <f>IF($C52=0,0,VLOOKUP($C52,'SD3'!$C$24:$O$85,12,FALSE))</f>
        <v>0.37</v>
      </c>
      <c r="G52" s="1150">
        <f>IF($C52=0,0,VLOOKUP($C52,'SD3'!$C$24:$O$85,13,FALSE))</f>
        <v>11.7573302</v>
      </c>
      <c r="H52" s="3654">
        <f>J6/75</f>
        <v>0.2</v>
      </c>
      <c r="I52" s="1146">
        <f t="shared" si="4"/>
        <v>7.3999999999999996E-2</v>
      </c>
      <c r="J52" s="1145">
        <f t="shared" si="5"/>
        <v>2.35146604</v>
      </c>
      <c r="K52" s="3654">
        <f>M6/75</f>
        <v>0.26666666666666666</v>
      </c>
      <c r="L52" s="1149">
        <f t="shared" si="6"/>
        <v>9.8666666666666666E-2</v>
      </c>
      <c r="M52" s="1148">
        <f t="shared" si="7"/>
        <v>3.1352880533333334</v>
      </c>
      <c r="N52" s="3654">
        <f>P6/75</f>
        <v>0.33333333333333331</v>
      </c>
      <c r="O52" s="1146">
        <f t="shared" si="8"/>
        <v>0.12333333333333332</v>
      </c>
      <c r="P52" s="1145">
        <f t="shared" si="9"/>
        <v>3.9191100666666667</v>
      </c>
      <c r="Q52" s="34"/>
    </row>
    <row r="53" spans="1:17" s="36" customFormat="1" ht="15" customHeight="1">
      <c r="A53" s="746"/>
      <c r="B53" s="1153"/>
      <c r="C53" s="4387" t="s">
        <v>1591</v>
      </c>
      <c r="D53" s="4388"/>
      <c r="E53" s="1152">
        <f>IF($C53=0,0,VLOOKUP($C53,'SD3'!$C$24:$O$85,4,FALSE))</f>
        <v>83</v>
      </c>
      <c r="F53" s="1151">
        <f>IF($C53=0,0,VLOOKUP($C53,'SD3'!$C$24:$O$85,12,FALSE))</f>
        <v>0.22</v>
      </c>
      <c r="G53" s="1150">
        <f>IF($C53=0,0,VLOOKUP($C53,'SD3'!$C$24:$O$85,13,FALSE))</f>
        <v>6.6430352599999996</v>
      </c>
      <c r="H53" s="1147">
        <v>1</v>
      </c>
      <c r="I53" s="1146">
        <f t="shared" si="4"/>
        <v>0.22</v>
      </c>
      <c r="J53" s="1145">
        <f t="shared" si="5"/>
        <v>6.6430352599999996</v>
      </c>
      <c r="K53" s="1147">
        <v>1</v>
      </c>
      <c r="L53" s="1149">
        <f t="shared" si="6"/>
        <v>0.22</v>
      </c>
      <c r="M53" s="1148">
        <f t="shared" si="7"/>
        <v>6.6430352599999996</v>
      </c>
      <c r="N53" s="1147">
        <v>1</v>
      </c>
      <c r="O53" s="1146">
        <f t="shared" si="8"/>
        <v>0.22</v>
      </c>
      <c r="P53" s="1145">
        <f t="shared" si="9"/>
        <v>6.6430352599999996</v>
      </c>
      <c r="Q53" s="34"/>
    </row>
    <row r="54" spans="1:17" s="36" customFormat="1" ht="15" customHeight="1">
      <c r="A54" s="746"/>
      <c r="B54" s="1153"/>
      <c r="C54" s="4387" t="s">
        <v>360</v>
      </c>
      <c r="D54" s="4388"/>
      <c r="E54" s="1152">
        <f>IF($C54=0,0,VLOOKUP($C54,'SD3'!$C$24:$O$85,4,FALSE))</f>
        <v>120</v>
      </c>
      <c r="F54" s="1151">
        <f>IF($C54=0,0,VLOOKUP($C54,'SD3'!$C$24:$O$85,12,FALSE))</f>
        <v>0.79</v>
      </c>
      <c r="G54" s="1150">
        <f>IF($C54=0,0,VLOOKUP($C54,'SD3'!$C$24:$O$85,13,FALSE))</f>
        <v>27.987262000000001</v>
      </c>
      <c r="H54" s="1147">
        <v>1</v>
      </c>
      <c r="I54" s="1146">
        <f t="shared" si="4"/>
        <v>0.79</v>
      </c>
      <c r="J54" s="1145">
        <f t="shared" si="5"/>
        <v>27.987262000000001</v>
      </c>
      <c r="K54" s="1147">
        <v>1</v>
      </c>
      <c r="L54" s="1149">
        <f t="shared" si="6"/>
        <v>0.79</v>
      </c>
      <c r="M54" s="1148">
        <f t="shared" si="7"/>
        <v>27.987262000000001</v>
      </c>
      <c r="N54" s="1147">
        <v>1</v>
      </c>
      <c r="O54" s="1146">
        <f t="shared" si="8"/>
        <v>0.79</v>
      </c>
      <c r="P54" s="1145">
        <f t="shared" si="9"/>
        <v>27.987262000000001</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row>
    <row r="58" spans="1:17" s="46" customFormat="1" ht="18.75" customHeight="1">
      <c r="A58" s="811"/>
      <c r="B58" s="716" t="s">
        <v>848</v>
      </c>
      <c r="C58" s="811"/>
      <c r="D58" s="811"/>
      <c r="E58" s="811"/>
      <c r="F58" s="34"/>
      <c r="G58" s="1047"/>
      <c r="H58" s="1124"/>
      <c r="I58" s="1123">
        <f>SUM($I$46:$I$57)</f>
        <v>4.1340000000000003</v>
      </c>
      <c r="J58" s="1128"/>
      <c r="K58" s="1127"/>
      <c r="L58" s="1126">
        <f>SUM($L$46:$L$57)</f>
        <v>4.158666666666667</v>
      </c>
      <c r="M58" s="1125"/>
      <c r="N58" s="1124"/>
      <c r="O58" s="1123">
        <f>SUM($O$46:$O$57)</f>
        <v>4.1833333333333336</v>
      </c>
      <c r="P58" s="1122"/>
      <c r="Q58" s="34"/>
    </row>
    <row r="59" spans="1:17" s="46" customFormat="1" ht="15" customHeight="1">
      <c r="A59" s="811"/>
      <c r="B59" s="1121"/>
      <c r="C59" s="285"/>
      <c r="D59" s="222" t="s">
        <v>847</v>
      </c>
      <c r="E59" s="1120">
        <v>80</v>
      </c>
      <c r="F59" s="285" t="s">
        <v>846</v>
      </c>
      <c r="G59" s="1119"/>
      <c r="H59" s="1115"/>
      <c r="I59" s="1114">
        <f>IF(I58+SUM($I$46:$I$57)*$E$59%&gt;I58+10,I58+10,I58+SUM($I$46:$I$57)*$E$59%)</f>
        <v>7.4412000000000003</v>
      </c>
      <c r="J59" s="1113"/>
      <c r="K59" s="1118"/>
      <c r="L59" s="1117">
        <f>IF(L58+SUM($L$46:$L$57)*$E$59%&gt;L58+10,L58+10,L58+SUM($L$46:$L$57)*$E$59%)</f>
        <v>7.4856000000000007</v>
      </c>
      <c r="M59" s="1116"/>
      <c r="N59" s="1115"/>
      <c r="O59" s="1114">
        <f>IF(O58+SUM($O$46:$O$57)*$E$59%&gt;O58+10,O58+10,O58+SUM($O$46:$O$57)*$E$59%)</f>
        <v>7.5300000000000011</v>
      </c>
      <c r="P59" s="1113"/>
      <c r="Q59" s="34"/>
    </row>
    <row r="60" spans="1:17" s="36" customFormat="1" ht="18.75" customHeight="1">
      <c r="A60" s="746"/>
      <c r="B60" s="716" t="s">
        <v>845</v>
      </c>
      <c r="C60" s="811"/>
      <c r="D60" s="811"/>
      <c r="E60" s="39"/>
      <c r="F60" s="39"/>
      <c r="G60" s="1112"/>
      <c r="H60" s="1104"/>
      <c r="I60" s="1103"/>
      <c r="J60" s="1111">
        <f>IF(J6=0,0,SUM(I62:I64))</f>
        <v>193.6</v>
      </c>
      <c r="K60" s="1107"/>
      <c r="L60" s="1106"/>
      <c r="M60" s="1044">
        <f>IF(M6=0,0,SUM(L62:L64))</f>
        <v>193.6</v>
      </c>
      <c r="N60" s="1104"/>
      <c r="O60" s="1103"/>
      <c r="P60" s="1111">
        <f>IF(P6=0,0,SUM(O62:O64))</f>
        <v>193.6</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299</v>
      </c>
      <c r="D62" s="4365"/>
      <c r="E62" s="4365"/>
      <c r="F62" s="1101">
        <f>IF($C62=0,0,VLOOKUP($C62,'SD3'!$C$90:$D$104,2,FALSE))</f>
        <v>193.6</v>
      </c>
      <c r="G62" s="1100">
        <f>(100+$D$61)/100*F62</f>
        <v>193.6</v>
      </c>
      <c r="H62" s="173"/>
      <c r="I62" s="1096">
        <f>$G$62</f>
        <v>193.6</v>
      </c>
      <c r="J62" s="173"/>
      <c r="K62" s="1099"/>
      <c r="L62" s="1098">
        <f>$G$62</f>
        <v>193.6</v>
      </c>
      <c r="M62" s="1016"/>
      <c r="N62" s="1097"/>
      <c r="O62" s="1096">
        <f>$G$62</f>
        <v>193.6</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41.849999999999994</v>
      </c>
      <c r="K67" s="1068" t="s">
        <v>842</v>
      </c>
      <c r="L67" s="1067" t="s">
        <v>841</v>
      </c>
      <c r="M67" s="1044">
        <f>S68*(K9+K10)*L68%+F68</f>
        <v>55.79999999999999</v>
      </c>
      <c r="N67" s="1066" t="s">
        <v>842</v>
      </c>
      <c r="O67" s="1065" t="s">
        <v>841</v>
      </c>
      <c r="P67" s="1041">
        <f>T68*(N9+N10)*O68%+F68</f>
        <v>69.749999999999986</v>
      </c>
      <c r="Q67" s="34"/>
    </row>
    <row r="68" spans="1:20" s="511" customFormat="1" ht="15" customHeight="1">
      <c r="A68" s="711"/>
      <c r="B68" s="1064"/>
      <c r="C68" s="4393" t="s">
        <v>564</v>
      </c>
      <c r="D68" s="4393"/>
      <c r="E68" s="4393"/>
      <c r="F68" s="1063"/>
      <c r="G68" s="1054" t="s">
        <v>163</v>
      </c>
      <c r="H68" s="1061">
        <v>10</v>
      </c>
      <c r="I68" s="1060">
        <v>100</v>
      </c>
      <c r="J68" s="1059"/>
      <c r="K68" s="1061">
        <v>10</v>
      </c>
      <c r="L68" s="1060">
        <v>100</v>
      </c>
      <c r="M68" s="1062"/>
      <c r="N68" s="1061">
        <v>10</v>
      </c>
      <c r="O68" s="1060">
        <v>100</v>
      </c>
      <c r="P68" s="1059"/>
      <c r="Q68" s="34"/>
      <c r="R68" s="1058">
        <f>IF($H$68=0,0,VLOOKUP($H$68,'SD6'!P8:Q156,'SD6'!Q1,FALSE))*(1+'SDK1'!O11/100)</f>
        <v>2.7899999999999996</v>
      </c>
      <c r="S68" s="1058">
        <f>IF($K$68=0,0,VLOOKUP($K$68,'SD6'!P8:Q156,'SD6'!Q1,FALSE))*(1+'SDK1'!O11/100)</f>
        <v>2.7899999999999996</v>
      </c>
      <c r="T68" s="1058">
        <f>IF($N$68=0,0,VLOOKUP($N$68,'SD6'!P8:Q156,'SD6'!Q1,FALSE))*(1+'SDK1'!O11/100)</f>
        <v>2.7899999999999996</v>
      </c>
    </row>
    <row r="69" spans="1:20" s="511" customFormat="1" ht="18.75" customHeight="1">
      <c r="A69" s="711"/>
      <c r="B69" s="716" t="s">
        <v>839</v>
      </c>
      <c r="C69" s="711"/>
      <c r="D69" s="711"/>
      <c r="E69" s="34"/>
      <c r="F69" s="34"/>
      <c r="G69" s="1047"/>
      <c r="H69" s="38"/>
      <c r="I69" s="51"/>
      <c r="J69" s="1041" t="e">
        <f>H70*$F70/1000</f>
        <v>#VALUE!</v>
      </c>
      <c r="K69" s="1057"/>
      <c r="L69" s="1056"/>
      <c r="M69" s="1044" t="e">
        <f>K70*$F70/1000</f>
        <v>#VALUE!</v>
      </c>
      <c r="N69" s="38"/>
      <c r="O69" s="51"/>
      <c r="P69" s="1041" t="e">
        <f>N70*$F70/1000</f>
        <v>#VALUE!</v>
      </c>
      <c r="Q69" s="34"/>
    </row>
    <row r="70" spans="1:20" s="511" customFormat="1" ht="15" customHeight="1">
      <c r="A70" s="711"/>
      <c r="B70" s="772"/>
      <c r="C70" s="771" t="s">
        <v>606</v>
      </c>
      <c r="D70" s="285"/>
      <c r="E70" s="222"/>
      <c r="F70" s="3742">
        <f>'SDK7'!G107</f>
        <v>42</v>
      </c>
      <c r="G70" s="1054" t="s">
        <v>163</v>
      </c>
      <c r="H70" s="1357" t="e">
        <f>J7</f>
        <v>#VALUE!</v>
      </c>
      <c r="I70" s="1049"/>
      <c r="J70" s="1048"/>
      <c r="K70" s="1053" t="e">
        <f>M7</f>
        <v>#VALUE!</v>
      </c>
      <c r="L70" s="1052"/>
      <c r="M70" s="1051"/>
      <c r="N70" s="1357" t="e">
        <f>P7</f>
        <v>#VALUE!</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t="e">
        <f>(J23+J27+J34+J43+J60+J65+J67+J69+J71)*('SDK1'!$O$59%*$G$75/12)</f>
        <v>#VALUE!</v>
      </c>
      <c r="K75" s="513"/>
      <c r="L75" s="522"/>
      <c r="M75" s="1005" t="e">
        <f>(M23+M27+M34+M43+M60+M65+M67+M69+M71)*('SDK1'!$O$59%*$G$75/12)</f>
        <v>#VALUE!</v>
      </c>
      <c r="N75" s="1007"/>
      <c r="O75" s="1006"/>
      <c r="P75" s="1005" t="e">
        <f>(P23+P27+P34+P43+P60+P65+P67+P69+P71)*('SDK1'!$O$59%*$G$75/12)</f>
        <v>#VALUE!</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H151" s="1354"/>
      <c r="J151" s="1353"/>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D159" s="12"/>
      <c r="F159" s="12"/>
      <c r="G159" s="12"/>
      <c r="H159" s="12"/>
      <c r="I159" s="12"/>
      <c r="J159" s="12"/>
      <c r="K159" s="12"/>
      <c r="M159" s="31"/>
      <c r="N159" s="31"/>
      <c r="O159" s="31"/>
      <c r="P159" s="31"/>
      <c r="Q159" s="31"/>
    </row>
    <row r="160" spans="1:17">
      <c r="A160" s="31"/>
      <c r="B160" s="441"/>
      <c r="C160" s="12"/>
      <c r="D160" s="12"/>
      <c r="F160" s="12"/>
      <c r="G160" s="12"/>
      <c r="H160" s="12"/>
      <c r="I160" s="12"/>
      <c r="J160" s="12"/>
      <c r="K160" s="12"/>
      <c r="M160" s="31"/>
      <c r="N160" s="31"/>
      <c r="O160" s="31"/>
      <c r="P160" s="31"/>
      <c r="Q160" s="31"/>
    </row>
    <row r="161" spans="1:17">
      <c r="A161" s="31"/>
      <c r="B161" s="441"/>
      <c r="C161" s="12"/>
      <c r="D161" s="12"/>
      <c r="F161" s="12"/>
      <c r="G161" s="12"/>
      <c r="H161" s="12"/>
      <c r="I161" s="12"/>
      <c r="J161" s="12"/>
      <c r="K161" s="12"/>
      <c r="L161" s="31"/>
      <c r="M161" s="31"/>
      <c r="N161" s="31"/>
      <c r="O161" s="31"/>
      <c r="P161" s="31"/>
      <c r="Q161" s="31"/>
    </row>
    <row r="162" spans="1:17">
      <c r="A162" s="31"/>
      <c r="B162" s="441"/>
      <c r="C162" s="12"/>
      <c r="D162" s="12"/>
      <c r="F162" s="12"/>
      <c r="G162" s="12"/>
      <c r="H162" s="12"/>
      <c r="I162" s="12"/>
      <c r="J162" s="12"/>
      <c r="K162" s="12"/>
      <c r="L162" s="31"/>
      <c r="M162" s="31"/>
      <c r="N162" s="31"/>
      <c r="O162" s="31"/>
      <c r="P162" s="31"/>
      <c r="Q162" s="31"/>
    </row>
    <row r="163" spans="1:17">
      <c r="A163" s="31"/>
      <c r="B163" s="441"/>
      <c r="C163" s="12"/>
      <c r="D163" s="12"/>
      <c r="F163" s="12"/>
      <c r="G163" s="12"/>
      <c r="H163" s="12"/>
      <c r="I163" s="12"/>
      <c r="J163" s="12"/>
      <c r="K163" s="12"/>
      <c r="L163" s="31"/>
      <c r="M163" s="31"/>
      <c r="N163" s="31"/>
      <c r="O163" s="31"/>
      <c r="P163" s="31"/>
      <c r="Q163" s="31"/>
    </row>
    <row r="164" spans="1:17">
      <c r="A164" s="31"/>
      <c r="B164" s="441"/>
      <c r="C164" s="12"/>
      <c r="L164" s="31"/>
      <c r="M164" s="31"/>
      <c r="N164" s="31"/>
      <c r="O164" s="31"/>
      <c r="P164" s="31"/>
      <c r="Q164" s="31"/>
    </row>
    <row r="165" spans="1:17">
      <c r="A165" s="31"/>
      <c r="B165" s="441"/>
      <c r="C165" s="12"/>
      <c r="L165" s="31"/>
      <c r="M165" s="31"/>
      <c r="N165" s="31"/>
      <c r="O165" s="31"/>
      <c r="P165" s="31"/>
      <c r="Q165" s="31"/>
    </row>
    <row r="166" spans="1:17">
      <c r="A166" s="31"/>
      <c r="B166" s="441"/>
      <c r="C166" s="12"/>
      <c r="L166" s="31"/>
      <c r="M166" s="31"/>
      <c r="N166" s="31"/>
      <c r="O166" s="31"/>
      <c r="P166" s="31"/>
      <c r="Q166" s="31"/>
    </row>
    <row r="167" spans="1:17">
      <c r="A167" s="31"/>
      <c r="B167" s="441"/>
      <c r="C167" s="12"/>
      <c r="L167" s="31"/>
      <c r="M167" s="31"/>
      <c r="N167" s="31"/>
      <c r="O167" s="31"/>
      <c r="P167" s="31"/>
      <c r="Q167" s="31"/>
    </row>
    <row r="168" spans="1:17">
      <c r="A168" s="31"/>
      <c r="B168" s="441"/>
      <c r="C168" s="12"/>
      <c r="L168" s="31"/>
      <c r="M168" s="31"/>
      <c r="N168" s="31"/>
      <c r="O168" s="31"/>
      <c r="P168" s="31"/>
      <c r="Q168" s="31"/>
    </row>
    <row r="169" spans="1:17">
      <c r="A169" s="31"/>
      <c r="B169" s="441"/>
      <c r="C169" s="12"/>
      <c r="L169" s="31"/>
      <c r="M169" s="31"/>
      <c r="N169" s="31"/>
      <c r="O169" s="31"/>
      <c r="P169" s="31"/>
      <c r="Q169" s="31"/>
    </row>
    <row r="170" spans="1:17">
      <c r="A170" s="31"/>
      <c r="B170" s="441"/>
      <c r="C170" s="12"/>
      <c r="L170" s="31"/>
      <c r="M170" s="31"/>
      <c r="N170" s="31"/>
      <c r="O170" s="31"/>
      <c r="P170" s="31"/>
      <c r="Q170" s="31"/>
    </row>
    <row r="171" spans="1:17">
      <c r="A171" s="31"/>
      <c r="B171" s="441"/>
      <c r="C171" s="12"/>
      <c r="L171" s="31"/>
      <c r="M171" s="31"/>
      <c r="N171" s="31"/>
      <c r="O171" s="31"/>
      <c r="P171" s="31"/>
      <c r="Q171" s="31"/>
    </row>
    <row r="172" spans="1:17">
      <c r="A172" s="31"/>
      <c r="B172" s="441"/>
      <c r="C172" s="12"/>
      <c r="L172" s="31"/>
      <c r="M172" s="31"/>
      <c r="N172" s="31"/>
      <c r="O172" s="31"/>
      <c r="P172" s="31"/>
      <c r="Q172" s="31"/>
    </row>
    <row r="173" spans="1:17">
      <c r="A173" s="31"/>
      <c r="B173" s="441"/>
      <c r="C173" s="12"/>
      <c r="L173" s="31"/>
      <c r="M173" s="31"/>
      <c r="N173" s="31"/>
      <c r="O173" s="31"/>
      <c r="P173" s="31"/>
      <c r="Q173" s="31"/>
    </row>
    <row r="174" spans="1:17">
      <c r="A174" s="31"/>
      <c r="B174" s="441"/>
      <c r="C174" s="12"/>
      <c r="L174" s="31"/>
      <c r="M174" s="31"/>
      <c r="N174" s="31"/>
      <c r="O174" s="31"/>
      <c r="P174" s="31"/>
      <c r="Q174" s="31"/>
    </row>
    <row r="175" spans="1:17">
      <c r="A175" s="31"/>
      <c r="B175" s="441"/>
      <c r="C175" s="12"/>
      <c r="L175" s="31"/>
      <c r="M175" s="31"/>
      <c r="N175" s="31"/>
      <c r="O175" s="31"/>
      <c r="P175" s="31"/>
      <c r="Q175" s="31"/>
    </row>
    <row r="176" spans="1:17">
      <c r="A176" s="31"/>
      <c r="B176" s="441"/>
      <c r="C176" s="12"/>
      <c r="L176" s="31"/>
      <c r="M176" s="31"/>
      <c r="N176" s="31"/>
      <c r="O176" s="31"/>
      <c r="P176" s="31"/>
      <c r="Q176" s="31"/>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2" orientation="portrait" r:id="rId1"/>
      <headerFooter alignWithMargins="0">
        <oddFooter>&amp;L&amp;11LEL Schwäbisch Gmünd&amp;C65&amp;R&amp;11&amp;F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2" orientation="portrait" r:id="rId2"/>
      <headerFooter alignWithMargins="0">
        <oddFooter>&amp;L&amp;11LEL Schwäbisch Gmünd&amp;C65&amp;R&amp;11&amp;F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2" orientation="portrait" r:id="rId3"/>
      <headerFooter alignWithMargins="0">
        <oddFooter>&amp;L&amp;11LEL Schwäbisch Gmünd&amp;C65&amp;R&amp;11&amp;F</oddFooter>
      </headerFooter>
    </customSheetView>
  </customSheetViews>
  <mergeCells count="50">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 ref="B3:H3"/>
  </mergeCells>
  <dataValidations count="5">
    <dataValidation type="list" showInputMessage="1" showErrorMessage="1" sqref="H14 K14 N14" xr:uid="{00000000-0002-0000-2B00-000000000000}">
      <formula1>"ja,nein"</formula1>
    </dataValidation>
    <dataValidation type="list" allowBlank="1" showInputMessage="1" showErrorMessage="1" sqref="H15:H17 K15:K17 N15:N17" xr:uid="{00000000-0002-0000-2B00-000001000000}">
      <formula1>"ja,nein"</formula1>
    </dataValidation>
    <dataValidation type="whole" allowBlank="1" showInputMessage="1" showErrorMessage="1" errorTitle="Anteil Erntegut" error="Prozentwert darf nur zwischen 0 und 100 liegen." sqref="O68 L68 I68" xr:uid="{00000000-0002-0000-2B00-000002000000}">
      <formula1>0</formula1>
      <formula2>100</formula2>
    </dataValidation>
    <dataValidation type="list" allowBlank="1" showInputMessage="1" showErrorMessage="1" errorTitle="Organisationsabh. Ausgleichsl." error="Bitte aus Dropdownliste auswählen." sqref="D19:F19" xr:uid="{00000000-0002-0000-2B00-000003000000}">
      <formula1>$C$60:$C$75</formula1>
    </dataValidation>
    <dataValidation type="decimal" allowBlank="1" showInputMessage="1" showErrorMessage="1" errorTitle="Wassergehalt Getreide" error="Zulässig sind nur Werte zwischen 9,1 und 23,9 % Wassergehalt." sqref="N68 K68 H68" xr:uid="{00000000-0002-0000-2B00-000004000000}">
      <formula1>9.1</formula1>
      <formula2>23.9</formula2>
    </dataValidation>
  </dataValidations>
  <hyperlinks>
    <hyperlink ref="F9" location="'SDK1'!A1" display="Preis ändern" xr:uid="{00000000-0004-0000-2B00-000000000000}"/>
  </hyperlinks>
  <printOptions horizontalCentered="1"/>
  <pageMargins left="0.59055118110236227" right="0.59055118110236227" top="0.59055118110236227" bottom="0.59055118110236227" header="0.39370078740157483" footer="0.39370078740157483"/>
  <pageSetup paperSize="9" scale="65" firstPageNumber="52" orientation="portrait" r:id="rId4"/>
  <headerFooter alignWithMargins="0">
    <oddFooter>&amp;L&amp;11LEL Schwäbisch Gmünd&amp;C65&amp;R&amp;11&amp;F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B00-000005000000}">
          <x14:formula1>
            <xm:f>'SD2'!$C$11:$C$50</xm:f>
          </x14:formula1>
          <xm:sqref>C14:F17</xm:sqref>
        </x14:dataValidation>
        <x14:dataValidation type="list" allowBlank="1" showInputMessage="1" showErrorMessage="1" errorTitle="Organisationsabh. Ausgleichsl." error="Bitte aus Dropdownliste auswählen." xr:uid="{00000000-0002-0000-2B00-000006000000}">
          <x14:formula1>
            <xm:f>'SD2'!$C$60:$C$77</xm:f>
          </x14:formula1>
          <xm:sqref>C19:C21</xm:sqref>
        </x14:dataValidation>
        <x14:dataValidation type="list" allowBlank="1" showInputMessage="1" showErrorMessage="1" errorTitle="Arbeitsgänge" error="Bitte aus Dropdownliste auswählen." xr:uid="{00000000-0002-0000-2B00-000007000000}">
          <x14:formula1>
            <xm:f>'SD3'!$C$23:$C$75</xm:f>
          </x14:formula1>
          <xm:sqref>C46:D57</xm:sqref>
        </x14:dataValidation>
        <x14:dataValidation type="list" allowBlank="1" showInputMessage="1" showErrorMessage="1" errorTitle="Lohnmaschinen" error="Bitte aus Dropdownliste auswählen." xr:uid="{00000000-0002-0000-2B00-000008000000}">
          <x14:formula1>
            <xm:f>'SD3'!$C$90:$C$104</xm:f>
          </x14:formula1>
          <xm:sqref>C62:E64</xm:sqref>
        </x14:dataValidation>
        <x14:dataValidation type="list" allowBlank="1" showInputMessage="1" showErrorMessage="1" errorTitle="Pflanzenschutzmittel" error="Bitte aus Dropdownliste auswählen." xr:uid="{00000000-0002-0000-2B00-000009000000}">
          <x14:formula1>
            <xm:f>'SDK5'!$W$214:$W$222</xm:f>
          </x14:formula1>
          <xm:sqref>C36:E36 C37:E37 C38:E38 C40:E40 C39:E39 C41:E41 C42:E42</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6">
    <tabColor theme="8" tint="0.39997558519241921"/>
    <pageSetUpPr fitToPage="1"/>
  </sheetPr>
  <dimension ref="A1:AO218"/>
  <sheetViews>
    <sheetView workbookViewId="0">
      <selection activeCell="N50" sqref="N50"/>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6" width="10.5" style="31" hidden="1" customWidth="1"/>
    <col min="27" max="16384" width="10.5" style="31"/>
  </cols>
  <sheetData>
    <row r="1" spans="1:41" s="1317" customFormat="1" ht="30.45" customHeight="1">
      <c r="A1" s="1321"/>
      <c r="B1" s="258"/>
      <c r="C1" s="1333"/>
      <c r="D1" s="1253"/>
      <c r="E1" s="255"/>
      <c r="F1" s="255"/>
      <c r="G1" s="430"/>
      <c r="H1" s="1328"/>
      <c r="I1" s="3212" t="s">
        <v>1679</v>
      </c>
      <c r="J1" s="3210">
        <f>(J7+J13+J18+J22+I11+I12)-(J23+J27+J34+J43+J60+J65+J67+J69+J71+J75)</f>
        <v>-11.747757414944431</v>
      </c>
      <c r="K1" s="4360">
        <f>M1-J1</f>
        <v>309.31989674300007</v>
      </c>
      <c r="L1" s="4360"/>
      <c r="M1" s="3210">
        <f>(M7+M13+M18+M22+L11+L12)-(M23+M27+M34+M43+M60+M65+M67+M69+M71+M75)</f>
        <v>297.57213932805564</v>
      </c>
      <c r="N1" s="4360">
        <f>P1-M1</f>
        <v>281.0865634096665</v>
      </c>
      <c r="O1" s="4360"/>
      <c r="P1" s="3210">
        <f>(P7+P13+P18+P22+O11+O12)-(P23+P27+P34+P43+P60+P65+P67+P69+P71+P75)</f>
        <v>578.65870273772214</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191</v>
      </c>
      <c r="L2" s="4372"/>
      <c r="M2" s="4372"/>
      <c r="N2" s="4372"/>
      <c r="O2" s="4372"/>
      <c r="P2" s="4372"/>
      <c r="Q2" s="1345">
        <v>10</v>
      </c>
      <c r="AB2" s="3229"/>
    </row>
    <row r="3" spans="1:41" s="1317" customFormat="1" ht="32.4" customHeight="1">
      <c r="A3" s="1321"/>
      <c r="B3" s="4405" t="s">
        <v>1727</v>
      </c>
      <c r="C3" s="4405"/>
      <c r="D3" s="4405"/>
      <c r="E3" s="4405"/>
      <c r="F3" s="4405"/>
      <c r="G3" s="4405"/>
      <c r="H3" s="4405"/>
      <c r="J3" s="4368"/>
      <c r="K3" s="4418"/>
      <c r="L3" s="4418"/>
      <c r="M3" s="1368"/>
      <c r="N3" s="4373" t="str">
        <f>IF(AND(T3=TRUE,T4=TRUE),"nur 1 Strohnutzung möglich","")</f>
        <v/>
      </c>
      <c r="O3" s="4374"/>
      <c r="P3" s="1326"/>
      <c r="Q3" s="1321"/>
      <c r="T3" s="1343" t="b">
        <v>0</v>
      </c>
    </row>
    <row r="4" spans="1:41" s="1317" customFormat="1" ht="20.25" customHeight="1">
      <c r="A4" s="1321"/>
      <c r="B4" s="309" t="s">
        <v>779</v>
      </c>
      <c r="C4" s="31"/>
      <c r="D4" s="31"/>
      <c r="E4" s="4406" t="s">
        <v>890</v>
      </c>
      <c r="F4" s="4406"/>
      <c r="G4" s="4406"/>
      <c r="H4" s="4406"/>
      <c r="I4" s="4406"/>
      <c r="J4" s="4368"/>
      <c r="K4" s="4418"/>
      <c r="L4" s="4418"/>
      <c r="M4" s="1367"/>
      <c r="N4" s="4374"/>
      <c r="O4" s="4374"/>
      <c r="P4" s="1322">
        <f>'SDK1'!O3</f>
        <v>2024</v>
      </c>
      <c r="Q4" s="1321"/>
      <c r="T4" s="1343"/>
    </row>
    <row r="5" spans="1:41" ht="6" customHeight="1"/>
    <row r="6" spans="1:41" s="1311" customFormat="1" ht="24" customHeight="1">
      <c r="A6" s="41"/>
      <c r="B6" s="1316" t="s">
        <v>832</v>
      </c>
      <c r="C6" s="1315"/>
      <c r="D6" s="1315"/>
      <c r="E6" s="1315"/>
      <c r="F6" s="1315"/>
      <c r="G6" s="1314"/>
      <c r="H6" s="4366" t="s">
        <v>171</v>
      </c>
      <c r="I6" s="4367"/>
      <c r="J6" s="1313">
        <v>20</v>
      </c>
      <c r="K6" s="4379" t="s">
        <v>144</v>
      </c>
      <c r="L6" s="4380"/>
      <c r="M6" s="1313">
        <v>35</v>
      </c>
      <c r="N6" s="4366" t="s">
        <v>170</v>
      </c>
      <c r="O6" s="4367"/>
      <c r="P6" s="1312">
        <v>50</v>
      </c>
      <c r="Q6" s="49"/>
    </row>
    <row r="7" spans="1:41" s="196" customFormat="1" ht="18.75" customHeight="1">
      <c r="A7" s="40"/>
      <c r="B7" s="245" t="s">
        <v>883</v>
      </c>
      <c r="C7" s="40"/>
      <c r="D7" s="40"/>
      <c r="E7" s="40"/>
      <c r="F7" s="40"/>
      <c r="G7" s="1310"/>
      <c r="H7" s="1307"/>
      <c r="I7" s="1306"/>
      <c r="J7" s="1041">
        <f>SUM(I9:I10)</f>
        <v>484</v>
      </c>
      <c r="K7" s="1309"/>
      <c r="L7" s="1308"/>
      <c r="M7" s="1044">
        <f>SUM(L9:L10)</f>
        <v>847</v>
      </c>
      <c r="N7" s="1307"/>
      <c r="O7" s="1306"/>
      <c r="P7" s="1041">
        <f>SUM(O9:O10)</f>
        <v>1210</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'SDK1'!O35</f>
        <v>24.2</v>
      </c>
      <c r="H9" s="1303">
        <f>J6-H10</f>
        <v>20</v>
      </c>
      <c r="I9" s="1299">
        <f>H9*G9</f>
        <v>484</v>
      </c>
      <c r="J9" s="37"/>
      <c r="K9" s="1302">
        <f>M6-K10</f>
        <v>35</v>
      </c>
      <c r="L9" s="1301">
        <f>K9*G9</f>
        <v>847</v>
      </c>
      <c r="M9" s="1280"/>
      <c r="N9" s="1300">
        <f>P6-N10</f>
        <v>50</v>
      </c>
      <c r="O9" s="1299">
        <f>N9*G9</f>
        <v>1210</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309"/>
      <c r="B11" s="217"/>
      <c r="C11" s="39" t="s">
        <v>878</v>
      </c>
      <c r="D11" s="309"/>
      <c r="E11" s="1286">
        <v>1</v>
      </c>
      <c r="F11" s="39" t="s">
        <v>877</v>
      </c>
      <c r="G11" s="1285">
        <f>'SDK1'!$O$48</f>
        <v>10.7</v>
      </c>
      <c r="H11" s="3151">
        <f>IF($T$3=FALSE,0,J6*$E$11)</f>
        <v>0</v>
      </c>
      <c r="I11" s="3152">
        <f>H11*$G$11</f>
        <v>0</v>
      </c>
      <c r="J11" s="3153"/>
      <c r="K11" s="3154">
        <f>IF($T$3=FALSE,0,M6*$E$11)</f>
        <v>0</v>
      </c>
      <c r="L11" s="3155">
        <f>K11*$G$11</f>
        <v>0</v>
      </c>
      <c r="M11" s="3156"/>
      <c r="N11" s="3157">
        <f>IF($T$3=FALSE,0,P6*$E$11)</f>
        <v>0</v>
      </c>
      <c r="O11" s="3152">
        <f>N11*$G$11</f>
        <v>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919</v>
      </c>
      <c r="I15" s="2827">
        <f>IF(H15="ja",Q15,0)</f>
        <v>0</v>
      </c>
      <c r="J15" s="39"/>
      <c r="K15" s="1262" t="s">
        <v>919</v>
      </c>
      <c r="L15" s="1098">
        <f>IF(K15="ja",Q15,0)</f>
        <v>0</v>
      </c>
      <c r="M15" s="1016"/>
      <c r="N15" s="1262" t="s">
        <v>919</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140</v>
      </c>
      <c r="K23" s="1046"/>
      <c r="L23" s="1045"/>
      <c r="M23" s="1227">
        <f>SUM(L25:L26)</f>
        <v>122.49999999999999</v>
      </c>
      <c r="N23" s="1043"/>
      <c r="O23" s="1042"/>
      <c r="P23" s="1026">
        <f>SUM(O25:O26)</f>
        <v>133</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'SDK7'!F67/100</f>
        <v>0.7</v>
      </c>
      <c r="G25" s="1221">
        <f>F25*(100+$D$24)/100</f>
        <v>0.7</v>
      </c>
      <c r="H25" s="1220">
        <v>200</v>
      </c>
      <c r="I25" s="1181">
        <f>H25*$G25</f>
        <v>140</v>
      </c>
      <c r="J25" s="39"/>
      <c r="K25" s="1220">
        <v>175</v>
      </c>
      <c r="L25" s="1023">
        <f>K25*$G25</f>
        <v>122.49999999999999</v>
      </c>
      <c r="M25" s="1016"/>
      <c r="N25" s="1220">
        <v>190</v>
      </c>
      <c r="O25" s="1181">
        <f>N25*$G25</f>
        <v>133</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35.079999999999991</v>
      </c>
      <c r="K27" s="1175"/>
      <c r="L27" s="1174"/>
      <c r="M27" s="1044">
        <f>SUM(L30:L32)</f>
        <v>61.389999999999979</v>
      </c>
      <c r="N27" s="1173"/>
      <c r="O27" s="1172"/>
      <c r="P27" s="1041">
        <f>SUM(O30:O32)</f>
        <v>87.699999999999989</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-0.80000000000000027</v>
      </c>
      <c r="F30" s="1201">
        <f>VLOOKUP(K2,'SD8'!B9:L42,7,FALSE)</f>
        <v>1.4999999999999996</v>
      </c>
      <c r="G30" s="1200"/>
      <c r="H30" s="1198">
        <f>IF(J$6=0,0,(J$6*$E30+$G30+X14))</f>
        <v>-16.000000000000007</v>
      </c>
      <c r="I30" s="1181">
        <f>H30*$D30</f>
        <v>-19.040000000000006</v>
      </c>
      <c r="J30" s="39"/>
      <c r="K30" s="1199">
        <f>IF(M$6=0,0,(M$6*$E30+$G30+Y14))</f>
        <v>-28.000000000000011</v>
      </c>
      <c r="L30" s="1023">
        <f>K30*$D30</f>
        <v>-33.320000000000014</v>
      </c>
      <c r="M30" s="1016"/>
      <c r="N30" s="1198">
        <f>IF(P$6=0,0,(P$6*$E30+$G30+Z14))</f>
        <v>-40.000000000000014</v>
      </c>
      <c r="O30" s="1181">
        <f>N30*$D30</f>
        <v>-47.600000000000016</v>
      </c>
      <c r="P30" s="1145"/>
      <c r="Q30" s="34"/>
    </row>
    <row r="31" spans="1:26" s="36" customFormat="1" ht="15" customHeight="1">
      <c r="A31" s="746"/>
      <c r="B31" s="217"/>
      <c r="C31" s="746" t="s">
        <v>234</v>
      </c>
      <c r="D31" s="1150">
        <f>'SDK1'!O53</f>
        <v>1.2</v>
      </c>
      <c r="E31" s="1201">
        <f>VLOOKUP(K2,'SD8'!B9:L42,4,FALSE)</f>
        <v>1.1000000000000001</v>
      </c>
      <c r="F31" s="1201">
        <f>VLOOKUP(K2,'SD8'!B9:L42,8,FALSE)</f>
        <v>0.29999999999999982</v>
      </c>
      <c r="G31" s="1200"/>
      <c r="H31" s="1198">
        <f>IF(J$6=0,0,(J$6*$E31+$G31+X15))</f>
        <v>22</v>
      </c>
      <c r="I31" s="1181">
        <f>H31*$D31</f>
        <v>26.4</v>
      </c>
      <c r="J31" s="39"/>
      <c r="K31" s="1199">
        <f>IF(M$6=0,0,(M$6*$E31+$G31+Y15))</f>
        <v>38.5</v>
      </c>
      <c r="L31" s="1023">
        <f>K31*$D31</f>
        <v>46.199999999999996</v>
      </c>
      <c r="M31" s="1016"/>
      <c r="N31" s="1198">
        <f>IF(P$6=0,0,(P$6*$E31+$G31+Z15))</f>
        <v>55.000000000000007</v>
      </c>
      <c r="O31" s="1181">
        <f>N31*$D31</f>
        <v>66</v>
      </c>
      <c r="P31" s="1145"/>
      <c r="Q31" s="34"/>
    </row>
    <row r="32" spans="1:26" s="36" customFormat="1" ht="15" customHeight="1">
      <c r="A32" s="746"/>
      <c r="B32" s="185"/>
      <c r="C32" s="2791" t="s">
        <v>232</v>
      </c>
      <c r="D32" s="1133">
        <f>'SDK1'!O54</f>
        <v>0.99</v>
      </c>
      <c r="E32" s="1197">
        <f>VLOOKUP(K2,'SD8'!B9:L42,5,FALSE)</f>
        <v>1.4</v>
      </c>
      <c r="F32" s="1197">
        <f>VLOOKUP(K2,'SD8'!B9:L42,9,FALSE)</f>
        <v>2.6</v>
      </c>
      <c r="G32" s="1196"/>
      <c r="H32" s="1194">
        <f>IF(J$6=0,0,(J$6*$E32+$G32+X16))</f>
        <v>28</v>
      </c>
      <c r="I32" s="1177">
        <f>H32*$D32</f>
        <v>27.72</v>
      </c>
      <c r="J32" s="223"/>
      <c r="K32" s="1195">
        <f>IF(M$6=0,0,(M$6*$E32+$G32+Y16))</f>
        <v>49</v>
      </c>
      <c r="L32" s="1017">
        <f>K32*$D32</f>
        <v>48.51</v>
      </c>
      <c r="M32" s="1256"/>
      <c r="N32" s="1194">
        <f>IF(P$6=0,0,(P$6*$E32+$G32+Z16))</f>
        <v>70</v>
      </c>
      <c r="O32" s="1177">
        <f>N32*$D32</f>
        <v>69.3</v>
      </c>
      <c r="P32" s="1176"/>
      <c r="Q32" s="34"/>
    </row>
    <row r="33" spans="1:17" s="36" customFormat="1" ht="15" hidden="1" customHeight="1">
      <c r="A33" s="746"/>
      <c r="B33" s="185"/>
      <c r="C33" s="771" t="s">
        <v>230</v>
      </c>
      <c r="D33" s="1133">
        <f>'SDK1'!P55</f>
        <v>0.45</v>
      </c>
      <c r="E33" s="1197">
        <f>VLOOKUP(K2,'SD8'!B9:L42,6,FALSE)</f>
        <v>0.2</v>
      </c>
      <c r="F33" s="1197">
        <f>VLOOKUP(K2,'SD8'!B9:L42,10,FALSE)</f>
        <v>0.3</v>
      </c>
      <c r="G33" s="1196"/>
      <c r="H33" s="1194">
        <f>IF(J$6=0,0,(J$6*$E33+$G33+X17))</f>
        <v>4</v>
      </c>
      <c r="I33" s="1177">
        <f>H33*$D33</f>
        <v>1.8</v>
      </c>
      <c r="J33" s="39"/>
      <c r="K33" s="1195">
        <f>IF(M$6=0,0,(M$6*$E33+$G33+Y17))</f>
        <v>7</v>
      </c>
      <c r="L33" s="1017">
        <f>K33*$D33</f>
        <v>3.15</v>
      </c>
      <c r="M33" s="1016"/>
      <c r="N33" s="1194">
        <f>IF(P$6=0,0,(P$6*$E33+$G33+Z17))</f>
        <v>10</v>
      </c>
      <c r="O33" s="1177">
        <f>N33*$D33</f>
        <v>4.5</v>
      </c>
      <c r="P33" s="1176"/>
      <c r="Q33" s="34"/>
    </row>
    <row r="34" spans="1:17" s="511" customFormat="1" ht="18.75" customHeight="1">
      <c r="A34" s="711"/>
      <c r="B34" s="716" t="s">
        <v>859</v>
      </c>
      <c r="C34" s="711"/>
      <c r="D34" s="33"/>
      <c r="E34" s="33"/>
      <c r="F34" s="4381" t="s">
        <v>858</v>
      </c>
      <c r="G34" s="4382"/>
      <c r="H34" s="1191"/>
      <c r="I34" s="1190"/>
      <c r="J34" s="1041">
        <f>SUM(I36:I42)</f>
        <v>94.899999999999991</v>
      </c>
      <c r="K34" s="1193"/>
      <c r="L34" s="1192"/>
      <c r="M34" s="1044">
        <f>SUM(L36:L42)</f>
        <v>94.899999999999991</v>
      </c>
      <c r="N34" s="1191"/>
      <c r="O34" s="1190"/>
      <c r="P34" s="1041">
        <f>SUM(O36:O42)</f>
        <v>94.899999999999991</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535</v>
      </c>
      <c r="D36" s="4389"/>
      <c r="E36" s="4390"/>
      <c r="F36" s="1183">
        <f>IF(C36="",0,VLOOKUP(C36,'SDK5'!C3:AF83,2,FALSE))</f>
        <v>15.7</v>
      </c>
      <c r="G36" s="1183">
        <f t="shared" ref="G36:G42" si="0">F36*(100+$D$35)/100</f>
        <v>15.7</v>
      </c>
      <c r="H36" s="1182">
        <v>3</v>
      </c>
      <c r="I36" s="1181">
        <f t="shared" ref="I36:I42" si="1">$G36*H36</f>
        <v>47.099999999999994</v>
      </c>
      <c r="J36" s="39"/>
      <c r="K36" s="1182">
        <v>3</v>
      </c>
      <c r="L36" s="1023">
        <f t="shared" ref="L36:L42" si="2">$G36*K36</f>
        <v>47.099999999999994</v>
      </c>
      <c r="M36" s="1016"/>
      <c r="N36" s="1182">
        <v>3</v>
      </c>
      <c r="O36" s="1181">
        <f t="shared" ref="O36:O42" si="3">$G36*N36</f>
        <v>47.099999999999994</v>
      </c>
      <c r="P36" s="1185"/>
      <c r="Q36" s="34"/>
    </row>
    <row r="37" spans="1:17" s="36" customFormat="1" ht="15" customHeight="1">
      <c r="A37" s="746"/>
      <c r="B37" s="1021"/>
      <c r="C37" s="4375" t="s">
        <v>485</v>
      </c>
      <c r="D37" s="4375"/>
      <c r="E37" s="4376"/>
      <c r="F37" s="1183">
        <f>IF(C37="",0,VLOOKUP(C37,'SDK5'!C4:AF84,2,FALSE))</f>
        <v>23.9</v>
      </c>
      <c r="G37" s="1183">
        <f t="shared" si="0"/>
        <v>23.9</v>
      </c>
      <c r="H37" s="1182">
        <v>2</v>
      </c>
      <c r="I37" s="1181">
        <f t="shared" si="1"/>
        <v>47.8</v>
      </c>
      <c r="J37" s="39"/>
      <c r="K37" s="1182">
        <v>2</v>
      </c>
      <c r="L37" s="1023">
        <f t="shared" si="2"/>
        <v>47.8</v>
      </c>
      <c r="M37" s="1016"/>
      <c r="N37" s="1182">
        <v>2</v>
      </c>
      <c r="O37" s="1181">
        <f t="shared" si="3"/>
        <v>47.8</v>
      </c>
      <c r="P37" s="1145"/>
      <c r="Q37" s="34"/>
    </row>
    <row r="38" spans="1:17" s="36" customFormat="1" ht="15" customHeight="1">
      <c r="A38" s="746"/>
      <c r="B38" s="1184"/>
      <c r="C38" s="4375"/>
      <c r="D38" s="4375"/>
      <c r="E38" s="4376"/>
      <c r="F38" s="1183">
        <f>IF(C38="",0,VLOOKUP(C38,'SDK5'!C5:AF85,2,FALSE))</f>
        <v>0</v>
      </c>
      <c r="G38" s="1183">
        <f t="shared" si="0"/>
        <v>0</v>
      </c>
      <c r="H38" s="1182"/>
      <c r="I38" s="1181">
        <f t="shared" si="1"/>
        <v>0</v>
      </c>
      <c r="J38" s="39"/>
      <c r="K38" s="1182"/>
      <c r="L38" s="1023">
        <f t="shared" si="2"/>
        <v>0</v>
      </c>
      <c r="M38" s="1016"/>
      <c r="N38" s="1182"/>
      <c r="O38" s="1181">
        <f t="shared" si="3"/>
        <v>0</v>
      </c>
      <c r="P38" s="1145"/>
      <c r="Q38" s="34"/>
    </row>
    <row r="39" spans="1:17" s="36" customFormat="1" ht="15" customHeight="1">
      <c r="A39" s="746"/>
      <c r="B39" s="1021"/>
      <c r="C39" s="4375"/>
      <c r="D39" s="4375"/>
      <c r="E39" s="4376"/>
      <c r="F39" s="1183">
        <f>IF(C39="",0,VLOOKUP(C39,'SDK5'!C6:AF86,2,FALSE))</f>
        <v>0</v>
      </c>
      <c r="G39" s="1183">
        <f t="shared" si="0"/>
        <v>0</v>
      </c>
      <c r="H39" s="1182"/>
      <c r="I39" s="1181">
        <f t="shared" si="1"/>
        <v>0</v>
      </c>
      <c r="J39" s="39"/>
      <c r="K39" s="1182"/>
      <c r="L39" s="1023">
        <f t="shared" si="2"/>
        <v>0</v>
      </c>
      <c r="M39" s="1016"/>
      <c r="N39" s="1182"/>
      <c r="O39" s="1181">
        <f t="shared" si="3"/>
        <v>0</v>
      </c>
      <c r="P39" s="1145"/>
      <c r="Q39" s="34"/>
    </row>
    <row r="40" spans="1:17" s="36" customFormat="1" ht="15" customHeight="1">
      <c r="A40" s="746"/>
      <c r="B40" s="1021"/>
      <c r="C40" s="4375"/>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136.80785859333332</v>
      </c>
      <c r="K43" s="1175"/>
      <c r="L43" s="1174"/>
      <c r="M43" s="1044">
        <f>SUM(M46:M57)</f>
        <v>139.15932463333331</v>
      </c>
      <c r="N43" s="1173"/>
      <c r="O43" s="1172"/>
      <c r="P43" s="1041">
        <f>SUM(P46:P57)</f>
        <v>141.51079067333333</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47">
        <v>1</v>
      </c>
      <c r="I46" s="1154">
        <f t="shared" ref="I46:I57" si="4">$F46*H46</f>
        <v>1.38</v>
      </c>
      <c r="J46" s="1145">
        <f t="shared" ref="J46:J57" si="5">H46*$G46</f>
        <v>64.642445999999993</v>
      </c>
      <c r="K46" s="1147">
        <v>1</v>
      </c>
      <c r="L46" s="1156">
        <f t="shared" ref="L46:L57" si="6">$F46*K46</f>
        <v>1.38</v>
      </c>
      <c r="M46" s="1148">
        <f t="shared" ref="M46:M57" si="7">K46*$G46</f>
        <v>64.642445999999993</v>
      </c>
      <c r="N46" s="1147">
        <v>1</v>
      </c>
      <c r="O46" s="1154">
        <f t="shared" ref="O46:O57" si="8">$F46*N46</f>
        <v>1.38</v>
      </c>
      <c r="P46" s="1145">
        <f t="shared" ref="P46:P57" si="9">N46*$G46</f>
        <v>64.642445999999993</v>
      </c>
      <c r="Q46" s="34">
        <f>$Q$2*H46</f>
        <v>10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346</v>
      </c>
      <c r="D48" s="4388"/>
      <c r="E48" s="1152">
        <f>IF($C48=0,0,VLOOKUP($C48,'SD3'!$C$24:$O$85,4,FALSE))</f>
        <v>83</v>
      </c>
      <c r="F48" s="1151">
        <f>IF($C48=0,0,VLOOKUP($C48,'SD3'!$C$24:$O$85,12,FALSE))</f>
        <v>0.16</v>
      </c>
      <c r="G48" s="1150">
        <f>IF($C48=0,0,VLOOKUP($C48,'SD3'!$C$24:$O$85,13,FALSE))</f>
        <v>3.7403892799999996</v>
      </c>
      <c r="H48" s="1147">
        <v>1</v>
      </c>
      <c r="I48" s="1146">
        <f t="shared" si="4"/>
        <v>0.16</v>
      </c>
      <c r="J48" s="1145">
        <f t="shared" si="5"/>
        <v>3.7403892799999996</v>
      </c>
      <c r="K48" s="1147">
        <v>1</v>
      </c>
      <c r="L48" s="1149">
        <f t="shared" si="6"/>
        <v>0.16</v>
      </c>
      <c r="M48" s="1148">
        <f t="shared" si="7"/>
        <v>3.7403892799999996</v>
      </c>
      <c r="N48" s="1147">
        <v>1</v>
      </c>
      <c r="O48" s="1146">
        <f t="shared" si="8"/>
        <v>0.16</v>
      </c>
      <c r="P48" s="1145">
        <f t="shared" si="9"/>
        <v>3.7403892799999996</v>
      </c>
      <c r="Q48" s="34"/>
    </row>
    <row r="49" spans="1:17" s="36" customFormat="1" ht="15" customHeight="1">
      <c r="A49" s="746"/>
      <c r="B49" s="1153"/>
      <c r="C49" s="4387" t="s">
        <v>1591</v>
      </c>
      <c r="D49" s="4388"/>
      <c r="E49" s="1152">
        <f>IF($C49=0,0,VLOOKUP($C49,'SD3'!$C$24:$O$85,4,FALSE))</f>
        <v>83</v>
      </c>
      <c r="F49" s="1151">
        <f>IF($C49=0,0,VLOOKUP($C49,'SD3'!$C$24:$O$85,12,FALSE))</f>
        <v>0.22</v>
      </c>
      <c r="G49" s="1150">
        <f>IF($C49=0,0,VLOOKUP($C49,'SD3'!$C$24:$O$85,13,FALSE))</f>
        <v>6.6430352599999996</v>
      </c>
      <c r="H49" s="1147">
        <v>1</v>
      </c>
      <c r="I49" s="1146">
        <f t="shared" si="4"/>
        <v>0.22</v>
      </c>
      <c r="J49" s="1145">
        <f t="shared" si="5"/>
        <v>6.6430352599999996</v>
      </c>
      <c r="K49" s="1147">
        <v>1</v>
      </c>
      <c r="L49" s="1149">
        <f t="shared" si="6"/>
        <v>0.22</v>
      </c>
      <c r="M49" s="1148">
        <f t="shared" si="7"/>
        <v>6.6430352599999996</v>
      </c>
      <c r="N49" s="1147">
        <v>1</v>
      </c>
      <c r="O49" s="1146">
        <f t="shared" si="8"/>
        <v>0.22</v>
      </c>
      <c r="P49" s="1145">
        <f t="shared" si="9"/>
        <v>6.6430352599999996</v>
      </c>
      <c r="Q49" s="34"/>
    </row>
    <row r="50" spans="1:17" s="36" customFormat="1" ht="15" customHeight="1">
      <c r="A50" s="746"/>
      <c r="B50" s="1153"/>
      <c r="C50" s="4403" t="s">
        <v>1748</v>
      </c>
      <c r="D50" s="4404"/>
      <c r="E50" s="1152">
        <f>IF($C50=0,0,VLOOKUP($C50,'SD3'!$C$24:$O$85,4,FALSE))</f>
        <v>120</v>
      </c>
      <c r="F50" s="1151">
        <f>IF($C50=0,0,VLOOKUP($C50,'SD3'!$C$24:$O$85,12,FALSE))</f>
        <v>0.37</v>
      </c>
      <c r="G50" s="1150">
        <f>IF($C50=0,0,VLOOKUP($C50,'SD3'!$C$24:$O$85,13,FALSE))</f>
        <v>11.7573302</v>
      </c>
      <c r="H50" s="3654">
        <f>J6/75</f>
        <v>0.26666666666666666</v>
      </c>
      <c r="I50" s="1146">
        <f t="shared" si="4"/>
        <v>9.8666666666666666E-2</v>
      </c>
      <c r="J50" s="1145">
        <f t="shared" si="5"/>
        <v>3.1352880533333334</v>
      </c>
      <c r="K50" s="3654">
        <f>M6/75</f>
        <v>0.46666666666666667</v>
      </c>
      <c r="L50" s="1149">
        <f t="shared" si="6"/>
        <v>0.17266666666666666</v>
      </c>
      <c r="M50" s="1148">
        <f t="shared" si="7"/>
        <v>5.4867540933333334</v>
      </c>
      <c r="N50" s="3654">
        <f>P6/75</f>
        <v>0.66666666666666663</v>
      </c>
      <c r="O50" s="1146">
        <f t="shared" si="8"/>
        <v>0.24666666666666665</v>
      </c>
      <c r="P50" s="1145">
        <f t="shared" si="9"/>
        <v>7.8382201333333335</v>
      </c>
      <c r="Q50" s="34"/>
    </row>
    <row r="51" spans="1:17" s="36" customFormat="1" ht="15" customHeight="1">
      <c r="A51" s="746"/>
      <c r="B51" s="1153"/>
      <c r="C51" s="4387" t="s">
        <v>360</v>
      </c>
      <c r="D51" s="4388"/>
      <c r="E51" s="1152">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row>
    <row r="58" spans="1:17" s="46" customFormat="1" ht="18.75" customHeight="1">
      <c r="A58" s="811"/>
      <c r="B58" s="716" t="s">
        <v>848</v>
      </c>
      <c r="C58" s="811"/>
      <c r="D58" s="811"/>
      <c r="E58" s="811"/>
      <c r="F58" s="34"/>
      <c r="G58" s="1047"/>
      <c r="H58" s="1124"/>
      <c r="I58" s="1123">
        <f>SUM($I$46:$I$57)</f>
        <v>3.3586666666666667</v>
      </c>
      <c r="J58" s="1128"/>
      <c r="K58" s="1127"/>
      <c r="L58" s="1126">
        <f>SUM($L$46:$L$57)</f>
        <v>3.432666666666667</v>
      </c>
      <c r="M58" s="1125"/>
      <c r="N58" s="1124"/>
      <c r="O58" s="1123">
        <f>SUM($O$46:$O$57)</f>
        <v>3.5066666666666668</v>
      </c>
      <c r="P58" s="1122"/>
      <c r="Q58" s="34"/>
    </row>
    <row r="59" spans="1:17" s="46" customFormat="1" ht="15" customHeight="1">
      <c r="A59" s="811"/>
      <c r="B59" s="1121"/>
      <c r="C59" s="285"/>
      <c r="D59" s="222" t="s">
        <v>847</v>
      </c>
      <c r="E59" s="1120">
        <v>80</v>
      </c>
      <c r="F59" s="285" t="s">
        <v>846</v>
      </c>
      <c r="G59" s="1119"/>
      <c r="H59" s="1115"/>
      <c r="I59" s="1114">
        <f>IF(I58+SUM($I$46:$I$57)*$E$59%&gt;I58+10,I58+10,I58+SUM($I$46:$I$57)*$E$59%)</f>
        <v>6.0456000000000003</v>
      </c>
      <c r="J59" s="1113"/>
      <c r="K59" s="1118"/>
      <c r="L59" s="1117">
        <f>IF(L58+SUM($L$46:$L$57)*$E$59%&gt;L58+10,L58+10,L58+SUM($L$46:$L$57)*$E$59%)</f>
        <v>6.1788000000000007</v>
      </c>
      <c r="M59" s="1116"/>
      <c r="N59" s="1115"/>
      <c r="O59" s="1114">
        <f>IF(O58+SUM($O$46:$O$57)*$E$59%&gt;O58+10,O58+10,O58+SUM($O$46:$O$57)*$E$59%)</f>
        <v>6.3120000000000003</v>
      </c>
      <c r="P59" s="1113"/>
      <c r="Q59" s="34"/>
    </row>
    <row r="60" spans="1:17" s="36" customFormat="1" ht="18.75" customHeight="1">
      <c r="A60" s="746"/>
      <c r="B60" s="716" t="s">
        <v>845</v>
      </c>
      <c r="C60" s="811"/>
      <c r="D60" s="811"/>
      <c r="E60" s="39"/>
      <c r="F60" s="39"/>
      <c r="G60" s="1112"/>
      <c r="H60" s="1104"/>
      <c r="I60" s="1103"/>
      <c r="J60" s="1111">
        <f>IF(J6=0,0,SUM(I62:I64))</f>
        <v>204.3</v>
      </c>
      <c r="K60" s="1107"/>
      <c r="L60" s="1106"/>
      <c r="M60" s="1044">
        <f>IF(M6=0,0,SUM(L62:L64))</f>
        <v>204.3</v>
      </c>
      <c r="N60" s="1104"/>
      <c r="O60" s="1103"/>
      <c r="P60" s="1111">
        <f>IF(P6=0,0,SUM(O62:O64))</f>
        <v>204.3</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298</v>
      </c>
      <c r="D62" s="4365"/>
      <c r="E62" s="4365"/>
      <c r="F62" s="1101">
        <f>IF($C62=0,0,VLOOKUP($C62,'SD3'!$C$90:$D$104,2,FALSE))</f>
        <v>204.3</v>
      </c>
      <c r="G62" s="1100">
        <f>(100+$D$61)/100*F62</f>
        <v>204.3</v>
      </c>
      <c r="H62" s="173"/>
      <c r="I62" s="1096">
        <f>$G$62</f>
        <v>204.3</v>
      </c>
      <c r="J62" s="173"/>
      <c r="K62" s="1099"/>
      <c r="L62" s="1098">
        <f>$G$62</f>
        <v>204.3</v>
      </c>
      <c r="M62" s="1016"/>
      <c r="N62" s="1097"/>
      <c r="O62" s="1096">
        <f>$G$62</f>
        <v>204.3</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41.58000000000002</v>
      </c>
      <c r="K67" s="1068" t="s">
        <v>842</v>
      </c>
      <c r="L67" s="1067" t="s">
        <v>841</v>
      </c>
      <c r="M67" s="1044">
        <f>S68*(K9+K10)*L68%+F68</f>
        <v>72.765000000000029</v>
      </c>
      <c r="N67" s="1066" t="s">
        <v>842</v>
      </c>
      <c r="O67" s="1065" t="s">
        <v>841</v>
      </c>
      <c r="P67" s="1041">
        <f>T68*(N9+N10)*O68%+F68</f>
        <v>103.95000000000005</v>
      </c>
      <c r="Q67" s="34"/>
    </row>
    <row r="68" spans="1:20" s="511" customFormat="1" ht="15" customHeight="1">
      <c r="A68" s="711"/>
      <c r="B68" s="1064"/>
      <c r="C68" s="4393" t="s">
        <v>564</v>
      </c>
      <c r="D68" s="4393"/>
      <c r="E68" s="4393"/>
      <c r="F68" s="1063"/>
      <c r="G68" s="1054" t="s">
        <v>163</v>
      </c>
      <c r="H68" s="1061">
        <v>16</v>
      </c>
      <c r="I68" s="1060">
        <v>66</v>
      </c>
      <c r="J68" s="1059"/>
      <c r="K68" s="1061">
        <v>16</v>
      </c>
      <c r="L68" s="1060">
        <v>66</v>
      </c>
      <c r="M68" s="1062"/>
      <c r="N68" s="1061">
        <v>16</v>
      </c>
      <c r="O68" s="1060">
        <v>66</v>
      </c>
      <c r="P68" s="1059"/>
      <c r="Q68" s="34"/>
      <c r="R68" s="1369">
        <f>IF($H$68=0,0,VLOOKUP($H$68,'SD6'!D8:E156,'SD6'!$E$1,FALSE))*(1+'SDK1'!O11/100)</f>
        <v>3.1500000000000012</v>
      </c>
      <c r="S68" s="1058">
        <f>IF($K$68=0,0,VLOOKUP($K$68,'SD6'!D8:E156,'SD6'!$E$1,FALSE))*(1+'SDK1'!O11/100)</f>
        <v>3.1500000000000012</v>
      </c>
      <c r="T68" s="1369">
        <f>IF($N$68=0,0,VLOOKUP($N$68,'SD6'!D8:E156,'SD6'!$E$1,FALSE))*(1+'SDK1'!O11/100)</f>
        <v>3.1500000000000012</v>
      </c>
    </row>
    <row r="69" spans="1:20" s="511" customFormat="1" ht="18.75" customHeight="1">
      <c r="A69" s="711"/>
      <c r="B69" s="716" t="s">
        <v>839</v>
      </c>
      <c r="C69" s="711"/>
      <c r="D69" s="711"/>
      <c r="E69" s="34"/>
      <c r="F69" s="34"/>
      <c r="G69" s="1047"/>
      <c r="H69" s="38"/>
      <c r="I69" s="51"/>
      <c r="J69" s="1041">
        <f>H70*$F70/1000</f>
        <v>14.52</v>
      </c>
      <c r="K69" s="1057"/>
      <c r="L69" s="1056"/>
      <c r="M69" s="1044">
        <f>K70*$F70/1000</f>
        <v>25.41</v>
      </c>
      <c r="N69" s="38"/>
      <c r="O69" s="51"/>
      <c r="P69" s="1041">
        <f>N70*$F70/1000</f>
        <v>36.299999999999997</v>
      </c>
      <c r="Q69" s="34"/>
    </row>
    <row r="70" spans="1:20" s="511" customFormat="1" ht="15" customHeight="1">
      <c r="A70" s="711"/>
      <c r="B70" s="772"/>
      <c r="C70" s="771" t="s">
        <v>606</v>
      </c>
      <c r="D70" s="285"/>
      <c r="E70" s="222"/>
      <c r="F70" s="3742">
        <f>'SDK7'!G109</f>
        <v>30</v>
      </c>
      <c r="G70" s="1054" t="s">
        <v>163</v>
      </c>
      <c r="H70" s="1357">
        <f>J7</f>
        <v>484</v>
      </c>
      <c r="I70" s="1049"/>
      <c r="J70" s="1048"/>
      <c r="K70" s="1053">
        <f>M7</f>
        <v>847</v>
      </c>
      <c r="L70" s="1052"/>
      <c r="M70" s="1051"/>
      <c r="N70" s="1357">
        <f>P7</f>
        <v>1210</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f>(J23+J27+J34+J43+J60+J65+J67+J69+J71)*('SDK1'!$O$59%*$G$75/12)</f>
        <v>5.5598988216111112</v>
      </c>
      <c r="K75" s="513"/>
      <c r="L75" s="522"/>
      <c r="M75" s="1005">
        <f>(M23+M27+M34+M43+M60+M65+M67+M69+M71)*('SDK1'!$O$59%*$G$75/12)</f>
        <v>6.0035360386111112</v>
      </c>
      <c r="N75" s="1007"/>
      <c r="O75" s="1006"/>
      <c r="P75" s="1005">
        <f>(P23+P27+P34+P43+P60+P65+P67+P69+P71)*('SDK1'!$O$59%*$G$75/12)</f>
        <v>6.6805065889444446</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M151" s="31"/>
      <c r="N151" s="31"/>
      <c r="O151" s="31"/>
      <c r="P151" s="31"/>
      <c r="Q151" s="31"/>
    </row>
    <row r="152" spans="1:17">
      <c r="A152" s="31"/>
      <c r="B152" s="441"/>
      <c r="C152" s="12"/>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H159" s="1354"/>
      <c r="J159" s="1353"/>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3" s="31" customFormat="1">
      <c r="B209" s="441"/>
      <c r="C209" s="12"/>
    </row>
    <row r="210" spans="2:3" s="31" customFormat="1">
      <c r="B210" s="441"/>
      <c r="C210" s="12"/>
    </row>
    <row r="211" spans="2:3" s="31" customFormat="1">
      <c r="B211" s="441"/>
      <c r="C211" s="12"/>
    </row>
    <row r="212" spans="2:3" s="31" customFormat="1">
      <c r="B212" s="441"/>
      <c r="C212" s="12"/>
    </row>
    <row r="213" spans="2:3" s="31" customFormat="1">
      <c r="B213" s="441"/>
      <c r="C213" s="12"/>
    </row>
    <row r="214" spans="2:3" s="31" customFormat="1">
      <c r="B214" s="441"/>
      <c r="C214" s="12"/>
    </row>
    <row r="215" spans="2:3" s="31" customFormat="1">
      <c r="B215" s="441"/>
      <c r="C215" s="12"/>
    </row>
    <row r="216" spans="2:3" s="31" customFormat="1">
      <c r="B216" s="441"/>
      <c r="C216" s="12"/>
    </row>
    <row r="217" spans="2:3" s="31" customFormat="1">
      <c r="B217" s="441"/>
      <c r="C217" s="12"/>
    </row>
    <row r="218" spans="2:3" s="31" customFormat="1">
      <c r="B218" s="441"/>
      <c r="C218" s="12"/>
    </row>
  </sheetData>
  <sheetProtection sheet="1" objects="1" scenarios="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4" orientation="portrait" r:id="rId1"/>
      <headerFooter alignWithMargins="0">
        <oddFooter>&amp;L&amp;11LEL Schwäbisch Gmünd&amp;C67&amp;R&amp;11&amp;F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4" orientation="portrait" r:id="rId2"/>
      <headerFooter alignWithMargins="0">
        <oddFooter>&amp;L&amp;11LEL Schwäbisch Gmünd&amp;C67&amp;R&amp;11&amp;F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4" orientation="portrait" r:id="rId3"/>
      <headerFooter alignWithMargins="0">
        <oddFooter>&amp;L&amp;11LEL Schwäbisch Gmünd&amp;C67&amp;R&amp;11&amp;F</oddFooter>
      </headerFooter>
    </customSheetView>
  </customSheetViews>
  <mergeCells count="50">
    <mergeCell ref="K1:L1"/>
    <mergeCell ref="N1:O1"/>
    <mergeCell ref="N3:O4"/>
    <mergeCell ref="J3:L3"/>
    <mergeCell ref="J4:L4"/>
    <mergeCell ref="K2:P2"/>
    <mergeCell ref="B75:C75"/>
    <mergeCell ref="C38:E38"/>
    <mergeCell ref="C54:D54"/>
    <mergeCell ref="C50:D50"/>
    <mergeCell ref="C51:D51"/>
    <mergeCell ref="C49:D49"/>
    <mergeCell ref="C74:E74"/>
    <mergeCell ref="C55:D55"/>
    <mergeCell ref="C68:E68"/>
    <mergeCell ref="C62:E62"/>
    <mergeCell ref="C52:D52"/>
    <mergeCell ref="C53:D53"/>
    <mergeCell ref="C64:E64"/>
    <mergeCell ref="C73:E73"/>
    <mergeCell ref="C47:D47"/>
    <mergeCell ref="C63:E63"/>
    <mergeCell ref="N6:O6"/>
    <mergeCell ref="C46:D46"/>
    <mergeCell ref="C41:E41"/>
    <mergeCell ref="C37:E37"/>
    <mergeCell ref="C36:E36"/>
    <mergeCell ref="C40:E40"/>
    <mergeCell ref="E22:G22"/>
    <mergeCell ref="C20:F20"/>
    <mergeCell ref="C21:F21"/>
    <mergeCell ref="C14:F14"/>
    <mergeCell ref="F23:G23"/>
    <mergeCell ref="F34:G34"/>
    <mergeCell ref="K6:L6"/>
    <mergeCell ref="C42:E42"/>
    <mergeCell ref="H6:I6"/>
    <mergeCell ref="E10:F10"/>
    <mergeCell ref="C57:D57"/>
    <mergeCell ref="C56:D56"/>
    <mergeCell ref="C48:D48"/>
    <mergeCell ref="C39:E39"/>
    <mergeCell ref="B3:H3"/>
    <mergeCell ref="E4:I4"/>
    <mergeCell ref="C16:F16"/>
    <mergeCell ref="C17:F17"/>
    <mergeCell ref="D26:E26"/>
    <mergeCell ref="C15:F15"/>
    <mergeCell ref="C19:F19"/>
    <mergeCell ref="D25:E25"/>
  </mergeCells>
  <dataValidations count="5">
    <dataValidation type="list" showInputMessage="1" showErrorMessage="1" sqref="N14 K14 H14" xr:uid="{00000000-0002-0000-2C00-000000000000}">
      <formula1>"ja,nein"</formula1>
    </dataValidation>
    <dataValidation type="list" allowBlank="1" showInputMessage="1" showErrorMessage="1" sqref="N15:N17 K15:K17 H15:H17" xr:uid="{00000000-0002-0000-2C00-000001000000}">
      <formula1>"ja,nein"</formula1>
    </dataValidation>
    <dataValidation type="whole" allowBlank="1" showInputMessage="1" showErrorMessage="1" errorTitle="Anteil Erntegut" error="Prozentwert darf nur zwischen 0 und 100 liegen." sqref="O68 L68 I68" xr:uid="{00000000-0002-0000-2C00-000002000000}">
      <formula1>0</formula1>
      <formula2>100</formula2>
    </dataValidation>
    <dataValidation type="decimal" allowBlank="1" showInputMessage="1" showErrorMessage="1" errorTitle="Wassergehalt Getreide" error="Zulässig sind nur Werte zwischen 15,1 und 29,9 % Wassergehalt." sqref="H68 K68 N68" xr:uid="{00000000-0002-0000-2C00-000003000000}">
      <formula1>15.1</formula1>
      <formula2>29.9</formula2>
    </dataValidation>
    <dataValidation type="list" allowBlank="1" showInputMessage="1" showErrorMessage="1" errorTitle="Organisationsabh. Ausgleichsl." error="Bitte aus Dropdownliste auswählen." sqref="D19:F19" xr:uid="{00000000-0002-0000-2C00-000004000000}">
      <formula1>$C$60:$C$75</formula1>
    </dataValidation>
  </dataValidations>
  <hyperlinks>
    <hyperlink ref="F9" location="'SDK1'!A1" display="Preis ändern" xr:uid="{00000000-0004-0000-2C00-000000000000}"/>
  </hyperlinks>
  <printOptions horizontalCentered="1"/>
  <pageMargins left="0.59055118110236227" right="0.59055118110236227" top="0.59055118110236227" bottom="0.59055118110236227" header="0.39370078740157483" footer="0.39370078740157483"/>
  <pageSetup paperSize="9" scale="65" firstPageNumber="54" orientation="portrait" r:id="rId4"/>
  <headerFooter alignWithMargins="0">
    <oddFooter>&amp;L&amp;11LEL Schwäbisch Gmünd&amp;C67&amp;R&amp;11&amp;F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C00-000005000000}">
          <x14:formula1>
            <xm:f>'SD2'!$C$11:$C$50</xm:f>
          </x14:formula1>
          <xm:sqref>C14:F17</xm:sqref>
        </x14:dataValidation>
        <x14:dataValidation type="list" allowBlank="1" showInputMessage="1" showErrorMessage="1" errorTitle="Organisationsabh. Ausgleichsl." error="Bitte aus Dropdownliste auswählen." xr:uid="{00000000-0002-0000-2C00-000006000000}">
          <x14:formula1>
            <xm:f>'SD2'!$C$60:$C$77</xm:f>
          </x14:formula1>
          <xm:sqref>C19:C21</xm:sqref>
        </x14:dataValidation>
        <x14:dataValidation type="list" allowBlank="1" showInputMessage="1" showErrorMessage="1" errorTitle="Arbeitsgänge" error="Bitte aus Dropdownliste auswählen." xr:uid="{00000000-0002-0000-2C00-000007000000}">
          <x14:formula1>
            <xm:f>'SD3'!$C$23:$C$75</xm:f>
          </x14:formula1>
          <xm:sqref>C46:D57</xm:sqref>
        </x14:dataValidation>
        <x14:dataValidation type="list" allowBlank="1" showInputMessage="1" showErrorMessage="1" errorTitle="Lohnmaschinen" error="Bitte aus Dropdownliste auswählen." xr:uid="{00000000-0002-0000-2C00-000008000000}">
          <x14:formula1>
            <xm:f>'SD3'!$C$90:$C$104</xm:f>
          </x14:formula1>
          <xm:sqref>C62:E64</xm:sqref>
        </x14:dataValidation>
        <x14:dataValidation type="list" allowBlank="1" showInputMessage="1" showErrorMessage="1" errorTitle="Pflanzenschutzmittel" error="Bitte aus Dropdownliste auswählen." xr:uid="{00000000-0002-0000-2C00-000009000000}">
          <x14:formula1>
            <xm:f>'SDK5'!$X$214:$X$227</xm:f>
          </x14:formula1>
          <xm:sqref>C36:E36 C37:E37 C38:E38 C39:E39 C40:E40 C41:E41 C42:E42</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7">
    <tabColor theme="8" tint="0.39997558519241921"/>
    <pageSetUpPr fitToPage="1"/>
  </sheetPr>
  <dimension ref="A1:AO218"/>
  <sheetViews>
    <sheetView workbookViewId="0">
      <selection activeCell="N50" sqref="N50"/>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6" width="10.5" style="31" hidden="1" customWidth="1"/>
    <col min="27" max="16384" width="10.5" style="31"/>
  </cols>
  <sheetData>
    <row r="1" spans="1:41" s="1317" customFormat="1" ht="30.45" customHeight="1">
      <c r="A1" s="1321"/>
      <c r="B1" s="258"/>
      <c r="C1" s="1333"/>
      <c r="D1" s="1253"/>
      <c r="E1" s="255"/>
      <c r="F1" s="255"/>
      <c r="G1" s="1378"/>
      <c r="H1" s="1328"/>
      <c r="I1" s="3212" t="s">
        <v>1679</v>
      </c>
      <c r="J1" s="3210">
        <f>(J7+J13+J18+J22+I11+I12)-(J23+J27+J34+J43+J60+J65+J67+J69+J71+J75)</f>
        <v>-23.951257414944507</v>
      </c>
      <c r="K1" s="4360">
        <f>M1-J1</f>
        <v>298.93206340966685</v>
      </c>
      <c r="L1" s="4360"/>
      <c r="M1" s="3210">
        <f>(M7+M13+M18+M22+L11+L12)-(M23+M27+M34+M43+M60+M65+M67+M69+M71+M75)</f>
        <v>274.98080599472235</v>
      </c>
      <c r="N1" s="4360">
        <f>P1-M1</f>
        <v>275.63956340966661</v>
      </c>
      <c r="O1" s="4360"/>
      <c r="P1" s="3210">
        <f>(P7+P13+P18+P22+O11+O12)-(P23+P27+P34+P43+P60+P65+P67+P69+P71+P75)</f>
        <v>550.62036940438895</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190</v>
      </c>
      <c r="L2" s="4372"/>
      <c r="M2" s="4372"/>
      <c r="N2" s="4372"/>
      <c r="O2" s="4372"/>
      <c r="P2" s="4372"/>
      <c r="Q2" s="1345">
        <v>0</v>
      </c>
      <c r="AB2" s="3229"/>
    </row>
    <row r="3" spans="1:41" s="1317" customFormat="1" ht="32.4" customHeight="1">
      <c r="A3" s="1321"/>
      <c r="B3" s="4405" t="s">
        <v>1727</v>
      </c>
      <c r="C3" s="4405"/>
      <c r="D3" s="4405"/>
      <c r="E3" s="4405"/>
      <c r="F3" s="4405"/>
      <c r="G3" s="4405"/>
      <c r="H3" s="4405"/>
      <c r="J3" s="4368"/>
      <c r="K3" s="4369"/>
      <c r="L3" s="4369"/>
      <c r="M3" s="1368"/>
      <c r="N3" s="4373" t="str">
        <f>IF(AND(T3=TRUE,T4=TRUE),"nur 1 Strohnutzung möglich","")</f>
        <v/>
      </c>
      <c r="O3" s="4374"/>
      <c r="P3" s="1326"/>
      <c r="Q3" s="1321"/>
      <c r="T3" s="1343" t="b">
        <v>0</v>
      </c>
    </row>
    <row r="4" spans="1:41" s="1317" customFormat="1" ht="20.25" customHeight="1">
      <c r="A4" s="1321"/>
      <c r="B4" s="309" t="s">
        <v>779</v>
      </c>
      <c r="C4" s="31"/>
      <c r="D4" s="31"/>
      <c r="E4" s="4406" t="s">
        <v>890</v>
      </c>
      <c r="F4" s="4406"/>
      <c r="G4" s="4406"/>
      <c r="H4" s="4406"/>
      <c r="I4" s="4406"/>
      <c r="J4" s="4368"/>
      <c r="K4" s="4369"/>
      <c r="L4" s="4369"/>
      <c r="M4" s="1367"/>
      <c r="N4" s="4374"/>
      <c r="O4" s="4374"/>
      <c r="P4" s="1322">
        <f>'SDK1'!O3</f>
        <v>2024</v>
      </c>
      <c r="Q4" s="1321"/>
      <c r="T4" s="1343" t="b">
        <v>0</v>
      </c>
    </row>
    <row r="5" spans="1:41" ht="6" customHeight="1"/>
    <row r="6" spans="1:41" s="1311" customFormat="1" ht="24" customHeight="1">
      <c r="A6" s="41"/>
      <c r="B6" s="1316" t="s">
        <v>832</v>
      </c>
      <c r="C6" s="1315"/>
      <c r="D6" s="1315"/>
      <c r="E6" s="1315"/>
      <c r="F6" s="1315"/>
      <c r="G6" s="1314"/>
      <c r="H6" s="4366" t="s">
        <v>171</v>
      </c>
      <c r="I6" s="4367"/>
      <c r="J6" s="1313">
        <v>20</v>
      </c>
      <c r="K6" s="4379" t="s">
        <v>144</v>
      </c>
      <c r="L6" s="4380"/>
      <c r="M6" s="1313">
        <v>35</v>
      </c>
      <c r="N6" s="4366" t="s">
        <v>170</v>
      </c>
      <c r="O6" s="4367"/>
      <c r="P6" s="1312">
        <v>50</v>
      </c>
      <c r="Q6" s="49"/>
    </row>
    <row r="7" spans="1:41" s="196" customFormat="1" ht="18.75" customHeight="1">
      <c r="A7" s="40"/>
      <c r="B7" s="245" t="s">
        <v>883</v>
      </c>
      <c r="C7" s="40"/>
      <c r="D7" s="40"/>
      <c r="E7" s="40"/>
      <c r="F7" s="40"/>
      <c r="G7" s="1310"/>
      <c r="H7" s="1307"/>
      <c r="I7" s="1306"/>
      <c r="J7" s="1041">
        <f>SUM(I9:I10)</f>
        <v>494</v>
      </c>
      <c r="K7" s="1309"/>
      <c r="L7" s="1308"/>
      <c r="M7" s="1044">
        <f>SUM(L9:L12)</f>
        <v>864.5</v>
      </c>
      <c r="N7" s="1307"/>
      <c r="O7" s="1306"/>
      <c r="P7" s="1041">
        <f>SUM(O9:O12)</f>
        <v>1235</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'SDK1'!O36</f>
        <v>24.7</v>
      </c>
      <c r="H9" s="1303">
        <f>J6-H10</f>
        <v>20</v>
      </c>
      <c r="I9" s="1299">
        <f>H9*G9</f>
        <v>494</v>
      </c>
      <c r="J9" s="37"/>
      <c r="K9" s="1302">
        <f>M6-K10</f>
        <v>35</v>
      </c>
      <c r="L9" s="1301">
        <f>K9*G9</f>
        <v>864.5</v>
      </c>
      <c r="M9" s="1280"/>
      <c r="N9" s="1300">
        <f>P6-N10</f>
        <v>50</v>
      </c>
      <c r="O9" s="1299">
        <f>N9*G9</f>
        <v>1235</v>
      </c>
      <c r="P9" s="37"/>
      <c r="Q9" s="34"/>
      <c r="R9" s="517"/>
      <c r="S9" s="208" t="s">
        <v>887</v>
      </c>
      <c r="T9" s="1298"/>
    </row>
    <row r="10" spans="1:41" s="1268" customFormat="1" ht="15.6">
      <c r="A10" s="309"/>
      <c r="B10" s="185"/>
      <c r="C10" s="223" t="str">
        <f>IF('SDK1'!O9&gt;0,"Nebenprodukt (incl. MwSt.)","Nebenprodukt (ohne MwSt)")</f>
        <v>Nebenprodukt (ohne MwSt)</v>
      </c>
      <c r="D10" s="1277"/>
      <c r="E10" s="4377"/>
      <c r="F10" s="4378"/>
      <c r="G10" s="1297"/>
      <c r="H10" s="1376"/>
      <c r="I10" s="1291">
        <f>H10*G10</f>
        <v>0</v>
      </c>
      <c r="J10" s="1296"/>
      <c r="K10" s="1377"/>
      <c r="L10" s="1294">
        <f>K10*G10</f>
        <v>0</v>
      </c>
      <c r="M10" s="1293"/>
      <c r="N10" s="1376"/>
      <c r="O10" s="1291">
        <f>N10*G10</f>
        <v>0</v>
      </c>
      <c r="P10" s="1290"/>
      <c r="Q10" s="34"/>
      <c r="R10" s="1289">
        <f>I10+I11+I12</f>
        <v>0</v>
      </c>
      <c r="S10" s="1288">
        <f>L10+L11+L12</f>
        <v>0</v>
      </c>
      <c r="T10" s="1287">
        <f>O10+O11+O12</f>
        <v>0</v>
      </c>
      <c r="W10" s="196" t="s">
        <v>879</v>
      </c>
    </row>
    <row r="11" spans="1:41" s="1268" customFormat="1" ht="15.6">
      <c r="A11" s="309"/>
      <c r="B11" s="217"/>
      <c r="C11" s="39" t="s">
        <v>878</v>
      </c>
      <c r="D11" s="309"/>
      <c r="E11" s="1286">
        <v>1</v>
      </c>
      <c r="F11" s="39" t="s">
        <v>877</v>
      </c>
      <c r="G11" s="1285">
        <f>'SDK1'!$O$48</f>
        <v>10.7</v>
      </c>
      <c r="H11" s="3151">
        <f>IF($T$3=FALSE,0,J6*$E$11)</f>
        <v>0</v>
      </c>
      <c r="I11" s="3152">
        <f>H11*$G$11</f>
        <v>0</v>
      </c>
      <c r="J11" s="3153"/>
      <c r="K11" s="3154">
        <f>IF($T$3=FALSE,0,M6*$E$11)</f>
        <v>0</v>
      </c>
      <c r="L11" s="3155">
        <f>K11*$G$11</f>
        <v>0</v>
      </c>
      <c r="M11" s="3156"/>
      <c r="N11" s="3157">
        <f>IF($T$3=FALSE,0,P6*$E$11)</f>
        <v>0</v>
      </c>
      <c r="O11" s="3152">
        <f>N11*$G$11</f>
        <v>0</v>
      </c>
      <c r="P11" s="3158"/>
      <c r="Q11" s="34"/>
      <c r="W11" s="1268" t="s">
        <v>876</v>
      </c>
    </row>
    <row r="12" spans="1:41" s="1268" customFormat="1" ht="15.6">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5.6">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6" customHeight="1">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6" customHeight="1">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6" customHeight="1">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161.70000000000002</v>
      </c>
      <c r="K23" s="1046"/>
      <c r="L23" s="1045"/>
      <c r="M23" s="1227">
        <f>SUM(L25:L26)</f>
        <v>161.70000000000002</v>
      </c>
      <c r="N23" s="1043"/>
      <c r="O23" s="1042"/>
      <c r="P23" s="1026">
        <f>SUM(O25:O26)</f>
        <v>184.8</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'SDK7'!F68/100</f>
        <v>0.77</v>
      </c>
      <c r="G25" s="1221">
        <f>F25*(100+$D$24)/100</f>
        <v>0.77</v>
      </c>
      <c r="H25" s="1220">
        <v>210</v>
      </c>
      <c r="I25" s="1181">
        <f>H25*$G25</f>
        <v>161.70000000000002</v>
      </c>
      <c r="J25" s="39"/>
      <c r="K25" s="1220">
        <v>210</v>
      </c>
      <c r="L25" s="1023">
        <f>K25*$G25</f>
        <v>161.70000000000002</v>
      </c>
      <c r="M25" s="1016"/>
      <c r="N25" s="1220">
        <v>240</v>
      </c>
      <c r="O25" s="1181">
        <f>N25*$G25</f>
        <v>184.8</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35.099999999999987</v>
      </c>
      <c r="K27" s="1175"/>
      <c r="L27" s="1174"/>
      <c r="M27" s="1044">
        <f>SUM(L30:L32)</f>
        <v>61.424999999999983</v>
      </c>
      <c r="N27" s="1173"/>
      <c r="O27" s="1172"/>
      <c r="P27" s="1041">
        <f>SUM(O30:O32)</f>
        <v>87.749999999999986</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-0.90000000000000036</v>
      </c>
      <c r="F30" s="1201">
        <f>VLOOKUP(K2,'SD8'!B9:L42,7,FALSE)</f>
        <v>1.5</v>
      </c>
      <c r="G30" s="1200"/>
      <c r="H30" s="1198">
        <f>IF(J$6=0,0,(J$6*$E30+$G30+X14))</f>
        <v>-18.000000000000007</v>
      </c>
      <c r="I30" s="1181">
        <f>H30*$D30</f>
        <v>-21.420000000000009</v>
      </c>
      <c r="J30" s="39"/>
      <c r="K30" s="1199">
        <f>IF(M$6=0,0,(M$6*$E30+$G30+Y14))</f>
        <v>-31.500000000000014</v>
      </c>
      <c r="L30" s="1023">
        <f>K30*$D30</f>
        <v>-37.485000000000014</v>
      </c>
      <c r="M30" s="1016"/>
      <c r="N30" s="1198">
        <f>IF(P$6=0,0,(P$6*$E30+$G30+Z14))</f>
        <v>-45.000000000000014</v>
      </c>
      <c r="O30" s="1181">
        <f>N30*$D30</f>
        <v>-53.550000000000011</v>
      </c>
      <c r="P30" s="1145"/>
      <c r="Q30" s="34"/>
    </row>
    <row r="31" spans="1:26" s="36" customFormat="1" ht="15" customHeight="1">
      <c r="A31" s="746"/>
      <c r="B31" s="217"/>
      <c r="C31" s="746" t="s">
        <v>234</v>
      </c>
      <c r="D31" s="1150">
        <f>'SDK1'!O53</f>
        <v>1.2</v>
      </c>
      <c r="E31" s="1201">
        <f>VLOOKUP(K2,'SD8'!B9:L42,4,FALSE)</f>
        <v>1.2</v>
      </c>
      <c r="F31" s="1201">
        <f>VLOOKUP(K2,'SD8'!B9:L42,8,FALSE)</f>
        <v>0.3</v>
      </c>
      <c r="G31" s="1200"/>
      <c r="H31" s="1198">
        <f>IF(J$6=0,0,(J$6*$E31+$G31+X15))</f>
        <v>24</v>
      </c>
      <c r="I31" s="1181">
        <f>H31*$D31</f>
        <v>28.799999999999997</v>
      </c>
      <c r="J31" s="39"/>
      <c r="K31" s="1199">
        <f>IF(M$6=0,0,(M$6*$E31+$G31+Y15))</f>
        <v>42</v>
      </c>
      <c r="L31" s="1023">
        <f>K31*$D31</f>
        <v>50.4</v>
      </c>
      <c r="M31" s="1016"/>
      <c r="N31" s="1198">
        <f>IF(P$6=0,0,(P$6*$E31+$G31+Z15))</f>
        <v>60</v>
      </c>
      <c r="O31" s="1181">
        <f>N31*$D31</f>
        <v>72</v>
      </c>
      <c r="P31" s="1145"/>
      <c r="Q31" s="34"/>
    </row>
    <row r="32" spans="1:26" s="36" customFormat="1" ht="15" customHeight="1">
      <c r="A32" s="746"/>
      <c r="B32" s="185"/>
      <c r="C32" s="2791" t="s">
        <v>232</v>
      </c>
      <c r="D32" s="1133">
        <f>'SDK1'!O54</f>
        <v>0.99</v>
      </c>
      <c r="E32" s="1197">
        <f>VLOOKUP(K2,'SD8'!B9:L42,5,FALSE)</f>
        <v>1.4</v>
      </c>
      <c r="F32" s="1197">
        <f>VLOOKUP(K2,'SD8'!B9:L42,9,FALSE)</f>
        <v>1.7</v>
      </c>
      <c r="G32" s="1196"/>
      <c r="H32" s="1194">
        <f>IF(J$6=0,0,(J$6*$E32+$G32+X16))</f>
        <v>28</v>
      </c>
      <c r="I32" s="1177">
        <f>H32*$D32</f>
        <v>27.72</v>
      </c>
      <c r="J32" s="223"/>
      <c r="K32" s="1195">
        <f>IF(M$6=0,0,(M$6*$E32+$G32+Y16))</f>
        <v>49</v>
      </c>
      <c r="L32" s="1017">
        <f>K32*$D32</f>
        <v>48.51</v>
      </c>
      <c r="M32" s="1256"/>
      <c r="N32" s="1194">
        <f>IF(P$6=0,0,(P$6*$E32+$G32+Z16))</f>
        <v>70</v>
      </c>
      <c r="O32" s="1177">
        <f>N32*$D32</f>
        <v>69.3</v>
      </c>
      <c r="P32" s="1176"/>
      <c r="Q32" s="34"/>
    </row>
    <row r="33" spans="1:17" s="36" customFormat="1" ht="15" hidden="1" customHeight="1">
      <c r="A33" s="746"/>
      <c r="B33" s="185"/>
      <c r="C33" s="771" t="s">
        <v>230</v>
      </c>
      <c r="D33" s="1133">
        <f>'SDK1'!P55</f>
        <v>0.45</v>
      </c>
      <c r="E33" s="1197">
        <f>VLOOKUP(K2,'SD8'!B9:L42,6,FALSE)</f>
        <v>0.2</v>
      </c>
      <c r="F33" s="1197">
        <f>VLOOKUP(K2,'SD8'!B9:L42,10,FALSE)</f>
        <v>0.15</v>
      </c>
      <c r="G33" s="1196"/>
      <c r="H33" s="1194">
        <f>IF(J$6=0,0,(J$6*$E33+$G33+X17))</f>
        <v>4</v>
      </c>
      <c r="I33" s="1177">
        <f>H33*$D33</f>
        <v>1.8</v>
      </c>
      <c r="J33" s="39"/>
      <c r="K33" s="1195">
        <f>IF(M$6=0,0,(M$6*$E33+$G33+Y17))</f>
        <v>7</v>
      </c>
      <c r="L33" s="1017">
        <f>K33*$D33</f>
        <v>3.15</v>
      </c>
      <c r="M33" s="1016"/>
      <c r="N33" s="1194">
        <f>IF(P$6=0,0,(P$6*$E33+$G33+Z17))</f>
        <v>10</v>
      </c>
      <c r="O33" s="1177">
        <f>N33*$D33</f>
        <v>4.5</v>
      </c>
      <c r="P33" s="1176"/>
      <c r="Q33" s="34"/>
    </row>
    <row r="34" spans="1:17" s="511" customFormat="1" ht="18.75" customHeight="1">
      <c r="A34" s="711"/>
      <c r="B34" s="716" t="s">
        <v>859</v>
      </c>
      <c r="C34" s="711"/>
      <c r="D34" s="33"/>
      <c r="E34" s="33"/>
      <c r="F34" s="4381" t="s">
        <v>858</v>
      </c>
      <c r="G34" s="4382"/>
      <c r="H34" s="1191"/>
      <c r="I34" s="1190"/>
      <c r="J34" s="1041">
        <f>SUM(I36:I42)</f>
        <v>94.899999999999991</v>
      </c>
      <c r="K34" s="1193"/>
      <c r="L34" s="1192"/>
      <c r="M34" s="1044">
        <f>SUM(L36:L42)</f>
        <v>94.899999999999991</v>
      </c>
      <c r="N34" s="1191"/>
      <c r="O34" s="1190"/>
      <c r="P34" s="1041">
        <f>SUM(O36:O42)</f>
        <v>94.899999999999991</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535</v>
      </c>
      <c r="D36" s="4389"/>
      <c r="E36" s="4390"/>
      <c r="F36" s="1183">
        <f>IF(C36="",0,VLOOKUP(C36,'SDK5'!C3:AF83,2,FALSE))</f>
        <v>15.7</v>
      </c>
      <c r="G36" s="1183">
        <f t="shared" ref="G36:G42" si="0">F36*(100+$D$35)/100</f>
        <v>15.7</v>
      </c>
      <c r="H36" s="1182">
        <v>3</v>
      </c>
      <c r="I36" s="1181">
        <f t="shared" ref="I36:I42" si="1">$G36*H36</f>
        <v>47.099999999999994</v>
      </c>
      <c r="J36" s="39"/>
      <c r="K36" s="1182">
        <v>3</v>
      </c>
      <c r="L36" s="1023">
        <f t="shared" ref="L36:L42" si="2">$G36*K36</f>
        <v>47.099999999999994</v>
      </c>
      <c r="M36" s="1016"/>
      <c r="N36" s="1182">
        <v>3</v>
      </c>
      <c r="O36" s="1181">
        <f t="shared" ref="O36:O42" si="3">$G36*N36</f>
        <v>47.099999999999994</v>
      </c>
      <c r="P36" s="1185"/>
      <c r="Q36" s="34"/>
    </row>
    <row r="37" spans="1:17" s="36" customFormat="1" ht="15" customHeight="1">
      <c r="A37" s="746"/>
      <c r="B37" s="1021"/>
      <c r="C37" s="4375" t="s">
        <v>485</v>
      </c>
      <c r="D37" s="4375"/>
      <c r="E37" s="4376"/>
      <c r="F37" s="1183">
        <f>IF(C37="",0,VLOOKUP(C37,'SDK5'!C4:AF84,2,FALSE))</f>
        <v>23.9</v>
      </c>
      <c r="G37" s="1183">
        <f t="shared" si="0"/>
        <v>23.9</v>
      </c>
      <c r="H37" s="1182">
        <v>2</v>
      </c>
      <c r="I37" s="1181">
        <f t="shared" si="1"/>
        <v>47.8</v>
      </c>
      <c r="J37" s="39"/>
      <c r="K37" s="1182">
        <v>2</v>
      </c>
      <c r="L37" s="1023">
        <f t="shared" si="2"/>
        <v>47.8</v>
      </c>
      <c r="M37" s="1016"/>
      <c r="N37" s="1182">
        <v>2</v>
      </c>
      <c r="O37" s="1181">
        <f t="shared" si="3"/>
        <v>47.8</v>
      </c>
      <c r="P37" s="1145"/>
      <c r="Q37" s="34"/>
    </row>
    <row r="38" spans="1:17" s="36" customFormat="1" ht="15" customHeight="1">
      <c r="A38" s="746"/>
      <c r="B38" s="1184"/>
      <c r="C38" s="4375"/>
      <c r="D38" s="4375"/>
      <c r="E38" s="4376"/>
      <c r="F38" s="1183">
        <f>IF(C38="",0,VLOOKUP(C38,'SDK5'!C5:AF85,2,FALSE))</f>
        <v>0</v>
      </c>
      <c r="G38" s="1183">
        <f t="shared" si="0"/>
        <v>0</v>
      </c>
      <c r="H38" s="1182"/>
      <c r="I38" s="1181">
        <f t="shared" si="1"/>
        <v>0</v>
      </c>
      <c r="J38" s="39"/>
      <c r="K38" s="1182"/>
      <c r="L38" s="1023">
        <f t="shared" si="2"/>
        <v>0</v>
      </c>
      <c r="M38" s="1016"/>
      <c r="N38" s="1182"/>
      <c r="O38" s="1181">
        <f t="shared" si="3"/>
        <v>0</v>
      </c>
      <c r="P38" s="1145"/>
      <c r="Q38" s="34"/>
    </row>
    <row r="39" spans="1:17" s="36" customFormat="1" ht="15" customHeight="1">
      <c r="A39" s="746"/>
      <c r="B39" s="1021"/>
      <c r="C39" s="4375"/>
      <c r="D39" s="4375"/>
      <c r="E39" s="4376"/>
      <c r="F39" s="1183">
        <f>IF(C39="",0,VLOOKUP(C39,'SDK5'!C6:AF86,2,FALSE))</f>
        <v>0</v>
      </c>
      <c r="G39" s="1183">
        <f t="shared" si="0"/>
        <v>0</v>
      </c>
      <c r="H39" s="1182"/>
      <c r="I39" s="1181">
        <f t="shared" si="1"/>
        <v>0</v>
      </c>
      <c r="J39" s="39"/>
      <c r="K39" s="1182"/>
      <c r="L39" s="1023">
        <f t="shared" si="2"/>
        <v>0</v>
      </c>
      <c r="M39" s="1016"/>
      <c r="N39" s="1182"/>
      <c r="O39" s="1181">
        <f t="shared" si="3"/>
        <v>0</v>
      </c>
      <c r="P39" s="1145"/>
      <c r="Q39" s="34"/>
    </row>
    <row r="40" spans="1:17" s="36" customFormat="1" ht="15" customHeight="1">
      <c r="A40" s="746"/>
      <c r="B40" s="1021"/>
      <c r="C40" s="4375"/>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136.80785859333332</v>
      </c>
      <c r="K43" s="1175"/>
      <c r="L43" s="1174"/>
      <c r="M43" s="1044">
        <f>SUM(M46:M57)</f>
        <v>139.15932463333331</v>
      </c>
      <c r="N43" s="1173"/>
      <c r="O43" s="1172"/>
      <c r="P43" s="1041">
        <f>SUM(P46:P57)</f>
        <v>141.51079067333333</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47">
        <v>1</v>
      </c>
      <c r="I46" s="1154">
        <f t="shared" ref="I46:I57" si="4">$F46*H46</f>
        <v>1.38</v>
      </c>
      <c r="J46" s="1145">
        <f t="shared" ref="J46:J57" si="5">H46*$G46</f>
        <v>64.642445999999993</v>
      </c>
      <c r="K46" s="1147">
        <v>1</v>
      </c>
      <c r="L46" s="1156">
        <f t="shared" ref="L46:L57" si="6">$F46*K46</f>
        <v>1.38</v>
      </c>
      <c r="M46" s="1148">
        <f t="shared" ref="M46:M57" si="7">K46*$G46</f>
        <v>64.642445999999993</v>
      </c>
      <c r="N46" s="1147">
        <v>1</v>
      </c>
      <c r="O46" s="1154">
        <f t="shared" ref="O46:O57" si="8">$F46*N46</f>
        <v>1.38</v>
      </c>
      <c r="P46" s="1145">
        <f t="shared" ref="P46:P57" si="9">N46*$G46</f>
        <v>64.642445999999993</v>
      </c>
      <c r="Q46" s="34">
        <f>$Q$2*H46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346</v>
      </c>
      <c r="D48" s="4388"/>
      <c r="E48" s="1152">
        <f>IF($C48=0,0,VLOOKUP($C48,'SD3'!$C$24:$O$85,4,FALSE))</f>
        <v>83</v>
      </c>
      <c r="F48" s="1151">
        <f>IF($C48=0,0,VLOOKUP($C48,'SD3'!$C$24:$O$85,12,FALSE))</f>
        <v>0.16</v>
      </c>
      <c r="G48" s="1150">
        <f>IF($C48=0,0,VLOOKUP($C48,'SD3'!$C$24:$O$85,13,FALSE))</f>
        <v>3.7403892799999996</v>
      </c>
      <c r="H48" s="1147">
        <v>1</v>
      </c>
      <c r="I48" s="1146">
        <f t="shared" si="4"/>
        <v>0.16</v>
      </c>
      <c r="J48" s="1145">
        <f t="shared" si="5"/>
        <v>3.7403892799999996</v>
      </c>
      <c r="K48" s="1147">
        <v>1</v>
      </c>
      <c r="L48" s="1149">
        <f t="shared" si="6"/>
        <v>0.16</v>
      </c>
      <c r="M48" s="1148">
        <f t="shared" si="7"/>
        <v>3.7403892799999996</v>
      </c>
      <c r="N48" s="1147">
        <v>1</v>
      </c>
      <c r="O48" s="1146">
        <f t="shared" si="8"/>
        <v>0.16</v>
      </c>
      <c r="P48" s="1145">
        <f t="shared" si="9"/>
        <v>3.7403892799999996</v>
      </c>
      <c r="Q48" s="34"/>
    </row>
    <row r="49" spans="1:17" s="36" customFormat="1" ht="15" customHeight="1">
      <c r="A49" s="746"/>
      <c r="B49" s="1153"/>
      <c r="C49" s="4387" t="s">
        <v>1591</v>
      </c>
      <c r="D49" s="4388"/>
      <c r="E49" s="1152">
        <f>IF($C49=0,0,VLOOKUP($C49,'SD3'!$C$24:$O$85,4,FALSE))</f>
        <v>83</v>
      </c>
      <c r="F49" s="1151">
        <f>IF($C49=0,0,VLOOKUP($C49,'SD3'!$C$24:$O$85,12,FALSE))</f>
        <v>0.22</v>
      </c>
      <c r="G49" s="1150">
        <f>IF($C49=0,0,VLOOKUP($C49,'SD3'!$C$24:$O$85,13,FALSE))</f>
        <v>6.6430352599999996</v>
      </c>
      <c r="H49" s="1147">
        <v>1</v>
      </c>
      <c r="I49" s="1146">
        <f t="shared" si="4"/>
        <v>0.22</v>
      </c>
      <c r="J49" s="1145">
        <f t="shared" si="5"/>
        <v>6.6430352599999996</v>
      </c>
      <c r="K49" s="1147">
        <v>1</v>
      </c>
      <c r="L49" s="1149">
        <f t="shared" si="6"/>
        <v>0.22</v>
      </c>
      <c r="M49" s="1148">
        <f t="shared" si="7"/>
        <v>6.6430352599999996</v>
      </c>
      <c r="N49" s="1147">
        <v>1</v>
      </c>
      <c r="O49" s="1146">
        <f t="shared" si="8"/>
        <v>0.22</v>
      </c>
      <c r="P49" s="1145">
        <f t="shared" si="9"/>
        <v>6.6430352599999996</v>
      </c>
      <c r="Q49" s="34"/>
    </row>
    <row r="50" spans="1:17" s="36" customFormat="1" ht="15" customHeight="1">
      <c r="A50" s="746"/>
      <c r="B50" s="1153"/>
      <c r="C50" s="4403" t="s">
        <v>1748</v>
      </c>
      <c r="D50" s="4404"/>
      <c r="E50" s="1152">
        <f>IF($C50=0,0,VLOOKUP($C50,'SD3'!$C$24:$O$85,4,FALSE))</f>
        <v>120</v>
      </c>
      <c r="F50" s="1151">
        <f>IF($C50=0,0,VLOOKUP($C50,'SD3'!$C$24:$O$85,12,FALSE))</f>
        <v>0.37</v>
      </c>
      <c r="G50" s="1150">
        <f>IF($C50=0,0,VLOOKUP($C50,'SD3'!$C$24:$O$85,13,FALSE))</f>
        <v>11.7573302</v>
      </c>
      <c r="H50" s="3654">
        <f>J6/75</f>
        <v>0.26666666666666666</v>
      </c>
      <c r="I50" s="1146">
        <f t="shared" si="4"/>
        <v>9.8666666666666666E-2</v>
      </c>
      <c r="J50" s="1145">
        <f t="shared" si="5"/>
        <v>3.1352880533333334</v>
      </c>
      <c r="K50" s="3654">
        <f>M6/75</f>
        <v>0.46666666666666667</v>
      </c>
      <c r="L50" s="1149">
        <f t="shared" si="6"/>
        <v>0.17266666666666666</v>
      </c>
      <c r="M50" s="1148">
        <f t="shared" si="7"/>
        <v>5.4867540933333334</v>
      </c>
      <c r="N50" s="3654">
        <f>P6/75</f>
        <v>0.66666666666666663</v>
      </c>
      <c r="O50" s="1146">
        <f t="shared" si="8"/>
        <v>0.24666666666666665</v>
      </c>
      <c r="P50" s="1145">
        <f t="shared" si="9"/>
        <v>7.8382201333333335</v>
      </c>
      <c r="Q50" s="34"/>
    </row>
    <row r="51" spans="1:17" s="36" customFormat="1" ht="15" customHeight="1">
      <c r="A51" s="746"/>
      <c r="B51" s="1153"/>
      <c r="C51" s="4387" t="s">
        <v>360</v>
      </c>
      <c r="D51" s="4388"/>
      <c r="E51" s="1152">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row>
    <row r="58" spans="1:17" s="46" customFormat="1" ht="18.75" customHeight="1">
      <c r="A58" s="811"/>
      <c r="B58" s="716" t="s">
        <v>848</v>
      </c>
      <c r="C58" s="811"/>
      <c r="D58" s="811"/>
      <c r="E58" s="811"/>
      <c r="F58" s="34"/>
      <c r="G58" s="1047"/>
      <c r="H58" s="1124"/>
      <c r="I58" s="1123">
        <f>SUM($I$46:$I$57)</f>
        <v>3.3586666666666667</v>
      </c>
      <c r="J58" s="1128"/>
      <c r="K58" s="1127"/>
      <c r="L58" s="1126">
        <f>SUM($L$46:$L$57)</f>
        <v>3.432666666666667</v>
      </c>
      <c r="M58" s="1125"/>
      <c r="N58" s="1124"/>
      <c r="O58" s="1123">
        <f>SUM($O$46:$O$57)</f>
        <v>3.5066666666666668</v>
      </c>
      <c r="P58" s="1122"/>
      <c r="Q58" s="34"/>
    </row>
    <row r="59" spans="1:17" s="46" customFormat="1" ht="15" customHeight="1">
      <c r="A59" s="811"/>
      <c r="B59" s="1121"/>
      <c r="C59" s="285"/>
      <c r="D59" s="222" t="s">
        <v>847</v>
      </c>
      <c r="E59" s="1120">
        <v>80</v>
      </c>
      <c r="F59" s="285" t="s">
        <v>846</v>
      </c>
      <c r="G59" s="1119"/>
      <c r="H59" s="1115"/>
      <c r="I59" s="1114">
        <f>IF(I58+SUM($I$46:$I$57)*$E$59%&gt;I58+10,I58+10,I58+SUM($I$46:$I$57)*$E$59%)</f>
        <v>6.0456000000000003</v>
      </c>
      <c r="J59" s="1113"/>
      <c r="K59" s="1118"/>
      <c r="L59" s="1117">
        <f>IF(L58+SUM($L$46:$L$57)*$E$59%&gt;L58+10,L58+10,L58+SUM($L$46:$L$57)*$E$59%)</f>
        <v>6.1788000000000007</v>
      </c>
      <c r="M59" s="1116"/>
      <c r="N59" s="1115"/>
      <c r="O59" s="1114">
        <f>IF(O58+SUM($O$46:$O$57)*$E$59%&gt;O58+10,O58+10,O58+SUM($O$46:$O$57)*$E$59%)</f>
        <v>6.3120000000000003</v>
      </c>
      <c r="P59" s="1113"/>
      <c r="Q59" s="34"/>
    </row>
    <row r="60" spans="1:17" s="36" customFormat="1" ht="18.75" customHeight="1">
      <c r="A60" s="746"/>
      <c r="B60" s="716" t="s">
        <v>845</v>
      </c>
      <c r="C60" s="811"/>
      <c r="D60" s="811"/>
      <c r="E60" s="39"/>
      <c r="F60" s="39"/>
      <c r="G60" s="1112"/>
      <c r="H60" s="1104"/>
      <c r="I60" s="1103"/>
      <c r="J60" s="1111">
        <f>IF(J6=0,0,SUM(I62:I64))</f>
        <v>204.3</v>
      </c>
      <c r="K60" s="1107"/>
      <c r="L60" s="1106"/>
      <c r="M60" s="1044">
        <f>IF(M6=0,0,SUM(L62:L64))</f>
        <v>204.3</v>
      </c>
      <c r="N60" s="1104"/>
      <c r="O60" s="1103"/>
      <c r="P60" s="1111">
        <f>IF(P6=0,0,SUM(O62:O64))</f>
        <v>204.3</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298</v>
      </c>
      <c r="D62" s="4365"/>
      <c r="E62" s="4365"/>
      <c r="F62" s="1101">
        <f>IF($C62=0,0,VLOOKUP($C62,'SD3'!$C$90:$D$104,2,FALSE))</f>
        <v>204.3</v>
      </c>
      <c r="G62" s="1100">
        <f>(100+$D$61)/100*F62</f>
        <v>204.3</v>
      </c>
      <c r="H62" s="173"/>
      <c r="I62" s="1096">
        <f>$G$62</f>
        <v>204.3</v>
      </c>
      <c r="J62" s="173"/>
      <c r="K62" s="1099"/>
      <c r="L62" s="1098">
        <f>$G$62</f>
        <v>204.3</v>
      </c>
      <c r="M62" s="1016"/>
      <c r="N62" s="1097"/>
      <c r="O62" s="1096">
        <f>$G$62</f>
        <v>204.3</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41.58000000000002</v>
      </c>
      <c r="K67" s="1068" t="s">
        <v>842</v>
      </c>
      <c r="L67" s="1067" t="s">
        <v>841</v>
      </c>
      <c r="M67" s="1044">
        <f>S68*(K9+K10)*L68%+F68</f>
        <v>72.765000000000029</v>
      </c>
      <c r="N67" s="1066" t="s">
        <v>842</v>
      </c>
      <c r="O67" s="1065" t="s">
        <v>841</v>
      </c>
      <c r="P67" s="1041">
        <f>T68*(N9+N10)*O68%+F68</f>
        <v>103.95000000000005</v>
      </c>
      <c r="Q67" s="34"/>
    </row>
    <row r="68" spans="1:20" s="511" customFormat="1" ht="15" customHeight="1">
      <c r="A68" s="711"/>
      <c r="B68" s="1064"/>
      <c r="C68" s="4393" t="s">
        <v>564</v>
      </c>
      <c r="D68" s="4393"/>
      <c r="E68" s="4393"/>
      <c r="F68" s="1063"/>
      <c r="G68" s="1054" t="s">
        <v>163</v>
      </c>
      <c r="H68" s="1061">
        <v>16</v>
      </c>
      <c r="I68" s="1060">
        <v>66</v>
      </c>
      <c r="J68" s="1059"/>
      <c r="K68" s="1061">
        <v>16</v>
      </c>
      <c r="L68" s="1060">
        <v>66</v>
      </c>
      <c r="M68" s="1062"/>
      <c r="N68" s="1061">
        <v>16</v>
      </c>
      <c r="O68" s="1060">
        <v>66</v>
      </c>
      <c r="P68" s="1059"/>
      <c r="Q68" s="34"/>
      <c r="R68" s="1369">
        <f>IF($H$68=0,0,VLOOKUP($H$68,'SD6'!D8:E156,'SD6'!$E$1,FALSE))*(1+'SDK1'!O11/100)</f>
        <v>3.1500000000000012</v>
      </c>
      <c r="S68" s="1058">
        <f>IF($K$68=0,0,VLOOKUP($K$68,'SD6'!D8:E156,'SD6'!$E$1,FALSE))*(1+'SDK1'!O11/100)</f>
        <v>3.1500000000000012</v>
      </c>
      <c r="T68" s="1369">
        <f>IF($N$68=0,0,VLOOKUP($N$68,'SD6'!D8:E156,'SD6'!$E$1,FALSE))*(1+'SDK1'!O11/100)</f>
        <v>3.1500000000000012</v>
      </c>
    </row>
    <row r="69" spans="1:20" s="511" customFormat="1" ht="18.75" customHeight="1">
      <c r="A69" s="711"/>
      <c r="B69" s="716" t="s">
        <v>839</v>
      </c>
      <c r="C69" s="711"/>
      <c r="D69" s="711"/>
      <c r="E69" s="34"/>
      <c r="F69" s="34"/>
      <c r="G69" s="1047"/>
      <c r="H69" s="38"/>
      <c r="I69" s="51"/>
      <c r="J69" s="1041">
        <f>H70*$F70/1000</f>
        <v>14.82</v>
      </c>
      <c r="K69" s="1057"/>
      <c r="L69" s="1056"/>
      <c r="M69" s="1044">
        <f>K70*$F70/1000</f>
        <v>25.934999999999999</v>
      </c>
      <c r="N69" s="38"/>
      <c r="O69" s="51"/>
      <c r="P69" s="1041">
        <f>N70*$F70/1000</f>
        <v>37.049999999999997</v>
      </c>
      <c r="Q69" s="34"/>
    </row>
    <row r="70" spans="1:20" s="511" customFormat="1" ht="15" customHeight="1">
      <c r="A70" s="711"/>
      <c r="B70" s="772"/>
      <c r="C70" s="771" t="s">
        <v>606</v>
      </c>
      <c r="D70" s="285"/>
      <c r="E70" s="222"/>
      <c r="F70" s="3742">
        <f>'SDK7'!G108</f>
        <v>30</v>
      </c>
      <c r="G70" s="1054" t="s">
        <v>163</v>
      </c>
      <c r="H70" s="1357">
        <f>J7</f>
        <v>494</v>
      </c>
      <c r="I70" s="1049"/>
      <c r="J70" s="1048"/>
      <c r="K70" s="1053">
        <f>M7</f>
        <v>864.5</v>
      </c>
      <c r="L70" s="1052"/>
      <c r="M70" s="1051"/>
      <c r="N70" s="1357">
        <f>P7</f>
        <v>1235</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f>(J23+J27+J34+J43+J60+J65+J67+J69+J71)*('SDK1'!$O$59%*$G$75/12)</f>
        <v>5.7433988216111116</v>
      </c>
      <c r="K75" s="513"/>
      <c r="L75" s="522"/>
      <c r="M75" s="1005">
        <f>(M23+M27+M34+M43+M60+M65+M67+M69+M71)*('SDK1'!$O$59%*$G$75/12)</f>
        <v>6.3348693719444427</v>
      </c>
      <c r="N75" s="1007"/>
      <c r="O75" s="1006"/>
      <c r="P75" s="1005">
        <f>(P23+P27+P34+P43+P60+P65+P67+P69+P71)*('SDK1'!$O$59%*$G$75/12)</f>
        <v>7.1188399222777772</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H151" s="1354"/>
      <c r="J151" s="1353"/>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6" orientation="portrait" r:id="rId1"/>
      <headerFooter alignWithMargins="0">
        <oddFooter>&amp;L&amp;11LEL Schwäbisch Gmünd&amp;C69&amp;R&amp;11&amp;F</oddFooter>
      </headerFooter>
    </customSheetView>
    <customSheetView guid="{5D5C9B61-9ABD-4513-AAEB-8333A9D6196C}" fitToPage="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6" orientation="portrait" r:id="rId2"/>
      <headerFooter alignWithMargins="0">
        <oddFooter>&amp;L&amp;11LEL Schwäbisch Gmünd&amp;C69&amp;R&amp;11&amp;F</oddFooter>
      </headerFooter>
    </customSheetView>
    <customSheetView guid="{22A73C4F-9004-4CEF-8499-B1F91BE1B569}" fitToPage="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6" orientation="portrait" r:id="rId3"/>
      <headerFooter alignWithMargins="0">
        <oddFooter>&amp;L&amp;11LEL Schwäbisch Gmünd&amp;C69&amp;R&amp;11&amp;F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showInputMessage="1" showErrorMessage="1" sqref="H14 K14 N14" xr:uid="{00000000-0002-0000-2D00-000000000000}">
      <formula1>"ja,nein"</formula1>
    </dataValidation>
    <dataValidation type="list" allowBlank="1" showInputMessage="1" showErrorMessage="1" sqref="H15:H17 K15:K17 N15:N17" xr:uid="{00000000-0002-0000-2D00-000001000000}">
      <formula1>"ja,nein"</formula1>
    </dataValidation>
    <dataValidation type="whole" allowBlank="1" showInputMessage="1" showErrorMessage="1" errorTitle="Anteil Erntegut" error="Prozentwert darf nur zwischen 0 und 100 liegen." sqref="O68 L68 I68" xr:uid="{00000000-0002-0000-2D00-000002000000}">
      <formula1>0</formula1>
      <formula2>100</formula2>
    </dataValidation>
    <dataValidation type="decimal" allowBlank="1" showInputMessage="1" showErrorMessage="1" errorTitle="Wassergehalt Getreide" error="Zulässig sind nur Werte zwischen 15,1 und 29,9,0 % Wassergehalt." sqref="H68 K68 N68" xr:uid="{00000000-0002-0000-2D00-000003000000}">
      <formula1>14.1</formula1>
      <formula2>22</formula2>
    </dataValidation>
    <dataValidation type="list" allowBlank="1" showInputMessage="1" showErrorMessage="1" errorTitle="Organisationsabh. Ausgleichsl." error="Bitte aus Dropdownliste auswählen." sqref="D19:F19" xr:uid="{00000000-0002-0000-2D00-000004000000}">
      <formula1>$C$60:$C$75</formula1>
    </dataValidation>
  </dataValidations>
  <hyperlinks>
    <hyperlink ref="F9" location="'SDK1'!A1" display="Preis ändern" xr:uid="{00000000-0004-0000-2D00-000000000000}"/>
  </hyperlinks>
  <printOptions horizontalCentered="1"/>
  <pageMargins left="0.59055118110236227" right="0.59055118110236227" top="0.59055118110236227" bottom="0.59055118110236227" header="0.39370078740157483" footer="0.39370078740157483"/>
  <pageSetup paperSize="9" scale="65" firstPageNumber="56" orientation="portrait" r:id="rId4"/>
  <headerFooter alignWithMargins="0">
    <oddFooter>&amp;L&amp;11LEL Schwäbisch Gmünd&amp;C69&amp;R&amp;11&amp;F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D00-000005000000}">
          <x14:formula1>
            <xm:f>'SD2'!$C$11:$C$50</xm:f>
          </x14:formula1>
          <xm:sqref>C14:F17</xm:sqref>
        </x14:dataValidation>
        <x14:dataValidation type="list" allowBlank="1" showInputMessage="1" showErrorMessage="1" errorTitle="Organisationsabh. Ausgleichsl." error="Bitte aus Dropdownliste auswählen." xr:uid="{00000000-0002-0000-2D00-000006000000}">
          <x14:formula1>
            <xm:f>'SD2'!$C$60:$C$77</xm:f>
          </x14:formula1>
          <xm:sqref>C19:C21</xm:sqref>
        </x14:dataValidation>
        <x14:dataValidation type="list" allowBlank="1" showInputMessage="1" showErrorMessage="1" errorTitle="Arbeitsgänge" error="Bitte aus Dropdownliste auswählen." xr:uid="{00000000-0002-0000-2D00-000007000000}">
          <x14:formula1>
            <xm:f>'SD3'!$C$23:$C$75</xm:f>
          </x14:formula1>
          <xm:sqref>C46:D57</xm:sqref>
        </x14:dataValidation>
        <x14:dataValidation type="list" allowBlank="1" showInputMessage="1" showErrorMessage="1" errorTitle="Lohnmaschinen" error="Bitte aus Dropdownliste auswählen." xr:uid="{00000000-0002-0000-2D00-000008000000}">
          <x14:formula1>
            <xm:f>'SD3'!$C$90:$C$104</xm:f>
          </x14:formula1>
          <xm:sqref>C62:E64</xm:sqref>
        </x14:dataValidation>
        <x14:dataValidation type="list" allowBlank="1" showInputMessage="1" showErrorMessage="1" errorTitle="Pflanzenschutzmittel" error="Bitte aus Dropdownliste auswählen." xr:uid="{00000000-0002-0000-2D00-000009000000}">
          <x14:formula1>
            <xm:f>'SDK5'!$Y$214:$Y$229</xm:f>
          </x14:formula1>
          <xm:sqref>C36:E36 C37:E37 C38:E38 C39:E39 C40:E40 C41:E41 C42:E42</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48">
    <tabColor theme="8" tint="0.39997558519241921"/>
    <pageSetUpPr fitToPage="1"/>
  </sheetPr>
  <dimension ref="A1:AO218"/>
  <sheetViews>
    <sheetView workbookViewId="0">
      <selection activeCell="N50" sqref="N50"/>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5" width="7.19921875" style="34" customWidth="1"/>
    <col min="16" max="16" width="7.69921875" style="34" customWidth="1"/>
    <col min="17" max="17" width="19.69921875" style="34" hidden="1" customWidth="1"/>
    <col min="18" max="18" width="12" style="31" hidden="1" customWidth="1"/>
    <col min="19" max="21" width="10.5" style="31" hidden="1" customWidth="1"/>
    <col min="22" max="22" width="12.8984375" style="31" hidden="1" customWidth="1"/>
    <col min="23" max="26" width="10.5" style="31" hidden="1" customWidth="1"/>
    <col min="27" max="16384" width="10.5" style="31"/>
  </cols>
  <sheetData>
    <row r="1" spans="1:41" s="1317" customFormat="1" ht="30.45" customHeight="1">
      <c r="A1" s="3748"/>
      <c r="B1" s="258"/>
      <c r="C1" s="1333"/>
      <c r="D1" s="1253"/>
      <c r="E1" s="255"/>
      <c r="F1" s="255"/>
      <c r="G1" s="430"/>
      <c r="H1" s="1328"/>
      <c r="I1" s="3212" t="s">
        <v>1679</v>
      </c>
      <c r="J1" s="3210" t="e">
        <f>(J7+J13+J18+J22+I11+I12)-(J23+J27+J34+J43+J60+J65+J67+J69+J71+J75)</f>
        <v>#VALUE!</v>
      </c>
      <c r="K1" s="4360" t="e">
        <f>M1-J1</f>
        <v>#VALUE!</v>
      </c>
      <c r="L1" s="4360"/>
      <c r="M1" s="3210" t="e">
        <f>(M7+M13+M18+M22+L11+L12)-(M23+M27+M34+M43+M60+M65+M67+M69+M71+M75)</f>
        <v>#VALUE!</v>
      </c>
      <c r="N1" s="4360" t="e">
        <f>P1-M1</f>
        <v>#VALUE!</v>
      </c>
      <c r="O1" s="4360"/>
      <c r="P1" s="3210" t="e">
        <f>(P7+P13+P18+P22+O11+O12)-(P23+P27+P34+P43+P60+P65+P67+P69+P71+P75)</f>
        <v>#VALUE!</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189</v>
      </c>
      <c r="L2" s="4372"/>
      <c r="M2" s="4372"/>
      <c r="N2" s="4372"/>
      <c r="O2" s="4372"/>
      <c r="P2" s="4372"/>
      <c r="Q2" s="1345">
        <v>0</v>
      </c>
      <c r="AB2" s="3229"/>
    </row>
    <row r="3" spans="1:41" s="1317" customFormat="1" ht="32.4" customHeight="1">
      <c r="A3" s="1321"/>
      <c r="B3" s="4405" t="s">
        <v>1727</v>
      </c>
      <c r="C3" s="4405"/>
      <c r="D3" s="4405"/>
      <c r="E3" s="4405"/>
      <c r="F3" s="4405"/>
      <c r="G3" s="4405"/>
      <c r="H3" s="4405"/>
      <c r="J3" s="4368"/>
      <c r="K3" s="4418"/>
      <c r="L3" s="4418"/>
      <c r="M3" s="1368"/>
      <c r="N3" s="4421"/>
      <c r="O3" s="4422"/>
      <c r="P3" s="1326"/>
      <c r="Q3" s="1321"/>
      <c r="T3" s="1343" t="b">
        <v>0</v>
      </c>
    </row>
    <row r="4" spans="1:41" s="1317" customFormat="1" ht="20.25" customHeight="1">
      <c r="A4" s="1321"/>
      <c r="B4" s="309" t="s">
        <v>779</v>
      </c>
      <c r="C4" s="31"/>
      <c r="D4" s="31"/>
      <c r="E4" s="4406" t="s">
        <v>890</v>
      </c>
      <c r="F4" s="4406"/>
      <c r="G4" s="4406"/>
      <c r="H4" s="4406"/>
      <c r="I4" s="4406"/>
      <c r="J4" s="4368"/>
      <c r="K4" s="4418"/>
      <c r="L4" s="4418"/>
      <c r="M4" s="1367"/>
      <c r="N4" s="4422"/>
      <c r="O4" s="4422"/>
      <c r="P4" s="1322">
        <f>'SDK1'!O3</f>
        <v>2024</v>
      </c>
      <c r="Q4" s="1321"/>
      <c r="T4" s="1343"/>
    </row>
    <row r="5" spans="1:41" ht="6" customHeight="1"/>
    <row r="6" spans="1:41" s="1311" customFormat="1" ht="24" customHeight="1">
      <c r="A6" s="41"/>
      <c r="B6" s="1316" t="s">
        <v>832</v>
      </c>
      <c r="C6" s="1315"/>
      <c r="D6" s="1315"/>
      <c r="E6" s="1315"/>
      <c r="F6" s="1315"/>
      <c r="G6" s="1314"/>
      <c r="H6" s="4366" t="s">
        <v>171</v>
      </c>
      <c r="I6" s="4367"/>
      <c r="J6" s="1313">
        <v>10</v>
      </c>
      <c r="K6" s="4379" t="s">
        <v>144</v>
      </c>
      <c r="L6" s="4380"/>
      <c r="M6" s="1313">
        <v>25</v>
      </c>
      <c r="N6" s="4366" t="s">
        <v>170</v>
      </c>
      <c r="O6" s="4367"/>
      <c r="P6" s="1312">
        <v>40</v>
      </c>
      <c r="Q6" s="49"/>
    </row>
    <row r="7" spans="1:41" s="196" customFormat="1" ht="18.75" customHeight="1">
      <c r="A7" s="40"/>
      <c r="B7" s="245" t="s">
        <v>883</v>
      </c>
      <c r="C7" s="40"/>
      <c r="D7" s="40"/>
      <c r="E7" s="40"/>
      <c r="F7" s="40"/>
      <c r="G7" s="1310"/>
      <c r="H7" s="1307"/>
      <c r="I7" s="1306"/>
      <c r="J7" s="1041" t="e">
        <f>SUM(I9:I10)</f>
        <v>#VALUE!</v>
      </c>
      <c r="K7" s="1309"/>
      <c r="L7" s="1308"/>
      <c r="M7" s="1044" t="e">
        <f>SUM(L9:L10)</f>
        <v>#VALUE!</v>
      </c>
      <c r="N7" s="1307"/>
      <c r="O7" s="1306"/>
      <c r="P7" s="1041" t="e">
        <f>SUM(O9:O10)</f>
        <v>#VALUE!</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3749" t="e">
        <f>'SDK1'!O37</f>
        <v>#VALUE!</v>
      </c>
      <c r="H9" s="1303">
        <f>J6-H10</f>
        <v>10</v>
      </c>
      <c r="I9" s="1299" t="e">
        <f>H9*G9</f>
        <v>#VALUE!</v>
      </c>
      <c r="J9" s="37"/>
      <c r="K9" s="1302">
        <f>M6-K10</f>
        <v>25</v>
      </c>
      <c r="L9" s="1301" t="e">
        <f>K9*G9</f>
        <v>#VALUE!</v>
      </c>
      <c r="M9" s="1280"/>
      <c r="N9" s="1300">
        <f>P6-N10</f>
        <v>40</v>
      </c>
      <c r="O9" s="1299" t="e">
        <f>N9*G9</f>
        <v>#VALUE!</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309"/>
      <c r="B11" s="217"/>
      <c r="C11" s="39" t="s">
        <v>878</v>
      </c>
      <c r="D11" s="309"/>
      <c r="E11" s="1286">
        <v>1</v>
      </c>
      <c r="F11" s="39" t="s">
        <v>877</v>
      </c>
      <c r="G11" s="1285">
        <f>'SDK1'!$O$48</f>
        <v>10.7</v>
      </c>
      <c r="H11" s="3151">
        <f>IF($T$3=FALSE,0,J6*$E$11)</f>
        <v>0</v>
      </c>
      <c r="I11" s="3152">
        <f>H11*$G$11</f>
        <v>0</v>
      </c>
      <c r="J11" s="3153"/>
      <c r="K11" s="3154">
        <f>IF($T$3=FALSE,0,M6*$E$11)</f>
        <v>0</v>
      </c>
      <c r="L11" s="3155">
        <f>K11*$G$11</f>
        <v>0</v>
      </c>
      <c r="M11" s="3156"/>
      <c r="N11" s="3157">
        <f>IF($T$3=FALSE,0,P6*$E$11)</f>
        <v>0</v>
      </c>
      <c r="O11" s="3152">
        <f>N11*$G$11</f>
        <v>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6" customHeight="1">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6" customHeight="1">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6" customHeight="1">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110.39</v>
      </c>
      <c r="K23" s="1046"/>
      <c r="L23" s="1045"/>
      <c r="M23" s="1227">
        <f>SUM(L25:L26)</f>
        <v>91.3</v>
      </c>
      <c r="N23" s="1043"/>
      <c r="O23" s="1042"/>
      <c r="P23" s="1026">
        <f>SUM(O25:O26)</f>
        <v>91.3</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'SDK7'!F69/100</f>
        <v>0.83</v>
      </c>
      <c r="G25" s="1221">
        <f>F25*(100+$D$24)/100</f>
        <v>0.83</v>
      </c>
      <c r="H25" s="1220">
        <v>133</v>
      </c>
      <c r="I25" s="1181">
        <f>H25*$G25</f>
        <v>110.39</v>
      </c>
      <c r="J25" s="39"/>
      <c r="K25" s="1220">
        <v>110</v>
      </c>
      <c r="L25" s="1023">
        <f>K25*$G25</f>
        <v>91.3</v>
      </c>
      <c r="M25" s="1016"/>
      <c r="N25" s="1220">
        <v>110</v>
      </c>
      <c r="O25" s="1181">
        <f>N25*$G25</f>
        <v>91.3</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22.486000000000001</v>
      </c>
      <c r="K27" s="1175"/>
      <c r="L27" s="1174"/>
      <c r="M27" s="1044">
        <f>SUM(L30:L32)</f>
        <v>56.215000000000011</v>
      </c>
      <c r="N27" s="1173"/>
      <c r="O27" s="1172"/>
      <c r="P27" s="1041">
        <f>SUM(O30:O32)</f>
        <v>89.944000000000003</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-0.51999999999999957</v>
      </c>
      <c r="F30" s="1201">
        <f>VLOOKUP(K2,'SD8'!B9:L42,7,FALSE)</f>
        <v>1.5</v>
      </c>
      <c r="G30" s="1200"/>
      <c r="H30" s="1198">
        <f>IF(J$6=0,0,(J$6*$E30+$G30+X14))</f>
        <v>-5.1999999999999957</v>
      </c>
      <c r="I30" s="1181">
        <f>H30*$D30</f>
        <v>-6.1879999999999944</v>
      </c>
      <c r="J30" s="39"/>
      <c r="K30" s="1199">
        <f>IF(M$6=0,0,(M$6*$E30+$G30+Y14))</f>
        <v>-12.999999999999989</v>
      </c>
      <c r="L30" s="1023">
        <f>K30*$D30</f>
        <v>-15.469999999999986</v>
      </c>
      <c r="M30" s="1016"/>
      <c r="N30" s="1198">
        <f>IF(P$6=0,0,(P$6*$E30+$G30+Z14))</f>
        <v>-20.799999999999983</v>
      </c>
      <c r="O30" s="1181">
        <f>N30*$D30</f>
        <v>-24.751999999999978</v>
      </c>
      <c r="P30" s="1145"/>
      <c r="Q30" s="34"/>
    </row>
    <row r="31" spans="1:26" s="36" customFormat="1" ht="15" customHeight="1">
      <c r="A31" s="746"/>
      <c r="B31" s="217"/>
      <c r="C31" s="746" t="s">
        <v>234</v>
      </c>
      <c r="D31" s="1150">
        <f>'SDK1'!O53</f>
        <v>1.2</v>
      </c>
      <c r="E31" s="1201">
        <f>VLOOKUP(K2,'SD8'!B9:L42,4,FALSE)</f>
        <v>1.02</v>
      </c>
      <c r="F31" s="1201">
        <f>VLOOKUP(K2,'SD8'!B9:L42,8,FALSE)</f>
        <v>0.3</v>
      </c>
      <c r="G31" s="1200"/>
      <c r="H31" s="1198">
        <f>IF(J$6=0,0,(J$6*$E31+$G31+X15))</f>
        <v>10.199999999999999</v>
      </c>
      <c r="I31" s="1181">
        <f>H31*$D31</f>
        <v>12.239999999999998</v>
      </c>
      <c r="J31" s="39"/>
      <c r="K31" s="1199">
        <f>IF(M$6=0,0,(M$6*$E31+$G31+Y15))</f>
        <v>25.5</v>
      </c>
      <c r="L31" s="1023">
        <f>K31*$D31</f>
        <v>30.599999999999998</v>
      </c>
      <c r="M31" s="1016"/>
      <c r="N31" s="1198">
        <f>IF(P$6=0,0,(P$6*$E31+$G31+Z15))</f>
        <v>40.799999999999997</v>
      </c>
      <c r="O31" s="1181">
        <f>N31*$D31</f>
        <v>48.959999999999994</v>
      </c>
      <c r="P31" s="1145"/>
      <c r="Q31" s="34"/>
    </row>
    <row r="32" spans="1:26" s="36" customFormat="1" ht="15" customHeight="1">
      <c r="A32" s="746"/>
      <c r="B32" s="185"/>
      <c r="C32" s="2791" t="s">
        <v>232</v>
      </c>
      <c r="D32" s="1133">
        <f>'SDK1'!O54</f>
        <v>0.99</v>
      </c>
      <c r="E32" s="1197">
        <f>VLOOKUP(K2,'SD8'!B9:L42,5,FALSE)</f>
        <v>1.66</v>
      </c>
      <c r="F32" s="1197">
        <f>VLOOKUP(K2,'SD8'!B9:L42,9,FALSE)</f>
        <v>1.7</v>
      </c>
      <c r="G32" s="1196"/>
      <c r="H32" s="1194">
        <f>IF(J$6=0,0,(J$6*$E32+$G32+X16))</f>
        <v>16.599999999999998</v>
      </c>
      <c r="I32" s="1177">
        <f>H32*$D32</f>
        <v>16.433999999999997</v>
      </c>
      <c r="J32" s="223"/>
      <c r="K32" s="1195">
        <f>IF(M$6=0,0,(M$6*$E32+$G32+Y16))</f>
        <v>41.5</v>
      </c>
      <c r="L32" s="1017">
        <f>K32*$D32</f>
        <v>41.085000000000001</v>
      </c>
      <c r="M32" s="1256"/>
      <c r="N32" s="1194">
        <f>IF(P$6=0,0,(P$6*$E32+$G32+Z16))</f>
        <v>66.399999999999991</v>
      </c>
      <c r="O32" s="1177">
        <f>N32*$D32</f>
        <v>65.73599999999999</v>
      </c>
      <c r="P32" s="1176"/>
      <c r="Q32" s="34"/>
    </row>
    <row r="33" spans="1:17" s="36" customFormat="1" ht="15" hidden="1" customHeight="1">
      <c r="A33" s="746"/>
      <c r="B33" s="185"/>
      <c r="C33" s="771" t="s">
        <v>230</v>
      </c>
      <c r="D33" s="1133">
        <f>'SDK1'!P55</f>
        <v>0.45</v>
      </c>
      <c r="E33" s="1197">
        <f>VLOOKUP(K2,'SD8'!B9:L42,6,FALSE)</f>
        <v>0.2</v>
      </c>
      <c r="F33" s="1197">
        <f>VLOOKUP(K2,'SD8'!B9:L42,10,FALSE)</f>
        <v>0.15</v>
      </c>
      <c r="G33" s="1196"/>
      <c r="H33" s="1194">
        <f>IF(J$6=0,0,(J$6*$E33+$G33+X17))</f>
        <v>2</v>
      </c>
      <c r="I33" s="1177">
        <f>H33*$D33</f>
        <v>0.9</v>
      </c>
      <c r="J33" s="39"/>
      <c r="K33" s="1195">
        <f>IF(M$6=0,0,(M$6*$E33+$G33+Y17))</f>
        <v>5</v>
      </c>
      <c r="L33" s="1017">
        <f>K33*$D33</f>
        <v>2.25</v>
      </c>
      <c r="M33" s="1016"/>
      <c r="N33" s="1194">
        <f>IF(P$6=0,0,(P$6*$E33+$G33+Z17))</f>
        <v>8</v>
      </c>
      <c r="O33" s="1177">
        <f>N33*$D33</f>
        <v>3.6</v>
      </c>
      <c r="P33" s="1176"/>
      <c r="Q33" s="34"/>
    </row>
    <row r="34" spans="1:17" s="511" customFormat="1" ht="18.75" customHeight="1">
      <c r="A34" s="711"/>
      <c r="B34" s="716" t="s">
        <v>859</v>
      </c>
      <c r="C34" s="711"/>
      <c r="D34" s="33"/>
      <c r="E34" s="33"/>
      <c r="F34" s="4381" t="s">
        <v>858</v>
      </c>
      <c r="G34" s="4382"/>
      <c r="H34" s="1191"/>
      <c r="I34" s="1190"/>
      <c r="J34" s="1041">
        <f>SUM(I36:I42)</f>
        <v>94.899999999999991</v>
      </c>
      <c r="K34" s="1193"/>
      <c r="L34" s="1192"/>
      <c r="M34" s="1044">
        <f>SUM(L36:L42)</f>
        <v>94.899999999999991</v>
      </c>
      <c r="N34" s="1191"/>
      <c r="O34" s="1190"/>
      <c r="P34" s="1041">
        <f>SUM(O36:O42)</f>
        <v>94.899999999999991</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535</v>
      </c>
      <c r="D36" s="4389"/>
      <c r="E36" s="4390"/>
      <c r="F36" s="1183">
        <f>IF(C36="",0,VLOOKUP(C36,'SDK5'!C3:AF83,2,FALSE))</f>
        <v>15.7</v>
      </c>
      <c r="G36" s="1183">
        <f t="shared" ref="G36:G42" si="0">F36*(100+$D$35)/100</f>
        <v>15.7</v>
      </c>
      <c r="H36" s="1182">
        <v>3</v>
      </c>
      <c r="I36" s="1181">
        <f t="shared" ref="I36:I42" si="1">$G36*H36</f>
        <v>47.099999999999994</v>
      </c>
      <c r="J36" s="39"/>
      <c r="K36" s="1182">
        <v>3</v>
      </c>
      <c r="L36" s="1023">
        <f t="shared" ref="L36:L42" si="2">$G36*K36</f>
        <v>47.099999999999994</v>
      </c>
      <c r="M36" s="1016"/>
      <c r="N36" s="1182">
        <v>3</v>
      </c>
      <c r="O36" s="1181">
        <f t="shared" ref="O36:O42" si="3">$G36*N36</f>
        <v>47.099999999999994</v>
      </c>
      <c r="P36" s="1185"/>
      <c r="Q36" s="34"/>
    </row>
    <row r="37" spans="1:17" s="36" customFormat="1" ht="15" customHeight="1">
      <c r="A37" s="746"/>
      <c r="B37" s="1021"/>
      <c r="C37" s="4375" t="s">
        <v>485</v>
      </c>
      <c r="D37" s="4375"/>
      <c r="E37" s="4376"/>
      <c r="F37" s="1183">
        <f>IF(C37="",0,VLOOKUP(C37,'SDK5'!C4:AF84,2,FALSE))</f>
        <v>23.9</v>
      </c>
      <c r="G37" s="1183">
        <f t="shared" si="0"/>
        <v>23.9</v>
      </c>
      <c r="H37" s="1182">
        <v>2</v>
      </c>
      <c r="I37" s="1181">
        <f t="shared" si="1"/>
        <v>47.8</v>
      </c>
      <c r="J37" s="39"/>
      <c r="K37" s="1182">
        <v>2</v>
      </c>
      <c r="L37" s="1023">
        <f t="shared" si="2"/>
        <v>47.8</v>
      </c>
      <c r="M37" s="1016"/>
      <c r="N37" s="1182">
        <v>2</v>
      </c>
      <c r="O37" s="1181">
        <f t="shared" si="3"/>
        <v>47.8</v>
      </c>
      <c r="P37" s="1145"/>
      <c r="Q37" s="34"/>
    </row>
    <row r="38" spans="1:17" s="36" customFormat="1" ht="15" customHeight="1">
      <c r="A38" s="746"/>
      <c r="B38" s="1184"/>
      <c r="C38" s="4375"/>
      <c r="D38" s="4375"/>
      <c r="E38" s="4376"/>
      <c r="F38" s="1183">
        <f>IF(C38="",0,VLOOKUP(C38,'SDK5'!C5:AF85,2,FALSE))</f>
        <v>0</v>
      </c>
      <c r="G38" s="1183">
        <f t="shared" si="0"/>
        <v>0</v>
      </c>
      <c r="H38" s="1182"/>
      <c r="I38" s="1181">
        <f t="shared" si="1"/>
        <v>0</v>
      </c>
      <c r="J38" s="39"/>
      <c r="K38" s="1182"/>
      <c r="L38" s="1023">
        <f t="shared" si="2"/>
        <v>0</v>
      </c>
      <c r="M38" s="1016"/>
      <c r="N38" s="1182"/>
      <c r="O38" s="1181">
        <f t="shared" si="3"/>
        <v>0</v>
      </c>
      <c r="P38" s="1145"/>
      <c r="Q38" s="34"/>
    </row>
    <row r="39" spans="1:17" s="36" customFormat="1" ht="15" customHeight="1">
      <c r="A39" s="746"/>
      <c r="B39" s="1021"/>
      <c r="C39" s="4375"/>
      <c r="D39" s="4375"/>
      <c r="E39" s="4376"/>
      <c r="F39" s="1183">
        <f>IF(C39="",0,VLOOKUP(C39,'SDK5'!C6:AF86,2,FALSE))</f>
        <v>0</v>
      </c>
      <c r="G39" s="1183">
        <f t="shared" si="0"/>
        <v>0</v>
      </c>
      <c r="H39" s="1182"/>
      <c r="I39" s="1181">
        <f t="shared" si="1"/>
        <v>0</v>
      </c>
      <c r="J39" s="39"/>
      <c r="K39" s="1182"/>
      <c r="L39" s="1023">
        <f t="shared" si="2"/>
        <v>0</v>
      </c>
      <c r="M39" s="1016"/>
      <c r="N39" s="1182"/>
      <c r="O39" s="1181">
        <f t="shared" si="3"/>
        <v>0</v>
      </c>
      <c r="P39" s="1145"/>
      <c r="Q39" s="34"/>
    </row>
    <row r="40" spans="1:17" s="36" customFormat="1" ht="15" customHeight="1">
      <c r="A40" s="746"/>
      <c r="B40" s="1021"/>
      <c r="C40" s="4375"/>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135.24021456666668</v>
      </c>
      <c r="K43" s="1175"/>
      <c r="L43" s="1174"/>
      <c r="M43" s="1044">
        <f>SUM(M46:M57)</f>
        <v>137.59168060666667</v>
      </c>
      <c r="N43" s="1173"/>
      <c r="O43" s="1172"/>
      <c r="P43" s="1041">
        <f>SUM(P46:P57)</f>
        <v>139.94314664666666</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47">
        <v>1</v>
      </c>
      <c r="I46" s="1154">
        <f t="shared" ref="I46:I57" si="4">$F46*H46</f>
        <v>1.38</v>
      </c>
      <c r="J46" s="1145">
        <f t="shared" ref="J46:J57" si="5">H46*$G46</f>
        <v>64.642445999999993</v>
      </c>
      <c r="K46" s="1147">
        <v>1</v>
      </c>
      <c r="L46" s="1156">
        <f t="shared" ref="L46:L57" si="6">$F46*K46</f>
        <v>1.38</v>
      </c>
      <c r="M46" s="1148">
        <f t="shared" ref="M46:M57" si="7">K46*$G46</f>
        <v>64.642445999999993</v>
      </c>
      <c r="N46" s="1147">
        <v>1</v>
      </c>
      <c r="O46" s="1154">
        <f t="shared" ref="O46:O57" si="8">$F46*N46</f>
        <v>1.38</v>
      </c>
      <c r="P46" s="1145">
        <f t="shared" ref="P46:P57" si="9">N46*$G46</f>
        <v>64.642445999999993</v>
      </c>
      <c r="Q46" s="34">
        <f>$Q$2*H46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1591</v>
      </c>
      <c r="D48" s="4388"/>
      <c r="E48" s="1152">
        <f>IF($C48=0,0,VLOOKUP($C48,'SD3'!$C$24:$O$85,4,FALSE))</f>
        <v>83</v>
      </c>
      <c r="F48" s="1151">
        <f>IF($C48=0,0,VLOOKUP($C48,'SD3'!$C$24:$O$85,12,FALSE))</f>
        <v>0.22</v>
      </c>
      <c r="G48" s="1150">
        <f>IF($C48=0,0,VLOOKUP($C48,'SD3'!$C$24:$O$85,13,FALSE))</f>
        <v>6.6430352599999996</v>
      </c>
      <c r="H48" s="1147">
        <v>1</v>
      </c>
      <c r="I48" s="1146">
        <f t="shared" si="4"/>
        <v>0.22</v>
      </c>
      <c r="J48" s="1145">
        <f t="shared" si="5"/>
        <v>6.6430352599999996</v>
      </c>
      <c r="K48" s="1147">
        <v>1</v>
      </c>
      <c r="L48" s="1149">
        <f t="shared" si="6"/>
        <v>0.22</v>
      </c>
      <c r="M48" s="1148">
        <f t="shared" si="7"/>
        <v>6.6430352599999996</v>
      </c>
      <c r="N48" s="1147">
        <v>1</v>
      </c>
      <c r="O48" s="1146">
        <f t="shared" si="8"/>
        <v>0.22</v>
      </c>
      <c r="P48" s="1145">
        <f t="shared" si="9"/>
        <v>6.6430352599999996</v>
      </c>
      <c r="Q48" s="34"/>
    </row>
    <row r="49" spans="1:17" s="36" customFormat="1" ht="15" customHeight="1">
      <c r="A49" s="746"/>
      <c r="B49" s="1153"/>
      <c r="C49" s="4387" t="s">
        <v>346</v>
      </c>
      <c r="D49" s="4388"/>
      <c r="E49" s="1152">
        <f>IF($C49=0,0,VLOOKUP($C49,'SD3'!$C$24:$O$85,4,FALSE))</f>
        <v>83</v>
      </c>
      <c r="F49" s="1151">
        <f>IF($C49=0,0,VLOOKUP($C49,'SD3'!$C$24:$O$85,12,FALSE))</f>
        <v>0.16</v>
      </c>
      <c r="G49" s="1150">
        <f>IF($C49=0,0,VLOOKUP($C49,'SD3'!$C$24:$O$85,13,FALSE))</f>
        <v>3.7403892799999996</v>
      </c>
      <c r="H49" s="1147">
        <v>1</v>
      </c>
      <c r="I49" s="1146">
        <f t="shared" si="4"/>
        <v>0.16</v>
      </c>
      <c r="J49" s="1145">
        <f t="shared" si="5"/>
        <v>3.7403892799999996</v>
      </c>
      <c r="K49" s="1147">
        <v>1</v>
      </c>
      <c r="L49" s="1149">
        <f t="shared" si="6"/>
        <v>0.16</v>
      </c>
      <c r="M49" s="1148">
        <f t="shared" si="7"/>
        <v>3.7403892799999996</v>
      </c>
      <c r="N49" s="1147">
        <v>1</v>
      </c>
      <c r="O49" s="1146">
        <f t="shared" si="8"/>
        <v>0.16</v>
      </c>
      <c r="P49" s="1145">
        <f t="shared" si="9"/>
        <v>3.7403892799999996</v>
      </c>
      <c r="Q49" s="34"/>
    </row>
    <row r="50" spans="1:17" s="36" customFormat="1" ht="15" customHeight="1">
      <c r="A50" s="746"/>
      <c r="B50" s="1153"/>
      <c r="C50" s="4403" t="s">
        <v>1748</v>
      </c>
      <c r="D50" s="4404"/>
      <c r="E50" s="1152">
        <f>IF($C50=0,0,VLOOKUP($C50,'SD3'!$C$24:$O$85,4,FALSE))</f>
        <v>120</v>
      </c>
      <c r="F50" s="1151">
        <f>IF($C50=0,0,VLOOKUP($C50,'SD3'!$C$24:$O$85,12,FALSE))</f>
        <v>0.37</v>
      </c>
      <c r="G50" s="1150">
        <f>IF($C50=0,0,VLOOKUP($C50,'SD3'!$C$24:$O$85,13,FALSE))</f>
        <v>11.7573302</v>
      </c>
      <c r="H50" s="3654">
        <f>J6/75</f>
        <v>0.13333333333333333</v>
      </c>
      <c r="I50" s="1146">
        <f t="shared" si="4"/>
        <v>4.9333333333333333E-2</v>
      </c>
      <c r="J50" s="1145">
        <f t="shared" si="5"/>
        <v>1.5676440266666667</v>
      </c>
      <c r="K50" s="3654">
        <f>M6/75</f>
        <v>0.33333333333333331</v>
      </c>
      <c r="L50" s="1149">
        <f t="shared" si="6"/>
        <v>0.12333333333333332</v>
      </c>
      <c r="M50" s="1148">
        <f t="shared" si="7"/>
        <v>3.9191100666666667</v>
      </c>
      <c r="N50" s="3654">
        <f>P6/75</f>
        <v>0.53333333333333333</v>
      </c>
      <c r="O50" s="1146">
        <f t="shared" si="8"/>
        <v>0.19733333333333333</v>
      </c>
      <c r="P50" s="1145">
        <f t="shared" si="9"/>
        <v>6.2705761066666668</v>
      </c>
      <c r="Q50" s="34"/>
    </row>
    <row r="51" spans="1:17" s="36" customFormat="1" ht="15" customHeight="1">
      <c r="A51" s="746"/>
      <c r="B51" s="1153"/>
      <c r="C51" s="4387" t="s">
        <v>360</v>
      </c>
      <c r="D51" s="4388"/>
      <c r="E51" s="1152">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144"/>
      <c r="C56" s="4425"/>
      <c r="D56" s="4426"/>
      <c r="E56" s="1143">
        <f>IF($C56=0,0,VLOOKUP($C56,'SD3'!$C$24:$O$85,4,FALSE))</f>
        <v>0</v>
      </c>
      <c r="F56" s="1142">
        <f>IF($C56=0,0,VLOOKUP($C56,'SD3'!$C$24:$O$85,12,FALSE))</f>
        <v>0</v>
      </c>
      <c r="G56" s="1141">
        <f>IF($C56=0,0,VLOOKUP($C56,'SD3'!$C$24:$O$85,13,FALSE))</f>
        <v>0</v>
      </c>
      <c r="H56" s="1138"/>
      <c r="I56" s="1137">
        <f t="shared" si="4"/>
        <v>0</v>
      </c>
      <c r="J56" s="1136">
        <f t="shared" si="5"/>
        <v>0</v>
      </c>
      <c r="K56" s="1138"/>
      <c r="L56" s="1140">
        <f t="shared" si="6"/>
        <v>0</v>
      </c>
      <c r="M56" s="1139">
        <f t="shared" si="7"/>
        <v>0</v>
      </c>
      <c r="N56" s="1138"/>
      <c r="O56" s="1137">
        <f t="shared" si="8"/>
        <v>0</v>
      </c>
      <c r="P56" s="1136">
        <f t="shared" si="9"/>
        <v>0</v>
      </c>
      <c r="Q56" s="34"/>
    </row>
    <row r="57" spans="1:17" s="36" customFormat="1" ht="47.25" customHeight="1">
      <c r="A57" s="746"/>
      <c r="B57" s="1084"/>
      <c r="C57" s="4423" t="s">
        <v>332</v>
      </c>
      <c r="D57" s="4424"/>
      <c r="E57" s="1135">
        <f>IF($C57=0,0,VLOOKUP($C57,'SD3'!$C$24:$O$85,4,FALSE))</f>
        <v>83</v>
      </c>
      <c r="F57" s="1134">
        <f>IF($C57=0,0,VLOOKUP($C57,'SD3'!$C$24:$O$85,12,FALSE))</f>
        <v>1.3</v>
      </c>
      <c r="G57" s="1133">
        <f>IF($C57=0,0,VLOOKUP($C57,'SD3'!$C$24:$O$85,13,FALSE))</f>
        <v>25.970662899999994</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row>
    <row r="58" spans="1:17" s="46" customFormat="1" ht="18.75" customHeight="1">
      <c r="A58" s="811"/>
      <c r="B58" s="716" t="s">
        <v>848</v>
      </c>
      <c r="C58" s="811"/>
      <c r="D58" s="811"/>
      <c r="E58" s="811"/>
      <c r="F58" s="34"/>
      <c r="G58" s="1047"/>
      <c r="H58" s="1124"/>
      <c r="I58" s="1123">
        <f>SUM($I$46:$I$57)</f>
        <v>3.3093333333333335</v>
      </c>
      <c r="J58" s="1128"/>
      <c r="K58" s="1127"/>
      <c r="L58" s="1126">
        <f>SUM($L$46:$L$57)</f>
        <v>3.3833333333333337</v>
      </c>
      <c r="M58" s="1125"/>
      <c r="N58" s="1124"/>
      <c r="O58" s="1123">
        <f>SUM($O$46:$O$57)</f>
        <v>3.4573333333333336</v>
      </c>
      <c r="P58" s="1122"/>
      <c r="Q58" s="34"/>
    </row>
    <row r="59" spans="1:17" s="46" customFormat="1" ht="15" customHeight="1">
      <c r="A59" s="811"/>
      <c r="B59" s="1121"/>
      <c r="C59" s="285"/>
      <c r="D59" s="222" t="s">
        <v>847</v>
      </c>
      <c r="E59" s="1120">
        <v>80</v>
      </c>
      <c r="F59" s="285" t="s">
        <v>846</v>
      </c>
      <c r="G59" s="1119"/>
      <c r="H59" s="1115"/>
      <c r="I59" s="1114">
        <f>IF(I58+SUM($I$46:$I$57)*$E$59%&gt;I58+10,I58+10,I58+SUM($I$46:$I$57)*$E$59%)</f>
        <v>5.9568000000000003</v>
      </c>
      <c r="J59" s="1113"/>
      <c r="K59" s="1118"/>
      <c r="L59" s="1117">
        <f>IF(L58+SUM($L$46:$L$57)*$E$59%&gt;L58+10,L58+10,L58+SUM($L$46:$L$57)*$E$59%)</f>
        <v>6.0900000000000007</v>
      </c>
      <c r="M59" s="1116"/>
      <c r="N59" s="1115"/>
      <c r="O59" s="1114">
        <f>IF(O58+SUM($O$46:$O$57)*$E$59%&gt;O58+10,O58+10,O58+SUM($O$46:$O$57)*$E$59%)</f>
        <v>6.2232000000000003</v>
      </c>
      <c r="P59" s="1113"/>
      <c r="Q59" s="34"/>
    </row>
    <row r="60" spans="1:17" s="36" customFormat="1" ht="18.75" customHeight="1">
      <c r="A60" s="746"/>
      <c r="B60" s="716" t="s">
        <v>845</v>
      </c>
      <c r="C60" s="811"/>
      <c r="D60" s="811"/>
      <c r="E60" s="39"/>
      <c r="F60" s="39"/>
      <c r="G60" s="1112"/>
      <c r="H60" s="1104"/>
      <c r="I60" s="1103"/>
      <c r="J60" s="1111">
        <f>IF(J6=0,0,SUM(I62:I64))</f>
        <v>204.3</v>
      </c>
      <c r="K60" s="1107"/>
      <c r="L60" s="1106"/>
      <c r="M60" s="1044">
        <f>IF(M6=0,0,SUM(L62:L64))</f>
        <v>204.3</v>
      </c>
      <c r="N60" s="1104"/>
      <c r="O60" s="1103"/>
      <c r="P60" s="1111">
        <f>IF(P6=0,0,SUM(O62:O64))</f>
        <v>204.3</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298</v>
      </c>
      <c r="D62" s="4365"/>
      <c r="E62" s="4365"/>
      <c r="F62" s="1101">
        <f>IF($C62=0,0,VLOOKUP($C62,'SD3'!$C$90:$D$104,2,FALSE))</f>
        <v>204.3</v>
      </c>
      <c r="G62" s="1100">
        <f>(100+$D$61)/100*F62</f>
        <v>204.3</v>
      </c>
      <c r="H62" s="173"/>
      <c r="I62" s="1096">
        <f>$G$62</f>
        <v>204.3</v>
      </c>
      <c r="J62" s="173"/>
      <c r="K62" s="1099"/>
      <c r="L62" s="1098">
        <f>$G$62</f>
        <v>204.3</v>
      </c>
      <c r="M62" s="1016"/>
      <c r="N62" s="1097"/>
      <c r="O62" s="1096">
        <f>$G$62</f>
        <v>204.3</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407" t="s">
        <v>289</v>
      </c>
      <c r="D64" s="4407"/>
      <c r="E64" s="4427"/>
      <c r="F64" s="1083">
        <f>IF($T$3=FALSE,0,VLOOKUP($C64,'SD3'!$C$90:$D$104,2,FALSE))</f>
        <v>0</v>
      </c>
      <c r="G64" s="1082">
        <f>(100+$D$61)/100*F64</f>
        <v>0</v>
      </c>
      <c r="H64" s="1078"/>
      <c r="I64" s="1077">
        <f>H11*$G$64</f>
        <v>0</v>
      </c>
      <c r="J64" s="184"/>
      <c r="K64" s="1081"/>
      <c r="L64" s="1080">
        <f>K11*$G$64</f>
        <v>0</v>
      </c>
      <c r="M64" s="1079"/>
      <c r="N64" s="1078"/>
      <c r="O64" s="1077">
        <f>N11*$G$64</f>
        <v>0</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40.000000000000028</v>
      </c>
      <c r="K67" s="1068" t="s">
        <v>842</v>
      </c>
      <c r="L67" s="1067" t="s">
        <v>841</v>
      </c>
      <c r="M67" s="1044">
        <f>S68*(K9+K10)*L68%+F68</f>
        <v>100.00000000000007</v>
      </c>
      <c r="N67" s="1066" t="s">
        <v>842</v>
      </c>
      <c r="O67" s="1065" t="s">
        <v>841</v>
      </c>
      <c r="P67" s="1041">
        <f>T68*(N9+N10)*O68%+F68</f>
        <v>160.00000000000011</v>
      </c>
      <c r="Q67" s="34"/>
    </row>
    <row r="68" spans="1:20" s="511" customFormat="1" ht="15" customHeight="1">
      <c r="A68" s="711"/>
      <c r="B68" s="1064"/>
      <c r="C68" s="4393" t="s">
        <v>564</v>
      </c>
      <c r="D68" s="4393"/>
      <c r="E68" s="4393"/>
      <c r="F68" s="1063"/>
      <c r="G68" s="1054" t="s">
        <v>163</v>
      </c>
      <c r="H68" s="1061">
        <v>17</v>
      </c>
      <c r="I68" s="1060">
        <v>100</v>
      </c>
      <c r="J68" s="1059"/>
      <c r="K68" s="1061">
        <v>17</v>
      </c>
      <c r="L68" s="1060">
        <v>100</v>
      </c>
      <c r="M68" s="1062"/>
      <c r="N68" s="1061">
        <v>17</v>
      </c>
      <c r="O68" s="1060">
        <v>100</v>
      </c>
      <c r="P68" s="1059"/>
      <c r="Q68" s="34"/>
      <c r="R68" s="1369">
        <f>IF($H$68=0,0,VLOOKUP($H$68,'SD6'!N8:O87,'SD6'!$O$1,FALSE))*(1+'SDK1'!O11/100)</f>
        <v>4.0000000000000027</v>
      </c>
      <c r="S68" s="1058">
        <f>IF($K$68=0,0,VLOOKUP($K$68,'SD6'!N8:O87,'SD6'!$O$1,FALSE))*(1+'SDK1'!O11/100)</f>
        <v>4.0000000000000027</v>
      </c>
      <c r="T68" s="1369">
        <f>IF($N$68=0,0,VLOOKUP($N$68,'SD6'!N8:O156,'SD6'!$O$1,FALSE))*(1+'SDK1'!O11/100)</f>
        <v>4.0000000000000027</v>
      </c>
    </row>
    <row r="69" spans="1:20" s="511" customFormat="1" ht="18.75" customHeight="1">
      <c r="A69" s="711"/>
      <c r="B69" s="716" t="s">
        <v>839</v>
      </c>
      <c r="C69" s="711"/>
      <c r="D69" s="711"/>
      <c r="E69" s="34"/>
      <c r="F69" s="34"/>
      <c r="G69" s="1047"/>
      <c r="H69" s="38"/>
      <c r="I69" s="51"/>
      <c r="J69" s="1041" t="e">
        <f>H70*$F70/1000</f>
        <v>#VALUE!</v>
      </c>
      <c r="K69" s="1057"/>
      <c r="L69" s="1056"/>
      <c r="M69" s="1044" t="e">
        <f>K70*$F70/1000</f>
        <v>#VALUE!</v>
      </c>
      <c r="N69" s="38"/>
      <c r="O69" s="51"/>
      <c r="P69" s="1041" t="e">
        <f>N70*$F70/1000</f>
        <v>#VALUE!</v>
      </c>
      <c r="Q69" s="34"/>
    </row>
    <row r="70" spans="1:20" s="511" customFormat="1" ht="15" customHeight="1">
      <c r="A70" s="711"/>
      <c r="B70" s="772"/>
      <c r="C70" s="771" t="s">
        <v>606</v>
      </c>
      <c r="D70" s="285"/>
      <c r="E70" s="222"/>
      <c r="F70" s="3742" t="e">
        <f>'SDK7'!#REF!</f>
        <v>#REF!</v>
      </c>
      <c r="G70" s="1054" t="s">
        <v>163</v>
      </c>
      <c r="H70" s="1357" t="e">
        <f>J7</f>
        <v>#VALUE!</v>
      </c>
      <c r="I70" s="1049"/>
      <c r="J70" s="1048"/>
      <c r="K70" s="1053" t="e">
        <f>M7</f>
        <v>#VALUE!</v>
      </c>
      <c r="L70" s="1052"/>
      <c r="M70" s="1051"/>
      <c r="N70" s="1357" t="e">
        <f>P7</f>
        <v>#VALUE!</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t="e">
        <f>(J23+J27+J34+J43+J60+J65+J67+J69+J71)*('SDK1'!$O$59%*$G$75/12)</f>
        <v>#VALUE!</v>
      </c>
      <c r="K75" s="513"/>
      <c r="L75" s="522"/>
      <c r="M75" s="1005" t="e">
        <f>(M23+M27+M34+M43+M60+M65+M67+M69+M71)*('SDK1'!$O$59%*$G$75/12)</f>
        <v>#VALUE!</v>
      </c>
      <c r="N75" s="1007"/>
      <c r="O75" s="1006"/>
      <c r="P75" s="1005" t="e">
        <f>(P23+P27+P34+P43+P60+P65+P67+P69+P71)*('SDK1'!$O$59%*$G$75/12)</f>
        <v>#VALUE!</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H150" s="1354"/>
      <c r="J150" s="1353"/>
      <c r="M150" s="31"/>
      <c r="N150" s="31"/>
      <c r="O150" s="31"/>
      <c r="P150" s="31"/>
      <c r="Q150" s="31"/>
    </row>
    <row r="151" spans="1:17">
      <c r="A151" s="31"/>
      <c r="B151" s="441"/>
      <c r="C151" s="12"/>
      <c r="H151" s="1354"/>
      <c r="J151" s="1353"/>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D155" s="12"/>
      <c r="F155" s="12"/>
      <c r="G155" s="12"/>
      <c r="H155" s="12"/>
      <c r="I155" s="12"/>
      <c r="J155" s="12"/>
      <c r="K155" s="12"/>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8" orientation="portrait" r:id="rId1"/>
      <headerFooter alignWithMargins="0">
        <oddFooter>&amp;L&amp;11LEL Schwäbisch Gmünd&amp;C71&amp;R&amp;11&amp;F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8" orientation="portrait" r:id="rId2"/>
      <headerFooter alignWithMargins="0">
        <oddFooter>&amp;L&amp;11LEL Schwäbisch Gmünd&amp;C71&amp;R&amp;11&amp;F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8" orientation="portrait" r:id="rId3"/>
      <headerFooter alignWithMargins="0">
        <oddFooter>&amp;L&amp;11LEL Schwäbisch Gmünd&amp;C71&amp;R&amp;11&amp;F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showInputMessage="1" showErrorMessage="1" sqref="H14 K14 N14" xr:uid="{00000000-0002-0000-2E00-000000000000}">
      <formula1>"ja,nein"</formula1>
    </dataValidation>
    <dataValidation type="list" allowBlank="1" showInputMessage="1" showErrorMessage="1" sqref="H15:H17 K15:K17 N15:N17" xr:uid="{00000000-0002-0000-2E00-000001000000}">
      <formula1>"ja,nein"</formula1>
    </dataValidation>
    <dataValidation type="whole" allowBlank="1" showInputMessage="1" showErrorMessage="1" errorTitle="Anteil Erntegut" error="Prozentwert darf nur zwischen 0 und 100 liegen." sqref="O68 L68 I68" xr:uid="{00000000-0002-0000-2E00-000002000000}">
      <formula1>0</formula1>
      <formula2>100</formula2>
    </dataValidation>
    <dataValidation type="decimal" allowBlank="1" showInputMessage="1" showErrorMessage="1" errorTitle="Wassergehalt Getreide" error="Zulässig sind nur Werte zwischen 15,1 und 29,9 % Wassergehalt." sqref="H68 K68 N68" xr:uid="{00000000-0002-0000-2E00-000003000000}">
      <formula1>15.1</formula1>
      <formula2>39.9</formula2>
    </dataValidation>
    <dataValidation type="list" allowBlank="1" showInputMessage="1" showErrorMessage="1" errorTitle="Organisationsabh. Ausgleichsl." error="Bitte aus Dropdownliste auswählen." sqref="D19:F19" xr:uid="{00000000-0002-0000-2E00-000004000000}">
      <formula1>$C$60:$C$75</formula1>
    </dataValidation>
  </dataValidations>
  <hyperlinks>
    <hyperlink ref="F9" location="'SDK1'!A1" display="Preis ändern" xr:uid="{00000000-0004-0000-2E00-000000000000}"/>
  </hyperlinks>
  <printOptions horizontalCentered="1"/>
  <pageMargins left="0.59055118110236227" right="0.59055118110236227" top="0.59055118110236227" bottom="0.59055118110236227" header="0.39370078740157483" footer="0.39370078740157483"/>
  <pageSetup paperSize="9" scale="65" firstPageNumber="58" orientation="portrait" r:id="rId4"/>
  <headerFooter alignWithMargins="0">
    <oddFooter>&amp;L&amp;11LEL Schwäbisch Gmünd&amp;C71&amp;R&amp;11&amp;F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E00-000005000000}">
          <x14:formula1>
            <xm:f>'SD2'!$C$11:$C$50</xm:f>
          </x14:formula1>
          <xm:sqref>C14:F17</xm:sqref>
        </x14:dataValidation>
        <x14:dataValidation type="list" allowBlank="1" showInputMessage="1" showErrorMessage="1" errorTitle="Organisationsabh. Ausgleichsl." error="Bitte aus Dropdownliste auswählen." xr:uid="{00000000-0002-0000-2E00-000006000000}">
          <x14:formula1>
            <xm:f>'SD2'!$C$60:$C$77</xm:f>
          </x14:formula1>
          <xm:sqref>C19:C21</xm:sqref>
        </x14:dataValidation>
        <x14:dataValidation type="list" allowBlank="1" showInputMessage="1" showErrorMessage="1" errorTitle="Arbeitsgänge" error="Bitte aus Dropdownliste auswählen." xr:uid="{00000000-0002-0000-2E00-000007000000}">
          <x14:formula1>
            <xm:f>'SD3'!$C$23:$C$75</xm:f>
          </x14:formula1>
          <xm:sqref>C46:D57</xm:sqref>
        </x14:dataValidation>
        <x14:dataValidation type="list" allowBlank="1" showInputMessage="1" showErrorMessage="1" errorTitle="Lohnmaschinen" error="Bitte aus Dropdownliste auswählen." xr:uid="{00000000-0002-0000-2E00-000008000000}">
          <x14:formula1>
            <xm:f>'SD3'!$C$90:$C$104</xm:f>
          </x14:formula1>
          <xm:sqref>C62:E64</xm:sqref>
        </x14:dataValidation>
        <x14:dataValidation type="list" allowBlank="1" showInputMessage="1" showErrorMessage="1" errorTitle="Pflanzenschutzmittel" error="Bitte aus Dropdownliste auswählen." xr:uid="{00000000-0002-0000-2E00-000009000000}">
          <x14:formula1>
            <xm:f>'SDK5'!$Z$214:$Z$224</xm:f>
          </x14:formula1>
          <xm:sqref>C36:E36 C38:E38 C37:E37 C39:E39 C40:E40 C41:E41 C42:E42</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50">
    <tabColor theme="3" tint="0.39997558519241921"/>
    <pageSetUpPr fitToPage="1"/>
  </sheetPr>
  <dimension ref="A1:AO218"/>
  <sheetViews>
    <sheetView workbookViewId="0">
      <selection activeCell="H52" sqref="H52"/>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9" width="7.19921875" style="34" customWidth="1"/>
    <col min="10" max="10" width="9" style="34" customWidth="1"/>
    <col min="11" max="11" width="8" style="34" customWidth="1"/>
    <col min="12" max="12" width="7.19921875" style="34" customWidth="1"/>
    <col min="13" max="13" width="8.19921875" style="34" customWidth="1"/>
    <col min="14" max="14" width="8" style="34" customWidth="1"/>
    <col min="15" max="15" width="7.19921875" style="34" customWidth="1"/>
    <col min="16" max="16" width="8.69921875" style="34" customWidth="1"/>
    <col min="17" max="17" width="19.69921875" style="34" hidden="1" customWidth="1"/>
    <col min="18" max="18" width="12" style="31" hidden="1" customWidth="1"/>
    <col min="19" max="21" width="0" style="31" hidden="1" customWidth="1"/>
    <col min="22" max="22" width="12.8984375" style="31" hidden="1" customWidth="1"/>
    <col min="23" max="26" width="0" style="31" hidden="1" customWidth="1"/>
    <col min="27" max="16384" width="10.5" style="31"/>
  </cols>
  <sheetData>
    <row r="1" spans="1:41" s="1317" customFormat="1" ht="30.45" customHeight="1">
      <c r="A1" s="1321"/>
      <c r="B1" s="258"/>
      <c r="C1" s="1333"/>
      <c r="D1" s="1253"/>
      <c r="E1" s="255"/>
      <c r="F1" s="255"/>
      <c r="G1" s="430"/>
      <c r="H1" s="1328"/>
      <c r="I1" s="3212" t="s">
        <v>1679</v>
      </c>
      <c r="J1" s="3210">
        <f>(J7+J13+J18+J22+I11+I12)-(J23+J27+J34+J43+J60+J65+J67+J69+J71+J75)</f>
        <v>3326.2476645849765</v>
      </c>
      <c r="K1" s="4360">
        <f>M1-J1</f>
        <v>4090.4944910897138</v>
      </c>
      <c r="L1" s="4360"/>
      <c r="M1" s="3210">
        <f>(M7+M13+M18+M22+L11+L12)-(M23+M27+M34+M43+M60+M65+M67+M69+M71+M75)</f>
        <v>7416.7421556746904</v>
      </c>
      <c r="N1" s="4360">
        <f>P1-M1</f>
        <v>4090.4944910897138</v>
      </c>
      <c r="O1" s="4360"/>
      <c r="P1" s="3210">
        <f>(P7+P13+P18+P22+O11+O12)-(P23+P27+P34+P43+P60+P65+P67+P69+P71+P75)</f>
        <v>11507.236646764404</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187</v>
      </c>
      <c r="L2" s="4372"/>
      <c r="M2" s="4372"/>
      <c r="N2" s="4372"/>
      <c r="O2" s="4372"/>
      <c r="P2" s="4372"/>
      <c r="Q2" s="1345">
        <v>0</v>
      </c>
      <c r="AB2" s="3229"/>
    </row>
    <row r="3" spans="1:41" s="1317" customFormat="1" ht="32.4" customHeight="1">
      <c r="A3" s="1321"/>
      <c r="B3" s="4405" t="s">
        <v>1727</v>
      </c>
      <c r="C3" s="4405"/>
      <c r="D3" s="4405"/>
      <c r="E3" s="4405"/>
      <c r="F3" s="4405"/>
      <c r="G3" s="4405"/>
      <c r="H3" s="4405"/>
      <c r="J3" s="4368"/>
      <c r="K3" s="4369"/>
      <c r="L3" s="4369"/>
      <c r="M3" s="1384"/>
      <c r="N3" s="4373" t="str">
        <f>IF(AND(T3=TRUE,T4=TRUE),"nur 1 Strohnutzung möglich","")</f>
        <v/>
      </c>
      <c r="O3" s="4374"/>
      <c r="P3" s="1326"/>
      <c r="Q3" s="1321"/>
      <c r="T3" s="1343" t="b">
        <v>0</v>
      </c>
    </row>
    <row r="4" spans="1:41" s="1317" customFormat="1" ht="20.25" customHeight="1">
      <c r="A4" s="1321"/>
      <c r="B4" s="309" t="s">
        <v>779</v>
      </c>
      <c r="C4" s="31"/>
      <c r="D4" s="31"/>
      <c r="E4" s="4428" t="s">
        <v>908</v>
      </c>
      <c r="F4" s="4428"/>
      <c r="G4" s="4428"/>
      <c r="H4" s="4428"/>
      <c r="I4" s="4428"/>
      <c r="J4" s="4368"/>
      <c r="K4" s="4369"/>
      <c r="L4" s="4369"/>
      <c r="M4" s="1384"/>
      <c r="N4" s="4374"/>
      <c r="O4" s="4374"/>
      <c r="P4" s="1322">
        <f>'SDK1'!O3</f>
        <v>2024</v>
      </c>
      <c r="Q4" s="1321"/>
      <c r="T4" s="1343" t="b">
        <v>0</v>
      </c>
    </row>
    <row r="5" spans="1:41" ht="6" customHeight="1"/>
    <row r="6" spans="1:41" s="1311" customFormat="1" ht="24" customHeight="1">
      <c r="A6" s="41"/>
      <c r="B6" s="1316" t="s">
        <v>832</v>
      </c>
      <c r="C6" s="1315"/>
      <c r="D6" s="1315"/>
      <c r="E6" s="1315"/>
      <c r="F6" s="1315"/>
      <c r="G6" s="1314"/>
      <c r="H6" s="4366" t="s">
        <v>171</v>
      </c>
      <c r="I6" s="4367"/>
      <c r="J6" s="1313">
        <f>M6*0.75</f>
        <v>201</v>
      </c>
      <c r="K6" s="4379" t="s">
        <v>144</v>
      </c>
      <c r="L6" s="4380"/>
      <c r="M6" s="1313">
        <v>268</v>
      </c>
      <c r="N6" s="4366" t="s">
        <v>170</v>
      </c>
      <c r="O6" s="4367"/>
      <c r="P6" s="1312">
        <f>M6*1.25</f>
        <v>335</v>
      </c>
      <c r="Q6" s="49"/>
      <c r="R6" s="1385"/>
    </row>
    <row r="7" spans="1:41" s="196" customFormat="1" ht="18.75" customHeight="1">
      <c r="A7" s="40"/>
      <c r="B7" s="245" t="s">
        <v>883</v>
      </c>
      <c r="C7" s="40"/>
      <c r="D7" s="40"/>
      <c r="E7" s="40"/>
      <c r="F7" s="40"/>
      <c r="G7" s="1310"/>
      <c r="H7" s="1307"/>
      <c r="I7" s="1306"/>
      <c r="J7" s="1041">
        <f>SUM(I9:I10)</f>
        <v>12864</v>
      </c>
      <c r="K7" s="1309"/>
      <c r="L7" s="1308"/>
      <c r="M7" s="1044">
        <f>SUM(L9:L10)</f>
        <v>17152</v>
      </c>
      <c r="N7" s="1307"/>
      <c r="O7" s="1306"/>
      <c r="P7" s="1041">
        <f>SUM(O9:O10)</f>
        <v>21440</v>
      </c>
      <c r="Q7" s="315" t="s">
        <v>907</v>
      </c>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15" t="s">
        <v>906</v>
      </c>
    </row>
    <row r="9" spans="1:41" s="196" customFormat="1" ht="16.5" customHeight="1">
      <c r="A9" s="40"/>
      <c r="B9" s="245"/>
      <c r="C9" s="39" t="str">
        <f>IF('SDK1'!O9&gt;0,"Hauptprodukt (incl. MwSt.)","Hauptprodukt (ohne MwSt)")</f>
        <v>Hauptprodukt (ohne MwSt)</v>
      </c>
      <c r="D9" s="40"/>
      <c r="E9" s="40"/>
      <c r="F9" s="1304" t="s">
        <v>882</v>
      </c>
      <c r="G9" s="1221">
        <f>'SDK1'!O40</f>
        <v>64</v>
      </c>
      <c r="H9" s="1303">
        <f>J6-H10</f>
        <v>201</v>
      </c>
      <c r="I9" s="1299">
        <f>H9*G9</f>
        <v>12864</v>
      </c>
      <c r="J9" s="37"/>
      <c r="K9" s="1302">
        <f>M6-K10</f>
        <v>268</v>
      </c>
      <c r="L9" s="1301">
        <f>K9*G9</f>
        <v>17152</v>
      </c>
      <c r="M9" s="1280"/>
      <c r="N9" s="1300">
        <f>P6-N10</f>
        <v>335</v>
      </c>
      <c r="O9" s="1299">
        <f>N9*G9</f>
        <v>21440</v>
      </c>
      <c r="P9" s="37"/>
      <c r="Q9" s="315" t="s">
        <v>905</v>
      </c>
      <c r="R9" s="517"/>
      <c r="S9" s="208" t="s">
        <v>887</v>
      </c>
      <c r="T9" s="1298"/>
      <c r="W9" s="196" t="s">
        <v>904</v>
      </c>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15" t="s">
        <v>903</v>
      </c>
      <c r="R10" s="1289">
        <f>I10+I11+I12</f>
        <v>0</v>
      </c>
      <c r="S10" s="1288">
        <f>L10+L11+L12</f>
        <v>0</v>
      </c>
      <c r="T10" s="1287">
        <f>O10+O11+O12</f>
        <v>0</v>
      </c>
      <c r="W10" s="196" t="s">
        <v>879</v>
      </c>
    </row>
    <row r="11" spans="1:41" s="1268" customFormat="1" ht="15" hidden="1" customHeight="1">
      <c r="A11" s="309"/>
      <c r="B11" s="217"/>
      <c r="C11" s="39" t="s">
        <v>878</v>
      </c>
      <c r="D11" s="309"/>
      <c r="E11" s="1286">
        <v>0.5</v>
      </c>
      <c r="F11" s="39" t="s">
        <v>877</v>
      </c>
      <c r="G11" s="1285">
        <f>'SDK1'!$O$48</f>
        <v>10.7</v>
      </c>
      <c r="H11" s="3151">
        <f>IF($T$3=FALSE,0,J6*$E$11)</f>
        <v>0</v>
      </c>
      <c r="I11" s="3152">
        <f>H11*$G$11</f>
        <v>0</v>
      </c>
      <c r="J11" s="3153"/>
      <c r="K11" s="3154">
        <f>IF($T$3=FALSE,0,M6*$E$11)</f>
        <v>0</v>
      </c>
      <c r="L11" s="3155">
        <f>K11*$G$11</f>
        <v>0</v>
      </c>
      <c r="M11" s="3156"/>
      <c r="N11" s="3157">
        <f>IF($T$3=FALSE,0,P6*$E$11)</f>
        <v>0</v>
      </c>
      <c r="O11" s="3152">
        <f>N11*$G$11</f>
        <v>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4995</v>
      </c>
      <c r="K23" s="1046"/>
      <c r="L23" s="1045"/>
      <c r="M23" s="1227">
        <f>SUM(L25:L26)</f>
        <v>4995</v>
      </c>
      <c r="N23" s="1043"/>
      <c r="O23" s="1042"/>
      <c r="P23" s="1026">
        <f>SUM(O25:O26)</f>
        <v>4995</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'SDK7'!F72</f>
        <v>185</v>
      </c>
      <c r="G25" s="1221">
        <f>F25*(100+$D$24)/100</f>
        <v>185</v>
      </c>
      <c r="H25" s="1220">
        <v>27</v>
      </c>
      <c r="I25" s="1181">
        <f>H25*$G25</f>
        <v>4995</v>
      </c>
      <c r="J25" s="39"/>
      <c r="K25" s="1220">
        <f>H25</f>
        <v>27</v>
      </c>
      <c r="L25" s="1023">
        <f>K25*$G25</f>
        <v>4995</v>
      </c>
      <c r="M25" s="1016"/>
      <c r="N25" s="1220">
        <f>H25</f>
        <v>27</v>
      </c>
      <c r="O25" s="1181">
        <f>N25*$G25</f>
        <v>4995</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399.57849999999996</v>
      </c>
      <c r="K27" s="1175"/>
      <c r="L27" s="1174"/>
      <c r="M27" s="1044">
        <f>SUM(L30:L32)</f>
        <v>478.53800000000001</v>
      </c>
      <c r="N27" s="1173"/>
      <c r="O27" s="1172"/>
      <c r="P27" s="1041">
        <f>SUM(O30:O32)</f>
        <v>557.49749999999995</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902</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0.35</v>
      </c>
      <c r="F30" s="1201">
        <f>VLOOKUP(K2,'SD8'!B9:L42,7,FALSE)</f>
        <v>0.20000000000000007</v>
      </c>
      <c r="G30" s="1200">
        <v>50</v>
      </c>
      <c r="H30" s="1198">
        <f>IF(J$6=0,0,(J$6*$E30+$G30+X14))</f>
        <v>120.35</v>
      </c>
      <c r="I30" s="1181">
        <f>H30*$D30</f>
        <v>143.2165</v>
      </c>
      <c r="J30" s="39"/>
      <c r="K30" s="1199">
        <f>IF(M$6=0,0,(M$6*$E30+$G30+Y14))</f>
        <v>143.80000000000001</v>
      </c>
      <c r="L30" s="1023">
        <f>K30*$D30</f>
        <v>171.12200000000001</v>
      </c>
      <c r="M30" s="1016"/>
      <c r="N30" s="1198">
        <f>IF(P$6=0,0,(P$6*$E30+$G30+Z14))</f>
        <v>167.25</v>
      </c>
      <c r="O30" s="1181">
        <f>N30*$D30</f>
        <v>199.0275</v>
      </c>
      <c r="P30" s="1145"/>
      <c r="Q30" s="34"/>
    </row>
    <row r="31" spans="1:26" s="36" customFormat="1" ht="15" customHeight="1">
      <c r="A31" s="746"/>
      <c r="B31" s="217"/>
      <c r="C31" s="746" t="s">
        <v>234</v>
      </c>
      <c r="D31" s="1150">
        <f>'SDK1'!O53</f>
        <v>1.2</v>
      </c>
      <c r="E31" s="1201">
        <f>VLOOKUP(K2,'SD8'!B9:L42,4,FALSE)</f>
        <v>0.14000000000000001</v>
      </c>
      <c r="F31" s="1201">
        <f>VLOOKUP(K2,'SD8'!B9:L42,8,FALSE)</f>
        <v>9.9999999999999811E-3</v>
      </c>
      <c r="G31" s="1200">
        <v>20</v>
      </c>
      <c r="H31" s="1198">
        <f>IF(J$6=0,0,(J$6*$E31+$G31+X15))</f>
        <v>48.14</v>
      </c>
      <c r="I31" s="1181">
        <f>H31*$D31</f>
        <v>57.768000000000001</v>
      </c>
      <c r="J31" s="39"/>
      <c r="K31" s="1199">
        <f>IF(M$6=0,0,(M$6*$E31+$G31+Y15))</f>
        <v>57.52</v>
      </c>
      <c r="L31" s="1023">
        <f>K31*$D31</f>
        <v>69.024000000000001</v>
      </c>
      <c r="M31" s="1016"/>
      <c r="N31" s="1198">
        <f>IF(P$6=0,0,(P$6*$E31+$G31+Z15))</f>
        <v>66.900000000000006</v>
      </c>
      <c r="O31" s="1181">
        <f>N31*$D31</f>
        <v>80.28</v>
      </c>
      <c r="P31" s="1145"/>
      <c r="Q31" s="34"/>
    </row>
    <row r="32" spans="1:26" s="36" customFormat="1" ht="15" customHeight="1">
      <c r="A32" s="746"/>
      <c r="B32" s="185"/>
      <c r="C32" s="2791" t="s">
        <v>232</v>
      </c>
      <c r="D32" s="1133">
        <f>'SDK1'!O54</f>
        <v>0.99</v>
      </c>
      <c r="E32" s="1197">
        <f>VLOOKUP(K2,'SD8'!B9:L42,5,FALSE)</f>
        <v>0.6</v>
      </c>
      <c r="F32" s="1197">
        <f>VLOOKUP(K2,'SD8'!B9:L42,9,FALSE)</f>
        <v>0</v>
      </c>
      <c r="G32" s="1196">
        <v>80</v>
      </c>
      <c r="H32" s="1194">
        <f>IF(J$6=0,0,(J$6*$E32+$G32+X16))</f>
        <v>200.6</v>
      </c>
      <c r="I32" s="1177">
        <f>H32*$D32</f>
        <v>198.59399999999999</v>
      </c>
      <c r="J32" s="223"/>
      <c r="K32" s="1195">
        <f>IF(M$6=0,0,(M$6*$E32+$G32+Y16))</f>
        <v>240.79999999999998</v>
      </c>
      <c r="L32" s="1017">
        <f>K32*$D32</f>
        <v>238.39199999999997</v>
      </c>
      <c r="M32" s="1256"/>
      <c r="N32" s="1194">
        <f>IF(P$6=0,0,(P$6*$E32+$G32+Z16))</f>
        <v>281</v>
      </c>
      <c r="O32" s="1177">
        <f>N32*$D32</f>
        <v>278.19</v>
      </c>
      <c r="P32" s="1176"/>
      <c r="Q32" s="34"/>
    </row>
    <row r="33" spans="1:17" s="36" customFormat="1" ht="15" hidden="1" customHeight="1">
      <c r="A33" s="746"/>
      <c r="B33" s="185"/>
      <c r="C33" s="771" t="s">
        <v>230</v>
      </c>
      <c r="D33" s="1133">
        <f>'SDK1'!P55</f>
        <v>0.45</v>
      </c>
      <c r="E33" s="1197">
        <f>VLOOKUP(K2,'SD8'!B9:L42,6,FALSE)</f>
        <v>0.04</v>
      </c>
      <c r="F33" s="1197">
        <f>VLOOKUP(K2,'SD8'!B9:L42,10,FALSE)</f>
        <v>0</v>
      </c>
      <c r="G33" s="1196"/>
      <c r="H33" s="1194">
        <f>IF(J$6=0,0,(J$6*$E33+$G33+X17))</f>
        <v>8.0400000000000009</v>
      </c>
      <c r="I33" s="1177">
        <f>H33*$D33</f>
        <v>3.6180000000000003</v>
      </c>
      <c r="J33" s="39"/>
      <c r="K33" s="1195">
        <f>IF(M$6=0,0,(M$6*$E33+$G33+Y17))</f>
        <v>10.72</v>
      </c>
      <c r="L33" s="1017">
        <f>K33*$D33</f>
        <v>4.8240000000000007</v>
      </c>
      <c r="M33" s="1016"/>
      <c r="N33" s="1194">
        <f>IF(P$6=0,0,(P$6*$E33+$G33+Z17))</f>
        <v>13.4</v>
      </c>
      <c r="O33" s="1177">
        <f>N33*$D33</f>
        <v>6.03</v>
      </c>
      <c r="P33" s="1176"/>
      <c r="Q33" s="34"/>
    </row>
    <row r="34" spans="1:17" s="511" customFormat="1" ht="18.75" customHeight="1">
      <c r="A34" s="711"/>
      <c r="B34" s="716" t="s">
        <v>859</v>
      </c>
      <c r="C34" s="711"/>
      <c r="D34" s="33"/>
      <c r="E34" s="33"/>
      <c r="F34" s="4381" t="s">
        <v>858</v>
      </c>
      <c r="G34" s="4382"/>
      <c r="H34" s="1191"/>
      <c r="I34" s="1190"/>
      <c r="J34" s="1041">
        <f>SUM(I36:I42)</f>
        <v>250.304</v>
      </c>
      <c r="K34" s="1193"/>
      <c r="L34" s="1192"/>
      <c r="M34" s="1044">
        <f>SUM(L36:L42)</f>
        <v>250.304</v>
      </c>
      <c r="N34" s="1191"/>
      <c r="O34" s="1190"/>
      <c r="P34" s="1041">
        <f>SUM(O36:O42)</f>
        <v>250.304</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539</v>
      </c>
      <c r="D36" s="4389"/>
      <c r="E36" s="4390"/>
      <c r="F36" s="1183">
        <f>IF(C36="",0,VLOOKUP(C36,'SDK5'!C3:AF83,2,FALSE))</f>
        <v>29</v>
      </c>
      <c r="G36" s="1183">
        <f t="shared" ref="G36:G42" si="0">F36*(100+$D$35)/100</f>
        <v>29</v>
      </c>
      <c r="H36" s="1182">
        <v>3</v>
      </c>
      <c r="I36" s="1181">
        <f t="shared" ref="I36:I42" si="1">$G36*H36</f>
        <v>87</v>
      </c>
      <c r="J36" s="39"/>
      <c r="K36" s="1182">
        <v>3</v>
      </c>
      <c r="L36" s="1023">
        <f t="shared" ref="L36:L42" si="2">$G36*K36</f>
        <v>87</v>
      </c>
      <c r="M36" s="1016"/>
      <c r="N36" s="1182">
        <v>3</v>
      </c>
      <c r="O36" s="1181">
        <f t="shared" ref="O36:O42" si="3">$G36*N36</f>
        <v>87</v>
      </c>
      <c r="P36" s="1185"/>
      <c r="Q36" s="34"/>
    </row>
    <row r="37" spans="1:17" s="36" customFormat="1" ht="15" customHeight="1">
      <c r="A37" s="746"/>
      <c r="B37" s="1021"/>
      <c r="C37" s="4375" t="s">
        <v>1733</v>
      </c>
      <c r="D37" s="4375"/>
      <c r="E37" s="4376"/>
      <c r="F37" s="1183">
        <f>IF(C37="",0,VLOOKUP(C37,'SDK5'!C4:AF84,2,FALSE))</f>
        <v>35.1</v>
      </c>
      <c r="G37" s="1183">
        <f t="shared" si="0"/>
        <v>35.1</v>
      </c>
      <c r="H37" s="1182">
        <v>2</v>
      </c>
      <c r="I37" s="1181">
        <f t="shared" si="1"/>
        <v>70.2</v>
      </c>
      <c r="J37" s="39"/>
      <c r="K37" s="1182">
        <v>2</v>
      </c>
      <c r="L37" s="1023">
        <f t="shared" si="2"/>
        <v>70.2</v>
      </c>
      <c r="M37" s="1016"/>
      <c r="N37" s="1182">
        <v>2</v>
      </c>
      <c r="O37" s="1181">
        <f t="shared" si="3"/>
        <v>70.2</v>
      </c>
      <c r="P37" s="1145"/>
      <c r="Q37" s="34"/>
    </row>
    <row r="38" spans="1:17" s="36" customFormat="1" ht="15" customHeight="1">
      <c r="A38" s="746"/>
      <c r="B38" s="1184"/>
      <c r="C38" s="4375" t="s">
        <v>311</v>
      </c>
      <c r="D38" s="4375"/>
      <c r="E38" s="4376"/>
      <c r="F38" s="1183">
        <f>IF(C38="",0,VLOOKUP(C38,'SDK5'!C5:AF85,2,FALSE))</f>
        <v>0</v>
      </c>
      <c r="G38" s="1183">
        <f t="shared" si="0"/>
        <v>0</v>
      </c>
      <c r="H38" s="1182"/>
      <c r="I38" s="1181">
        <f t="shared" si="1"/>
        <v>0</v>
      </c>
      <c r="J38" s="39"/>
      <c r="K38" s="1182"/>
      <c r="L38" s="1023">
        <f t="shared" si="2"/>
        <v>0</v>
      </c>
      <c r="M38" s="1016"/>
      <c r="N38" s="1182"/>
      <c r="O38" s="1181">
        <f t="shared" si="3"/>
        <v>0</v>
      </c>
      <c r="P38" s="1145"/>
      <c r="Q38" s="34"/>
    </row>
    <row r="39" spans="1:17" s="36" customFormat="1" ht="15" customHeight="1">
      <c r="A39" s="746"/>
      <c r="B39" s="1021"/>
      <c r="C39" s="4375" t="s">
        <v>495</v>
      </c>
      <c r="D39" s="4375"/>
      <c r="E39" s="4376"/>
      <c r="F39" s="1183">
        <f>IF(C39="",0,VLOOKUP(C39,'SDK5'!C6:AF86,2,FALSE))</f>
        <v>58.6</v>
      </c>
      <c r="G39" s="1183">
        <f t="shared" si="0"/>
        <v>58.6</v>
      </c>
      <c r="H39" s="1182">
        <v>0.6</v>
      </c>
      <c r="I39" s="1181">
        <f t="shared" si="1"/>
        <v>35.159999999999997</v>
      </c>
      <c r="J39" s="39"/>
      <c r="K39" s="1182">
        <v>0.6</v>
      </c>
      <c r="L39" s="1023">
        <f t="shared" si="2"/>
        <v>35.159999999999997</v>
      </c>
      <c r="M39" s="1016"/>
      <c r="N39" s="1182">
        <v>0.6</v>
      </c>
      <c r="O39" s="1181">
        <f t="shared" si="3"/>
        <v>35.159999999999997</v>
      </c>
      <c r="P39" s="1145"/>
      <c r="Q39" s="34"/>
    </row>
    <row r="40" spans="1:17" s="36" customFormat="1" ht="15" customHeight="1">
      <c r="A40" s="746"/>
      <c r="B40" s="1021"/>
      <c r="C40" s="4375" t="s">
        <v>488</v>
      </c>
      <c r="D40" s="4375"/>
      <c r="E40" s="4376"/>
      <c r="F40" s="1183">
        <f>IF(C40="",0,VLOOKUP(C40,'SDK5'!C7:AF87,2,FALSE))</f>
        <v>44.2</v>
      </c>
      <c r="G40" s="1183">
        <f t="shared" si="0"/>
        <v>44.2</v>
      </c>
      <c r="H40" s="1182">
        <v>0.8</v>
      </c>
      <c r="I40" s="1181">
        <f t="shared" si="1"/>
        <v>35.360000000000007</v>
      </c>
      <c r="J40" s="39"/>
      <c r="K40" s="1182">
        <v>0.8</v>
      </c>
      <c r="L40" s="1023">
        <f t="shared" si="2"/>
        <v>35.360000000000007</v>
      </c>
      <c r="M40" s="1016"/>
      <c r="N40" s="1182">
        <v>0.8</v>
      </c>
      <c r="O40" s="1181">
        <f t="shared" si="3"/>
        <v>35.360000000000007</v>
      </c>
      <c r="P40" s="1145"/>
      <c r="Q40" s="34"/>
    </row>
    <row r="41" spans="1:17" s="36" customFormat="1" ht="15" customHeight="1">
      <c r="A41" s="746"/>
      <c r="B41" s="1021"/>
      <c r="C41" s="4375" t="s">
        <v>524</v>
      </c>
      <c r="D41" s="4375"/>
      <c r="E41" s="4376"/>
      <c r="F41" s="1183">
        <f>IF(C41="",0,VLOOKUP(C41,'SDK5'!C8:AF88,2,FALSE))</f>
        <v>376.4</v>
      </c>
      <c r="G41" s="1183">
        <f t="shared" si="0"/>
        <v>376.4</v>
      </c>
      <c r="H41" s="1182">
        <v>0.06</v>
      </c>
      <c r="I41" s="1181">
        <f t="shared" si="1"/>
        <v>22.583999999999996</v>
      </c>
      <c r="J41" s="39"/>
      <c r="K41" s="1182">
        <v>0.06</v>
      </c>
      <c r="L41" s="1023">
        <f t="shared" si="2"/>
        <v>22.583999999999996</v>
      </c>
      <c r="M41" s="1016"/>
      <c r="N41" s="1182">
        <v>0.06</v>
      </c>
      <c r="O41" s="1181">
        <f t="shared" si="3"/>
        <v>22.583999999999996</v>
      </c>
      <c r="P41" s="1145"/>
      <c r="Q41" s="34"/>
    </row>
    <row r="42" spans="1:17" s="36" customFormat="1" ht="15" customHeight="1">
      <c r="A42" s="746"/>
      <c r="B42" s="1180"/>
      <c r="C42" s="4361" t="s">
        <v>311</v>
      </c>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658.03062603142848</v>
      </c>
      <c r="K43" s="1175"/>
      <c r="L43" s="1174"/>
      <c r="M43" s="1044">
        <f>SUM(M46:M57)</f>
        <v>697.76035800857142</v>
      </c>
      <c r="N43" s="1173"/>
      <c r="O43" s="1172"/>
      <c r="P43" s="1041">
        <f>SUM(P46:P57)</f>
        <v>737.49008998571423</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55">
        <v>1</v>
      </c>
      <c r="I46" s="1154">
        <f t="shared" ref="I46:I57" si="4">$F46*H46</f>
        <v>1.38</v>
      </c>
      <c r="J46" s="1145">
        <f t="shared" ref="J46:J57" si="5">H46*$G46</f>
        <v>64.642445999999993</v>
      </c>
      <c r="K46" s="1155">
        <v>1</v>
      </c>
      <c r="L46" s="1156">
        <f t="shared" ref="L46:L57" si="6">$F46*K46</f>
        <v>1.38</v>
      </c>
      <c r="M46" s="1148">
        <f t="shared" ref="M46:M57" si="7">K46*$G46</f>
        <v>64.642445999999993</v>
      </c>
      <c r="N46" s="1155">
        <v>1</v>
      </c>
      <c r="O46" s="1154">
        <f t="shared" ref="O46:O57" si="8">$F46*N46</f>
        <v>1.38</v>
      </c>
      <c r="P46" s="1145">
        <f t="shared" ref="P46:P57" si="9">N46*$G46</f>
        <v>64.642445999999993</v>
      </c>
      <c r="Q46" s="34">
        <f>$Q$2*H46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320</v>
      </c>
      <c r="D48" s="4388"/>
      <c r="E48" s="1152">
        <f>IF($C48=0,0,VLOOKUP($C48,'SD3'!$C$24:$O$85,4,FALSE))</f>
        <v>83</v>
      </c>
      <c r="F48" s="1151">
        <f>IF($C48=0,0,VLOOKUP($C48,'SD3'!$C$24:$O$85,12,FALSE))</f>
        <v>1.1399999999999999</v>
      </c>
      <c r="G48" s="1150">
        <f>IF($C48=0,0,VLOOKUP($C48,'SD3'!$C$24:$O$85,13,FALSE))</f>
        <v>33.95027361999999</v>
      </c>
      <c r="H48" s="1147">
        <v>1</v>
      </c>
      <c r="I48" s="1146">
        <f t="shared" si="4"/>
        <v>1.1399999999999999</v>
      </c>
      <c r="J48" s="1145">
        <f t="shared" si="5"/>
        <v>33.95027361999999</v>
      </c>
      <c r="K48" s="1147">
        <v>1</v>
      </c>
      <c r="L48" s="1149">
        <f t="shared" si="6"/>
        <v>1.1399999999999999</v>
      </c>
      <c r="M48" s="1148">
        <f t="shared" si="7"/>
        <v>33.95027361999999</v>
      </c>
      <c r="N48" s="1147">
        <v>1</v>
      </c>
      <c r="O48" s="1146">
        <f t="shared" si="8"/>
        <v>1.1399999999999999</v>
      </c>
      <c r="P48" s="1145">
        <f t="shared" si="9"/>
        <v>33.95027361999999</v>
      </c>
      <c r="Q48" s="34"/>
    </row>
    <row r="49" spans="1:17" s="36" customFormat="1" ht="15" customHeight="1">
      <c r="A49" s="746"/>
      <c r="B49" s="1153"/>
      <c r="C49" s="4387" t="s">
        <v>319</v>
      </c>
      <c r="D49" s="4388"/>
      <c r="E49" s="1152">
        <f>IF($C49=0,0,VLOOKUP($C49,'SD3'!$C$24:$O$85,4,FALSE))</f>
        <v>54</v>
      </c>
      <c r="F49" s="1151">
        <f>IF($C49=0,0,VLOOKUP($C49,'SD3'!$C$24:$O$85,12,FALSE))</f>
        <v>0.71</v>
      </c>
      <c r="G49" s="1150">
        <f>IF($C49=0,0,VLOOKUP($C49,'SD3'!$C$24:$O$85,13,FALSE))</f>
        <v>14.3322471</v>
      </c>
      <c r="H49" s="1147">
        <v>1</v>
      </c>
      <c r="I49" s="1146">
        <f t="shared" si="4"/>
        <v>0.71</v>
      </c>
      <c r="J49" s="1145">
        <f t="shared" si="5"/>
        <v>14.3322471</v>
      </c>
      <c r="K49" s="1147">
        <v>1</v>
      </c>
      <c r="L49" s="1149">
        <f t="shared" si="6"/>
        <v>0.71</v>
      </c>
      <c r="M49" s="1148">
        <f t="shared" si="7"/>
        <v>14.3322471</v>
      </c>
      <c r="N49" s="1147">
        <v>1</v>
      </c>
      <c r="O49" s="1146">
        <f t="shared" si="8"/>
        <v>0.71</v>
      </c>
      <c r="P49" s="1145">
        <f t="shared" si="9"/>
        <v>14.3322471</v>
      </c>
      <c r="Q49" s="34"/>
    </row>
    <row r="50" spans="1:17" s="36" customFormat="1" ht="15" customHeight="1">
      <c r="A50" s="746"/>
      <c r="B50" s="1153"/>
      <c r="C50" s="4387" t="s">
        <v>346</v>
      </c>
      <c r="D50" s="4388"/>
      <c r="E50" s="1152">
        <f>IF($C50=0,0,VLOOKUP($C50,'SD3'!$C$24:$O$85,4,FALSE))</f>
        <v>83</v>
      </c>
      <c r="F50" s="1151">
        <f>IF($C50=0,0,VLOOKUP($C50,'SD3'!$C$24:$O$85,12,FALSE))</f>
        <v>0.16</v>
      </c>
      <c r="G50" s="1150">
        <f>IF($C50=0,0,VLOOKUP($C50,'SD3'!$C$24:$O$85,13,FALSE))</f>
        <v>3.7403892799999996</v>
      </c>
      <c r="H50" s="1147">
        <v>2</v>
      </c>
      <c r="I50" s="1146">
        <f t="shared" si="4"/>
        <v>0.32</v>
      </c>
      <c r="J50" s="1145">
        <f t="shared" si="5"/>
        <v>7.4807785599999992</v>
      </c>
      <c r="K50" s="1147">
        <v>2</v>
      </c>
      <c r="L50" s="1149">
        <f t="shared" si="6"/>
        <v>0.32</v>
      </c>
      <c r="M50" s="1148">
        <f t="shared" si="7"/>
        <v>7.4807785599999992</v>
      </c>
      <c r="N50" s="1147">
        <v>2</v>
      </c>
      <c r="O50" s="1146">
        <f t="shared" si="8"/>
        <v>0.32</v>
      </c>
      <c r="P50" s="1145">
        <f t="shared" si="9"/>
        <v>7.4807785599999992</v>
      </c>
      <c r="Q50" s="34"/>
    </row>
    <row r="51" spans="1:17" s="36" customFormat="1" ht="15" customHeight="1">
      <c r="A51" s="746"/>
      <c r="B51" s="1153"/>
      <c r="C51" s="4387" t="s">
        <v>1591</v>
      </c>
      <c r="D51" s="4388"/>
      <c r="E51" s="1152">
        <f>IF($C51=0,0,VLOOKUP($C51,'SD3'!$C$24:$O$85,4,FALSE))</f>
        <v>83</v>
      </c>
      <c r="F51" s="1151">
        <f>IF($C51=0,0,VLOOKUP($C51,'SD3'!$C$24:$O$85,12,FALSE))</f>
        <v>0.22</v>
      </c>
      <c r="G51" s="1150">
        <f>IF($C51=0,0,VLOOKUP($C51,'SD3'!$C$24:$O$85,13,FALSE))</f>
        <v>6.6430352599999996</v>
      </c>
      <c r="H51" s="1147">
        <v>7</v>
      </c>
      <c r="I51" s="1146">
        <f t="shared" si="4"/>
        <v>1.54</v>
      </c>
      <c r="J51" s="1145">
        <f t="shared" si="5"/>
        <v>46.501246819999999</v>
      </c>
      <c r="K51" s="1147">
        <v>7</v>
      </c>
      <c r="L51" s="1149">
        <f t="shared" si="6"/>
        <v>1.54</v>
      </c>
      <c r="M51" s="1148">
        <f t="shared" si="7"/>
        <v>46.501246819999999</v>
      </c>
      <c r="N51" s="1147">
        <v>7</v>
      </c>
      <c r="O51" s="1146">
        <f t="shared" si="8"/>
        <v>1.54</v>
      </c>
      <c r="P51" s="1145">
        <f t="shared" si="9"/>
        <v>46.501246819999999</v>
      </c>
      <c r="Q51" s="34"/>
    </row>
    <row r="52" spans="1:17" s="36" customFormat="1" ht="15" customHeight="1">
      <c r="A52" s="746"/>
      <c r="B52" s="1153"/>
      <c r="C52" s="4403" t="s">
        <v>310</v>
      </c>
      <c r="D52" s="4404"/>
      <c r="E52" s="1152">
        <f>IF($C52=0,0,VLOOKUP($C52,'SD3'!$C$24:$O$85,4,FALSE))</f>
        <v>120</v>
      </c>
      <c r="F52" s="1151">
        <f>IF($C52=0,0,VLOOKUP($C52,'SD3'!$C$24:$O$85,12,FALSE))</f>
        <v>1.68</v>
      </c>
      <c r="G52" s="1150">
        <f>IF($C52=0,0,VLOOKUP($C52,'SD3'!$C$24:$O$85,13,FALSE))</f>
        <v>62.263012799999998</v>
      </c>
      <c r="H52" s="3654">
        <f>H9/10/10.5</f>
        <v>1.9142857142857144</v>
      </c>
      <c r="I52" s="1146">
        <f t="shared" si="4"/>
        <v>3.2160000000000002</v>
      </c>
      <c r="J52" s="1145">
        <f t="shared" si="5"/>
        <v>119.18919593142857</v>
      </c>
      <c r="K52" s="3654">
        <f>K9/10/10.5</f>
        <v>2.5523809523809526</v>
      </c>
      <c r="L52" s="1149">
        <f t="shared" si="6"/>
        <v>4.2880000000000003</v>
      </c>
      <c r="M52" s="1148">
        <f t="shared" si="7"/>
        <v>158.91892790857145</v>
      </c>
      <c r="N52" s="3654">
        <f>N9/10/10.5</f>
        <v>3.1904761904761907</v>
      </c>
      <c r="O52" s="1146">
        <f t="shared" si="8"/>
        <v>5.36</v>
      </c>
      <c r="P52" s="1145">
        <f t="shared" si="9"/>
        <v>198.6486598857143</v>
      </c>
      <c r="Q52" s="34"/>
    </row>
    <row r="53" spans="1:17" s="36" customFormat="1" ht="15" customHeight="1">
      <c r="A53" s="746"/>
      <c r="B53" s="1153"/>
      <c r="C53" s="4387" t="s">
        <v>1670</v>
      </c>
      <c r="D53" s="4388"/>
      <c r="E53" s="1152">
        <f>IF($C53=0,0,VLOOKUP($C53,'SD3'!$C$24:$O$85,4,FALSE))</f>
        <v>0</v>
      </c>
      <c r="F53" s="1151">
        <f>IF($C53=0,0,VLOOKUP($C53,'SD3'!$C$24:$O$85,12,FALSE))</f>
        <v>13.75</v>
      </c>
      <c r="G53" s="1150">
        <f>IF($C53=0,0,VLOOKUP($C53,'SD3'!$C$24:$O$85,13,FALSE))</f>
        <v>341.27499999999998</v>
      </c>
      <c r="H53" s="1147">
        <v>1</v>
      </c>
      <c r="I53" s="1146">
        <f t="shared" si="4"/>
        <v>13.75</v>
      </c>
      <c r="J53" s="1145">
        <f t="shared" si="5"/>
        <v>341.27499999999998</v>
      </c>
      <c r="K53" s="1147">
        <v>1</v>
      </c>
      <c r="L53" s="1149">
        <f t="shared" si="6"/>
        <v>13.75</v>
      </c>
      <c r="M53" s="1148">
        <f t="shared" si="7"/>
        <v>341.27499999999998</v>
      </c>
      <c r="N53" s="1147">
        <v>1</v>
      </c>
      <c r="O53" s="1146">
        <f t="shared" si="8"/>
        <v>13.75</v>
      </c>
      <c r="P53" s="1145">
        <f t="shared" si="9"/>
        <v>341.27499999999998</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c r="D57" s="4402"/>
      <c r="E57" s="1135">
        <f>IF($C57=0,0,VLOOKUP($C57,'SD3'!$C$24:$O$85,4,FALSE))</f>
        <v>0</v>
      </c>
      <c r="F57" s="1134">
        <f>IF($C57=0,0,VLOOKUP($C57,'SD3'!$C$24:$O$85,12,FALSE))</f>
        <v>0</v>
      </c>
      <c r="G57" s="1133">
        <f>IF($C57=0,0,VLOOKUP($C57,'SD3'!$C$24:$O$85,13,FALSE))</f>
        <v>0</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row>
    <row r="58" spans="1:17" s="46" customFormat="1" ht="18.75" customHeight="1">
      <c r="A58" s="811"/>
      <c r="B58" s="716" t="s">
        <v>848</v>
      </c>
      <c r="C58" s="811"/>
      <c r="D58" s="811"/>
      <c r="E58" s="811"/>
      <c r="F58" s="34"/>
      <c r="G58" s="1047"/>
      <c r="H58" s="1124"/>
      <c r="I58" s="1123">
        <f>SUM($I$46:$I$57)</f>
        <v>22.765999999999998</v>
      </c>
      <c r="J58" s="1128"/>
      <c r="K58" s="1127"/>
      <c r="L58" s="1126">
        <f>SUM($L$46:$L$57)</f>
        <v>23.838000000000001</v>
      </c>
      <c r="M58" s="1125"/>
      <c r="N58" s="1124"/>
      <c r="O58" s="1123">
        <f>SUM($O$46:$O$57)</f>
        <v>24.91</v>
      </c>
      <c r="P58" s="1122"/>
      <c r="Q58" s="34"/>
    </row>
    <row r="59" spans="1:17" s="46" customFormat="1" ht="15" customHeight="1">
      <c r="A59" s="811"/>
      <c r="B59" s="1121"/>
      <c r="C59" s="285"/>
      <c r="D59" s="222" t="s">
        <v>847</v>
      </c>
      <c r="E59" s="1120">
        <v>80</v>
      </c>
      <c r="F59" s="285" t="s">
        <v>846</v>
      </c>
      <c r="G59" s="1119"/>
      <c r="H59" s="1115"/>
      <c r="I59" s="1114">
        <f>IF(I58+SUM($I$46:$I$57)*$E$59%&gt;I58+10,I58+10,I58+SUM($I$46:$I$57)*$E$59%)</f>
        <v>32.765999999999998</v>
      </c>
      <c r="J59" s="1113"/>
      <c r="K59" s="1118"/>
      <c r="L59" s="1117">
        <f>IF(L58+SUM($L$46:$L$57)*$E$59%&gt;L58+10,L58+10,L58+SUM($L$46:$L$57)*$E$59%)</f>
        <v>33.838000000000001</v>
      </c>
      <c r="M59" s="1116"/>
      <c r="N59" s="1115"/>
      <c r="O59" s="1114">
        <f>IF(O58+SUM($O$46:$O$57)*$E$59%&gt;O58+10,O58+10,O58+SUM($O$46:$O$57)*$E$59%)</f>
        <v>34.909999999999997</v>
      </c>
      <c r="P59" s="1113"/>
      <c r="Q59" s="34"/>
    </row>
    <row r="60" spans="1:17" s="36" customFormat="1" ht="18.75" customHeight="1">
      <c r="A60" s="746"/>
      <c r="B60" s="716" t="s">
        <v>845</v>
      </c>
      <c r="C60" s="811"/>
      <c r="D60" s="811"/>
      <c r="E60" s="39"/>
      <c r="F60" s="39"/>
      <c r="G60" s="1112"/>
      <c r="H60" s="1104"/>
      <c r="I60" s="1103"/>
      <c r="J60" s="1111">
        <f>IF(J6=0,0,SUM(I62:I64))</f>
        <v>2600</v>
      </c>
      <c r="K60" s="1107"/>
      <c r="L60" s="1106"/>
      <c r="M60" s="1044">
        <f>IF(M6=0,0,SUM(L62:L64))</f>
        <v>2600</v>
      </c>
      <c r="N60" s="1104"/>
      <c r="O60" s="1103"/>
      <c r="P60" s="1111">
        <f>IF(P6=0,0,SUM(O62:O64))</f>
        <v>2600</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1669</v>
      </c>
      <c r="D62" s="4365"/>
      <c r="E62" s="4365"/>
      <c r="F62" s="1101">
        <f>IF($C62=0,0,VLOOKUP($C62,'SD3'!$C$90:$D$104,2,FALSE))</f>
        <v>2600</v>
      </c>
      <c r="G62" s="1100">
        <f>(100+$D$61)/100*F62</f>
        <v>2600</v>
      </c>
      <c r="H62" s="173"/>
      <c r="I62" s="1096">
        <f>$G$62</f>
        <v>2600</v>
      </c>
      <c r="J62" s="173"/>
      <c r="K62" s="1099"/>
      <c r="L62" s="1098">
        <f>$G$62</f>
        <v>2600</v>
      </c>
      <c r="M62" s="1016"/>
      <c r="N62" s="1097"/>
      <c r="O62" s="1096">
        <f>$G$62</f>
        <v>2600</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34"/>
    </row>
    <row r="65" spans="1:20" s="511" customFormat="1" ht="18.75" customHeight="1">
      <c r="A65" s="711"/>
      <c r="B65" s="716" t="s">
        <v>844</v>
      </c>
      <c r="C65" s="711"/>
      <c r="D65" s="711"/>
      <c r="E65" s="711"/>
      <c r="F65" s="34"/>
      <c r="G65" s="1047"/>
      <c r="H65" s="51"/>
      <c r="I65" s="51"/>
      <c r="J65" s="1041">
        <f>H66*$E66</f>
        <v>500</v>
      </c>
      <c r="K65" s="1056"/>
      <c r="L65" s="1056"/>
      <c r="M65" s="1044">
        <f>K66*$E66</f>
        <v>500</v>
      </c>
      <c r="N65" s="51"/>
      <c r="O65" s="51"/>
      <c r="P65" s="1041">
        <f>N66*$E66</f>
        <v>500</v>
      </c>
      <c r="Q65" s="34"/>
    </row>
    <row r="66" spans="1:20" s="511" customFormat="1" ht="15" customHeight="1">
      <c r="A66" s="711"/>
      <c r="B66" s="1075"/>
      <c r="C66" s="815"/>
      <c r="D66" s="222" t="s">
        <v>691</v>
      </c>
      <c r="E66" s="1074">
        <v>20</v>
      </c>
      <c r="F66" s="1049"/>
      <c r="G66" s="1073" t="s">
        <v>362</v>
      </c>
      <c r="H66" s="1071">
        <v>25</v>
      </c>
      <c r="I66" s="1070"/>
      <c r="J66" s="1059"/>
      <c r="K66" s="1071">
        <v>25</v>
      </c>
      <c r="L66" s="1072"/>
      <c r="M66" s="1062"/>
      <c r="N66" s="1071">
        <v>25</v>
      </c>
      <c r="O66" s="1070"/>
      <c r="P66" s="1059"/>
      <c r="Q66" s="34" t="s">
        <v>901</v>
      </c>
    </row>
    <row r="67" spans="1:20" s="511" customFormat="1" ht="22.95" customHeight="1">
      <c r="A67" s="711"/>
      <c r="B67" s="716" t="s">
        <v>843</v>
      </c>
      <c r="C67" s="711"/>
      <c r="D67" s="711"/>
      <c r="E67" s="175"/>
      <c r="F67" s="1069"/>
      <c r="G67" s="1047"/>
      <c r="H67" s="1066" t="s">
        <v>842</v>
      </c>
      <c r="I67" s="1065" t="s">
        <v>841</v>
      </c>
      <c r="J67" s="1041">
        <f>R68*(H9+H10)*I68%+F68</f>
        <v>0</v>
      </c>
      <c r="K67" s="1068" t="s">
        <v>842</v>
      </c>
      <c r="L67" s="1067" t="s">
        <v>841</v>
      </c>
      <c r="M67" s="1044">
        <f>S68*(K9+K10)*L68%+F68</f>
        <v>0</v>
      </c>
      <c r="N67" s="1066" t="s">
        <v>842</v>
      </c>
      <c r="O67" s="1065" t="s">
        <v>841</v>
      </c>
      <c r="P67" s="1041">
        <f>T68*(N9+N10)*O68%+F68</f>
        <v>0</v>
      </c>
      <c r="Q67" s="34"/>
    </row>
    <row r="68" spans="1:20" s="511" customFormat="1" ht="15" customHeight="1">
      <c r="A68" s="711"/>
      <c r="B68" s="1064"/>
      <c r="C68" s="4393" t="s">
        <v>564</v>
      </c>
      <c r="D68" s="4393"/>
      <c r="E68" s="4393"/>
      <c r="F68" s="1063"/>
      <c r="G68" s="1054" t="s">
        <v>163</v>
      </c>
      <c r="H68" s="1061"/>
      <c r="I68" s="1060"/>
      <c r="J68" s="1059"/>
      <c r="K68" s="1061"/>
      <c r="L68" s="1060"/>
      <c r="M68" s="1062"/>
      <c r="N68" s="1061"/>
      <c r="O68" s="1060"/>
      <c r="P68" s="1059"/>
      <c r="Q68" s="34"/>
      <c r="R68" s="1369">
        <f>IF($H$68=0,0,VLOOKUP($H$68,'SD6'!B8:C101,2,FALSE))*(1+'SDK1'!O11/100)</f>
        <v>0</v>
      </c>
      <c r="S68" s="1058">
        <f>IF($K$68=0,0,VLOOKUP($K$68,'SD6'!B8:C101,2,FALSE))*(1+'SDK1'!O11/100)</f>
        <v>0</v>
      </c>
      <c r="T68" s="1369">
        <f>IF($N$68=0,0,VLOOKUP($N$68,'SD6'!B8:C101,2,FALSE))*(1+'SDK1'!O11/100)</f>
        <v>0</v>
      </c>
    </row>
    <row r="69" spans="1:20" s="511" customFormat="1" ht="18.75" customHeight="1">
      <c r="A69" s="711"/>
      <c r="B69" s="716" t="s">
        <v>839</v>
      </c>
      <c r="C69" s="711"/>
      <c r="D69" s="711"/>
      <c r="E69" s="34"/>
      <c r="F69" s="34"/>
      <c r="G69" s="1047"/>
      <c r="H69" s="38"/>
      <c r="I69" s="51"/>
      <c r="J69" s="1041">
        <f>H70*$F70/1000</f>
        <v>231.55199999999999</v>
      </c>
      <c r="K69" s="1057"/>
      <c r="L69" s="1056"/>
      <c r="M69" s="1044">
        <f>K70*$F70/1000</f>
        <v>308.73599999999999</v>
      </c>
      <c r="N69" s="38"/>
      <c r="O69" s="51"/>
      <c r="P69" s="1041">
        <f>N70*$F70/1000</f>
        <v>385.92</v>
      </c>
      <c r="Q69" s="34"/>
    </row>
    <row r="70" spans="1:20" s="511" customFormat="1" ht="15" customHeight="1">
      <c r="A70" s="711"/>
      <c r="B70" s="772"/>
      <c r="C70" s="771" t="s">
        <v>606</v>
      </c>
      <c r="D70" s="285"/>
      <c r="E70" s="222"/>
      <c r="F70" s="3742">
        <f>'SDK7'!G112</f>
        <v>18</v>
      </c>
      <c r="G70" s="1054" t="s">
        <v>163</v>
      </c>
      <c r="H70" s="1050">
        <f>J7</f>
        <v>12864</v>
      </c>
      <c r="I70" s="1049"/>
      <c r="J70" s="1048"/>
      <c r="K70" s="1053">
        <f>M7</f>
        <v>17152</v>
      </c>
      <c r="L70" s="1052"/>
      <c r="M70" s="1051"/>
      <c r="N70" s="1050">
        <f>P7</f>
        <v>21440</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f>(J23+J27+J34+J43+J60+J65+J67+J69+J71)*('SDK1'!$O$59%*$G$75/12)</f>
        <v>80.287209383595226</v>
      </c>
      <c r="K75" s="513"/>
      <c r="L75" s="522"/>
      <c r="M75" s="1005">
        <f>(M23+M27+M34+M43+M60+M65+M67+M69+M71)*('SDK1'!$O$59%*$G$75/12)</f>
        <v>81.919486316738102</v>
      </c>
      <c r="N75" s="1007"/>
      <c r="O75" s="1006"/>
      <c r="P75" s="1005">
        <f>(P23+P27+P34+P43+P60+P65+P67+P69+P71)*('SDK1'!$O$59%*$G$75/12)</f>
        <v>83.551763249880949</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N145" s="395"/>
      <c r="O145" s="31"/>
      <c r="P145" s="31"/>
      <c r="Q145" s="31"/>
    </row>
    <row r="146" spans="1:17">
      <c r="A146" s="31"/>
      <c r="B146" s="441"/>
      <c r="C146" s="12"/>
      <c r="L146" s="12"/>
      <c r="N146" s="395"/>
      <c r="O146" s="31"/>
      <c r="P146" s="31"/>
      <c r="Q146" s="31"/>
    </row>
    <row r="147" spans="1:17">
      <c r="A147" s="31"/>
      <c r="B147" s="441"/>
      <c r="C147" s="12"/>
      <c r="L147" s="12"/>
      <c r="N147" s="395"/>
      <c r="O147" s="31"/>
      <c r="P147" s="31"/>
      <c r="Q147" s="31"/>
    </row>
    <row r="148" spans="1:17">
      <c r="A148" s="31"/>
      <c r="B148" s="441"/>
      <c r="C148" s="12"/>
      <c r="L148" s="12"/>
      <c r="N148" s="395"/>
      <c r="O148" s="31"/>
      <c r="P148" s="31"/>
      <c r="Q148" s="31"/>
    </row>
    <row r="149" spans="1:17">
      <c r="A149" s="31"/>
      <c r="B149" s="441"/>
      <c r="C149" s="12"/>
      <c r="N149" s="395"/>
      <c r="O149" s="31"/>
      <c r="P149" s="31"/>
      <c r="Q149" s="31"/>
    </row>
    <row r="150" spans="1:17">
      <c r="A150" s="31"/>
      <c r="B150" s="441"/>
      <c r="C150" s="12"/>
      <c r="N150" s="395"/>
      <c r="O150" s="31"/>
      <c r="P150" s="31"/>
      <c r="Q150" s="31"/>
    </row>
    <row r="151" spans="1:17">
      <c r="A151" s="31"/>
      <c r="B151" s="441"/>
      <c r="C151" s="12"/>
      <c r="N151" s="395"/>
      <c r="O151" s="31"/>
      <c r="P151" s="31"/>
      <c r="Q151" s="31"/>
    </row>
    <row r="152" spans="1:17">
      <c r="A152" s="31"/>
      <c r="B152" s="441"/>
      <c r="C152" s="12"/>
      <c r="N152" s="395"/>
      <c r="O152" s="31"/>
      <c r="P152" s="31"/>
      <c r="Q152" s="31"/>
    </row>
    <row r="153" spans="1:17">
      <c r="A153" s="31"/>
      <c r="B153" s="441"/>
      <c r="C153" s="12"/>
      <c r="H153" s="1354"/>
      <c r="J153" s="1353"/>
      <c r="N153" s="395"/>
      <c r="O153" s="31"/>
      <c r="P153" s="31"/>
      <c r="Q153" s="31"/>
    </row>
    <row r="154" spans="1:17">
      <c r="A154" s="31"/>
      <c r="B154" s="441"/>
      <c r="C154" s="12"/>
      <c r="H154" s="1354"/>
      <c r="J154" s="1353"/>
      <c r="N154" s="395"/>
      <c r="O154" s="31"/>
      <c r="P154" s="31"/>
      <c r="Q154" s="31"/>
    </row>
    <row r="155" spans="1:17">
      <c r="A155" s="31"/>
      <c r="B155" s="441"/>
      <c r="C155" s="12"/>
      <c r="H155" s="1354"/>
      <c r="J155" s="1353"/>
      <c r="O155" s="31"/>
      <c r="P155" s="31"/>
      <c r="Q155" s="31"/>
    </row>
    <row r="156" spans="1:17">
      <c r="A156" s="31"/>
      <c r="B156" s="441"/>
      <c r="C156" s="12"/>
      <c r="D156" s="12"/>
      <c r="F156" s="12"/>
      <c r="G156" s="12"/>
      <c r="H156" s="12"/>
      <c r="I156" s="12"/>
      <c r="J156" s="12"/>
      <c r="K156" s="12"/>
      <c r="O156" s="31"/>
      <c r="P156" s="31"/>
      <c r="Q156" s="31"/>
    </row>
    <row r="157" spans="1:17">
      <c r="A157" s="31"/>
      <c r="B157" s="441"/>
      <c r="C157" s="12"/>
      <c r="D157" s="12"/>
      <c r="F157" s="12"/>
      <c r="G157" s="12"/>
      <c r="H157" s="12"/>
      <c r="I157" s="12"/>
      <c r="J157" s="12"/>
      <c r="K157" s="12"/>
      <c r="O157" s="31"/>
      <c r="P157" s="31"/>
      <c r="Q157" s="31"/>
    </row>
    <row r="158" spans="1:17">
      <c r="A158" s="31"/>
      <c r="B158" s="441"/>
      <c r="C158" s="12"/>
      <c r="D158" s="12"/>
      <c r="F158" s="12"/>
      <c r="G158" s="12"/>
      <c r="H158" s="12"/>
      <c r="I158" s="12"/>
      <c r="J158" s="12"/>
      <c r="K158" s="12"/>
      <c r="O158" s="31"/>
      <c r="P158" s="31"/>
      <c r="Q158" s="31"/>
    </row>
    <row r="159" spans="1:17">
      <c r="A159" s="31"/>
      <c r="B159" s="441"/>
      <c r="C159" s="12"/>
      <c r="D159" s="12"/>
      <c r="F159" s="12"/>
      <c r="G159" s="12"/>
      <c r="H159" s="12"/>
      <c r="I159" s="12"/>
      <c r="J159" s="12"/>
      <c r="O159" s="31"/>
      <c r="P159" s="31"/>
      <c r="Q159" s="31"/>
    </row>
    <row r="160" spans="1:17">
      <c r="A160" s="31"/>
      <c r="B160" s="441"/>
      <c r="C160" s="12"/>
      <c r="D160" s="12"/>
      <c r="F160" s="12"/>
      <c r="G160" s="12"/>
      <c r="H160" s="12"/>
      <c r="I160" s="12"/>
      <c r="J160" s="12"/>
      <c r="O160" s="31"/>
      <c r="P160" s="31"/>
      <c r="Q160" s="31"/>
    </row>
    <row r="161" spans="1:17">
      <c r="A161" s="31"/>
      <c r="B161" s="441"/>
      <c r="C161" s="12"/>
      <c r="D161" s="12"/>
      <c r="F161" s="12"/>
      <c r="G161" s="12"/>
      <c r="H161" s="12"/>
      <c r="I161" s="12"/>
      <c r="J161" s="12"/>
      <c r="K161" s="31"/>
      <c r="L161" s="31"/>
      <c r="M161" s="31"/>
      <c r="N161" s="31"/>
      <c r="O161" s="31"/>
      <c r="P161" s="31"/>
      <c r="Q161" s="31"/>
    </row>
    <row r="162" spans="1:17">
      <c r="A162" s="31"/>
      <c r="B162" s="441"/>
      <c r="C162" s="12"/>
      <c r="K162" s="31"/>
      <c r="L162" s="31"/>
      <c r="M162" s="31"/>
      <c r="N162" s="31"/>
      <c r="O162" s="31"/>
      <c r="P162" s="31"/>
      <c r="Q162" s="31"/>
    </row>
    <row r="163" spans="1:17">
      <c r="A163" s="31"/>
      <c r="B163" s="441"/>
      <c r="C163" s="12"/>
      <c r="K163" s="31"/>
      <c r="L163" s="31"/>
      <c r="M163" s="31"/>
      <c r="N163" s="31"/>
      <c r="O163" s="31"/>
      <c r="P163" s="31"/>
      <c r="Q163" s="31"/>
    </row>
    <row r="164" spans="1:17">
      <c r="A164" s="31"/>
      <c r="B164" s="441"/>
      <c r="C164" s="12"/>
      <c r="K164" s="31"/>
      <c r="L164" s="31"/>
      <c r="M164" s="31"/>
      <c r="N164" s="31"/>
      <c r="O164" s="31"/>
      <c r="P164" s="31"/>
      <c r="Q164" s="31"/>
    </row>
    <row r="165" spans="1:17">
      <c r="A165" s="31"/>
      <c r="B165" s="441"/>
      <c r="C165" s="12"/>
      <c r="K165" s="31"/>
      <c r="L165" s="31"/>
      <c r="M165" s="31"/>
      <c r="N165" s="31"/>
      <c r="O165" s="31"/>
      <c r="P165" s="31"/>
      <c r="Q165" s="31"/>
    </row>
    <row r="166" spans="1:17">
      <c r="A166" s="31"/>
      <c r="B166" s="441"/>
      <c r="C166" s="12"/>
      <c r="K166" s="31"/>
      <c r="L166" s="31"/>
      <c r="M166" s="31"/>
      <c r="N166" s="31"/>
      <c r="O166" s="31"/>
      <c r="P166" s="31"/>
      <c r="Q166" s="31"/>
    </row>
    <row r="167" spans="1:17">
      <c r="A167" s="31"/>
      <c r="B167" s="441"/>
      <c r="C167" s="12"/>
      <c r="K167" s="31"/>
      <c r="L167" s="31"/>
      <c r="M167" s="31"/>
      <c r="N167" s="31"/>
      <c r="O167" s="31"/>
      <c r="P167" s="31"/>
      <c r="Q167" s="31"/>
    </row>
    <row r="168" spans="1:17">
      <c r="A168" s="31"/>
      <c r="B168" s="441"/>
      <c r="C168" s="12"/>
      <c r="K168" s="31"/>
      <c r="L168" s="31"/>
      <c r="M168" s="31"/>
      <c r="N168" s="31"/>
      <c r="O168" s="31"/>
      <c r="P168" s="31"/>
      <c r="Q168" s="31"/>
    </row>
    <row r="169" spans="1:17">
      <c r="A169" s="31"/>
      <c r="B169" s="441"/>
      <c r="C169" s="12"/>
      <c r="K169" s="31"/>
      <c r="L169" s="31"/>
      <c r="M169" s="31"/>
      <c r="N169" s="31"/>
      <c r="O169" s="31"/>
      <c r="P169" s="31"/>
      <c r="Q169" s="31"/>
    </row>
    <row r="170" spans="1:17">
      <c r="A170" s="31"/>
      <c r="B170" s="441"/>
      <c r="C170" s="12"/>
      <c r="K170" s="31"/>
      <c r="L170" s="31"/>
      <c r="M170" s="31"/>
      <c r="N170" s="31"/>
      <c r="O170" s="31"/>
      <c r="P170" s="31"/>
      <c r="Q170" s="31"/>
    </row>
    <row r="171" spans="1:17">
      <c r="A171" s="31"/>
      <c r="B171" s="441"/>
      <c r="C171" s="12"/>
      <c r="K171" s="31"/>
      <c r="L171" s="31"/>
      <c r="M171" s="31"/>
      <c r="N171" s="31"/>
      <c r="O171" s="31"/>
      <c r="P171" s="31"/>
      <c r="Q171" s="31"/>
    </row>
    <row r="172" spans="1:17">
      <c r="A172" s="31"/>
      <c r="B172" s="441"/>
      <c r="C172" s="12"/>
      <c r="K172" s="31"/>
      <c r="L172" s="31"/>
      <c r="M172" s="31"/>
      <c r="N172" s="31"/>
      <c r="O172" s="31"/>
      <c r="P172" s="31"/>
      <c r="Q172" s="31"/>
    </row>
    <row r="173" spans="1:17">
      <c r="A173" s="31"/>
      <c r="B173" s="441"/>
      <c r="C173" s="12"/>
      <c r="K173" s="31"/>
      <c r="L173" s="31"/>
      <c r="M173" s="31"/>
      <c r="N173" s="31"/>
      <c r="O173" s="31"/>
      <c r="P173" s="31"/>
      <c r="Q173" s="31"/>
    </row>
    <row r="174" spans="1:17">
      <c r="A174" s="31"/>
      <c r="B174" s="441"/>
      <c r="C174" s="12"/>
      <c r="K174" s="31"/>
      <c r="L174" s="31"/>
      <c r="M174" s="31"/>
      <c r="N174" s="31"/>
      <c r="O174" s="31"/>
      <c r="P174" s="31"/>
      <c r="Q174" s="31"/>
    </row>
    <row r="175" spans="1:17">
      <c r="A175" s="31"/>
      <c r="B175" s="441"/>
      <c r="C175" s="12"/>
      <c r="K175" s="31"/>
      <c r="L175" s="31"/>
      <c r="M175" s="31"/>
      <c r="N175" s="31"/>
      <c r="O175" s="31"/>
      <c r="P175" s="31"/>
      <c r="Q175" s="31"/>
    </row>
    <row r="176" spans="1:17">
      <c r="A176" s="31"/>
      <c r="B176" s="441"/>
      <c r="C176" s="12"/>
      <c r="K176" s="31"/>
      <c r="L176" s="31"/>
      <c r="M176" s="31"/>
      <c r="N176" s="31"/>
      <c r="O176" s="31"/>
      <c r="P176" s="31"/>
      <c r="Q176" s="31"/>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topLeftCell="A43">
      <selection activeCell="AE33" sqref="AE33:AE34"/>
      <pageMargins left="0.59055118110236227" right="0.59055118110236227" top="0.59055118110236227" bottom="0.59055118110236227" header="0.39370078740157483" footer="0.39370078740157483"/>
      <printOptions horizontalCentered="1"/>
      <pageSetup paperSize="9" scale="68" firstPageNumber="62" orientation="portrait" r:id="rId1"/>
      <headerFooter alignWithMargins="0">
        <oddFooter>&amp;L&amp;11LEL Schwäbisch Gmünd&amp;C75&amp;R&amp;11&amp;F</oddFooter>
      </headerFooter>
    </customSheetView>
    <customSheetView guid="{5D5C9B61-9ABD-4513-AAEB-8333A9D6196C}" fitToPage="1" hiddenRows="1" hiddenColumns="1" topLeftCell="A43">
      <selection activeCell="AE33" sqref="AE33:AE34"/>
      <pageMargins left="0.59055118110236227" right="0.59055118110236227" top="0.59055118110236227" bottom="0.59055118110236227" header="0.39370078740157483" footer="0.39370078740157483"/>
      <printOptions horizontalCentered="1"/>
      <pageSetup paperSize="9" scale="68" firstPageNumber="62" orientation="portrait" r:id="rId2"/>
      <headerFooter alignWithMargins="0">
        <oddFooter>&amp;L&amp;11LEL Schwäbisch Gmünd&amp;C75&amp;R&amp;11&amp;F</oddFooter>
      </headerFooter>
    </customSheetView>
    <customSheetView guid="{22A73C4F-9004-4CEF-8499-B1F91BE1B569}" fitToPage="1" hiddenRows="1" hiddenColumns="1" topLeftCell="A43">
      <selection activeCell="AE33" sqref="AE33:AE34"/>
      <pageMargins left="0.59055118110236227" right="0.59055118110236227" top="0.59055118110236227" bottom="0.59055118110236227" header="0.39370078740157483" footer="0.39370078740157483"/>
      <printOptions horizontalCentered="1"/>
      <pageSetup paperSize="9" scale="68" firstPageNumber="62" orientation="portrait" r:id="rId3"/>
      <headerFooter alignWithMargins="0">
        <oddFooter>&amp;L&amp;11LEL Schwäbisch Gmünd&amp;C75&amp;R&amp;11&amp;F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showInputMessage="1" showErrorMessage="1" sqref="H14 K14 N14" xr:uid="{00000000-0002-0000-2F00-000000000000}">
      <formula1>"ja,nein"</formula1>
    </dataValidation>
    <dataValidation type="list" allowBlank="1" showInputMessage="1" showErrorMessage="1" sqref="H15:H17 K15:K17 N15:N17" xr:uid="{00000000-0002-0000-2F00-000001000000}">
      <formula1>"ja,nein"</formula1>
    </dataValidation>
    <dataValidation type="decimal" allowBlank="1" showInputMessage="1" showErrorMessage="1" errorTitle="Wassergehalt Getreide" error="Zulässig sind nur Werte zwischen 14,1 und 22,0 % Wassergehalt." sqref="H68 K68 N68" xr:uid="{00000000-0002-0000-2F00-000002000000}">
      <formula1>14.1</formula1>
      <formula2>22</formula2>
    </dataValidation>
    <dataValidation type="whole" allowBlank="1" showInputMessage="1" showErrorMessage="1" errorTitle="Anteil Erntegut" error="Prozentwert darf nur zwischen 0 und 100 liegen." sqref="O68 L68 I68" xr:uid="{00000000-0002-0000-2F00-000003000000}">
      <formula1>0</formula1>
      <formula2>100</formula2>
    </dataValidation>
    <dataValidation type="list" allowBlank="1" showInputMessage="1" showErrorMessage="1" errorTitle="Organisationsabh. Ausgleichsl." error="Bitte aus Dropdownliste auswählen." sqref="D19:F19" xr:uid="{00000000-0002-0000-2F00-000004000000}">
      <formula1>$C$60:$C$75</formula1>
    </dataValidation>
  </dataValidations>
  <hyperlinks>
    <hyperlink ref="F9" location="'SDK1'!A1" display="Preis ändern" xr:uid="{00000000-0004-0000-2F00-000000000000}"/>
  </hyperlinks>
  <printOptions horizontalCentered="1"/>
  <pageMargins left="0.59055118110236227" right="0.59055118110236227" top="0.59055118110236227" bottom="0.59055118110236227" header="0.39370078740157483" footer="0.39370078740157483"/>
  <pageSetup paperSize="9" scale="68" firstPageNumber="62" orientation="portrait" r:id="rId4"/>
  <headerFooter alignWithMargins="0">
    <oddFooter>&amp;L&amp;11LEL Schwäbisch Gmünd&amp;C75&amp;R&amp;11&amp;F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F00-000005000000}">
          <x14:formula1>
            <xm:f>'SD2'!$C$11:$C$50</xm:f>
          </x14:formula1>
          <xm:sqref>C14:F17</xm:sqref>
        </x14:dataValidation>
        <x14:dataValidation type="list" allowBlank="1" showInputMessage="1" showErrorMessage="1" errorTitle="Organisationsabh. Ausgleichsl." error="Bitte aus Dropdownliste auswählen." xr:uid="{00000000-0002-0000-2F00-000006000000}">
          <x14:formula1>
            <xm:f>'SD2'!$C$60:$C$77</xm:f>
          </x14:formula1>
          <xm:sqref>C19:C21</xm:sqref>
        </x14:dataValidation>
        <x14:dataValidation type="list" allowBlank="1" showInputMessage="1" showErrorMessage="1" errorTitle="Arbeitsgänge" error="Bitte aus Dropdownliste auswählen." xr:uid="{00000000-0002-0000-2F00-000007000000}">
          <x14:formula1>
            <xm:f>'SD3'!$C$23:$C$75</xm:f>
          </x14:formula1>
          <xm:sqref>C46:D57</xm:sqref>
        </x14:dataValidation>
        <x14:dataValidation type="list" allowBlank="1" showInputMessage="1" showErrorMessage="1" errorTitle="Lohnmaschinen" error="Bitte aus Dropdownliste auswählen." xr:uid="{00000000-0002-0000-2F00-000008000000}">
          <x14:formula1>
            <xm:f>'SD3'!$C$90:$C$104</xm:f>
          </x14:formula1>
          <xm:sqref>C62:E64</xm:sqref>
        </x14:dataValidation>
        <x14:dataValidation type="list" allowBlank="1" showInputMessage="1" showErrorMessage="1" errorTitle="Pflanzenschutzmittel" error="Bitte aus Dropdownliste auswählen." xr:uid="{00000000-0002-0000-2F00-000009000000}">
          <x14:formula1>
            <xm:f>'SDK5'!$AB$214:$AB$240</xm:f>
          </x14:formula1>
          <xm:sqref>C36:E42</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1">
    <tabColor theme="3" tint="0.39997558519241921"/>
    <pageSetUpPr fitToPage="1"/>
  </sheetPr>
  <dimension ref="A1:AO218"/>
  <sheetViews>
    <sheetView workbookViewId="0">
      <selection activeCell="C54" sqref="C54:D54"/>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9" width="7.09765625" style="34" bestFit="1" customWidth="1"/>
    <col min="10" max="10" width="8.19921875" style="34" bestFit="1" customWidth="1"/>
    <col min="11" max="11" width="8" style="34" customWidth="1"/>
    <col min="12" max="12" width="7.19921875" style="34" customWidth="1"/>
    <col min="13" max="13" width="8.19921875" style="34" bestFit="1" customWidth="1"/>
    <col min="14" max="14" width="8" style="34" customWidth="1"/>
    <col min="15" max="15" width="7.19921875" style="34" customWidth="1"/>
    <col min="16" max="16" width="8.19921875" style="34" bestFit="1" customWidth="1"/>
    <col min="17" max="17" width="19.69921875" style="34" hidden="1" customWidth="1"/>
    <col min="18" max="18" width="12" style="31" hidden="1" customWidth="1"/>
    <col min="19" max="20" width="10.69921875" style="31" hidden="1" customWidth="1"/>
    <col min="21" max="21" width="0" style="31" hidden="1" customWidth="1"/>
    <col min="22" max="22" width="12.8984375" style="31" hidden="1" customWidth="1"/>
    <col min="23" max="32" width="0" style="31" hidden="1" customWidth="1"/>
    <col min="33" max="16384" width="10.5" style="31"/>
  </cols>
  <sheetData>
    <row r="1" spans="1:41" s="1317" customFormat="1" ht="30.45" customHeight="1">
      <c r="A1" s="1321"/>
      <c r="B1" s="258"/>
      <c r="C1" s="1333"/>
      <c r="D1" s="1253"/>
      <c r="E1" s="255"/>
      <c r="F1" s="255"/>
      <c r="G1" s="430"/>
      <c r="H1" s="1328"/>
      <c r="I1" s="3212" t="s">
        <v>1679</v>
      </c>
      <c r="J1" s="3210" t="e">
        <f>(J7+J13+J18+J22+I11+I12)-(J23+J27+J34+J43+J60+J65+J67+J69+J71+J75)</f>
        <v>#VALUE!</v>
      </c>
      <c r="K1" s="4360" t="e">
        <f>M1-J1</f>
        <v>#VALUE!</v>
      </c>
      <c r="L1" s="4360"/>
      <c r="M1" s="3210" t="e">
        <f>(M7+M13+M18+M22+L11+L12)-(M23+M27+M34+M43+M60+M65+M67+M69+M71+M75)</f>
        <v>#VALUE!</v>
      </c>
      <c r="N1" s="4360" t="e">
        <f>P1-M1</f>
        <v>#VALUE!</v>
      </c>
      <c r="O1" s="4360"/>
      <c r="P1" s="3210" t="e">
        <f>(P7+P13+P18+P22+O11+O12)-(P23+P27+P34+P43+P60+P65+P67+P69+P71+P75)</f>
        <v>#VALUE!</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186</v>
      </c>
      <c r="L2" s="4372"/>
      <c r="M2" s="4372"/>
      <c r="N2" s="4372"/>
      <c r="O2" s="4372"/>
      <c r="P2" s="4372"/>
      <c r="Q2" s="1345">
        <v>0</v>
      </c>
      <c r="AB2" s="3229"/>
    </row>
    <row r="3" spans="1:41" s="1317" customFormat="1" ht="32.4" customHeight="1">
      <c r="A3" s="1321"/>
      <c r="B3" s="4405" t="s">
        <v>1727</v>
      </c>
      <c r="C3" s="4405"/>
      <c r="D3" s="4405"/>
      <c r="E3" s="4405"/>
      <c r="F3" s="4405"/>
      <c r="G3" s="4405"/>
      <c r="H3" s="4405"/>
      <c r="J3" s="4368"/>
      <c r="K3" s="4369"/>
      <c r="L3" s="4369"/>
      <c r="N3" s="4373" t="str">
        <f>IF(AND(T3=TRUE,T4=TRUE),"nur 1 Strohnutzung möglich","")</f>
        <v/>
      </c>
      <c r="O3" s="4374"/>
      <c r="P3" s="1326"/>
      <c r="Q3" s="1321"/>
      <c r="T3" s="1343" t="b">
        <v>0</v>
      </c>
    </row>
    <row r="4" spans="1:41" s="1317" customFormat="1" ht="20.25" customHeight="1">
      <c r="A4" s="1321"/>
      <c r="B4" s="309" t="s">
        <v>779</v>
      </c>
      <c r="C4" s="31"/>
      <c r="D4" s="31"/>
      <c r="E4" s="4406" t="s">
        <v>913</v>
      </c>
      <c r="F4" s="4406"/>
      <c r="G4" s="4406"/>
      <c r="H4" s="4406"/>
      <c r="I4" s="4406"/>
      <c r="J4" s="4368"/>
      <c r="K4" s="4369"/>
      <c r="L4" s="4369"/>
      <c r="N4" s="4374"/>
      <c r="O4" s="4374"/>
      <c r="P4" s="1322">
        <f>'SDK1'!O3</f>
        <v>2024</v>
      </c>
      <c r="Q4" s="1321"/>
      <c r="T4" s="1343"/>
    </row>
    <row r="5" spans="1:41" ht="6" customHeight="1"/>
    <row r="6" spans="1:41" s="1311" customFormat="1" ht="24" customHeight="1">
      <c r="A6" s="41"/>
      <c r="B6" s="1316" t="s">
        <v>832</v>
      </c>
      <c r="C6" s="1315"/>
      <c r="D6" s="1315"/>
      <c r="E6" s="1315"/>
      <c r="F6" s="1315"/>
      <c r="G6" s="1314"/>
      <c r="H6" s="4366" t="s">
        <v>171</v>
      </c>
      <c r="I6" s="4367"/>
      <c r="J6" s="1313">
        <v>300</v>
      </c>
      <c r="K6" s="4379" t="s">
        <v>144</v>
      </c>
      <c r="L6" s="4380"/>
      <c r="M6" s="1313">
        <v>350</v>
      </c>
      <c r="N6" s="4366" t="s">
        <v>170</v>
      </c>
      <c r="O6" s="4367"/>
      <c r="P6" s="1312">
        <v>400</v>
      </c>
      <c r="Q6" s="49"/>
    </row>
    <row r="7" spans="1:41" s="196" customFormat="1" ht="18.75" customHeight="1">
      <c r="A7" s="40"/>
      <c r="B7" s="245" t="s">
        <v>883</v>
      </c>
      <c r="C7" s="40"/>
      <c r="D7" s="40"/>
      <c r="E7" s="40"/>
      <c r="F7" s="40"/>
      <c r="G7" s="1310"/>
      <c r="H7" s="1307"/>
      <c r="I7" s="1306"/>
      <c r="J7" s="1041" t="e">
        <f>SUM(I9:I10)</f>
        <v>#VALUE!</v>
      </c>
      <c r="K7" s="1309"/>
      <c r="L7" s="1308"/>
      <c r="M7" s="1044" t="e">
        <f>SUM(L9:L10)</f>
        <v>#VALUE!</v>
      </c>
      <c r="N7" s="1307"/>
      <c r="O7" s="1306"/>
      <c r="P7" s="1041" t="e">
        <f>SUM(O9:O10)</f>
        <v>#VALUE!</v>
      </c>
      <c r="Q7" s="34" t="s">
        <v>907</v>
      </c>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t="s">
        <v>906</v>
      </c>
    </row>
    <row r="9" spans="1:41" s="196" customFormat="1" ht="16.5" customHeight="1">
      <c r="A9" s="40"/>
      <c r="B9" s="245"/>
      <c r="C9" s="39" t="str">
        <f>IF('SDK1'!O9&gt;0,"Hauptprodukt (incl. MwSt.)","Hauptprodukt (ohne MwSt)")</f>
        <v>Hauptprodukt (ohne MwSt)</v>
      </c>
      <c r="D9" s="40"/>
      <c r="E9" s="40"/>
      <c r="F9" s="1304" t="s">
        <v>882</v>
      </c>
      <c r="G9" s="3749" t="e">
        <f>'SDK1'!O41</f>
        <v>#VALUE!</v>
      </c>
      <c r="H9" s="1303">
        <f>J6-H10</f>
        <v>300</v>
      </c>
      <c r="I9" s="1299" t="e">
        <f>H9*G9</f>
        <v>#VALUE!</v>
      </c>
      <c r="J9" s="37"/>
      <c r="K9" s="1302">
        <f>M6-K10</f>
        <v>350</v>
      </c>
      <c r="L9" s="1301" t="e">
        <f>K9*G9</f>
        <v>#VALUE!</v>
      </c>
      <c r="M9" s="1280"/>
      <c r="N9" s="1300">
        <f>P6-N10</f>
        <v>400</v>
      </c>
      <c r="O9" s="1299" t="e">
        <f>N9*G9</f>
        <v>#VALUE!</v>
      </c>
      <c r="P9" s="37"/>
      <c r="Q9" s="34" t="s">
        <v>905</v>
      </c>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t="s">
        <v>903</v>
      </c>
      <c r="R10" s="1289">
        <f>I10+I11+I12</f>
        <v>0</v>
      </c>
      <c r="S10" s="1288">
        <f>L10+L11+L12</f>
        <v>0</v>
      </c>
      <c r="T10" s="1287">
        <f>O10+O11+O12</f>
        <v>0</v>
      </c>
      <c r="W10" s="196" t="s">
        <v>879</v>
      </c>
    </row>
    <row r="11" spans="1:41" s="1268" customFormat="1" ht="15" hidden="1" customHeight="1">
      <c r="A11" s="309"/>
      <c r="B11" s="217"/>
      <c r="C11" s="39" t="s">
        <v>878</v>
      </c>
      <c r="D11" s="309"/>
      <c r="E11" s="1286">
        <v>0.5</v>
      </c>
      <c r="F11" s="39" t="s">
        <v>877</v>
      </c>
      <c r="G11" s="1285">
        <f>'SDK1'!$O$48</f>
        <v>10.7</v>
      </c>
      <c r="H11" s="3151">
        <f>IF($T$3=FALSE,0,J6*$E$11)</f>
        <v>0</v>
      </c>
      <c r="I11" s="3152">
        <f>H11*$G$11</f>
        <v>0</v>
      </c>
      <c r="J11" s="3153"/>
      <c r="K11" s="3154">
        <f>IF($T$3=FALSE,0,M6*$E$11)</f>
        <v>0</v>
      </c>
      <c r="L11" s="3155">
        <f>K11*$G$11</f>
        <v>0</v>
      </c>
      <c r="M11" s="3156"/>
      <c r="N11" s="3157">
        <f>IF($T$3=FALSE,0,P6*$E$11)</f>
        <v>0</v>
      </c>
      <c r="O11" s="3152">
        <f>N11*$G$11</f>
        <v>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4995</v>
      </c>
      <c r="K23" s="1046"/>
      <c r="L23" s="1045"/>
      <c r="M23" s="1227">
        <f>SUM(L25:L26)</f>
        <v>4995</v>
      </c>
      <c r="N23" s="1043"/>
      <c r="O23" s="1042"/>
      <c r="P23" s="1026">
        <f>SUM(O25:O26)</f>
        <v>4995</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'SDK7'!F72</f>
        <v>185</v>
      </c>
      <c r="G25" s="1221">
        <f>F25*(100+$D$24)/100</f>
        <v>185</v>
      </c>
      <c r="H25" s="1220">
        <v>27</v>
      </c>
      <c r="I25" s="1181">
        <f>H25*$G25</f>
        <v>4995</v>
      </c>
      <c r="J25" s="39"/>
      <c r="K25" s="1220">
        <f>H25</f>
        <v>27</v>
      </c>
      <c r="L25" s="1023">
        <f>K25*$G25</f>
        <v>4995</v>
      </c>
      <c r="M25" s="1016"/>
      <c r="N25" s="1220">
        <f>H25</f>
        <v>27</v>
      </c>
      <c r="O25" s="1181">
        <f>N25*$G25</f>
        <v>4995</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540.04999999999995</v>
      </c>
      <c r="K27" s="1175"/>
      <c r="L27" s="1174"/>
      <c r="M27" s="1044">
        <f>SUM(L30:L32)</f>
        <v>598.97500000000002</v>
      </c>
      <c r="N27" s="1173"/>
      <c r="O27" s="1172"/>
      <c r="P27" s="1041">
        <f>SUM(O30:O32)</f>
        <v>657.9</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902</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0.35</v>
      </c>
      <c r="F30" s="1201">
        <f>VLOOKUP(K2,'SD8'!B9:L42,7,FALSE)</f>
        <v>0.20000000000000007</v>
      </c>
      <c r="G30" s="1200">
        <v>70</v>
      </c>
      <c r="H30" s="1198">
        <f>IF(J$6=0,0,(J$6*$E30+$G30+X14))</f>
        <v>175</v>
      </c>
      <c r="I30" s="1181">
        <f>H30*$D30</f>
        <v>208.25</v>
      </c>
      <c r="J30" s="39"/>
      <c r="K30" s="1199">
        <f>IF(M$6=0,0,(M$6*$E30+$G30+Y14))</f>
        <v>192.5</v>
      </c>
      <c r="L30" s="1023">
        <f>K30*$D30</f>
        <v>229.07499999999999</v>
      </c>
      <c r="M30" s="1016"/>
      <c r="N30" s="1198">
        <f>IF(P$6=0,0,(P$6*$E30+$G30+Z14))</f>
        <v>210</v>
      </c>
      <c r="O30" s="1181">
        <f>N30*$D30</f>
        <v>249.89999999999998</v>
      </c>
      <c r="P30" s="1145"/>
      <c r="Q30" s="34"/>
    </row>
    <row r="31" spans="1:26" s="36" customFormat="1" ht="15" customHeight="1">
      <c r="A31" s="746"/>
      <c r="B31" s="217"/>
      <c r="C31" s="746" t="s">
        <v>234</v>
      </c>
      <c r="D31" s="1150">
        <f>'SDK1'!O53</f>
        <v>1.2</v>
      </c>
      <c r="E31" s="1201">
        <f>VLOOKUP(K2,'SD8'!B9:L42,4,FALSE)</f>
        <v>0.14000000000000001</v>
      </c>
      <c r="F31" s="1201">
        <f>VLOOKUP(K2,'SD8'!B9:L42,8,FALSE)</f>
        <v>9.9999999999999811E-3</v>
      </c>
      <c r="G31" s="1200">
        <v>20</v>
      </c>
      <c r="H31" s="1198">
        <f>IF(J$6=0,0,(J$6*$E31+$G31+X15))</f>
        <v>62.000000000000007</v>
      </c>
      <c r="I31" s="1181">
        <f>H31*$D31</f>
        <v>74.400000000000006</v>
      </c>
      <c r="J31" s="39"/>
      <c r="K31" s="1199">
        <f>IF(M$6=0,0,(M$6*$E31+$G31+Y15))</f>
        <v>69</v>
      </c>
      <c r="L31" s="1023">
        <f>K31*$D31</f>
        <v>82.8</v>
      </c>
      <c r="M31" s="1016"/>
      <c r="N31" s="1198">
        <f>IF(P$6=0,0,(P$6*$E31+$G31+Z15))</f>
        <v>76</v>
      </c>
      <c r="O31" s="1181">
        <f>N31*$D31</f>
        <v>91.2</v>
      </c>
      <c r="P31" s="1145"/>
      <c r="Q31" s="34"/>
    </row>
    <row r="32" spans="1:26" s="36" customFormat="1" ht="15" customHeight="1">
      <c r="A32" s="746"/>
      <c r="B32" s="185"/>
      <c r="C32" s="2791" t="s">
        <v>232</v>
      </c>
      <c r="D32" s="1133">
        <f>'SDK1'!O54</f>
        <v>0.99</v>
      </c>
      <c r="E32" s="1197">
        <f>VLOOKUP(K2,'SD8'!B9:L42,5,FALSE)</f>
        <v>0.6</v>
      </c>
      <c r="F32" s="1197">
        <f>VLOOKUP(K2,'SD8'!B9:L42,9,FALSE)</f>
        <v>0</v>
      </c>
      <c r="G32" s="1196">
        <v>80</v>
      </c>
      <c r="H32" s="1194">
        <f>IF(J$6=0,0,(J$6*$E32+$G32+X16))</f>
        <v>260</v>
      </c>
      <c r="I32" s="1177">
        <f>H32*$D32</f>
        <v>257.39999999999998</v>
      </c>
      <c r="J32" s="223"/>
      <c r="K32" s="1195">
        <f>IF(M$6=0,0,(M$6*$E32+$G32+Y16))</f>
        <v>290</v>
      </c>
      <c r="L32" s="1017">
        <f>K32*$D32</f>
        <v>287.10000000000002</v>
      </c>
      <c r="M32" s="1256"/>
      <c r="N32" s="1194">
        <f>IF(P$6=0,0,(P$6*$E32+$G32+Z16))</f>
        <v>320</v>
      </c>
      <c r="O32" s="1177">
        <f>N32*$D32</f>
        <v>316.8</v>
      </c>
      <c r="P32" s="1176"/>
      <c r="Q32" s="34"/>
    </row>
    <row r="33" spans="1:17" s="36" customFormat="1" ht="15" hidden="1" customHeight="1">
      <c r="A33" s="746"/>
      <c r="B33" s="185"/>
      <c r="C33" s="771" t="s">
        <v>230</v>
      </c>
      <c r="D33" s="1133">
        <f>'SDK1'!P55</f>
        <v>0.45</v>
      </c>
      <c r="E33" s="1197">
        <f>VLOOKUP(K2,'SD8'!B9:L42,6,FALSE)</f>
        <v>0.04</v>
      </c>
      <c r="F33" s="1197">
        <f>VLOOKUP(K2,'SD8'!B9:L42,10,FALSE)</f>
        <v>0</v>
      </c>
      <c r="G33" s="1196"/>
      <c r="H33" s="1194">
        <f>IF(J$6=0,0,(J$6*$E33+$G33+X17))</f>
        <v>12</v>
      </c>
      <c r="I33" s="1177">
        <f>H33*$D33</f>
        <v>5.4</v>
      </c>
      <c r="J33" s="39"/>
      <c r="K33" s="1195">
        <f>IF(M$6=0,0,(M$6*$E33+$G33+Y17))</f>
        <v>14</v>
      </c>
      <c r="L33" s="1017">
        <f>K33*$D33</f>
        <v>6.3</v>
      </c>
      <c r="M33" s="1016"/>
      <c r="N33" s="1194">
        <f>IF(P$6=0,0,(P$6*$E33+$G33+Z17))</f>
        <v>16</v>
      </c>
      <c r="O33" s="1177">
        <f>N33*$D33</f>
        <v>7.2</v>
      </c>
      <c r="P33" s="1176"/>
      <c r="Q33" s="34"/>
    </row>
    <row r="34" spans="1:17" s="511" customFormat="1" ht="18.75" customHeight="1">
      <c r="A34" s="711"/>
      <c r="B34" s="716" t="s">
        <v>859</v>
      </c>
      <c r="C34" s="711"/>
      <c r="D34" s="33"/>
      <c r="E34" s="33"/>
      <c r="F34" s="4381" t="s">
        <v>858</v>
      </c>
      <c r="G34" s="4382"/>
      <c r="H34" s="1191"/>
      <c r="I34" s="1190"/>
      <c r="J34" s="1041">
        <f>SUM(I36:I42)</f>
        <v>439.48399999999998</v>
      </c>
      <c r="K34" s="1193"/>
      <c r="L34" s="1192"/>
      <c r="M34" s="1044">
        <f>SUM(L36:L42)</f>
        <v>439.48399999999998</v>
      </c>
      <c r="N34" s="1191"/>
      <c r="O34" s="1190"/>
      <c r="P34" s="1041">
        <f>SUM(O36:O42)</f>
        <v>439.48399999999998</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539</v>
      </c>
      <c r="D36" s="4389"/>
      <c r="E36" s="4390"/>
      <c r="F36" s="1183">
        <f>IF(C36="",0,VLOOKUP(C36,'SDK5'!C3:AF83,2,FALSE))</f>
        <v>29</v>
      </c>
      <c r="G36" s="1183">
        <f t="shared" ref="G36:G42" si="0">F36*(100+$D$35)/100</f>
        <v>29</v>
      </c>
      <c r="H36" s="1182">
        <v>3</v>
      </c>
      <c r="I36" s="1181">
        <f t="shared" ref="I36:I42" si="1">$G36*H36</f>
        <v>87</v>
      </c>
      <c r="J36" s="39"/>
      <c r="K36" s="1182">
        <v>3</v>
      </c>
      <c r="L36" s="1023">
        <f t="shared" ref="L36:L42" si="2">$G36*K36</f>
        <v>87</v>
      </c>
      <c r="M36" s="1016"/>
      <c r="N36" s="1182">
        <v>3</v>
      </c>
      <c r="O36" s="1181">
        <f t="shared" ref="O36:O42" si="3">$G36*N36</f>
        <v>87</v>
      </c>
      <c r="P36" s="1185"/>
      <c r="Q36" s="34"/>
    </row>
    <row r="37" spans="1:17" s="36" customFormat="1" ht="15" customHeight="1">
      <c r="A37" s="746"/>
      <c r="B37" s="1021"/>
      <c r="C37" s="4375" t="s">
        <v>1733</v>
      </c>
      <c r="D37" s="4375"/>
      <c r="E37" s="4376"/>
      <c r="F37" s="1183">
        <f>IF(C37="",0,VLOOKUP(C37,'SDK5'!C4:AF84,2,FALSE))</f>
        <v>35.1</v>
      </c>
      <c r="G37" s="1183">
        <f t="shared" si="0"/>
        <v>35.1</v>
      </c>
      <c r="H37" s="1182">
        <v>2</v>
      </c>
      <c r="I37" s="1181">
        <f t="shared" si="1"/>
        <v>70.2</v>
      </c>
      <c r="J37" s="39"/>
      <c r="K37" s="1182">
        <v>2</v>
      </c>
      <c r="L37" s="1023">
        <f t="shared" si="2"/>
        <v>70.2</v>
      </c>
      <c r="M37" s="1016"/>
      <c r="N37" s="1182">
        <v>2</v>
      </c>
      <c r="O37" s="1181">
        <f t="shared" si="3"/>
        <v>70.2</v>
      </c>
      <c r="P37" s="1145"/>
      <c r="Q37" s="34"/>
    </row>
    <row r="38" spans="1:17" s="36" customFormat="1" ht="15" customHeight="1">
      <c r="A38" s="746"/>
      <c r="B38" s="1184"/>
      <c r="C38" s="4375" t="s">
        <v>311</v>
      </c>
      <c r="D38" s="4375"/>
      <c r="E38" s="4376"/>
      <c r="F38" s="1183">
        <f>IF(C38="",0,VLOOKUP(C38,'SDK5'!C5:AF85,2,FALSE))</f>
        <v>0</v>
      </c>
      <c r="G38" s="1183">
        <f t="shared" si="0"/>
        <v>0</v>
      </c>
      <c r="H38" s="1182"/>
      <c r="I38" s="1181">
        <f t="shared" si="1"/>
        <v>0</v>
      </c>
      <c r="J38" s="39"/>
      <c r="K38" s="1182"/>
      <c r="L38" s="1023">
        <f t="shared" si="2"/>
        <v>0</v>
      </c>
      <c r="M38" s="1016"/>
      <c r="N38" s="1182"/>
      <c r="O38" s="1181">
        <f t="shared" si="3"/>
        <v>0</v>
      </c>
      <c r="P38" s="1145"/>
      <c r="Q38" s="34"/>
    </row>
    <row r="39" spans="1:17" s="36" customFormat="1" ht="15" customHeight="1">
      <c r="A39" s="746"/>
      <c r="B39" s="1021"/>
      <c r="C39" s="4375" t="s">
        <v>495</v>
      </c>
      <c r="D39" s="4375"/>
      <c r="E39" s="4376"/>
      <c r="F39" s="1183">
        <f>IF(C39="",0,VLOOKUP(C39,'SDK5'!C6:AF86,2,FALSE))</f>
        <v>58.6</v>
      </c>
      <c r="G39" s="1183">
        <f t="shared" si="0"/>
        <v>58.6</v>
      </c>
      <c r="H39" s="1182">
        <v>0.6</v>
      </c>
      <c r="I39" s="1181">
        <f t="shared" si="1"/>
        <v>35.159999999999997</v>
      </c>
      <c r="J39" s="39"/>
      <c r="K39" s="1182">
        <v>0.6</v>
      </c>
      <c r="L39" s="1023">
        <f t="shared" si="2"/>
        <v>35.159999999999997</v>
      </c>
      <c r="M39" s="1016"/>
      <c r="N39" s="1182">
        <v>0.6</v>
      </c>
      <c r="O39" s="1181">
        <f t="shared" si="3"/>
        <v>35.159999999999997</v>
      </c>
      <c r="P39" s="1145"/>
      <c r="Q39" s="34"/>
    </row>
    <row r="40" spans="1:17" s="36" customFormat="1" ht="15" customHeight="1">
      <c r="A40" s="746"/>
      <c r="B40" s="1021"/>
      <c r="C40" s="4375" t="s">
        <v>488</v>
      </c>
      <c r="D40" s="4375"/>
      <c r="E40" s="4376"/>
      <c r="F40" s="1183">
        <f>IF(C40="",0,VLOOKUP(C40,'SDK5'!C7:AF87,2,FALSE))</f>
        <v>44.2</v>
      </c>
      <c r="G40" s="1183">
        <f t="shared" si="0"/>
        <v>44.2</v>
      </c>
      <c r="H40" s="1182">
        <v>1.2</v>
      </c>
      <c r="I40" s="1181">
        <f t="shared" si="1"/>
        <v>53.04</v>
      </c>
      <c r="J40" s="39"/>
      <c r="K40" s="1182">
        <v>1.2</v>
      </c>
      <c r="L40" s="1023">
        <f t="shared" si="2"/>
        <v>53.04</v>
      </c>
      <c r="M40" s="1016"/>
      <c r="N40" s="1182">
        <v>1.2</v>
      </c>
      <c r="O40" s="1181">
        <f t="shared" si="3"/>
        <v>53.04</v>
      </c>
      <c r="P40" s="1145"/>
      <c r="Q40" s="34"/>
    </row>
    <row r="41" spans="1:17" s="36" customFormat="1" ht="15" customHeight="1">
      <c r="A41" s="746"/>
      <c r="B41" s="1021"/>
      <c r="C41" s="4375" t="s">
        <v>524</v>
      </c>
      <c r="D41" s="4375"/>
      <c r="E41" s="4376"/>
      <c r="F41" s="1183">
        <f>IF(C41="",0,VLOOKUP(C41,'SDK5'!C8:AF88,2,FALSE))</f>
        <v>376.4</v>
      </c>
      <c r="G41" s="1183">
        <f t="shared" si="0"/>
        <v>376.4</v>
      </c>
      <c r="H41" s="1182">
        <v>0.06</v>
      </c>
      <c r="I41" s="1181">
        <f t="shared" si="1"/>
        <v>22.583999999999996</v>
      </c>
      <c r="J41" s="39"/>
      <c r="K41" s="1182">
        <v>0.06</v>
      </c>
      <c r="L41" s="1023">
        <f t="shared" si="2"/>
        <v>22.583999999999996</v>
      </c>
      <c r="M41" s="1016"/>
      <c r="N41" s="1182">
        <v>0.06</v>
      </c>
      <c r="O41" s="1181">
        <f t="shared" si="3"/>
        <v>22.583999999999996</v>
      </c>
      <c r="P41" s="1145"/>
      <c r="Q41" s="34"/>
    </row>
    <row r="42" spans="1:17" s="36" customFormat="1" ht="15" customHeight="1">
      <c r="A42" s="746"/>
      <c r="B42" s="1180"/>
      <c r="C42" s="4361" t="s">
        <v>527</v>
      </c>
      <c r="D42" s="4361"/>
      <c r="E42" s="4362"/>
      <c r="F42" s="1179">
        <f>IF(C42="",0,VLOOKUP(C42,'SDK5'!C9:AF89,2,FALSE))</f>
        <v>171.5</v>
      </c>
      <c r="G42" s="1179">
        <f t="shared" si="0"/>
        <v>171.5</v>
      </c>
      <c r="H42" s="1178">
        <v>1</v>
      </c>
      <c r="I42" s="1177">
        <f t="shared" si="1"/>
        <v>171.5</v>
      </c>
      <c r="J42" s="39"/>
      <c r="K42" s="1178">
        <v>1</v>
      </c>
      <c r="L42" s="1017">
        <f t="shared" si="2"/>
        <v>171.5</v>
      </c>
      <c r="M42" s="1016"/>
      <c r="N42" s="1178">
        <v>1</v>
      </c>
      <c r="O42" s="1177">
        <f t="shared" si="3"/>
        <v>171.5</v>
      </c>
      <c r="P42" s="1176"/>
      <c r="Q42" s="34"/>
    </row>
    <row r="43" spans="1:17" s="511" customFormat="1" ht="18.75" customHeight="1">
      <c r="A43" s="711"/>
      <c r="B43" s="716" t="s">
        <v>856</v>
      </c>
      <c r="C43" s="711"/>
      <c r="D43" s="711"/>
      <c r="E43" s="711"/>
      <c r="F43" s="711"/>
      <c r="G43" s="1047"/>
      <c r="H43" s="1173"/>
      <c r="I43" s="1172"/>
      <c r="J43" s="1041">
        <f>SUM(J46:J57)</f>
        <v>914.7393224857143</v>
      </c>
      <c r="K43" s="1175"/>
      <c r="L43" s="1174"/>
      <c r="M43" s="1044">
        <f>SUM(M46:M57)</f>
        <v>937.74534093999989</v>
      </c>
      <c r="N43" s="1173"/>
      <c r="O43" s="1172"/>
      <c r="P43" s="1041">
        <f>SUM(P46:P57)</f>
        <v>974.03742991428567</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55">
        <v>1</v>
      </c>
      <c r="I46" s="1154">
        <f t="shared" ref="I46:I57" si="4">$F46*H46</f>
        <v>1.38</v>
      </c>
      <c r="J46" s="1145">
        <f t="shared" ref="J46:J57" si="5">H46*$G46</f>
        <v>64.642445999999993</v>
      </c>
      <c r="K46" s="1155">
        <v>1</v>
      </c>
      <c r="L46" s="1156">
        <f t="shared" ref="L46:L57" si="6">$F46*K46</f>
        <v>1.38</v>
      </c>
      <c r="M46" s="1148">
        <f t="shared" ref="M46:M57" si="7">K46*$G46</f>
        <v>64.642445999999993</v>
      </c>
      <c r="N46" s="1155">
        <v>1</v>
      </c>
      <c r="O46" s="1154">
        <f t="shared" ref="O46:O57" si="8">$F46*N46</f>
        <v>1.38</v>
      </c>
      <c r="P46" s="1145">
        <f t="shared" ref="P46:P57" si="9">N46*$G46</f>
        <v>64.642445999999993</v>
      </c>
      <c r="Q46" s="34">
        <f>$Q$2*H46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320</v>
      </c>
      <c r="D48" s="4388"/>
      <c r="E48" s="1152">
        <f>IF($C48=0,0,VLOOKUP($C48,'SD3'!$C$24:$O$85,4,FALSE))</f>
        <v>83</v>
      </c>
      <c r="F48" s="1151">
        <f>IF($C48=0,0,VLOOKUP($C48,'SD3'!$C$24:$O$85,12,FALSE))</f>
        <v>1.1399999999999999</v>
      </c>
      <c r="G48" s="1150">
        <f>IF($C48=0,0,VLOOKUP($C48,'SD3'!$C$24:$O$85,13,FALSE))</f>
        <v>33.95027361999999</v>
      </c>
      <c r="H48" s="1147">
        <v>1</v>
      </c>
      <c r="I48" s="1146">
        <f t="shared" si="4"/>
        <v>1.1399999999999999</v>
      </c>
      <c r="J48" s="1145">
        <f t="shared" si="5"/>
        <v>33.95027361999999</v>
      </c>
      <c r="K48" s="1147">
        <v>1</v>
      </c>
      <c r="L48" s="1149">
        <f t="shared" si="6"/>
        <v>1.1399999999999999</v>
      </c>
      <c r="M48" s="1148">
        <f t="shared" si="7"/>
        <v>33.95027361999999</v>
      </c>
      <c r="N48" s="1147">
        <v>1</v>
      </c>
      <c r="O48" s="1146">
        <f t="shared" si="8"/>
        <v>1.1399999999999999</v>
      </c>
      <c r="P48" s="1145">
        <f t="shared" si="9"/>
        <v>33.95027361999999</v>
      </c>
      <c r="Q48" s="34"/>
    </row>
    <row r="49" spans="1:17" s="36" customFormat="1" ht="15" customHeight="1">
      <c r="A49" s="746"/>
      <c r="B49" s="1153"/>
      <c r="C49" s="4387" t="s">
        <v>319</v>
      </c>
      <c r="D49" s="4388"/>
      <c r="E49" s="1152">
        <f>IF($C49=0,0,VLOOKUP($C49,'SD3'!$C$24:$O$85,4,FALSE))</f>
        <v>54</v>
      </c>
      <c r="F49" s="1151">
        <f>IF($C49=0,0,VLOOKUP($C49,'SD3'!$C$24:$O$85,12,FALSE))</f>
        <v>0.71</v>
      </c>
      <c r="G49" s="1150">
        <f>IF($C49=0,0,VLOOKUP($C49,'SD3'!$C$24:$O$85,13,FALSE))</f>
        <v>14.3322471</v>
      </c>
      <c r="H49" s="1147">
        <v>1</v>
      </c>
      <c r="I49" s="1146">
        <f t="shared" si="4"/>
        <v>0.71</v>
      </c>
      <c r="J49" s="1145">
        <f t="shared" si="5"/>
        <v>14.3322471</v>
      </c>
      <c r="K49" s="1147">
        <v>1</v>
      </c>
      <c r="L49" s="1149">
        <f t="shared" si="6"/>
        <v>0.71</v>
      </c>
      <c r="M49" s="1148">
        <f t="shared" si="7"/>
        <v>14.3322471</v>
      </c>
      <c r="N49" s="1147">
        <v>1</v>
      </c>
      <c r="O49" s="1146">
        <f t="shared" si="8"/>
        <v>0.71</v>
      </c>
      <c r="P49" s="1145">
        <f t="shared" si="9"/>
        <v>14.3322471</v>
      </c>
      <c r="Q49" s="34"/>
    </row>
    <row r="50" spans="1:17" s="36" customFormat="1" ht="15" customHeight="1">
      <c r="A50" s="746"/>
      <c r="B50" s="1153"/>
      <c r="C50" s="4387" t="s">
        <v>306</v>
      </c>
      <c r="D50" s="4388"/>
      <c r="E50" s="1152">
        <f>IF($C50=0,0,VLOOKUP($C50,'SD3'!$C$24:$O$85,4,FALSE))</f>
        <v>54</v>
      </c>
      <c r="F50" s="1151">
        <f>IF($C50=0,0,VLOOKUP($C50,'SD3'!$C$24:$O$85,12,FALSE))</f>
        <v>1.1100000000000001</v>
      </c>
      <c r="G50" s="1150">
        <f>IF($C50=0,0,VLOOKUP($C50,'SD3'!$C$24:$O$85,13,FALSE))</f>
        <v>16.089851100000001</v>
      </c>
      <c r="H50" s="1147">
        <v>1</v>
      </c>
      <c r="I50" s="1146">
        <f t="shared" si="4"/>
        <v>1.1100000000000001</v>
      </c>
      <c r="J50" s="1145">
        <f t="shared" si="5"/>
        <v>16.089851100000001</v>
      </c>
      <c r="K50" s="1147">
        <v>1</v>
      </c>
      <c r="L50" s="1149">
        <f t="shared" si="6"/>
        <v>1.1100000000000001</v>
      </c>
      <c r="M50" s="1148">
        <f t="shared" si="7"/>
        <v>16.089851100000001</v>
      </c>
      <c r="N50" s="1147">
        <v>1</v>
      </c>
      <c r="O50" s="1146">
        <f t="shared" si="8"/>
        <v>1.1100000000000001</v>
      </c>
      <c r="P50" s="1145">
        <f t="shared" si="9"/>
        <v>16.089851100000001</v>
      </c>
      <c r="Q50" s="34"/>
    </row>
    <row r="51" spans="1:17" s="36" customFormat="1" ht="15" customHeight="1">
      <c r="A51" s="746"/>
      <c r="B51" s="1153"/>
      <c r="C51" s="4387" t="s">
        <v>307</v>
      </c>
      <c r="D51" s="4388"/>
      <c r="E51" s="1152">
        <f>IF($C51=0,0,VLOOKUP($C51,'SD3'!$C$24:$O$85,4,FALSE))</f>
        <v>54</v>
      </c>
      <c r="F51" s="1151">
        <f>IF($C51=0,0,VLOOKUP($C51,'SD3'!$C$24:$O$85,12,FALSE))</f>
        <v>17</v>
      </c>
      <c r="G51" s="1150">
        <f>IF($C51=0,0,VLOOKUP($C51,'SD3'!$C$24:$O$85,13,FALSE))</f>
        <v>181.91371899999999</v>
      </c>
      <c r="H51" s="1147">
        <v>1</v>
      </c>
      <c r="I51" s="1146">
        <f t="shared" si="4"/>
        <v>17</v>
      </c>
      <c r="J51" s="1145">
        <f t="shared" si="5"/>
        <v>181.91371899999999</v>
      </c>
      <c r="K51" s="1147">
        <v>1</v>
      </c>
      <c r="L51" s="1149">
        <f t="shared" si="6"/>
        <v>17</v>
      </c>
      <c r="M51" s="1148">
        <f t="shared" si="7"/>
        <v>181.91371899999999</v>
      </c>
      <c r="N51" s="1147">
        <v>1</v>
      </c>
      <c r="O51" s="1146">
        <f t="shared" si="8"/>
        <v>17</v>
      </c>
      <c r="P51" s="1145">
        <f t="shared" si="9"/>
        <v>181.91371899999999</v>
      </c>
      <c r="Q51" s="34"/>
    </row>
    <row r="52" spans="1:17" s="36" customFormat="1" ht="15" customHeight="1">
      <c r="A52" s="746"/>
      <c r="B52" s="1153"/>
      <c r="C52" s="4387" t="s">
        <v>346</v>
      </c>
      <c r="D52" s="4388"/>
      <c r="E52" s="1152">
        <f>IF($C52=0,0,VLOOKUP($C52,'SD3'!$C$24:$O$85,4,FALSE))</f>
        <v>83</v>
      </c>
      <c r="F52" s="1151">
        <f>IF($C52=0,0,VLOOKUP($C52,'SD3'!$C$24:$O$85,12,FALSE))</f>
        <v>0.16</v>
      </c>
      <c r="G52" s="1150">
        <f>IF($C52=0,0,VLOOKUP($C52,'SD3'!$C$24:$O$85,13,FALSE))</f>
        <v>3.7403892799999996</v>
      </c>
      <c r="H52" s="1147">
        <v>2</v>
      </c>
      <c r="I52" s="1146">
        <f t="shared" si="4"/>
        <v>0.32</v>
      </c>
      <c r="J52" s="1145">
        <f t="shared" si="5"/>
        <v>7.4807785599999992</v>
      </c>
      <c r="K52" s="1147">
        <v>2</v>
      </c>
      <c r="L52" s="1149">
        <f t="shared" si="6"/>
        <v>0.32</v>
      </c>
      <c r="M52" s="1148">
        <f t="shared" si="7"/>
        <v>7.4807785599999992</v>
      </c>
      <c r="N52" s="1147">
        <v>2</v>
      </c>
      <c r="O52" s="1146">
        <f t="shared" si="8"/>
        <v>0.32</v>
      </c>
      <c r="P52" s="1145">
        <f t="shared" si="9"/>
        <v>7.4807785599999992</v>
      </c>
      <c r="Q52" s="34"/>
    </row>
    <row r="53" spans="1:17" s="36" customFormat="1" ht="15" customHeight="1">
      <c r="A53" s="746"/>
      <c r="B53" s="1153"/>
      <c r="C53" s="4387" t="s">
        <v>1591</v>
      </c>
      <c r="D53" s="4388"/>
      <c r="E53" s="1152">
        <f>IF($C53=0,0,VLOOKUP($C53,'SD3'!$C$24:$O$85,4,FALSE))</f>
        <v>83</v>
      </c>
      <c r="F53" s="1151">
        <f>IF($C53=0,0,VLOOKUP($C53,'SD3'!$C$24:$O$85,12,FALSE))</f>
        <v>0.22</v>
      </c>
      <c r="G53" s="1150">
        <f>IF($C53=0,0,VLOOKUP($C53,'SD3'!$C$24:$O$85,13,FALSE))</f>
        <v>6.6430352599999996</v>
      </c>
      <c r="H53" s="1147">
        <v>7</v>
      </c>
      <c r="I53" s="1146">
        <f t="shared" si="4"/>
        <v>1.54</v>
      </c>
      <c r="J53" s="1145">
        <f t="shared" si="5"/>
        <v>46.501246819999999</v>
      </c>
      <c r="K53" s="1147">
        <v>6</v>
      </c>
      <c r="L53" s="1149">
        <f t="shared" si="6"/>
        <v>1.32</v>
      </c>
      <c r="M53" s="1148">
        <f t="shared" si="7"/>
        <v>39.858211560000001</v>
      </c>
      <c r="N53" s="1147">
        <v>7</v>
      </c>
      <c r="O53" s="1146">
        <f t="shared" si="8"/>
        <v>1.54</v>
      </c>
      <c r="P53" s="1145">
        <f t="shared" si="9"/>
        <v>46.501246819999999</v>
      </c>
      <c r="Q53" s="34"/>
    </row>
    <row r="54" spans="1:17" s="36" customFormat="1" ht="15" customHeight="1">
      <c r="A54" s="746"/>
      <c r="B54" s="1153"/>
      <c r="C54" s="4403" t="s">
        <v>310</v>
      </c>
      <c r="D54" s="4404"/>
      <c r="E54" s="1152">
        <f>IF($C54=0,0,VLOOKUP($C54,'SD3'!$C$24:$O$85,4,FALSE))</f>
        <v>120</v>
      </c>
      <c r="F54" s="1151">
        <f>IF($C54=0,0,VLOOKUP($C54,'SD3'!$C$24:$O$85,12,FALSE))</f>
        <v>1.68</v>
      </c>
      <c r="G54" s="1150">
        <f>IF($C54=0,0,VLOOKUP($C54,'SD3'!$C$24:$O$85,13,FALSE))</f>
        <v>62.263012799999998</v>
      </c>
      <c r="H54" s="3654">
        <f>H9/10/10.5</f>
        <v>2.8571428571428572</v>
      </c>
      <c r="I54" s="1146">
        <f t="shared" si="4"/>
        <v>4.8</v>
      </c>
      <c r="J54" s="1145">
        <f t="shared" si="5"/>
        <v>177.89432228571428</v>
      </c>
      <c r="K54" s="3654">
        <f>K9/10/10.5</f>
        <v>3.3333333333333335</v>
      </c>
      <c r="L54" s="1149">
        <f t="shared" si="6"/>
        <v>5.6</v>
      </c>
      <c r="M54" s="1148">
        <f t="shared" si="7"/>
        <v>207.54337599999999</v>
      </c>
      <c r="N54" s="3654">
        <f>N9/10/10.5</f>
        <v>3.8095238095238093</v>
      </c>
      <c r="O54" s="1146">
        <f t="shared" si="8"/>
        <v>6.3999999999999995</v>
      </c>
      <c r="P54" s="1145">
        <f t="shared" si="9"/>
        <v>237.19242971428571</v>
      </c>
      <c r="Q54" s="34"/>
    </row>
    <row r="55" spans="1:17" s="36" customFormat="1" ht="15" customHeight="1">
      <c r="A55" s="746"/>
      <c r="B55" s="1153"/>
      <c r="C55" s="4387" t="s">
        <v>1670</v>
      </c>
      <c r="D55" s="4388"/>
      <c r="E55" s="1152">
        <f>IF($C55=0,0,VLOOKUP($C55,'SD3'!$C$24:$O$85,4,FALSE))</f>
        <v>0</v>
      </c>
      <c r="F55" s="1151">
        <f>IF($C55=0,0,VLOOKUP($C55,'SD3'!$C$24:$O$85,12,FALSE))</f>
        <v>13.75</v>
      </c>
      <c r="G55" s="1150">
        <f>IF($C55=0,0,VLOOKUP($C55,'SD3'!$C$24:$O$85,13,FALSE))</f>
        <v>341.27499999999998</v>
      </c>
      <c r="H55" s="1147">
        <v>1</v>
      </c>
      <c r="I55" s="1146">
        <f t="shared" si="4"/>
        <v>13.75</v>
      </c>
      <c r="J55" s="1145">
        <f t="shared" si="5"/>
        <v>341.27499999999998</v>
      </c>
      <c r="K55" s="1147">
        <v>1</v>
      </c>
      <c r="L55" s="1149">
        <f t="shared" si="6"/>
        <v>13.75</v>
      </c>
      <c r="M55" s="1148">
        <f t="shared" si="7"/>
        <v>341.27499999999998</v>
      </c>
      <c r="N55" s="1147">
        <v>1</v>
      </c>
      <c r="O55" s="1146">
        <f t="shared" si="8"/>
        <v>13.75</v>
      </c>
      <c r="P55" s="1145">
        <f t="shared" si="9"/>
        <v>341.27499999999998</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c r="D57" s="4402"/>
      <c r="E57" s="1135">
        <f>IF($C57=0,0,VLOOKUP($C57,'SD3'!$C$24:$O$85,4,FALSE))</f>
        <v>0</v>
      </c>
      <c r="F57" s="1134">
        <f>IF($C57=0,0,VLOOKUP($C57,'SD3'!$C$24:$O$85,12,FALSE))</f>
        <v>0</v>
      </c>
      <c r="G57" s="1133">
        <f>IF($C57=0,0,VLOOKUP($C57,'SD3'!$C$24:$O$85,13,FALSE))</f>
        <v>0</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row>
    <row r="58" spans="1:17" s="46" customFormat="1" ht="18.75" customHeight="1">
      <c r="A58" s="811"/>
      <c r="B58" s="716" t="s">
        <v>848</v>
      </c>
      <c r="C58" s="811"/>
      <c r="D58" s="811"/>
      <c r="E58" s="811"/>
      <c r="F58" s="34"/>
      <c r="G58" s="1047"/>
      <c r="H58" s="1124"/>
      <c r="I58" s="1123">
        <f>SUM($I$46:$I$57)</f>
        <v>42.46</v>
      </c>
      <c r="J58" s="1128"/>
      <c r="K58" s="1127"/>
      <c r="L58" s="1126">
        <f>SUM($L$46:$L$57)</f>
        <v>43.04</v>
      </c>
      <c r="M58" s="1125"/>
      <c r="N58" s="1124"/>
      <c r="O58" s="1123">
        <f>SUM($O$46:$O$57)</f>
        <v>44.06</v>
      </c>
      <c r="P58" s="1122"/>
      <c r="Q58" s="34"/>
    </row>
    <row r="59" spans="1:17" s="46" customFormat="1" ht="15" customHeight="1">
      <c r="A59" s="811"/>
      <c r="B59" s="1121"/>
      <c r="C59" s="285"/>
      <c r="D59" s="222" t="s">
        <v>847</v>
      </c>
      <c r="E59" s="1120">
        <v>80</v>
      </c>
      <c r="F59" s="285" t="s">
        <v>846</v>
      </c>
      <c r="G59" s="1119"/>
      <c r="H59" s="1115"/>
      <c r="I59" s="1114">
        <f>IF(I58+SUM($I$46:$I$57)*$E$59%&gt;I58+10,I58+10,I58+SUM($I$46:$I$57)*$E$59%)</f>
        <v>52.46</v>
      </c>
      <c r="J59" s="1113"/>
      <c r="K59" s="1118"/>
      <c r="L59" s="1117">
        <f>IF(L58+SUM($L$46:$L$57)*$E$59%&gt;L58+10,L58+10,L58+SUM($L$46:$L$57)*$E$59%)</f>
        <v>53.04</v>
      </c>
      <c r="M59" s="1116"/>
      <c r="N59" s="1115"/>
      <c r="O59" s="1114">
        <f>IF(O58+SUM($O$46:$O$57)*$E$59%&gt;O58+10,O58+10,O58+SUM($O$46:$O$57)*$E$59%)</f>
        <v>54.06</v>
      </c>
      <c r="P59" s="1113"/>
      <c r="Q59" s="34"/>
    </row>
    <row r="60" spans="1:17" s="36" customFormat="1" ht="18.75" customHeight="1">
      <c r="A60" s="746"/>
      <c r="B60" s="716" t="s">
        <v>845</v>
      </c>
      <c r="C60" s="811"/>
      <c r="D60" s="811"/>
      <c r="E60" s="39"/>
      <c r="F60" s="39"/>
      <c r="G60" s="1112"/>
      <c r="H60" s="1104"/>
      <c r="I60" s="1103"/>
      <c r="J60" s="1111">
        <f>IF(J6=0,0,SUM(I62:I64))</f>
        <v>2600</v>
      </c>
      <c r="K60" s="1107"/>
      <c r="L60" s="1106"/>
      <c r="M60" s="1044">
        <f>IF(M6=0,0,SUM(L62:L64))</f>
        <v>2600</v>
      </c>
      <c r="N60" s="1104"/>
      <c r="O60" s="1103"/>
      <c r="P60" s="1111">
        <f>IF(P6=0,0,SUM(O62:O64))</f>
        <v>2600</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1669</v>
      </c>
      <c r="D62" s="4365"/>
      <c r="E62" s="4365"/>
      <c r="F62" s="1101">
        <f>IF($C62=0,0,VLOOKUP($C62,'SD3'!$C$90:$D$104,2,FALSE))</f>
        <v>2600</v>
      </c>
      <c r="G62" s="1100">
        <f>(100+$D$61)/100*F62</f>
        <v>2600</v>
      </c>
      <c r="H62" s="173"/>
      <c r="I62" s="1096">
        <f>$G$62</f>
        <v>2600</v>
      </c>
      <c r="J62" s="173"/>
      <c r="K62" s="1099"/>
      <c r="L62" s="1098">
        <f>$G$62</f>
        <v>2600</v>
      </c>
      <c r="M62" s="1016"/>
      <c r="N62" s="1097"/>
      <c r="O62" s="1096">
        <f>$G$62</f>
        <v>2600</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34"/>
    </row>
    <row r="65" spans="1:20" s="511" customFormat="1" ht="18.75" customHeight="1">
      <c r="A65" s="711"/>
      <c r="B65" s="716" t="s">
        <v>844</v>
      </c>
      <c r="C65" s="711"/>
      <c r="D65" s="711"/>
      <c r="E65" s="711"/>
      <c r="F65" s="34"/>
      <c r="G65" s="1047"/>
      <c r="H65" s="51"/>
      <c r="I65" s="51"/>
      <c r="J65" s="1041">
        <f>H66*$E66</f>
        <v>2800</v>
      </c>
      <c r="K65" s="1056"/>
      <c r="L65" s="1056"/>
      <c r="M65" s="1044">
        <f>K66*$E66</f>
        <v>2800</v>
      </c>
      <c r="N65" s="51"/>
      <c r="O65" s="51"/>
      <c r="P65" s="1041">
        <f>N66*$E66</f>
        <v>2800</v>
      </c>
      <c r="Q65" s="34"/>
    </row>
    <row r="66" spans="1:20" s="511" customFormat="1" ht="15" customHeight="1">
      <c r="A66" s="711"/>
      <c r="B66" s="1075"/>
      <c r="C66" s="815"/>
      <c r="D66" s="222" t="s">
        <v>691</v>
      </c>
      <c r="E66" s="1074">
        <v>20</v>
      </c>
      <c r="F66" s="1049"/>
      <c r="G66" s="1073" t="s">
        <v>362</v>
      </c>
      <c r="H66" s="1071">
        <v>140</v>
      </c>
      <c r="I66" s="1070"/>
      <c r="J66" s="1059"/>
      <c r="K66" s="1071">
        <v>140</v>
      </c>
      <c r="L66" s="1072"/>
      <c r="M66" s="1062"/>
      <c r="N66" s="1071">
        <v>140</v>
      </c>
      <c r="O66" s="1070"/>
      <c r="P66" s="1059"/>
      <c r="Q66" s="315" t="s">
        <v>912</v>
      </c>
    </row>
    <row r="67" spans="1:20" s="511" customFormat="1" ht="22.95" customHeight="1">
      <c r="A67" s="711"/>
      <c r="B67" s="716" t="s">
        <v>843</v>
      </c>
      <c r="C67" s="711"/>
      <c r="D67" s="711"/>
      <c r="E67" s="175"/>
      <c r="F67" s="1069"/>
      <c r="G67" s="1047"/>
      <c r="H67" s="1066" t="s">
        <v>842</v>
      </c>
      <c r="I67" s="1065" t="s">
        <v>841</v>
      </c>
      <c r="J67" s="1041">
        <f>R68*(H9+H10)*I68%+F68</f>
        <v>0</v>
      </c>
      <c r="K67" s="1068" t="s">
        <v>842</v>
      </c>
      <c r="L67" s="1067" t="s">
        <v>841</v>
      </c>
      <c r="M67" s="1044">
        <f>S68*(K9+K10)*L68%+F68</f>
        <v>0</v>
      </c>
      <c r="N67" s="1066" t="s">
        <v>842</v>
      </c>
      <c r="O67" s="1065" t="s">
        <v>841</v>
      </c>
      <c r="P67" s="1041">
        <f>T68*(N9+N10)*O68%+F68</f>
        <v>0</v>
      </c>
      <c r="Q67" s="315"/>
    </row>
    <row r="68" spans="1:20" s="511" customFormat="1" ht="15" customHeight="1">
      <c r="A68" s="711"/>
      <c r="B68" s="1064"/>
      <c r="C68" s="4393" t="s">
        <v>564</v>
      </c>
      <c r="D68" s="4393"/>
      <c r="E68" s="4393"/>
      <c r="F68" s="1063"/>
      <c r="G68" s="1054" t="s">
        <v>163</v>
      </c>
      <c r="H68" s="1061"/>
      <c r="I68" s="1060"/>
      <c r="J68" s="1059"/>
      <c r="K68" s="1061"/>
      <c r="L68" s="1060"/>
      <c r="M68" s="1062"/>
      <c r="N68" s="1061"/>
      <c r="O68" s="1060"/>
      <c r="P68" s="1059"/>
      <c r="Q68" s="315"/>
      <c r="R68" s="1369">
        <f>IF($H$68=0,0,VLOOKUP($H$68,'SD6'!B8:C101,FALSE))*(1+'SDK1'!O11/100)</f>
        <v>0</v>
      </c>
      <c r="S68" s="1058">
        <f>IF($K$68=0,0,VLOOKUP($K$68,'SD6'!B8:C101,2,FALSE))*(1+'SDK1'!O11/100)</f>
        <v>0</v>
      </c>
      <c r="T68" s="1369">
        <f>IF($N$68=0,0,VLOOKUP($N$68,'SD6'!B8:C101,2,FALSE))*(1+'SDK1'!O11/100)</f>
        <v>0</v>
      </c>
    </row>
    <row r="69" spans="1:20" s="511" customFormat="1" ht="18.75" customHeight="1">
      <c r="A69" s="711"/>
      <c r="B69" s="716" t="s">
        <v>839</v>
      </c>
      <c r="C69" s="711"/>
      <c r="D69" s="711"/>
      <c r="E69" s="34"/>
      <c r="F69" s="34"/>
      <c r="G69" s="1047"/>
      <c r="H69" s="38"/>
      <c r="I69" s="51"/>
      <c r="J69" s="1041" t="e">
        <f>H70*$F70/1000</f>
        <v>#VALUE!</v>
      </c>
      <c r="K69" s="1057"/>
      <c r="L69" s="1056"/>
      <c r="M69" s="1044" t="e">
        <f>K70*$F70/1000</f>
        <v>#VALUE!</v>
      </c>
      <c r="N69" s="38"/>
      <c r="O69" s="51"/>
      <c r="P69" s="1041" t="e">
        <f>N70*$F70/1000</f>
        <v>#VALUE!</v>
      </c>
      <c r="Q69" s="315"/>
    </row>
    <row r="70" spans="1:20" s="511" customFormat="1" ht="15" customHeight="1">
      <c r="A70" s="711"/>
      <c r="B70" s="772"/>
      <c r="C70" s="771" t="s">
        <v>606</v>
      </c>
      <c r="D70" s="285"/>
      <c r="E70" s="222"/>
      <c r="F70" s="3742">
        <f>'SDK7'!G112</f>
        <v>18</v>
      </c>
      <c r="G70" s="1054" t="s">
        <v>163</v>
      </c>
      <c r="H70" s="1050" t="e">
        <f>J7</f>
        <v>#VALUE!</v>
      </c>
      <c r="I70" s="1049"/>
      <c r="J70" s="1048"/>
      <c r="K70" s="1053" t="e">
        <f>M7</f>
        <v>#VALUE!</v>
      </c>
      <c r="L70" s="1052"/>
      <c r="M70" s="1051"/>
      <c r="N70" s="1050" t="e">
        <f>P7</f>
        <v>#VALUE!</v>
      </c>
      <c r="O70" s="1049"/>
      <c r="P70" s="1048"/>
      <c r="Q70" s="315"/>
    </row>
    <row r="71" spans="1:20" ht="18.75" customHeight="1">
      <c r="A71" s="309"/>
      <c r="B71" s="245" t="s">
        <v>838</v>
      </c>
      <c r="C71" s="309"/>
      <c r="D71" s="309"/>
      <c r="E71" s="175"/>
      <c r="G71" s="1047"/>
      <c r="H71" s="1043"/>
      <c r="I71" s="1042"/>
      <c r="J71" s="1041">
        <f>SUM(I73:I74)</f>
        <v>346</v>
      </c>
      <c r="K71" s="1046"/>
      <c r="L71" s="1045"/>
      <c r="M71" s="1044">
        <f>SUM(L73:L74)</f>
        <v>346</v>
      </c>
      <c r="N71" s="1043"/>
      <c r="O71" s="1042"/>
      <c r="P71" s="1041">
        <f>SUM(O73:O74)</f>
        <v>346</v>
      </c>
      <c r="Q71" s="315"/>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c r="Q72" s="315"/>
    </row>
    <row r="73" spans="1:20" s="36" customFormat="1" ht="15" customHeight="1">
      <c r="A73" s="746"/>
      <c r="B73" s="1021"/>
      <c r="C73" s="4400" t="s">
        <v>911</v>
      </c>
      <c r="D73" s="4400"/>
      <c r="E73" s="4400"/>
      <c r="F73" s="1025"/>
      <c r="G73" s="1024"/>
      <c r="H73" s="1018">
        <v>300</v>
      </c>
      <c r="I73" s="1022">
        <f>(100+$D$72)/100*H73</f>
        <v>300</v>
      </c>
      <c r="J73" s="39"/>
      <c r="K73" s="1018">
        <v>300</v>
      </c>
      <c r="L73" s="1023">
        <f>(100+$D$72)/100*K73</f>
        <v>300</v>
      </c>
      <c r="M73" s="1016"/>
      <c r="N73" s="1018">
        <v>300</v>
      </c>
      <c r="O73" s="1022">
        <f>(100+$D$72)/100*N73</f>
        <v>300</v>
      </c>
      <c r="P73" s="1013"/>
      <c r="Q73" s="315" t="s">
        <v>909</v>
      </c>
    </row>
    <row r="74" spans="1:20" s="36" customFormat="1" ht="15" customHeight="1">
      <c r="A74" s="746"/>
      <c r="B74" s="1021"/>
      <c r="C74" s="4399" t="s">
        <v>910</v>
      </c>
      <c r="D74" s="4399"/>
      <c r="E74" s="4399"/>
      <c r="F74" s="1020"/>
      <c r="G74" s="1019"/>
      <c r="H74" s="1015">
        <v>46</v>
      </c>
      <c r="I74" s="1014">
        <f>(100+$D$72)/100*H74</f>
        <v>46</v>
      </c>
      <c r="J74" s="39"/>
      <c r="K74" s="1018">
        <v>46</v>
      </c>
      <c r="L74" s="1017">
        <f>(100+$D$72)/100*K74</f>
        <v>46</v>
      </c>
      <c r="M74" s="1016"/>
      <c r="N74" s="1015">
        <v>46</v>
      </c>
      <c r="O74" s="1014">
        <f>(100+$D$72)/100*N74</f>
        <v>46</v>
      </c>
      <c r="P74" s="1013"/>
      <c r="Q74" s="315" t="s">
        <v>909</v>
      </c>
    </row>
    <row r="75" spans="1:20" s="511" customFormat="1" ht="30.45" customHeight="1">
      <c r="A75" s="711"/>
      <c r="B75" s="4391" t="s">
        <v>835</v>
      </c>
      <c r="C75" s="4392"/>
      <c r="D75" s="1012" t="s">
        <v>834</v>
      </c>
      <c r="E75" s="1011">
        <f>'SDK1'!$O$59/100</f>
        <v>0.02</v>
      </c>
      <c r="F75" s="1010" t="s">
        <v>833</v>
      </c>
      <c r="G75" s="1009">
        <v>5</v>
      </c>
      <c r="H75" s="1007"/>
      <c r="I75" s="1008"/>
      <c r="J75" s="1005" t="e">
        <f>(J23+J27+J34+J43+J60+J65+J67+J69+J71)*('SDK1'!$O$59%*$G$75/12)</f>
        <v>#VALUE!</v>
      </c>
      <c r="K75" s="513"/>
      <c r="L75" s="522"/>
      <c r="M75" s="1005" t="e">
        <f>(M23+M27+M34+M43+M60+M65+M67+M69+M71)*('SDK1'!$O$59%*$G$75/12)</f>
        <v>#VALUE!</v>
      </c>
      <c r="N75" s="1007"/>
      <c r="O75" s="1006"/>
      <c r="P75" s="1005" t="e">
        <f>(P23+P27+P34+P43+P60+P65+P67+P69+P71)*('SDK1'!$O$59%*$G$75/12)</f>
        <v>#VALUE!</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M151" s="31"/>
      <c r="N151" s="31"/>
      <c r="O151" s="31"/>
      <c r="P151" s="31"/>
      <c r="Q151" s="31"/>
    </row>
    <row r="152" spans="1:17">
      <c r="A152" s="31"/>
      <c r="B152" s="441"/>
      <c r="C152" s="12"/>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D159" s="12"/>
      <c r="F159" s="12"/>
      <c r="G159" s="12"/>
      <c r="H159" s="12"/>
      <c r="I159" s="12"/>
      <c r="J159" s="12"/>
      <c r="M159" s="31"/>
      <c r="N159" s="31"/>
      <c r="O159" s="31"/>
      <c r="P159" s="31"/>
      <c r="Q159" s="31"/>
    </row>
    <row r="160" spans="1:17">
      <c r="A160" s="31"/>
      <c r="B160" s="441"/>
      <c r="C160" s="12"/>
      <c r="D160" s="12"/>
      <c r="F160" s="12"/>
      <c r="G160" s="12"/>
      <c r="H160" s="12"/>
      <c r="I160" s="12"/>
      <c r="J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7" firstPageNumber="64" orientation="portrait" r:id="rId1"/>
      <headerFooter alignWithMargins="0">
        <oddFooter>&amp;L&amp;11LEL Schwäbisch Gmünd&amp;C77&amp;R&amp;11&amp;F</oddFooter>
      </headerFooter>
    </customSheetView>
    <customSheetView guid="{5D5C9B61-9ABD-4513-AAEB-8333A9D6196C}"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7" firstPageNumber="64" orientation="portrait" r:id="rId2"/>
      <headerFooter alignWithMargins="0">
        <oddFooter>&amp;L&amp;11LEL Schwäbisch Gmünd&amp;C77&amp;R&amp;11&amp;F</oddFooter>
      </headerFooter>
    </customSheetView>
    <customSheetView guid="{22A73C4F-9004-4CEF-8499-B1F91BE1B569}"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7" firstPageNumber="64" orientation="portrait" r:id="rId3"/>
      <headerFooter alignWithMargins="0">
        <oddFooter>&amp;L&amp;11LEL Schwäbisch Gmünd&amp;C77&amp;R&amp;11&amp;F</oddFooter>
      </headerFooter>
    </customSheetView>
  </customSheetViews>
  <mergeCells count="50">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 ref="B3:H3"/>
  </mergeCells>
  <dataValidations count="5">
    <dataValidation type="list" showInputMessage="1" showErrorMessage="1" sqref="H14 K14 N14" xr:uid="{00000000-0002-0000-3000-000000000000}">
      <formula1>"ja,nein"</formula1>
    </dataValidation>
    <dataValidation type="list" allowBlank="1" showInputMessage="1" showErrorMessage="1" sqref="H15:H17 K15:K17 N15:N17" xr:uid="{00000000-0002-0000-3000-000001000000}">
      <formula1>"ja,nein"</formula1>
    </dataValidation>
    <dataValidation type="decimal" allowBlank="1" showInputMessage="1" showErrorMessage="1" errorTitle="Wassergehalt Getreide" error="Zulässig sind nur Werte zwischen 14,1 und 22,0 % Wassergehalt." sqref="H68 K68 N68" xr:uid="{00000000-0002-0000-3000-000002000000}">
      <formula1>14.1</formula1>
      <formula2>22</formula2>
    </dataValidation>
    <dataValidation type="whole" allowBlank="1" showInputMessage="1" showErrorMessage="1" errorTitle="Anteil Erntegut" error="Prozentwert darf nur zwischen 0 und 100 liegen." sqref="O68 L68 I68" xr:uid="{00000000-0002-0000-3000-000003000000}">
      <formula1>0</formula1>
      <formula2>100</formula2>
    </dataValidation>
    <dataValidation type="list" allowBlank="1" showInputMessage="1" showErrorMessage="1" errorTitle="Organisationsabh. Ausgleichsl." error="Bitte aus Dropdownliste auswählen." sqref="D19:F19" xr:uid="{00000000-0002-0000-3000-000004000000}">
      <formula1>$C$60:$C$75</formula1>
    </dataValidation>
  </dataValidations>
  <hyperlinks>
    <hyperlink ref="F9" location="'SDK1'!A1" display="Preis ändern" xr:uid="{00000000-0004-0000-3000-000000000000}"/>
  </hyperlinks>
  <printOptions horizontalCentered="1"/>
  <pageMargins left="0.59055118110236227" right="0.59055118110236227" top="0.59055118110236227" bottom="0.59055118110236227" header="0.39370078740157483" footer="0.39370078740157483"/>
  <pageSetup paperSize="9" scale="67" firstPageNumber="64" orientation="portrait" r:id="rId4"/>
  <headerFooter alignWithMargins="0">
    <oddFooter>&amp;L&amp;11LEL Schwäbisch Gmünd&amp;C77&amp;R&amp;11&amp;F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r:uid="{00000000-0002-0000-3000-000005000000}">
          <x14:formula1>
            <xm:f>'SDK5'!$AB$214:$AB$237</xm:f>
          </x14:formula1>
          <xm:sqref>C36:E42</xm:sqref>
        </x14:dataValidation>
        <x14:dataValidation type="list" allowBlank="1" showInputMessage="1" showErrorMessage="1" errorTitle="Verfahrensabh. Ausgleichsleist." error="Bitte aus Dropdownliste auswählen." xr:uid="{00000000-0002-0000-3000-000006000000}">
          <x14:formula1>
            <xm:f>'SD2'!$C$11:$C$50</xm:f>
          </x14:formula1>
          <xm:sqref>C14:F17</xm:sqref>
        </x14:dataValidation>
        <x14:dataValidation type="list" allowBlank="1" showInputMessage="1" showErrorMessage="1" errorTitle="Organisationsabh. Ausgleichsl." error="Bitte aus Dropdownliste auswählen." xr:uid="{00000000-0002-0000-3000-000007000000}">
          <x14:formula1>
            <xm:f>'SD2'!$C$60:$C$77</xm:f>
          </x14:formula1>
          <xm:sqref>C19:C21</xm:sqref>
        </x14:dataValidation>
        <x14:dataValidation type="list" allowBlank="1" showInputMessage="1" showErrorMessage="1" errorTitle="Arbeitsgänge" error="Bitte aus Dropdownliste auswählen." xr:uid="{00000000-0002-0000-3000-000008000000}">
          <x14:formula1>
            <xm:f>'SD3'!$C$23:$C$75</xm:f>
          </x14:formula1>
          <xm:sqref>C46:D57</xm:sqref>
        </x14:dataValidation>
        <x14:dataValidation type="list" allowBlank="1" showInputMessage="1" showErrorMessage="1" errorTitle="Lohnmaschinen" error="Bitte aus Dropdownliste auswählen." xr:uid="{00000000-0002-0000-3000-000009000000}">
          <x14:formula1>
            <xm:f>'SD3'!$C$90:$C$104</xm:f>
          </x14:formula1>
          <xm:sqref>C62:E64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dimension ref="A1:T114"/>
  <sheetViews>
    <sheetView workbookViewId="0"/>
  </sheetViews>
  <sheetFormatPr baseColWidth="10" defaultColWidth="10.19921875" defaultRowHeight="11.4"/>
  <cols>
    <col min="1" max="1" width="1.19921875" style="1713" customWidth="1"/>
    <col min="2" max="2" width="38.69921875" style="1713" customWidth="1"/>
    <col min="3" max="4" width="10.19921875" style="1713"/>
    <col min="5" max="5" width="7.69921875" style="1713" customWidth="1"/>
    <col min="6" max="6" width="7.5" style="1713" bestFit="1" customWidth="1"/>
    <col min="7" max="7" width="5.69921875" style="1713" customWidth="1"/>
    <col min="8" max="8" width="6.8984375" style="1713" bestFit="1" customWidth="1"/>
    <col min="9" max="9" width="10.3984375" style="1713" bestFit="1" customWidth="1"/>
    <col min="10" max="10" width="7.5" style="1713" bestFit="1" customWidth="1"/>
    <col min="11" max="11" width="7.5" style="1713" customWidth="1"/>
    <col min="12" max="12" width="6" style="1713" customWidth="1"/>
    <col min="13" max="13" width="7.69921875" style="1713" customWidth="1"/>
    <col min="14" max="14" width="5.69921875" style="1713" customWidth="1"/>
    <col min="15" max="15" width="6.59765625" style="1713" customWidth="1"/>
    <col min="16" max="17" width="7.69921875" style="1713" bestFit="1" customWidth="1"/>
    <col min="18" max="18" width="11.59765625" style="1713" customWidth="1"/>
    <col min="19" max="19" width="12.5" style="1713" customWidth="1"/>
    <col min="20" max="16384" width="10.19921875" style="1713"/>
  </cols>
  <sheetData>
    <row r="1" spans="1:20" ht="39.450000000000003" customHeight="1" thickBot="1">
      <c r="A1" s="1806"/>
      <c r="B1" s="1805" t="s">
        <v>1226</v>
      </c>
      <c r="C1" s="1803"/>
      <c r="D1" s="1804"/>
      <c r="E1" s="1803"/>
      <c r="F1" s="1801"/>
      <c r="G1" s="1802"/>
      <c r="H1" s="1801"/>
      <c r="I1" s="1801"/>
      <c r="J1" s="1801"/>
      <c r="K1" s="1801"/>
      <c r="L1" s="1801"/>
      <c r="M1" s="1801"/>
      <c r="N1" s="1801"/>
      <c r="O1" s="1801"/>
      <c r="P1" s="1801"/>
      <c r="Q1" s="1800"/>
      <c r="R1" s="1800"/>
      <c r="S1" s="1800"/>
      <c r="T1" s="1774"/>
    </row>
    <row r="2" spans="1:20" ht="13.2" thickTop="1" thickBot="1">
      <c r="A2" s="1799"/>
      <c r="B2" s="1798" t="s">
        <v>1225</v>
      </c>
      <c r="C2" s="1797"/>
      <c r="D2" s="1808"/>
      <c r="E2" s="1795" t="s">
        <v>1231</v>
      </c>
      <c r="F2" s="1794"/>
      <c r="G2" s="1794"/>
      <c r="H2" s="1822"/>
      <c r="I2" s="1793"/>
      <c r="J2" s="1796"/>
      <c r="K2" s="1794"/>
      <c r="L2" s="1795" t="s">
        <v>1230</v>
      </c>
      <c r="M2" s="1794"/>
      <c r="N2" s="1794"/>
      <c r="O2" s="1822"/>
      <c r="P2" s="1793"/>
      <c r="Q2" s="1774"/>
      <c r="R2" s="1774"/>
      <c r="S2" s="1774"/>
      <c r="T2" s="1774"/>
    </row>
    <row r="3" spans="1:20" ht="13.2" thickTop="1" thickBot="1">
      <c r="A3" s="1792"/>
      <c r="B3" s="1791" t="s">
        <v>1222</v>
      </c>
      <c r="C3" s="1790"/>
      <c r="D3" s="1786">
        <v>2013</v>
      </c>
      <c r="E3" s="1786">
        <v>2014</v>
      </c>
      <c r="F3" s="1786">
        <v>2015</v>
      </c>
      <c r="G3" s="1786">
        <v>2016</v>
      </c>
      <c r="H3" s="1789">
        <v>2017</v>
      </c>
      <c r="I3" s="1788" t="s">
        <v>1191</v>
      </c>
      <c r="J3" s="1787"/>
      <c r="K3" s="1786">
        <v>2013</v>
      </c>
      <c r="L3" s="1786">
        <v>2014</v>
      </c>
      <c r="M3" s="1786">
        <v>2015</v>
      </c>
      <c r="N3" s="1786">
        <v>2016</v>
      </c>
      <c r="O3" s="1785">
        <v>2017</v>
      </c>
      <c r="P3" s="1784" t="s">
        <v>1191</v>
      </c>
      <c r="Q3" s="1774"/>
      <c r="R3" s="1774"/>
      <c r="S3" s="1774"/>
      <c r="T3" s="1774"/>
    </row>
    <row r="4" spans="1:20" ht="37.200000000000003" thickTop="1" thickBot="1">
      <c r="A4" s="1783"/>
      <c r="B4" s="1782" t="s">
        <v>666</v>
      </c>
      <c r="C4" s="1778" t="s">
        <v>417</v>
      </c>
      <c r="D4" s="1781">
        <v>1</v>
      </c>
      <c r="E4" s="1781">
        <v>1</v>
      </c>
      <c r="F4" s="1781">
        <v>1</v>
      </c>
      <c r="G4" s="1781">
        <v>1</v>
      </c>
      <c r="H4" s="1780">
        <v>1</v>
      </c>
      <c r="I4" s="1779"/>
      <c r="J4" s="1778" t="s">
        <v>417</v>
      </c>
      <c r="K4" s="1777"/>
      <c r="L4" s="1777"/>
      <c r="M4" s="1777"/>
      <c r="N4" s="1777"/>
      <c r="O4" s="1776"/>
      <c r="P4" s="1775"/>
      <c r="Q4" s="1774"/>
      <c r="R4" s="1821" t="s">
        <v>1229</v>
      </c>
      <c r="S4" s="1821" t="s">
        <v>1229</v>
      </c>
      <c r="T4" s="1774"/>
    </row>
    <row r="5" spans="1:20" ht="13.8" thickTop="1">
      <c r="B5" s="1742" t="s">
        <v>1221</v>
      </c>
      <c r="C5" s="1739" t="s">
        <v>220</v>
      </c>
      <c r="D5" s="1744">
        <v>25</v>
      </c>
      <c r="E5" s="1744">
        <v>25</v>
      </c>
      <c r="F5" s="1744">
        <v>25</v>
      </c>
      <c r="G5" s="1744">
        <v>25</v>
      </c>
      <c r="H5" s="1744">
        <v>23.75</v>
      </c>
      <c r="I5" s="1749">
        <f t="shared" ref="I5:I39" si="0">(D5*$D$4+E5*$E$4+F5*$F$4+G5*$G$4+H5*$H$4)/($D$4+$E$4+$F$4+$G$4+$H$4)</f>
        <v>24.75</v>
      </c>
      <c r="J5" s="1773" t="s">
        <v>164</v>
      </c>
      <c r="K5" s="1744">
        <v>47.4</v>
      </c>
      <c r="L5" s="1744">
        <v>64.599999999999994</v>
      </c>
      <c r="M5" s="1744">
        <v>52.5</v>
      </c>
      <c r="N5" s="1744">
        <v>42</v>
      </c>
      <c r="O5" s="1772">
        <v>75.400000000000006</v>
      </c>
      <c r="P5" s="1741">
        <f t="shared" ref="P5:P39" si="1">(K5*$D$4+L5*$E$4+M5*$F$4+N5*$G$4+O5*$H$4)/($D$4+$E$4+$F$4+$G$4+$H$4)</f>
        <v>56.379999999999995</v>
      </c>
      <c r="R5" s="1809"/>
    </row>
    <row r="6" spans="1:20" ht="13.2">
      <c r="B6" s="1742" t="s">
        <v>83</v>
      </c>
      <c r="C6" s="1739" t="s">
        <v>220</v>
      </c>
      <c r="D6" s="1735">
        <v>26</v>
      </c>
      <c r="E6" s="1735">
        <v>23.5</v>
      </c>
      <c r="F6" s="1735">
        <v>18</v>
      </c>
      <c r="G6" s="1735">
        <v>16</v>
      </c>
      <c r="H6" s="1735">
        <v>17</v>
      </c>
      <c r="I6" s="1816">
        <f t="shared" si="0"/>
        <v>20.100000000000001</v>
      </c>
      <c r="J6" s="1758" t="s">
        <v>164</v>
      </c>
      <c r="K6" s="1755">
        <v>50</v>
      </c>
      <c r="L6" s="1755">
        <v>55</v>
      </c>
      <c r="M6" s="1755">
        <v>50</v>
      </c>
      <c r="N6" s="1755">
        <v>50</v>
      </c>
      <c r="O6" s="1735">
        <v>65.5</v>
      </c>
      <c r="P6" s="1734">
        <f t="shared" si="1"/>
        <v>54.1</v>
      </c>
      <c r="R6" s="1809"/>
    </row>
    <row r="7" spans="1:20" ht="13.2">
      <c r="B7" s="1765" t="s">
        <v>259</v>
      </c>
      <c r="C7" s="1764" t="s">
        <v>220</v>
      </c>
      <c r="D7" s="1763">
        <v>15.3</v>
      </c>
      <c r="E7" s="1763">
        <v>14.7</v>
      </c>
      <c r="F7" s="1763">
        <v>15</v>
      </c>
      <c r="G7" s="1763">
        <v>13.6</v>
      </c>
      <c r="H7" s="1763">
        <v>14.4</v>
      </c>
      <c r="I7" s="1819">
        <f t="shared" si="0"/>
        <v>14.6</v>
      </c>
      <c r="J7" s="1771" t="s">
        <v>164</v>
      </c>
      <c r="K7" s="1770">
        <v>74.099999999999994</v>
      </c>
      <c r="L7" s="1770">
        <v>83.5</v>
      </c>
      <c r="M7" s="1770">
        <v>76.3</v>
      </c>
      <c r="N7" s="1770">
        <v>66.099999999999994</v>
      </c>
      <c r="O7" s="1769">
        <f>$I$97</f>
        <v>73.600000000000009</v>
      </c>
      <c r="P7" s="1818">
        <f t="shared" si="1"/>
        <v>74.72</v>
      </c>
      <c r="R7" s="1809">
        <f>(P7+'Erträge_4-J'!N7+'Erträge_3-J'!L7+'Erträge_2-J'!J7)/4</f>
        <v>72.861249999999998</v>
      </c>
      <c r="S7" s="1713">
        <f>(I7+'Erträge_4-J'!H7+'Erträge_3-J'!G7+'Erträge_2-J'!F7)/4</f>
        <v>14.339583333333334</v>
      </c>
    </row>
    <row r="8" spans="1:20" ht="13.2">
      <c r="B8" s="1742" t="s">
        <v>80</v>
      </c>
      <c r="C8" s="1739" t="s">
        <v>220</v>
      </c>
      <c r="D8" s="1735">
        <v>15.3</v>
      </c>
      <c r="E8" s="1735">
        <v>14.7</v>
      </c>
      <c r="F8" s="1735">
        <v>15</v>
      </c>
      <c r="G8" s="1735">
        <v>13.6</v>
      </c>
      <c r="H8" s="1735">
        <v>14.4</v>
      </c>
      <c r="I8" s="1816">
        <f t="shared" si="0"/>
        <v>14.6</v>
      </c>
      <c r="J8" s="1758" t="s">
        <v>164</v>
      </c>
      <c r="K8" s="1744">
        <v>59</v>
      </c>
      <c r="L8" s="1744">
        <v>60.1</v>
      </c>
      <c r="M8" s="1744">
        <v>53.7</v>
      </c>
      <c r="N8" s="1744">
        <v>51.5</v>
      </c>
      <c r="O8" s="1735">
        <v>65.5</v>
      </c>
      <c r="P8" s="1734">
        <f t="shared" si="1"/>
        <v>57.96</v>
      </c>
      <c r="R8" s="1809"/>
    </row>
    <row r="9" spans="1:20" ht="13.2">
      <c r="B9" s="1742" t="s">
        <v>89</v>
      </c>
      <c r="C9" s="1739" t="s">
        <v>220</v>
      </c>
      <c r="D9" s="1735">
        <v>12.1</v>
      </c>
      <c r="E9" s="1735">
        <v>12.2</v>
      </c>
      <c r="F9" s="1735">
        <v>14</v>
      </c>
      <c r="G9" s="1735">
        <v>12.3</v>
      </c>
      <c r="H9" s="1735">
        <v>13.9</v>
      </c>
      <c r="I9" s="1816">
        <f t="shared" si="0"/>
        <v>12.9</v>
      </c>
      <c r="J9" s="1758" t="s">
        <v>164</v>
      </c>
      <c r="K9" s="1735">
        <v>58.8</v>
      </c>
      <c r="L9" s="1735">
        <v>53.7</v>
      </c>
      <c r="M9" s="1735">
        <v>52.9</v>
      </c>
      <c r="N9" s="1735">
        <v>54.2</v>
      </c>
      <c r="O9" s="1735">
        <v>55.6</v>
      </c>
      <c r="P9" s="1734">
        <f t="shared" si="1"/>
        <v>55.040000000000006</v>
      </c>
      <c r="R9" s="1809"/>
    </row>
    <row r="10" spans="1:20" ht="13.2">
      <c r="B10" s="1742" t="s">
        <v>1220</v>
      </c>
      <c r="C10" s="1739" t="s">
        <v>220</v>
      </c>
      <c r="D10" s="1735">
        <v>12.1</v>
      </c>
      <c r="E10" s="1735">
        <v>12.2</v>
      </c>
      <c r="F10" s="1735">
        <v>14</v>
      </c>
      <c r="G10" s="1735">
        <v>12.3</v>
      </c>
      <c r="H10" s="1735">
        <v>13.9</v>
      </c>
      <c r="I10" s="1816">
        <f t="shared" si="0"/>
        <v>12.9</v>
      </c>
      <c r="J10" s="1758" t="s">
        <v>164</v>
      </c>
      <c r="K10" s="1735">
        <v>55</v>
      </c>
      <c r="L10" s="1735">
        <v>53.7</v>
      </c>
      <c r="M10" s="1735">
        <v>52.9</v>
      </c>
      <c r="N10" s="1735">
        <v>54.2</v>
      </c>
      <c r="O10" s="1735">
        <v>55.6</v>
      </c>
      <c r="P10" s="1734">
        <f t="shared" si="1"/>
        <v>54.280000000000008</v>
      </c>
      <c r="R10" s="1809"/>
    </row>
    <row r="11" spans="1:20" ht="13.2" hidden="1">
      <c r="B11" s="1742" t="s">
        <v>1219</v>
      </c>
      <c r="C11" s="1739" t="s">
        <v>220</v>
      </c>
      <c r="D11" s="1735">
        <v>15</v>
      </c>
      <c r="E11" s="1735">
        <v>13</v>
      </c>
      <c r="F11" s="1735">
        <v>13.6</v>
      </c>
      <c r="G11" s="1735">
        <v>11.5</v>
      </c>
      <c r="H11" s="1735"/>
      <c r="I11" s="1816">
        <f t="shared" si="0"/>
        <v>10.620000000000001</v>
      </c>
      <c r="J11" s="1758" t="s">
        <v>164</v>
      </c>
      <c r="K11" s="1735">
        <v>58.8</v>
      </c>
      <c r="L11" s="1735">
        <v>53.7</v>
      </c>
      <c r="M11" s="1735">
        <v>52.9</v>
      </c>
      <c r="N11" s="1735">
        <v>54.2</v>
      </c>
      <c r="O11" s="1735"/>
      <c r="P11" s="1734">
        <f t="shared" si="1"/>
        <v>43.92</v>
      </c>
      <c r="R11" s="1809"/>
    </row>
    <row r="12" spans="1:20" ht="13.2" hidden="1">
      <c r="B12" s="1742" t="s">
        <v>1218</v>
      </c>
      <c r="C12" s="1739" t="s">
        <v>220</v>
      </c>
      <c r="D12" s="1735">
        <v>15</v>
      </c>
      <c r="E12" s="1735">
        <v>13</v>
      </c>
      <c r="F12" s="1735">
        <v>13.6</v>
      </c>
      <c r="G12" s="1735">
        <v>11.5</v>
      </c>
      <c r="H12" s="1735"/>
      <c r="I12" s="1816">
        <f t="shared" si="0"/>
        <v>10.620000000000001</v>
      </c>
      <c r="J12" s="1758" t="s">
        <v>164</v>
      </c>
      <c r="K12" s="1735">
        <v>58.8</v>
      </c>
      <c r="L12" s="1735">
        <v>53.7</v>
      </c>
      <c r="M12" s="1735">
        <v>52.9</v>
      </c>
      <c r="N12" s="1735">
        <v>54.2</v>
      </c>
      <c r="O12" s="1735"/>
      <c r="P12" s="1734">
        <f t="shared" si="1"/>
        <v>43.92</v>
      </c>
      <c r="R12" s="1809"/>
    </row>
    <row r="13" spans="1:20" ht="13.2">
      <c r="B13" s="1765" t="s">
        <v>85</v>
      </c>
      <c r="C13" s="1764" t="s">
        <v>220</v>
      </c>
      <c r="D13" s="1763">
        <v>15</v>
      </c>
      <c r="E13" s="1763">
        <v>13</v>
      </c>
      <c r="F13" s="1763">
        <v>13.6</v>
      </c>
      <c r="G13" s="1763">
        <v>11.5</v>
      </c>
      <c r="H13" s="1763">
        <v>12.6</v>
      </c>
      <c r="I13" s="1819">
        <f t="shared" si="0"/>
        <v>13.14</v>
      </c>
      <c r="J13" s="1762" t="s">
        <v>164</v>
      </c>
      <c r="K13" s="1761">
        <v>68.3</v>
      </c>
      <c r="L13" s="1761">
        <v>76.2</v>
      </c>
      <c r="M13" s="1761">
        <v>67.400000000000006</v>
      </c>
      <c r="N13" s="1761">
        <v>67.400000000000006</v>
      </c>
      <c r="O13" s="1761">
        <f>$I$101</f>
        <v>73.63333333333334</v>
      </c>
      <c r="P13" s="1818">
        <f t="shared" si="1"/>
        <v>70.586666666666673</v>
      </c>
      <c r="R13" s="1809">
        <f>(P13+'Erträge_4-J'!N13+'Erträge_3-J'!L13+'Erträge_2-J'!J13)/4</f>
        <v>70.434861111111104</v>
      </c>
      <c r="S13" s="1713">
        <f>(I13+'Erträge_4-J'!H13+'Erträge_3-J'!G13+'Erträge_2-J'!F13)/4</f>
        <v>12.607916666666668</v>
      </c>
    </row>
    <row r="14" spans="1:20" ht="13.2">
      <c r="B14" s="1742" t="s">
        <v>257</v>
      </c>
      <c r="C14" s="1739" t="s">
        <v>220</v>
      </c>
      <c r="D14" s="1735">
        <v>15</v>
      </c>
      <c r="E14" s="1735">
        <v>13</v>
      </c>
      <c r="F14" s="1735">
        <v>13.6</v>
      </c>
      <c r="G14" s="1735">
        <v>11.5</v>
      </c>
      <c r="H14" s="1735">
        <v>12.6</v>
      </c>
      <c r="I14" s="1816">
        <f t="shared" si="0"/>
        <v>13.14</v>
      </c>
      <c r="J14" s="1758" t="s">
        <v>164</v>
      </c>
      <c r="K14" s="1768">
        <v>55.4</v>
      </c>
      <c r="L14" s="1768">
        <v>59.7</v>
      </c>
      <c r="M14" s="1768">
        <v>53.9</v>
      </c>
      <c r="N14" s="1768">
        <v>49.6</v>
      </c>
      <c r="O14" s="1735">
        <v>58.2</v>
      </c>
      <c r="P14" s="1734">
        <f t="shared" si="1"/>
        <v>55.36</v>
      </c>
      <c r="R14" s="1809"/>
    </row>
    <row r="15" spans="1:20" ht="13.2">
      <c r="B15" s="1742" t="s">
        <v>76</v>
      </c>
      <c r="C15" s="1739" t="s">
        <v>220</v>
      </c>
      <c r="D15" s="1735">
        <v>19.7</v>
      </c>
      <c r="E15" s="1735">
        <v>17.7</v>
      </c>
      <c r="F15" s="1735">
        <v>17.899999999999999</v>
      </c>
      <c r="G15" s="1735">
        <v>16.8</v>
      </c>
      <c r="H15" s="1735">
        <v>17.899999999999999</v>
      </c>
      <c r="I15" s="1816">
        <f t="shared" si="0"/>
        <v>18</v>
      </c>
      <c r="J15" s="1758" t="s">
        <v>164</v>
      </c>
      <c r="K15" s="1735">
        <v>55.4</v>
      </c>
      <c r="L15" s="1735">
        <v>60</v>
      </c>
      <c r="M15" s="1735">
        <v>54.4</v>
      </c>
      <c r="N15" s="1735">
        <v>50.1</v>
      </c>
      <c r="O15" s="1735">
        <v>58.2</v>
      </c>
      <c r="P15" s="1734">
        <f t="shared" si="1"/>
        <v>55.620000000000005</v>
      </c>
      <c r="R15" s="1809"/>
    </row>
    <row r="16" spans="1:20" ht="13.2">
      <c r="B16" s="1742" t="s">
        <v>1217</v>
      </c>
      <c r="C16" s="1739" t="s">
        <v>220</v>
      </c>
      <c r="D16" s="1735">
        <v>16</v>
      </c>
      <c r="E16" s="1735">
        <v>14.5</v>
      </c>
      <c r="F16" s="1735">
        <v>14.5</v>
      </c>
      <c r="G16" s="1735">
        <v>14.25</v>
      </c>
      <c r="H16" s="1735">
        <v>14</v>
      </c>
      <c r="I16" s="1816">
        <f t="shared" si="0"/>
        <v>14.65</v>
      </c>
      <c r="J16" s="1758" t="s">
        <v>164</v>
      </c>
      <c r="K16" s="1768">
        <v>45.2</v>
      </c>
      <c r="L16" s="1768">
        <v>52.5</v>
      </c>
      <c r="M16" s="1768">
        <v>46.6</v>
      </c>
      <c r="N16" s="1768">
        <v>45.6</v>
      </c>
      <c r="O16" s="1735">
        <v>46.1</v>
      </c>
      <c r="P16" s="1734">
        <f t="shared" si="1"/>
        <v>47.2</v>
      </c>
      <c r="R16" s="1809"/>
    </row>
    <row r="17" spans="2:19" ht="13.2">
      <c r="B17" s="1742" t="s">
        <v>1216</v>
      </c>
      <c r="C17" s="1739" t="s">
        <v>220</v>
      </c>
      <c r="D17" s="1735">
        <v>16</v>
      </c>
      <c r="E17" s="1735">
        <v>14.5</v>
      </c>
      <c r="F17" s="1735">
        <v>14.5</v>
      </c>
      <c r="G17" s="1735">
        <v>14.25</v>
      </c>
      <c r="H17" s="1735">
        <v>14</v>
      </c>
      <c r="I17" s="1816">
        <f t="shared" si="0"/>
        <v>14.65</v>
      </c>
      <c r="J17" s="1758" t="s">
        <v>164</v>
      </c>
      <c r="K17" s="1735">
        <v>45.2</v>
      </c>
      <c r="L17" s="1735">
        <v>47.6</v>
      </c>
      <c r="M17" s="1735">
        <v>47</v>
      </c>
      <c r="N17" s="1735">
        <v>44.9</v>
      </c>
      <c r="O17" s="1735">
        <v>46.1</v>
      </c>
      <c r="P17" s="1734">
        <f t="shared" si="1"/>
        <v>46.160000000000004</v>
      </c>
      <c r="R17" s="1809"/>
    </row>
    <row r="18" spans="2:19" ht="13.2" hidden="1">
      <c r="B18" s="1742" t="s">
        <v>1215</v>
      </c>
      <c r="C18" s="1739" t="s">
        <v>220</v>
      </c>
      <c r="D18" s="1735">
        <v>15</v>
      </c>
      <c r="E18" s="1735">
        <v>13</v>
      </c>
      <c r="F18" s="1735">
        <v>13.6</v>
      </c>
      <c r="G18" s="1735">
        <v>11.5</v>
      </c>
      <c r="H18" s="1735"/>
      <c r="I18" s="1816">
        <f t="shared" si="0"/>
        <v>10.620000000000001</v>
      </c>
      <c r="J18" s="1758" t="s">
        <v>164</v>
      </c>
      <c r="K18" s="1735">
        <v>41.8</v>
      </c>
      <c r="L18" s="1735">
        <v>55.4</v>
      </c>
      <c r="M18" s="1735">
        <v>43.7</v>
      </c>
      <c r="N18" s="1735">
        <v>46.3</v>
      </c>
      <c r="O18" s="1735"/>
      <c r="P18" s="1734">
        <f t="shared" si="1"/>
        <v>37.44</v>
      </c>
      <c r="R18" s="1809"/>
    </row>
    <row r="19" spans="2:19" ht="13.2" hidden="1">
      <c r="B19" s="1742" t="s">
        <v>1214</v>
      </c>
      <c r="C19" s="1739" t="s">
        <v>220</v>
      </c>
      <c r="D19" s="1735">
        <v>15</v>
      </c>
      <c r="E19" s="1735">
        <v>13</v>
      </c>
      <c r="F19" s="1735">
        <v>13.6</v>
      </c>
      <c r="G19" s="1735">
        <v>11.5</v>
      </c>
      <c r="H19" s="1735"/>
      <c r="I19" s="1816">
        <f t="shared" si="0"/>
        <v>10.620000000000001</v>
      </c>
      <c r="J19" s="1758" t="s">
        <v>164</v>
      </c>
      <c r="K19" s="1735">
        <v>41.8</v>
      </c>
      <c r="L19" s="1735">
        <v>55.4</v>
      </c>
      <c r="M19" s="1735">
        <v>43.7</v>
      </c>
      <c r="N19" s="1735">
        <v>46.3</v>
      </c>
      <c r="O19" s="1735"/>
      <c r="P19" s="1734">
        <f t="shared" si="1"/>
        <v>37.44</v>
      </c>
      <c r="R19" s="1809"/>
    </row>
    <row r="20" spans="2:19" ht="13.2">
      <c r="B20" s="1742" t="s">
        <v>1213</v>
      </c>
      <c r="C20" s="1739" t="s">
        <v>220</v>
      </c>
      <c r="D20" s="1735">
        <v>14.5</v>
      </c>
      <c r="E20" s="1735">
        <v>13</v>
      </c>
      <c r="F20" s="1735">
        <v>13</v>
      </c>
      <c r="G20" s="1735">
        <v>12</v>
      </c>
      <c r="H20" s="1735">
        <v>13</v>
      </c>
      <c r="I20" s="1816">
        <f t="shared" si="0"/>
        <v>13.1</v>
      </c>
      <c r="J20" s="1758" t="s">
        <v>164</v>
      </c>
      <c r="K20" s="1768">
        <v>69.900000000000006</v>
      </c>
      <c r="L20" s="1768">
        <v>74.400000000000006</v>
      </c>
      <c r="M20" s="1768">
        <v>67.5</v>
      </c>
      <c r="N20" s="1768">
        <v>53.1</v>
      </c>
      <c r="O20" s="1735">
        <v>67.8</v>
      </c>
      <c r="P20" s="1734">
        <f t="shared" si="1"/>
        <v>66.540000000000006</v>
      </c>
      <c r="R20" s="1809"/>
    </row>
    <row r="21" spans="2:19" ht="13.2">
      <c r="B21" s="1742" t="s">
        <v>1212</v>
      </c>
      <c r="C21" s="1739" t="s">
        <v>220</v>
      </c>
      <c r="D21" s="1735">
        <v>14.5</v>
      </c>
      <c r="E21" s="1735">
        <v>13</v>
      </c>
      <c r="F21" s="1735">
        <v>13</v>
      </c>
      <c r="G21" s="1735">
        <v>12</v>
      </c>
      <c r="H21" s="1735">
        <v>13</v>
      </c>
      <c r="I21" s="1816">
        <f t="shared" si="0"/>
        <v>13.1</v>
      </c>
      <c r="J21" s="1758" t="s">
        <v>164</v>
      </c>
      <c r="K21" s="1735">
        <v>69.900000000000006</v>
      </c>
      <c r="L21" s="1735">
        <v>73.099999999999994</v>
      </c>
      <c r="M21" s="1735">
        <v>67.400000000000006</v>
      </c>
      <c r="N21" s="1735">
        <v>58.5</v>
      </c>
      <c r="O21" s="1735">
        <v>67.8</v>
      </c>
      <c r="P21" s="1734">
        <f t="shared" si="1"/>
        <v>67.34</v>
      </c>
      <c r="R21" s="1809"/>
    </row>
    <row r="22" spans="2:19" ht="13.2">
      <c r="B22" s="1742" t="s">
        <v>1211</v>
      </c>
      <c r="C22" s="1739" t="s">
        <v>220</v>
      </c>
      <c r="D22" s="1735">
        <v>23.2</v>
      </c>
      <c r="E22" s="1735">
        <v>22.1</v>
      </c>
      <c r="F22" s="1735">
        <v>22.7</v>
      </c>
      <c r="G22" s="1735">
        <v>22.5</v>
      </c>
      <c r="H22" s="1735">
        <v>22.3</v>
      </c>
      <c r="I22" s="1816">
        <f t="shared" si="0"/>
        <v>22.56</v>
      </c>
      <c r="J22" s="1758" t="s">
        <v>164</v>
      </c>
      <c r="K22" s="1735">
        <v>60</v>
      </c>
      <c r="L22" s="1735">
        <v>60</v>
      </c>
      <c r="M22" s="1735">
        <v>60</v>
      </c>
      <c r="N22" s="1735">
        <v>55</v>
      </c>
      <c r="O22" s="1735">
        <v>60</v>
      </c>
      <c r="P22" s="1734">
        <f t="shared" si="1"/>
        <v>59</v>
      </c>
      <c r="R22" s="1809"/>
    </row>
    <row r="23" spans="2:19" ht="13.2">
      <c r="B23" s="1742" t="s">
        <v>1210</v>
      </c>
      <c r="C23" s="1739" t="s">
        <v>220</v>
      </c>
      <c r="D23" s="1735">
        <v>23.2</v>
      </c>
      <c r="E23" s="1735">
        <v>22.1</v>
      </c>
      <c r="F23" s="1735">
        <v>22.7</v>
      </c>
      <c r="G23" s="1735">
        <v>24.7</v>
      </c>
      <c r="H23" s="1735"/>
      <c r="I23" s="1816">
        <f t="shared" si="0"/>
        <v>18.54</v>
      </c>
      <c r="J23" s="1758" t="s">
        <v>164</v>
      </c>
      <c r="K23" s="1735">
        <v>50</v>
      </c>
      <c r="L23" s="1735">
        <v>50</v>
      </c>
      <c r="M23" s="1735">
        <v>50</v>
      </c>
      <c r="N23" s="1735">
        <v>45</v>
      </c>
      <c r="O23" s="1735"/>
      <c r="P23" s="1734">
        <f t="shared" si="1"/>
        <v>39</v>
      </c>
      <c r="R23" s="1809"/>
    </row>
    <row r="24" spans="2:19" ht="13.2">
      <c r="B24" s="1765" t="s">
        <v>69</v>
      </c>
      <c r="C24" s="1764" t="s">
        <v>220</v>
      </c>
      <c r="D24" s="1763">
        <v>16</v>
      </c>
      <c r="E24" s="1763">
        <v>12.5</v>
      </c>
      <c r="F24" s="1763">
        <v>17</v>
      </c>
      <c r="G24" s="1763">
        <v>15</v>
      </c>
      <c r="H24" s="1763">
        <v>14.2</v>
      </c>
      <c r="I24" s="1819">
        <f t="shared" si="0"/>
        <v>14.940000000000001</v>
      </c>
      <c r="J24" s="1762" t="s">
        <v>164</v>
      </c>
      <c r="K24" s="1761">
        <v>95.6</v>
      </c>
      <c r="L24" s="1761">
        <v>115.7</v>
      </c>
      <c r="M24" s="1761">
        <v>84.3</v>
      </c>
      <c r="N24" s="1761">
        <v>96.1</v>
      </c>
      <c r="O24" s="1767">
        <v>106.5</v>
      </c>
      <c r="P24" s="1818">
        <f t="shared" si="1"/>
        <v>99.640000000000015</v>
      </c>
      <c r="R24" s="1809">
        <f>(P24+'Erträge_4-J'!N24+'Erträge_3-J'!L24+'Erträge_2-J'!J24)/4</f>
        <v>99.305833333333339</v>
      </c>
      <c r="S24" s="1713">
        <f>(I24+'Erträge_4-J'!H24+'Erträge_3-J'!G24+'Erträge_2-J'!F24)/4</f>
        <v>14.90375</v>
      </c>
    </row>
    <row r="25" spans="2:19" ht="13.2">
      <c r="B25" s="1742" t="s">
        <v>1209</v>
      </c>
      <c r="C25" s="1739" t="s">
        <v>220</v>
      </c>
      <c r="D25" s="1735">
        <v>13</v>
      </c>
      <c r="E25" s="1735">
        <v>11.5</v>
      </c>
      <c r="F25" s="1735">
        <v>15.6</v>
      </c>
      <c r="G25" s="1735">
        <v>13.8</v>
      </c>
      <c r="H25" s="1735"/>
      <c r="I25" s="1816">
        <f t="shared" si="0"/>
        <v>10.780000000000001</v>
      </c>
      <c r="J25" s="1758" t="s">
        <v>164</v>
      </c>
      <c r="K25" s="1735">
        <v>135</v>
      </c>
      <c r="L25" s="1735">
        <v>140</v>
      </c>
      <c r="M25" s="1735">
        <v>103</v>
      </c>
      <c r="N25" s="1735">
        <v>130</v>
      </c>
      <c r="O25" s="1735"/>
      <c r="P25" s="1734">
        <f t="shared" si="1"/>
        <v>101.6</v>
      </c>
      <c r="R25" s="1809"/>
    </row>
    <row r="26" spans="2:19" ht="12.6" customHeight="1">
      <c r="B26" s="1742" t="s">
        <v>1208</v>
      </c>
      <c r="C26" s="1739" t="s">
        <v>220</v>
      </c>
      <c r="D26" s="1735"/>
      <c r="E26" s="1735"/>
      <c r="F26" s="1735">
        <v>21.5</v>
      </c>
      <c r="G26" s="1735">
        <v>15</v>
      </c>
      <c r="H26" s="1735"/>
      <c r="I26" s="1816">
        <f t="shared" si="0"/>
        <v>7.3</v>
      </c>
      <c r="J26" s="1758" t="s">
        <v>164</v>
      </c>
      <c r="K26" s="1735"/>
      <c r="L26" s="1735"/>
      <c r="M26" s="1735">
        <v>70</v>
      </c>
      <c r="N26" s="1735">
        <v>58.5</v>
      </c>
      <c r="O26" s="1735"/>
      <c r="P26" s="1734">
        <f t="shared" si="1"/>
        <v>25.7</v>
      </c>
      <c r="R26" s="1809"/>
    </row>
    <row r="27" spans="2:19" ht="13.2">
      <c r="B27" s="1742" t="s">
        <v>1207</v>
      </c>
      <c r="C27" s="1739" t="s">
        <v>220</v>
      </c>
      <c r="D27" s="1735">
        <f>D24-1</f>
        <v>15</v>
      </c>
      <c r="E27" s="1735">
        <f>E24-1</f>
        <v>11.5</v>
      </c>
      <c r="F27" s="1735">
        <f>F24-1</f>
        <v>16</v>
      </c>
      <c r="G27" s="1735">
        <f>G24-1</f>
        <v>14</v>
      </c>
      <c r="H27" s="1735">
        <f>H24-1</f>
        <v>13.2</v>
      </c>
      <c r="I27" s="1816">
        <f t="shared" si="0"/>
        <v>13.940000000000001</v>
      </c>
      <c r="J27" s="1758" t="s">
        <v>1206</v>
      </c>
      <c r="K27" s="1760"/>
      <c r="L27" s="1760"/>
      <c r="M27" s="1760"/>
      <c r="N27" s="1760"/>
      <c r="O27" s="1760"/>
      <c r="P27" s="1820">
        <f t="shared" si="1"/>
        <v>0</v>
      </c>
      <c r="R27" s="1809"/>
    </row>
    <row r="28" spans="2:19" ht="13.2">
      <c r="B28" s="1742" t="s">
        <v>1162</v>
      </c>
      <c r="C28" s="1739" t="s">
        <v>1205</v>
      </c>
      <c r="D28" s="1735">
        <v>2.5999999999999999E-2</v>
      </c>
      <c r="E28" s="1735">
        <v>2.1000000000000001E-2</v>
      </c>
      <c r="F28" s="1735">
        <v>2.4E-2</v>
      </c>
      <c r="G28" s="1735">
        <v>2.1000000000000001E-2</v>
      </c>
      <c r="H28" s="1735"/>
      <c r="I28" s="1816">
        <f t="shared" si="0"/>
        <v>1.8400000000000003E-2</v>
      </c>
      <c r="J28" s="1758" t="s">
        <v>164</v>
      </c>
      <c r="K28" s="1760">
        <v>85000</v>
      </c>
      <c r="L28" s="1760">
        <v>88000</v>
      </c>
      <c r="M28" s="1760">
        <v>70000</v>
      </c>
      <c r="N28" s="1760">
        <v>89000</v>
      </c>
      <c r="O28" s="1760"/>
      <c r="P28" s="1820">
        <f t="shared" si="1"/>
        <v>66400</v>
      </c>
      <c r="R28" s="1809"/>
    </row>
    <row r="29" spans="2:19" ht="12.6" customHeight="1">
      <c r="B29" s="1742" t="s">
        <v>1204</v>
      </c>
      <c r="C29" s="1739" t="s">
        <v>220</v>
      </c>
      <c r="D29" s="1735">
        <v>103.1</v>
      </c>
      <c r="E29" s="1735">
        <v>104.9</v>
      </c>
      <c r="F29" s="1735">
        <v>107.184</v>
      </c>
      <c r="G29" s="1735">
        <v>100.86</v>
      </c>
      <c r="H29" s="1735">
        <v>93.7</v>
      </c>
      <c r="I29" s="1816">
        <f t="shared" si="0"/>
        <v>101.94879999999999</v>
      </c>
      <c r="J29" s="1758" t="s">
        <v>164</v>
      </c>
      <c r="K29" s="1735">
        <v>37.450000000000003</v>
      </c>
      <c r="L29" s="1735">
        <v>37.85</v>
      </c>
      <c r="M29" s="1735">
        <v>36.25</v>
      </c>
      <c r="N29" s="1735">
        <v>41</v>
      </c>
      <c r="O29" s="1735">
        <v>44.3</v>
      </c>
      <c r="P29" s="1734">
        <f t="shared" si="1"/>
        <v>39.370000000000005</v>
      </c>
      <c r="R29" s="1809"/>
    </row>
    <row r="30" spans="2:19" ht="13.2">
      <c r="B30" s="1765" t="s">
        <v>1203</v>
      </c>
      <c r="C30" s="1764" t="s">
        <v>220</v>
      </c>
      <c r="D30" s="1763">
        <v>33.9</v>
      </c>
      <c r="E30" s="1763">
        <v>28.6</v>
      </c>
      <c r="F30" s="1763">
        <v>35</v>
      </c>
      <c r="G30" s="1763">
        <v>33.700000000000003</v>
      </c>
      <c r="H30" s="1763">
        <v>34.1</v>
      </c>
      <c r="I30" s="1819">
        <f t="shared" si="0"/>
        <v>33.059999999999995</v>
      </c>
      <c r="J30" s="1762" t="s">
        <v>164</v>
      </c>
      <c r="K30" s="1761">
        <v>37</v>
      </c>
      <c r="L30" s="1761">
        <v>47.2</v>
      </c>
      <c r="M30" s="1761">
        <v>40.799999999999997</v>
      </c>
      <c r="N30" s="1761">
        <v>38.799999999999997</v>
      </c>
      <c r="O30" s="1761">
        <f>$I$109</f>
        <v>37.700000000000003</v>
      </c>
      <c r="P30" s="1818">
        <f t="shared" si="1"/>
        <v>40.299999999999997</v>
      </c>
      <c r="R30" s="1809">
        <f>(P30+'Erträge_4-J'!N30+'Erträge_3-J'!L30+'Erträge_2-J'!J30)/4</f>
        <v>39.693750000000001</v>
      </c>
      <c r="S30" s="1713">
        <f>(I30+'Erträge_4-J'!H30+'Erträge_3-J'!G30+'Erträge_2-J'!F30)/4</f>
        <v>33.519166666666671</v>
      </c>
    </row>
    <row r="31" spans="2:19" ht="13.2">
      <c r="B31" s="1742" t="s">
        <v>1202</v>
      </c>
      <c r="C31" s="1739" t="s">
        <v>220</v>
      </c>
      <c r="D31" s="1735">
        <v>33.9</v>
      </c>
      <c r="E31" s="1735">
        <v>28.6</v>
      </c>
      <c r="F31" s="1735">
        <v>35</v>
      </c>
      <c r="G31" s="1735">
        <v>33.700000000000003</v>
      </c>
      <c r="H31" s="1735">
        <v>34.1</v>
      </c>
      <c r="I31" s="1816">
        <f t="shared" si="0"/>
        <v>33.059999999999995</v>
      </c>
      <c r="J31" s="1758" t="s">
        <v>164</v>
      </c>
      <c r="K31" s="1735">
        <v>17.899999999999999</v>
      </c>
      <c r="L31" s="1735">
        <v>24.2</v>
      </c>
      <c r="M31" s="1735">
        <v>24</v>
      </c>
      <c r="N31" s="1735">
        <v>22</v>
      </c>
      <c r="O31" s="1735">
        <v>24</v>
      </c>
      <c r="P31" s="1734">
        <f t="shared" si="1"/>
        <v>22.419999999999998</v>
      </c>
      <c r="R31" s="1809"/>
    </row>
    <row r="32" spans="2:19" ht="13.2">
      <c r="B32" s="1742" t="s">
        <v>59</v>
      </c>
      <c r="C32" s="1739" t="s">
        <v>220</v>
      </c>
      <c r="D32" s="1735">
        <v>40</v>
      </c>
      <c r="E32" s="1735">
        <v>30.6</v>
      </c>
      <c r="F32" s="1735">
        <v>37</v>
      </c>
      <c r="G32" s="1735">
        <v>35.700000000000003</v>
      </c>
      <c r="H32" s="1735">
        <v>37</v>
      </c>
      <c r="I32" s="1816">
        <f t="shared" si="0"/>
        <v>36.06</v>
      </c>
      <c r="J32" s="1758" t="s">
        <v>1201</v>
      </c>
      <c r="K32" s="1760">
        <v>22.5</v>
      </c>
      <c r="L32" s="1760">
        <v>23.9</v>
      </c>
      <c r="M32" s="1760">
        <v>24</v>
      </c>
      <c r="N32" s="1759">
        <v>22</v>
      </c>
      <c r="O32" s="1759">
        <v>24</v>
      </c>
      <c r="P32" s="1817">
        <f t="shared" si="1"/>
        <v>23.28</v>
      </c>
      <c r="R32" s="1809"/>
    </row>
    <row r="33" spans="1:18" ht="13.2" hidden="1">
      <c r="B33" s="1742" t="s">
        <v>1200</v>
      </c>
      <c r="C33" s="1739" t="s">
        <v>1199</v>
      </c>
      <c r="D33" s="1735">
        <v>0.35</v>
      </c>
      <c r="E33" s="1735">
        <v>0.3</v>
      </c>
      <c r="F33" s="1735">
        <v>0.33</v>
      </c>
      <c r="G33" s="1735">
        <v>0.31</v>
      </c>
      <c r="H33" s="1735"/>
      <c r="I33" s="1816">
        <f t="shared" si="0"/>
        <v>0.25800000000000001</v>
      </c>
      <c r="J33" s="1758" t="s">
        <v>164</v>
      </c>
      <c r="K33" s="1735">
        <v>8200</v>
      </c>
      <c r="L33" s="1735">
        <v>8500</v>
      </c>
      <c r="M33" s="1735">
        <v>6500</v>
      </c>
      <c r="N33" s="1735">
        <v>7400</v>
      </c>
      <c r="O33" s="1735"/>
      <c r="P33" s="1734">
        <f t="shared" si="1"/>
        <v>6120</v>
      </c>
      <c r="R33" s="1809"/>
    </row>
    <row r="34" spans="1:18" ht="13.2">
      <c r="B34" s="1742" t="s">
        <v>187</v>
      </c>
      <c r="C34" s="1739" t="s">
        <v>220</v>
      </c>
      <c r="D34" s="1735">
        <v>45</v>
      </c>
      <c r="E34" s="1735">
        <v>18</v>
      </c>
      <c r="F34" s="1735">
        <v>40</v>
      </c>
      <c r="G34" s="1735">
        <v>42</v>
      </c>
      <c r="H34" s="1735">
        <v>31</v>
      </c>
      <c r="I34" s="1816">
        <f t="shared" si="0"/>
        <v>35.200000000000003</v>
      </c>
      <c r="J34" s="1758" t="s">
        <v>164</v>
      </c>
      <c r="K34" s="1735">
        <v>290</v>
      </c>
      <c r="L34" s="1735">
        <v>270</v>
      </c>
      <c r="M34" s="1735">
        <v>260</v>
      </c>
      <c r="N34" s="1735">
        <v>240</v>
      </c>
      <c r="O34" s="1735">
        <v>260</v>
      </c>
      <c r="P34" s="1734">
        <f t="shared" si="1"/>
        <v>264</v>
      </c>
      <c r="R34" s="1809"/>
    </row>
    <row r="35" spans="1:18" ht="13.2">
      <c r="B35" s="1742" t="s">
        <v>618</v>
      </c>
      <c r="C35" s="1739" t="s">
        <v>220</v>
      </c>
      <c r="D35" s="1755">
        <v>24</v>
      </c>
      <c r="E35" s="1755">
        <v>13</v>
      </c>
      <c r="F35" s="1755">
        <v>21</v>
      </c>
      <c r="G35" s="1755">
        <v>18</v>
      </c>
      <c r="H35" s="1755">
        <v>13.5</v>
      </c>
      <c r="I35" s="1815">
        <f t="shared" si="0"/>
        <v>17.899999999999999</v>
      </c>
      <c r="J35" s="1757" t="s">
        <v>164</v>
      </c>
      <c r="K35" s="1756">
        <v>364.9</v>
      </c>
      <c r="L35" s="1756">
        <v>473.2</v>
      </c>
      <c r="M35" s="1756">
        <v>369.4</v>
      </c>
      <c r="N35" s="1756">
        <v>365.6</v>
      </c>
      <c r="O35" s="1755">
        <v>480</v>
      </c>
      <c r="P35" s="1814">
        <f t="shared" si="1"/>
        <v>410.62</v>
      </c>
      <c r="R35" s="1809"/>
    </row>
    <row r="36" spans="1:18" ht="13.2">
      <c r="B36" s="1742" t="s">
        <v>1198</v>
      </c>
      <c r="C36" s="1562" t="s">
        <v>220</v>
      </c>
      <c r="D36" s="1753">
        <v>42</v>
      </c>
      <c r="E36" s="1753">
        <v>24</v>
      </c>
      <c r="F36" s="1753">
        <v>30</v>
      </c>
      <c r="G36" s="1753">
        <v>28</v>
      </c>
      <c r="H36" s="1753">
        <v>25</v>
      </c>
      <c r="I36" s="1813">
        <f t="shared" si="0"/>
        <v>29.8</v>
      </c>
      <c r="J36" s="1754" t="s">
        <v>164</v>
      </c>
      <c r="K36" s="1753">
        <v>270</v>
      </c>
      <c r="L36" s="1753">
        <v>290</v>
      </c>
      <c r="M36" s="1753">
        <v>245</v>
      </c>
      <c r="N36" s="1753">
        <v>170</v>
      </c>
      <c r="O36" s="1753">
        <v>250</v>
      </c>
      <c r="P36" s="1812">
        <f t="shared" si="1"/>
        <v>245</v>
      </c>
      <c r="R36" s="1809"/>
    </row>
    <row r="37" spans="1:18" ht="13.8" thickBot="1">
      <c r="A37" s="1752"/>
      <c r="B37" s="1751" t="s">
        <v>44</v>
      </c>
      <c r="C37" s="1750" t="s">
        <v>220</v>
      </c>
      <c r="D37" s="1746">
        <v>3.45</v>
      </c>
      <c r="E37" s="1746">
        <v>3.3</v>
      </c>
      <c r="F37" s="1746">
        <v>3.63</v>
      </c>
      <c r="G37" s="1746">
        <v>3.53</v>
      </c>
      <c r="H37" s="1746">
        <v>3</v>
      </c>
      <c r="I37" s="1811">
        <f t="shared" si="0"/>
        <v>3.3819999999999992</v>
      </c>
      <c r="J37" s="1748" t="s">
        <v>164</v>
      </c>
      <c r="K37" s="1747">
        <v>753.9</v>
      </c>
      <c r="L37" s="1747">
        <v>878.4</v>
      </c>
      <c r="M37" s="1747">
        <v>673.8</v>
      </c>
      <c r="N37" s="1747">
        <v>775.2</v>
      </c>
      <c r="O37" s="1746">
        <v>910</v>
      </c>
      <c r="P37" s="1810">
        <f t="shared" si="1"/>
        <v>798.26</v>
      </c>
      <c r="R37" s="1809"/>
    </row>
    <row r="38" spans="1:18" ht="14.4" hidden="1" thickTop="1" thickBot="1">
      <c r="B38" s="1742" t="s">
        <v>1197</v>
      </c>
      <c r="C38" s="1739" t="s">
        <v>220</v>
      </c>
      <c r="D38" s="1745"/>
      <c r="E38" s="1745"/>
      <c r="F38" s="1745"/>
      <c r="G38" s="1745"/>
      <c r="H38" s="1745"/>
      <c r="I38" s="1743">
        <f t="shared" si="0"/>
        <v>0</v>
      </c>
      <c r="J38" s="1807" t="s">
        <v>164</v>
      </c>
      <c r="K38" s="1745"/>
      <c r="L38" s="1744"/>
      <c r="M38" s="1744"/>
      <c r="N38" s="1744"/>
      <c r="O38" s="1744"/>
      <c r="P38" s="1743">
        <f t="shared" si="1"/>
        <v>0</v>
      </c>
    </row>
    <row r="39" spans="1:18" ht="14.4" hidden="1" thickTop="1" thickBot="1">
      <c r="B39" s="1742" t="s">
        <v>1196</v>
      </c>
      <c r="C39" s="1739" t="s">
        <v>220</v>
      </c>
      <c r="D39" s="1736"/>
      <c r="E39" s="1736"/>
      <c r="F39" s="1736"/>
      <c r="G39" s="1736"/>
      <c r="H39" s="1736"/>
      <c r="I39" s="1734">
        <f t="shared" si="0"/>
        <v>0</v>
      </c>
      <c r="J39" s="1737" t="s">
        <v>164</v>
      </c>
      <c r="K39" s="1736"/>
      <c r="L39" s="1735"/>
      <c r="M39" s="1735"/>
      <c r="N39" s="1735"/>
      <c r="O39" s="1735"/>
      <c r="P39" s="1734">
        <f t="shared" si="1"/>
        <v>0</v>
      </c>
    </row>
    <row r="40" spans="1:18" ht="14.4" hidden="1" thickTop="1" thickBot="1">
      <c r="B40" s="1740" t="s">
        <v>1195</v>
      </c>
      <c r="C40" s="1739" t="s">
        <v>220</v>
      </c>
      <c r="D40" s="1738"/>
      <c r="E40" s="1738"/>
      <c r="F40" s="1738"/>
      <c r="G40" s="1738"/>
      <c r="H40" s="1738"/>
      <c r="I40" s="1734"/>
      <c r="J40" s="1737"/>
      <c r="K40" s="1736"/>
      <c r="L40" s="1735"/>
      <c r="M40" s="1735"/>
      <c r="N40" s="1735"/>
      <c r="O40" s="1735"/>
      <c r="P40" s="1734"/>
    </row>
    <row r="41" spans="1:18" ht="12" thickTop="1">
      <c r="A41" s="1733"/>
      <c r="B41" s="1732"/>
    </row>
    <row r="44" spans="1:18" ht="13.2">
      <c r="B44" s="1436" t="s">
        <v>1194</v>
      </c>
    </row>
    <row r="45" spans="1:18" ht="15.6" hidden="1">
      <c r="B45" s="1731" t="s">
        <v>1193</v>
      </c>
    </row>
    <row r="46" spans="1:18" ht="13.2" hidden="1">
      <c r="B46" s="1730" t="s">
        <v>1192</v>
      </c>
      <c r="C46" s="1721"/>
      <c r="D46" s="1721"/>
      <c r="E46" s="1721"/>
      <c r="F46" s="1729">
        <v>2011</v>
      </c>
      <c r="G46" s="1729">
        <v>2010</v>
      </c>
      <c r="H46" s="1729">
        <v>2009</v>
      </c>
      <c r="I46" s="1728">
        <v>2008</v>
      </c>
      <c r="J46" s="1728">
        <v>2007</v>
      </c>
      <c r="K46" s="1728"/>
      <c r="L46" s="1727" t="s">
        <v>1191</v>
      </c>
    </row>
    <row r="47" spans="1:18" ht="13.2" hidden="1">
      <c r="B47" s="1721"/>
      <c r="C47" s="1721"/>
      <c r="D47" s="1721"/>
      <c r="E47" s="1721"/>
      <c r="F47" s="1721"/>
      <c r="G47" s="1726"/>
      <c r="H47" s="1726"/>
      <c r="I47" s="1725"/>
      <c r="J47" s="1725"/>
      <c r="K47" s="1725"/>
      <c r="L47" s="1724"/>
    </row>
    <row r="48" spans="1:18" ht="13.2" hidden="1">
      <c r="B48" s="1723" t="s">
        <v>259</v>
      </c>
      <c r="C48" s="1721"/>
      <c r="D48" s="1721"/>
      <c r="E48" s="1721"/>
      <c r="F48" s="1722">
        <v>69.8</v>
      </c>
      <c r="G48" s="1721">
        <v>69</v>
      </c>
      <c r="H48" s="1721">
        <v>73.5</v>
      </c>
      <c r="I48" s="1720">
        <v>74.400000000000006</v>
      </c>
      <c r="J48" s="1720">
        <v>72.3</v>
      </c>
      <c r="K48" s="1720"/>
      <c r="L48" s="1720">
        <v>71.800000000000011</v>
      </c>
    </row>
    <row r="49" spans="2:12" ht="13.2" hidden="1">
      <c r="B49" s="1723" t="s">
        <v>80</v>
      </c>
      <c r="C49" s="1721"/>
      <c r="D49" s="1721"/>
      <c r="E49" s="1721"/>
      <c r="F49" s="1722"/>
      <c r="G49" s="1721">
        <v>56.1</v>
      </c>
      <c r="H49" s="1721">
        <v>60.1</v>
      </c>
      <c r="I49" s="1720">
        <v>59.1</v>
      </c>
      <c r="J49" s="1720">
        <v>54.8</v>
      </c>
      <c r="K49" s="1720"/>
      <c r="L49" s="1720">
        <v>57.525000000000006</v>
      </c>
    </row>
    <row r="50" spans="2:12" ht="13.2" hidden="1">
      <c r="B50" s="1723" t="s">
        <v>72</v>
      </c>
      <c r="C50" s="1721"/>
      <c r="D50" s="1721"/>
      <c r="E50" s="1721"/>
      <c r="F50" s="1722"/>
      <c r="G50" s="1721">
        <v>53.4</v>
      </c>
      <c r="H50" s="1721">
        <v>55.2</v>
      </c>
      <c r="I50" s="1720">
        <v>60.4</v>
      </c>
      <c r="J50" s="1720">
        <v>48.8</v>
      </c>
      <c r="K50" s="1720"/>
      <c r="L50" s="1720">
        <v>54.45</v>
      </c>
    </row>
    <row r="51" spans="2:12" ht="13.2" hidden="1">
      <c r="B51" s="1723" t="s">
        <v>930</v>
      </c>
      <c r="C51" s="1721"/>
      <c r="D51" s="1721"/>
      <c r="E51" s="1721"/>
      <c r="F51" s="1722"/>
      <c r="G51" s="1721">
        <v>55.7</v>
      </c>
      <c r="H51" s="1721">
        <v>60.2</v>
      </c>
      <c r="I51" s="1720">
        <v>58.8</v>
      </c>
      <c r="J51" s="1720">
        <v>53.1</v>
      </c>
      <c r="K51" s="1720"/>
      <c r="L51" s="1720">
        <v>56.949999999999996</v>
      </c>
    </row>
    <row r="52" spans="2:12" ht="13.2" hidden="1">
      <c r="B52" s="1723" t="s">
        <v>87</v>
      </c>
      <c r="C52" s="1721"/>
      <c r="D52" s="1721"/>
      <c r="E52" s="1721"/>
      <c r="F52" s="1722">
        <v>67.5</v>
      </c>
      <c r="G52" s="1721">
        <v>65.900000000000006</v>
      </c>
      <c r="H52" s="1721">
        <v>69</v>
      </c>
      <c r="I52" s="1720">
        <v>68.099999999999994</v>
      </c>
      <c r="J52" s="1720">
        <v>67.400000000000006</v>
      </c>
      <c r="K52" s="1720"/>
      <c r="L52" s="1720">
        <v>67.58</v>
      </c>
    </row>
    <row r="53" spans="2:12" ht="13.2" hidden="1">
      <c r="B53" s="1723" t="s">
        <v>85</v>
      </c>
      <c r="C53" s="1721"/>
      <c r="D53" s="1721"/>
      <c r="E53" s="1721"/>
      <c r="F53" s="1722">
        <v>61.7</v>
      </c>
      <c r="G53" s="1721">
        <v>62.1</v>
      </c>
      <c r="H53" s="1721">
        <v>65.599999999999994</v>
      </c>
      <c r="I53" s="1720">
        <v>58.4</v>
      </c>
      <c r="J53" s="1720">
        <v>60.2</v>
      </c>
      <c r="K53" s="1720"/>
      <c r="L53" s="1720">
        <v>61.6</v>
      </c>
    </row>
    <row r="54" spans="2:12" ht="13.2" hidden="1">
      <c r="B54" s="1723" t="s">
        <v>257</v>
      </c>
      <c r="C54" s="1721"/>
      <c r="D54" s="1721"/>
      <c r="E54" s="1721"/>
      <c r="F54" s="1722">
        <v>50.4</v>
      </c>
      <c r="G54" s="1721">
        <v>55</v>
      </c>
      <c r="H54" s="1721">
        <v>55.3</v>
      </c>
      <c r="I54" s="1720">
        <v>53.2</v>
      </c>
      <c r="J54" s="1720">
        <v>44.3</v>
      </c>
      <c r="K54" s="1720"/>
      <c r="L54" s="1720">
        <v>51.64</v>
      </c>
    </row>
    <row r="55" spans="2:12" ht="13.2" hidden="1">
      <c r="B55" s="1723" t="s">
        <v>74</v>
      </c>
      <c r="C55" s="1721"/>
      <c r="D55" s="1721"/>
      <c r="E55" s="1721"/>
      <c r="F55" s="1722">
        <v>47.8</v>
      </c>
      <c r="G55" s="1721">
        <v>49.5</v>
      </c>
      <c r="H55" s="1721">
        <v>59</v>
      </c>
      <c r="I55" s="1720">
        <v>55.5</v>
      </c>
      <c r="J55" s="1720">
        <v>44.7</v>
      </c>
      <c r="K55" s="1720"/>
      <c r="L55" s="1720">
        <v>51.3</v>
      </c>
    </row>
    <row r="56" spans="2:12" ht="13.2" hidden="1">
      <c r="B56" s="1723" t="s">
        <v>1190</v>
      </c>
      <c r="C56" s="1721"/>
      <c r="D56" s="1721"/>
      <c r="E56" s="1721"/>
      <c r="F56" s="1722">
        <v>121.2</v>
      </c>
      <c r="G56" s="1721">
        <v>98.5</v>
      </c>
      <c r="H56" s="1721">
        <v>109.2</v>
      </c>
      <c r="I56" s="1720">
        <v>105.4</v>
      </c>
      <c r="J56" s="1720">
        <v>97.9</v>
      </c>
      <c r="K56" s="1720"/>
      <c r="L56" s="1720">
        <v>106.43999999999998</v>
      </c>
    </row>
    <row r="57" spans="2:12" ht="13.2" hidden="1">
      <c r="B57" s="1723" t="s">
        <v>44</v>
      </c>
      <c r="C57" s="1721"/>
      <c r="D57" s="1721"/>
      <c r="E57" s="1721"/>
      <c r="F57" s="1722">
        <v>802.5</v>
      </c>
      <c r="G57" s="1721">
        <v>689.9</v>
      </c>
      <c r="H57" s="1721">
        <v>727.2</v>
      </c>
      <c r="I57" s="1720">
        <v>667.8</v>
      </c>
      <c r="J57" s="1720">
        <v>644.20000000000005</v>
      </c>
      <c r="K57" s="1720"/>
      <c r="L57" s="1720">
        <v>706.32</v>
      </c>
    </row>
    <row r="58" spans="2:12" ht="13.2" hidden="1">
      <c r="B58" s="1723" t="s">
        <v>187</v>
      </c>
      <c r="C58" s="1721"/>
      <c r="D58" s="1721"/>
      <c r="E58" s="1721"/>
      <c r="F58" s="1722"/>
      <c r="G58" s="1721"/>
      <c r="H58" s="1721">
        <v>270.7</v>
      </c>
      <c r="I58" s="1720">
        <v>282.39999999999998</v>
      </c>
      <c r="J58" s="1720">
        <v>283.7</v>
      </c>
      <c r="K58" s="1720"/>
      <c r="L58" s="1720">
        <v>278.93333333333334</v>
      </c>
    </row>
    <row r="59" spans="2:12" ht="13.2" hidden="1">
      <c r="B59" s="1723" t="s">
        <v>1189</v>
      </c>
      <c r="C59" s="1721"/>
      <c r="D59" s="1721"/>
      <c r="E59" s="1721"/>
      <c r="F59" s="1722"/>
      <c r="G59" s="1721"/>
      <c r="H59" s="1721">
        <v>387.2</v>
      </c>
      <c r="I59" s="1720">
        <v>371.3</v>
      </c>
      <c r="J59" s="1720">
        <v>363.3</v>
      </c>
      <c r="K59" s="1720"/>
      <c r="L59" s="1720">
        <v>373.93333333333334</v>
      </c>
    </row>
    <row r="60" spans="2:12" ht="13.2" hidden="1">
      <c r="B60" s="1723" t="s">
        <v>671</v>
      </c>
      <c r="C60" s="1721"/>
      <c r="D60" s="1721"/>
      <c r="E60" s="1721"/>
      <c r="F60" s="1722">
        <v>443.2</v>
      </c>
      <c r="G60" s="1721">
        <v>346.8</v>
      </c>
      <c r="H60" s="1721"/>
      <c r="I60" s="1720"/>
      <c r="J60" s="1720">
        <v>349.9</v>
      </c>
      <c r="K60" s="1720"/>
      <c r="L60" s="1720">
        <v>379.9666666666667</v>
      </c>
    </row>
    <row r="61" spans="2:12" ht="13.2" hidden="1">
      <c r="B61" s="1723" t="s">
        <v>63</v>
      </c>
      <c r="C61" s="1721"/>
      <c r="D61" s="1721"/>
      <c r="E61" s="1721"/>
      <c r="F61" s="1722">
        <v>26.5</v>
      </c>
      <c r="G61" s="1721">
        <v>38.799999999999997</v>
      </c>
      <c r="H61" s="1721">
        <v>41.8</v>
      </c>
      <c r="I61" s="1720">
        <v>37.4</v>
      </c>
      <c r="J61" s="1720">
        <v>42.1</v>
      </c>
      <c r="K61" s="1720"/>
      <c r="L61" s="1720">
        <v>37.32</v>
      </c>
    </row>
    <row r="62" spans="2:12" ht="13.2" hidden="1">
      <c r="B62" s="1723" t="s">
        <v>61</v>
      </c>
      <c r="C62" s="1721"/>
      <c r="D62" s="1721"/>
      <c r="E62" s="1721"/>
      <c r="F62" s="1722"/>
      <c r="G62" s="1721">
        <v>25.2</v>
      </c>
      <c r="H62" s="1721">
        <v>24.4</v>
      </c>
      <c r="I62" s="1720">
        <v>26.2</v>
      </c>
      <c r="J62" s="1720">
        <v>24.9</v>
      </c>
      <c r="K62" s="1720"/>
      <c r="L62" s="1720">
        <v>25.174999999999997</v>
      </c>
    </row>
    <row r="63" spans="2:12" ht="13.2" hidden="1">
      <c r="B63" s="1723" t="s">
        <v>53</v>
      </c>
      <c r="C63" s="1721"/>
      <c r="D63" s="1721"/>
      <c r="E63" s="1721"/>
      <c r="F63" s="1722"/>
      <c r="G63" s="1721">
        <v>34.6</v>
      </c>
      <c r="H63" s="1721">
        <v>35.9</v>
      </c>
      <c r="I63" s="1720">
        <v>36.700000000000003</v>
      </c>
      <c r="J63" s="1720">
        <v>34</v>
      </c>
      <c r="K63" s="1720"/>
      <c r="L63" s="1720">
        <v>35.299999999999997</v>
      </c>
    </row>
    <row r="64" spans="2:12" ht="13.2" hidden="1">
      <c r="B64" s="1723" t="s">
        <v>51</v>
      </c>
      <c r="C64" s="1721"/>
      <c r="D64" s="1721"/>
      <c r="E64" s="1721"/>
      <c r="F64" s="1722"/>
      <c r="G64" s="1721">
        <v>32.299999999999997</v>
      </c>
      <c r="H64" s="1721">
        <v>33.5</v>
      </c>
      <c r="I64" s="1720">
        <v>35</v>
      </c>
      <c r="J64" s="1720">
        <v>31.6</v>
      </c>
      <c r="K64" s="1720"/>
      <c r="L64" s="1720">
        <v>33.1</v>
      </c>
    </row>
    <row r="65" spans="2:12" ht="13.2" hidden="1">
      <c r="B65" s="1723" t="s">
        <v>1162</v>
      </c>
      <c r="C65" s="1721"/>
      <c r="D65" s="1721"/>
      <c r="E65" s="1721"/>
      <c r="F65" s="1722">
        <v>484.8</v>
      </c>
      <c r="G65" s="1721">
        <v>439.1</v>
      </c>
      <c r="H65" s="1721">
        <v>484.4</v>
      </c>
      <c r="I65" s="1720">
        <v>478.4</v>
      </c>
      <c r="J65" s="1720">
        <v>469.5</v>
      </c>
      <c r="K65" s="1720"/>
      <c r="L65" s="1720">
        <v>471.24000000000007</v>
      </c>
    </row>
    <row r="66" spans="2:12" ht="13.2" hidden="1">
      <c r="B66" s="1723" t="s">
        <v>1188</v>
      </c>
      <c r="C66" s="1721"/>
      <c r="D66" s="1721"/>
      <c r="E66" s="1721"/>
      <c r="F66" s="1722"/>
      <c r="G66" s="1721"/>
      <c r="H66" s="1721">
        <v>80.099999999999994</v>
      </c>
      <c r="I66" s="1720">
        <v>76.5</v>
      </c>
      <c r="J66" s="1720">
        <v>76.2</v>
      </c>
      <c r="K66" s="1720"/>
      <c r="L66" s="1720">
        <v>77.600000000000009</v>
      </c>
    </row>
    <row r="67" spans="2:12" ht="13.2" hidden="1">
      <c r="B67" s="1723" t="s">
        <v>1187</v>
      </c>
      <c r="C67" s="1721"/>
      <c r="D67" s="1721"/>
      <c r="E67" s="1721"/>
      <c r="F67" s="1722"/>
      <c r="G67" s="1721"/>
      <c r="H67" s="1721">
        <v>82</v>
      </c>
      <c r="I67" s="1720">
        <v>78.5</v>
      </c>
      <c r="J67" s="1720">
        <v>81.2</v>
      </c>
      <c r="K67" s="1720"/>
      <c r="L67" s="1720">
        <v>80.566666666666663</v>
      </c>
    </row>
    <row r="68" spans="2:12" ht="13.2" hidden="1">
      <c r="B68" s="1723" t="s">
        <v>1186</v>
      </c>
      <c r="C68" s="1721"/>
      <c r="D68" s="1721"/>
      <c r="E68" s="1721"/>
      <c r="F68" s="1722">
        <v>66.599999999999994</v>
      </c>
      <c r="G68" s="1721">
        <v>63.6</v>
      </c>
      <c r="H68" s="1721"/>
      <c r="I68" s="1720"/>
      <c r="J68" s="1720"/>
      <c r="K68" s="1720"/>
      <c r="L68" s="1720">
        <v>65.099999999999994</v>
      </c>
    </row>
    <row r="69" spans="2:12" ht="13.2" hidden="1">
      <c r="B69" s="1723" t="s">
        <v>1185</v>
      </c>
      <c r="C69" s="1721"/>
      <c r="D69" s="1721"/>
      <c r="E69" s="1721"/>
      <c r="F69" s="1722">
        <v>57.2</v>
      </c>
      <c r="G69" s="1721">
        <v>57.5</v>
      </c>
      <c r="H69" s="1721">
        <v>72.8</v>
      </c>
      <c r="I69" s="1720">
        <v>71.2</v>
      </c>
      <c r="J69" s="1720">
        <v>73</v>
      </c>
      <c r="K69" s="1720"/>
      <c r="L69" s="1720">
        <v>66.34</v>
      </c>
    </row>
    <row r="70" spans="2:12" ht="13.2" hidden="1">
      <c r="B70" s="1723" t="s">
        <v>1184</v>
      </c>
      <c r="C70" s="1721"/>
      <c r="D70" s="1721"/>
      <c r="E70" s="1721"/>
      <c r="F70" s="1722">
        <v>66</v>
      </c>
      <c r="G70" s="1721">
        <v>62.9</v>
      </c>
      <c r="H70" s="1721">
        <v>76.3</v>
      </c>
      <c r="I70" s="1720">
        <v>75.3</v>
      </c>
      <c r="J70" s="1720">
        <v>73.099999999999994</v>
      </c>
      <c r="K70" s="1720"/>
      <c r="L70" s="1720">
        <v>70.72</v>
      </c>
    </row>
    <row r="71" spans="2:12" ht="13.2">
      <c r="C71" s="3764" t="s">
        <v>1183</v>
      </c>
      <c r="D71" s="3765"/>
      <c r="E71" s="3765"/>
      <c r="F71" s="3765"/>
      <c r="G71" s="3765"/>
    </row>
    <row r="72" spans="2:12">
      <c r="B72" s="3766" t="s">
        <v>1182</v>
      </c>
      <c r="C72" s="1713">
        <v>2013</v>
      </c>
      <c r="D72" s="1713">
        <v>2014</v>
      </c>
      <c r="E72" s="1713">
        <v>2015</v>
      </c>
      <c r="F72" s="1713">
        <v>2016</v>
      </c>
      <c r="G72" s="1713">
        <v>2017</v>
      </c>
    </row>
    <row r="73" spans="2:12" ht="13.2">
      <c r="B73" s="3767"/>
      <c r="C73" s="3768" t="s">
        <v>164</v>
      </c>
      <c r="D73" s="3769"/>
      <c r="E73" s="3769"/>
      <c r="F73" s="3769"/>
      <c r="G73" s="3769"/>
    </row>
    <row r="74" spans="2:12" ht="13.2">
      <c r="B74" s="1718" t="s">
        <v>259</v>
      </c>
      <c r="C74" s="1715">
        <v>74.099999999999994</v>
      </c>
      <c r="D74" s="1715">
        <v>83.5</v>
      </c>
      <c r="E74" s="1715">
        <v>76.3</v>
      </c>
      <c r="F74" s="1715">
        <v>66.099999999999994</v>
      </c>
      <c r="G74" s="1715" t="s">
        <v>1161</v>
      </c>
    </row>
    <row r="75" spans="2:12" ht="13.2">
      <c r="B75" s="1718" t="s">
        <v>85</v>
      </c>
      <c r="C75" s="1715">
        <v>68.3</v>
      </c>
      <c r="D75" s="1715">
        <v>76.2</v>
      </c>
      <c r="E75" s="1715">
        <v>67.400000000000006</v>
      </c>
      <c r="F75" s="1715">
        <v>67.400000000000006</v>
      </c>
      <c r="G75" s="1715" t="s">
        <v>1161</v>
      </c>
    </row>
    <row r="76" spans="2:12" ht="13.2">
      <c r="B76" s="1718" t="s">
        <v>257</v>
      </c>
      <c r="C76" s="1715">
        <v>55.4</v>
      </c>
      <c r="D76" s="1715">
        <v>59.7</v>
      </c>
      <c r="E76" s="1715">
        <v>53.9</v>
      </c>
      <c r="F76" s="1715">
        <v>49.6</v>
      </c>
      <c r="G76" s="1715" t="s">
        <v>1161</v>
      </c>
    </row>
    <row r="77" spans="2:12" ht="13.2">
      <c r="B77" s="1718" t="s">
        <v>74</v>
      </c>
      <c r="C77" s="1715">
        <v>45.2</v>
      </c>
      <c r="D77" s="1715">
        <v>52.5</v>
      </c>
      <c r="E77" s="1715">
        <v>46.6</v>
      </c>
      <c r="F77" s="1715">
        <v>45.6</v>
      </c>
      <c r="G77" s="1715" t="s">
        <v>1161</v>
      </c>
    </row>
    <row r="78" spans="2:12" ht="13.2">
      <c r="B78" s="1718" t="s">
        <v>87</v>
      </c>
      <c r="C78" s="1715">
        <v>69.900000000000006</v>
      </c>
      <c r="D78" s="1715">
        <v>74.400000000000006</v>
      </c>
      <c r="E78" s="1715">
        <v>67.5</v>
      </c>
      <c r="F78" s="1715">
        <v>53.1</v>
      </c>
      <c r="G78" s="1715" t="s">
        <v>1161</v>
      </c>
    </row>
    <row r="79" spans="2:12" ht="13.2">
      <c r="B79" s="1718" t="s">
        <v>69</v>
      </c>
      <c r="C79" s="1715">
        <v>95.6</v>
      </c>
      <c r="D79" s="1715">
        <v>115.7</v>
      </c>
      <c r="E79" s="1715">
        <v>84.3</v>
      </c>
      <c r="F79" s="1715">
        <v>96.1</v>
      </c>
      <c r="G79" s="1715" t="s">
        <v>1161</v>
      </c>
    </row>
    <row r="80" spans="2:12" ht="13.2">
      <c r="B80" s="1718" t="s">
        <v>671</v>
      </c>
      <c r="C80" s="1715">
        <v>364.9</v>
      </c>
      <c r="D80" s="1715">
        <v>473.2</v>
      </c>
      <c r="E80" s="1715">
        <v>369.4</v>
      </c>
      <c r="F80" s="1715">
        <v>365.6</v>
      </c>
      <c r="G80" s="1715" t="s">
        <v>1161</v>
      </c>
    </row>
    <row r="81" spans="2:10" ht="13.2">
      <c r="B81" s="1718" t="s">
        <v>44</v>
      </c>
      <c r="C81" s="1715">
        <v>753.9</v>
      </c>
      <c r="D81" s="1715">
        <v>878.4</v>
      </c>
      <c r="E81" s="1715">
        <v>673.8</v>
      </c>
      <c r="F81" s="1715">
        <v>775.2</v>
      </c>
      <c r="G81" s="1715" t="s">
        <v>1161</v>
      </c>
    </row>
    <row r="82" spans="2:10" ht="13.2">
      <c r="B82" s="1718" t="s">
        <v>63</v>
      </c>
      <c r="C82" s="1715">
        <v>37</v>
      </c>
      <c r="D82" s="1715">
        <v>47.2</v>
      </c>
      <c r="E82" s="1715">
        <v>40.799999999999997</v>
      </c>
      <c r="F82" s="1715">
        <v>38.799999999999997</v>
      </c>
      <c r="G82" s="1715" t="s">
        <v>1161</v>
      </c>
    </row>
    <row r="83" spans="2:10" ht="13.2">
      <c r="B83" s="1718" t="s">
        <v>1162</v>
      </c>
      <c r="C83" s="1715">
        <v>426.6</v>
      </c>
      <c r="D83" s="1715">
        <v>485.3</v>
      </c>
      <c r="E83" s="1715">
        <v>393.2</v>
      </c>
      <c r="F83" s="1715">
        <v>427.1</v>
      </c>
      <c r="G83" s="1715" t="s">
        <v>1161</v>
      </c>
    </row>
    <row r="84" spans="2:10" ht="15.6">
      <c r="B84" s="1718" t="s">
        <v>1181</v>
      </c>
      <c r="C84" s="1715">
        <v>56.6</v>
      </c>
      <c r="D84" s="1715">
        <v>59.1</v>
      </c>
      <c r="E84" s="1715">
        <v>48.5</v>
      </c>
      <c r="F84" s="1715">
        <v>61.9</v>
      </c>
      <c r="G84" s="1715" t="s">
        <v>1161</v>
      </c>
    </row>
    <row r="85" spans="2:10" ht="15.6">
      <c r="B85" s="1718" t="s">
        <v>1180</v>
      </c>
      <c r="C85" s="1715">
        <v>63.4</v>
      </c>
      <c r="D85" s="1715">
        <v>57.5</v>
      </c>
      <c r="E85" s="1715">
        <v>47.4</v>
      </c>
      <c r="F85" s="1715">
        <v>52.3</v>
      </c>
      <c r="G85" s="1715" t="s">
        <v>1161</v>
      </c>
    </row>
    <row r="87" spans="2:10" ht="13.2" customHeight="1">
      <c r="B87" s="3770" t="s">
        <v>1179</v>
      </c>
      <c r="C87" s="3770"/>
      <c r="D87" s="3770"/>
      <c r="E87" s="3770"/>
      <c r="F87" s="3770"/>
      <c r="G87" s="3770"/>
      <c r="H87" s="3770"/>
      <c r="I87" s="3770"/>
      <c r="J87" s="3770"/>
    </row>
    <row r="88" spans="2:10" ht="13.2">
      <c r="B88" s="3771" t="s">
        <v>1178</v>
      </c>
      <c r="C88" s="3771" t="s">
        <v>1177</v>
      </c>
      <c r="D88" s="3771"/>
      <c r="E88" s="3771"/>
      <c r="F88" s="3771"/>
      <c r="G88" s="3771"/>
      <c r="H88" s="3770"/>
      <c r="I88" s="3770"/>
      <c r="J88" s="1719"/>
    </row>
    <row r="89" spans="2:10" ht="13.2">
      <c r="B89" s="3771"/>
      <c r="C89" s="3771"/>
      <c r="D89" s="3771"/>
      <c r="E89" s="3771"/>
      <c r="F89" s="3771"/>
      <c r="G89" s="3771"/>
      <c r="H89" s="3770"/>
      <c r="I89" s="3770"/>
      <c r="J89" s="1719"/>
    </row>
    <row r="90" spans="2:10" ht="26.4" customHeight="1">
      <c r="B90" s="3771"/>
      <c r="C90" s="3771"/>
      <c r="D90" s="3771"/>
      <c r="E90" s="3771"/>
      <c r="F90" s="3771"/>
      <c r="G90" s="3771"/>
      <c r="H90" s="3770"/>
      <c r="I90" s="3770"/>
      <c r="J90" s="1719"/>
    </row>
    <row r="91" spans="2:10" ht="39.6">
      <c r="B91" s="3771"/>
      <c r="C91" s="1719" t="s">
        <v>1176</v>
      </c>
      <c r="D91" s="1719" t="s">
        <v>1175</v>
      </c>
      <c r="E91" s="1719" t="s">
        <v>1174</v>
      </c>
      <c r="F91" s="1719" t="s">
        <v>1173</v>
      </c>
      <c r="G91" s="1719" t="s">
        <v>1172</v>
      </c>
      <c r="H91" s="1719"/>
      <c r="I91" s="1719" t="s">
        <v>1171</v>
      </c>
      <c r="J91" s="1719"/>
    </row>
    <row r="92" spans="2:10" ht="13.2" customHeight="1">
      <c r="B92" s="3771"/>
      <c r="C92" s="3770" t="s">
        <v>164</v>
      </c>
      <c r="D92" s="3770"/>
      <c r="E92" s="3770"/>
      <c r="F92" s="3770"/>
      <c r="G92" s="3770"/>
      <c r="H92" s="3770"/>
      <c r="I92" s="3770"/>
      <c r="J92" s="3770"/>
    </row>
    <row r="93" spans="2:10" ht="13.2">
      <c r="B93" s="1718" t="s">
        <v>1170</v>
      </c>
      <c r="C93" s="1717" t="s">
        <v>160</v>
      </c>
      <c r="D93" s="1717" t="s">
        <v>160</v>
      </c>
      <c r="E93" s="1717">
        <v>73.8</v>
      </c>
      <c r="F93" s="1717" t="s">
        <v>160</v>
      </c>
      <c r="G93" s="1717" t="s">
        <v>160</v>
      </c>
      <c r="H93" s="1715"/>
      <c r="I93" s="1716"/>
      <c r="J93" s="1715"/>
    </row>
    <row r="94" spans="2:10" ht="15.6">
      <c r="B94" s="1718" t="s">
        <v>1169</v>
      </c>
      <c r="C94" s="1717" t="s">
        <v>160</v>
      </c>
      <c r="D94" s="1717" t="s">
        <v>160</v>
      </c>
      <c r="E94" s="1717">
        <v>97.1</v>
      </c>
      <c r="F94" s="1717" t="s">
        <v>1161</v>
      </c>
      <c r="G94" s="1717" t="s">
        <v>160</v>
      </c>
      <c r="H94" s="1715"/>
      <c r="I94" s="1716">
        <v>97.1</v>
      </c>
      <c r="J94" s="1715"/>
    </row>
    <row r="95" spans="2:10" ht="13.2">
      <c r="B95" s="1718" t="s">
        <v>1168</v>
      </c>
      <c r="C95" s="1717">
        <v>69</v>
      </c>
      <c r="D95" s="1717">
        <v>69.900000000000006</v>
      </c>
      <c r="E95" s="1717">
        <v>70.3</v>
      </c>
      <c r="F95" s="1717" t="s">
        <v>160</v>
      </c>
      <c r="G95" s="1717" t="s">
        <v>160</v>
      </c>
      <c r="H95" s="1715"/>
      <c r="I95" s="1716"/>
      <c r="J95" s="1715"/>
    </row>
    <row r="96" spans="2:10" ht="13.2">
      <c r="B96" s="1718" t="s">
        <v>1167</v>
      </c>
      <c r="C96" s="1717">
        <v>73</v>
      </c>
      <c r="D96" s="1717">
        <v>72.900000000000006</v>
      </c>
      <c r="E96" s="1717">
        <v>74</v>
      </c>
      <c r="F96" s="1717" t="s">
        <v>160</v>
      </c>
      <c r="G96" s="1717" t="s">
        <v>160</v>
      </c>
      <c r="H96" s="1715"/>
      <c r="I96" s="1716"/>
      <c r="J96" s="1715"/>
    </row>
    <row r="97" spans="2:10" ht="15.6">
      <c r="B97" s="1718" t="s">
        <v>1166</v>
      </c>
      <c r="C97" s="1717">
        <v>73.400000000000006</v>
      </c>
      <c r="D97" s="1717">
        <v>73.2</v>
      </c>
      <c r="E97" s="1717">
        <v>74.2</v>
      </c>
      <c r="F97" s="1717" t="s">
        <v>160</v>
      </c>
      <c r="G97" s="1717" t="s">
        <v>160</v>
      </c>
      <c r="H97" s="1715"/>
      <c r="I97" s="1716">
        <f>(C97+D97+E97)/3</f>
        <v>73.600000000000009</v>
      </c>
      <c r="J97" s="1715"/>
    </row>
    <row r="98" spans="2:10" ht="13.2">
      <c r="B98" s="1718" t="s">
        <v>80</v>
      </c>
      <c r="C98" s="1717">
        <v>57.4</v>
      </c>
      <c r="D98" s="1717">
        <v>55.7</v>
      </c>
      <c r="E98" s="1717">
        <v>62</v>
      </c>
      <c r="F98" s="1717" t="s">
        <v>160</v>
      </c>
      <c r="G98" s="1717" t="s">
        <v>160</v>
      </c>
      <c r="H98" s="1715"/>
      <c r="I98" s="1716"/>
      <c r="J98" s="1715"/>
    </row>
    <row r="99" spans="2:10" ht="13.2">
      <c r="B99" s="1718" t="s">
        <v>1165</v>
      </c>
      <c r="C99" s="1717">
        <v>52.4</v>
      </c>
      <c r="D99" s="1717">
        <v>54.3</v>
      </c>
      <c r="E99" s="1717">
        <v>54.1</v>
      </c>
      <c r="F99" s="1717" t="s">
        <v>160</v>
      </c>
      <c r="G99" s="1717" t="s">
        <v>160</v>
      </c>
      <c r="H99" s="1715"/>
      <c r="I99" s="1716"/>
      <c r="J99" s="1715"/>
    </row>
    <row r="100" spans="2:10" ht="13.2">
      <c r="B100" s="1718" t="s">
        <v>1164</v>
      </c>
      <c r="C100" s="1717">
        <v>66</v>
      </c>
      <c r="D100" s="1717">
        <v>69</v>
      </c>
      <c r="E100" s="1717">
        <v>68.400000000000006</v>
      </c>
      <c r="F100" s="1717" t="s">
        <v>160</v>
      </c>
      <c r="G100" s="1717" t="s">
        <v>160</v>
      </c>
      <c r="H100" s="1715"/>
      <c r="I100" s="1716"/>
      <c r="J100" s="1715"/>
    </row>
    <row r="101" spans="2:10" ht="13.2">
      <c r="B101" s="1718" t="s">
        <v>85</v>
      </c>
      <c r="C101" s="1717">
        <v>71.599999999999994</v>
      </c>
      <c r="D101" s="1717">
        <v>75.2</v>
      </c>
      <c r="E101" s="1717">
        <v>74.099999999999994</v>
      </c>
      <c r="F101" s="1717" t="s">
        <v>160</v>
      </c>
      <c r="G101" s="1717" t="s">
        <v>160</v>
      </c>
      <c r="H101" s="1715"/>
      <c r="I101" s="1716">
        <f>(C101+D101+E101)/3</f>
        <v>73.63333333333334</v>
      </c>
      <c r="J101" s="1715"/>
    </row>
    <row r="102" spans="2:10" ht="13.2">
      <c r="B102" s="1718" t="s">
        <v>257</v>
      </c>
      <c r="C102" s="1717">
        <v>56.5</v>
      </c>
      <c r="D102" s="1717">
        <v>58.5</v>
      </c>
      <c r="E102" s="1717">
        <v>58.8</v>
      </c>
      <c r="F102" s="1717" t="s">
        <v>160</v>
      </c>
      <c r="G102" s="1717" t="s">
        <v>160</v>
      </c>
      <c r="H102" s="1715"/>
      <c r="I102" s="1716"/>
      <c r="J102" s="1715"/>
    </row>
    <row r="103" spans="2:10" ht="13.2">
      <c r="B103" s="1718" t="s">
        <v>74</v>
      </c>
      <c r="C103" s="1717">
        <v>49.7</v>
      </c>
      <c r="D103" s="1717">
        <v>50.8</v>
      </c>
      <c r="E103" s="1717">
        <v>49.1</v>
      </c>
      <c r="F103" s="1717" t="s">
        <v>160</v>
      </c>
      <c r="G103" s="1717" t="s">
        <v>160</v>
      </c>
      <c r="H103" s="1715"/>
      <c r="I103" s="1716"/>
      <c r="J103" s="1715"/>
    </row>
    <row r="104" spans="2:10" ht="13.2">
      <c r="B104" s="1718" t="s">
        <v>87</v>
      </c>
      <c r="C104" s="1717">
        <v>73.099999999999994</v>
      </c>
      <c r="D104" s="1717">
        <v>72.5</v>
      </c>
      <c r="E104" s="1717">
        <v>72.400000000000006</v>
      </c>
      <c r="F104" s="1717" t="s">
        <v>160</v>
      </c>
      <c r="G104" s="1717" t="s">
        <v>160</v>
      </c>
      <c r="H104" s="1715"/>
      <c r="I104" s="1716">
        <f>(C104+D104+E104)/3</f>
        <v>72.666666666666671</v>
      </c>
      <c r="J104" s="1715"/>
    </row>
    <row r="105" spans="2:10" ht="13.2">
      <c r="B105" s="1718" t="s">
        <v>53</v>
      </c>
      <c r="C105" s="1717" t="s">
        <v>160</v>
      </c>
      <c r="D105" s="1717">
        <v>37.4</v>
      </c>
      <c r="E105" s="1717">
        <v>36.1</v>
      </c>
      <c r="F105" s="1717" t="s">
        <v>160</v>
      </c>
      <c r="G105" s="1717" t="s">
        <v>160</v>
      </c>
      <c r="H105" s="1715"/>
      <c r="I105" s="1716"/>
      <c r="J105" s="1715"/>
    </row>
    <row r="106" spans="2:10" ht="13.2">
      <c r="B106" s="1718" t="s">
        <v>51</v>
      </c>
      <c r="C106" s="1717" t="s">
        <v>160</v>
      </c>
      <c r="D106" s="1717" t="s">
        <v>160</v>
      </c>
      <c r="E106" s="1717">
        <v>29.1</v>
      </c>
      <c r="F106" s="1717" t="s">
        <v>160</v>
      </c>
      <c r="G106" s="1717" t="s">
        <v>160</v>
      </c>
      <c r="H106" s="1715"/>
      <c r="I106" s="1716"/>
      <c r="J106" s="1715"/>
    </row>
    <row r="107" spans="2:10" ht="13.2">
      <c r="B107" s="1718" t="s">
        <v>1163</v>
      </c>
      <c r="C107" s="1717" t="s">
        <v>160</v>
      </c>
      <c r="D107" s="1717" t="s">
        <v>160</v>
      </c>
      <c r="E107" s="1717">
        <v>362.8</v>
      </c>
      <c r="F107" s="1717" t="s">
        <v>160</v>
      </c>
      <c r="G107" s="1717" t="s">
        <v>160</v>
      </c>
      <c r="H107" s="1715"/>
      <c r="I107" s="1716"/>
      <c r="J107" s="1715"/>
    </row>
    <row r="108" spans="2:10" ht="13.2">
      <c r="B108" s="1718" t="s">
        <v>44</v>
      </c>
      <c r="C108" s="1717" t="s">
        <v>160</v>
      </c>
      <c r="D108" s="1717" t="s">
        <v>160</v>
      </c>
      <c r="E108" s="1717" t="s">
        <v>160</v>
      </c>
      <c r="F108" s="1717" t="s">
        <v>160</v>
      </c>
      <c r="G108" s="1717" t="s">
        <v>1161</v>
      </c>
      <c r="H108" s="1715"/>
      <c r="I108" s="1716"/>
      <c r="J108" s="1715"/>
    </row>
    <row r="109" spans="2:10" ht="13.2">
      <c r="B109" s="1718" t="s">
        <v>63</v>
      </c>
      <c r="C109" s="1717">
        <v>38.1</v>
      </c>
      <c r="D109" s="1717">
        <v>36.700000000000003</v>
      </c>
      <c r="E109" s="1717">
        <v>38.299999999999997</v>
      </c>
      <c r="F109" s="1717" t="s">
        <v>160</v>
      </c>
      <c r="G109" s="1717" t="s">
        <v>160</v>
      </c>
      <c r="H109" s="1715"/>
      <c r="I109" s="1716">
        <f>(C109+D109+E109)/3</f>
        <v>37.700000000000003</v>
      </c>
      <c r="J109" s="1715"/>
    </row>
    <row r="110" spans="2:10" ht="13.2">
      <c r="B110" s="1718" t="s">
        <v>1162</v>
      </c>
      <c r="C110" s="1717" t="s">
        <v>160</v>
      </c>
      <c r="D110" s="1717" t="s">
        <v>160</v>
      </c>
      <c r="E110" s="1717">
        <v>460.5</v>
      </c>
      <c r="F110" s="1717" t="s">
        <v>1161</v>
      </c>
      <c r="G110" s="1717" t="s">
        <v>160</v>
      </c>
      <c r="H110" s="1715"/>
      <c r="I110" s="1716"/>
      <c r="J110" s="1715"/>
    </row>
    <row r="111" spans="2:10" ht="12.6">
      <c r="B111" s="1714" t="s">
        <v>1160</v>
      </c>
    </row>
    <row r="112" spans="2:10" ht="12.6">
      <c r="B112" s="1714" t="s">
        <v>1159</v>
      </c>
    </row>
    <row r="113" spans="2:2" ht="12.6">
      <c r="B113" s="1714" t="s">
        <v>1158</v>
      </c>
    </row>
    <row r="114" spans="2:2" ht="12.6">
      <c r="B114" s="1714" t="s">
        <v>1157</v>
      </c>
    </row>
  </sheetData>
  <customSheetViews>
    <customSheetView guid="{8063F48F-80B5-4ECD-B18A-51CBF126E780}"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customSheetView>
    <customSheetView guid="{5D5C9B61-9ABD-4513-AAEB-8333A9D6196C}"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2"/>
      <headerFooter>
        <oddFooter>&amp;L&amp;9LEL Schwäbisch Gmünd, Abt. II&amp;C&amp;9&amp;F&amp;R&amp;9&amp;A</oddFooter>
      </headerFooter>
    </customSheetView>
    <customSheetView guid="{22A73C4F-9004-4CEF-8499-B1F91BE1B569}"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3"/>
      <headerFooter>
        <oddFooter>&amp;L&amp;9LEL Schwäbisch Gmünd, Abt. II&amp;C&amp;9&amp;F&amp;R&amp;9&amp;A</oddFooter>
      </headerFooter>
    </customSheetView>
  </customSheetViews>
  <mergeCells count="10">
    <mergeCell ref="B72:B73"/>
    <mergeCell ref="C73:G73"/>
    <mergeCell ref="C71:G71"/>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4"/>
  <headerFooter>
    <oddFooter>&amp;L&amp;9LEL Schwäbisch Gmünd, Abt. II&amp;C&amp;9&amp;F&amp;R&amp;9&amp;A</oddFooter>
  </headerFooter>
  <rowBreaks count="1" manualBreakCount="1">
    <brk id="44" max="16383" man="1"/>
  </rowBreaks>
  <legacyDrawing r:id="rId5"/>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2">
    <tabColor theme="3" tint="0.39997558519241921"/>
    <pageSetUpPr fitToPage="1"/>
  </sheetPr>
  <dimension ref="A1:AO218"/>
  <sheetViews>
    <sheetView workbookViewId="0">
      <selection activeCell="C52" sqref="C52:D52"/>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9" width="7.19921875" style="34" customWidth="1"/>
    <col min="10" max="10" width="8.69921875" style="34" customWidth="1"/>
    <col min="11" max="11" width="8" style="34" customWidth="1"/>
    <col min="12" max="12" width="7.19921875" style="34" customWidth="1"/>
    <col min="13" max="13" width="9.69921875" style="34" customWidth="1"/>
    <col min="14" max="14" width="8" style="34" customWidth="1"/>
    <col min="15" max="15" width="7.19921875" style="34" customWidth="1"/>
    <col min="16" max="16" width="10.5" style="34" customWidth="1"/>
    <col min="17" max="17" width="19.69921875" style="34" hidden="1" customWidth="1"/>
    <col min="18" max="18" width="12" style="31" hidden="1" customWidth="1"/>
    <col min="19" max="21" width="0" style="31" hidden="1" customWidth="1"/>
    <col min="22" max="22" width="12.8984375" style="31" hidden="1" customWidth="1"/>
    <col min="23" max="26" width="0" style="31" hidden="1" customWidth="1"/>
    <col min="27" max="16384" width="10.5" style="31"/>
  </cols>
  <sheetData>
    <row r="1" spans="1:41" s="1317" customFormat="1" ht="30.45" customHeight="1">
      <c r="A1" s="1321"/>
      <c r="B1" s="258"/>
      <c r="C1" s="1333"/>
      <c r="D1" s="1253"/>
      <c r="E1" s="255"/>
      <c r="F1" s="255"/>
      <c r="G1" s="430"/>
      <c r="H1" s="1328"/>
      <c r="I1" s="3212" t="s">
        <v>1679</v>
      </c>
      <c r="J1" s="3210">
        <f>(J7+J13+J18+J22+I11+I12)-(J23+J27+J34+J43+J60+J65+J67+J69+J71+J75)</f>
        <v>775.86028350995184</v>
      </c>
      <c r="K1" s="4360">
        <f>M1-J1</f>
        <v>933.83506350742937</v>
      </c>
      <c r="L1" s="4360"/>
      <c r="M1" s="3210">
        <f>(M7+M13+M18+M22+L11+L12)-(M23+M27+M34+M43+M60+M65+M67+M69+M71+M75)</f>
        <v>1709.6953470173812</v>
      </c>
      <c r="N1" s="4360">
        <f>P1-M1</f>
        <v>2067.8718135074287</v>
      </c>
      <c r="O1" s="4360"/>
      <c r="P1" s="3210">
        <f>(P7+P13+P18+P22+O11+O12)-(P23+P27+P34+P43+P60+P65+P67+P69+P71+P75)</f>
        <v>3777.5671605248099</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185</v>
      </c>
      <c r="L2" s="4372"/>
      <c r="M2" s="4372"/>
      <c r="N2" s="4372"/>
      <c r="O2" s="4372"/>
      <c r="P2" s="4372"/>
      <c r="Q2" s="1345">
        <v>10</v>
      </c>
      <c r="AA2" s="1321"/>
      <c r="AB2" s="1321"/>
    </row>
    <row r="3" spans="1:41" s="1317" customFormat="1" ht="32.4" customHeight="1">
      <c r="A3" s="1321"/>
      <c r="B3" s="4405" t="s">
        <v>1727</v>
      </c>
      <c r="C3" s="4405"/>
      <c r="D3" s="4405"/>
      <c r="E3" s="4405"/>
      <c r="F3" s="4405"/>
      <c r="G3" s="4405"/>
      <c r="H3" s="4405"/>
      <c r="J3" s="4368"/>
      <c r="K3" s="4369"/>
      <c r="L3" s="4369"/>
      <c r="M3" s="1384"/>
      <c r="N3" s="4373" t="str">
        <f>IF(AND(T3=TRUE,T4=TRUE),"nur 1 Strohnutzung möglich","")</f>
        <v/>
      </c>
      <c r="O3" s="4374"/>
      <c r="P3" s="1326"/>
      <c r="Q3" s="1321"/>
      <c r="T3" s="1343" t="b">
        <v>0</v>
      </c>
    </row>
    <row r="4" spans="1:41" s="1317" customFormat="1" ht="20.25" customHeight="1">
      <c r="A4" s="1321"/>
      <c r="B4" s="309" t="s">
        <v>779</v>
      </c>
      <c r="C4" s="31"/>
      <c r="D4" s="31"/>
      <c r="E4" s="4406" t="s">
        <v>915</v>
      </c>
      <c r="F4" s="4406"/>
      <c r="G4" s="4406"/>
      <c r="H4" s="4406"/>
      <c r="I4" s="4406"/>
      <c r="J4" s="4368"/>
      <c r="K4" s="4369"/>
      <c r="L4" s="4369"/>
      <c r="M4" s="1384"/>
      <c r="N4" s="4374"/>
      <c r="O4" s="4374"/>
      <c r="P4" s="1322">
        <f>'SDK1'!O3</f>
        <v>2024</v>
      </c>
      <c r="Q4" s="1321"/>
      <c r="T4" s="1343"/>
    </row>
    <row r="5" spans="1:41" ht="6" customHeight="1"/>
    <row r="6" spans="1:41" s="1311" customFormat="1" ht="24" customHeight="1">
      <c r="A6" s="41"/>
      <c r="B6" s="1316" t="s">
        <v>832</v>
      </c>
      <c r="C6" s="1315"/>
      <c r="D6" s="1315"/>
      <c r="E6" s="1315"/>
      <c r="F6" s="1315"/>
      <c r="G6" s="1314"/>
      <c r="H6" s="4366" t="s">
        <v>171</v>
      </c>
      <c r="I6" s="4367"/>
      <c r="J6" s="1313">
        <f>M6*0.75</f>
        <v>234</v>
      </c>
      <c r="K6" s="4379" t="s">
        <v>144</v>
      </c>
      <c r="L6" s="4380"/>
      <c r="M6" s="1313">
        <v>312</v>
      </c>
      <c r="N6" s="4366" t="s">
        <v>170</v>
      </c>
      <c r="O6" s="4367"/>
      <c r="P6" s="1312">
        <f>M6*1.25</f>
        <v>390</v>
      </c>
      <c r="Q6" s="49"/>
    </row>
    <row r="7" spans="1:41" s="196" customFormat="1" ht="18.75" customHeight="1">
      <c r="A7" s="40"/>
      <c r="B7" s="245" t="s">
        <v>883</v>
      </c>
      <c r="C7" s="40"/>
      <c r="D7" s="40"/>
      <c r="E7" s="40"/>
      <c r="F7" s="40"/>
      <c r="G7" s="1310"/>
      <c r="H7" s="1307"/>
      <c r="I7" s="1306"/>
      <c r="J7" s="1041">
        <f>SUM(I9:I10)</f>
        <v>7199</v>
      </c>
      <c r="K7" s="1309"/>
      <c r="L7" s="1308"/>
      <c r="M7" s="1044">
        <f>SUM(L9:L10)</f>
        <v>8292</v>
      </c>
      <c r="N7" s="1307"/>
      <c r="O7" s="1306"/>
      <c r="P7" s="1041">
        <f>SUM(O9:O10)</f>
        <v>10540</v>
      </c>
      <c r="Q7" s="315" t="s">
        <v>907</v>
      </c>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15" t="s">
        <v>906</v>
      </c>
    </row>
    <row r="9" spans="1:41" s="196" customFormat="1" ht="16.5" customHeight="1">
      <c r="A9" s="40"/>
      <c r="B9" s="245"/>
      <c r="C9" s="39" t="str">
        <f>IF('SDK1'!O9&gt;0,"Hauptprodukt (incl. MwSt.)","Hauptprodukt (ohne MwSt)")</f>
        <v>Hauptprodukt (ohne MwSt)</v>
      </c>
      <c r="D9" s="40"/>
      <c r="E9" s="40"/>
      <c r="F9" s="1304" t="s">
        <v>882</v>
      </c>
      <c r="G9" s="1221">
        <f>'SDK1'!O42</f>
        <v>36</v>
      </c>
      <c r="H9" s="1303">
        <f>J6-H10</f>
        <v>199</v>
      </c>
      <c r="I9" s="1299">
        <f>H9*G9</f>
        <v>7164</v>
      </c>
      <c r="J9" s="37"/>
      <c r="K9" s="1302">
        <f>M6-K10</f>
        <v>228</v>
      </c>
      <c r="L9" s="1301">
        <f>K9*G9</f>
        <v>8208</v>
      </c>
      <c r="M9" s="1280"/>
      <c r="N9" s="1300">
        <f>P6-N10</f>
        <v>290</v>
      </c>
      <c r="O9" s="1299">
        <f>N9*G9</f>
        <v>10440</v>
      </c>
      <c r="P9" s="37"/>
      <c r="Q9" s="315" t="s">
        <v>905</v>
      </c>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v>1</v>
      </c>
      <c r="H10" s="1292">
        <v>35</v>
      </c>
      <c r="I10" s="1291">
        <f>H10*G10</f>
        <v>35</v>
      </c>
      <c r="J10" s="1296"/>
      <c r="K10" s="1295">
        <v>84</v>
      </c>
      <c r="L10" s="1294">
        <f>K10*G10</f>
        <v>84</v>
      </c>
      <c r="M10" s="1293"/>
      <c r="N10" s="1292">
        <v>100</v>
      </c>
      <c r="O10" s="1291">
        <f>N10*G10</f>
        <v>100</v>
      </c>
      <c r="P10" s="1290"/>
      <c r="Q10" s="315" t="s">
        <v>903</v>
      </c>
      <c r="R10" s="1289">
        <f>I10+I11+I12</f>
        <v>35</v>
      </c>
      <c r="S10" s="1288">
        <f>L10+L11+L12</f>
        <v>84</v>
      </c>
      <c r="T10" s="1287">
        <f>O10+O11+O12</f>
        <v>100</v>
      </c>
      <c r="W10" s="196" t="s">
        <v>879</v>
      </c>
    </row>
    <row r="11" spans="1:41" s="1268" customFormat="1" ht="15" hidden="1" customHeight="1">
      <c r="A11" s="309"/>
      <c r="B11" s="217"/>
      <c r="C11" s="39" t="s">
        <v>878</v>
      </c>
      <c r="D11" s="309"/>
      <c r="E11" s="1286">
        <v>0.5</v>
      </c>
      <c r="F11" s="39" t="s">
        <v>877</v>
      </c>
      <c r="G11" s="1285">
        <f>'SDK1'!$O$48</f>
        <v>10.7</v>
      </c>
      <c r="H11" s="3151">
        <f>IF($T$3=FALSE,0,J6*$E$11)</f>
        <v>0</v>
      </c>
      <c r="I11" s="3152">
        <f>H11*$G$11</f>
        <v>0</v>
      </c>
      <c r="J11" s="3153"/>
      <c r="K11" s="3154">
        <f>IF($T$3=FALSE,0,M6*$E$11)</f>
        <v>0</v>
      </c>
      <c r="L11" s="3155">
        <f>K11*$G$11</f>
        <v>0</v>
      </c>
      <c r="M11" s="3156"/>
      <c r="N11" s="3157">
        <f>IF($T$3=FALSE,0,P6*$E$11)</f>
        <v>0</v>
      </c>
      <c r="O11" s="3152">
        <f>N11*$G$11</f>
        <v>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1500</v>
      </c>
      <c r="K23" s="1046"/>
      <c r="L23" s="1045"/>
      <c r="M23" s="1227">
        <f>SUM(L25:L26)</f>
        <v>1500</v>
      </c>
      <c r="N23" s="1043"/>
      <c r="O23" s="1042"/>
      <c r="P23" s="1026">
        <f>SUM(O25:O26)</f>
        <v>1500</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'SDK7'!F71</f>
        <v>60</v>
      </c>
      <c r="G25" s="1221">
        <f>F25*(100+$D$24)/100</f>
        <v>60</v>
      </c>
      <c r="H25" s="1220">
        <v>25</v>
      </c>
      <c r="I25" s="1181">
        <f>H25*$G25</f>
        <v>1500</v>
      </c>
      <c r="J25" s="39"/>
      <c r="K25" s="1220">
        <f>H25</f>
        <v>25</v>
      </c>
      <c r="L25" s="1023">
        <f>K25*$G25</f>
        <v>1500</v>
      </c>
      <c r="M25" s="1016"/>
      <c r="N25" s="1220">
        <f>H25</f>
        <v>25</v>
      </c>
      <c r="O25" s="1181">
        <f>N25*$G25</f>
        <v>1500</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299.56899999999996</v>
      </c>
      <c r="K27" s="1175"/>
      <c r="L27" s="1174"/>
      <c r="M27" s="1044">
        <f>SUM(L30:L32)</f>
        <v>391.49199999999996</v>
      </c>
      <c r="N27" s="1173"/>
      <c r="O27" s="1172"/>
      <c r="P27" s="1041">
        <f>SUM(O30:O32)</f>
        <v>483.41499999999996</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902</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0.35</v>
      </c>
      <c r="F30" s="1201">
        <f>VLOOKUP(K2,'SD8'!B9:L42,7,FALSE)</f>
        <v>0.20000000000000007</v>
      </c>
      <c r="G30" s="1200">
        <v>20</v>
      </c>
      <c r="H30" s="1198">
        <f>IF(J$6=0,0,(J$6*$E30+$G30+X14))</f>
        <v>101.89999999999999</v>
      </c>
      <c r="I30" s="1181">
        <f>H30*$D30</f>
        <v>121.26099999999998</v>
      </c>
      <c r="J30" s="39"/>
      <c r="K30" s="1199">
        <f>IF(M$6=0,0,(M$6*$E30+$G30+Y14))</f>
        <v>129.19999999999999</v>
      </c>
      <c r="L30" s="1023">
        <f>K30*$D30</f>
        <v>153.74799999999999</v>
      </c>
      <c r="M30" s="1016"/>
      <c r="N30" s="1198">
        <f>IF(P$6=0,0,(P$6*$E30+$G30+Z14))</f>
        <v>156.5</v>
      </c>
      <c r="O30" s="1181">
        <f>N30*$D30</f>
        <v>186.23499999999999</v>
      </c>
      <c r="P30" s="1145"/>
      <c r="Q30" s="34"/>
    </row>
    <row r="31" spans="1:26" s="36" customFormat="1" ht="15" customHeight="1">
      <c r="A31" s="746"/>
      <c r="B31" s="217"/>
      <c r="C31" s="746" t="s">
        <v>234</v>
      </c>
      <c r="D31" s="1150">
        <f>'SDK1'!O53</f>
        <v>1.2</v>
      </c>
      <c r="E31" s="1201">
        <f>VLOOKUP(K2,'SD8'!B9:L42,4,FALSE)</f>
        <v>0.14000000000000001</v>
      </c>
      <c r="F31" s="1201">
        <f>VLOOKUP(K2,'SD8'!B9:L42,8,FALSE)</f>
        <v>9.9999999999999811E-3</v>
      </c>
      <c r="G31" s="1200"/>
      <c r="H31" s="1198">
        <f>IF(J$6=0,0,(J$6*$E31+$G31+X15))</f>
        <v>32.760000000000005</v>
      </c>
      <c r="I31" s="1181">
        <f>H31*$D31</f>
        <v>39.312000000000005</v>
      </c>
      <c r="J31" s="39"/>
      <c r="K31" s="1199">
        <f>IF(M$6=0,0,(M$6*$E31+$G31+Y15))</f>
        <v>43.680000000000007</v>
      </c>
      <c r="L31" s="1023">
        <f>K31*$D31</f>
        <v>52.416000000000004</v>
      </c>
      <c r="M31" s="1016"/>
      <c r="N31" s="1198">
        <f>IF(P$6=0,0,(P$6*$E31+$G31+Z15))</f>
        <v>54.600000000000009</v>
      </c>
      <c r="O31" s="1181">
        <f>N31*$D31</f>
        <v>65.52000000000001</v>
      </c>
      <c r="P31" s="1145"/>
      <c r="Q31" s="34"/>
    </row>
    <row r="32" spans="1:26" s="36" customFormat="1" ht="15" customHeight="1">
      <c r="A32" s="746"/>
      <c r="B32" s="185"/>
      <c r="C32" s="2791" t="s">
        <v>232</v>
      </c>
      <c r="D32" s="1133">
        <f>'SDK1'!O54</f>
        <v>0.99</v>
      </c>
      <c r="E32" s="1197">
        <f>VLOOKUP(K2,'SD8'!B9:L42,5,FALSE)</f>
        <v>0.6</v>
      </c>
      <c r="F32" s="1197">
        <f>VLOOKUP(K2,'SD8'!B9:L42,9,FALSE)</f>
        <v>0</v>
      </c>
      <c r="G32" s="1196"/>
      <c r="H32" s="1194">
        <f>IF(J$6=0,0,(J$6*$E32+$G32+X16))</f>
        <v>140.4</v>
      </c>
      <c r="I32" s="1177">
        <f>H32*$D32</f>
        <v>138.99600000000001</v>
      </c>
      <c r="J32" s="223"/>
      <c r="K32" s="1195">
        <f>IF(M$6=0,0,(M$6*$E32+$G32+Y16))</f>
        <v>187.2</v>
      </c>
      <c r="L32" s="1017">
        <f>K32*$D32</f>
        <v>185.32799999999997</v>
      </c>
      <c r="M32" s="1256"/>
      <c r="N32" s="1194">
        <f>IF(P$6=0,0,(P$6*$E32+$G32+Z16))</f>
        <v>234</v>
      </c>
      <c r="O32" s="1177">
        <f>N32*$D32</f>
        <v>231.66</v>
      </c>
      <c r="P32" s="1176"/>
      <c r="Q32" s="34"/>
    </row>
    <row r="33" spans="1:17" s="36" customFormat="1" ht="15" hidden="1" customHeight="1">
      <c r="A33" s="746"/>
      <c r="B33" s="185"/>
      <c r="C33" s="771" t="s">
        <v>230</v>
      </c>
      <c r="D33" s="1133">
        <f>'SDK1'!P55</f>
        <v>0.45</v>
      </c>
      <c r="E33" s="1197">
        <f>VLOOKUP(K2,'SD8'!B9:L42,6,FALSE)</f>
        <v>0.04</v>
      </c>
      <c r="F33" s="1197">
        <f>VLOOKUP(K2,'SD8'!B9:L42,10,FALSE)</f>
        <v>0</v>
      </c>
      <c r="G33" s="1196"/>
      <c r="H33" s="1194">
        <f>IF(J$6=0,0,(J$6*$E33+$G33+X17))</f>
        <v>9.36</v>
      </c>
      <c r="I33" s="1177">
        <f>H33*$D33</f>
        <v>4.2119999999999997</v>
      </c>
      <c r="J33" s="39"/>
      <c r="K33" s="1195">
        <f>IF(M$6=0,0,(M$6*$E33+$G33+Y17))</f>
        <v>12.48</v>
      </c>
      <c r="L33" s="1017">
        <f>K33*$D33</f>
        <v>5.6160000000000005</v>
      </c>
      <c r="M33" s="1016"/>
      <c r="N33" s="1194">
        <f>IF(P$6=0,0,(P$6*$E33+$G33+Z17))</f>
        <v>15.6</v>
      </c>
      <c r="O33" s="1177">
        <f>N33*$D33</f>
        <v>7.02</v>
      </c>
      <c r="P33" s="1176"/>
      <c r="Q33" s="34"/>
    </row>
    <row r="34" spans="1:17" s="511" customFormat="1" ht="18.75" customHeight="1">
      <c r="A34" s="711"/>
      <c r="B34" s="716" t="s">
        <v>859</v>
      </c>
      <c r="C34" s="711"/>
      <c r="D34" s="33"/>
      <c r="E34" s="33"/>
      <c r="F34" s="4381" t="s">
        <v>858</v>
      </c>
      <c r="G34" s="4382"/>
      <c r="H34" s="1191"/>
      <c r="I34" s="1190"/>
      <c r="J34" s="1041">
        <f>SUM(I36:I42)</f>
        <v>318.91399999999999</v>
      </c>
      <c r="K34" s="1193"/>
      <c r="L34" s="1192"/>
      <c r="M34" s="1044">
        <f>SUM(L36:L42)</f>
        <v>318.91399999999999</v>
      </c>
      <c r="N34" s="1191"/>
      <c r="O34" s="1190"/>
      <c r="P34" s="1041">
        <f>SUM(O36:O42)</f>
        <v>318.91399999999999</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539</v>
      </c>
      <c r="D36" s="4389"/>
      <c r="E36" s="4390"/>
      <c r="F36" s="1183">
        <f>IF(C36="",0,VLOOKUP(C36,'SDK5'!C3:AF83,2,FALSE))</f>
        <v>29</v>
      </c>
      <c r="G36" s="1183">
        <f t="shared" ref="G36:G42" si="0">F36*(100+$D$35)/100</f>
        <v>29</v>
      </c>
      <c r="H36" s="1182">
        <v>3</v>
      </c>
      <c r="I36" s="1181">
        <f t="shared" ref="I36:I42" si="1">$G36*H36</f>
        <v>87</v>
      </c>
      <c r="J36" s="39"/>
      <c r="K36" s="1182">
        <v>3</v>
      </c>
      <c r="L36" s="1023">
        <f t="shared" ref="L36:L42" si="2">$G36*K36</f>
        <v>87</v>
      </c>
      <c r="M36" s="1016"/>
      <c r="N36" s="1182">
        <v>3</v>
      </c>
      <c r="O36" s="1181">
        <f t="shared" ref="O36:O42" si="3">$G36*N36</f>
        <v>87</v>
      </c>
      <c r="P36" s="1185"/>
      <c r="Q36" s="34"/>
    </row>
    <row r="37" spans="1:17" s="36" customFormat="1" ht="15" customHeight="1">
      <c r="A37" s="746"/>
      <c r="B37" s="1021"/>
      <c r="C37" s="4375" t="s">
        <v>1733</v>
      </c>
      <c r="D37" s="4375"/>
      <c r="E37" s="4376"/>
      <c r="F37" s="1183">
        <f>IF(C37="",0,VLOOKUP(C37,'SDK5'!C4:AF84,2,FALSE))</f>
        <v>35.1</v>
      </c>
      <c r="G37" s="1183">
        <f t="shared" si="0"/>
        <v>35.1</v>
      </c>
      <c r="H37" s="1182">
        <v>2</v>
      </c>
      <c r="I37" s="1181">
        <f t="shared" si="1"/>
        <v>70.2</v>
      </c>
      <c r="J37" s="39"/>
      <c r="K37" s="1182">
        <v>2</v>
      </c>
      <c r="L37" s="1023">
        <f t="shared" si="2"/>
        <v>70.2</v>
      </c>
      <c r="M37" s="1016"/>
      <c r="N37" s="1182">
        <v>2</v>
      </c>
      <c r="O37" s="1181">
        <f t="shared" si="3"/>
        <v>70.2</v>
      </c>
      <c r="P37" s="1145"/>
      <c r="Q37" s="34"/>
    </row>
    <row r="38" spans="1:17" s="36" customFormat="1" ht="15" customHeight="1">
      <c r="A38" s="746"/>
      <c r="B38" s="1184"/>
      <c r="C38" s="4375" t="s">
        <v>498</v>
      </c>
      <c r="D38" s="4375"/>
      <c r="E38" s="4376"/>
      <c r="F38" s="1183">
        <f>IF(C38="",0,VLOOKUP(C38,'SDK5'!C5:AF85,2,FALSE))</f>
        <v>66.900000000000006</v>
      </c>
      <c r="G38" s="1183">
        <f t="shared" si="0"/>
        <v>66.900000000000006</v>
      </c>
      <c r="H38" s="1182">
        <v>0.5</v>
      </c>
      <c r="I38" s="1181">
        <f t="shared" si="1"/>
        <v>33.450000000000003</v>
      </c>
      <c r="J38" s="39"/>
      <c r="K38" s="1182">
        <v>0.5</v>
      </c>
      <c r="L38" s="1023">
        <f t="shared" si="2"/>
        <v>33.450000000000003</v>
      </c>
      <c r="M38" s="1016"/>
      <c r="N38" s="1182">
        <v>0.5</v>
      </c>
      <c r="O38" s="1181">
        <f t="shared" si="3"/>
        <v>33.450000000000003</v>
      </c>
      <c r="P38" s="1145"/>
      <c r="Q38" s="34"/>
    </row>
    <row r="39" spans="1:17" s="36" customFormat="1" ht="15" customHeight="1">
      <c r="A39" s="746"/>
      <c r="B39" s="1021"/>
      <c r="C39" s="4375" t="s">
        <v>495</v>
      </c>
      <c r="D39" s="4375"/>
      <c r="E39" s="4376"/>
      <c r="F39" s="1183">
        <f>IF(C39="",0,VLOOKUP(C39,'SDK5'!C6:AF86,2,FALSE))</f>
        <v>58.6</v>
      </c>
      <c r="G39" s="1183">
        <f t="shared" si="0"/>
        <v>58.6</v>
      </c>
      <c r="H39" s="1182">
        <v>1.2</v>
      </c>
      <c r="I39" s="1181">
        <f t="shared" si="1"/>
        <v>70.319999999999993</v>
      </c>
      <c r="J39" s="39"/>
      <c r="K39" s="1182">
        <v>1.2</v>
      </c>
      <c r="L39" s="1023">
        <f t="shared" si="2"/>
        <v>70.319999999999993</v>
      </c>
      <c r="M39" s="1016"/>
      <c r="N39" s="1182">
        <v>1.2</v>
      </c>
      <c r="O39" s="1181">
        <f t="shared" si="3"/>
        <v>70.319999999999993</v>
      </c>
      <c r="P39" s="1145"/>
      <c r="Q39" s="34"/>
    </row>
    <row r="40" spans="1:17" s="36" customFormat="1" ht="15" customHeight="1">
      <c r="A40" s="746"/>
      <c r="B40" s="1021"/>
      <c r="C40" s="4375" t="s">
        <v>488</v>
      </c>
      <c r="D40" s="4375"/>
      <c r="E40" s="4376"/>
      <c r="F40" s="1183">
        <f>IF(C40="",0,VLOOKUP(C40,'SDK5'!C7:AF87,2,FALSE))</f>
        <v>44.2</v>
      </c>
      <c r="G40" s="1183">
        <f t="shared" si="0"/>
        <v>44.2</v>
      </c>
      <c r="H40" s="1182">
        <v>0.8</v>
      </c>
      <c r="I40" s="1181">
        <f t="shared" si="1"/>
        <v>35.360000000000007</v>
      </c>
      <c r="J40" s="39"/>
      <c r="K40" s="1182">
        <v>0.8</v>
      </c>
      <c r="L40" s="1023">
        <f t="shared" si="2"/>
        <v>35.360000000000007</v>
      </c>
      <c r="M40" s="1016"/>
      <c r="N40" s="1182">
        <v>0.8</v>
      </c>
      <c r="O40" s="1181">
        <f t="shared" si="3"/>
        <v>35.360000000000007</v>
      </c>
      <c r="P40" s="1145"/>
      <c r="Q40" s="34"/>
    </row>
    <row r="41" spans="1:17" s="36" customFormat="1" ht="15" customHeight="1">
      <c r="A41" s="746"/>
      <c r="B41" s="1021"/>
      <c r="C41" s="4375" t="s">
        <v>524</v>
      </c>
      <c r="D41" s="4375"/>
      <c r="E41" s="4376"/>
      <c r="F41" s="1183">
        <f>IF(C41="",0,VLOOKUP(C41,'SDK5'!C8:AF88,2,FALSE))</f>
        <v>376.4</v>
      </c>
      <c r="G41" s="1183">
        <f t="shared" si="0"/>
        <v>376.4</v>
      </c>
      <c r="H41" s="1182">
        <v>0.06</v>
      </c>
      <c r="I41" s="1181">
        <f t="shared" si="1"/>
        <v>22.583999999999996</v>
      </c>
      <c r="J41" s="39"/>
      <c r="K41" s="1182">
        <v>0.06</v>
      </c>
      <c r="L41" s="1023">
        <f t="shared" si="2"/>
        <v>22.583999999999996</v>
      </c>
      <c r="M41" s="1016"/>
      <c r="N41" s="1182">
        <v>0.06</v>
      </c>
      <c r="O41" s="1181">
        <f t="shared" si="3"/>
        <v>22.583999999999996</v>
      </c>
      <c r="P41" s="1145"/>
      <c r="Q41" s="34"/>
    </row>
    <row r="42" spans="1:17" s="36" customFormat="1" ht="15" customHeight="1">
      <c r="A42" s="746"/>
      <c r="B42" s="1180"/>
      <c r="C42" s="4361" t="s">
        <v>311</v>
      </c>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697.52810726285713</v>
      </c>
      <c r="K43" s="1175"/>
      <c r="L43" s="1174"/>
      <c r="M43" s="1044">
        <f>SUM(M46:M57)</f>
        <v>743.78063105714284</v>
      </c>
      <c r="N43" s="1173"/>
      <c r="O43" s="1172"/>
      <c r="P43" s="1041">
        <f>SUM(P46:P57)</f>
        <v>790.03315485142855</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55">
        <v>1</v>
      </c>
      <c r="I46" s="1154">
        <f t="shared" ref="I46:I57" si="4">$F46*H46</f>
        <v>1.38</v>
      </c>
      <c r="J46" s="1145">
        <f t="shared" ref="J46:J57" si="5">H46*$G46</f>
        <v>64.642445999999993</v>
      </c>
      <c r="K46" s="1155">
        <v>1</v>
      </c>
      <c r="L46" s="1156">
        <f t="shared" ref="L46:L57" si="6">$F46*K46</f>
        <v>1.38</v>
      </c>
      <c r="M46" s="1148">
        <f t="shared" ref="M46:M57" si="7">K46*$G46</f>
        <v>64.642445999999993</v>
      </c>
      <c r="N46" s="1155">
        <v>1</v>
      </c>
      <c r="O46" s="1154">
        <f t="shared" ref="O46:O57" si="8">$F46*N46</f>
        <v>1.38</v>
      </c>
      <c r="P46" s="1145">
        <f t="shared" ref="P46:P57" si="9">N46*$G46</f>
        <v>64.642445999999993</v>
      </c>
      <c r="Q46" s="34">
        <f t="shared" ref="Q46:Q57" si="10">$Q$2*H46</f>
        <v>10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f t="shared" si="10"/>
        <v>10</v>
      </c>
    </row>
    <row r="48" spans="1:17" s="36" customFormat="1" ht="15" customHeight="1">
      <c r="A48" s="746"/>
      <c r="B48" s="1153"/>
      <c r="C48" s="4387" t="s">
        <v>320</v>
      </c>
      <c r="D48" s="4388"/>
      <c r="E48" s="1152">
        <f>IF($C48=0,0,VLOOKUP($C48,'SD3'!$C$24:$O$85,4,FALSE))</f>
        <v>83</v>
      </c>
      <c r="F48" s="1151">
        <f>IF($C48=0,0,VLOOKUP($C48,'SD3'!$C$24:$O$85,12,FALSE))</f>
        <v>1.1399999999999999</v>
      </c>
      <c r="G48" s="1150">
        <f>IF($C48=0,0,VLOOKUP($C48,'SD3'!$C$24:$O$85,13,FALSE))</f>
        <v>33.95027361999999</v>
      </c>
      <c r="H48" s="1147">
        <v>1</v>
      </c>
      <c r="I48" s="1146">
        <f t="shared" si="4"/>
        <v>1.1399999999999999</v>
      </c>
      <c r="J48" s="1145">
        <f t="shared" si="5"/>
        <v>33.95027361999999</v>
      </c>
      <c r="K48" s="1147">
        <v>1</v>
      </c>
      <c r="L48" s="1149">
        <f t="shared" si="6"/>
        <v>1.1399999999999999</v>
      </c>
      <c r="M48" s="1148">
        <f t="shared" si="7"/>
        <v>33.95027361999999</v>
      </c>
      <c r="N48" s="1147">
        <v>1</v>
      </c>
      <c r="O48" s="1146">
        <f t="shared" si="8"/>
        <v>1.1399999999999999</v>
      </c>
      <c r="P48" s="1145">
        <f t="shared" si="9"/>
        <v>33.95027361999999</v>
      </c>
      <c r="Q48" s="34">
        <f t="shared" si="10"/>
        <v>10</v>
      </c>
    </row>
    <row r="49" spans="1:17" s="36" customFormat="1" ht="15" customHeight="1">
      <c r="A49" s="746"/>
      <c r="B49" s="1153"/>
      <c r="C49" s="4387" t="s">
        <v>319</v>
      </c>
      <c r="D49" s="4388"/>
      <c r="E49" s="1152">
        <f>IF($C49=0,0,VLOOKUP($C49,'SD3'!$C$24:$O$85,4,FALSE))</f>
        <v>54</v>
      </c>
      <c r="F49" s="1151">
        <f>IF($C49=0,0,VLOOKUP($C49,'SD3'!$C$24:$O$85,12,FALSE))</f>
        <v>0.71</v>
      </c>
      <c r="G49" s="1150">
        <f>IF($C49=0,0,VLOOKUP($C49,'SD3'!$C$24:$O$85,13,FALSE))</f>
        <v>14.3322471</v>
      </c>
      <c r="H49" s="1147">
        <v>1</v>
      </c>
      <c r="I49" s="1146">
        <f t="shared" si="4"/>
        <v>0.71</v>
      </c>
      <c r="J49" s="1145">
        <f t="shared" si="5"/>
        <v>14.3322471</v>
      </c>
      <c r="K49" s="1147">
        <v>1</v>
      </c>
      <c r="L49" s="1149">
        <f t="shared" si="6"/>
        <v>0.71</v>
      </c>
      <c r="M49" s="1148">
        <f t="shared" si="7"/>
        <v>14.3322471</v>
      </c>
      <c r="N49" s="1147">
        <v>1</v>
      </c>
      <c r="O49" s="1146">
        <f t="shared" si="8"/>
        <v>0.71</v>
      </c>
      <c r="P49" s="1145">
        <f t="shared" si="9"/>
        <v>14.3322471</v>
      </c>
      <c r="Q49" s="34">
        <f t="shared" si="10"/>
        <v>10</v>
      </c>
    </row>
    <row r="50" spans="1:17" s="36" customFormat="1" ht="15" customHeight="1">
      <c r="A50" s="746"/>
      <c r="B50" s="1153"/>
      <c r="C50" s="4387" t="s">
        <v>346</v>
      </c>
      <c r="D50" s="4388"/>
      <c r="E50" s="1152">
        <f>IF($C50=0,0,VLOOKUP($C50,'SD3'!$C$24:$O$85,4,FALSE))</f>
        <v>83</v>
      </c>
      <c r="F50" s="1151">
        <f>IF($C50=0,0,VLOOKUP($C50,'SD3'!$C$24:$O$85,12,FALSE))</f>
        <v>0.16</v>
      </c>
      <c r="G50" s="1150">
        <f>IF($C50=0,0,VLOOKUP($C50,'SD3'!$C$24:$O$85,13,FALSE))</f>
        <v>3.7403892799999996</v>
      </c>
      <c r="H50" s="1147">
        <v>2</v>
      </c>
      <c r="I50" s="1146">
        <f t="shared" si="4"/>
        <v>0.32</v>
      </c>
      <c r="J50" s="1145">
        <f t="shared" si="5"/>
        <v>7.4807785599999992</v>
      </c>
      <c r="K50" s="1147">
        <v>2</v>
      </c>
      <c r="L50" s="1149">
        <f t="shared" si="6"/>
        <v>0.32</v>
      </c>
      <c r="M50" s="1148">
        <f t="shared" si="7"/>
        <v>7.4807785599999992</v>
      </c>
      <c r="N50" s="1147">
        <v>2</v>
      </c>
      <c r="O50" s="1146">
        <f t="shared" si="8"/>
        <v>0.32</v>
      </c>
      <c r="P50" s="1145">
        <f t="shared" si="9"/>
        <v>7.4807785599999992</v>
      </c>
      <c r="Q50" s="34">
        <f t="shared" si="10"/>
        <v>20</v>
      </c>
    </row>
    <row r="51" spans="1:17" s="36" customFormat="1" ht="15" customHeight="1">
      <c r="A51" s="746"/>
      <c r="B51" s="1153"/>
      <c r="C51" s="4387" t="s">
        <v>1591</v>
      </c>
      <c r="D51" s="4388"/>
      <c r="E51" s="1152">
        <f>IF($C51=0,0,VLOOKUP($C51,'SD3'!$C$24:$O$85,4,FALSE))</f>
        <v>83</v>
      </c>
      <c r="F51" s="1151">
        <f>IF($C51=0,0,VLOOKUP($C51,'SD3'!$C$24:$O$85,12,FALSE))</f>
        <v>0.22</v>
      </c>
      <c r="G51" s="1150">
        <f>IF($C51=0,0,VLOOKUP($C51,'SD3'!$C$24:$O$85,13,FALSE))</f>
        <v>6.6430352599999996</v>
      </c>
      <c r="H51" s="1147">
        <v>10</v>
      </c>
      <c r="I51" s="1146">
        <f t="shared" si="4"/>
        <v>2.2000000000000002</v>
      </c>
      <c r="J51" s="1145">
        <f t="shared" si="5"/>
        <v>66.430352599999992</v>
      </c>
      <c r="K51" s="1147">
        <v>10</v>
      </c>
      <c r="L51" s="1149">
        <f t="shared" si="6"/>
        <v>2.2000000000000002</v>
      </c>
      <c r="M51" s="1148">
        <f t="shared" si="7"/>
        <v>66.430352599999992</v>
      </c>
      <c r="N51" s="1147">
        <v>10</v>
      </c>
      <c r="O51" s="1146">
        <f t="shared" si="8"/>
        <v>2.2000000000000002</v>
      </c>
      <c r="P51" s="1145">
        <f t="shared" si="9"/>
        <v>66.430352599999992</v>
      </c>
      <c r="Q51" s="34">
        <f t="shared" si="10"/>
        <v>100</v>
      </c>
    </row>
    <row r="52" spans="1:17" s="36" customFormat="1" ht="15" customHeight="1">
      <c r="A52" s="746"/>
      <c r="B52" s="1153"/>
      <c r="C52" s="4403" t="s">
        <v>310</v>
      </c>
      <c r="D52" s="4404"/>
      <c r="E52" s="1152">
        <f>IF($C52=0,0,VLOOKUP($C52,'SD3'!$C$24:$O$85,4,FALSE))</f>
        <v>120</v>
      </c>
      <c r="F52" s="1151">
        <f>IF($C52=0,0,VLOOKUP($C52,'SD3'!$C$24:$O$85,12,FALSE))</f>
        <v>1.68</v>
      </c>
      <c r="G52" s="1150">
        <f>IF($C52=0,0,VLOOKUP($C52,'SD3'!$C$24:$O$85,13,FALSE))</f>
        <v>62.263012799999998</v>
      </c>
      <c r="H52" s="3654">
        <f>$J$6/10/10.5</f>
        <v>2.2285714285714286</v>
      </c>
      <c r="I52" s="1146">
        <f t="shared" si="4"/>
        <v>3.7439999999999998</v>
      </c>
      <c r="J52" s="1145">
        <f t="shared" si="5"/>
        <v>138.75757138285715</v>
      </c>
      <c r="K52" s="3654">
        <f>$M$6/10/10.5</f>
        <v>2.9714285714285715</v>
      </c>
      <c r="L52" s="1149">
        <f t="shared" si="6"/>
        <v>4.992</v>
      </c>
      <c r="M52" s="1148">
        <f t="shared" si="7"/>
        <v>185.01009517714286</v>
      </c>
      <c r="N52" s="3654">
        <f>$P$6/10/10.5</f>
        <v>3.7142857142857144</v>
      </c>
      <c r="O52" s="1146">
        <f t="shared" si="8"/>
        <v>6.24</v>
      </c>
      <c r="P52" s="1145">
        <f t="shared" si="9"/>
        <v>231.26261897142857</v>
      </c>
      <c r="Q52" s="34">
        <f t="shared" si="10"/>
        <v>22.285714285714285</v>
      </c>
    </row>
    <row r="53" spans="1:17" s="36" customFormat="1" ht="15" customHeight="1">
      <c r="A53" s="746"/>
      <c r="B53" s="1153"/>
      <c r="C53" s="4387" t="s">
        <v>1670</v>
      </c>
      <c r="D53" s="4388"/>
      <c r="E53" s="1152">
        <f>IF($C53=0,0,VLOOKUP($C53,'SD3'!$C$24:$O$85,4,FALSE))</f>
        <v>0</v>
      </c>
      <c r="F53" s="1151">
        <f>IF($C53=0,0,VLOOKUP($C53,'SD3'!$C$24:$O$85,12,FALSE))</f>
        <v>13.75</v>
      </c>
      <c r="G53" s="1150">
        <f>IF($C53=0,0,VLOOKUP($C53,'SD3'!$C$24:$O$85,13,FALSE))</f>
        <v>341.27499999999998</v>
      </c>
      <c r="H53" s="1147">
        <v>1</v>
      </c>
      <c r="I53" s="1146">
        <f t="shared" si="4"/>
        <v>13.75</v>
      </c>
      <c r="J53" s="1145">
        <f t="shared" si="5"/>
        <v>341.27499999999998</v>
      </c>
      <c r="K53" s="1147">
        <v>1</v>
      </c>
      <c r="L53" s="1149">
        <f t="shared" si="6"/>
        <v>13.75</v>
      </c>
      <c r="M53" s="1148">
        <f t="shared" si="7"/>
        <v>341.27499999999998</v>
      </c>
      <c r="N53" s="1147">
        <v>1</v>
      </c>
      <c r="O53" s="1146">
        <f t="shared" si="8"/>
        <v>13.75</v>
      </c>
      <c r="P53" s="1145">
        <f t="shared" si="9"/>
        <v>341.27499999999998</v>
      </c>
      <c r="Q53" s="34">
        <f t="shared" si="10"/>
        <v>10</v>
      </c>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f t="shared" si="10"/>
        <v>0</v>
      </c>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f t="shared" si="10"/>
        <v>0</v>
      </c>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f t="shared" si="10"/>
        <v>0</v>
      </c>
    </row>
    <row r="57" spans="1:17" s="36" customFormat="1" ht="47.25" customHeight="1">
      <c r="A57" s="746"/>
      <c r="B57" s="1084"/>
      <c r="C57" s="4401"/>
      <c r="D57" s="4402"/>
      <c r="E57" s="1135">
        <f>IF($C57=0,0,VLOOKUP($C57,'SD3'!$C$24:$O$85,4,FALSE))</f>
        <v>0</v>
      </c>
      <c r="F57" s="1134">
        <f>IF($C57=0,0,VLOOKUP($C57,'SD3'!$C$24:$O$85,12,FALSE))</f>
        <v>0</v>
      </c>
      <c r="G57" s="1133">
        <f>IF($C57=0,0,VLOOKUP($C57,'SD3'!$C$24:$O$85,13,FALSE))</f>
        <v>0</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f t="shared" si="10"/>
        <v>0</v>
      </c>
    </row>
    <row r="58" spans="1:17" s="46" customFormat="1" ht="18.75" customHeight="1">
      <c r="A58" s="811"/>
      <c r="B58" s="716" t="s">
        <v>848</v>
      </c>
      <c r="C58" s="811"/>
      <c r="D58" s="811"/>
      <c r="E58" s="811"/>
      <c r="F58" s="34"/>
      <c r="G58" s="1047"/>
      <c r="H58" s="1124"/>
      <c r="I58" s="1123">
        <f>SUM($I$46:$I$57)</f>
        <v>23.954000000000001</v>
      </c>
      <c r="J58" s="1128"/>
      <c r="K58" s="1127"/>
      <c r="L58" s="1126">
        <f>SUM($L$46:$L$57)</f>
        <v>25.201999999999998</v>
      </c>
      <c r="M58" s="1125"/>
      <c r="N58" s="1124"/>
      <c r="O58" s="1123">
        <f>SUM($O$46:$O$57)</f>
        <v>26.45</v>
      </c>
      <c r="P58" s="1122"/>
      <c r="Q58" s="34"/>
    </row>
    <row r="59" spans="1:17" s="46" customFormat="1" ht="15" customHeight="1">
      <c r="A59" s="811"/>
      <c r="B59" s="1121"/>
      <c r="C59" s="285"/>
      <c r="D59" s="222" t="s">
        <v>847</v>
      </c>
      <c r="E59" s="1120">
        <v>80</v>
      </c>
      <c r="F59" s="285" t="s">
        <v>846</v>
      </c>
      <c r="G59" s="1119"/>
      <c r="H59" s="1115"/>
      <c r="I59" s="1114">
        <f>IF(I58+SUM($I$46:$I$57)*$E$59%&gt;I58+10,I58+10,I58+SUM($I$46:$I$57)*$E$59%)</f>
        <v>33.954000000000001</v>
      </c>
      <c r="J59" s="1113"/>
      <c r="K59" s="1118"/>
      <c r="L59" s="1117">
        <f>IF(L58+SUM($L$46:$L$57)*$E$59%&gt;L58+10,L58+10,L58+SUM($L$46:$L$57)*$E$59%)</f>
        <v>35.201999999999998</v>
      </c>
      <c r="M59" s="1116"/>
      <c r="N59" s="1115"/>
      <c r="O59" s="1114">
        <f>IF(O58+SUM($O$46:$O$57)*$E$59%&gt;O58+10,O58+10,O58+SUM($O$46:$O$57)*$E$59%)</f>
        <v>36.450000000000003</v>
      </c>
      <c r="P59" s="1113"/>
      <c r="Q59" s="34"/>
    </row>
    <row r="60" spans="1:17" s="36" customFormat="1" ht="18.75" customHeight="1">
      <c r="A60" s="746"/>
      <c r="B60" s="716" t="s">
        <v>845</v>
      </c>
      <c r="C60" s="811"/>
      <c r="D60" s="811"/>
      <c r="E60" s="39"/>
      <c r="F60" s="39"/>
      <c r="G60" s="1112"/>
      <c r="H60" s="1104"/>
      <c r="I60" s="1103"/>
      <c r="J60" s="1111">
        <f>IF(J6=0,0,SUM(I62:I64))</f>
        <v>2600</v>
      </c>
      <c r="K60" s="1107"/>
      <c r="L60" s="1106"/>
      <c r="M60" s="1044">
        <f>IF(M6=0,0,SUM(L62:L64))</f>
        <v>2600</v>
      </c>
      <c r="N60" s="1104"/>
      <c r="O60" s="1103"/>
      <c r="P60" s="1111">
        <f>IF(P6=0,0,SUM(O62:O64))</f>
        <v>2600</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1669</v>
      </c>
      <c r="D62" s="4365"/>
      <c r="E62" s="4365"/>
      <c r="F62" s="1101">
        <f>IF($C62=0,0,VLOOKUP($C62,'SD3'!$C$90:$D$104,2,FALSE))</f>
        <v>2600</v>
      </c>
      <c r="G62" s="1100">
        <f>(100+$D$61)/100*F62</f>
        <v>2600</v>
      </c>
      <c r="H62" s="173"/>
      <c r="I62" s="1096">
        <f>$G$62</f>
        <v>2600</v>
      </c>
      <c r="J62" s="173"/>
      <c r="K62" s="1099"/>
      <c r="L62" s="1098">
        <f>$G$62</f>
        <v>2600</v>
      </c>
      <c r="M62" s="1016"/>
      <c r="N62" s="1097"/>
      <c r="O62" s="1096">
        <f>$G$62</f>
        <v>2600</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34"/>
    </row>
    <row r="65" spans="1:20" s="511" customFormat="1" ht="18.75" customHeight="1">
      <c r="A65" s="711"/>
      <c r="B65" s="716" t="s">
        <v>844</v>
      </c>
      <c r="C65" s="711"/>
      <c r="D65" s="711"/>
      <c r="E65" s="711"/>
      <c r="F65" s="34"/>
      <c r="G65" s="1047"/>
      <c r="H65" s="51"/>
      <c r="I65" s="51"/>
      <c r="J65" s="1041">
        <f>H66*$E66</f>
        <v>1000</v>
      </c>
      <c r="K65" s="1056"/>
      <c r="L65" s="1056"/>
      <c r="M65" s="1044">
        <f>K66*$E66</f>
        <v>1000</v>
      </c>
      <c r="N65" s="51"/>
      <c r="O65" s="51"/>
      <c r="P65" s="1041">
        <f>N66*$E66</f>
        <v>1000</v>
      </c>
      <c r="Q65" s="34" t="s">
        <v>914</v>
      </c>
    </row>
    <row r="66" spans="1:20" s="511" customFormat="1" ht="15" customHeight="1">
      <c r="A66" s="711"/>
      <c r="B66" s="1075"/>
      <c r="C66" s="815"/>
      <c r="D66" s="222" t="s">
        <v>691</v>
      </c>
      <c r="E66" s="1074">
        <v>20</v>
      </c>
      <c r="F66" s="1049"/>
      <c r="G66" s="1073" t="s">
        <v>362</v>
      </c>
      <c r="H66" s="1071">
        <v>50</v>
      </c>
      <c r="I66" s="1070"/>
      <c r="J66" s="1059"/>
      <c r="K66" s="1071">
        <v>50</v>
      </c>
      <c r="L66" s="1072"/>
      <c r="M66" s="1062"/>
      <c r="N66" s="1071">
        <v>50</v>
      </c>
      <c r="O66" s="1070"/>
      <c r="P66" s="1059"/>
      <c r="Q66" s="34"/>
    </row>
    <row r="67" spans="1:20" s="511" customFormat="1" ht="22.95" customHeight="1">
      <c r="A67" s="711"/>
      <c r="B67" s="716" t="s">
        <v>843</v>
      </c>
      <c r="C67" s="711"/>
      <c r="D67" s="711"/>
      <c r="E67" s="175"/>
      <c r="F67" s="1069"/>
      <c r="G67" s="1047"/>
      <c r="H67" s="1066" t="s">
        <v>842</v>
      </c>
      <c r="I67" s="1065" t="s">
        <v>841</v>
      </c>
      <c r="J67" s="1041">
        <f>R68*(H9+H10)*I68%+F68</f>
        <v>0</v>
      </c>
      <c r="K67" s="1068" t="s">
        <v>842</v>
      </c>
      <c r="L67" s="1067" t="s">
        <v>841</v>
      </c>
      <c r="M67" s="1044">
        <f>S68*(K9+K10)*L68%+F68</f>
        <v>0</v>
      </c>
      <c r="N67" s="1066" t="s">
        <v>842</v>
      </c>
      <c r="O67" s="1065" t="s">
        <v>841</v>
      </c>
      <c r="P67" s="1041">
        <f>T68*(N9+N10)*O68%+F68</f>
        <v>0</v>
      </c>
      <c r="Q67" s="34"/>
    </row>
    <row r="68" spans="1:20" s="511" customFormat="1" ht="15" customHeight="1">
      <c r="A68" s="711"/>
      <c r="B68" s="1064"/>
      <c r="C68" s="4393" t="s">
        <v>564</v>
      </c>
      <c r="D68" s="4393"/>
      <c r="E68" s="4393"/>
      <c r="F68" s="1063"/>
      <c r="G68" s="1054" t="s">
        <v>163</v>
      </c>
      <c r="H68" s="1061"/>
      <c r="I68" s="1060"/>
      <c r="J68" s="1059"/>
      <c r="K68" s="1061"/>
      <c r="L68" s="1060"/>
      <c r="M68" s="1062"/>
      <c r="N68" s="1061"/>
      <c r="O68" s="1060"/>
      <c r="P68" s="1059"/>
      <c r="Q68" s="34"/>
      <c r="R68" s="1369">
        <f>IF($H$68=0,0,VLOOKUP($H$68,'SD6'!B8:C101,2,FALSE))*(1+'SDK1'!O11/100)</f>
        <v>0</v>
      </c>
      <c r="S68" s="1058">
        <f>IF($K$68=0,0,VLOOKUP($K$68,'SD6'!B8:C101,2,FALSE))*(1+'SDK1'!O11/100)</f>
        <v>0</v>
      </c>
      <c r="T68" s="1369">
        <f>IF($N$68=0,0,VLOOKUP($N$68,'SD6'!B8:C101,2,FALSE))*(1+'SDK1'!O11/100)</f>
        <v>0</v>
      </c>
    </row>
    <row r="69" spans="1:20" s="511" customFormat="1" ht="18.75" customHeight="1">
      <c r="A69" s="711"/>
      <c r="B69" s="716" t="s">
        <v>839</v>
      </c>
      <c r="C69" s="711"/>
      <c r="D69" s="711"/>
      <c r="E69" s="34"/>
      <c r="F69" s="34"/>
      <c r="G69" s="1047"/>
      <c r="H69" s="38"/>
      <c r="I69" s="51"/>
      <c r="J69" s="1041">
        <f>H70*$F70/1000</f>
        <v>129.58199999999999</v>
      </c>
      <c r="K69" s="1057"/>
      <c r="L69" s="1056"/>
      <c r="M69" s="1044">
        <f>K70*$F70/1000</f>
        <v>149.256</v>
      </c>
      <c r="N69" s="38"/>
      <c r="O69" s="51"/>
      <c r="P69" s="1041">
        <f>N70*$F70/1000</f>
        <v>189.72</v>
      </c>
      <c r="Q69" s="34"/>
    </row>
    <row r="70" spans="1:20" s="511" customFormat="1" ht="15" customHeight="1">
      <c r="A70" s="711"/>
      <c r="B70" s="772"/>
      <c r="C70" s="771" t="s">
        <v>606</v>
      </c>
      <c r="D70" s="285"/>
      <c r="E70" s="222"/>
      <c r="F70" s="3742">
        <f>'SDK7'!G112</f>
        <v>18</v>
      </c>
      <c r="G70" s="1054" t="s">
        <v>163</v>
      </c>
      <c r="H70" s="1050">
        <f>J7</f>
        <v>7199</v>
      </c>
      <c r="I70" s="1049"/>
      <c r="J70" s="1048"/>
      <c r="K70" s="1053">
        <f>M7</f>
        <v>8292</v>
      </c>
      <c r="L70" s="1052"/>
      <c r="M70" s="1051"/>
      <c r="N70" s="1050">
        <f>P7</f>
        <v>10540</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f>(J23+J27+J34+J43+J60+J65+J67+J69+J71)*('SDK1'!$O$59%*$G$75/12)</f>
        <v>54.54660922719048</v>
      </c>
      <c r="K75" s="513"/>
      <c r="L75" s="522"/>
      <c r="M75" s="1005">
        <f>(M23+M27+M34+M43+M60+M65+M67+M69+M71)*('SDK1'!$O$59%*$G$75/12)</f>
        <v>55.862021925476185</v>
      </c>
      <c r="N75" s="1007"/>
      <c r="O75" s="1006"/>
      <c r="P75" s="1005">
        <f>(P23+P27+P34+P43+P60+P65+P67+P69+P71)*('SDK1'!$O$59%*$G$75/12)</f>
        <v>57.350684623761907</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M151" s="31"/>
      <c r="N151" s="31"/>
      <c r="O151" s="31"/>
      <c r="P151" s="31"/>
      <c r="Q151" s="31"/>
    </row>
    <row r="152" spans="1:17">
      <c r="A152" s="31"/>
      <c r="B152" s="441"/>
      <c r="C152" s="12"/>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H159" s="1354"/>
      <c r="J159" s="1353"/>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topLeftCell="A42">
      <selection activeCell="AE33" sqref="AE33:AE34"/>
      <pageMargins left="0.59055118110236227" right="0.59055118110236227" top="0.59055118110236227" bottom="0.59055118110236227" header="0.39370078740157483" footer="0.39370078740157483"/>
      <printOptions horizontalCentered="1"/>
      <pageSetup paperSize="9" scale="68" firstPageNumber="66" orientation="portrait" r:id="rId1"/>
      <headerFooter alignWithMargins="0">
        <oddFooter>&amp;L&amp;11LEL Schwäbisch Gmünd&amp;C79&amp;R&amp;11&amp;F</oddFooter>
      </headerFooter>
    </customSheetView>
    <customSheetView guid="{5D5C9B61-9ABD-4513-AAEB-8333A9D6196C}" fitToPage="1" hiddenRows="1" hiddenColumns="1" topLeftCell="A42">
      <selection activeCell="AE33" sqref="AE33:AE34"/>
      <pageMargins left="0.59055118110236227" right="0.59055118110236227" top="0.59055118110236227" bottom="0.59055118110236227" header="0.39370078740157483" footer="0.39370078740157483"/>
      <printOptions horizontalCentered="1"/>
      <pageSetup paperSize="9" scale="68" firstPageNumber="66" orientation="portrait" r:id="rId2"/>
      <headerFooter alignWithMargins="0">
        <oddFooter>&amp;L&amp;11LEL Schwäbisch Gmünd&amp;C79&amp;R&amp;11&amp;F</oddFooter>
      </headerFooter>
    </customSheetView>
    <customSheetView guid="{22A73C4F-9004-4CEF-8499-B1F91BE1B569}" fitToPage="1" hiddenRows="1" hiddenColumns="1" topLeftCell="A42">
      <selection activeCell="AE33" sqref="AE33:AE34"/>
      <pageMargins left="0.59055118110236227" right="0.59055118110236227" top="0.59055118110236227" bottom="0.59055118110236227" header="0.39370078740157483" footer="0.39370078740157483"/>
      <printOptions horizontalCentered="1"/>
      <pageSetup paperSize="9" scale="68" firstPageNumber="66" orientation="portrait" r:id="rId3"/>
      <headerFooter alignWithMargins="0">
        <oddFooter>&amp;L&amp;11LEL Schwäbisch Gmünd&amp;C79&amp;R&amp;11&amp;F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showInputMessage="1" showErrorMessage="1" sqref="H14 K14 N14" xr:uid="{00000000-0002-0000-3100-000000000000}">
      <formula1>"ja,nein"</formula1>
    </dataValidation>
    <dataValidation type="list" allowBlank="1" showInputMessage="1" showErrorMessage="1" sqref="H15:H17 K15:K17 N15:N17" xr:uid="{00000000-0002-0000-3100-000001000000}">
      <formula1>"ja,nein"</formula1>
    </dataValidation>
    <dataValidation type="decimal" allowBlank="1" showInputMessage="1" showErrorMessage="1" errorTitle="Wassergehalt Getreide" error="Zulässig sind nur Werte zwischen 14,1 und 22,0 % Wassergehalt." sqref="H68 K68 N68" xr:uid="{00000000-0002-0000-3100-000002000000}">
      <formula1>14.1</formula1>
      <formula2>22</formula2>
    </dataValidation>
    <dataValidation type="whole" allowBlank="1" showInputMessage="1" showErrorMessage="1" errorTitle="Anteil Erntegut" error="Prozentwert darf nur zwischen 0 und 100 liegen." sqref="O68 L68 I68" xr:uid="{00000000-0002-0000-3100-000003000000}">
      <formula1>0</formula1>
      <formula2>100</formula2>
    </dataValidation>
    <dataValidation type="list" allowBlank="1" showInputMessage="1" showErrorMessage="1" errorTitle="Organisationsabh. Ausgleichsl." error="Bitte aus Dropdownliste auswählen." sqref="D19:F19" xr:uid="{00000000-0002-0000-3100-000004000000}">
      <formula1>$C$60:$C$75</formula1>
    </dataValidation>
  </dataValidations>
  <hyperlinks>
    <hyperlink ref="F9" location="'SDK1'!A1" display="Preis ändern" xr:uid="{00000000-0004-0000-3100-000000000000}"/>
  </hyperlinks>
  <printOptions horizontalCentered="1"/>
  <pageMargins left="0.59055118110236227" right="0.59055118110236227" top="0.59055118110236227" bottom="0.59055118110236227" header="0.39370078740157483" footer="0.39370078740157483"/>
  <pageSetup paperSize="9" scale="68" firstPageNumber="66" orientation="portrait" r:id="rId4"/>
  <headerFooter alignWithMargins="0">
    <oddFooter>&amp;L&amp;11LEL Schwäbisch Gmünd&amp;C79&amp;R&amp;11&amp;F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r:uid="{00000000-0002-0000-3100-000005000000}">
          <x14:formula1>
            <xm:f>'SDK5'!$AB$214:$AB$237</xm:f>
          </x14:formula1>
          <xm:sqref>C36:E42</xm:sqref>
        </x14:dataValidation>
        <x14:dataValidation type="list" allowBlank="1" showInputMessage="1" showErrorMessage="1" errorTitle="Verfahrensabh. Ausgleichsleist." error="Bitte aus Dropdownliste auswählen." xr:uid="{00000000-0002-0000-3100-000006000000}">
          <x14:formula1>
            <xm:f>'SD2'!$C$11:$C$50</xm:f>
          </x14:formula1>
          <xm:sqref>C14:F17</xm:sqref>
        </x14:dataValidation>
        <x14:dataValidation type="list" allowBlank="1" showInputMessage="1" showErrorMessage="1" errorTitle="Organisationsabh. Ausgleichsl." error="Bitte aus Dropdownliste auswählen." xr:uid="{00000000-0002-0000-3100-000007000000}">
          <x14:formula1>
            <xm:f>'SD2'!$C$60:$C$77</xm:f>
          </x14:formula1>
          <xm:sqref>C19:C21</xm:sqref>
        </x14:dataValidation>
        <x14:dataValidation type="list" allowBlank="1" showInputMessage="1" showErrorMessage="1" errorTitle="Arbeitsgänge" error="Bitte aus Dropdownliste auswählen." xr:uid="{00000000-0002-0000-3100-000008000000}">
          <x14:formula1>
            <xm:f>'SD3'!$C$23:$C$75</xm:f>
          </x14:formula1>
          <xm:sqref>C46:D57</xm:sqref>
        </x14:dataValidation>
        <x14:dataValidation type="list" allowBlank="1" showInputMessage="1" showErrorMessage="1" errorTitle="Lohnmaschinen" error="Bitte aus Dropdownliste auswählen." xr:uid="{00000000-0002-0000-3100-000009000000}">
          <x14:formula1>
            <xm:f>'SD3'!$C$90:$C$104</xm:f>
          </x14:formula1>
          <xm:sqref>C62:E64</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3">
    <tabColor theme="3" tint="0.39997558519241921"/>
    <pageSetUpPr fitToPage="1"/>
  </sheetPr>
  <dimension ref="A1:AO218"/>
  <sheetViews>
    <sheetView workbookViewId="0">
      <selection activeCell="H53" sqref="H53"/>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9" width="7.19921875" style="34" customWidth="1"/>
    <col min="10" max="10" width="8.69921875" style="34" customWidth="1"/>
    <col min="11" max="11" width="8" style="34" customWidth="1"/>
    <col min="12" max="12" width="7.19921875" style="34" customWidth="1"/>
    <col min="13" max="13" width="8.69921875" style="34" customWidth="1"/>
    <col min="14" max="14" width="8" style="34" customWidth="1"/>
    <col min="15" max="15" width="7.19921875" style="34" customWidth="1"/>
    <col min="16" max="16" width="8.19921875" style="34" customWidth="1"/>
    <col min="17" max="17" width="19.69921875" style="34" hidden="1" customWidth="1"/>
    <col min="18" max="18" width="12" style="31" hidden="1" customWidth="1"/>
    <col min="19" max="21" width="0" style="31" hidden="1" customWidth="1"/>
    <col min="22" max="22" width="12.8984375" style="31" hidden="1" customWidth="1"/>
    <col min="23" max="26" width="0" style="31" hidden="1" customWidth="1"/>
    <col min="27" max="16384" width="10.5" style="31"/>
  </cols>
  <sheetData>
    <row r="1" spans="1:41" s="1317" customFormat="1" ht="30.45" customHeight="1">
      <c r="A1" s="1321"/>
      <c r="B1" s="258"/>
      <c r="C1" s="1333"/>
      <c r="D1" s="1253"/>
      <c r="E1" s="255"/>
      <c r="F1" s="255"/>
      <c r="G1" s="430"/>
      <c r="H1" s="1328"/>
      <c r="I1" s="3212" t="s">
        <v>1679</v>
      </c>
      <c r="J1" s="3210">
        <f>(J7+J13+J18+J22+I11+I12)-(J23+J27+J34+J43+J60+J65+J67+J69+J71+J75)</f>
        <v>6439.9062854149761</v>
      </c>
      <c r="K1" s="4360">
        <f>M1-J1</f>
        <v>1422.5040431706666</v>
      </c>
      <c r="L1" s="4360"/>
      <c r="M1" s="3210">
        <f>(M7+M13+M18+M22+L11+L12)-(M23+M27+M34+M43+M60+M65+M67+M69+M71+M75)</f>
        <v>7862.4103285856427</v>
      </c>
      <c r="N1" s="4360">
        <f>P1-M1</f>
        <v>1374.1163824205732</v>
      </c>
      <c r="O1" s="4360"/>
      <c r="P1" s="3210">
        <f>(P7+P13+P18+P22+O11+O12)-(P23+P27+P34+P43+P60+P65+P67+P69+P71+P75)</f>
        <v>9236.5267110062159</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36</v>
      </c>
      <c r="L2" s="4372"/>
      <c r="M2" s="4372"/>
      <c r="N2" s="4372"/>
      <c r="O2" s="4372"/>
      <c r="P2" s="4372"/>
      <c r="Q2" s="1345">
        <v>0</v>
      </c>
      <c r="AB2" s="3229"/>
    </row>
    <row r="3" spans="1:41" s="1317" customFormat="1" ht="32.4" customHeight="1">
      <c r="A3" s="1321"/>
      <c r="B3" s="4405" t="s">
        <v>1727</v>
      </c>
      <c r="C3" s="4405"/>
      <c r="D3" s="4405"/>
      <c r="E3" s="4405"/>
      <c r="F3" s="4405"/>
      <c r="G3" s="4405"/>
      <c r="H3" s="4405"/>
      <c r="J3" s="4368"/>
      <c r="K3" s="4369"/>
      <c r="L3" s="4369"/>
      <c r="M3" s="1384"/>
      <c r="N3" s="4373" t="str">
        <f>IF(AND(T3=TRUE,T4=TRUE),"nur 1 Strohnutzung möglich","")</f>
        <v/>
      </c>
      <c r="O3" s="4374"/>
      <c r="P3" s="1326"/>
      <c r="Q3" s="1321"/>
      <c r="T3" s="1343" t="b">
        <v>0</v>
      </c>
    </row>
    <row r="4" spans="1:41" s="1317" customFormat="1" ht="20.25" customHeight="1">
      <c r="A4" s="1321"/>
      <c r="B4" s="309" t="s">
        <v>779</v>
      </c>
      <c r="C4" s="31"/>
      <c r="D4" s="31"/>
      <c r="E4" s="4406" t="s">
        <v>915</v>
      </c>
      <c r="F4" s="4406"/>
      <c r="G4" s="4406"/>
      <c r="H4" s="4406"/>
      <c r="I4" s="4406"/>
      <c r="J4" s="4368"/>
      <c r="K4" s="4369"/>
      <c r="L4" s="4369"/>
      <c r="M4" s="1384"/>
      <c r="N4" s="4374"/>
      <c r="O4" s="4374"/>
      <c r="P4" s="1322">
        <f>'SDK1'!O3</f>
        <v>2024</v>
      </c>
      <c r="Q4" s="1321"/>
      <c r="T4" s="1343" t="b">
        <v>0</v>
      </c>
    </row>
    <row r="5" spans="1:41" ht="6" customHeight="1"/>
    <row r="6" spans="1:41" s="1311" customFormat="1" ht="24" customHeight="1">
      <c r="A6" s="41"/>
      <c r="B6" s="1316" t="s">
        <v>832</v>
      </c>
      <c r="C6" s="1315"/>
      <c r="D6" s="1315"/>
      <c r="E6" s="1315"/>
      <c r="F6" s="1315"/>
      <c r="G6" s="1314"/>
      <c r="H6" s="4366" t="s">
        <v>171</v>
      </c>
      <c r="I6" s="4367"/>
      <c r="J6" s="1313">
        <v>450</v>
      </c>
      <c r="K6" s="4379" t="s">
        <v>144</v>
      </c>
      <c r="L6" s="4380"/>
      <c r="M6" s="1313">
        <v>500</v>
      </c>
      <c r="N6" s="4366" t="s">
        <v>170</v>
      </c>
      <c r="O6" s="4367"/>
      <c r="P6" s="1312">
        <v>550</v>
      </c>
      <c r="Q6" s="49"/>
    </row>
    <row r="7" spans="1:41" s="196" customFormat="1" ht="18.75" customHeight="1">
      <c r="A7" s="40"/>
      <c r="B7" s="245" t="s">
        <v>883</v>
      </c>
      <c r="C7" s="40"/>
      <c r="D7" s="40"/>
      <c r="E7" s="40"/>
      <c r="F7" s="40"/>
      <c r="G7" s="1310"/>
      <c r="H7" s="1307"/>
      <c r="I7" s="1306"/>
      <c r="J7" s="1041">
        <f>SUM(I9:I10)</f>
        <v>13855</v>
      </c>
      <c r="K7" s="1309"/>
      <c r="L7" s="1308"/>
      <c r="M7" s="1044">
        <f>SUM(L9:L10)</f>
        <v>15375</v>
      </c>
      <c r="N7" s="1307"/>
      <c r="O7" s="1306"/>
      <c r="P7" s="1041">
        <f>SUM(O9:O10)</f>
        <v>16860</v>
      </c>
      <c r="Q7" s="34" t="s">
        <v>907</v>
      </c>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t="s">
        <v>918</v>
      </c>
    </row>
    <row r="9" spans="1:41" s="196" customFormat="1" ht="16.5" customHeight="1">
      <c r="A9" s="40"/>
      <c r="B9" s="245"/>
      <c r="C9" s="39" t="str">
        <f>IF('SDK1'!O9&gt;0,"Hauptprodukt (incl. MwSt.)","Hauptprodukt (ohne MwSt)")</f>
        <v>Hauptprodukt (ohne MwSt)</v>
      </c>
      <c r="D9" s="40"/>
      <c r="E9" s="40"/>
      <c r="F9" s="1304" t="s">
        <v>882</v>
      </c>
      <c r="G9" s="1221">
        <f>'SDK1'!O42</f>
        <v>36</v>
      </c>
      <c r="H9" s="1303">
        <f>J6-H10</f>
        <v>383</v>
      </c>
      <c r="I9" s="1299">
        <f>H9*G9</f>
        <v>13788</v>
      </c>
      <c r="J9" s="37"/>
      <c r="K9" s="1302">
        <f>M6-K10</f>
        <v>425</v>
      </c>
      <c r="L9" s="1301">
        <f>K9*G9</f>
        <v>15300</v>
      </c>
      <c r="M9" s="1280"/>
      <c r="N9" s="1300">
        <f>P6-N10</f>
        <v>466</v>
      </c>
      <c r="O9" s="1299">
        <f>N9*G9</f>
        <v>16776</v>
      </c>
      <c r="P9" s="37"/>
      <c r="Q9" s="34" t="s">
        <v>905</v>
      </c>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v>1</v>
      </c>
      <c r="H10" s="1292">
        <v>67</v>
      </c>
      <c r="I10" s="1291">
        <f>H10*G10</f>
        <v>67</v>
      </c>
      <c r="J10" s="1296"/>
      <c r="K10" s="1295">
        <v>75</v>
      </c>
      <c r="L10" s="1294">
        <f>K10*G10</f>
        <v>75</v>
      </c>
      <c r="M10" s="1293"/>
      <c r="N10" s="1292">
        <v>84</v>
      </c>
      <c r="O10" s="1291">
        <f>N10*G10</f>
        <v>84</v>
      </c>
      <c r="P10" s="1290"/>
      <c r="Q10" s="34" t="s">
        <v>917</v>
      </c>
      <c r="R10" s="1289">
        <f>I10+I11+I12</f>
        <v>67</v>
      </c>
      <c r="S10" s="1288">
        <f>L10+L11+L12</f>
        <v>75</v>
      </c>
      <c r="T10" s="1287">
        <f>O10+O11+O12</f>
        <v>84</v>
      </c>
      <c r="W10" s="196" t="s">
        <v>879</v>
      </c>
    </row>
    <row r="11" spans="1:41" s="1268" customFormat="1" ht="15" hidden="1" customHeight="1">
      <c r="A11" s="309"/>
      <c r="B11" s="217"/>
      <c r="C11" s="39" t="s">
        <v>878</v>
      </c>
      <c r="D11" s="309"/>
      <c r="E11" s="1286">
        <v>0.5</v>
      </c>
      <c r="F11" s="39" t="s">
        <v>877</v>
      </c>
      <c r="G11" s="1285">
        <f>'SDK1'!$O$48</f>
        <v>10.7</v>
      </c>
      <c r="H11" s="3151">
        <f>IF($T$3=FALSE,0,J6*$E$11)</f>
        <v>0</v>
      </c>
      <c r="I11" s="3152">
        <f>H11*$G$11</f>
        <v>0</v>
      </c>
      <c r="J11" s="3153"/>
      <c r="K11" s="3154">
        <f>IF($T$3=FALSE,0,M6*$E$11)</f>
        <v>0</v>
      </c>
      <c r="L11" s="3155">
        <f>K11*$G$11</f>
        <v>0</v>
      </c>
      <c r="M11" s="3156"/>
      <c r="N11" s="3157">
        <f>IF($T$3=FALSE,0,P6*$E$11)</f>
        <v>0</v>
      </c>
      <c r="O11" s="3152">
        <f>N11*$G$11</f>
        <v>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1500</v>
      </c>
      <c r="K23" s="1046"/>
      <c r="L23" s="1045"/>
      <c r="M23" s="1227">
        <f>SUM(L25:L26)</f>
        <v>1500</v>
      </c>
      <c r="N23" s="1043"/>
      <c r="O23" s="1042"/>
      <c r="P23" s="1026">
        <f>SUM(O25:O26)</f>
        <v>1500</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'SDK7'!F71</f>
        <v>60</v>
      </c>
      <c r="G25" s="1221">
        <f>F25*(100+$D$24)/100</f>
        <v>60</v>
      </c>
      <c r="H25" s="1220">
        <v>25</v>
      </c>
      <c r="I25" s="1181">
        <f>H25*$G25</f>
        <v>1500</v>
      </c>
      <c r="J25" s="39"/>
      <c r="K25" s="1220">
        <f>H25</f>
        <v>25</v>
      </c>
      <c r="L25" s="1023">
        <f>K25*$G25</f>
        <v>1500</v>
      </c>
      <c r="M25" s="1016"/>
      <c r="N25" s="1220">
        <f>H25</f>
        <v>25</v>
      </c>
      <c r="O25" s="1181">
        <f>N25*$G25</f>
        <v>1500</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554.125</v>
      </c>
      <c r="K27" s="1175"/>
      <c r="L27" s="1174"/>
      <c r="M27" s="1044">
        <f>SUM(L30:L32)</f>
        <v>613.04999999999995</v>
      </c>
      <c r="N27" s="1173"/>
      <c r="O27" s="1172"/>
      <c r="P27" s="1041">
        <f>SUM(O30:O32)</f>
        <v>671.97500000000002</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902</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0.35</v>
      </c>
      <c r="F30" s="1201">
        <f>VLOOKUP(K2,'SD8'!B9:L42,7,FALSE)</f>
        <v>0.20000000000000007</v>
      </c>
      <c r="G30" s="1200">
        <v>20</v>
      </c>
      <c r="H30" s="1198">
        <f>IF(J$6=0,0,(J$6*$E30+$G30+X14))</f>
        <v>177.5</v>
      </c>
      <c r="I30" s="1181">
        <f>H30*$D30</f>
        <v>211.22499999999999</v>
      </c>
      <c r="J30" s="39"/>
      <c r="K30" s="1199">
        <f>IF(M$6=0,0,(M$6*$E30+$G30+Y14))</f>
        <v>195</v>
      </c>
      <c r="L30" s="1023">
        <f>K30*$D30</f>
        <v>232.04999999999998</v>
      </c>
      <c r="M30" s="1016"/>
      <c r="N30" s="1198">
        <f>IF(P$6=0,0,(P$6*$E30+$G30+Z14))</f>
        <v>212.5</v>
      </c>
      <c r="O30" s="1181">
        <f>N30*$D30</f>
        <v>252.875</v>
      </c>
      <c r="P30" s="1145"/>
      <c r="Q30" s="34"/>
    </row>
    <row r="31" spans="1:26" s="36" customFormat="1" ht="15" customHeight="1">
      <c r="A31" s="746"/>
      <c r="B31" s="217"/>
      <c r="C31" s="746" t="s">
        <v>234</v>
      </c>
      <c r="D31" s="1150">
        <f>'SDK1'!O53</f>
        <v>1.2</v>
      </c>
      <c r="E31" s="1201">
        <f>VLOOKUP(K2,'SD8'!B9:L42,4,FALSE)</f>
        <v>0.14000000000000001</v>
      </c>
      <c r="F31" s="1201">
        <f>VLOOKUP(K2,'SD8'!B9:L42,8,FALSE)</f>
        <v>9.9999999999999811E-3</v>
      </c>
      <c r="G31" s="1200"/>
      <c r="H31" s="1198">
        <f>IF(J$6=0,0,(J$6*$E31+$G31+X15))</f>
        <v>63.000000000000007</v>
      </c>
      <c r="I31" s="1181">
        <f>H31*$D31</f>
        <v>75.600000000000009</v>
      </c>
      <c r="J31" s="39"/>
      <c r="K31" s="1199">
        <f>IF(M$6=0,0,(M$6*$E31+$G31+Y15))</f>
        <v>70</v>
      </c>
      <c r="L31" s="1023">
        <f>K31*$D31</f>
        <v>84</v>
      </c>
      <c r="M31" s="1016"/>
      <c r="N31" s="1198">
        <f>IF(P$6=0,0,(P$6*$E31+$G31+Z15))</f>
        <v>77.000000000000014</v>
      </c>
      <c r="O31" s="1181">
        <f>N31*$D31</f>
        <v>92.40000000000002</v>
      </c>
      <c r="P31" s="1145"/>
      <c r="Q31" s="34"/>
    </row>
    <row r="32" spans="1:26" s="36" customFormat="1" ht="15" customHeight="1">
      <c r="A32" s="746"/>
      <c r="B32" s="185"/>
      <c r="C32" s="2791" t="s">
        <v>232</v>
      </c>
      <c r="D32" s="1133">
        <f>'SDK1'!O54</f>
        <v>0.99</v>
      </c>
      <c r="E32" s="1197">
        <f>VLOOKUP(K2,'SD8'!B9:L42,5,FALSE)</f>
        <v>0.6</v>
      </c>
      <c r="F32" s="1197">
        <f>VLOOKUP(K2,'SD8'!B9:L42,9,FALSE)</f>
        <v>0</v>
      </c>
      <c r="G32" s="1196"/>
      <c r="H32" s="1194">
        <f>IF(J$6=0,0,(J$6*$E32+$G32+X16))</f>
        <v>270</v>
      </c>
      <c r="I32" s="1177">
        <f>H32*$D32</f>
        <v>267.3</v>
      </c>
      <c r="J32" s="223"/>
      <c r="K32" s="1195">
        <f>IF(M$6=0,0,(M$6*$E32+$G32+Y16))</f>
        <v>300</v>
      </c>
      <c r="L32" s="1017">
        <f>K32*$D32</f>
        <v>297</v>
      </c>
      <c r="M32" s="1256"/>
      <c r="N32" s="1194">
        <f>IF(P$6=0,0,(P$6*$E32+$G32+Z16))</f>
        <v>330</v>
      </c>
      <c r="O32" s="1177">
        <f>N32*$D32</f>
        <v>326.7</v>
      </c>
      <c r="P32" s="1176"/>
      <c r="Q32" s="34"/>
    </row>
    <row r="33" spans="1:17" s="36" customFormat="1" ht="15" hidden="1" customHeight="1">
      <c r="A33" s="746"/>
      <c r="B33" s="185"/>
      <c r="C33" s="771" t="s">
        <v>230</v>
      </c>
      <c r="D33" s="1133">
        <f>'SDK1'!P55</f>
        <v>0.45</v>
      </c>
      <c r="E33" s="1197">
        <f>VLOOKUP(K2,'SD8'!B9:L42,6,FALSE)</f>
        <v>0.04</v>
      </c>
      <c r="F33" s="1197">
        <f>VLOOKUP(K2,'SD8'!B9:L40,10,FALSE)</f>
        <v>0</v>
      </c>
      <c r="G33" s="1196"/>
      <c r="H33" s="1194">
        <f>IF(J$6=0,0,(J$6*$E33+$G33+X17))</f>
        <v>18</v>
      </c>
      <c r="I33" s="1177">
        <f>H33*$D33</f>
        <v>8.1</v>
      </c>
      <c r="J33" s="39"/>
      <c r="K33" s="1195">
        <f>IF(M$6=0,0,(M$6*$E33+$G33+Y17))</f>
        <v>20</v>
      </c>
      <c r="L33" s="1017">
        <f>K33*$D33</f>
        <v>9</v>
      </c>
      <c r="M33" s="1016"/>
      <c r="N33" s="1194">
        <f>IF(P$6=0,0,(P$6*$E33+$G33+Z17))</f>
        <v>22</v>
      </c>
      <c r="O33" s="1177">
        <f>N33*$D33</f>
        <v>9.9</v>
      </c>
      <c r="P33" s="1176"/>
      <c r="Q33" s="34"/>
    </row>
    <row r="34" spans="1:17" s="511" customFormat="1" ht="18.75" customHeight="1">
      <c r="A34" s="711"/>
      <c r="B34" s="716" t="s">
        <v>859</v>
      </c>
      <c r="C34" s="711"/>
      <c r="D34" s="33"/>
      <c r="E34" s="33"/>
      <c r="F34" s="4381" t="s">
        <v>858</v>
      </c>
      <c r="G34" s="4382"/>
      <c r="H34" s="1191"/>
      <c r="I34" s="1190"/>
      <c r="J34" s="1041">
        <f>SUM(I36:I42)</f>
        <v>353.86199999999997</v>
      </c>
      <c r="K34" s="1193"/>
      <c r="L34" s="1192"/>
      <c r="M34" s="1044">
        <f>SUM(L36:L42)</f>
        <v>339.36199999999997</v>
      </c>
      <c r="N34" s="1191"/>
      <c r="O34" s="1190"/>
      <c r="P34" s="1041">
        <f>SUM(O36:O42)</f>
        <v>339.36199999999997</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539</v>
      </c>
      <c r="D36" s="4389"/>
      <c r="E36" s="4390"/>
      <c r="F36" s="1183">
        <f>IF(C36="",0,VLOOKUP(C36,'SDK5'!C3:AF83,2,FALSE))</f>
        <v>29</v>
      </c>
      <c r="G36" s="1183">
        <f t="shared" ref="G36:G42" si="0">F36*(100+$D$35)/100</f>
        <v>29</v>
      </c>
      <c r="H36" s="1182">
        <v>3.5</v>
      </c>
      <c r="I36" s="1181">
        <f t="shared" ref="I36:I42" si="1">$G36*H36</f>
        <v>101.5</v>
      </c>
      <c r="J36" s="39"/>
      <c r="K36" s="1182">
        <v>3</v>
      </c>
      <c r="L36" s="1023">
        <f t="shared" ref="L36:L42" si="2">$G36*K36</f>
        <v>87</v>
      </c>
      <c r="M36" s="1016"/>
      <c r="N36" s="1182">
        <v>3</v>
      </c>
      <c r="O36" s="1181">
        <f t="shared" ref="O36:O42" si="3">$G36*N36</f>
        <v>87</v>
      </c>
      <c r="P36" s="1185"/>
      <c r="Q36" s="34"/>
    </row>
    <row r="37" spans="1:17" s="36" customFormat="1" ht="15" customHeight="1">
      <c r="A37" s="746"/>
      <c r="B37" s="1021"/>
      <c r="C37" s="4375" t="s">
        <v>1733</v>
      </c>
      <c r="D37" s="4375"/>
      <c r="E37" s="4376"/>
      <c r="F37" s="1183">
        <f>IF(C37="",0,VLOOKUP(C37,'SDK5'!C4:AF84,2,FALSE))</f>
        <v>35.1</v>
      </c>
      <c r="G37" s="1183">
        <f t="shared" si="0"/>
        <v>35.1</v>
      </c>
      <c r="H37" s="1182">
        <v>2</v>
      </c>
      <c r="I37" s="1181">
        <f t="shared" si="1"/>
        <v>70.2</v>
      </c>
      <c r="J37" s="39"/>
      <c r="K37" s="1182">
        <v>2</v>
      </c>
      <c r="L37" s="1023">
        <f t="shared" si="2"/>
        <v>70.2</v>
      </c>
      <c r="M37" s="1016"/>
      <c r="N37" s="1182">
        <v>2</v>
      </c>
      <c r="O37" s="1181">
        <f t="shared" si="3"/>
        <v>70.2</v>
      </c>
      <c r="P37" s="1145"/>
      <c r="Q37" s="34"/>
    </row>
    <row r="38" spans="1:17" s="36" customFormat="1" ht="15" customHeight="1">
      <c r="A38" s="746"/>
      <c r="B38" s="1184"/>
      <c r="C38" s="4375" t="s">
        <v>498</v>
      </c>
      <c r="D38" s="4375"/>
      <c r="E38" s="4376"/>
      <c r="F38" s="1183">
        <f>IF(C38="",0,VLOOKUP(C38,'SDK5'!C5:AF85,2,FALSE))</f>
        <v>66.900000000000006</v>
      </c>
      <c r="G38" s="1183">
        <f t="shared" si="0"/>
        <v>66.900000000000006</v>
      </c>
      <c r="H38" s="1182">
        <v>0.5</v>
      </c>
      <c r="I38" s="1181">
        <f t="shared" si="1"/>
        <v>33.450000000000003</v>
      </c>
      <c r="J38" s="39"/>
      <c r="K38" s="1182">
        <v>0.5</v>
      </c>
      <c r="L38" s="1023">
        <f t="shared" si="2"/>
        <v>33.450000000000003</v>
      </c>
      <c r="M38" s="1016"/>
      <c r="N38" s="1182">
        <v>0.5</v>
      </c>
      <c r="O38" s="1181">
        <f t="shared" si="3"/>
        <v>33.450000000000003</v>
      </c>
      <c r="P38" s="1145"/>
      <c r="Q38" s="34"/>
    </row>
    <row r="39" spans="1:17" s="36" customFormat="1" ht="15" customHeight="1">
      <c r="A39" s="746"/>
      <c r="B39" s="1021"/>
      <c r="C39" s="4375" t="s">
        <v>495</v>
      </c>
      <c r="D39" s="4375"/>
      <c r="E39" s="4376"/>
      <c r="F39" s="1183">
        <f>IF(C39="",0,VLOOKUP(C39,'SDK5'!C6:AF86,2,FALSE))</f>
        <v>58.6</v>
      </c>
      <c r="G39" s="1183">
        <f t="shared" si="0"/>
        <v>58.6</v>
      </c>
      <c r="H39" s="1182">
        <v>1.2</v>
      </c>
      <c r="I39" s="1181">
        <f t="shared" si="1"/>
        <v>70.319999999999993</v>
      </c>
      <c r="J39" s="39"/>
      <c r="K39" s="1182">
        <v>1.2</v>
      </c>
      <c r="L39" s="1023">
        <f t="shared" si="2"/>
        <v>70.319999999999993</v>
      </c>
      <c r="M39" s="1016"/>
      <c r="N39" s="1182">
        <v>1.2</v>
      </c>
      <c r="O39" s="1181">
        <f t="shared" si="3"/>
        <v>70.319999999999993</v>
      </c>
      <c r="P39" s="1145"/>
      <c r="Q39" s="34"/>
    </row>
    <row r="40" spans="1:17" s="36" customFormat="1" ht="15" customHeight="1">
      <c r="A40" s="746"/>
      <c r="B40" s="1021"/>
      <c r="C40" s="4375" t="s">
        <v>488</v>
      </c>
      <c r="D40" s="4375"/>
      <c r="E40" s="4376"/>
      <c r="F40" s="1183">
        <f>IF(C40="",0,VLOOKUP(C40,'SDK5'!C7:AF87,2,FALSE))</f>
        <v>44.2</v>
      </c>
      <c r="G40" s="1183">
        <f t="shared" si="0"/>
        <v>44.2</v>
      </c>
      <c r="H40" s="1182">
        <v>0.8</v>
      </c>
      <c r="I40" s="1181">
        <f t="shared" si="1"/>
        <v>35.360000000000007</v>
      </c>
      <c r="J40" s="39"/>
      <c r="K40" s="1182">
        <v>0.8</v>
      </c>
      <c r="L40" s="1023">
        <f t="shared" si="2"/>
        <v>35.360000000000007</v>
      </c>
      <c r="M40" s="1016"/>
      <c r="N40" s="1182">
        <v>0.8</v>
      </c>
      <c r="O40" s="1181">
        <f t="shared" si="3"/>
        <v>35.360000000000007</v>
      </c>
      <c r="P40" s="1145"/>
      <c r="Q40" s="34"/>
    </row>
    <row r="41" spans="1:17" s="36" customFormat="1" ht="15" customHeight="1">
      <c r="A41" s="746"/>
      <c r="B41" s="1021"/>
      <c r="C41" s="4375" t="s">
        <v>524</v>
      </c>
      <c r="D41" s="4375"/>
      <c r="E41" s="4376"/>
      <c r="F41" s="1183">
        <f>IF(C41="",0,VLOOKUP(C41,'SDK5'!C8:AF88,2,FALSE))</f>
        <v>376.4</v>
      </c>
      <c r="G41" s="1183">
        <f t="shared" si="0"/>
        <v>376.4</v>
      </c>
      <c r="H41" s="1182">
        <v>0.06</v>
      </c>
      <c r="I41" s="1181">
        <f t="shared" si="1"/>
        <v>22.583999999999996</v>
      </c>
      <c r="J41" s="39"/>
      <c r="K41" s="1182">
        <v>0.06</v>
      </c>
      <c r="L41" s="1023">
        <f t="shared" si="2"/>
        <v>22.583999999999996</v>
      </c>
      <c r="M41" s="1016"/>
      <c r="N41" s="1182">
        <v>0.06</v>
      </c>
      <c r="O41" s="1181">
        <f t="shared" si="3"/>
        <v>22.583999999999996</v>
      </c>
      <c r="P41" s="1145"/>
      <c r="Q41" s="34"/>
    </row>
    <row r="42" spans="1:17" s="36" customFormat="1" ht="15" customHeight="1">
      <c r="A42" s="746"/>
      <c r="B42" s="1180"/>
      <c r="C42" s="4361" t="s">
        <v>484</v>
      </c>
      <c r="D42" s="4361"/>
      <c r="E42" s="4362"/>
      <c r="F42" s="1179">
        <f>IF(C42="",0,VLOOKUP(C42,'SDK5'!C9:AF89,2,FALSE))</f>
        <v>127.8</v>
      </c>
      <c r="G42" s="1179">
        <f t="shared" si="0"/>
        <v>127.8</v>
      </c>
      <c r="H42" s="1178">
        <v>0.16</v>
      </c>
      <c r="I42" s="1177">
        <f t="shared" si="1"/>
        <v>20.448</v>
      </c>
      <c r="J42" s="39"/>
      <c r="K42" s="1178">
        <v>0.16</v>
      </c>
      <c r="L42" s="1017">
        <f t="shared" si="2"/>
        <v>20.448</v>
      </c>
      <c r="M42" s="1016"/>
      <c r="N42" s="1178">
        <v>0.16</v>
      </c>
      <c r="O42" s="1177">
        <f t="shared" si="3"/>
        <v>20.448</v>
      </c>
      <c r="P42" s="1176"/>
      <c r="Q42" s="34"/>
    </row>
    <row r="43" spans="1:17" s="511" customFormat="1" ht="18.75" customHeight="1">
      <c r="A43" s="711"/>
      <c r="B43" s="716" t="s">
        <v>856</v>
      </c>
      <c r="C43" s="711"/>
      <c r="D43" s="711"/>
      <c r="E43" s="711"/>
      <c r="F43" s="711"/>
      <c r="G43" s="1047"/>
      <c r="H43" s="1173"/>
      <c r="I43" s="1172"/>
      <c r="J43" s="1041">
        <f>SUM(J46:J57)</f>
        <v>801.97213843142856</v>
      </c>
      <c r="K43" s="1175"/>
      <c r="L43" s="1174"/>
      <c r="M43" s="1044">
        <f>SUM(M46:M57)</f>
        <v>826.87734355142857</v>
      </c>
      <c r="N43" s="1173"/>
      <c r="O43" s="1172"/>
      <c r="P43" s="1041">
        <f>SUM(P46:P57)</f>
        <v>851.18956759714285</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55">
        <v>1</v>
      </c>
      <c r="I46" s="1154">
        <f t="shared" ref="I46:I57" si="4">$F46*H46</f>
        <v>1.38</v>
      </c>
      <c r="J46" s="1145">
        <f t="shared" ref="J46:J57" si="5">H46*$G46</f>
        <v>64.642445999999993</v>
      </c>
      <c r="K46" s="1155">
        <v>1</v>
      </c>
      <c r="L46" s="1156">
        <f t="shared" ref="L46:L57" si="6">$F46*K46</f>
        <v>1.38</v>
      </c>
      <c r="M46" s="1148">
        <f t="shared" ref="M46:M57" si="7">K46*$G46</f>
        <v>64.642445999999993</v>
      </c>
      <c r="N46" s="1155">
        <v>1</v>
      </c>
      <c r="O46" s="1154">
        <f t="shared" ref="O46:O57" si="8">$F46*N46</f>
        <v>1.38</v>
      </c>
      <c r="P46" s="1145">
        <f t="shared" ref="P46:P57" si="9">N46*$G46</f>
        <v>64.642445999999993</v>
      </c>
      <c r="Q46" s="34">
        <f t="shared" ref="Q46:Q57" si="10">$Q$2*H46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f t="shared" si="10"/>
        <v>0</v>
      </c>
    </row>
    <row r="48" spans="1:17" s="36" customFormat="1" ht="15" customHeight="1">
      <c r="A48" s="746"/>
      <c r="B48" s="1153"/>
      <c r="C48" s="4387" t="s">
        <v>320</v>
      </c>
      <c r="D48" s="4388"/>
      <c r="E48" s="1152">
        <f>IF($C48=0,0,VLOOKUP($C48,'SD3'!$C$24:$O$85,4,FALSE))</f>
        <v>83</v>
      </c>
      <c r="F48" s="1151">
        <f>IF($C48=0,0,VLOOKUP($C48,'SD3'!$C$24:$O$85,12,FALSE))</f>
        <v>1.1399999999999999</v>
      </c>
      <c r="G48" s="1150">
        <f>IF($C48=0,0,VLOOKUP($C48,'SD3'!$C$24:$O$85,13,FALSE))</f>
        <v>33.95027361999999</v>
      </c>
      <c r="H48" s="1147">
        <v>1</v>
      </c>
      <c r="I48" s="1146">
        <f t="shared" si="4"/>
        <v>1.1399999999999999</v>
      </c>
      <c r="J48" s="1145">
        <f t="shared" si="5"/>
        <v>33.95027361999999</v>
      </c>
      <c r="K48" s="1147">
        <v>1</v>
      </c>
      <c r="L48" s="1149">
        <f t="shared" si="6"/>
        <v>1.1399999999999999</v>
      </c>
      <c r="M48" s="1148">
        <f t="shared" si="7"/>
        <v>33.95027361999999</v>
      </c>
      <c r="N48" s="1147">
        <v>1</v>
      </c>
      <c r="O48" s="1146">
        <f t="shared" si="8"/>
        <v>1.1399999999999999</v>
      </c>
      <c r="P48" s="1145">
        <f t="shared" si="9"/>
        <v>33.95027361999999</v>
      </c>
      <c r="Q48" s="34">
        <f t="shared" si="10"/>
        <v>0</v>
      </c>
    </row>
    <row r="49" spans="1:17" s="36" customFormat="1" ht="15" customHeight="1">
      <c r="A49" s="746"/>
      <c r="B49" s="1153"/>
      <c r="C49" s="4387" t="s">
        <v>319</v>
      </c>
      <c r="D49" s="4388"/>
      <c r="E49" s="1152">
        <f>IF($C49=0,0,VLOOKUP($C49,'SD3'!$C$24:$O$85,4,FALSE))</f>
        <v>54</v>
      </c>
      <c r="F49" s="1151">
        <f>IF($C49=0,0,VLOOKUP($C49,'SD3'!$C$24:$O$85,12,FALSE))</f>
        <v>0.71</v>
      </c>
      <c r="G49" s="1150">
        <f>IF($C49=0,0,VLOOKUP($C49,'SD3'!$C$24:$O$85,13,FALSE))</f>
        <v>14.3322471</v>
      </c>
      <c r="H49" s="1147">
        <v>1</v>
      </c>
      <c r="I49" s="1146">
        <f t="shared" si="4"/>
        <v>0.71</v>
      </c>
      <c r="J49" s="1145">
        <f t="shared" si="5"/>
        <v>14.3322471</v>
      </c>
      <c r="K49" s="1147">
        <v>1</v>
      </c>
      <c r="L49" s="1149">
        <f t="shared" si="6"/>
        <v>0.71</v>
      </c>
      <c r="M49" s="1148">
        <f t="shared" si="7"/>
        <v>14.3322471</v>
      </c>
      <c r="N49" s="1147">
        <v>1</v>
      </c>
      <c r="O49" s="1146">
        <f t="shared" si="8"/>
        <v>0.71</v>
      </c>
      <c r="P49" s="1145">
        <f t="shared" si="9"/>
        <v>14.3322471</v>
      </c>
      <c r="Q49" s="34">
        <f t="shared" si="10"/>
        <v>0</v>
      </c>
    </row>
    <row r="50" spans="1:17" s="36" customFormat="1" ht="15" customHeight="1">
      <c r="A50" s="746"/>
      <c r="B50" s="1153"/>
      <c r="C50" s="4387" t="s">
        <v>306</v>
      </c>
      <c r="D50" s="4388"/>
      <c r="E50" s="1152">
        <f>IF($C50=0,0,VLOOKUP($C50,'SD3'!$C$24:$O$85,4,FALSE))</f>
        <v>54</v>
      </c>
      <c r="F50" s="1151">
        <f>IF($C50=0,0,VLOOKUP($C50,'SD3'!$C$24:$O$85,12,FALSE))</f>
        <v>1.1100000000000001</v>
      </c>
      <c r="G50" s="1150">
        <f>IF($C50=0,0,VLOOKUP($C50,'SD3'!$C$24:$O$85,13,FALSE))</f>
        <v>16.089851100000001</v>
      </c>
      <c r="H50" s="1147">
        <v>1</v>
      </c>
      <c r="I50" s="1146">
        <f t="shared" si="4"/>
        <v>1.1100000000000001</v>
      </c>
      <c r="J50" s="1145">
        <f t="shared" si="5"/>
        <v>16.089851100000001</v>
      </c>
      <c r="K50" s="1147">
        <v>1</v>
      </c>
      <c r="L50" s="1149">
        <f t="shared" si="6"/>
        <v>1.1100000000000001</v>
      </c>
      <c r="M50" s="1148">
        <f t="shared" si="7"/>
        <v>16.089851100000001</v>
      </c>
      <c r="N50" s="1147">
        <v>1</v>
      </c>
      <c r="O50" s="1146">
        <f t="shared" si="8"/>
        <v>1.1100000000000001</v>
      </c>
      <c r="P50" s="1145">
        <f t="shared" si="9"/>
        <v>16.089851100000001</v>
      </c>
      <c r="Q50" s="34">
        <f t="shared" si="10"/>
        <v>0</v>
      </c>
    </row>
    <row r="51" spans="1:17" s="36" customFormat="1" ht="15" customHeight="1">
      <c r="A51" s="746"/>
      <c r="B51" s="1153"/>
      <c r="C51" s="4387" t="s">
        <v>346</v>
      </c>
      <c r="D51" s="4388"/>
      <c r="E51" s="1152">
        <f>IF($C51=0,0,VLOOKUP($C51,'SD3'!$C$24:$O$85,4,FALSE))</f>
        <v>83</v>
      </c>
      <c r="F51" s="1151">
        <f>IF($C51=0,0,VLOOKUP($C51,'SD3'!$C$24:$O$85,12,FALSE))</f>
        <v>0.16</v>
      </c>
      <c r="G51" s="1150">
        <f>IF($C51=0,0,VLOOKUP($C51,'SD3'!$C$24:$O$85,13,FALSE))</f>
        <v>3.7403892799999996</v>
      </c>
      <c r="H51" s="1147">
        <v>2</v>
      </c>
      <c r="I51" s="1146">
        <f t="shared" si="4"/>
        <v>0.32</v>
      </c>
      <c r="J51" s="1145">
        <f t="shared" si="5"/>
        <v>7.4807785599999992</v>
      </c>
      <c r="K51" s="1147">
        <v>2</v>
      </c>
      <c r="L51" s="1149">
        <f t="shared" si="6"/>
        <v>0.32</v>
      </c>
      <c r="M51" s="1148">
        <f t="shared" si="7"/>
        <v>7.4807785599999992</v>
      </c>
      <c r="N51" s="1147">
        <v>2</v>
      </c>
      <c r="O51" s="1146">
        <f t="shared" si="8"/>
        <v>0.32</v>
      </c>
      <c r="P51" s="1145">
        <f t="shared" si="9"/>
        <v>7.4807785599999992</v>
      </c>
      <c r="Q51" s="34">
        <f t="shared" si="10"/>
        <v>0</v>
      </c>
    </row>
    <row r="52" spans="1:17" s="36" customFormat="1" ht="15" customHeight="1">
      <c r="A52" s="746"/>
      <c r="B52" s="1153"/>
      <c r="C52" s="4387" t="s">
        <v>1591</v>
      </c>
      <c r="D52" s="4388"/>
      <c r="E52" s="1152">
        <f>IF($C52=0,0,VLOOKUP($C52,'SD3'!$C$24:$O$85,4,FALSE))</f>
        <v>83</v>
      </c>
      <c r="F52" s="1151">
        <f>IF($C52=0,0,VLOOKUP($C52,'SD3'!$C$24:$O$85,12,FALSE))</f>
        <v>0.22</v>
      </c>
      <c r="G52" s="1150">
        <f>IF($C52=0,0,VLOOKUP($C52,'SD3'!$C$24:$O$85,13,FALSE))</f>
        <v>6.6430352599999996</v>
      </c>
      <c r="H52" s="1147">
        <v>10</v>
      </c>
      <c r="I52" s="1146">
        <f t="shared" si="4"/>
        <v>2.2000000000000002</v>
      </c>
      <c r="J52" s="1145">
        <f t="shared" si="5"/>
        <v>66.430352599999992</v>
      </c>
      <c r="K52" s="1147">
        <v>10</v>
      </c>
      <c r="L52" s="1149">
        <f t="shared" si="6"/>
        <v>2.2000000000000002</v>
      </c>
      <c r="M52" s="1148">
        <f t="shared" si="7"/>
        <v>66.430352599999992</v>
      </c>
      <c r="N52" s="1147">
        <v>10</v>
      </c>
      <c r="O52" s="1146">
        <f t="shared" si="8"/>
        <v>2.2000000000000002</v>
      </c>
      <c r="P52" s="1145">
        <f t="shared" si="9"/>
        <v>66.430352599999992</v>
      </c>
      <c r="Q52" s="34">
        <f t="shared" si="10"/>
        <v>0</v>
      </c>
    </row>
    <row r="53" spans="1:17" s="36" customFormat="1" ht="15" customHeight="1">
      <c r="A53" s="746"/>
      <c r="B53" s="1153"/>
      <c r="C53" s="4403" t="s">
        <v>310</v>
      </c>
      <c r="D53" s="4404"/>
      <c r="E53" s="1152">
        <f>IF($C53=0,0,VLOOKUP($C53,'SD3'!$C$24:$O$85,4,FALSE))</f>
        <v>120</v>
      </c>
      <c r="F53" s="1151">
        <f>IF($C53=0,0,VLOOKUP($C53,'SD3'!$C$24:$O$85,12,FALSE))</f>
        <v>1.68</v>
      </c>
      <c r="G53" s="1150">
        <f>IF($C53=0,0,VLOOKUP($C53,'SD3'!$C$24:$O$85,13,FALSE))</f>
        <v>62.263012799999998</v>
      </c>
      <c r="H53" s="3654">
        <f>$H$9/10/10.5</f>
        <v>3.6476190476190475</v>
      </c>
      <c r="I53" s="1146">
        <f t="shared" si="4"/>
        <v>6.1279999999999992</v>
      </c>
      <c r="J53" s="1145">
        <f t="shared" si="5"/>
        <v>227.11175145142857</v>
      </c>
      <c r="K53" s="3654">
        <f>$K$9/10/10.5</f>
        <v>4.0476190476190474</v>
      </c>
      <c r="L53" s="1149">
        <f t="shared" si="6"/>
        <v>6.8</v>
      </c>
      <c r="M53" s="1148">
        <f t="shared" si="7"/>
        <v>252.01695657142855</v>
      </c>
      <c r="N53" s="3654">
        <f>$N$9/10/10.5</f>
        <v>4.4380952380952383</v>
      </c>
      <c r="O53" s="1146">
        <f t="shared" si="8"/>
        <v>7.4560000000000004</v>
      </c>
      <c r="P53" s="1145">
        <f t="shared" si="9"/>
        <v>276.32918061714287</v>
      </c>
      <c r="Q53" s="34">
        <f t="shared" si="10"/>
        <v>0</v>
      </c>
    </row>
    <row r="54" spans="1:17" s="36" customFormat="1" ht="15" customHeight="1">
      <c r="A54" s="746"/>
      <c r="B54" s="1153"/>
      <c r="C54" s="4387" t="s">
        <v>1670</v>
      </c>
      <c r="D54" s="4388"/>
      <c r="E54" s="1152">
        <f>IF($C54=0,0,VLOOKUP($C54,'SD3'!$C$24:$O$85,4,FALSE))</f>
        <v>0</v>
      </c>
      <c r="F54" s="1151">
        <f>IF($C54=0,0,VLOOKUP($C54,'SD3'!$C$24:$O$85,12,FALSE))</f>
        <v>13.75</v>
      </c>
      <c r="G54" s="1150">
        <f>IF($C54=0,0,VLOOKUP($C54,'SD3'!$C$24:$O$85,13,FALSE))</f>
        <v>341.27499999999998</v>
      </c>
      <c r="H54" s="1147">
        <v>1</v>
      </c>
      <c r="I54" s="1146">
        <f t="shared" si="4"/>
        <v>13.75</v>
      </c>
      <c r="J54" s="1145">
        <f t="shared" si="5"/>
        <v>341.27499999999998</v>
      </c>
      <c r="K54" s="1147">
        <v>1</v>
      </c>
      <c r="L54" s="1149">
        <f t="shared" si="6"/>
        <v>13.75</v>
      </c>
      <c r="M54" s="1148">
        <f t="shared" si="7"/>
        <v>341.27499999999998</v>
      </c>
      <c r="N54" s="1147">
        <v>1</v>
      </c>
      <c r="O54" s="1146">
        <f t="shared" si="8"/>
        <v>13.75</v>
      </c>
      <c r="P54" s="1145">
        <f t="shared" si="9"/>
        <v>341.27499999999998</v>
      </c>
      <c r="Q54" s="34">
        <f t="shared" si="10"/>
        <v>0</v>
      </c>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f t="shared" si="10"/>
        <v>0</v>
      </c>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f t="shared" si="10"/>
        <v>0</v>
      </c>
    </row>
    <row r="57" spans="1:17" s="36" customFormat="1" ht="47.25" customHeight="1">
      <c r="A57" s="746"/>
      <c r="B57" s="1084"/>
      <c r="C57" s="4401"/>
      <c r="D57" s="4402"/>
      <c r="E57" s="1135">
        <f>IF($C57=0,0,VLOOKUP($C57,'SD3'!$C$24:$O$85,4,FALSE))</f>
        <v>0</v>
      </c>
      <c r="F57" s="1134">
        <f>IF($C57=0,0,VLOOKUP($C57,'SD3'!$C$24:$O$85,12,FALSE))</f>
        <v>0</v>
      </c>
      <c r="G57" s="1133">
        <f>IF($C57=0,0,VLOOKUP($C57,'SD3'!$C$24:$O$85,13,FALSE))</f>
        <v>0</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f t="shared" si="10"/>
        <v>0</v>
      </c>
    </row>
    <row r="58" spans="1:17" s="46" customFormat="1" ht="18.75" customHeight="1">
      <c r="A58" s="811"/>
      <c r="B58" s="716" t="s">
        <v>848</v>
      </c>
      <c r="C58" s="811"/>
      <c r="D58" s="811"/>
      <c r="E58" s="811"/>
      <c r="F58" s="34"/>
      <c r="G58" s="1047"/>
      <c r="H58" s="1124"/>
      <c r="I58" s="1123">
        <f>SUM($I$46:$I$57)</f>
        <v>27.448</v>
      </c>
      <c r="J58" s="1128"/>
      <c r="K58" s="1127"/>
      <c r="L58" s="1126">
        <f>SUM($L$46:$L$57)</f>
        <v>28.12</v>
      </c>
      <c r="M58" s="1125"/>
      <c r="N58" s="1124"/>
      <c r="O58" s="1123">
        <f>SUM($O$46:$O$57)</f>
        <v>28.776</v>
      </c>
      <c r="P58" s="1122"/>
      <c r="Q58" s="34"/>
    </row>
    <row r="59" spans="1:17" s="46" customFormat="1" ht="15" customHeight="1">
      <c r="A59" s="811"/>
      <c r="B59" s="1121"/>
      <c r="C59" s="285"/>
      <c r="D59" s="222" t="s">
        <v>847</v>
      </c>
      <c r="E59" s="1120">
        <v>80</v>
      </c>
      <c r="F59" s="285" t="s">
        <v>846</v>
      </c>
      <c r="G59" s="1119"/>
      <c r="H59" s="1115"/>
      <c r="I59" s="1114">
        <f>IF(I58+SUM($I$46:$I$57)*$E$59%&gt;I58+10,I58+10,I58+SUM($I$46:$I$57)*$E$59%)</f>
        <v>37.448</v>
      </c>
      <c r="J59" s="1113"/>
      <c r="K59" s="1118"/>
      <c r="L59" s="1117">
        <f>IF(L58+SUM($L$46:$L$57)*$E$59%&gt;L58+10,L58+10,L58+SUM($L$46:$L$57)*$E$59%)</f>
        <v>38.120000000000005</v>
      </c>
      <c r="M59" s="1116"/>
      <c r="N59" s="1115"/>
      <c r="O59" s="1114">
        <f>IF(O58+SUM($O$46:$O$57)*$E$59%&gt;O58+10,O58+10,O58+SUM($O$46:$O$57)*$E$59%)</f>
        <v>38.775999999999996</v>
      </c>
      <c r="P59" s="1113"/>
      <c r="Q59" s="34"/>
    </row>
    <row r="60" spans="1:17" s="36" customFormat="1" ht="18.75" customHeight="1">
      <c r="A60" s="746"/>
      <c r="B60" s="716" t="s">
        <v>845</v>
      </c>
      <c r="C60" s="811"/>
      <c r="D60" s="811"/>
      <c r="E60" s="39"/>
      <c r="F60" s="39"/>
      <c r="G60" s="1112"/>
      <c r="H60" s="1104"/>
      <c r="I60" s="1103"/>
      <c r="J60" s="1111">
        <f>IF(J6=0,0,SUM(I62:I64))</f>
        <v>2600</v>
      </c>
      <c r="K60" s="1107"/>
      <c r="L60" s="1106"/>
      <c r="M60" s="1044">
        <f>IF(M6=0,0,SUM(L62:L64))</f>
        <v>2600</v>
      </c>
      <c r="N60" s="1104"/>
      <c r="O60" s="1103"/>
      <c r="P60" s="1111">
        <f>IF(P6=0,0,SUM(O62:O64))</f>
        <v>2600</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1669</v>
      </c>
      <c r="D62" s="4365"/>
      <c r="E62" s="4365"/>
      <c r="F62" s="1101">
        <f>IF($C62=0,0,VLOOKUP($C62,'SD3'!$C$90:$D$104,2,FALSE))</f>
        <v>2600</v>
      </c>
      <c r="G62" s="1100">
        <f>(100+$D$61)/100*F62</f>
        <v>2600</v>
      </c>
      <c r="H62" s="173"/>
      <c r="I62" s="1096">
        <f>$G$62</f>
        <v>2600</v>
      </c>
      <c r="J62" s="173"/>
      <c r="K62" s="1099"/>
      <c r="L62" s="1098">
        <f>$G$62</f>
        <v>2600</v>
      </c>
      <c r="M62" s="1016"/>
      <c r="N62" s="1097"/>
      <c r="O62" s="1096">
        <f>$G$62</f>
        <v>2600</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34"/>
    </row>
    <row r="65" spans="1:20" s="511" customFormat="1" ht="18.75" customHeight="1">
      <c r="A65" s="711"/>
      <c r="B65" s="716" t="s">
        <v>844</v>
      </c>
      <c r="C65" s="711"/>
      <c r="D65" s="711"/>
      <c r="E65" s="711"/>
      <c r="F65" s="34"/>
      <c r="G65" s="1047"/>
      <c r="H65" s="51"/>
      <c r="I65" s="51"/>
      <c r="J65" s="1041">
        <f>H66*$E66</f>
        <v>1200</v>
      </c>
      <c r="K65" s="1056"/>
      <c r="L65" s="1056"/>
      <c r="M65" s="1044">
        <f>K66*$E66</f>
        <v>1200</v>
      </c>
      <c r="N65" s="51"/>
      <c r="O65" s="51"/>
      <c r="P65" s="1041">
        <f>N66*$E66</f>
        <v>1200</v>
      </c>
      <c r="Q65" s="34" t="s">
        <v>914</v>
      </c>
    </row>
    <row r="66" spans="1:20" s="511" customFormat="1" ht="15" customHeight="1">
      <c r="A66" s="711"/>
      <c r="B66" s="1075"/>
      <c r="C66" s="815"/>
      <c r="D66" s="222" t="s">
        <v>691</v>
      </c>
      <c r="E66" s="1074">
        <v>20</v>
      </c>
      <c r="F66" s="1049"/>
      <c r="G66" s="1073" t="s">
        <v>362</v>
      </c>
      <c r="H66" s="1071">
        <v>60</v>
      </c>
      <c r="I66" s="1070"/>
      <c r="J66" s="1059"/>
      <c r="K66" s="1071">
        <v>60</v>
      </c>
      <c r="L66" s="1072"/>
      <c r="M66" s="1062"/>
      <c r="N66" s="1071">
        <v>60</v>
      </c>
      <c r="O66" s="1070"/>
      <c r="P66" s="1059"/>
      <c r="Q66" s="34"/>
    </row>
    <row r="67" spans="1:20" s="511" customFormat="1" ht="22.95" customHeight="1">
      <c r="A67" s="711"/>
      <c r="B67" s="716" t="s">
        <v>843</v>
      </c>
      <c r="C67" s="711"/>
      <c r="D67" s="711"/>
      <c r="E67" s="175"/>
      <c r="F67" s="1069"/>
      <c r="G67" s="1047"/>
      <c r="H67" s="1066" t="s">
        <v>842</v>
      </c>
      <c r="I67" s="1065" t="s">
        <v>841</v>
      </c>
      <c r="J67" s="1041">
        <f>R68*(H9+H10)*I68%+F68</f>
        <v>0</v>
      </c>
      <c r="K67" s="1068" t="s">
        <v>842</v>
      </c>
      <c r="L67" s="1067" t="s">
        <v>841</v>
      </c>
      <c r="M67" s="1044">
        <f>S68*(K9+K10)*L68%+F68</f>
        <v>0</v>
      </c>
      <c r="N67" s="1066" t="s">
        <v>842</v>
      </c>
      <c r="O67" s="1065" t="s">
        <v>841</v>
      </c>
      <c r="P67" s="1041">
        <f>T68*(N9+N10)*O68%+F68</f>
        <v>0</v>
      </c>
      <c r="Q67" s="34"/>
    </row>
    <row r="68" spans="1:20" s="511" customFormat="1" ht="15" customHeight="1">
      <c r="A68" s="711"/>
      <c r="B68" s="1064"/>
      <c r="C68" s="4393" t="s">
        <v>564</v>
      </c>
      <c r="D68" s="4393"/>
      <c r="E68" s="4393"/>
      <c r="F68" s="1063"/>
      <c r="G68" s="1054" t="s">
        <v>163</v>
      </c>
      <c r="H68" s="1061"/>
      <c r="I68" s="1060"/>
      <c r="J68" s="1059"/>
      <c r="K68" s="1061"/>
      <c r="L68" s="1060"/>
      <c r="M68" s="1062"/>
      <c r="N68" s="1061"/>
      <c r="O68" s="1060"/>
      <c r="P68" s="1059"/>
      <c r="Q68" s="34"/>
      <c r="R68" s="1369">
        <f>IF($H$68=0,0,VLOOKUP($H$68,'SD6'!B8:C101,2,FALSE))*(1+'SDK1'!O11/100)</f>
        <v>0</v>
      </c>
      <c r="S68" s="1058">
        <f>IF($K$68=0,0,VLOOKUP($K$68,'SD6'!B8:C101,2,FALSE))*(1+'SDK1'!O11/100)</f>
        <v>0</v>
      </c>
      <c r="T68" s="1369">
        <f>IF($N$68=0,0,VLOOKUP($N$68,'SD6'!B8:C101,2,FALSE))*(1+'SDK1'!O11/100)</f>
        <v>0</v>
      </c>
    </row>
    <row r="69" spans="1:20" s="511" customFormat="1" ht="18.75" customHeight="1">
      <c r="A69" s="711"/>
      <c r="B69" s="716" t="s">
        <v>839</v>
      </c>
      <c r="C69" s="711"/>
      <c r="D69" s="711"/>
      <c r="E69" s="34"/>
      <c r="F69" s="34"/>
      <c r="G69" s="1047"/>
      <c r="H69" s="38"/>
      <c r="I69" s="51"/>
      <c r="J69" s="1041">
        <f>H70*$F70/1000</f>
        <v>249.39</v>
      </c>
      <c r="K69" s="1057"/>
      <c r="L69" s="1056"/>
      <c r="M69" s="1044">
        <f>K70*$F70/1000</f>
        <v>276.75</v>
      </c>
      <c r="N69" s="38"/>
      <c r="O69" s="51"/>
      <c r="P69" s="1041">
        <f>N70*$F70/1000</f>
        <v>303.48</v>
      </c>
      <c r="Q69" s="34"/>
    </row>
    <row r="70" spans="1:20" s="511" customFormat="1" ht="15" customHeight="1">
      <c r="A70" s="711"/>
      <c r="B70" s="772"/>
      <c r="C70" s="771" t="s">
        <v>606</v>
      </c>
      <c r="D70" s="285"/>
      <c r="E70" s="222"/>
      <c r="F70" s="3742">
        <f>'SDK7'!G112</f>
        <v>18</v>
      </c>
      <c r="G70" s="1054" t="s">
        <v>163</v>
      </c>
      <c r="H70" s="1357">
        <f>J7</f>
        <v>13855</v>
      </c>
      <c r="I70" s="1049"/>
      <c r="J70" s="1048"/>
      <c r="K70" s="1053">
        <f>M7</f>
        <v>15375</v>
      </c>
      <c r="L70" s="1052"/>
      <c r="M70" s="1051"/>
      <c r="N70" s="1357">
        <f>P7</f>
        <v>16860</v>
      </c>
      <c r="O70" s="1049"/>
      <c r="P70" s="1048"/>
      <c r="Q70" s="34"/>
    </row>
    <row r="71" spans="1:20" ht="18.75" customHeight="1">
      <c r="A71" s="309"/>
      <c r="B71" s="245" t="s">
        <v>838</v>
      </c>
      <c r="C71" s="309"/>
      <c r="D71" s="309"/>
      <c r="E71" s="175"/>
      <c r="G71" s="1047"/>
      <c r="H71" s="1043"/>
      <c r="I71" s="1042"/>
      <c r="J71" s="1041">
        <f>SUM(I73:I74)</f>
        <v>270</v>
      </c>
      <c r="K71" s="1046"/>
      <c r="L71" s="1045"/>
      <c r="M71" s="1044">
        <f>SUM(L73:L74)</f>
        <v>270</v>
      </c>
      <c r="N71" s="1043"/>
      <c r="O71" s="1042"/>
      <c r="P71" s="1041">
        <f>SUM(O73:O74)</f>
        <v>270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t="s">
        <v>916</v>
      </c>
      <c r="D73" s="4400"/>
      <c r="E73" s="4400"/>
      <c r="F73" s="1025"/>
      <c r="G73" s="1024"/>
      <c r="H73" s="1018">
        <v>270</v>
      </c>
      <c r="I73" s="1022">
        <f>(100+$D$72)/100*H73</f>
        <v>270</v>
      </c>
      <c r="J73" s="39"/>
      <c r="K73" s="1018">
        <v>270</v>
      </c>
      <c r="L73" s="1023">
        <f>(100+$D$72)/100*K73</f>
        <v>270</v>
      </c>
      <c r="M73" s="1016"/>
      <c r="N73" s="1018">
        <v>270</v>
      </c>
      <c r="O73" s="1022">
        <f>(100+$D$72)/100*N73</f>
        <v>270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f>(J23+J27+J34+J43+J60+J65+J67+J69+J71)*('SDK1'!$O$59%*$G$75/12)</f>
        <v>62.744576153595233</v>
      </c>
      <c r="K75" s="513"/>
      <c r="L75" s="522"/>
      <c r="M75" s="1005">
        <f>(M23+M27+M34+M43+M60+M65+M67+M69+M71)*('SDK1'!$O$59%*$G$75/12)</f>
        <v>63.550327862928576</v>
      </c>
      <c r="N75" s="1007"/>
      <c r="O75" s="1006"/>
      <c r="P75" s="1005">
        <f>(P23+P27+P34+P43+P60+P65+P67+P69+P71)*('SDK1'!$O$59%*$G$75/12)</f>
        <v>64.466721396642853</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M151" s="31"/>
      <c r="N151" s="31"/>
      <c r="O151" s="31"/>
      <c r="P151" s="31"/>
      <c r="Q151" s="31"/>
    </row>
    <row r="152" spans="1:17">
      <c r="A152" s="31"/>
      <c r="B152" s="441"/>
      <c r="C152" s="12"/>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H159" s="1354"/>
      <c r="J159" s="1353"/>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8" firstPageNumber="68" orientation="portrait" r:id="rId1"/>
      <headerFooter alignWithMargins="0">
        <oddFooter>&amp;L&amp;11LEL Schwäbisch Gmünd&amp;C81&amp;R&amp;11&amp;F</oddFooter>
      </headerFooter>
    </customSheetView>
    <customSheetView guid="{5D5C9B61-9ABD-4513-AAEB-8333A9D6196C}"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8" firstPageNumber="68" orientation="portrait" r:id="rId2"/>
      <headerFooter alignWithMargins="0">
        <oddFooter>&amp;L&amp;11LEL Schwäbisch Gmünd&amp;C81&amp;R&amp;11&amp;F</oddFooter>
      </headerFooter>
    </customSheetView>
    <customSheetView guid="{22A73C4F-9004-4CEF-8499-B1F91BE1B569}"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8" firstPageNumber="68" orientation="portrait" r:id="rId3"/>
      <headerFooter alignWithMargins="0">
        <oddFooter>&amp;L&amp;11LEL Schwäbisch Gmünd&amp;C81&amp;R&amp;11&amp;F</oddFooter>
      </headerFooter>
    </customSheetView>
  </customSheetViews>
  <mergeCells count="50">
    <mergeCell ref="K6:L6"/>
    <mergeCell ref="H6:I6"/>
    <mergeCell ref="F23:G23"/>
    <mergeCell ref="F34:G34"/>
    <mergeCell ref="N6:O6"/>
    <mergeCell ref="C17:F17"/>
    <mergeCell ref="C19:F19"/>
    <mergeCell ref="C14:F14"/>
    <mergeCell ref="C16:F16"/>
    <mergeCell ref="C20:F20"/>
    <mergeCell ref="C21:F21"/>
    <mergeCell ref="N1:O1"/>
    <mergeCell ref="E4:I4"/>
    <mergeCell ref="N3:O4"/>
    <mergeCell ref="J3:L3"/>
    <mergeCell ref="J4:L4"/>
    <mergeCell ref="K2:P2"/>
    <mergeCell ref="K1:L1"/>
    <mergeCell ref="B3:H3"/>
    <mergeCell ref="B75:C75"/>
    <mergeCell ref="C41:E41"/>
    <mergeCell ref="E22:G22"/>
    <mergeCell ref="C39:E39"/>
    <mergeCell ref="C37:E37"/>
    <mergeCell ref="C74:E74"/>
    <mergeCell ref="C36:E36"/>
    <mergeCell ref="D26:E26"/>
    <mergeCell ref="C55:D55"/>
    <mergeCell ref="C73:E73"/>
    <mergeCell ref="C46:D46"/>
    <mergeCell ref="C50:D50"/>
    <mergeCell ref="C40:E40"/>
    <mergeCell ref="D25:E25"/>
    <mergeCell ref="C68:E68"/>
    <mergeCell ref="C62:E62"/>
    <mergeCell ref="C57:D57"/>
    <mergeCell ref="C63:E63"/>
    <mergeCell ref="C49:D49"/>
    <mergeCell ref="C64:E64"/>
    <mergeCell ref="C56:D56"/>
    <mergeCell ref="C38:E38"/>
    <mergeCell ref="E10:F10"/>
    <mergeCell ref="C53:D53"/>
    <mergeCell ref="C54:D54"/>
    <mergeCell ref="C51:D51"/>
    <mergeCell ref="C42:E42"/>
    <mergeCell ref="C47:D47"/>
    <mergeCell ref="C15:F15"/>
    <mergeCell ref="C48:D48"/>
    <mergeCell ref="C52:D52"/>
  </mergeCells>
  <dataValidations count="5">
    <dataValidation type="list" showInputMessage="1" showErrorMessage="1" sqref="H14 K14 N14" xr:uid="{00000000-0002-0000-3200-000000000000}">
      <formula1>"ja,nein"</formula1>
    </dataValidation>
    <dataValidation type="list" allowBlank="1" showInputMessage="1" showErrorMessage="1" sqref="H15:H17 K15:K17 N15:N17" xr:uid="{00000000-0002-0000-3200-000001000000}">
      <formula1>"ja,nein"</formula1>
    </dataValidation>
    <dataValidation type="decimal" allowBlank="1" showInputMessage="1" showErrorMessage="1" errorTitle="Wassergehalt Getreide" error="Zulässig sind nur Werte zwischen 14,1 und 22,0 % Wassergehalt." sqref="H68 K68 N68" xr:uid="{00000000-0002-0000-3200-000002000000}">
      <formula1>14.1</formula1>
      <formula2>22</formula2>
    </dataValidation>
    <dataValidation type="whole" allowBlank="1" showInputMessage="1" showErrorMessage="1" errorTitle="Anteil Erntegut" error="Prozentwert darf nur zwischen 0 und 100 liegen." sqref="O68 L68 I68" xr:uid="{00000000-0002-0000-3200-000003000000}">
      <formula1>0</formula1>
      <formula2>100</formula2>
    </dataValidation>
    <dataValidation type="list" allowBlank="1" showInputMessage="1" showErrorMessage="1" errorTitle="Organisationsabh. Ausgleichsl." error="Bitte aus Dropdownliste auswählen." sqref="D19:F19" xr:uid="{00000000-0002-0000-3200-000004000000}">
      <formula1>$C$60:$C$75</formula1>
    </dataValidation>
  </dataValidations>
  <hyperlinks>
    <hyperlink ref="F9" location="'SDK1'!A1" display="Preis ändern" xr:uid="{00000000-0004-0000-3200-000000000000}"/>
  </hyperlinks>
  <printOptions horizontalCentered="1"/>
  <pageMargins left="0.59055118110236227" right="0.59055118110236227" top="0.59055118110236227" bottom="0.59055118110236227" header="0.39370078740157483" footer="0.39370078740157483"/>
  <pageSetup paperSize="9" scale="68" firstPageNumber="68" orientation="portrait" r:id="rId4"/>
  <headerFooter alignWithMargins="0">
    <oddFooter>&amp;L&amp;11LEL Schwäbisch Gmünd&amp;C81&amp;R&amp;11&amp;F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r:uid="{00000000-0002-0000-3200-000005000000}">
          <x14:formula1>
            <xm:f>'SDK5'!$AB$214:$AB$238</xm:f>
          </x14:formula1>
          <xm:sqref>C36:E42</xm:sqref>
        </x14:dataValidation>
        <x14:dataValidation type="list" allowBlank="1" showInputMessage="1" showErrorMessage="1" errorTitle="Verfahrensabh. Ausgleichsleist." error="Bitte aus Dropdownliste auswählen." xr:uid="{00000000-0002-0000-3200-000006000000}">
          <x14:formula1>
            <xm:f>'SD2'!$C$11:$C$50</xm:f>
          </x14:formula1>
          <xm:sqref>C14:F17</xm:sqref>
        </x14:dataValidation>
        <x14:dataValidation type="list" allowBlank="1" showInputMessage="1" showErrorMessage="1" errorTitle="Organisationsabh. Ausgleichsl." error="Bitte aus Dropdownliste auswählen." xr:uid="{00000000-0002-0000-3200-000007000000}">
          <x14:formula1>
            <xm:f>'SD2'!$C$60:$C$77</xm:f>
          </x14:formula1>
          <xm:sqref>C19:C21</xm:sqref>
        </x14:dataValidation>
        <x14:dataValidation type="list" allowBlank="1" showInputMessage="1" showErrorMessage="1" errorTitle="Arbeitsgänge" error="Bitte aus Dropdownliste auswählen." xr:uid="{00000000-0002-0000-3200-000008000000}">
          <x14:formula1>
            <xm:f>'SD3'!$C$23:$C$75</xm:f>
          </x14:formula1>
          <xm:sqref>C46:D57</xm:sqref>
        </x14:dataValidation>
        <x14:dataValidation type="list" allowBlank="1" showInputMessage="1" showErrorMessage="1" errorTitle="Lohnmaschinen" error="Bitte aus Dropdownliste auswählen." xr:uid="{00000000-0002-0000-3200-000009000000}">
          <x14:formula1>
            <xm:f>'SD3'!$C$90:$C$104</xm:f>
          </x14:formula1>
          <xm:sqref>C62:E64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49">
    <tabColor rgb="FF7030A0"/>
    <pageSetUpPr fitToPage="1"/>
  </sheetPr>
  <dimension ref="A1:AO218"/>
  <sheetViews>
    <sheetView workbookViewId="0"/>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0" style="31" hidden="1" customWidth="1"/>
    <col min="22" max="22" width="12.8984375" style="31" hidden="1" customWidth="1"/>
    <col min="23" max="26" width="0" style="31" hidden="1" customWidth="1"/>
    <col min="27" max="16384" width="10.5" style="31"/>
  </cols>
  <sheetData>
    <row r="1" spans="1:41" s="1317" customFormat="1" ht="30.45" customHeight="1">
      <c r="A1" s="1321"/>
      <c r="B1" s="258"/>
      <c r="C1" s="1333"/>
      <c r="D1" s="1253"/>
      <c r="E1" s="255"/>
      <c r="F1" s="255"/>
      <c r="G1" s="430"/>
      <c r="H1" s="1328"/>
      <c r="I1" s="3212" t="s">
        <v>1679</v>
      </c>
      <c r="J1" s="3210">
        <f>(J7+J13+J18+J22+I11+I12)-(J23+J27+J34+J43+J60+J65+J67+J69+J71+J75)</f>
        <v>1488.2605206964997</v>
      </c>
      <c r="K1" s="4360">
        <f>M1-J1</f>
        <v>1319.9616045000005</v>
      </c>
      <c r="L1" s="4360"/>
      <c r="M1" s="3210">
        <f>(M7+M13+M18+M22+L11+L12)-(M23+M27+M34+M43+M60+M65+M67+M69+M71+M75)</f>
        <v>2808.2221251965002</v>
      </c>
      <c r="N1" s="4360">
        <f>P1-M1</f>
        <v>934.76631527949939</v>
      </c>
      <c r="O1" s="4360"/>
      <c r="P1" s="3210">
        <f>(P7+P13+P18+P22+O11+O12)-(P23+P27+P34+P43+P60+P65+P67+P69+P71+P75)</f>
        <v>3742.9884404759996</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188</v>
      </c>
      <c r="L2" s="4372"/>
      <c r="M2" s="4372"/>
      <c r="N2" s="4372"/>
      <c r="O2" s="4372"/>
      <c r="P2" s="4372"/>
      <c r="Q2" s="1345">
        <v>0</v>
      </c>
      <c r="AB2" s="3229"/>
    </row>
    <row r="3" spans="1:41" s="1317" customFormat="1" ht="32.4" customHeight="1">
      <c r="A3" s="1321"/>
      <c r="B3" s="4405" t="s">
        <v>1727</v>
      </c>
      <c r="C3" s="4405"/>
      <c r="D3" s="4405"/>
      <c r="E3" s="4405"/>
      <c r="F3" s="4405"/>
      <c r="G3" s="4405"/>
      <c r="H3" s="4405"/>
      <c r="J3" s="4368"/>
      <c r="K3" s="4369"/>
      <c r="L3" s="4369"/>
      <c r="M3" s="1384"/>
      <c r="N3" s="4373" t="str">
        <f>IF(AND(T3=TRUE,T4=TRUE),"nur 1 Strohnutzung möglich","")</f>
        <v/>
      </c>
      <c r="O3" s="4374"/>
      <c r="P3" s="1326"/>
      <c r="Q3" s="1321"/>
      <c r="T3" s="1343" t="b">
        <v>0</v>
      </c>
    </row>
    <row r="4" spans="1:41" s="1317" customFormat="1" ht="20.25" customHeight="1">
      <c r="A4" s="1321"/>
      <c r="B4" s="309" t="s">
        <v>779</v>
      </c>
      <c r="C4" s="31"/>
      <c r="D4" s="31"/>
      <c r="E4" s="4406" t="s">
        <v>1584</v>
      </c>
      <c r="F4" s="4406"/>
      <c r="G4" s="4406"/>
      <c r="H4" s="4406"/>
      <c r="I4" s="4406"/>
      <c r="J4" s="4368"/>
      <c r="K4" s="4369"/>
      <c r="L4" s="4369"/>
      <c r="M4" s="1384"/>
      <c r="N4" s="4374"/>
      <c r="O4" s="4374"/>
      <c r="P4" s="1322">
        <f>'SDK1'!O3</f>
        <v>2024</v>
      </c>
      <c r="Q4" s="1321"/>
      <c r="T4" s="1343"/>
    </row>
    <row r="5" spans="1:41" ht="6" customHeight="1"/>
    <row r="6" spans="1:41" s="1311" customFormat="1" ht="24" customHeight="1">
      <c r="A6" s="41"/>
      <c r="B6" s="1316" t="s">
        <v>832</v>
      </c>
      <c r="C6" s="1315"/>
      <c r="D6" s="1315"/>
      <c r="E6" s="1315"/>
      <c r="F6" s="1315"/>
      <c r="G6" s="1314"/>
      <c r="H6" s="4366" t="s">
        <v>171</v>
      </c>
      <c r="I6" s="4367"/>
      <c r="J6" s="1313">
        <f>M6*0.75</f>
        <v>520.5</v>
      </c>
      <c r="K6" s="4379" t="s">
        <v>144</v>
      </c>
      <c r="L6" s="4380"/>
      <c r="M6" s="1313">
        <v>694</v>
      </c>
      <c r="N6" s="4366" t="s">
        <v>170</v>
      </c>
      <c r="O6" s="4367"/>
      <c r="P6" s="1312">
        <f>M6*1.25</f>
        <v>867.5</v>
      </c>
      <c r="Q6" s="49"/>
    </row>
    <row r="7" spans="1:41" s="196" customFormat="1" ht="18.75" customHeight="1">
      <c r="A7" s="40"/>
      <c r="B7" s="245" t="s">
        <v>883</v>
      </c>
      <c r="C7" s="40"/>
      <c r="D7" s="40"/>
      <c r="E7" s="40"/>
      <c r="F7" s="40"/>
      <c r="G7" s="1310"/>
      <c r="H7" s="1307"/>
      <c r="I7" s="1306"/>
      <c r="J7" s="1041">
        <f>SUM(I9:I10)</f>
        <v>2937.99</v>
      </c>
      <c r="K7" s="1309"/>
      <c r="L7" s="1308"/>
      <c r="M7" s="1044">
        <f>SUM(L9:L10)</f>
        <v>4402.2</v>
      </c>
      <c r="N7" s="1307"/>
      <c r="O7" s="1306"/>
      <c r="P7" s="1041">
        <f>SUM(O9:O10)</f>
        <v>5534.65</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'SDK1'!O38</f>
        <v>6.38</v>
      </c>
      <c r="H9" s="1303">
        <f>J6-H10</f>
        <v>220.5</v>
      </c>
      <c r="I9" s="1299">
        <f>H9*G9</f>
        <v>1406.79</v>
      </c>
      <c r="J9" s="37"/>
      <c r="K9" s="1302">
        <f>M6-K10</f>
        <v>674</v>
      </c>
      <c r="L9" s="1301">
        <f>K9*G9</f>
        <v>4300.12</v>
      </c>
      <c r="M9" s="1280"/>
      <c r="N9" s="1300">
        <f>P6-N10</f>
        <v>867.5</v>
      </c>
      <c r="O9" s="1299">
        <f>N9*G9</f>
        <v>5534.65</v>
      </c>
      <c r="P9" s="37"/>
      <c r="Q9" s="1383" t="s">
        <v>900</v>
      </c>
      <c r="R9" s="517"/>
      <c r="S9" s="208" t="s">
        <v>887</v>
      </c>
      <c r="T9" s="1298"/>
    </row>
    <row r="10" spans="1:41" s="1268" customFormat="1" ht="15" customHeight="1">
      <c r="A10" s="309"/>
      <c r="B10" s="185"/>
      <c r="C10" s="223" t="str">
        <f>IF('SDK1'!O9&gt;0,"Nebenprodukt (incl. MwSt.)","Nebenprodukt (ohne MwSt)")</f>
        <v>Nebenprodukt (ohne MwSt)</v>
      </c>
      <c r="D10" s="1277"/>
      <c r="E10" s="1382"/>
      <c r="F10" s="3140" t="s">
        <v>899</v>
      </c>
      <c r="G10" s="1381">
        <f>'SDK1'!O39</f>
        <v>5.1040000000000001</v>
      </c>
      <c r="H10" s="1380">
        <v>300</v>
      </c>
      <c r="I10" s="1291">
        <f>H10*G10</f>
        <v>1531.2</v>
      </c>
      <c r="J10" s="1296"/>
      <c r="K10" s="1380">
        <v>20</v>
      </c>
      <c r="L10" s="1294">
        <f>K10*G10</f>
        <v>102.08</v>
      </c>
      <c r="M10" s="1293"/>
      <c r="N10" s="1380"/>
      <c r="O10" s="1291">
        <f>N10*G10</f>
        <v>0</v>
      </c>
      <c r="P10" s="1290"/>
      <c r="Q10" s="1379"/>
      <c r="R10" s="1289">
        <f>I10+I11+I12</f>
        <v>1531.2</v>
      </c>
      <c r="S10" s="1288">
        <f>L10+L11+L12</f>
        <v>102.08</v>
      </c>
      <c r="T10" s="1287">
        <f>O10+O11+O12</f>
        <v>0</v>
      </c>
      <c r="W10" s="196" t="s">
        <v>879</v>
      </c>
    </row>
    <row r="11" spans="1:41" s="1268" customFormat="1" ht="15" hidden="1" customHeight="1">
      <c r="A11" s="309"/>
      <c r="B11" s="217"/>
      <c r="C11" s="39" t="s">
        <v>878</v>
      </c>
      <c r="D11" s="309"/>
      <c r="E11" s="1286">
        <v>7</v>
      </c>
      <c r="F11" s="39" t="s">
        <v>877</v>
      </c>
      <c r="G11" s="1285">
        <f>'SDK1'!$O$48</f>
        <v>10.7</v>
      </c>
      <c r="H11" s="3151">
        <f>IF($T$3=FALSE,0,J6*$E$11)</f>
        <v>0</v>
      </c>
      <c r="I11" s="3152">
        <f>H11*$G$11</f>
        <v>0</v>
      </c>
      <c r="J11" s="3153"/>
      <c r="K11" s="3154">
        <f>IF($T$3=FALSE,0,M6*$E$11)</f>
        <v>0</v>
      </c>
      <c r="L11" s="3155">
        <f>K11*$G$11</f>
        <v>0</v>
      </c>
      <c r="M11" s="3156"/>
      <c r="N11" s="3157">
        <f>IF($T$3=FALSE,0,P6*$E$11)</f>
        <v>0</v>
      </c>
      <c r="O11" s="3152">
        <f>N11*$G$11</f>
        <v>0</v>
      </c>
      <c r="P11" s="3158"/>
      <c r="Q11" s="1379"/>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1379"/>
    </row>
    <row r="13" spans="1:41" s="196" customFormat="1" ht="18.75" customHeight="1">
      <c r="A13" s="40"/>
      <c r="B13" s="209" t="s">
        <v>873</v>
      </c>
      <c r="C13" s="40"/>
      <c r="D13" s="40"/>
      <c r="E13" s="40"/>
      <c r="F13" s="40"/>
      <c r="G13" s="1267"/>
      <c r="H13" s="1351"/>
      <c r="I13" s="1249"/>
      <c r="J13" s="1041">
        <f>SUM(I14:I17)</f>
        <v>0</v>
      </c>
      <c r="K13" s="1352"/>
      <c r="L13" s="1251"/>
      <c r="M13" s="1044"/>
      <c r="N13" s="1351"/>
      <c r="O13" s="1249"/>
      <c r="P13" s="1041">
        <f>SUM(O14:O17)</f>
        <v>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205.70000000000002</v>
      </c>
      <c r="K23" s="1046"/>
      <c r="L23" s="1045"/>
      <c r="M23" s="1227">
        <f>SUM(L25:L26)</f>
        <v>205.70000000000002</v>
      </c>
      <c r="N23" s="1043"/>
      <c r="O23" s="1042"/>
      <c r="P23" s="1026">
        <f>SUM(O25:O26)</f>
        <v>205.70000000000002</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'SDK7'!F70</f>
        <v>187</v>
      </c>
      <c r="G25" s="1221">
        <f>F25*(100+$D$24)/100</f>
        <v>187</v>
      </c>
      <c r="H25" s="1220">
        <v>1.1000000000000001</v>
      </c>
      <c r="I25" s="1181">
        <f>H25*$G25</f>
        <v>205.70000000000002</v>
      </c>
      <c r="J25" s="39"/>
      <c r="K25" s="1220">
        <f>H25</f>
        <v>1.1000000000000001</v>
      </c>
      <c r="L25" s="1023">
        <f>K25*$G25</f>
        <v>205.70000000000002</v>
      </c>
      <c r="M25" s="1016"/>
      <c r="N25" s="1220">
        <f>H25</f>
        <v>1.1000000000000001</v>
      </c>
      <c r="O25" s="1181">
        <f>N25*$G25</f>
        <v>205.70000000000002</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302.77485000000001</v>
      </c>
      <c r="K27" s="1175"/>
      <c r="L27" s="1174"/>
      <c r="M27" s="1044">
        <f>SUM(L30:L32)</f>
        <v>403.69979999999998</v>
      </c>
      <c r="N27" s="1173"/>
      <c r="O27" s="1172"/>
      <c r="P27" s="1041">
        <f>SUM(O30:O32)</f>
        <v>504.62475000000001</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0.18</v>
      </c>
      <c r="F30" s="1201">
        <f>VLOOKUP(K2,'SD8'!B9:L42,7,FALSE)</f>
        <v>0.26</v>
      </c>
      <c r="G30" s="1200"/>
      <c r="H30" s="1198">
        <f>IF(J$6=0,0,(J$6*$E30+$G30+X14))</f>
        <v>93.69</v>
      </c>
      <c r="I30" s="1181">
        <f>H30*$D30</f>
        <v>111.49109999999999</v>
      </c>
      <c r="J30" s="39"/>
      <c r="K30" s="1199">
        <f>IF(M$6=0,0,(M$6*$E30+$G30+Y14))</f>
        <v>124.92</v>
      </c>
      <c r="L30" s="1023">
        <f>K30*$D30</f>
        <v>148.65479999999999</v>
      </c>
      <c r="M30" s="1016"/>
      <c r="N30" s="1198">
        <f>IF(P$6=0,0,(P$6*$E30+$G30+Z14))</f>
        <v>156.15</v>
      </c>
      <c r="O30" s="1181">
        <f>N30*$D30</f>
        <v>185.8185</v>
      </c>
      <c r="P30" s="1145"/>
      <c r="Q30" s="34"/>
    </row>
    <row r="31" spans="1:26" s="36" customFormat="1" ht="15" customHeight="1">
      <c r="A31" s="746"/>
      <c r="B31" s="217"/>
      <c r="C31" s="746" t="s">
        <v>234</v>
      </c>
      <c r="D31" s="1150">
        <f>'SDK1'!O53</f>
        <v>1.2</v>
      </c>
      <c r="E31" s="1201">
        <f>VLOOKUP(K2,'SD8'!B9:L42,4,FALSE)</f>
        <v>0.1</v>
      </c>
      <c r="F31" s="1201">
        <f>VLOOKUP(K2,'SD8'!B9:L42,8,FALSE)</f>
        <v>7.9999999999999988E-2</v>
      </c>
      <c r="G31" s="1200"/>
      <c r="H31" s="1198">
        <f>IF(J$6=0,0,(J$6*$E31+$G31+X15))</f>
        <v>52.050000000000004</v>
      </c>
      <c r="I31" s="1181">
        <f>H31*$D31</f>
        <v>62.46</v>
      </c>
      <c r="J31" s="39"/>
      <c r="K31" s="1199">
        <f>IF(M$6=0,0,(M$6*$E31+$G31+Y15))</f>
        <v>69.400000000000006</v>
      </c>
      <c r="L31" s="1023">
        <f>K31*$D31</f>
        <v>83.28</v>
      </c>
      <c r="M31" s="1016"/>
      <c r="N31" s="1198">
        <f>IF(P$6=0,0,(P$6*$E31+$G31+Z15))</f>
        <v>86.75</v>
      </c>
      <c r="O31" s="1181">
        <f>N31*$D31</f>
        <v>104.1</v>
      </c>
      <c r="P31" s="1145"/>
      <c r="Q31" s="34"/>
    </row>
    <row r="32" spans="1:26" s="36" customFormat="1" ht="15" customHeight="1">
      <c r="A32" s="746"/>
      <c r="B32" s="185"/>
      <c r="C32" s="2791" t="s">
        <v>232</v>
      </c>
      <c r="D32" s="1133">
        <f>'SDK1'!O54</f>
        <v>0.99</v>
      </c>
      <c r="E32" s="1197">
        <f>VLOOKUP(K2,'SD8'!B9:L42,5,FALSE)</f>
        <v>0.25</v>
      </c>
      <c r="F32" s="1197">
        <f>VLOOKUP(K2,'SD8'!B9:L42,9,FALSE)</f>
        <v>0.42000000000000004</v>
      </c>
      <c r="G32" s="1196"/>
      <c r="H32" s="1194">
        <f>IF(J$6=0,0,(J$6*$E32+$G32+X16))</f>
        <v>130.125</v>
      </c>
      <c r="I32" s="1177">
        <f>H32*$D32</f>
        <v>128.82374999999999</v>
      </c>
      <c r="J32" s="223"/>
      <c r="K32" s="1195">
        <f>IF(M$6=0,0,(M$6*$E32+$G32+Y16))</f>
        <v>173.5</v>
      </c>
      <c r="L32" s="1017">
        <f>K32*$D32</f>
        <v>171.76499999999999</v>
      </c>
      <c r="M32" s="1256"/>
      <c r="N32" s="1194">
        <f>IF(P$6=0,0,(P$6*$E32+$G32+Z16))</f>
        <v>216.875</v>
      </c>
      <c r="O32" s="1177">
        <f>N32*$D32</f>
        <v>214.70625000000001</v>
      </c>
      <c r="P32" s="1176"/>
      <c r="Q32" s="34"/>
    </row>
    <row r="33" spans="1:17" s="36" customFormat="1" ht="15" hidden="1" customHeight="1">
      <c r="A33" s="746"/>
      <c r="B33" s="185"/>
      <c r="C33" s="771" t="s">
        <v>230</v>
      </c>
      <c r="D33" s="1133">
        <f>'SDK1'!P55</f>
        <v>0.45</v>
      </c>
      <c r="E33" s="1197">
        <f>VLOOKUP(K2,'SD8'!B9:L42,6,FALSE)</f>
        <v>0.08</v>
      </c>
      <c r="F33" s="1197">
        <f>VLOOKUP(K2,'SD8'!B9:L42,10,FALSE)</f>
        <v>6.9999999999999993E-2</v>
      </c>
      <c r="G33" s="1196"/>
      <c r="H33" s="1194">
        <f>IF(J$6=0,0,(J$6*$E33+$G33+X17))</f>
        <v>41.64</v>
      </c>
      <c r="I33" s="1177">
        <f>H33*$D33</f>
        <v>18.738</v>
      </c>
      <c r="J33" s="39"/>
      <c r="K33" s="1195">
        <f>IF(M$6=0,0,(M$6*$E33+$G33+Y17))</f>
        <v>55.52</v>
      </c>
      <c r="L33" s="1017">
        <f>K33*$D33</f>
        <v>24.984000000000002</v>
      </c>
      <c r="M33" s="1016"/>
      <c r="N33" s="1194">
        <f>IF(P$6=0,0,(P$6*$E33+$G33+Z17))</f>
        <v>69.400000000000006</v>
      </c>
      <c r="O33" s="1177">
        <f>N33*$D33</f>
        <v>31.230000000000004</v>
      </c>
      <c r="P33" s="1176"/>
      <c r="Q33" s="34"/>
    </row>
    <row r="34" spans="1:17" s="511" customFormat="1" ht="18.75" customHeight="1">
      <c r="A34" s="711"/>
      <c r="B34" s="716" t="s">
        <v>859</v>
      </c>
      <c r="C34" s="711"/>
      <c r="D34" s="33"/>
      <c r="E34" s="33"/>
      <c r="F34" s="4381" t="s">
        <v>858</v>
      </c>
      <c r="G34" s="4382"/>
      <c r="H34" s="1191"/>
      <c r="I34" s="1190"/>
      <c r="J34" s="1041">
        <f>SUM(I36:I42)</f>
        <v>323.18</v>
      </c>
      <c r="K34" s="1193"/>
      <c r="L34" s="1192"/>
      <c r="M34" s="1044">
        <f>SUM(L36:L42)</f>
        <v>323.18</v>
      </c>
      <c r="N34" s="1191"/>
      <c r="O34" s="1190"/>
      <c r="P34" s="1041">
        <f>SUM(O36:O42)</f>
        <v>373.18</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518</v>
      </c>
      <c r="D36" s="4389"/>
      <c r="E36" s="4390"/>
      <c r="F36" s="1183">
        <f>IF(C36="",0,VLOOKUP(C36,'SDK5'!C3:AF83,2,FALSE))</f>
        <v>25.3</v>
      </c>
      <c r="G36" s="1183">
        <f t="shared" ref="G36:G42" si="0">F36*(100+$D$35)/100</f>
        <v>25.3</v>
      </c>
      <c r="H36" s="1182">
        <v>5</v>
      </c>
      <c r="I36" s="1181">
        <f t="shared" ref="I36:I42" si="1">$G36*H36</f>
        <v>126.5</v>
      </c>
      <c r="J36" s="39"/>
      <c r="K36" s="1182">
        <v>5</v>
      </c>
      <c r="L36" s="1023">
        <f t="shared" ref="L36:L42" si="2">$G36*K36</f>
        <v>126.5</v>
      </c>
      <c r="M36" s="1016"/>
      <c r="N36" s="1182">
        <v>5</v>
      </c>
      <c r="O36" s="1181">
        <f t="shared" ref="O36:O42" si="3">$G36*N36</f>
        <v>126.5</v>
      </c>
      <c r="P36" s="1185"/>
      <c r="Q36" s="34"/>
    </row>
    <row r="37" spans="1:17" s="36" customFormat="1" ht="15" customHeight="1">
      <c r="A37" s="746"/>
      <c r="B37" s="1021"/>
      <c r="C37" s="4375" t="s">
        <v>1496</v>
      </c>
      <c r="D37" s="4375"/>
      <c r="E37" s="4376"/>
      <c r="F37" s="1183">
        <f>IF(C37="",0,VLOOKUP(C37,'SDK5'!C4:AF84,2,FALSE))</f>
        <v>36.67</v>
      </c>
      <c r="G37" s="1183">
        <f t="shared" si="0"/>
        <v>36.67</v>
      </c>
      <c r="H37" s="1182">
        <v>4</v>
      </c>
      <c r="I37" s="1181">
        <f t="shared" si="1"/>
        <v>146.68</v>
      </c>
      <c r="J37" s="39"/>
      <c r="K37" s="1182">
        <v>4</v>
      </c>
      <c r="L37" s="1023">
        <f t="shared" si="2"/>
        <v>146.68</v>
      </c>
      <c r="M37" s="1016"/>
      <c r="N37" s="1182">
        <v>4</v>
      </c>
      <c r="O37" s="1181">
        <f t="shared" si="3"/>
        <v>146.68</v>
      </c>
      <c r="P37" s="1145"/>
      <c r="Q37" s="34"/>
    </row>
    <row r="38" spans="1:17" s="36" customFormat="1" ht="15" customHeight="1">
      <c r="A38" s="746"/>
      <c r="B38" s="1184"/>
      <c r="C38" s="4375" t="s">
        <v>1501</v>
      </c>
      <c r="D38" s="4375"/>
      <c r="E38" s="4376"/>
      <c r="F38" s="1183">
        <f>IF(C38="",0,VLOOKUP(C38,'SDK5'!C5:AF85,2,FALSE))</f>
        <v>50</v>
      </c>
      <c r="G38" s="1183">
        <f t="shared" si="0"/>
        <v>50</v>
      </c>
      <c r="H38" s="1182">
        <v>1</v>
      </c>
      <c r="I38" s="1181">
        <f t="shared" si="1"/>
        <v>50</v>
      </c>
      <c r="J38" s="39"/>
      <c r="K38" s="1182">
        <v>1</v>
      </c>
      <c r="L38" s="1023">
        <f t="shared" si="2"/>
        <v>50</v>
      </c>
      <c r="M38" s="1016"/>
      <c r="N38" s="1182">
        <v>2</v>
      </c>
      <c r="O38" s="1181">
        <f t="shared" si="3"/>
        <v>100</v>
      </c>
      <c r="P38" s="1145"/>
      <c r="Q38" s="34"/>
    </row>
    <row r="39" spans="1:17" s="36" customFormat="1" ht="15" customHeight="1">
      <c r="A39" s="746"/>
      <c r="B39" s="1021"/>
      <c r="C39" s="4375"/>
      <c r="D39" s="4375"/>
      <c r="E39" s="4376"/>
      <c r="F39" s="1183">
        <f>IF(C39="",0,VLOOKUP(C39,'SDK5'!C6:AF86,2,FALSE))</f>
        <v>0</v>
      </c>
      <c r="G39" s="1183">
        <f t="shared" si="0"/>
        <v>0</v>
      </c>
      <c r="H39" s="1182"/>
      <c r="I39" s="1181">
        <f t="shared" si="1"/>
        <v>0</v>
      </c>
      <c r="J39" s="39"/>
      <c r="K39" s="1182"/>
      <c r="L39" s="1023">
        <f t="shared" si="2"/>
        <v>0</v>
      </c>
      <c r="M39" s="1016"/>
      <c r="N39" s="1182"/>
      <c r="O39" s="1181">
        <f t="shared" si="3"/>
        <v>0</v>
      </c>
      <c r="P39" s="1145"/>
      <c r="Q39" s="34"/>
    </row>
    <row r="40" spans="1:17" s="36" customFormat="1" ht="15" customHeight="1">
      <c r="A40" s="746"/>
      <c r="B40" s="1021"/>
      <c r="C40" s="4375"/>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165.23769401999999</v>
      </c>
      <c r="K43" s="1175"/>
      <c r="L43" s="1174"/>
      <c r="M43" s="1044">
        <f>SUM(M46:M57)</f>
        <v>165.23769401999999</v>
      </c>
      <c r="N43" s="1173"/>
      <c r="O43" s="1172"/>
      <c r="P43" s="1041">
        <f>SUM(P46:P57)</f>
        <v>171.88072928</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55">
        <v>1</v>
      </c>
      <c r="I46" s="1154">
        <f t="shared" ref="I46:I57" si="4">$F46*H46</f>
        <v>1.38</v>
      </c>
      <c r="J46" s="1145">
        <f t="shared" ref="J46:J57" si="5">H46*$G46</f>
        <v>64.642445999999993</v>
      </c>
      <c r="K46" s="1155">
        <v>1</v>
      </c>
      <c r="L46" s="1156">
        <f t="shared" ref="L46:L57" si="6">$F46*K46</f>
        <v>1.38</v>
      </c>
      <c r="M46" s="1148">
        <f t="shared" ref="M46:M57" si="7">K46*$G46</f>
        <v>64.642445999999993</v>
      </c>
      <c r="N46" s="1155">
        <v>1</v>
      </c>
      <c r="O46" s="1154">
        <f t="shared" ref="O46:O57" si="8">$F46*N46</f>
        <v>1.38</v>
      </c>
      <c r="P46" s="1145">
        <f t="shared" ref="P46:P57" si="9">N46*$G46</f>
        <v>64.642445999999993</v>
      </c>
      <c r="Q46" s="34">
        <f>$Q$2*H46</f>
        <v>0</v>
      </c>
    </row>
    <row r="47" spans="1:17" s="36" customFormat="1" ht="15" customHeight="1">
      <c r="A47" s="746"/>
      <c r="B47" s="1153"/>
      <c r="C47" s="4387" t="s">
        <v>1588</v>
      </c>
      <c r="D47" s="4388"/>
      <c r="E47" s="1152">
        <f>IF($C47=0,0,VLOOKUP($C47,'SD3'!$C$24:$O$85,4,FALSE))</f>
        <v>83</v>
      </c>
      <c r="F47" s="1151">
        <f>IF($C47=0,0,VLOOKUP($C47,'SD3'!$C$24:$O$85,12,FALSE))</f>
        <v>0.53</v>
      </c>
      <c r="G47" s="1150">
        <f>IF($C47=0,0,VLOOKUP($C47,'SD3'!$C$24:$O$85,13,FALSE))</f>
        <v>15.733770700000001</v>
      </c>
      <c r="H47" s="1147">
        <v>2</v>
      </c>
      <c r="I47" s="1146">
        <f t="shared" si="4"/>
        <v>1.06</v>
      </c>
      <c r="J47" s="1145">
        <f t="shared" si="5"/>
        <v>31.467541400000002</v>
      </c>
      <c r="K47" s="1147">
        <v>2</v>
      </c>
      <c r="L47" s="1149">
        <f t="shared" si="6"/>
        <v>1.06</v>
      </c>
      <c r="M47" s="1148">
        <f t="shared" si="7"/>
        <v>31.467541400000002</v>
      </c>
      <c r="N47" s="1147">
        <v>2</v>
      </c>
      <c r="O47" s="1146">
        <f t="shared" si="8"/>
        <v>1.06</v>
      </c>
      <c r="P47" s="1145">
        <f t="shared" si="9"/>
        <v>31.467541400000002</v>
      </c>
      <c r="Q47" s="34"/>
    </row>
    <row r="48" spans="1:17" s="36" customFormat="1" ht="15" customHeight="1">
      <c r="A48" s="746"/>
      <c r="B48" s="1153"/>
      <c r="C48" s="4387" t="s">
        <v>351</v>
      </c>
      <c r="D48" s="4388"/>
      <c r="E48" s="1152">
        <f>IF($C48=0,0,VLOOKUP($C48,'SD3'!$C$24:$O$85,4,FALSE))</f>
        <v>83</v>
      </c>
      <c r="F48" s="1151">
        <f>IF($C48=0,0,VLOOKUP($C48,'SD3'!$C$24:$O$85,12,FALSE))</f>
        <v>0.78</v>
      </c>
      <c r="G48" s="1150">
        <f>IF($C48=0,0,VLOOKUP($C48,'SD3'!$C$24:$O$85,13,FALSE))</f>
        <v>31.33439774</v>
      </c>
      <c r="H48" s="1147">
        <v>1</v>
      </c>
      <c r="I48" s="1146">
        <f t="shared" si="4"/>
        <v>0.78</v>
      </c>
      <c r="J48" s="1145">
        <f t="shared" si="5"/>
        <v>31.33439774</v>
      </c>
      <c r="K48" s="1147">
        <v>1</v>
      </c>
      <c r="L48" s="1149">
        <f t="shared" si="6"/>
        <v>0.78</v>
      </c>
      <c r="M48" s="1148">
        <f t="shared" si="7"/>
        <v>31.33439774</v>
      </c>
      <c r="N48" s="1147">
        <v>1</v>
      </c>
      <c r="O48" s="1146">
        <f t="shared" si="8"/>
        <v>0.78</v>
      </c>
      <c r="P48" s="1145">
        <f t="shared" si="9"/>
        <v>31.33439774</v>
      </c>
      <c r="Q48" s="34"/>
    </row>
    <row r="49" spans="1:17" s="36" customFormat="1" ht="15" customHeight="1">
      <c r="A49" s="746"/>
      <c r="B49" s="1153"/>
      <c r="C49" s="4387" t="s">
        <v>346</v>
      </c>
      <c r="D49" s="4388"/>
      <c r="E49" s="1152">
        <f>IF($C49=0,0,VLOOKUP($C49,'SD3'!$C$24:$O$85,4,FALSE))</f>
        <v>83</v>
      </c>
      <c r="F49" s="1151">
        <f>IF($C49=0,0,VLOOKUP($C49,'SD3'!$C$24:$O$85,12,FALSE))</f>
        <v>0.16</v>
      </c>
      <c r="G49" s="1150">
        <f>IF($C49=0,0,VLOOKUP($C49,'SD3'!$C$24:$O$85,13,FALSE))</f>
        <v>3.7403892799999996</v>
      </c>
      <c r="H49" s="1147">
        <v>3</v>
      </c>
      <c r="I49" s="1146">
        <f t="shared" si="4"/>
        <v>0.48</v>
      </c>
      <c r="J49" s="1145">
        <f t="shared" si="5"/>
        <v>11.22116784</v>
      </c>
      <c r="K49" s="1147">
        <v>3</v>
      </c>
      <c r="L49" s="1149">
        <f t="shared" si="6"/>
        <v>0.48</v>
      </c>
      <c r="M49" s="1148">
        <f t="shared" si="7"/>
        <v>11.22116784</v>
      </c>
      <c r="N49" s="1147">
        <v>3</v>
      </c>
      <c r="O49" s="1146">
        <f t="shared" si="8"/>
        <v>0.48</v>
      </c>
      <c r="P49" s="1145">
        <f t="shared" si="9"/>
        <v>11.22116784</v>
      </c>
      <c r="Q49" s="34"/>
    </row>
    <row r="50" spans="1:17" s="36" customFormat="1" ht="15" customHeight="1">
      <c r="A50" s="746"/>
      <c r="B50" s="1153"/>
      <c r="C50" s="4387" t="s">
        <v>1591</v>
      </c>
      <c r="D50" s="4388"/>
      <c r="E50" s="1152">
        <f>IF($C50=0,0,VLOOKUP($C50,'SD3'!$C$24:$O$85,4,FALSE))</f>
        <v>83</v>
      </c>
      <c r="F50" s="1151">
        <f>IF($C50=0,0,VLOOKUP($C50,'SD3'!$C$24:$O$85,12,FALSE))</f>
        <v>0.22</v>
      </c>
      <c r="G50" s="1150">
        <f>IF($C50=0,0,VLOOKUP($C50,'SD3'!$C$24:$O$85,13,FALSE))</f>
        <v>6.6430352599999996</v>
      </c>
      <c r="H50" s="1147">
        <v>4</v>
      </c>
      <c r="I50" s="1146">
        <f t="shared" si="4"/>
        <v>0.88</v>
      </c>
      <c r="J50" s="1145">
        <f t="shared" si="5"/>
        <v>26.572141039999998</v>
      </c>
      <c r="K50" s="1147">
        <v>4</v>
      </c>
      <c r="L50" s="1149">
        <f t="shared" si="6"/>
        <v>0.88</v>
      </c>
      <c r="M50" s="1148">
        <f t="shared" si="7"/>
        <v>26.572141039999998</v>
      </c>
      <c r="N50" s="1147">
        <v>5</v>
      </c>
      <c r="O50" s="1146">
        <f t="shared" si="8"/>
        <v>1.1000000000000001</v>
      </c>
      <c r="P50" s="1145">
        <f t="shared" si="9"/>
        <v>33.215176299999996</v>
      </c>
      <c r="Q50" s="34"/>
    </row>
    <row r="51" spans="1:17" s="36" customFormat="1" ht="15" customHeight="1">
      <c r="A51" s="746"/>
      <c r="B51" s="1153"/>
      <c r="C51" s="4387"/>
      <c r="D51" s="4388"/>
      <c r="E51" s="1152">
        <f>IF($C51=0,0,VLOOKUP($C51,'SD3'!$C$24:$O$85,4,FALSE))</f>
        <v>0</v>
      </c>
      <c r="F51" s="1151">
        <f>IF($C51=0,0,VLOOKUP($C51,'SD3'!$C$24:$O$85,12,FALSE))</f>
        <v>0</v>
      </c>
      <c r="G51" s="1150">
        <f>IF($C51=0,0,VLOOKUP($C51,'SD3'!$C$24:$O$85,13,FALSE))</f>
        <v>0</v>
      </c>
      <c r="H51" s="1147"/>
      <c r="I51" s="1146">
        <f t="shared" si="4"/>
        <v>0</v>
      </c>
      <c r="J51" s="1145">
        <f t="shared" si="5"/>
        <v>0</v>
      </c>
      <c r="K51" s="1147"/>
      <c r="L51" s="1149">
        <f t="shared" si="6"/>
        <v>0</v>
      </c>
      <c r="M51" s="1148">
        <f t="shared" si="7"/>
        <v>0</v>
      </c>
      <c r="N51" s="1147"/>
      <c r="O51" s="1146">
        <f t="shared" si="8"/>
        <v>0</v>
      </c>
      <c r="P51" s="1145">
        <f t="shared" si="9"/>
        <v>0</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c r="D57" s="4402"/>
      <c r="E57" s="1135">
        <f>IF($C57=0,0,VLOOKUP($C57,'SD3'!$C$24:$O$85,4,FALSE))</f>
        <v>0</v>
      </c>
      <c r="F57" s="1134">
        <f>IF($C57=0,0,VLOOKUP($C57,'SD3'!$C$24:$O$85,12,FALSE))</f>
        <v>0</v>
      </c>
      <c r="G57" s="1133">
        <f>IF($C57=0,0,VLOOKUP($C57,'SD3'!$C$24:$O$85,13,FALSE))</f>
        <v>0</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row>
    <row r="58" spans="1:17" s="46" customFormat="1" ht="18.75" customHeight="1">
      <c r="A58" s="811"/>
      <c r="B58" s="716" t="s">
        <v>848</v>
      </c>
      <c r="C58" s="811"/>
      <c r="D58" s="811"/>
      <c r="E58" s="811"/>
      <c r="F58" s="34"/>
      <c r="G58" s="1047"/>
      <c r="H58" s="1124"/>
      <c r="I58" s="1123">
        <f>SUM($I$46:$I$57)</f>
        <v>4.58</v>
      </c>
      <c r="J58" s="1128"/>
      <c r="K58" s="1127"/>
      <c r="L58" s="1126">
        <f>SUM($L$46:$L$57)</f>
        <v>4.58</v>
      </c>
      <c r="M58" s="1125"/>
      <c r="N58" s="1124"/>
      <c r="O58" s="1123">
        <f>SUM($O$46:$O$57)</f>
        <v>4.8</v>
      </c>
      <c r="P58" s="1122"/>
      <c r="Q58" s="34"/>
    </row>
    <row r="59" spans="1:17" s="46" customFormat="1" ht="15" customHeight="1">
      <c r="A59" s="811"/>
      <c r="B59" s="1121"/>
      <c r="C59" s="285"/>
      <c r="D59" s="222" t="s">
        <v>847</v>
      </c>
      <c r="E59" s="1120">
        <v>80</v>
      </c>
      <c r="F59" s="285" t="s">
        <v>846</v>
      </c>
      <c r="G59" s="1119"/>
      <c r="H59" s="1115"/>
      <c r="I59" s="1114">
        <f>IF(I58+SUM($I$46:$I$57)*$E$59%&gt;I58+10,I58+10,I58+SUM($I$46:$I$57)*$E$59%)</f>
        <v>8.2439999999999998</v>
      </c>
      <c r="J59" s="1113"/>
      <c r="K59" s="1118"/>
      <c r="L59" s="1117">
        <f>IF(L58+SUM($L$46:$L$57)*$E$59%&gt;L58+10,L58+10,L58+SUM($L$46:$L$57)*$E$59%)</f>
        <v>8.2439999999999998</v>
      </c>
      <c r="M59" s="1116"/>
      <c r="N59" s="1115"/>
      <c r="O59" s="1114">
        <f>IF(O58+SUM($O$46:$O$57)*$E$59%&gt;O58+10,O58+10,O58+SUM($O$46:$O$57)*$E$59%)</f>
        <v>8.64</v>
      </c>
      <c r="P59" s="1113"/>
      <c r="Q59" s="34"/>
    </row>
    <row r="60" spans="1:17" s="36" customFormat="1" ht="18.75" customHeight="1">
      <c r="A60" s="746"/>
      <c r="B60" s="716" t="s">
        <v>845</v>
      </c>
      <c r="C60" s="811"/>
      <c r="D60" s="811"/>
      <c r="E60" s="39"/>
      <c r="F60" s="39"/>
      <c r="G60" s="1112"/>
      <c r="H60" s="1104"/>
      <c r="I60" s="1103"/>
      <c r="J60" s="1111">
        <f>IF(J6=0,0,SUM(I62:I64))</f>
        <v>506</v>
      </c>
      <c r="K60" s="1107"/>
      <c r="L60" s="1106"/>
      <c r="M60" s="1044">
        <f>IF(M6=0,0,SUM(L62:L64))</f>
        <v>506</v>
      </c>
      <c r="N60" s="1104"/>
      <c r="O60" s="1103"/>
      <c r="P60" s="1111">
        <f>IF(P6=0,0,SUM(O62:O64))</f>
        <v>506</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429" t="s">
        <v>295</v>
      </c>
      <c r="D62" s="4429"/>
      <c r="E62" s="4430"/>
      <c r="F62" s="1101">
        <f>IF($C62=0,0,VLOOKUP($C62,'SD3'!$C$90:$D$104,2,FALSE))</f>
        <v>506</v>
      </c>
      <c r="G62" s="1100">
        <f>(100+$D$61)/100*F62</f>
        <v>506</v>
      </c>
      <c r="H62" s="173"/>
      <c r="I62" s="1096">
        <f>$G$62</f>
        <v>506</v>
      </c>
      <c r="J62" s="173"/>
      <c r="K62" s="1099"/>
      <c r="L62" s="1098">
        <f>$G$62</f>
        <v>506</v>
      </c>
      <c r="M62" s="1016"/>
      <c r="N62" s="1097"/>
      <c r="O62" s="1096">
        <f>$G$62</f>
        <v>506</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c r="D64" s="4396"/>
      <c r="E64" s="4431"/>
      <c r="F64" s="1083">
        <f>IF($T$3=FALSE,0,VLOOKUP($C64,'SD3'!$C$90:$D$104,2,FALSE))</f>
        <v>0</v>
      </c>
      <c r="G64" s="1082">
        <f>(100+$D$61)/100*F64</f>
        <v>0</v>
      </c>
      <c r="H64" s="1078"/>
      <c r="I64" s="1077">
        <f>H11*$G$64</f>
        <v>0</v>
      </c>
      <c r="J64" s="173"/>
      <c r="K64" s="1081"/>
      <c r="L64" s="1080">
        <f>K11*$G$64</f>
        <v>0</v>
      </c>
      <c r="M64" s="1079"/>
      <c r="N64" s="1078"/>
      <c r="O64" s="1077">
        <f>N11*$G$64</f>
        <v>0</v>
      </c>
      <c r="P64" s="1076"/>
      <c r="Q64" s="34"/>
    </row>
    <row r="65" spans="1:20" s="511" customFormat="1" ht="18.75" customHeight="1">
      <c r="A65" s="711"/>
      <c r="B65" s="716" t="s">
        <v>844</v>
      </c>
      <c r="C65" s="711"/>
      <c r="D65" s="711"/>
      <c r="E65" s="711"/>
      <c r="F65" s="34"/>
      <c r="G65" s="1047"/>
      <c r="H65" s="51"/>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0</v>
      </c>
      <c r="K67" s="1068" t="s">
        <v>842</v>
      </c>
      <c r="L67" s="1067" t="s">
        <v>841</v>
      </c>
      <c r="M67" s="1044">
        <f>S68*(K9+K10)*L68%+F68</f>
        <v>0</v>
      </c>
      <c r="N67" s="1066" t="s">
        <v>842</v>
      </c>
      <c r="O67" s="1065" t="s">
        <v>841</v>
      </c>
      <c r="P67" s="1041">
        <f>T68*(N9+N10)*O68%+F68</f>
        <v>0</v>
      </c>
      <c r="Q67" s="34"/>
    </row>
    <row r="68" spans="1:20" s="511" customFormat="1" ht="15" customHeight="1">
      <c r="A68" s="711"/>
      <c r="B68" s="1064"/>
      <c r="C68" s="4393" t="s">
        <v>564</v>
      </c>
      <c r="D68" s="4393"/>
      <c r="E68" s="4393"/>
      <c r="F68" s="1063"/>
      <c r="G68" s="1054" t="s">
        <v>163</v>
      </c>
      <c r="H68" s="1061"/>
      <c r="I68" s="1060"/>
      <c r="J68" s="1059"/>
      <c r="K68" s="1061"/>
      <c r="L68" s="1060"/>
      <c r="M68" s="1062"/>
      <c r="N68" s="1061"/>
      <c r="O68" s="1060"/>
      <c r="P68" s="1059"/>
      <c r="Q68" s="34"/>
      <c r="R68" s="1369">
        <f>IF($H$68=0,0,VLOOKUP($H$68,'SD6'!B8:C101,2,FALSE))*(1+'SDK1'!O11/100)</f>
        <v>0</v>
      </c>
      <c r="S68" s="1058">
        <f>IF($K$68=0,0,VLOOKUP($K$68,'SD6'!B8:C101,2,FALSE))*(1+'SDK1'!O11/100)</f>
        <v>0</v>
      </c>
      <c r="T68" s="1369">
        <f>IF($N$68=0,0,VLOOKUP($N$68,'SD6'!B8:C101,2,FALSE))*(1+'SDK1'!O11/100)</f>
        <v>0</v>
      </c>
    </row>
    <row r="69" spans="1:20" s="511" customFormat="1" ht="18.75" customHeight="1">
      <c r="A69" s="711"/>
      <c r="B69" s="716" t="s">
        <v>839</v>
      </c>
      <c r="C69" s="711"/>
      <c r="D69" s="711"/>
      <c r="E69" s="34"/>
      <c r="F69" s="34"/>
      <c r="G69" s="1047"/>
      <c r="H69" s="38"/>
      <c r="I69" s="51"/>
      <c r="J69" s="1041">
        <f>H70*$F70/1000</f>
        <v>32.317889999999998</v>
      </c>
      <c r="K69" s="1057"/>
      <c r="L69" s="1056"/>
      <c r="M69" s="1044">
        <f>K70*$F70/1000</f>
        <v>48.424199999999999</v>
      </c>
      <c r="N69" s="38"/>
      <c r="O69" s="51"/>
      <c r="P69" s="1041">
        <f>N70*$F70/1000</f>
        <v>60.881149999999991</v>
      </c>
      <c r="Q69" s="34"/>
    </row>
    <row r="70" spans="1:20" s="511" customFormat="1" ht="15" customHeight="1">
      <c r="A70" s="711"/>
      <c r="B70" s="772"/>
      <c r="C70" s="771" t="s">
        <v>606</v>
      </c>
      <c r="D70" s="285"/>
      <c r="E70" s="222"/>
      <c r="F70" s="3226">
        <f>'SDK7'!G113</f>
        <v>11</v>
      </c>
      <c r="G70" s="1054" t="s">
        <v>163</v>
      </c>
      <c r="H70" s="1050">
        <f>J7</f>
        <v>2937.99</v>
      </c>
      <c r="I70" s="1049"/>
      <c r="J70" s="1048"/>
      <c r="K70" s="1053">
        <f>M7</f>
        <v>4402.2</v>
      </c>
      <c r="L70" s="1052"/>
      <c r="M70" s="1051"/>
      <c r="N70" s="1050">
        <f>P7</f>
        <v>5534.65</v>
      </c>
      <c r="O70" s="1049"/>
      <c r="P70" s="1048"/>
      <c r="Q70" s="34"/>
    </row>
    <row r="71" spans="1:20" ht="18.75" customHeight="1">
      <c r="A71" s="309"/>
      <c r="B71" s="245" t="s">
        <v>838</v>
      </c>
      <c r="C71" s="309"/>
      <c r="D71" s="309"/>
      <c r="E71" s="175"/>
      <c r="G71" s="1047"/>
      <c r="H71" s="1043"/>
      <c r="I71" s="1042"/>
      <c r="J71" s="1041">
        <f>SUM(I73:I74)</f>
        <v>78.075000000000003</v>
      </c>
      <c r="K71" s="1046"/>
      <c r="L71" s="1045"/>
      <c r="M71" s="1044">
        <f>SUM(L73:L74)</f>
        <v>104.10000000000001</v>
      </c>
      <c r="N71" s="1043"/>
      <c r="O71" s="1042"/>
      <c r="P71" s="1041">
        <f>SUM(O73:O74)</f>
        <v>130.125</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399" t="s">
        <v>898</v>
      </c>
      <c r="D73" s="4399"/>
      <c r="E73" s="4399"/>
      <c r="F73" s="1025"/>
      <c r="G73" s="1024"/>
      <c r="H73" s="1018">
        <f>1.5*J6*0.1</f>
        <v>78.075000000000003</v>
      </c>
      <c r="I73" s="1022">
        <f>(100+$D$72)/100*H73</f>
        <v>78.075000000000003</v>
      </c>
      <c r="J73" s="39"/>
      <c r="K73" s="1018">
        <f>1.5*(0.1*M6)</f>
        <v>104.10000000000001</v>
      </c>
      <c r="L73" s="1023">
        <f>(100+$D$72)/100*K73</f>
        <v>104.10000000000001</v>
      </c>
      <c r="M73" s="1016"/>
      <c r="N73" s="1018">
        <f>1.5*(0.1*P6)</f>
        <v>130.125</v>
      </c>
      <c r="O73" s="1022">
        <f>(100+$D$72)/100*N73</f>
        <v>130.125</v>
      </c>
      <c r="P73" s="1013"/>
      <c r="Q73" s="315" t="s">
        <v>897</v>
      </c>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f>(J23+J27+J34+J43+J60+J65+J67+J69+J71)*('SDK1'!$O$59%*$G$75/12)</f>
        <v>13.444045283500001</v>
      </c>
      <c r="K75" s="513"/>
      <c r="L75" s="522"/>
      <c r="M75" s="1005">
        <f>(M23+M27+M34+M43+M60+M65+M67+M69+M71)*('SDK1'!$O$59%*$G$75/12)</f>
        <v>14.636180783499997</v>
      </c>
      <c r="N75" s="1007"/>
      <c r="O75" s="1006"/>
      <c r="P75" s="1005">
        <f>(P23+P27+P34+P43+P60+P65+P67+P69+P71)*('SDK1'!$O$59%*$G$75/12)</f>
        <v>16.269930244000001</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M151" s="31"/>
      <c r="N151" s="31"/>
      <c r="O151" s="31"/>
      <c r="P151" s="31"/>
      <c r="Q151" s="31"/>
    </row>
    <row r="152" spans="1:17">
      <c r="A152" s="31"/>
      <c r="B152" s="441"/>
      <c r="C152" s="12"/>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D159" s="12"/>
      <c r="F159" s="12"/>
      <c r="G159" s="12"/>
      <c r="H159" s="12"/>
      <c r="I159" s="12"/>
      <c r="J159" s="12"/>
      <c r="M159" s="31"/>
      <c r="N159" s="31"/>
      <c r="O159" s="31"/>
      <c r="P159" s="31"/>
      <c r="Q159" s="31"/>
    </row>
    <row r="160" spans="1:17">
      <c r="A160" s="31"/>
      <c r="B160" s="441"/>
      <c r="C160" s="12"/>
      <c r="D160" s="12"/>
      <c r="F160" s="12"/>
      <c r="G160" s="12"/>
      <c r="H160" s="12"/>
      <c r="I160" s="12"/>
      <c r="J160" s="12"/>
      <c r="M160" s="31"/>
      <c r="N160" s="31"/>
      <c r="O160" s="31"/>
      <c r="P160" s="31"/>
      <c r="Q160" s="31"/>
    </row>
    <row r="161" spans="1:17">
      <c r="A161" s="31"/>
      <c r="B161" s="441"/>
      <c r="C161" s="12"/>
      <c r="D161" s="12"/>
      <c r="F161" s="12"/>
      <c r="G161" s="12"/>
      <c r="H161" s="12"/>
      <c r="I161" s="12"/>
      <c r="J161" s="12"/>
      <c r="K161" s="31"/>
      <c r="L161" s="31"/>
      <c r="M161" s="31"/>
      <c r="N161" s="31"/>
      <c r="O161" s="31"/>
      <c r="P161" s="31"/>
      <c r="Q161" s="31"/>
    </row>
    <row r="162" spans="1:17">
      <c r="A162" s="31"/>
      <c r="B162" s="441"/>
      <c r="C162" s="12"/>
      <c r="D162" s="12"/>
      <c r="F162" s="12"/>
      <c r="G162" s="12"/>
      <c r="H162" s="12"/>
      <c r="I162" s="12"/>
      <c r="J162" s="12"/>
      <c r="K162" s="31"/>
      <c r="L162" s="31"/>
      <c r="M162" s="31"/>
      <c r="N162" s="31"/>
      <c r="O162" s="31"/>
      <c r="P162" s="31"/>
      <c r="Q162" s="31"/>
    </row>
    <row r="163" spans="1:17">
      <c r="A163" s="31"/>
      <c r="B163" s="441"/>
      <c r="C163" s="12"/>
      <c r="D163" s="12"/>
      <c r="F163" s="12"/>
      <c r="G163" s="12"/>
      <c r="H163" s="12"/>
      <c r="I163" s="12"/>
      <c r="J163" s="12"/>
      <c r="K163" s="31"/>
      <c r="L163" s="31"/>
      <c r="M163" s="31"/>
      <c r="N163" s="31"/>
      <c r="O163" s="31"/>
      <c r="P163" s="31"/>
      <c r="Q163" s="31"/>
    </row>
    <row r="164" spans="1:17">
      <c r="A164" s="31"/>
      <c r="B164" s="441"/>
      <c r="C164" s="12"/>
      <c r="D164" s="12"/>
      <c r="F164" s="12"/>
      <c r="G164" s="12"/>
      <c r="H164" s="12"/>
      <c r="I164" s="12"/>
      <c r="J164" s="12"/>
      <c r="K164" s="31"/>
      <c r="L164" s="31"/>
      <c r="M164" s="31"/>
      <c r="N164" s="31"/>
      <c r="O164" s="31"/>
      <c r="P164" s="31"/>
      <c r="Q164" s="31"/>
    </row>
    <row r="165" spans="1:17">
      <c r="A165" s="31"/>
      <c r="B165" s="441"/>
      <c r="C165" s="12"/>
      <c r="K165" s="31"/>
      <c r="L165" s="31"/>
      <c r="M165" s="31"/>
      <c r="N165" s="31"/>
      <c r="O165" s="31"/>
      <c r="P165" s="31"/>
      <c r="Q165" s="31"/>
    </row>
    <row r="166" spans="1:17">
      <c r="A166" s="31"/>
      <c r="B166" s="441"/>
      <c r="C166" s="12"/>
      <c r="K166" s="31"/>
      <c r="L166" s="31"/>
      <c r="M166" s="31"/>
      <c r="N166" s="31"/>
      <c r="O166" s="31"/>
      <c r="P166" s="31"/>
      <c r="Q166" s="31"/>
    </row>
    <row r="167" spans="1:17">
      <c r="A167" s="31"/>
      <c r="B167" s="441"/>
      <c r="C167" s="12"/>
      <c r="K167" s="31"/>
      <c r="L167" s="31"/>
      <c r="M167" s="31"/>
      <c r="N167" s="31"/>
      <c r="O167" s="31"/>
      <c r="P167" s="31"/>
      <c r="Q167" s="31"/>
    </row>
    <row r="168" spans="1:17">
      <c r="A168" s="31"/>
      <c r="B168" s="441"/>
      <c r="C168" s="12"/>
      <c r="K168" s="31"/>
      <c r="L168" s="31"/>
      <c r="M168" s="31"/>
      <c r="N168" s="31"/>
      <c r="O168" s="31"/>
      <c r="P168" s="31"/>
      <c r="Q168" s="31"/>
    </row>
    <row r="169" spans="1:17">
      <c r="A169" s="31"/>
      <c r="B169" s="441"/>
      <c r="C169" s="12"/>
      <c r="K169" s="31"/>
      <c r="L169" s="31"/>
      <c r="M169" s="31"/>
      <c r="N169" s="31"/>
      <c r="O169" s="31"/>
      <c r="P169" s="31"/>
      <c r="Q169" s="31"/>
    </row>
    <row r="170" spans="1:17">
      <c r="A170" s="31"/>
      <c r="B170" s="441"/>
      <c r="C170" s="12"/>
      <c r="K170" s="31"/>
      <c r="L170" s="31"/>
      <c r="M170" s="31"/>
      <c r="N170" s="31"/>
      <c r="O170" s="31"/>
      <c r="P170" s="31"/>
      <c r="Q170" s="31"/>
    </row>
    <row r="171" spans="1:17">
      <c r="A171" s="31"/>
      <c r="B171" s="441"/>
      <c r="C171" s="12"/>
      <c r="K171" s="31"/>
      <c r="L171" s="31"/>
      <c r="M171" s="31"/>
      <c r="N171" s="31"/>
      <c r="O171" s="31"/>
      <c r="P171" s="31"/>
      <c r="Q171" s="31"/>
    </row>
    <row r="172" spans="1:17">
      <c r="A172" s="31"/>
      <c r="B172" s="441"/>
      <c r="C172" s="12"/>
      <c r="K172" s="31"/>
      <c r="L172" s="31"/>
      <c r="M172" s="31"/>
      <c r="N172" s="31"/>
      <c r="O172" s="31"/>
      <c r="P172" s="31"/>
      <c r="Q172" s="31"/>
    </row>
    <row r="173" spans="1:17">
      <c r="A173" s="31"/>
      <c r="B173" s="441"/>
      <c r="C173" s="12"/>
      <c r="K173" s="31"/>
      <c r="L173" s="31"/>
      <c r="M173" s="31"/>
      <c r="N173" s="31"/>
      <c r="O173" s="31"/>
      <c r="P173" s="31"/>
      <c r="Q173" s="31"/>
    </row>
    <row r="174" spans="1:17">
      <c r="A174" s="31"/>
      <c r="B174" s="441"/>
      <c r="C174" s="12"/>
      <c r="K174" s="31"/>
      <c r="L174" s="31"/>
      <c r="M174" s="31"/>
      <c r="N174" s="31"/>
      <c r="O174" s="31"/>
      <c r="P174" s="31"/>
      <c r="Q174" s="31"/>
    </row>
    <row r="175" spans="1:17">
      <c r="A175" s="31"/>
      <c r="B175" s="441"/>
      <c r="C175" s="12"/>
      <c r="K175" s="31"/>
      <c r="L175" s="31"/>
      <c r="M175" s="31"/>
      <c r="N175" s="31"/>
      <c r="O175" s="31"/>
      <c r="P175" s="31"/>
      <c r="Q175" s="31"/>
    </row>
    <row r="176" spans="1:17">
      <c r="A176" s="31"/>
      <c r="B176" s="441"/>
      <c r="C176" s="12"/>
      <c r="K176" s="31"/>
      <c r="L176" s="31"/>
      <c r="M176" s="31"/>
      <c r="N176" s="31"/>
      <c r="O176" s="31"/>
      <c r="P176" s="31"/>
      <c r="Q176" s="31"/>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8" firstPageNumber="60" orientation="portrait" r:id="rId1"/>
      <headerFooter alignWithMargins="0">
        <oddFooter>&amp;L&amp;11LEL Schwäbisch Gmünd&amp;C73&amp;R&amp;11&amp;F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8" firstPageNumber="60" orientation="portrait" r:id="rId2"/>
      <headerFooter alignWithMargins="0">
        <oddFooter>&amp;L&amp;11LEL Schwäbisch Gmünd&amp;C73&amp;R&amp;11&amp;F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8" firstPageNumber="60" orientation="portrait" r:id="rId3"/>
      <headerFooter alignWithMargins="0">
        <oddFooter>&amp;L&amp;11LEL Schwäbisch Gmünd&amp;C73&amp;R&amp;11&amp;F</oddFooter>
      </headerFooter>
    </customSheetView>
  </customSheetViews>
  <mergeCells count="49">
    <mergeCell ref="B3:H3"/>
    <mergeCell ref="C20:F20"/>
    <mergeCell ref="C21:F21"/>
    <mergeCell ref="E22:G22"/>
    <mergeCell ref="C37:E37"/>
    <mergeCell ref="B75:C75"/>
    <mergeCell ref="C40:E40"/>
    <mergeCell ref="C38:E38"/>
    <mergeCell ref="C74:E74"/>
    <mergeCell ref="C73:E73"/>
    <mergeCell ref="C55:D55"/>
    <mergeCell ref="C68:E68"/>
    <mergeCell ref="C62:E62"/>
    <mergeCell ref="C64:E64"/>
    <mergeCell ref="C63:E63"/>
    <mergeCell ref="C57:D57"/>
    <mergeCell ref="C56:D56"/>
    <mergeCell ref="K1:L1"/>
    <mergeCell ref="C49:D49"/>
    <mergeCell ref="C52:D52"/>
    <mergeCell ref="C53:D53"/>
    <mergeCell ref="C54:D54"/>
    <mergeCell ref="C50:D50"/>
    <mergeCell ref="C51:D51"/>
    <mergeCell ref="J4:L4"/>
    <mergeCell ref="C16:F16"/>
    <mergeCell ref="C48:D48"/>
    <mergeCell ref="F23:G23"/>
    <mergeCell ref="F34:G34"/>
    <mergeCell ref="C47:D47"/>
    <mergeCell ref="C46:D46"/>
    <mergeCell ref="C41:E41"/>
    <mergeCell ref="C36:E36"/>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7:F17"/>
  </mergeCells>
  <dataValidations count="5">
    <dataValidation type="list" showInputMessage="1" showErrorMessage="1" sqref="H14 K14 N14" xr:uid="{00000000-0002-0000-3300-000000000000}">
      <formula1>"ja,nein"</formula1>
    </dataValidation>
    <dataValidation type="list" allowBlank="1" showInputMessage="1" showErrorMessage="1" sqref="H15:H17 K15:K17 N15:N17" xr:uid="{00000000-0002-0000-3300-000001000000}">
      <formula1>"ja,nein"</formula1>
    </dataValidation>
    <dataValidation type="decimal" allowBlank="1" showInputMessage="1" showErrorMessage="1" errorTitle="Wassergehalt Getreide" error="Zulässig sind nur Werte zwischen 14,1 und 22,0 % Wassergehalt." sqref="H68 K68 N68" xr:uid="{00000000-0002-0000-3300-000002000000}">
      <formula1>14.1</formula1>
      <formula2>22</formula2>
    </dataValidation>
    <dataValidation type="whole" allowBlank="1" showInputMessage="1" showErrorMessage="1" errorTitle="Anteil Erntegut" error="Prozentwert darf nur zwischen 0 und 100 liegen." sqref="O68 L68 I68" xr:uid="{00000000-0002-0000-3300-000003000000}">
      <formula1>0</formula1>
      <formula2>100</formula2>
    </dataValidation>
    <dataValidation type="list" allowBlank="1" showInputMessage="1" showErrorMessage="1" errorTitle="Organisationsabh. Ausgleichsl." error="Bitte aus Dropdownliste auswählen." sqref="D19:F19" xr:uid="{00000000-0002-0000-3300-000004000000}">
      <formula1>$C$60:$C$75</formula1>
    </dataValidation>
  </dataValidations>
  <hyperlinks>
    <hyperlink ref="F9" location="'SDK1'!A1" display="Preis ändern" xr:uid="{00000000-0004-0000-3300-000000000000}"/>
  </hyperlinks>
  <printOptions horizontalCentered="1"/>
  <pageMargins left="0.59055118110236227" right="0.59055118110236227" top="0.59055118110236227" bottom="0.59055118110236227" header="0.39370078740157483" footer="0.39370078740157483"/>
  <pageSetup paperSize="9" scale="68" firstPageNumber="60" orientation="portrait" r:id="rId4"/>
  <headerFooter alignWithMargins="0">
    <oddFooter>&amp;L&amp;11LEL Schwäbisch Gmünd&amp;C73&amp;R&amp;11&amp;F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3300-000005000000}">
          <x14:formula1>
            <xm:f>'SD2'!$C$11:$C$50</xm:f>
          </x14:formula1>
          <xm:sqref>C14:F17</xm:sqref>
        </x14:dataValidation>
        <x14:dataValidation type="list" allowBlank="1" showInputMessage="1" showErrorMessage="1" errorTitle="Organisationsabh. Ausgleichsl." error="Bitte aus Dropdownliste auswählen." xr:uid="{00000000-0002-0000-3300-000006000000}">
          <x14:formula1>
            <xm:f>'SD2'!$C$60:$C$77</xm:f>
          </x14:formula1>
          <xm:sqref>C19:C21</xm:sqref>
        </x14:dataValidation>
        <x14:dataValidation type="list" allowBlank="1" showInputMessage="1" showErrorMessage="1" errorTitle="Arbeitsgänge" error="Bitte aus Dropdownliste auswählen." xr:uid="{00000000-0002-0000-3300-000007000000}">
          <x14:formula1>
            <xm:f>'SD3'!$C$23:$C$75</xm:f>
          </x14:formula1>
          <xm:sqref>C46:D57</xm:sqref>
        </x14:dataValidation>
        <x14:dataValidation type="list" allowBlank="1" showInputMessage="1" showErrorMessage="1" errorTitle="Lohnmaschinen" error="Bitte aus Dropdownliste auswählen." xr:uid="{00000000-0002-0000-3300-000008000000}">
          <x14:formula1>
            <xm:f>'SD3'!$C$90:$C$104</xm:f>
          </x14:formula1>
          <xm:sqref>C62:E64</xm:sqref>
        </x14:dataValidation>
        <x14:dataValidation type="list" allowBlank="1" showInputMessage="1" showErrorMessage="1" errorTitle="Pflanzenschutzmittel" error="Bitte aus Dropdownliste auswählen." xr:uid="{00000000-0002-0000-3300-000009000000}">
          <x14:formula1>
            <xm:f>'SDK5'!$AA$214:$AA$230</xm:f>
          </x14:formula1>
          <xm:sqref>C36:E36 C37:E37 C38:E38 C40:E40 C39:E39 C41:E42</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28">
    <tabColor rgb="FFFFFF00"/>
    <pageSetUpPr fitToPage="1"/>
  </sheetPr>
  <dimension ref="A1:AO218"/>
  <sheetViews>
    <sheetView workbookViewId="0">
      <selection activeCell="N50" sqref="N50"/>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6" width="10.5" style="31" hidden="1" customWidth="1"/>
    <col min="27" max="27" width="10.5" style="31" customWidth="1"/>
    <col min="28" max="16384" width="10.5" style="31"/>
  </cols>
  <sheetData>
    <row r="1" spans="1:41" s="1317" customFormat="1" ht="30.45" customHeight="1">
      <c r="A1" s="1209"/>
      <c r="B1" s="3586"/>
      <c r="C1" s="3586"/>
      <c r="D1" s="2109"/>
      <c r="E1" s="1249"/>
      <c r="F1" s="1249"/>
      <c r="G1" s="1041"/>
      <c r="H1" s="1328"/>
      <c r="I1" s="3212" t="s">
        <v>1679</v>
      </c>
      <c r="J1" s="3210">
        <f>(J7+J13+J18+J22)-(J23+J27+J34+J43+J60+J65+J67+J69+J71+J75)</f>
        <v>434.80911589018797</v>
      </c>
      <c r="K1" s="4360">
        <f>M1-J1</f>
        <v>323.16800643268084</v>
      </c>
      <c r="L1" s="4360"/>
      <c r="M1" s="3210">
        <f>(M7+M13+M18+M22)-(M23+M27+M34+M43+M60+M65+M67+M69+M71+M75)</f>
        <v>757.97712232286881</v>
      </c>
      <c r="N1" s="4360">
        <f>P1-M1</f>
        <v>325.43868160642023</v>
      </c>
      <c r="O1" s="4360"/>
      <c r="P1" s="3210">
        <f>(P7+P13+P18+P22)-(P23+P27+P34+P43+P60+P65+P67+P69+P71+P75)</f>
        <v>1083.415803929289</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C2" s="1321"/>
      <c r="H2" s="1328"/>
      <c r="K2" s="4372" t="s">
        <v>203</v>
      </c>
      <c r="L2" s="4372"/>
      <c r="M2" s="4372"/>
      <c r="N2" s="4372"/>
      <c r="O2" s="4372"/>
      <c r="P2" s="4372"/>
      <c r="Q2" s="1345">
        <v>0</v>
      </c>
      <c r="AB2" s="3229"/>
    </row>
    <row r="3" spans="1:41" s="1317" customFormat="1" ht="32.4" customHeight="1">
      <c r="A3" s="1321"/>
      <c r="B3" s="4405" t="s">
        <v>1727</v>
      </c>
      <c r="C3" s="4405"/>
      <c r="D3" s="4405"/>
      <c r="E3" s="4405"/>
      <c r="F3" s="4405"/>
      <c r="G3" s="4405"/>
      <c r="H3" s="4405"/>
      <c r="J3" s="4368" t="s">
        <v>886</v>
      </c>
      <c r="K3" s="4369"/>
      <c r="L3" s="4369"/>
      <c r="M3" s="1327"/>
      <c r="N3" s="4373" t="str">
        <f>IF(AND(T3=TRUE,T4=TRUE),"nur 1 Strohnutzung möglich","")</f>
        <v/>
      </c>
      <c r="O3" s="4374"/>
      <c r="P3" s="1326"/>
      <c r="Q3" s="1321"/>
      <c r="T3" s="1343" t="b">
        <v>1</v>
      </c>
    </row>
    <row r="4" spans="1:41" s="1317" customFormat="1" ht="20.25" customHeight="1">
      <c r="A4" s="1321"/>
      <c r="B4" s="309" t="s">
        <v>779</v>
      </c>
      <c r="C4" s="31"/>
      <c r="D4" s="31"/>
      <c r="E4" s="4406" t="s">
        <v>890</v>
      </c>
      <c r="F4" s="4406"/>
      <c r="G4" s="4406"/>
      <c r="H4" s="4406"/>
      <c r="I4" s="4406"/>
      <c r="J4" s="4368" t="s">
        <v>875</v>
      </c>
      <c r="K4" s="4369"/>
      <c r="L4" s="4369"/>
      <c r="M4" s="1323"/>
      <c r="N4" s="4374"/>
      <c r="O4" s="4374"/>
      <c r="P4" s="1322">
        <f>'SDK1'!O3</f>
        <v>2024</v>
      </c>
      <c r="Q4" s="1321"/>
      <c r="T4" s="1343" t="b">
        <v>0</v>
      </c>
      <c r="U4" s="1318"/>
    </row>
    <row r="5" spans="1:41" ht="6" customHeight="1"/>
    <row r="6" spans="1:41" s="1311" customFormat="1" ht="24" customHeight="1">
      <c r="A6" s="41"/>
      <c r="B6" s="1316" t="s">
        <v>832</v>
      </c>
      <c r="C6" s="1315"/>
      <c r="D6" s="1315"/>
      <c r="E6" s="1315"/>
      <c r="F6" s="1315"/>
      <c r="G6" s="1314"/>
      <c r="H6" s="4366" t="s">
        <v>171</v>
      </c>
      <c r="I6" s="4367"/>
      <c r="J6" s="1313">
        <f>M6*0.75</f>
        <v>54</v>
      </c>
      <c r="K6" s="4379" t="s">
        <v>144</v>
      </c>
      <c r="L6" s="4380"/>
      <c r="M6" s="1313">
        <v>72</v>
      </c>
      <c r="N6" s="4366" t="s">
        <v>170</v>
      </c>
      <c r="O6" s="4367"/>
      <c r="P6" s="1312">
        <f>M6*1.25</f>
        <v>90</v>
      </c>
      <c r="Q6" s="49"/>
    </row>
    <row r="7" spans="1:41" s="196" customFormat="1" ht="18.75" customHeight="1">
      <c r="A7" s="40"/>
      <c r="B7" s="245" t="s">
        <v>883</v>
      </c>
      <c r="C7" s="40"/>
      <c r="D7" s="40"/>
      <c r="E7" s="40"/>
      <c r="F7" s="40"/>
      <c r="G7" s="1310"/>
      <c r="H7" s="1307"/>
      <c r="I7" s="1306"/>
      <c r="J7" s="1041">
        <f>SUM(I9:I12)</f>
        <v>1569.24</v>
      </c>
      <c r="K7" s="1309"/>
      <c r="L7" s="1308"/>
      <c r="M7" s="1044">
        <f>SUM(L9:L12)</f>
        <v>2092.3199999999997</v>
      </c>
      <c r="N7" s="1307"/>
      <c r="O7" s="1306"/>
      <c r="P7" s="1041">
        <f>SUM(O9:O12)</f>
        <v>2615.4</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'SDK1'!O18</f>
        <v>20.5</v>
      </c>
      <c r="H9" s="1303">
        <f>J6-H10</f>
        <v>54</v>
      </c>
      <c r="I9" s="1299">
        <f>H9*G9</f>
        <v>1107</v>
      </c>
      <c r="J9" s="37"/>
      <c r="K9" s="1302">
        <f>M6-K10</f>
        <v>72</v>
      </c>
      <c r="L9" s="1301">
        <f>K9*G9</f>
        <v>1476</v>
      </c>
      <c r="M9" s="1280"/>
      <c r="N9" s="1300">
        <f>P6-N10</f>
        <v>90</v>
      </c>
      <c r="O9" s="1299">
        <f>N9*G9</f>
        <v>1845</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462.24</v>
      </c>
      <c r="S10" s="1288">
        <f>L10+L11+L12</f>
        <v>616.31999999999994</v>
      </c>
      <c r="T10" s="1287">
        <f>O10+O11+O12</f>
        <v>770.4</v>
      </c>
      <c r="W10" s="196" t="s">
        <v>879</v>
      </c>
    </row>
    <row r="11" spans="1:41" s="1268" customFormat="1" ht="15" customHeight="1">
      <c r="A11" s="309"/>
      <c r="B11" s="217"/>
      <c r="C11" s="39" t="s">
        <v>878</v>
      </c>
      <c r="D11" s="309"/>
      <c r="E11" s="1286">
        <v>0.8</v>
      </c>
      <c r="F11" s="39" t="s">
        <v>877</v>
      </c>
      <c r="G11" s="1285">
        <f>'SDK1'!$O$48</f>
        <v>10.7</v>
      </c>
      <c r="H11" s="3151">
        <f>IF(OR($T$3,$T$4)=TRUE,J6*$E$11,0)</f>
        <v>43.2</v>
      </c>
      <c r="I11" s="3152">
        <f>H11*$G$11</f>
        <v>462.24</v>
      </c>
      <c r="J11" s="3153"/>
      <c r="K11" s="3154">
        <f>IF(OR($T$3,$T$4)=TRUE,M6*$E$11,0)</f>
        <v>57.6</v>
      </c>
      <c r="L11" s="3155">
        <f>K11*$G$11</f>
        <v>616.31999999999994</v>
      </c>
      <c r="M11" s="3156"/>
      <c r="N11" s="3157">
        <f>IF(OR($T$3,$T$4)=TRUE,P6*$E$11,0)</f>
        <v>72</v>
      </c>
      <c r="O11" s="3152">
        <f>N11*$G$11</f>
        <v>770.4</v>
      </c>
      <c r="P11" s="3158"/>
      <c r="Q11" s="34"/>
      <c r="W11" s="1268" t="s">
        <v>876</v>
      </c>
    </row>
    <row r="12" spans="1:41" s="1268" customFormat="1" ht="15" hidden="1" customHeight="1">
      <c r="A12" s="309"/>
      <c r="B12" s="185"/>
      <c r="C12" s="223" t="s">
        <v>1651</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250"/>
      <c r="I13" s="1249"/>
      <c r="J13" s="1041">
        <f>SUM(I14:I17)</f>
        <v>0</v>
      </c>
      <c r="K13" s="1252"/>
      <c r="L13" s="1251"/>
      <c r="M13" s="1044">
        <f>SUM(L14:L17)</f>
        <v>0</v>
      </c>
      <c r="N13" s="1250"/>
      <c r="O13" s="1249"/>
      <c r="P13" s="1041">
        <f>SUM(O14:O17)</f>
        <v>0</v>
      </c>
      <c r="Q13" s="34"/>
      <c r="R13" s="1253"/>
      <c r="W13" s="1266" t="s">
        <v>872</v>
      </c>
      <c r="X13" s="1264">
        <f>IF(OR(T3=TRUE,T4=TRUE),J6*$E$11,"0")</f>
        <v>43.2</v>
      </c>
      <c r="Y13" s="1265">
        <f>IF(OR(T3=TRUE,T4=TRUE),M6*$E$11,"0")</f>
        <v>57.6</v>
      </c>
      <c r="Z13" s="1264">
        <f>IF(OR(T3=TRUE,T4=TRUE),P6*$E$11,"0")</f>
        <v>72</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17.279999999999998</v>
      </c>
      <c r="Y14" s="1260">
        <f>$Y$13*F30</f>
        <v>23.039999999999996</v>
      </c>
      <c r="Z14" s="1260">
        <f>$Z$13*F30</f>
        <v>28.799999999999994</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10.368</v>
      </c>
      <c r="Y15" s="1260">
        <f>$Y$13*F31</f>
        <v>13.824</v>
      </c>
      <c r="Z15" s="1260">
        <f>$Z$13*F31</f>
        <v>17.28</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48.384000000000007</v>
      </c>
      <c r="Y16" s="1260">
        <f>$Y$13*F32</f>
        <v>64.512000000000015</v>
      </c>
      <c r="Z16" s="1260">
        <f>$Z$13*F32</f>
        <v>80.640000000000015</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6.911999999999999</v>
      </c>
      <c r="Y17" s="1260">
        <f>$Y$13*F33</f>
        <v>9.2159999999999993</v>
      </c>
      <c r="Z17" s="1260">
        <f>$Z$13*F33</f>
        <v>11.519999999999998</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6" customHeight="1">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6" customHeight="1">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6" customHeight="1">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131.19999999999999</v>
      </c>
      <c r="K23" s="1046"/>
      <c r="L23" s="1045"/>
      <c r="M23" s="1227">
        <f>SUM(L25:L26)</f>
        <v>131.19999999999999</v>
      </c>
      <c r="N23" s="1043"/>
      <c r="O23" s="1042"/>
      <c r="P23" s="1026">
        <f>SUM(O25:O26)</f>
        <v>131.19999999999999</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'SDK7'!F47/100</f>
        <v>0.82</v>
      </c>
      <c r="G25" s="1221">
        <f>F25*(100+$D$24)/100</f>
        <v>0.82</v>
      </c>
      <c r="H25" s="1220">
        <v>160</v>
      </c>
      <c r="I25" s="1181">
        <f>H25*$G25</f>
        <v>131.19999999999999</v>
      </c>
      <c r="J25" s="39"/>
      <c r="K25" s="1220">
        <f>H25</f>
        <v>160</v>
      </c>
      <c r="L25" s="1023">
        <f>K25*$G25</f>
        <v>131.19999999999999</v>
      </c>
      <c r="M25" s="1016"/>
      <c r="N25" s="1220">
        <f>H25</f>
        <v>160</v>
      </c>
      <c r="O25" s="1181">
        <f>N25*$G25</f>
        <v>131.19999999999999</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324.20956000000001</v>
      </c>
      <c r="K27" s="1175"/>
      <c r="L27" s="1174"/>
      <c r="M27" s="1044">
        <f>SUM(L30:L32)</f>
        <v>424.34607999999997</v>
      </c>
      <c r="N27" s="1173"/>
      <c r="O27" s="1172"/>
      <c r="P27" s="1041">
        <f>SUM(O30:O32)</f>
        <v>524.48260000000005</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2.11</v>
      </c>
      <c r="F30" s="1201">
        <f>VLOOKUP(K2,'SD8'!B9:L42,7,FALSE)</f>
        <v>0.39999999999999991</v>
      </c>
      <c r="G30" s="1200">
        <v>20</v>
      </c>
      <c r="H30" s="1198">
        <f>IF(J$6=0,0,(J$6*$E30+$G30+X14))</f>
        <v>151.22</v>
      </c>
      <c r="I30" s="1181">
        <f>H30*$D30</f>
        <v>179.95179999999999</v>
      </c>
      <c r="J30" s="39"/>
      <c r="K30" s="1199">
        <f>IF(M$6=0,0,(M$6*$E30+$G30+Y14))</f>
        <v>194.95999999999998</v>
      </c>
      <c r="L30" s="1023">
        <f>K30*$D30</f>
        <v>232.00239999999997</v>
      </c>
      <c r="M30" s="1016"/>
      <c r="N30" s="1198">
        <f>IF(P$6=0,0,(P$6*$E30+$G30+Z14))</f>
        <v>238.69999999999996</v>
      </c>
      <c r="O30" s="1181">
        <f>N30*$D30</f>
        <v>284.05299999999994</v>
      </c>
      <c r="P30" s="1145"/>
      <c r="Q30" s="34"/>
    </row>
    <row r="31" spans="1:26" s="36" customFormat="1" ht="15" customHeight="1">
      <c r="A31" s="746"/>
      <c r="B31" s="217"/>
      <c r="C31" s="746" t="s">
        <v>234</v>
      </c>
      <c r="D31" s="1150">
        <f>'SDK1'!O53</f>
        <v>1.2</v>
      </c>
      <c r="E31" s="1201">
        <f>VLOOKUP(K2,'SD8'!B9:L42,4,FALSE)</f>
        <v>0.8</v>
      </c>
      <c r="F31" s="1201">
        <f>VLOOKUP(K2,'SD8'!B9:L42,8,FALSE)</f>
        <v>0.24</v>
      </c>
      <c r="G31" s="1200"/>
      <c r="H31" s="1198">
        <f>IF(J$6=0,0,(J$6*$E31+$G31+X15))</f>
        <v>53.568000000000005</v>
      </c>
      <c r="I31" s="1181">
        <f>H31*$D31</f>
        <v>64.281599999999997</v>
      </c>
      <c r="J31" s="39"/>
      <c r="K31" s="1199">
        <f>IF(M$6=0,0,(M$6*$E31+$G31+Y15))</f>
        <v>71.424000000000007</v>
      </c>
      <c r="L31" s="1023">
        <f>K31*$D31</f>
        <v>85.708800000000011</v>
      </c>
      <c r="M31" s="1016"/>
      <c r="N31" s="1198">
        <f>IF(P$6=0,0,(P$6*$E31+$G31+Z15))</f>
        <v>89.28</v>
      </c>
      <c r="O31" s="1181">
        <f>N31*$D31</f>
        <v>107.136</v>
      </c>
      <c r="P31" s="1145"/>
      <c r="Q31" s="34"/>
    </row>
    <row r="32" spans="1:26" s="36" customFormat="1" ht="15" customHeight="1">
      <c r="A32" s="746"/>
      <c r="B32" s="185"/>
      <c r="C32" s="2791" t="s">
        <v>232</v>
      </c>
      <c r="D32" s="1133">
        <f>'SDK1'!O54</f>
        <v>0.99</v>
      </c>
      <c r="E32" s="1197">
        <f>VLOOKUP(K2,'SD8'!B9:L42,5,FALSE)</f>
        <v>0.6</v>
      </c>
      <c r="F32" s="1197">
        <f>VLOOKUP(K2,'SD8'!B9:L42,9,FALSE)</f>
        <v>1.1200000000000001</v>
      </c>
      <c r="G32" s="1196"/>
      <c r="H32" s="1194">
        <f>IF(J$6=0,0,(J$6*$E32+$G32+X16))</f>
        <v>80.784000000000006</v>
      </c>
      <c r="I32" s="1177">
        <f>H32*$D32</f>
        <v>79.976160000000007</v>
      </c>
      <c r="J32" s="223"/>
      <c r="K32" s="1195">
        <f>IF(M$6=0,0,(M$6*$E32+$G32+Y16))</f>
        <v>107.71200000000002</v>
      </c>
      <c r="L32" s="1017">
        <f>K32*$D32</f>
        <v>106.63488000000001</v>
      </c>
      <c r="M32" s="1256"/>
      <c r="N32" s="1194">
        <f>IF(P$6=0,0,(P$6*$E32+$G32+Z16))</f>
        <v>134.64000000000001</v>
      </c>
      <c r="O32" s="1177">
        <f>N32*$D32</f>
        <v>133.29360000000003</v>
      </c>
      <c r="P32" s="1176"/>
      <c r="Q32" s="34"/>
    </row>
    <row r="33" spans="1:17" s="36" customFormat="1" ht="15" hidden="1" customHeight="1">
      <c r="A33" s="746"/>
      <c r="B33" s="185"/>
      <c r="C33" s="771" t="s">
        <v>230</v>
      </c>
      <c r="D33" s="1133">
        <f>'SDK1'!P55</f>
        <v>0.45</v>
      </c>
      <c r="E33" s="1197">
        <f>VLOOKUP(K2,'SD8'!B9:L42,6,FALSE)</f>
        <v>0.2</v>
      </c>
      <c r="F33" s="1197">
        <f>VLOOKUP(K2,'SD8'!B9:L42,10,FALSE)</f>
        <v>0.15999999999999998</v>
      </c>
      <c r="G33" s="1196"/>
      <c r="H33" s="1194">
        <f>IF(J$6=0,0,(J$6*$E33+$G33+X17))</f>
        <v>17.712</v>
      </c>
      <c r="I33" s="1177">
        <f>H33*$D33</f>
        <v>7.9703999999999997</v>
      </c>
      <c r="J33" s="39"/>
      <c r="K33" s="1195">
        <f>IF(M$6=0,0,(M$6*$E33+$G33+Y17))</f>
        <v>23.616</v>
      </c>
      <c r="L33" s="1017">
        <f>K33*$D33</f>
        <v>10.6272</v>
      </c>
      <c r="M33" s="1016"/>
      <c r="N33" s="1194">
        <f>IF(P$6=0,0,(P$6*$E33+$G33+Z17))</f>
        <v>29.519999999999996</v>
      </c>
      <c r="O33" s="1177">
        <f>N33*$D33</f>
        <v>13.283999999999999</v>
      </c>
      <c r="P33" s="1176"/>
      <c r="Q33" s="34"/>
    </row>
    <row r="34" spans="1:17" s="511" customFormat="1" ht="18.75" customHeight="1">
      <c r="A34" s="711"/>
      <c r="B34" s="716" t="s">
        <v>859</v>
      </c>
      <c r="C34" s="711"/>
      <c r="D34" s="33"/>
      <c r="E34" s="33"/>
      <c r="F34" s="4381" t="s">
        <v>858</v>
      </c>
      <c r="G34" s="4382"/>
      <c r="H34" s="1191"/>
      <c r="I34" s="1190"/>
      <c r="J34" s="1041">
        <f>SUM(I36:I42)</f>
        <v>236.51999999999998</v>
      </c>
      <c r="K34" s="1193"/>
      <c r="L34" s="1192"/>
      <c r="M34" s="1044">
        <f>SUM(L36:L42)</f>
        <v>240.92000000000002</v>
      </c>
      <c r="N34" s="1191"/>
      <c r="O34" s="1190"/>
      <c r="P34" s="1041">
        <f>SUM(O36:O42)</f>
        <v>240.92000000000002</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534</v>
      </c>
      <c r="D36" s="4389"/>
      <c r="E36" s="4390"/>
      <c r="F36" s="1183">
        <f>IF(C36="",0,VLOOKUP(C36,'SDK5'!C3:AF83,2,FALSE))</f>
        <v>306</v>
      </c>
      <c r="G36" s="1183">
        <f t="shared" ref="G36:G42" si="0">F36*(100+$D$35)/100</f>
        <v>306</v>
      </c>
      <c r="H36" s="1182">
        <v>0.22</v>
      </c>
      <c r="I36" s="1181">
        <f t="shared" ref="I36:I42" si="1">$G36*H36</f>
        <v>67.320000000000007</v>
      </c>
      <c r="J36" s="39"/>
      <c r="K36" s="1182">
        <v>0.22</v>
      </c>
      <c r="L36" s="1023">
        <f t="shared" ref="L36:L42" si="2">$G36*K36</f>
        <v>67.320000000000007</v>
      </c>
      <c r="M36" s="1016"/>
      <c r="N36" s="1182">
        <v>0.22</v>
      </c>
      <c r="O36" s="1181">
        <f t="shared" ref="O36:O42" si="3">$G36*N36</f>
        <v>67.320000000000007</v>
      </c>
      <c r="P36" s="1185"/>
      <c r="Q36" s="34"/>
    </row>
    <row r="37" spans="1:17" s="36" customFormat="1" ht="15" customHeight="1">
      <c r="A37" s="746"/>
      <c r="B37" s="1021"/>
      <c r="C37" s="4375" t="s">
        <v>528</v>
      </c>
      <c r="D37" s="4375"/>
      <c r="E37" s="4376"/>
      <c r="F37" s="1183">
        <f>IF(C37="",0,VLOOKUP(C37,'SDK5'!C4:AF84,2,FALSE))</f>
        <v>5.5</v>
      </c>
      <c r="G37" s="1183">
        <f t="shared" si="0"/>
        <v>5.5</v>
      </c>
      <c r="H37" s="1182"/>
      <c r="I37" s="1181">
        <f t="shared" si="1"/>
        <v>0</v>
      </c>
      <c r="J37" s="39"/>
      <c r="K37" s="1182">
        <v>0.8</v>
      </c>
      <c r="L37" s="1023">
        <f t="shared" si="2"/>
        <v>4.4000000000000004</v>
      </c>
      <c r="M37" s="1016"/>
      <c r="N37" s="1182">
        <v>0.8</v>
      </c>
      <c r="O37" s="1181">
        <f t="shared" si="3"/>
        <v>4.4000000000000004</v>
      </c>
      <c r="P37" s="1145"/>
      <c r="Q37" s="34"/>
    </row>
    <row r="38" spans="1:17" s="36" customFormat="1" ht="15" customHeight="1">
      <c r="A38" s="746"/>
      <c r="B38" s="1184"/>
      <c r="C38" s="4375" t="s">
        <v>1482</v>
      </c>
      <c r="D38" s="4375"/>
      <c r="E38" s="4376"/>
      <c r="F38" s="1183">
        <f>IF(C38="",0,VLOOKUP(C38,'SDK5'!C5:AF85,2,FALSE))</f>
        <v>71.8</v>
      </c>
      <c r="G38" s="1183">
        <f t="shared" si="0"/>
        <v>71.8</v>
      </c>
      <c r="H38" s="1182">
        <v>1.5</v>
      </c>
      <c r="I38" s="1181">
        <f t="shared" si="1"/>
        <v>107.69999999999999</v>
      </c>
      <c r="J38" s="39"/>
      <c r="K38" s="1182">
        <v>1.5</v>
      </c>
      <c r="L38" s="1023">
        <f t="shared" si="2"/>
        <v>107.69999999999999</v>
      </c>
      <c r="M38" s="1016"/>
      <c r="N38" s="1182">
        <v>1.5</v>
      </c>
      <c r="O38" s="1181">
        <f t="shared" si="3"/>
        <v>107.69999999999999</v>
      </c>
      <c r="P38" s="1145"/>
      <c r="Q38" s="34"/>
    </row>
    <row r="39" spans="1:17" s="36" customFormat="1" ht="15" customHeight="1">
      <c r="A39" s="746"/>
      <c r="B39" s="1021"/>
      <c r="C39" s="4375" t="s">
        <v>497</v>
      </c>
      <c r="D39" s="4375"/>
      <c r="E39" s="4376"/>
      <c r="F39" s="1183">
        <f>IF(C39="",0,VLOOKUP(C39,'SDK5'!C6:AF86,2,FALSE))</f>
        <v>61.5</v>
      </c>
      <c r="G39" s="1183">
        <f t="shared" si="0"/>
        <v>61.5</v>
      </c>
      <c r="H39" s="1182">
        <v>1</v>
      </c>
      <c r="I39" s="1181">
        <f t="shared" si="1"/>
        <v>61.5</v>
      </c>
      <c r="J39" s="39"/>
      <c r="K39" s="1182">
        <v>1</v>
      </c>
      <c r="L39" s="1023">
        <f t="shared" si="2"/>
        <v>61.5</v>
      </c>
      <c r="M39" s="1016"/>
      <c r="N39" s="1182">
        <v>1</v>
      </c>
      <c r="O39" s="1181">
        <f t="shared" si="3"/>
        <v>61.5</v>
      </c>
      <c r="P39" s="1145"/>
      <c r="Q39" s="34"/>
    </row>
    <row r="40" spans="1:17" s="36" customFormat="1" ht="15" customHeight="1">
      <c r="A40" s="746"/>
      <c r="B40" s="1021"/>
      <c r="C40" s="4375" t="s">
        <v>311</v>
      </c>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t="s">
        <v>311</v>
      </c>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t="s">
        <v>311</v>
      </c>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189.5248989553333</v>
      </c>
      <c r="K43" s="1175"/>
      <c r="L43" s="1174"/>
      <c r="M43" s="1044">
        <f>SUM(M46:M57)</f>
        <v>202.81068238266667</v>
      </c>
      <c r="N43" s="1173"/>
      <c r="O43" s="1172"/>
      <c r="P43" s="1041">
        <f>SUM(P46:P57)</f>
        <v>218.25197634666659</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55">
        <v>1</v>
      </c>
      <c r="I46" s="1154">
        <f t="shared" ref="I46:I57" si="4">$F46*H46</f>
        <v>1.38</v>
      </c>
      <c r="J46" s="1145">
        <f t="shared" ref="J46:J57" si="5">H46*$G46</f>
        <v>64.642445999999993</v>
      </c>
      <c r="K46" s="1155">
        <v>1</v>
      </c>
      <c r="L46" s="1156">
        <f t="shared" ref="L46:L57" si="6">$F46*K46</f>
        <v>1.38</v>
      </c>
      <c r="M46" s="1148">
        <f t="shared" ref="M46:M57" si="7">K46*$G46</f>
        <v>64.642445999999993</v>
      </c>
      <c r="N46" s="1155">
        <v>1</v>
      </c>
      <c r="O46" s="1154">
        <f t="shared" ref="O46:O57" si="8">$F46*N46</f>
        <v>1.38</v>
      </c>
      <c r="P46" s="1145">
        <f t="shared" ref="P46:P57" si="9">N46*$G46</f>
        <v>64.642445999999993</v>
      </c>
      <c r="Q46" s="34">
        <f>$Q$2*H46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346</v>
      </c>
      <c r="D48" s="4388"/>
      <c r="E48" s="1152">
        <f>IF($C48=0,0,VLOOKUP($C48,'SD3'!$C$24:$O$85,4,FALSE))</f>
        <v>83</v>
      </c>
      <c r="F48" s="1151">
        <f>IF($C48=0,0,VLOOKUP($C48,'SD3'!$C$24:$O$85,12,FALSE))</f>
        <v>0.16</v>
      </c>
      <c r="G48" s="1150">
        <f>IF($C48=0,0,VLOOKUP($C48,'SD3'!$C$24:$O$85,13,FALSE))</f>
        <v>3.7403892799999996</v>
      </c>
      <c r="H48" s="1147">
        <v>2</v>
      </c>
      <c r="I48" s="1146">
        <f t="shared" si="4"/>
        <v>0.32</v>
      </c>
      <c r="J48" s="1145">
        <f t="shared" si="5"/>
        <v>7.4807785599999992</v>
      </c>
      <c r="K48" s="1147">
        <v>3</v>
      </c>
      <c r="L48" s="1149">
        <f t="shared" si="6"/>
        <v>0.48</v>
      </c>
      <c r="M48" s="1148">
        <f t="shared" si="7"/>
        <v>11.22116784</v>
      </c>
      <c r="N48" s="1147">
        <v>4</v>
      </c>
      <c r="O48" s="1146">
        <f t="shared" si="8"/>
        <v>0.64</v>
      </c>
      <c r="P48" s="1145">
        <f t="shared" si="9"/>
        <v>14.961557119999998</v>
      </c>
      <c r="Q48" s="34"/>
    </row>
    <row r="49" spans="1:17" s="36" customFormat="1" ht="15" customHeight="1">
      <c r="A49" s="746"/>
      <c r="B49" s="1153"/>
      <c r="C49" s="4387" t="s">
        <v>1591</v>
      </c>
      <c r="D49" s="4388"/>
      <c r="E49" s="1152">
        <f>IF($C49=0,0,VLOOKUP($C49,'SD3'!$C$24:$O$85,4,FALSE))</f>
        <v>83</v>
      </c>
      <c r="F49" s="1151">
        <f>IF($C49=0,0,VLOOKUP($C49,'SD3'!$C$24:$O$85,12,FALSE))</f>
        <v>0.22</v>
      </c>
      <c r="G49" s="1150">
        <f>IF($C49=0,0,VLOOKUP($C49,'SD3'!$C$24:$O$85,13,FALSE))</f>
        <v>6.6430352599999996</v>
      </c>
      <c r="H49" s="1147">
        <v>3</v>
      </c>
      <c r="I49" s="1146">
        <f t="shared" si="4"/>
        <v>0.66</v>
      </c>
      <c r="J49" s="1145">
        <f t="shared" si="5"/>
        <v>19.92910578</v>
      </c>
      <c r="K49" s="1147">
        <v>3</v>
      </c>
      <c r="L49" s="1149">
        <f t="shared" si="6"/>
        <v>0.66</v>
      </c>
      <c r="M49" s="1148">
        <f t="shared" si="7"/>
        <v>19.92910578</v>
      </c>
      <c r="N49" s="1147">
        <v>3</v>
      </c>
      <c r="O49" s="1146">
        <f t="shared" si="8"/>
        <v>0.66</v>
      </c>
      <c r="P49" s="1145">
        <f t="shared" si="9"/>
        <v>19.92910578</v>
      </c>
      <c r="Q49" s="34"/>
    </row>
    <row r="50" spans="1:17" s="36" customFormat="1" ht="15" customHeight="1">
      <c r="A50" s="746"/>
      <c r="B50" s="1153"/>
      <c r="C50" s="4403" t="s">
        <v>1748</v>
      </c>
      <c r="D50" s="4404"/>
      <c r="E50" s="1152">
        <f>IF($C50=0,0,VLOOKUP($C50,'SD3'!$C$24:$O$85,4,FALSE))</f>
        <v>120</v>
      </c>
      <c r="F50" s="1151">
        <f>IF($C50=0,0,VLOOKUP($C50,'SD3'!$C$24:$O$85,12,FALSE))</f>
        <v>0.37</v>
      </c>
      <c r="G50" s="1150">
        <f>IF($C50=0,0,VLOOKUP($C50,'SD3'!$C$24:$O$85,13,FALSE))</f>
        <v>11.7573302</v>
      </c>
      <c r="H50" s="3654">
        <f>55/60</f>
        <v>0.91666666666666663</v>
      </c>
      <c r="I50" s="1146">
        <f t="shared" si="4"/>
        <v>0.33916666666666667</v>
      </c>
      <c r="J50" s="1145">
        <f t="shared" si="5"/>
        <v>10.777552683333333</v>
      </c>
      <c r="K50" s="3654">
        <f>70/75</f>
        <v>0.93333333333333335</v>
      </c>
      <c r="L50" s="1149">
        <f t="shared" si="6"/>
        <v>0.34533333333333333</v>
      </c>
      <c r="M50" s="1148">
        <f t="shared" si="7"/>
        <v>10.973508186666667</v>
      </c>
      <c r="N50" s="3654">
        <f>85/75</f>
        <v>1.1333333333333333</v>
      </c>
      <c r="O50" s="1146">
        <f t="shared" si="8"/>
        <v>0.41933333333333334</v>
      </c>
      <c r="P50" s="1145">
        <f t="shared" si="9"/>
        <v>13.324974226666667</v>
      </c>
      <c r="Q50" s="34"/>
    </row>
    <row r="51" spans="1:17" s="36" customFormat="1" ht="15" customHeight="1">
      <c r="A51" s="746"/>
      <c r="B51" s="1153"/>
      <c r="C51" s="4387" t="s">
        <v>360</v>
      </c>
      <c r="D51" s="4388"/>
      <c r="E51" s="1152">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IF($T$4=TRUE,0,H11/40)</f>
        <v>1.08</v>
      </c>
      <c r="I57" s="1130">
        <f t="shared" si="4"/>
        <v>1.4040000000000001</v>
      </c>
      <c r="J57" s="1129">
        <f t="shared" si="5"/>
        <v>28.048315931999994</v>
      </c>
      <c r="K57" s="1131">
        <f>IF($T$4=TRUE,0,K11/40)</f>
        <v>1.44</v>
      </c>
      <c r="L57" s="1132">
        <f t="shared" si="6"/>
        <v>1.8719999999999999</v>
      </c>
      <c r="M57" s="1079">
        <f t="shared" si="7"/>
        <v>37.39775457599999</v>
      </c>
      <c r="N57" s="1131">
        <f>IF($T$4=TRUE,0,N11/40)</f>
        <v>1.8</v>
      </c>
      <c r="O57" s="1130">
        <f t="shared" si="8"/>
        <v>2.3400000000000003</v>
      </c>
      <c r="P57" s="1129">
        <f t="shared" si="9"/>
        <v>46.747193219999993</v>
      </c>
      <c r="Q57" s="34"/>
    </row>
    <row r="58" spans="1:17" s="46" customFormat="1" ht="18.75" customHeight="1">
      <c r="A58" s="811"/>
      <c r="B58" s="716" t="s">
        <v>848</v>
      </c>
      <c r="C58" s="811"/>
      <c r="D58" s="811"/>
      <c r="E58" s="811"/>
      <c r="F58" s="34"/>
      <c r="G58" s="1047"/>
      <c r="H58" s="1124"/>
      <c r="I58" s="1123">
        <f>SUM($I$46:$I$57)</f>
        <v>5.6031666666666666</v>
      </c>
      <c r="J58" s="1128"/>
      <c r="K58" s="1127"/>
      <c r="L58" s="1126">
        <f>SUM($L$46:$L$57)</f>
        <v>6.2373333333333338</v>
      </c>
      <c r="M58" s="1125"/>
      <c r="N58" s="1124"/>
      <c r="O58" s="1123">
        <f>SUM($O$46:$O$57)</f>
        <v>6.9393333333333338</v>
      </c>
      <c r="P58" s="1122"/>
      <c r="Q58" s="34"/>
    </row>
    <row r="59" spans="1:17" s="46" customFormat="1" ht="15" customHeight="1">
      <c r="A59" s="811"/>
      <c r="B59" s="1121"/>
      <c r="C59" s="285"/>
      <c r="D59" s="222" t="s">
        <v>847</v>
      </c>
      <c r="E59" s="1120">
        <v>80</v>
      </c>
      <c r="F59" s="285" t="s">
        <v>846</v>
      </c>
      <c r="G59" s="1119"/>
      <c r="H59" s="1115"/>
      <c r="I59" s="1114">
        <f>IF(I58+SUM($I$46:$I$57)*$E$59%&gt;I58+10,I58+10,I58+SUM($I$46:$I$57)*$E$59%)</f>
        <v>10.085699999999999</v>
      </c>
      <c r="J59" s="1113"/>
      <c r="K59" s="1118"/>
      <c r="L59" s="1117">
        <f>IF(L58+SUM($L$46:$L$57)*$E$59%&gt;L58+10,L58+10,L58+SUM($L$46:$L$57)*$E$59%)</f>
        <v>11.227200000000002</v>
      </c>
      <c r="M59" s="1116"/>
      <c r="N59" s="1115"/>
      <c r="O59" s="1114">
        <f>IF(O58+SUM($O$46:$O$57)*$E$59%&gt;O58+10,O58+10,O58+SUM($O$46:$O$57)*$E$59%)</f>
        <v>12.4908</v>
      </c>
      <c r="P59" s="1113"/>
      <c r="Q59" s="34"/>
    </row>
    <row r="60" spans="1:17" s="36" customFormat="1" ht="18.75" customHeight="1">
      <c r="A60" s="746"/>
      <c r="B60" s="716" t="s">
        <v>845</v>
      </c>
      <c r="C60" s="811"/>
      <c r="D60" s="811"/>
      <c r="E60" s="39"/>
      <c r="F60" s="39"/>
      <c r="G60" s="1112"/>
      <c r="H60" s="1104"/>
      <c r="I60" s="1103"/>
      <c r="J60" s="1111">
        <f>IF(J6=0,0,SUM(I62:I64))</f>
        <v>318.06</v>
      </c>
      <c r="K60" s="1107"/>
      <c r="L60" s="1106"/>
      <c r="M60" s="1044">
        <f>IF(M6=0,0,SUM(L62:L64))</f>
        <v>365.58</v>
      </c>
      <c r="N60" s="1104"/>
      <c r="O60" s="1103"/>
      <c r="P60" s="1111">
        <f>IF(P6=0,0,SUM(O62:O64))</f>
        <v>413.1</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296</v>
      </c>
      <c r="D62" s="4365"/>
      <c r="E62" s="4365"/>
      <c r="F62" s="1101">
        <f>IF($C62=0,0,VLOOKUP($C62,'SD3'!$C$90:$D$104,2,FALSE))</f>
        <v>175.5</v>
      </c>
      <c r="G62" s="1100">
        <f>(100+$D$61)/100*F62</f>
        <v>175.5</v>
      </c>
      <c r="H62" s="173"/>
      <c r="I62" s="1096">
        <f>$G$62</f>
        <v>175.5</v>
      </c>
      <c r="J62" s="173"/>
      <c r="K62" s="1099"/>
      <c r="L62" s="1098">
        <f>$G$62</f>
        <v>175.5</v>
      </c>
      <c r="M62" s="1016"/>
      <c r="N62" s="1097"/>
      <c r="O62" s="1096">
        <f>$G$62</f>
        <v>175.5</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3.3</v>
      </c>
      <c r="G64" s="1082">
        <f>(100+$D$61)/100*F64</f>
        <v>3.3</v>
      </c>
      <c r="H64" s="1078"/>
      <c r="I64" s="1077">
        <f>H11*$G$64</f>
        <v>142.56</v>
      </c>
      <c r="J64" s="173"/>
      <c r="K64" s="1081"/>
      <c r="L64" s="1080">
        <f>K11*$G$64</f>
        <v>190.07999999999998</v>
      </c>
      <c r="M64" s="1079"/>
      <c r="N64" s="1078"/>
      <c r="O64" s="1077">
        <f>N11*$G$64</f>
        <v>237.6</v>
      </c>
      <c r="P64" s="1076"/>
      <c r="Q64" s="34"/>
    </row>
    <row r="65" spans="1:20" s="511" customFormat="1" ht="18.75" customHeight="1">
      <c r="A65" s="711"/>
      <c r="B65" s="716" t="s">
        <v>844</v>
      </c>
      <c r="C65" s="711"/>
      <c r="D65" s="711"/>
      <c r="E65" s="711"/>
      <c r="F65" s="34"/>
      <c r="G65" s="1047"/>
      <c r="H65" s="385"/>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71.684999999999988</v>
      </c>
      <c r="K67" s="1068" t="s">
        <v>842</v>
      </c>
      <c r="L67" s="1067" t="s">
        <v>841</v>
      </c>
      <c r="M67" s="1044">
        <f>S68*(K9+K10)*L68%+F68</f>
        <v>95.579999999999984</v>
      </c>
      <c r="N67" s="1066" t="s">
        <v>842</v>
      </c>
      <c r="O67" s="1065" t="s">
        <v>841</v>
      </c>
      <c r="P67" s="1041">
        <f>T68*(N9+N10)*O68%+F68</f>
        <v>119.47499999999997</v>
      </c>
      <c r="Q67" s="34"/>
    </row>
    <row r="68" spans="1:20" s="511" customFormat="1" ht="15" customHeight="1">
      <c r="A68" s="711"/>
      <c r="B68" s="1064"/>
      <c r="C68" s="4393" t="s">
        <v>564</v>
      </c>
      <c r="D68" s="4393"/>
      <c r="E68" s="4393"/>
      <c r="F68" s="1063">
        <v>0</v>
      </c>
      <c r="G68" s="1054" t="s">
        <v>163</v>
      </c>
      <c r="H68" s="1061">
        <v>16</v>
      </c>
      <c r="I68" s="1060">
        <v>50</v>
      </c>
      <c r="J68" s="1059"/>
      <c r="K68" s="1061">
        <v>16</v>
      </c>
      <c r="L68" s="1060">
        <v>50</v>
      </c>
      <c r="M68" s="1062"/>
      <c r="N68" s="1061">
        <v>16</v>
      </c>
      <c r="O68" s="1060">
        <v>50</v>
      </c>
      <c r="P68" s="1059"/>
      <c r="Q68" s="34"/>
      <c r="R68" s="1058">
        <f>IF($H$68=0,0,VLOOKUP($H$68,'SD6'!B8:C151,'SD6'!C1,FALSE))*(1+'SDK1'!O11/100)</f>
        <v>2.6549999999999994</v>
      </c>
      <c r="S68" s="1058">
        <f>IF($K$68=0,0,VLOOKUP($K$68,'SD6'!B8:C151,'SD6'!C1,FALSE))*(1+'SDK1'!O11/100)</f>
        <v>2.6549999999999994</v>
      </c>
      <c r="T68" s="1058">
        <f>IF($N$68=0,0,VLOOKUP($N$68,'SD6'!B8:C151,'SD6'!C1,FALSE))*(1+'SDK1'!O11/100)</f>
        <v>2.6549999999999994</v>
      </c>
    </row>
    <row r="69" spans="1:20" s="511" customFormat="1" ht="18.75" customHeight="1">
      <c r="A69" s="711"/>
      <c r="B69" s="716" t="s">
        <v>839</v>
      </c>
      <c r="C69" s="711"/>
      <c r="D69" s="711"/>
      <c r="E69" s="34"/>
      <c r="F69" s="34"/>
      <c r="G69" s="1047"/>
      <c r="H69" s="38"/>
      <c r="I69" s="51"/>
      <c r="J69" s="1041">
        <f>H70*$F70/1000</f>
        <v>25.107839999999999</v>
      </c>
      <c r="K69" s="1057"/>
      <c r="L69" s="1056"/>
      <c r="M69" s="1044">
        <f>K70*$F70/1000</f>
        <v>33.477119999999992</v>
      </c>
      <c r="N69" s="38"/>
      <c r="O69" s="51"/>
      <c r="P69" s="1041">
        <f>N70*$F70/1000</f>
        <v>41.846400000000003</v>
      </c>
      <c r="Q69" s="34"/>
    </row>
    <row r="70" spans="1:20" s="511" customFormat="1" ht="15" customHeight="1">
      <c r="A70" s="711"/>
      <c r="B70" s="772"/>
      <c r="C70" s="771" t="s">
        <v>606</v>
      </c>
      <c r="D70" s="285"/>
      <c r="E70" s="222"/>
      <c r="F70" s="3742">
        <f>'SDK7'!G101</f>
        <v>16</v>
      </c>
      <c r="G70" s="1054" t="s">
        <v>163</v>
      </c>
      <c r="H70" s="1357">
        <f>J7</f>
        <v>1569.24</v>
      </c>
      <c r="I70" s="1049"/>
      <c r="J70" s="1048"/>
      <c r="K70" s="1053">
        <f>M7</f>
        <v>2092.3199999999997</v>
      </c>
      <c r="L70" s="1052"/>
      <c r="M70" s="1051"/>
      <c r="N70" s="1357">
        <f>P7</f>
        <v>2615.4</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3470"/>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7</v>
      </c>
      <c r="H75" s="1007"/>
      <c r="I75" s="1008"/>
      <c r="J75" s="1005">
        <f>(J23+J27+J34+J43+J60+J65+J67+J69+J71)*('SDK1'!$O$59%*$G$75/12)</f>
        <v>15.123585154478889</v>
      </c>
      <c r="K75" s="513"/>
      <c r="L75" s="522"/>
      <c r="M75" s="1005">
        <f>(M23+M27+M34+M43+M60+M65+M67+M69+M71)*('SDK1'!$O$59%*$G$75/12)</f>
        <v>17.428995294464443</v>
      </c>
      <c r="N75" s="1007"/>
      <c r="O75" s="1006"/>
      <c r="P75" s="1005">
        <f>(P23+P27+P34+P43+P60+P65+P67+P69+P71)*('SDK1'!$O$59%*$G$75/12)</f>
        <v>19.708219724044444</v>
      </c>
      <c r="Q75" s="34"/>
    </row>
    <row r="77" spans="1:20" ht="12.6" customHeight="1"/>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D150" s="12"/>
      <c r="F150" s="12"/>
      <c r="G150" s="12"/>
      <c r="H150" s="12"/>
      <c r="I150" s="12"/>
      <c r="J150" s="12"/>
      <c r="K150" s="12"/>
      <c r="M150" s="31"/>
      <c r="N150" s="31"/>
      <c r="O150" s="31"/>
      <c r="P150" s="31"/>
      <c r="Q150" s="31"/>
    </row>
    <row r="151" spans="1:17">
      <c r="A151" s="31"/>
      <c r="B151" s="441"/>
      <c r="C151" s="12"/>
      <c r="D151" s="12"/>
      <c r="F151" s="12"/>
      <c r="G151" s="12"/>
      <c r="H151" s="12"/>
      <c r="I151" s="12"/>
      <c r="J151" s="12"/>
      <c r="K151" s="12"/>
      <c r="M151" s="31"/>
      <c r="N151" s="31"/>
      <c r="O151" s="31"/>
      <c r="P151" s="31"/>
      <c r="Q151" s="31"/>
    </row>
    <row r="152" spans="1:17">
      <c r="A152" s="31"/>
      <c r="B152" s="441"/>
      <c r="C152" s="12"/>
      <c r="D152" s="12"/>
      <c r="F152" s="12"/>
      <c r="G152" s="12"/>
      <c r="H152" s="12"/>
      <c r="I152" s="12"/>
      <c r="J152" s="12"/>
      <c r="K152" s="12"/>
      <c r="M152" s="31"/>
      <c r="N152" s="31"/>
      <c r="O152" s="31"/>
      <c r="P152" s="31"/>
      <c r="Q152" s="31"/>
    </row>
    <row r="153" spans="1:17">
      <c r="A153" s="31"/>
      <c r="B153" s="441"/>
      <c r="C153" s="12"/>
      <c r="D153" s="12"/>
      <c r="F153" s="12"/>
      <c r="G153" s="12"/>
      <c r="H153" s="12"/>
      <c r="I153" s="12"/>
      <c r="J153" s="12"/>
      <c r="K153" s="12"/>
      <c r="M153" s="31"/>
      <c r="N153" s="31"/>
      <c r="O153" s="31"/>
      <c r="P153" s="31"/>
      <c r="Q153" s="31"/>
    </row>
    <row r="154" spans="1:17">
      <c r="A154" s="31"/>
      <c r="B154" s="441"/>
      <c r="C154" s="12"/>
      <c r="D154" s="12"/>
      <c r="F154" s="12"/>
      <c r="G154" s="12"/>
      <c r="H154" s="12"/>
      <c r="I154" s="12"/>
      <c r="J154" s="12"/>
      <c r="K154" s="12"/>
      <c r="M154" s="31"/>
      <c r="N154" s="31"/>
      <c r="O154" s="31"/>
      <c r="P154" s="31"/>
      <c r="Q154" s="31"/>
    </row>
    <row r="155" spans="1:17">
      <c r="A155" s="31"/>
      <c r="B155" s="441"/>
      <c r="C155" s="12"/>
      <c r="D155" s="12"/>
      <c r="F155" s="12"/>
      <c r="G155" s="12"/>
      <c r="H155" s="12"/>
      <c r="I155" s="12"/>
      <c r="J155" s="12"/>
      <c r="K155" s="12"/>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printArea="1" hiddenRows="1" topLeftCell="E1">
      <selection activeCell="N30" sqref="N30"/>
      <pageMargins left="0.59055118110236227" right="0.59055118110236227" top="0.59055118110236227" bottom="0.59055118110236227" header="0.39370078740157483" footer="0.39370078740157483"/>
      <printOptions horizontalCentered="1"/>
      <pageSetup paperSize="9" scale="65" firstPageNumber="20" orientation="portrait" r:id="rId1"/>
      <headerFooter alignWithMargins="0">
        <oddFooter>&amp;L&amp;11LEL Schwäbisch Gmünd&amp;C27&amp;R&amp;11&amp;F</oddFooter>
      </headerFooter>
    </customSheetView>
    <customSheetView guid="{5D5C9B61-9ABD-4513-AAEB-8333A9D6196C}"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20" orientation="portrait" r:id="rId2"/>
      <headerFooter alignWithMargins="0">
        <oddFooter>&amp;L&amp;11LEL Schwäbisch Gmünd&amp;C27&amp;R&amp;11&amp;F</oddFooter>
      </headerFooter>
    </customSheetView>
    <customSheetView guid="{22A73C4F-9004-4CEF-8499-B1F91BE1B569}" fitToPage="1" hiddenRows="1" topLeftCell="E1">
      <selection activeCell="N30" sqref="N30"/>
      <pageMargins left="0.59055118110236227" right="0.59055118110236227" top="0.59055118110236227" bottom="0.59055118110236227" header="0.39370078740157483" footer="0.39370078740157483"/>
      <printOptions horizontalCentered="1"/>
      <pageSetup paperSize="9" scale="65" firstPageNumber="20" orientation="portrait" r:id="rId3"/>
      <headerFooter alignWithMargins="0">
        <oddFooter>&amp;L&amp;11LEL Schwäbisch Gmünd&amp;C27&amp;R&amp;11&amp;F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showInputMessage="1" showErrorMessage="1" sqref="H14 K14 N14" xr:uid="{00000000-0002-0000-3400-000000000000}">
      <formula1>"ja,nein"</formula1>
    </dataValidation>
    <dataValidation type="list" allowBlank="1" showInputMessage="1" showErrorMessage="1" sqref="H15:H17 K15:K17 N15:N17" xr:uid="{00000000-0002-0000-3400-000001000000}">
      <formula1>"ja,nein"</formula1>
    </dataValidation>
    <dataValidation type="whole" allowBlank="1" showInputMessage="1" showErrorMessage="1" errorTitle="Anteil Erntegut" error="Prozentwert darf nur zwischen 0 und 100 liegen." sqref="O68 L68 I68" xr:uid="{00000000-0002-0000-3400-000002000000}">
      <formula1>0</formula1>
      <formula2>100</formula2>
    </dataValidation>
    <dataValidation type="decimal" allowBlank="1" showInputMessage="1" showErrorMessage="1" errorTitle="Wassergehalt Getreide" error="Zulässig sind nur Werte zwischen 15,1 und 29,9 % Wassergehalt." sqref="H68 K68 N68" xr:uid="{00000000-0002-0000-3400-000003000000}">
      <formula1>15.1</formula1>
      <formula2>29.9</formula2>
    </dataValidation>
    <dataValidation type="list" allowBlank="1" showInputMessage="1" showErrorMessage="1" errorTitle="Organisationsabh. Ausgleichsl." error="Bitte aus Dropdownliste auswählen." sqref="D19:F19" xr:uid="{00000000-0002-0000-3400-000004000000}">
      <formula1>$C$60:$C$75</formula1>
    </dataValidation>
  </dataValidations>
  <hyperlinks>
    <hyperlink ref="F9" location="'SDK1'!A1" display="Preis ändern" xr:uid="{00000000-0004-0000-3400-000000000000}"/>
  </hyperlinks>
  <printOptions horizontalCentered="1"/>
  <pageMargins left="0.59055118110236227" right="0.59055118110236227" top="0.59055118110236227" bottom="0.59055118110236227" header="0.39370078740157483" footer="0.39370078740157483"/>
  <pageSetup paperSize="9" scale="65" firstPageNumber="20" orientation="portrait" r:id="rId4"/>
  <headerFooter alignWithMargins="0">
    <oddFooter>&amp;L&amp;11LEL Schwäbisch Gmünd&amp;C27&amp;R&amp;11&amp;F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9457" r:id="rId7" name="Check Box 1">
              <controlPr defaultSize="0" autoFill="0" autoLine="0" autoPict="0">
                <anchor moveWithCells="1">
                  <from>
                    <xdr:col>12</xdr:col>
                    <xdr:colOff>289560</xdr:colOff>
                    <xdr:row>3</xdr:row>
                    <xdr:rowOff>22860</xdr:rowOff>
                  </from>
                  <to>
                    <xdr:col>13</xdr:col>
                    <xdr:colOff>7620</xdr:colOff>
                    <xdr:row>4</xdr:row>
                    <xdr:rowOff>0</xdr:rowOff>
                  </to>
                </anchor>
              </controlPr>
            </control>
          </mc:Choice>
        </mc:AlternateContent>
        <mc:AlternateContent xmlns:mc="http://schemas.openxmlformats.org/markup-compatibility/2006">
          <mc:Choice Requires="x14">
            <control shapeId="19458" r:id="rId8" name="Check Box 2">
              <controlPr defaultSize="0" autoFill="0" autoLine="0" autoPict="0">
                <anchor moveWithCells="1">
                  <from>
                    <xdr:col>12</xdr:col>
                    <xdr:colOff>289560</xdr:colOff>
                    <xdr:row>2</xdr:row>
                    <xdr:rowOff>45720</xdr:rowOff>
                  </from>
                  <to>
                    <xdr:col>13</xdr:col>
                    <xdr:colOff>7620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r:uid="{00000000-0002-0000-3400-000005000000}">
          <x14:formula1>
            <xm:f>'SDK5'!$F$214:$F$251</xm:f>
          </x14:formula1>
          <xm:sqref>C36:E42</xm:sqref>
        </x14:dataValidation>
        <x14:dataValidation type="list" allowBlank="1" showInputMessage="1" showErrorMessage="1" errorTitle="Verfahrensabh. Ausgleichsleist." error="Bitte aus Dropdownliste auswählen." xr:uid="{00000000-0002-0000-3400-000006000000}">
          <x14:formula1>
            <xm:f>'SD2'!$C$11:$C$50</xm:f>
          </x14:formula1>
          <xm:sqref>C14:F17</xm:sqref>
        </x14:dataValidation>
        <x14:dataValidation type="list" allowBlank="1" showInputMessage="1" showErrorMessage="1" errorTitle="Organisationsabh. Ausgleichsl." error="Bitte aus Dropdownliste auswählen." xr:uid="{00000000-0002-0000-3400-000007000000}">
          <x14:formula1>
            <xm:f>'SD2'!$C$60:$C$77</xm:f>
          </x14:formula1>
          <xm:sqref>C19:C21</xm:sqref>
        </x14:dataValidation>
        <x14:dataValidation type="list" allowBlank="1" showInputMessage="1" showErrorMessage="1" errorTitle="Arbeitsgänge" error="Bitte aus Dropdownliste auswählen." xr:uid="{00000000-0002-0000-3400-000008000000}">
          <x14:formula1>
            <xm:f>'SD3'!$C$23:$C$75</xm:f>
          </x14:formula1>
          <xm:sqref>C46:D57</xm:sqref>
        </x14:dataValidation>
        <x14:dataValidation type="list" allowBlank="1" showInputMessage="1" showErrorMessage="1" errorTitle="Lohnmaschinen" error="Bitte aus Dropdownliste auswählen." xr:uid="{00000000-0002-0000-3400-000009000000}">
          <x14:formula1>
            <xm:f>'SD3'!$C$90:$C$104</xm:f>
          </x14:formula1>
          <xm:sqref>C62:E64</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29">
    <tabColor rgb="FFFFFF00"/>
    <pageSetUpPr fitToPage="1"/>
  </sheetPr>
  <dimension ref="A1:AO218"/>
  <sheetViews>
    <sheetView workbookViewId="0">
      <selection activeCell="N50" sqref="N50"/>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6" width="10.5" style="31" hidden="1" customWidth="1"/>
    <col min="27" max="16384" width="10.5" style="31"/>
  </cols>
  <sheetData>
    <row r="1" spans="1:41" s="1317" customFormat="1" ht="30.45" customHeight="1">
      <c r="A1" s="1321"/>
      <c r="B1" s="258"/>
      <c r="C1" s="1333"/>
      <c r="D1" s="1253"/>
      <c r="E1" s="255"/>
      <c r="F1" s="255"/>
      <c r="G1" s="430"/>
      <c r="H1" s="1328"/>
      <c r="I1" s="3212" t="s">
        <v>1679</v>
      </c>
      <c r="J1" s="3210">
        <f>(J7+J13+J18+J22)-(J23+J27+J34+J43+J60+J65+J67+J69+J71+J75)</f>
        <v>502.66051279488443</v>
      </c>
      <c r="K1" s="4360">
        <f>M1-J1</f>
        <v>361.59411651202458</v>
      </c>
      <c r="L1" s="4360"/>
      <c r="M1" s="3210">
        <f>(M7+M13+M18+M22)-(M23+M27+M34+M43+M60+M65+M67+M69+M71+M75)</f>
        <v>864.25462930690901</v>
      </c>
      <c r="N1" s="4360">
        <f>P1-M1</f>
        <v>359.41345835242987</v>
      </c>
      <c r="O1" s="4360"/>
      <c r="P1" s="3210">
        <f>(P7+P13+P18+P22)-(P23+P27+P34+P43+P60+P65+P67+P69+P71+P75)</f>
        <v>1223.6680876593389</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201</v>
      </c>
      <c r="L2" s="4372"/>
      <c r="M2" s="4372"/>
      <c r="N2" s="4372"/>
      <c r="O2" s="4372"/>
      <c r="P2" s="4372"/>
      <c r="Q2" s="1345">
        <v>0</v>
      </c>
      <c r="AA2" s="1321"/>
      <c r="AB2" s="1321"/>
    </row>
    <row r="3" spans="1:41" s="1317" customFormat="1" ht="32.4" customHeight="1">
      <c r="A3" s="1321"/>
      <c r="B3" s="4405" t="s">
        <v>1727</v>
      </c>
      <c r="C3" s="4405"/>
      <c r="D3" s="4405"/>
      <c r="E3" s="4405"/>
      <c r="F3" s="4405"/>
      <c r="G3" s="4405"/>
      <c r="H3" s="4405"/>
      <c r="J3" s="4368" t="s">
        <v>886</v>
      </c>
      <c r="K3" s="4369"/>
      <c r="L3" s="4369"/>
      <c r="M3" s="1327"/>
      <c r="N3" s="4373" t="str">
        <f>IF(AND(T3=TRUE,T4=TRUE),"nur 1 Strohnutzung möglich","")</f>
        <v/>
      </c>
      <c r="O3" s="4374"/>
      <c r="P3" s="1326"/>
      <c r="Q3" s="1321"/>
      <c r="T3" s="1343" t="b">
        <v>1</v>
      </c>
    </row>
    <row r="4" spans="1:41" s="1317" customFormat="1" ht="20.25" customHeight="1">
      <c r="A4" s="1321"/>
      <c r="B4" s="309" t="s">
        <v>779</v>
      </c>
      <c r="C4" s="31"/>
      <c r="D4" s="31"/>
      <c r="E4" s="4406" t="s">
        <v>890</v>
      </c>
      <c r="F4" s="4406"/>
      <c r="G4" s="4406"/>
      <c r="H4" s="4406"/>
      <c r="I4" s="4406"/>
      <c r="J4" s="4368" t="s">
        <v>875</v>
      </c>
      <c r="K4" s="4369"/>
      <c r="L4" s="4369"/>
      <c r="M4" s="1323"/>
      <c r="N4" s="4374"/>
      <c r="O4" s="4374"/>
      <c r="P4" s="1322">
        <f>'SDK1'!O3</f>
        <v>2024</v>
      </c>
      <c r="Q4" s="1321"/>
      <c r="T4" s="1343" t="b">
        <v>0</v>
      </c>
      <c r="U4" s="1318"/>
    </row>
    <row r="5" spans="1:41" ht="6" customHeight="1"/>
    <row r="6" spans="1:41" s="1311" customFormat="1" ht="24" customHeight="1">
      <c r="A6" s="41"/>
      <c r="B6" s="1316" t="s">
        <v>832</v>
      </c>
      <c r="C6" s="1315"/>
      <c r="D6" s="1315"/>
      <c r="E6" s="1315"/>
      <c r="F6" s="1315"/>
      <c r="G6" s="1314"/>
      <c r="H6" s="4366" t="s">
        <v>171</v>
      </c>
      <c r="I6" s="4367"/>
      <c r="J6" s="1313">
        <f>M6*0.75</f>
        <v>51</v>
      </c>
      <c r="K6" s="4379" t="s">
        <v>144</v>
      </c>
      <c r="L6" s="4380"/>
      <c r="M6" s="1313">
        <v>68</v>
      </c>
      <c r="N6" s="4366" t="s">
        <v>170</v>
      </c>
      <c r="O6" s="4367"/>
      <c r="P6" s="1312">
        <f>M6*1.25</f>
        <v>85</v>
      </c>
      <c r="Q6" s="49"/>
    </row>
    <row r="7" spans="1:41" s="196" customFormat="1" ht="18.75" customHeight="1">
      <c r="A7" s="40"/>
      <c r="B7" s="245" t="s">
        <v>883</v>
      </c>
      <c r="C7" s="40"/>
      <c r="D7" s="40"/>
      <c r="E7" s="40"/>
      <c r="F7" s="40"/>
      <c r="G7" s="1310"/>
      <c r="H7" s="1307"/>
      <c r="I7" s="1306"/>
      <c r="J7" s="1041">
        <f>SUM(I9:I12)</f>
        <v>1660.56</v>
      </c>
      <c r="K7" s="1309"/>
      <c r="L7" s="1308"/>
      <c r="M7" s="1044">
        <f>SUM(L9:L12)</f>
        <v>2214.08</v>
      </c>
      <c r="N7" s="1307"/>
      <c r="O7" s="1306"/>
      <c r="P7" s="1041">
        <f>SUM(O9:O12)</f>
        <v>2767.6</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'SDK1'!O19</f>
        <v>24</v>
      </c>
      <c r="H9" s="1303">
        <f>J6-H10</f>
        <v>51</v>
      </c>
      <c r="I9" s="1299">
        <f>H9*G9</f>
        <v>1224</v>
      </c>
      <c r="J9" s="37"/>
      <c r="K9" s="1302">
        <f>M6-K10</f>
        <v>68</v>
      </c>
      <c r="L9" s="1301">
        <f>K9*G9</f>
        <v>1632</v>
      </c>
      <c r="M9" s="1280"/>
      <c r="N9" s="1300">
        <f>P6-N10</f>
        <v>85</v>
      </c>
      <c r="O9" s="1299">
        <f>N9*G9</f>
        <v>2040</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436.56</v>
      </c>
      <c r="S10" s="1288">
        <f>L10+L11+L12</f>
        <v>582.08000000000004</v>
      </c>
      <c r="T10" s="1287">
        <f>O10+O11+O12</f>
        <v>727.59999999999991</v>
      </c>
      <c r="W10" s="196" t="s">
        <v>879</v>
      </c>
    </row>
    <row r="11" spans="1:41" s="1268" customFormat="1" ht="15" customHeight="1">
      <c r="A11" s="309"/>
      <c r="B11" s="217"/>
      <c r="C11" s="39" t="s">
        <v>878</v>
      </c>
      <c r="D11" s="309"/>
      <c r="E11" s="1286">
        <v>0.8</v>
      </c>
      <c r="F11" s="39" t="s">
        <v>877</v>
      </c>
      <c r="G11" s="1285">
        <f>'SDK1'!$O$48</f>
        <v>10.7</v>
      </c>
      <c r="H11" s="3151">
        <f>IF(OR($T$3,$T$4)=TRUE,J6*$E$11,0)</f>
        <v>40.800000000000004</v>
      </c>
      <c r="I11" s="3152">
        <f>H11*$G$11</f>
        <v>436.56</v>
      </c>
      <c r="J11" s="3153"/>
      <c r="K11" s="3154">
        <f>IF(OR($T$3,$T$4)=TRUE,M6*$E$11,0)</f>
        <v>54.400000000000006</v>
      </c>
      <c r="L11" s="3155">
        <f>K11*$G$11</f>
        <v>582.08000000000004</v>
      </c>
      <c r="M11" s="3156"/>
      <c r="N11" s="3157">
        <f>IF(OR($T$3,$T$4)=TRUE,P6*$E$11,0)</f>
        <v>68</v>
      </c>
      <c r="O11" s="3152">
        <f>N11*$G$11</f>
        <v>727.59999999999991</v>
      </c>
      <c r="P11" s="3158"/>
      <c r="Q11" s="34"/>
      <c r="W11" s="1268" t="s">
        <v>876</v>
      </c>
    </row>
    <row r="12" spans="1:41" s="1268" customFormat="1" ht="15" hidden="1" customHeight="1">
      <c r="A12" s="309"/>
      <c r="B12" s="185"/>
      <c r="C12" s="223" t="s">
        <v>1651</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250"/>
      <c r="I13" s="1249"/>
      <c r="J13" s="1041">
        <f>SUM(I14:I17)</f>
        <v>0</v>
      </c>
      <c r="K13" s="1252"/>
      <c r="L13" s="1251"/>
      <c r="M13" s="1044">
        <f>SUM(L14:L17)</f>
        <v>0</v>
      </c>
      <c r="N13" s="1250"/>
      <c r="O13" s="1249"/>
      <c r="P13" s="1041">
        <f>SUM(O14:O17)</f>
        <v>0</v>
      </c>
      <c r="Q13" s="34"/>
      <c r="R13" s="1253"/>
      <c r="W13" s="1266" t="s">
        <v>872</v>
      </c>
      <c r="X13" s="1264">
        <f>IF(OR(T3=TRUE,T4=TRUE),J6*$E$11,"0")</f>
        <v>40.800000000000004</v>
      </c>
      <c r="Y13" s="1265">
        <f>IF(OR(T3=TRUE,T4=TRUE),M6*$E$11,"0")</f>
        <v>54.400000000000006</v>
      </c>
      <c r="Z13" s="1264">
        <f>IF(OR(T3=TRUE,T4=TRUE),P6*$E$11,"0")</f>
        <v>68</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16.319999999999997</v>
      </c>
      <c r="Y14" s="1260">
        <f>$Y$13*F30</f>
        <v>21.759999999999998</v>
      </c>
      <c r="Z14" s="1260">
        <f>$Z$13*F30</f>
        <v>27.199999999999996</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9.7919999999999998</v>
      </c>
      <c r="Y15" s="1260">
        <f>$Y$13*F31</f>
        <v>13.056000000000001</v>
      </c>
      <c r="Z15" s="1260">
        <f>$Z$13*F31</f>
        <v>16.32</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45.696000000000012</v>
      </c>
      <c r="Y16" s="1260">
        <f>$Y$13*F32</f>
        <v>60.928000000000011</v>
      </c>
      <c r="Z16" s="1260">
        <f>$Z$13*F32</f>
        <v>76.160000000000011</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6.5279999999999996</v>
      </c>
      <c r="Y17" s="1260">
        <f>$Y$13*F33</f>
        <v>8.7039999999999988</v>
      </c>
      <c r="Z17" s="1260">
        <f>$Z$13*F33</f>
        <v>10.879999999999999</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ustomHeight="1">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136</v>
      </c>
      <c r="K23" s="1046"/>
      <c r="L23" s="1045"/>
      <c r="M23" s="1227">
        <f>SUM(L25:L26)</f>
        <v>136</v>
      </c>
      <c r="N23" s="1043"/>
      <c r="O23" s="1042"/>
      <c r="P23" s="1026">
        <f>SUM(O25:O26)</f>
        <v>136</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'SDK7'!F48/100</f>
        <v>0.85</v>
      </c>
      <c r="G25" s="1221">
        <f>F25*(100+$D$24)/100</f>
        <v>0.85</v>
      </c>
      <c r="H25" s="1220">
        <v>160</v>
      </c>
      <c r="I25" s="1181">
        <f>H25*$G25</f>
        <v>136</v>
      </c>
      <c r="J25" s="39"/>
      <c r="K25" s="1220">
        <f>H25</f>
        <v>160</v>
      </c>
      <c r="L25" s="1023">
        <f>K25*$G25</f>
        <v>136</v>
      </c>
      <c r="M25" s="1016"/>
      <c r="N25" s="1220">
        <f>H25</f>
        <v>160</v>
      </c>
      <c r="O25" s="1181">
        <f>N25*$G25</f>
        <v>136</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325.72714000000008</v>
      </c>
      <c r="K27" s="1175"/>
      <c r="L27" s="1174"/>
      <c r="M27" s="1044">
        <f>SUM(L30:L32)</f>
        <v>426.36951999999997</v>
      </c>
      <c r="N27" s="1173"/>
      <c r="O27" s="1172"/>
      <c r="P27" s="1041">
        <f>SUM(O30:O32)</f>
        <v>527.01189999999997</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2.41</v>
      </c>
      <c r="F30" s="1201">
        <f>VLOOKUP(K2,'SD8'!B9:L42,7,FALSE)</f>
        <v>0.39999999999999991</v>
      </c>
      <c r="G30" s="1200">
        <v>20</v>
      </c>
      <c r="H30" s="1198">
        <f>IF(J$6=0,0,(J$6*$E30+$G30+X14))</f>
        <v>159.23000000000002</v>
      </c>
      <c r="I30" s="1181">
        <f>H30*$D30</f>
        <v>189.48370000000003</v>
      </c>
      <c r="J30" s="39"/>
      <c r="K30" s="1199">
        <f>IF(M$6=0,0,(M$6*$E30+$G30+Y14))</f>
        <v>205.64</v>
      </c>
      <c r="L30" s="1023">
        <f>K30*$D30</f>
        <v>244.71159999999998</v>
      </c>
      <c r="M30" s="1016"/>
      <c r="N30" s="1198">
        <f>IF(P$6=0,0,(P$6*$E30+$G30+Z14))</f>
        <v>252.05</v>
      </c>
      <c r="O30" s="1181">
        <f>N30*$D30</f>
        <v>299.93950000000001</v>
      </c>
      <c r="P30" s="1145"/>
      <c r="Q30" s="34"/>
    </row>
    <row r="31" spans="1:26" s="36" customFormat="1" ht="15" customHeight="1">
      <c r="A31" s="746"/>
      <c r="B31" s="217"/>
      <c r="C31" s="746" t="s">
        <v>234</v>
      </c>
      <c r="D31" s="1150">
        <f>'SDK1'!O53</f>
        <v>1.2</v>
      </c>
      <c r="E31" s="1201">
        <f>VLOOKUP(K2,'SD8'!B9:L42,4,FALSE)</f>
        <v>0.8</v>
      </c>
      <c r="F31" s="1201">
        <f>VLOOKUP(K2,'SD8'!B9:L42,8,FALSE)</f>
        <v>0.24</v>
      </c>
      <c r="G31" s="1200"/>
      <c r="H31" s="1198">
        <f>IF(J$6=0,0,(J$6*$E31+$G31+X15))</f>
        <v>50.592000000000006</v>
      </c>
      <c r="I31" s="1181">
        <f>H31*$D31</f>
        <v>60.710400000000007</v>
      </c>
      <c r="J31" s="39"/>
      <c r="K31" s="1199">
        <f>IF(M$6=0,0,(M$6*$E31+$G31+Y15))</f>
        <v>67.456000000000003</v>
      </c>
      <c r="L31" s="1023">
        <f>K31*$D31</f>
        <v>80.947199999999995</v>
      </c>
      <c r="M31" s="1016"/>
      <c r="N31" s="1198">
        <f>IF(P$6=0,0,(P$6*$E31+$G31+Z15))</f>
        <v>84.32</v>
      </c>
      <c r="O31" s="1181">
        <f>N31*$D31</f>
        <v>101.18399999999998</v>
      </c>
      <c r="P31" s="1145"/>
      <c r="Q31" s="34"/>
    </row>
    <row r="32" spans="1:26" s="36" customFormat="1" ht="15" customHeight="1">
      <c r="A32" s="746"/>
      <c r="B32" s="185"/>
      <c r="C32" s="2791" t="s">
        <v>232</v>
      </c>
      <c r="D32" s="1133">
        <f>'SDK1'!O54</f>
        <v>0.99</v>
      </c>
      <c r="E32" s="1197">
        <f>VLOOKUP(K2,'SD8'!B9:L42,5,FALSE)</f>
        <v>0.6</v>
      </c>
      <c r="F32" s="1197">
        <f>VLOOKUP(K2,'SD8'!B9:L42,9,FALSE)</f>
        <v>1.1200000000000001</v>
      </c>
      <c r="G32" s="1196"/>
      <c r="H32" s="1194">
        <f>IF(J$6=0,0,(J$6*$E32+$G32+X16))</f>
        <v>76.296000000000006</v>
      </c>
      <c r="I32" s="1177">
        <f>H32*$D32</f>
        <v>75.53304</v>
      </c>
      <c r="J32" s="223"/>
      <c r="K32" s="1195">
        <f>IF(M$6=0,0,(M$6*$E32+$G32+Y16))</f>
        <v>101.72800000000001</v>
      </c>
      <c r="L32" s="1017">
        <f>K32*$D32</f>
        <v>100.71072000000001</v>
      </c>
      <c r="M32" s="1256"/>
      <c r="N32" s="1194">
        <f>IF(P$6=0,0,(P$6*$E32+$G32+Z16))</f>
        <v>127.16000000000001</v>
      </c>
      <c r="O32" s="1177">
        <f>N32*$D32</f>
        <v>125.8884</v>
      </c>
      <c r="P32" s="1176"/>
      <c r="Q32" s="34"/>
    </row>
    <row r="33" spans="1:17" s="36" customFormat="1" ht="15" hidden="1" customHeight="1">
      <c r="A33" s="746"/>
      <c r="B33" s="185"/>
      <c r="C33" s="771" t="s">
        <v>230</v>
      </c>
      <c r="D33" s="1133">
        <f>'SDK1'!P55</f>
        <v>0.45</v>
      </c>
      <c r="E33" s="1197">
        <f>VLOOKUP(K2,'SD8'!B9:L42,6,FALSE)</f>
        <v>0.2</v>
      </c>
      <c r="F33" s="1197">
        <f>VLOOKUP(K2,'SD8'!B9:L42,10,FALSE)</f>
        <v>0.15999999999999998</v>
      </c>
      <c r="G33" s="1196"/>
      <c r="H33" s="1194">
        <f>IF(J$6=0,0,(J$6*$E33+$G33+X17))</f>
        <v>16.728000000000002</v>
      </c>
      <c r="I33" s="1177">
        <f>H33*$D33</f>
        <v>7.5276000000000005</v>
      </c>
      <c r="J33" s="39"/>
      <c r="K33" s="1195">
        <f>IF(M$6=0,0,(M$6*$E33+$G33+Y17))</f>
        <v>22.304000000000002</v>
      </c>
      <c r="L33" s="1017">
        <f>K33*$D33</f>
        <v>10.036800000000001</v>
      </c>
      <c r="M33" s="1016"/>
      <c r="N33" s="1194">
        <f>IF(P$6=0,0,(P$6*$E33+$G33+Z17))</f>
        <v>27.88</v>
      </c>
      <c r="O33" s="1177">
        <f>N33*$D33</f>
        <v>12.545999999999999</v>
      </c>
      <c r="P33" s="1176"/>
      <c r="Q33" s="34"/>
    </row>
    <row r="34" spans="1:17" s="511" customFormat="1" ht="18.75" customHeight="1">
      <c r="A34" s="711"/>
      <c r="B34" s="716" t="s">
        <v>859</v>
      </c>
      <c r="C34" s="711"/>
      <c r="D34" s="33"/>
      <c r="E34" s="33"/>
      <c r="F34" s="4381" t="s">
        <v>858</v>
      </c>
      <c r="G34" s="4382"/>
      <c r="H34" s="1191"/>
      <c r="I34" s="1190"/>
      <c r="J34" s="1041">
        <f>SUM(I36:I42)</f>
        <v>265.39999999999998</v>
      </c>
      <c r="K34" s="1193"/>
      <c r="L34" s="1192"/>
      <c r="M34" s="1044">
        <f>SUM(L36:L42)</f>
        <v>265.39999999999998</v>
      </c>
      <c r="N34" s="1191"/>
      <c r="O34" s="1190"/>
      <c r="P34" s="1041">
        <f>SUM(O36:O42)</f>
        <v>265.39999999999998</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534</v>
      </c>
      <c r="D36" s="4389"/>
      <c r="E36" s="4390"/>
      <c r="F36" s="1183">
        <f>IF(C36="",0,VLOOKUP(C36,'SDK5'!C3:AF83,2,FALSE))</f>
        <v>306</v>
      </c>
      <c r="G36" s="1183">
        <f t="shared" ref="G36:G42" si="0">F36*(100+$D$35)/100</f>
        <v>306</v>
      </c>
      <c r="H36" s="1182">
        <v>0.3</v>
      </c>
      <c r="I36" s="1181">
        <f t="shared" ref="I36:I42" si="1">$G36*H36</f>
        <v>91.8</v>
      </c>
      <c r="J36" s="39"/>
      <c r="K36" s="1182">
        <v>0.3</v>
      </c>
      <c r="L36" s="1023">
        <f t="shared" ref="L36:L42" si="2">$G36*K36</f>
        <v>91.8</v>
      </c>
      <c r="M36" s="1016"/>
      <c r="N36" s="1182">
        <v>0.3</v>
      </c>
      <c r="O36" s="1181">
        <f t="shared" ref="O36:O42" si="3">$G36*N36</f>
        <v>91.8</v>
      </c>
      <c r="P36" s="1185"/>
      <c r="Q36" s="34"/>
    </row>
    <row r="37" spans="1:17" s="36" customFormat="1" ht="15" customHeight="1">
      <c r="A37" s="746"/>
      <c r="B37" s="1021"/>
      <c r="C37" s="4375" t="s">
        <v>528</v>
      </c>
      <c r="D37" s="4375"/>
      <c r="E37" s="4376"/>
      <c r="F37" s="1183">
        <f>IF(C37="",0,VLOOKUP(C37,'SDK5'!C4:AF84,2,FALSE))</f>
        <v>5.5</v>
      </c>
      <c r="G37" s="1183">
        <f t="shared" si="0"/>
        <v>5.5</v>
      </c>
      <c r="H37" s="1182">
        <v>0.8</v>
      </c>
      <c r="I37" s="1181">
        <f t="shared" si="1"/>
        <v>4.4000000000000004</v>
      </c>
      <c r="J37" s="39"/>
      <c r="K37" s="1182">
        <v>0.8</v>
      </c>
      <c r="L37" s="1023">
        <f t="shared" si="2"/>
        <v>4.4000000000000004</v>
      </c>
      <c r="M37" s="1016"/>
      <c r="N37" s="1182">
        <v>0.8</v>
      </c>
      <c r="O37" s="1181">
        <f t="shared" si="3"/>
        <v>4.4000000000000004</v>
      </c>
      <c r="P37" s="1145"/>
      <c r="Q37" s="34"/>
    </row>
    <row r="38" spans="1:17" s="36" customFormat="1" ht="15" customHeight="1">
      <c r="A38" s="746"/>
      <c r="B38" s="1184"/>
      <c r="C38" s="4375" t="s">
        <v>1482</v>
      </c>
      <c r="D38" s="4375"/>
      <c r="E38" s="4376"/>
      <c r="F38" s="1183">
        <f>IF(C38="",0,VLOOKUP(C38,'SDK5'!C5:AF85,2,FALSE))</f>
        <v>71.8</v>
      </c>
      <c r="G38" s="1183">
        <f t="shared" si="0"/>
        <v>71.8</v>
      </c>
      <c r="H38" s="1182">
        <v>1.5</v>
      </c>
      <c r="I38" s="1181">
        <f t="shared" si="1"/>
        <v>107.69999999999999</v>
      </c>
      <c r="J38" s="39"/>
      <c r="K38" s="1182">
        <v>1.5</v>
      </c>
      <c r="L38" s="1023">
        <f t="shared" si="2"/>
        <v>107.69999999999999</v>
      </c>
      <c r="M38" s="1016"/>
      <c r="N38" s="1182">
        <v>1.5</v>
      </c>
      <c r="O38" s="1181">
        <f t="shared" si="3"/>
        <v>107.69999999999999</v>
      </c>
      <c r="P38" s="1145"/>
      <c r="Q38" s="34"/>
    </row>
    <row r="39" spans="1:17" s="36" customFormat="1" ht="15" customHeight="1">
      <c r="A39" s="746"/>
      <c r="B39" s="1021"/>
      <c r="C39" s="4375" t="s">
        <v>497</v>
      </c>
      <c r="D39" s="4375"/>
      <c r="E39" s="4376"/>
      <c r="F39" s="1183">
        <f>IF(C39="",0,VLOOKUP(C39,'SDK5'!C6:AF86,2,FALSE))</f>
        <v>61.5</v>
      </c>
      <c r="G39" s="1183">
        <f t="shared" si="0"/>
        <v>61.5</v>
      </c>
      <c r="H39" s="1182">
        <v>1</v>
      </c>
      <c r="I39" s="1181">
        <f t="shared" si="1"/>
        <v>61.5</v>
      </c>
      <c r="J39" s="39"/>
      <c r="K39" s="1182">
        <v>1</v>
      </c>
      <c r="L39" s="1023">
        <f t="shared" si="2"/>
        <v>61.5</v>
      </c>
      <c r="M39" s="1016"/>
      <c r="N39" s="1182">
        <v>1</v>
      </c>
      <c r="O39" s="1181">
        <f t="shared" si="3"/>
        <v>61.5</v>
      </c>
      <c r="P39" s="1145"/>
      <c r="Q39" s="34"/>
    </row>
    <row r="40" spans="1:17" s="36" customFormat="1" ht="15" customHeight="1">
      <c r="A40" s="746"/>
      <c r="B40" s="1021"/>
      <c r="C40" s="4375"/>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187.96665918133331</v>
      </c>
      <c r="K43" s="1175"/>
      <c r="L43" s="1174"/>
      <c r="M43" s="1044">
        <f>SUM(M46:M57)</f>
        <v>200.7330293506667</v>
      </c>
      <c r="N43" s="1173"/>
      <c r="O43" s="1172"/>
      <c r="P43" s="1041">
        <f>SUM(P46:P57)</f>
        <v>215.65491005666661</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55">
        <v>1</v>
      </c>
      <c r="I46" s="1154">
        <f t="shared" ref="I46:I57" si="4">$F46*H46</f>
        <v>1.38</v>
      </c>
      <c r="J46" s="1145">
        <f t="shared" ref="J46:J57" si="5">H46*$G46</f>
        <v>64.642445999999993</v>
      </c>
      <c r="K46" s="1155">
        <v>1</v>
      </c>
      <c r="L46" s="1156">
        <f t="shared" ref="L46:L57" si="6">$F46*K46</f>
        <v>1.38</v>
      </c>
      <c r="M46" s="1148">
        <f t="shared" ref="M46:M57" si="7">K46*$G46</f>
        <v>64.642445999999993</v>
      </c>
      <c r="N46" s="1155">
        <v>1</v>
      </c>
      <c r="O46" s="1154">
        <f t="shared" ref="O46:O57" si="8">$F46*N46</f>
        <v>1.38</v>
      </c>
      <c r="P46" s="1145">
        <f t="shared" ref="P46:P57" si="9">N46*$G46</f>
        <v>64.642445999999993</v>
      </c>
      <c r="Q46" s="34">
        <f>$Q$2*H46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346</v>
      </c>
      <c r="D48" s="4388"/>
      <c r="E48" s="1152">
        <f>IF($C48=0,0,VLOOKUP($C48,'SD3'!$C$24:$O$85,4,FALSE))</f>
        <v>83</v>
      </c>
      <c r="F48" s="1151">
        <f>IF($C48=0,0,VLOOKUP($C48,'SD3'!$C$24:$O$85,12,FALSE))</f>
        <v>0.16</v>
      </c>
      <c r="G48" s="1150">
        <f>IF($C48=0,0,VLOOKUP($C48,'SD3'!$C$24:$O$85,13,FALSE))</f>
        <v>3.7403892799999996</v>
      </c>
      <c r="H48" s="1147">
        <v>2</v>
      </c>
      <c r="I48" s="1146">
        <f t="shared" si="4"/>
        <v>0.32</v>
      </c>
      <c r="J48" s="1145">
        <f t="shared" si="5"/>
        <v>7.4807785599999992</v>
      </c>
      <c r="K48" s="1147">
        <v>3</v>
      </c>
      <c r="L48" s="1149">
        <f t="shared" si="6"/>
        <v>0.48</v>
      </c>
      <c r="M48" s="1148">
        <f t="shared" si="7"/>
        <v>11.22116784</v>
      </c>
      <c r="N48" s="1147">
        <v>4</v>
      </c>
      <c r="O48" s="1146">
        <f t="shared" si="8"/>
        <v>0.64</v>
      </c>
      <c r="P48" s="1145">
        <f t="shared" si="9"/>
        <v>14.961557119999998</v>
      </c>
      <c r="Q48" s="34"/>
    </row>
    <row r="49" spans="1:17" s="36" customFormat="1" ht="15" customHeight="1">
      <c r="A49" s="746"/>
      <c r="B49" s="1153"/>
      <c r="C49" s="4387" t="s">
        <v>1591</v>
      </c>
      <c r="D49" s="4388"/>
      <c r="E49" s="1152">
        <f>IF($C49=0,0,VLOOKUP($C49,'SD3'!$C$24:$O$85,4,FALSE))</f>
        <v>83</v>
      </c>
      <c r="F49" s="1151">
        <f>IF($C49=0,0,VLOOKUP($C49,'SD3'!$C$24:$O$85,12,FALSE))</f>
        <v>0.22</v>
      </c>
      <c r="G49" s="1150">
        <f>IF($C49=0,0,VLOOKUP($C49,'SD3'!$C$24:$O$85,13,FALSE))</f>
        <v>6.6430352599999996</v>
      </c>
      <c r="H49" s="1147">
        <v>3</v>
      </c>
      <c r="I49" s="1146">
        <f t="shared" si="4"/>
        <v>0.66</v>
      </c>
      <c r="J49" s="1145">
        <f t="shared" si="5"/>
        <v>19.92910578</v>
      </c>
      <c r="K49" s="1147">
        <v>3</v>
      </c>
      <c r="L49" s="1149">
        <f t="shared" si="6"/>
        <v>0.66</v>
      </c>
      <c r="M49" s="1148">
        <f t="shared" si="7"/>
        <v>19.92910578</v>
      </c>
      <c r="N49" s="1147">
        <v>3</v>
      </c>
      <c r="O49" s="1146">
        <f t="shared" si="8"/>
        <v>0.66</v>
      </c>
      <c r="P49" s="1145">
        <f t="shared" si="9"/>
        <v>19.92910578</v>
      </c>
      <c r="Q49" s="34"/>
    </row>
    <row r="50" spans="1:17" s="36" customFormat="1" ht="15" customHeight="1">
      <c r="A50" s="746"/>
      <c r="B50" s="1153"/>
      <c r="C50" s="4403" t="s">
        <v>1748</v>
      </c>
      <c r="D50" s="4404"/>
      <c r="E50" s="1152">
        <f>IF($C50=0,0,VLOOKUP($C50,'SD3'!$C$24:$O$85,4,FALSE))</f>
        <v>120</v>
      </c>
      <c r="F50" s="1151">
        <f>IF($C50=0,0,VLOOKUP($C50,'SD3'!$C$24:$O$85,12,FALSE))</f>
        <v>0.37</v>
      </c>
      <c r="G50" s="1150">
        <f>IF($C50=0,0,VLOOKUP($C50,'SD3'!$C$24:$O$85,13,FALSE))</f>
        <v>11.7573302</v>
      </c>
      <c r="H50" s="3654">
        <f>55/60</f>
        <v>0.91666666666666663</v>
      </c>
      <c r="I50" s="1146">
        <f t="shared" si="4"/>
        <v>0.33916666666666667</v>
      </c>
      <c r="J50" s="1145">
        <f t="shared" si="5"/>
        <v>10.777552683333333</v>
      </c>
      <c r="K50" s="3654">
        <f>70/75</f>
        <v>0.93333333333333335</v>
      </c>
      <c r="L50" s="1149">
        <f t="shared" si="6"/>
        <v>0.34533333333333333</v>
      </c>
      <c r="M50" s="1148">
        <f t="shared" si="7"/>
        <v>10.973508186666667</v>
      </c>
      <c r="N50" s="3654">
        <f>85/75</f>
        <v>1.1333333333333333</v>
      </c>
      <c r="O50" s="1146">
        <f t="shared" si="8"/>
        <v>0.41933333333333334</v>
      </c>
      <c r="P50" s="1145">
        <f t="shared" si="9"/>
        <v>13.324974226666667</v>
      </c>
      <c r="Q50" s="34"/>
    </row>
    <row r="51" spans="1:17" s="36" customFormat="1" ht="15" customHeight="1">
      <c r="A51" s="746"/>
      <c r="B51" s="1153"/>
      <c r="C51" s="4387" t="s">
        <v>360</v>
      </c>
      <c r="D51" s="4388"/>
      <c r="E51" s="1152">
        <f>IF($C51=0,0,VLOOKUP($C51,'SD3'!$C$24:$O$85,4,FALSE))</f>
        <v>120</v>
      </c>
      <c r="F51" s="1151">
        <f>IF($C51=0,0,VLOOKUP($C51,'SD3'!$C$24:$O$85,12,FALSE))</f>
        <v>0.79</v>
      </c>
      <c r="G51" s="1150">
        <f>IF($C51=0,0,VLOOKUP($C51,'SD3'!$C$24:$O$85,13,FALSE))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IF($T$4=TRUE,0,H11/40)</f>
        <v>1.02</v>
      </c>
      <c r="I57" s="1130">
        <f t="shared" si="4"/>
        <v>1.3260000000000001</v>
      </c>
      <c r="J57" s="1129">
        <f t="shared" si="5"/>
        <v>26.490076157999994</v>
      </c>
      <c r="K57" s="1131">
        <f>IF($T$4=TRUE,0,K11/40)</f>
        <v>1.36</v>
      </c>
      <c r="L57" s="1132">
        <f t="shared" si="6"/>
        <v>1.7680000000000002</v>
      </c>
      <c r="M57" s="1079">
        <f t="shared" si="7"/>
        <v>35.320101543999996</v>
      </c>
      <c r="N57" s="1131">
        <f>IF($T$4=TRUE,0,N11/40)</f>
        <v>1.7</v>
      </c>
      <c r="O57" s="1130">
        <f t="shared" si="8"/>
        <v>2.21</v>
      </c>
      <c r="P57" s="1129">
        <f t="shared" si="9"/>
        <v>44.150126929999985</v>
      </c>
      <c r="Q57" s="34"/>
    </row>
    <row r="58" spans="1:17" s="46" customFormat="1" ht="18.75" customHeight="1">
      <c r="A58" s="811"/>
      <c r="B58" s="716" t="s">
        <v>848</v>
      </c>
      <c r="C58" s="811"/>
      <c r="D58" s="811"/>
      <c r="E58" s="811"/>
      <c r="F58" s="34"/>
      <c r="G58" s="1047"/>
      <c r="H58" s="1124"/>
      <c r="I58" s="1123">
        <f>SUM($I$46:$I$57)</f>
        <v>5.5251666666666672</v>
      </c>
      <c r="J58" s="1128"/>
      <c r="K58" s="1127"/>
      <c r="L58" s="1126">
        <f>SUM($L$46:$L$57)</f>
        <v>6.1333333333333346</v>
      </c>
      <c r="M58" s="1125"/>
      <c r="N58" s="1124"/>
      <c r="O58" s="1123">
        <f>SUM($O$46:$O$57)</f>
        <v>6.8093333333333339</v>
      </c>
      <c r="P58" s="1122"/>
      <c r="Q58" s="34"/>
    </row>
    <row r="59" spans="1:17" s="46" customFormat="1" ht="15" customHeight="1">
      <c r="A59" s="811"/>
      <c r="B59" s="1121"/>
      <c r="C59" s="285"/>
      <c r="D59" s="222" t="s">
        <v>847</v>
      </c>
      <c r="E59" s="1120">
        <v>80</v>
      </c>
      <c r="F59" s="285" t="s">
        <v>846</v>
      </c>
      <c r="G59" s="1119"/>
      <c r="H59" s="1115"/>
      <c r="I59" s="1114">
        <f>IF(I58+SUM($I$46:$I$57)*$E$59%&gt;I58+10,I58+10,I58+SUM($I$46:$I$57)*$E$59%)</f>
        <v>9.9453000000000014</v>
      </c>
      <c r="J59" s="1113"/>
      <c r="K59" s="1118"/>
      <c r="L59" s="1117">
        <f>IF(L58+SUM($L$46:$L$57)*$E$59%&gt;L58+10,L58+10,L58+SUM($L$46:$L$57)*$E$59%)</f>
        <v>11.040000000000003</v>
      </c>
      <c r="M59" s="1116"/>
      <c r="N59" s="1115"/>
      <c r="O59" s="1114">
        <f>IF(O58+SUM($O$46:$O$57)*$E$59%&gt;O58+10,O58+10,O58+SUM($O$46:$O$57)*$E$59%)</f>
        <v>12.256800000000002</v>
      </c>
      <c r="P59" s="1113"/>
      <c r="Q59" s="34"/>
    </row>
    <row r="60" spans="1:17" s="36" customFormat="1" ht="18.75" customHeight="1">
      <c r="A60" s="746"/>
      <c r="B60" s="716" t="s">
        <v>845</v>
      </c>
      <c r="C60" s="811"/>
      <c r="D60" s="811"/>
      <c r="E60" s="39"/>
      <c r="F60" s="39"/>
      <c r="G60" s="1112"/>
      <c r="H60" s="1104"/>
      <c r="I60" s="1103"/>
      <c r="J60" s="1111">
        <f>IF(J6=0,0,SUM(I62:I64))</f>
        <v>310.14</v>
      </c>
      <c r="K60" s="1107"/>
      <c r="L60" s="1106"/>
      <c r="M60" s="1044">
        <f>IF(M6=0,0,SUM(L62:L64))</f>
        <v>355.02</v>
      </c>
      <c r="N60" s="1104"/>
      <c r="O60" s="1103"/>
      <c r="P60" s="1111">
        <f>IF(P6=0,0,SUM(O62:O64))</f>
        <v>399.9</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296</v>
      </c>
      <c r="D62" s="4365"/>
      <c r="E62" s="4365"/>
      <c r="F62" s="1101">
        <f>IF($C62=0,0,VLOOKUP($C62,'SD3'!$C$90:$D$104,2,FALSE))</f>
        <v>175.5</v>
      </c>
      <c r="G62" s="1100">
        <f>(100+$D$61)/100*F62</f>
        <v>175.5</v>
      </c>
      <c r="H62" s="173"/>
      <c r="I62" s="1096">
        <f>$G$62</f>
        <v>175.5</v>
      </c>
      <c r="J62" s="173"/>
      <c r="K62" s="1099"/>
      <c r="L62" s="1098">
        <f>$G$62</f>
        <v>175.5</v>
      </c>
      <c r="M62" s="1016"/>
      <c r="N62" s="1097"/>
      <c r="O62" s="1096">
        <f>$G$62</f>
        <v>175.5</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3.3</v>
      </c>
      <c r="G64" s="1082">
        <f>(100+$D$61)/100*F64</f>
        <v>3.3</v>
      </c>
      <c r="H64" s="1078"/>
      <c r="I64" s="1077">
        <f>H11*$G$64</f>
        <v>134.64000000000001</v>
      </c>
      <c r="J64" s="173"/>
      <c r="K64" s="1081"/>
      <c r="L64" s="1080">
        <f>K11*$G$64</f>
        <v>179.52</v>
      </c>
      <c r="M64" s="1079"/>
      <c r="N64" s="1078"/>
      <c r="O64" s="1077">
        <f>N11*$G$64</f>
        <v>224.39999999999998</v>
      </c>
      <c r="P64" s="1076"/>
      <c r="Q64" s="34"/>
    </row>
    <row r="65" spans="1:20" s="511" customFormat="1" ht="18.75" customHeight="1">
      <c r="A65" s="711"/>
      <c r="B65" s="716" t="s">
        <v>844</v>
      </c>
      <c r="C65" s="711"/>
      <c r="D65" s="711"/>
      <c r="E65" s="711"/>
      <c r="F65" s="34"/>
      <c r="G65" s="1047"/>
      <c r="H65" s="385"/>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67.702499999999986</v>
      </c>
      <c r="K67" s="1068" t="s">
        <v>842</v>
      </c>
      <c r="L67" s="1067" t="s">
        <v>841</v>
      </c>
      <c r="M67" s="1044">
        <f>S68*(K9+K10)*L68%+F68</f>
        <v>90.269999999999982</v>
      </c>
      <c r="N67" s="1066" t="s">
        <v>842</v>
      </c>
      <c r="O67" s="1065" t="s">
        <v>841</v>
      </c>
      <c r="P67" s="1041">
        <f>T68*(N9+N10)*O68%+F68</f>
        <v>112.83749999999998</v>
      </c>
      <c r="Q67" s="34"/>
    </row>
    <row r="68" spans="1:20" s="511" customFormat="1" ht="15" customHeight="1">
      <c r="A68" s="711"/>
      <c r="B68" s="1064"/>
      <c r="C68" s="4393" t="s">
        <v>564</v>
      </c>
      <c r="D68" s="4393"/>
      <c r="E68" s="4393"/>
      <c r="F68" s="1063"/>
      <c r="G68" s="1054" t="s">
        <v>163</v>
      </c>
      <c r="H68" s="1061">
        <v>16</v>
      </c>
      <c r="I68" s="1060">
        <v>50</v>
      </c>
      <c r="J68" s="1059"/>
      <c r="K68" s="1061">
        <v>16</v>
      </c>
      <c r="L68" s="1060">
        <v>50</v>
      </c>
      <c r="M68" s="1062"/>
      <c r="N68" s="1061">
        <v>16</v>
      </c>
      <c r="O68" s="1060">
        <v>50</v>
      </c>
      <c r="P68" s="1059"/>
      <c r="Q68" s="34"/>
      <c r="R68" s="1058">
        <f>IF($H$68=0,0,VLOOKUP($H$68,'SD6'!B8:C151,'SD6'!C1,FALSE))*(1+'SDK1'!O11/100)</f>
        <v>2.6549999999999994</v>
      </c>
      <c r="S68" s="1058">
        <f>IF($K$68=0,0,VLOOKUP($K$68,'SD6'!B8:C151,'SD6'!C1,FALSE))*(1+'SDK1'!O11/100)</f>
        <v>2.6549999999999994</v>
      </c>
      <c r="T68" s="1058">
        <f>IF($N$68=0,0,VLOOKUP($N$68,'SD6'!B8:C151,'SD6'!C1,FALSE))*(1+'SDK1'!O11/100)</f>
        <v>2.6549999999999994</v>
      </c>
    </row>
    <row r="69" spans="1:20" s="511" customFormat="1" ht="18.75" customHeight="1">
      <c r="A69" s="711"/>
      <c r="B69" s="716" t="s">
        <v>839</v>
      </c>
      <c r="C69" s="711"/>
      <c r="D69" s="711"/>
      <c r="E69" s="34"/>
      <c r="F69" s="34"/>
      <c r="G69" s="1047"/>
      <c r="H69" s="38"/>
      <c r="I69" s="51"/>
      <c r="J69" s="1041">
        <f>H70*$F70/1000</f>
        <v>26.568960000000001</v>
      </c>
      <c r="K69" s="1057"/>
      <c r="L69" s="1056"/>
      <c r="M69" s="1044">
        <f>K70*$F70/1000</f>
        <v>35.425280000000001</v>
      </c>
      <c r="N69" s="38"/>
      <c r="O69" s="51"/>
      <c r="P69" s="1041">
        <f>N70*$F70/1000</f>
        <v>44.281599999999997</v>
      </c>
      <c r="Q69" s="34"/>
    </row>
    <row r="70" spans="1:20" s="511" customFormat="1" ht="15" customHeight="1">
      <c r="A70" s="711"/>
      <c r="B70" s="772"/>
      <c r="C70" s="771" t="s">
        <v>606</v>
      </c>
      <c r="D70" s="285"/>
      <c r="E70" s="222"/>
      <c r="F70" s="3742">
        <f>'SDK7'!G101</f>
        <v>16</v>
      </c>
      <c r="G70" s="1054" t="s">
        <v>163</v>
      </c>
      <c r="H70" s="1357">
        <f>J7</f>
        <v>1660.56</v>
      </c>
      <c r="I70" s="1049"/>
      <c r="J70" s="1048"/>
      <c r="K70" s="1053">
        <f>M7</f>
        <v>2214.08</v>
      </c>
      <c r="L70" s="1052"/>
      <c r="M70" s="1051"/>
      <c r="N70" s="1357">
        <f>P7</f>
        <v>2767.6</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3470"/>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7</v>
      </c>
      <c r="H75" s="1007"/>
      <c r="I75" s="1008"/>
      <c r="J75" s="1005">
        <f>(J23+J27+J34+J43+J60+J65+J67+J69+J71)*('SDK1'!$O$59%*$G$75/12)</f>
        <v>15.394228023782222</v>
      </c>
      <c r="K75" s="513"/>
      <c r="L75" s="522"/>
      <c r="M75" s="1005">
        <f>(M23+M27+M34+M43+M60+M65+M67+M69+M71)*('SDK1'!$O$59%*$G$75/12)</f>
        <v>17.607541342424444</v>
      </c>
      <c r="N75" s="1007"/>
      <c r="O75" s="1006"/>
      <c r="P75" s="1005">
        <f>(P23+P27+P34+P43+P60+P65+P67+P69+P71)*('SDK1'!$O$59%*$G$75/12)</f>
        <v>19.846002283994444</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D150" s="12"/>
      <c r="F150" s="12"/>
      <c r="G150" s="12"/>
      <c r="H150" s="12"/>
      <c r="I150" s="12"/>
      <c r="J150" s="12"/>
      <c r="M150" s="31"/>
      <c r="N150" s="31"/>
      <c r="O150" s="31"/>
      <c r="P150" s="31"/>
      <c r="Q150" s="31"/>
    </row>
    <row r="151" spans="1:17">
      <c r="A151" s="31"/>
      <c r="B151" s="441"/>
      <c r="C151" s="12"/>
      <c r="D151" s="12"/>
      <c r="F151" s="12"/>
      <c r="G151" s="12"/>
      <c r="H151" s="12"/>
      <c r="I151" s="12"/>
      <c r="J151" s="12"/>
      <c r="M151" s="31"/>
      <c r="N151" s="31"/>
      <c r="O151" s="31"/>
      <c r="P151" s="31"/>
      <c r="Q151" s="31"/>
    </row>
    <row r="152" spans="1:17">
      <c r="A152" s="31"/>
      <c r="B152" s="441"/>
      <c r="C152" s="12"/>
      <c r="D152" s="12"/>
      <c r="F152" s="12"/>
      <c r="G152" s="12"/>
      <c r="H152" s="12"/>
      <c r="I152" s="12"/>
      <c r="J152" s="12"/>
      <c r="M152" s="31"/>
      <c r="N152" s="31"/>
      <c r="O152" s="31"/>
      <c r="P152" s="31"/>
      <c r="Q152" s="31"/>
    </row>
    <row r="153" spans="1:17">
      <c r="A153" s="31"/>
      <c r="B153" s="441"/>
      <c r="C153" s="12"/>
      <c r="D153" s="12"/>
      <c r="F153" s="12"/>
      <c r="G153" s="12"/>
      <c r="H153" s="12"/>
      <c r="I153" s="12"/>
      <c r="J153" s="12"/>
      <c r="M153" s="31"/>
      <c r="N153" s="31"/>
      <c r="O153" s="31"/>
      <c r="P153" s="31"/>
      <c r="Q153" s="31"/>
    </row>
    <row r="154" spans="1:17">
      <c r="A154" s="31"/>
      <c r="B154" s="441"/>
      <c r="C154" s="12"/>
      <c r="D154" s="12"/>
      <c r="F154" s="12"/>
      <c r="G154" s="12"/>
      <c r="H154" s="12"/>
      <c r="I154" s="12"/>
      <c r="J154" s="12"/>
      <c r="M154" s="31"/>
      <c r="N154" s="31"/>
      <c r="O154" s="31"/>
      <c r="P154" s="31"/>
      <c r="Q154" s="31"/>
    </row>
    <row r="155" spans="1:17">
      <c r="A155" s="31"/>
      <c r="B155" s="441"/>
      <c r="C155" s="12"/>
      <c r="D155" s="12"/>
      <c r="F155" s="12"/>
      <c r="G155" s="12"/>
      <c r="H155" s="12"/>
      <c r="I155" s="12"/>
      <c r="J155" s="12"/>
      <c r="M155" s="31"/>
      <c r="N155" s="31"/>
      <c r="O155" s="31"/>
      <c r="P155" s="31"/>
      <c r="Q155" s="31"/>
    </row>
    <row r="156" spans="1:17">
      <c r="A156" s="31"/>
      <c r="B156" s="441"/>
      <c r="C156" s="12"/>
      <c r="D156" s="12"/>
      <c r="F156" s="12"/>
      <c r="G156" s="12"/>
      <c r="H156" s="12"/>
      <c r="I156" s="12"/>
      <c r="J156" s="12"/>
      <c r="M156" s="31"/>
      <c r="N156" s="31"/>
      <c r="O156" s="31"/>
      <c r="P156" s="31"/>
      <c r="Q156" s="31"/>
    </row>
    <row r="157" spans="1:17">
      <c r="A157" s="31"/>
      <c r="B157" s="441"/>
      <c r="C157" s="12"/>
      <c r="D157" s="12"/>
      <c r="F157" s="12"/>
      <c r="G157" s="12"/>
      <c r="H157" s="12"/>
      <c r="I157" s="12"/>
      <c r="J157" s="12"/>
      <c r="M157" s="31"/>
      <c r="N157" s="31"/>
      <c r="O157" s="31"/>
      <c r="P157" s="31"/>
      <c r="Q157" s="31"/>
    </row>
    <row r="158" spans="1:17">
      <c r="A158" s="31"/>
      <c r="B158" s="441"/>
      <c r="C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K30" sqref="K30"/>
      <pageMargins left="0.59055118110236227" right="0.59055118110236227" top="0.59055118110236227" bottom="0.59055118110236227" header="0.39370078740157483" footer="0.39370078740157483"/>
      <printOptions horizontalCentered="1"/>
      <pageSetup paperSize="9" scale="65" firstPageNumber="22" orientation="portrait" r:id="rId1"/>
      <headerFooter alignWithMargins="0">
        <oddFooter>&amp;L&amp;11LEL Schwäbisch Gmünd&amp;C29&amp;R&amp;11&amp;F</oddFooter>
      </headerFooter>
    </customSheetView>
    <customSheetView guid="{5D5C9B61-9ABD-4513-AAEB-8333A9D6196C}"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22" orientation="portrait" r:id="rId2"/>
      <headerFooter alignWithMargins="0">
        <oddFooter>&amp;L&amp;11LEL Schwäbisch Gmünd&amp;C29&amp;R&amp;11&amp;F</oddFooter>
      </headerFooter>
    </customSheetView>
    <customSheetView guid="{22A73C4F-9004-4CEF-8499-B1F91BE1B569}" fitToPage="1" hiddenRows="1" hiddenColumns="1">
      <selection activeCell="K30" sqref="K30"/>
      <pageMargins left="0.59055118110236227" right="0.59055118110236227" top="0.59055118110236227" bottom="0.59055118110236227" header="0.39370078740157483" footer="0.39370078740157483"/>
      <printOptions horizontalCentered="1"/>
      <pageSetup paperSize="9" scale="65" firstPageNumber="22" orientation="portrait" r:id="rId3"/>
      <headerFooter alignWithMargins="0">
        <oddFooter>&amp;L&amp;11LEL Schwäbisch Gmünd&amp;C29&amp;R&amp;11&amp;F</oddFooter>
      </headerFooter>
    </customSheetView>
  </customSheetViews>
  <mergeCells count="50">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 ref="B3:H3"/>
  </mergeCells>
  <dataValidations count="6">
    <dataValidation type="list" showInputMessage="1" showErrorMessage="1" sqref="H14 K14 N14" xr:uid="{00000000-0002-0000-3500-000000000000}">
      <formula1>"ja,nein"</formula1>
    </dataValidation>
    <dataValidation type="list" allowBlank="1" showInputMessage="1" showErrorMessage="1" sqref="H15:H17 K15:K17 N15:N17" xr:uid="{00000000-0002-0000-3500-000001000000}">
      <formula1>"ja,nein"</formula1>
    </dataValidation>
    <dataValidation type="list" allowBlank="1" showInputMessage="1" showErrorMessage="1" errorTitle="Hagelversicherung Landesteil" error="Bitte aus Liste auswählen." sqref="E69:F69" xr:uid="{00000000-0002-0000-3500-000002000000}">
      <formula1>$C$102:$C$107</formula1>
    </dataValidation>
    <dataValidation type="whole" allowBlank="1" showInputMessage="1" showErrorMessage="1" errorTitle="Anteil Erntegut" error="Prozentwert darf nur zwischen 0 und 100 liegen." sqref="O68 L68 I68" xr:uid="{00000000-0002-0000-3500-000003000000}">
      <formula1>0</formula1>
      <formula2>100</formula2>
    </dataValidation>
    <dataValidation type="decimal" allowBlank="1" showInputMessage="1" showErrorMessage="1" errorTitle="Wassergehalt Getreide" error="Zulässig sind nur Werte zwischen 15,1 und 29,9 % Wassergehalt." sqref="H68 K68 N68" xr:uid="{00000000-0002-0000-3500-000004000000}">
      <formula1>15.1</formula1>
      <formula2>29.9</formula2>
    </dataValidation>
    <dataValidation type="list" allowBlank="1" showInputMessage="1" showErrorMessage="1" errorTitle="Organisationsabh. Ausgleichsl." error="Bitte aus Dropdownliste auswählen." sqref="D19:F19" xr:uid="{00000000-0002-0000-3500-000005000000}">
      <formula1>$C$60:$C$75</formula1>
    </dataValidation>
  </dataValidations>
  <hyperlinks>
    <hyperlink ref="F9" location="'SDK1'!A1" display="Preis ändern" xr:uid="{00000000-0004-0000-3500-000000000000}"/>
  </hyperlinks>
  <printOptions horizontalCentered="1"/>
  <pageMargins left="0.59055118110236227" right="0.59055118110236227" top="0.59055118110236227" bottom="0.59055118110236227" header="0.39370078740157483" footer="0.39370078740157483"/>
  <pageSetup paperSize="9" scale="65" firstPageNumber="22" orientation="portrait" r:id="rId4"/>
  <headerFooter alignWithMargins="0">
    <oddFooter>&amp;L&amp;11LEL Schwäbisch Gmünd&amp;C29&amp;R&amp;11&amp;F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0481" r:id="rId7" name="Check Box 1">
              <controlPr defaultSize="0" autoFill="0" autoLine="0" autoPict="0">
                <anchor moveWithCells="1">
                  <from>
                    <xdr:col>12</xdr:col>
                    <xdr:colOff>289560</xdr:colOff>
                    <xdr:row>3</xdr:row>
                    <xdr:rowOff>22860</xdr:rowOff>
                  </from>
                  <to>
                    <xdr:col>13</xdr:col>
                    <xdr:colOff>0</xdr:colOff>
                    <xdr:row>4</xdr:row>
                    <xdr:rowOff>0</xdr:rowOff>
                  </to>
                </anchor>
              </controlPr>
            </control>
          </mc:Choice>
        </mc:AlternateContent>
        <mc:AlternateContent xmlns:mc="http://schemas.openxmlformats.org/markup-compatibility/2006">
          <mc:Choice Requires="x14">
            <control shapeId="20482" r:id="rId8" name="Check Box 2">
              <controlPr defaultSize="0" autoFill="0" autoLine="0" autoPict="0">
                <anchor moveWithCells="1">
                  <from>
                    <xdr:col>12</xdr:col>
                    <xdr:colOff>289560</xdr:colOff>
                    <xdr:row>2</xdr:row>
                    <xdr:rowOff>45720</xdr:rowOff>
                  </from>
                  <to>
                    <xdr:col>13</xdr:col>
                    <xdr:colOff>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r:uid="{00000000-0002-0000-3500-000006000000}">
          <x14:formula1>
            <xm:f>'SDK5'!$F$214:$F$251</xm:f>
          </x14:formula1>
          <xm:sqref>C36:E42</xm:sqref>
        </x14:dataValidation>
        <x14:dataValidation type="list" allowBlank="1" showInputMessage="1" showErrorMessage="1" errorTitle="Verfahrensabh. Ausgleichsleist." error="Bitte aus Dropdownliste auswählen." xr:uid="{00000000-0002-0000-3500-000007000000}">
          <x14:formula1>
            <xm:f>'SD2'!$C$11:$C$50</xm:f>
          </x14:formula1>
          <xm:sqref>C14:F17</xm:sqref>
        </x14:dataValidation>
        <x14:dataValidation type="list" allowBlank="1" showInputMessage="1" showErrorMessage="1" errorTitle="Organisationsabh. Ausgleichsl." error="Bitte aus Dropdownliste auswählen." xr:uid="{00000000-0002-0000-3500-000008000000}">
          <x14:formula1>
            <xm:f>'SD2'!$C$60:$C$77</xm:f>
          </x14:formula1>
          <xm:sqref>C19:C21</xm:sqref>
        </x14:dataValidation>
        <x14:dataValidation type="list" allowBlank="1" showInputMessage="1" showErrorMessage="1" errorTitle="Arbeitsgänge" error="Bitte aus Dropdownliste auswählen." xr:uid="{00000000-0002-0000-3500-000009000000}">
          <x14:formula1>
            <xm:f>'SD3'!$C$23:$C$75</xm:f>
          </x14:formula1>
          <xm:sqref>C46:D57</xm:sqref>
        </x14:dataValidation>
        <x14:dataValidation type="list" allowBlank="1" showInputMessage="1" showErrorMessage="1" errorTitle="Lohnmaschinen" error="Bitte aus Dropdownliste auswählen." xr:uid="{00000000-0002-0000-3500-00000A000000}">
          <x14:formula1>
            <xm:f>'SD3'!$C$90:$C$104</xm:f>
          </x14:formula1>
          <xm:sqref>C62:E64</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43">
    <tabColor rgb="FF92D050"/>
    <pageSetUpPr fitToPage="1"/>
  </sheetPr>
  <dimension ref="A1:AO218"/>
  <sheetViews>
    <sheetView workbookViewId="0">
      <selection activeCell="C51" sqref="C51:D51"/>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6" width="10.5" style="31" hidden="1" customWidth="1"/>
    <col min="27" max="16384" width="10.5" style="31"/>
  </cols>
  <sheetData>
    <row r="1" spans="1:41" s="1317" customFormat="1" ht="30.45" customHeight="1">
      <c r="A1" s="1321"/>
      <c r="B1" s="258"/>
      <c r="C1" s="1333"/>
      <c r="D1" s="1253"/>
      <c r="E1" s="255"/>
      <c r="F1" s="255"/>
      <c r="G1" s="430"/>
      <c r="H1" s="1328"/>
      <c r="I1" s="3212" t="s">
        <v>1679</v>
      </c>
      <c r="J1" s="3210">
        <f>(J7+J13+J18+J22+I11+I12)-(J23+J27+J34+J43+J60+J65+J67+J69+J71+J75)</f>
        <v>17.237949106416522</v>
      </c>
      <c r="K1" s="4360">
        <f>M1-J1</f>
        <v>138.22159412902784</v>
      </c>
      <c r="L1" s="4360"/>
      <c r="M1" s="3210">
        <f>(M7+M13+M18+M22+L11+L12)-(M23+M27+M34+M43+M60+M65+M67+M69+M71+M75)</f>
        <v>155.45954323544436</v>
      </c>
      <c r="N1" s="4360">
        <f>P1-M1</f>
        <v>138.22159412902772</v>
      </c>
      <c r="O1" s="4360"/>
      <c r="P1" s="3210">
        <f>(P7+P13+P18+P22+O11+O12)-(P23+P27+P34+P43+P60+P65+P67+P69+P71+P75)</f>
        <v>293.68113736447208</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194</v>
      </c>
      <c r="L2" s="4372"/>
      <c r="M2" s="4372"/>
      <c r="N2" s="4372"/>
      <c r="O2" s="4372"/>
      <c r="P2" s="4372"/>
      <c r="Q2" s="1345">
        <v>0</v>
      </c>
      <c r="AB2" s="196"/>
    </row>
    <row r="3" spans="1:41" s="1317" customFormat="1" ht="32.4" customHeight="1">
      <c r="A3" s="1321"/>
      <c r="B3" s="4405" t="s">
        <v>1727</v>
      </c>
      <c r="C3" s="4405"/>
      <c r="D3" s="4405"/>
      <c r="E3" s="4405"/>
      <c r="F3" s="4405"/>
      <c r="G3" s="4405"/>
      <c r="H3" s="4405"/>
      <c r="J3" s="4368"/>
      <c r="K3" s="4369"/>
      <c r="L3" s="4369"/>
      <c r="M3" s="1368"/>
      <c r="N3" s="4373" t="str">
        <f>IF(AND(T3=TRUE,T4=TRUE),"nur 1 Strohnutzung möglich","")</f>
        <v/>
      </c>
      <c r="O3" s="4374"/>
      <c r="P3" s="1326"/>
      <c r="Q3" s="1321"/>
      <c r="T3" s="1343" t="b">
        <v>0</v>
      </c>
      <c r="AB3" s="196"/>
    </row>
    <row r="4" spans="1:41" s="1317" customFormat="1" ht="20.25" customHeight="1">
      <c r="A4" s="1321"/>
      <c r="B4" s="309" t="s">
        <v>779</v>
      </c>
      <c r="C4" s="31"/>
      <c r="D4" s="31"/>
      <c r="E4" s="4406" t="s">
        <v>890</v>
      </c>
      <c r="F4" s="4406"/>
      <c r="G4" s="4406"/>
      <c r="H4" s="4406"/>
      <c r="I4" s="4406"/>
      <c r="J4" s="4368"/>
      <c r="K4" s="4369"/>
      <c r="L4" s="4369"/>
      <c r="M4" s="1367"/>
      <c r="N4" s="4374"/>
      <c r="O4" s="4374"/>
      <c r="P4" s="1322">
        <f>'SDK1'!O3</f>
        <v>2024</v>
      </c>
      <c r="Q4" s="1321"/>
      <c r="T4" s="1343" t="b">
        <v>0</v>
      </c>
    </row>
    <row r="5" spans="1:41" ht="6" customHeight="1"/>
    <row r="6" spans="1:41" s="1311" customFormat="1" ht="24" customHeight="1">
      <c r="A6" s="41"/>
      <c r="B6" s="1316" t="s">
        <v>832</v>
      </c>
      <c r="C6" s="1315"/>
      <c r="D6" s="1315"/>
      <c r="E6" s="1315"/>
      <c r="F6" s="1315"/>
      <c r="G6" s="1314"/>
      <c r="H6" s="4366" t="s">
        <v>171</v>
      </c>
      <c r="I6" s="4367"/>
      <c r="J6" s="1313">
        <f>M6*0.75</f>
        <v>18.75</v>
      </c>
      <c r="K6" s="4379" t="s">
        <v>144</v>
      </c>
      <c r="L6" s="4380"/>
      <c r="M6" s="1313">
        <v>25</v>
      </c>
      <c r="N6" s="4366" t="s">
        <v>170</v>
      </c>
      <c r="O6" s="4367"/>
      <c r="P6" s="1312">
        <f>M6*1.25</f>
        <v>31.25</v>
      </c>
      <c r="Q6" s="49"/>
    </row>
    <row r="7" spans="1:41" s="196" customFormat="1" ht="18.75" customHeight="1">
      <c r="A7" s="40"/>
      <c r="B7" s="245" t="s">
        <v>883</v>
      </c>
      <c r="C7" s="40"/>
      <c r="D7" s="40"/>
      <c r="E7" s="40"/>
      <c r="F7" s="40"/>
      <c r="G7" s="1310"/>
      <c r="H7" s="1307"/>
      <c r="I7" s="1306"/>
      <c r="J7" s="1041">
        <f>SUM(I9:I10)</f>
        <v>684.375</v>
      </c>
      <c r="K7" s="1309"/>
      <c r="L7" s="1308"/>
      <c r="M7" s="1044">
        <f>SUM(L9:L10)</f>
        <v>912.5</v>
      </c>
      <c r="N7" s="1307"/>
      <c r="O7" s="1306"/>
      <c r="P7" s="1041">
        <f>SUM(O9:O10)</f>
        <v>1140.625</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f>'SDK1'!O32</f>
        <v>36.5</v>
      </c>
      <c r="H9" s="1303">
        <f>J6-H10</f>
        <v>18.75</v>
      </c>
      <c r="I9" s="1299">
        <f>H9*G9</f>
        <v>684.375</v>
      </c>
      <c r="J9" s="37"/>
      <c r="K9" s="1302">
        <f>M6-K10</f>
        <v>25</v>
      </c>
      <c r="L9" s="1301">
        <f>K9*G9</f>
        <v>912.5</v>
      </c>
      <c r="M9" s="1280"/>
      <c r="N9" s="1300">
        <f>P6-N10</f>
        <v>31.25</v>
      </c>
      <c r="O9" s="1299">
        <f>N9*G9</f>
        <v>1140.625</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309"/>
      <c r="B11" s="217"/>
      <c r="C11" s="39" t="s">
        <v>878</v>
      </c>
      <c r="D11" s="309"/>
      <c r="E11" s="1286">
        <v>0.5</v>
      </c>
      <c r="F11" s="39" t="s">
        <v>877</v>
      </c>
      <c r="G11" s="1285">
        <f>'SDK1'!$O$48</f>
        <v>10.7</v>
      </c>
      <c r="H11" s="3151">
        <f>IF($T$3=FALSE,0,J6*$E$11)</f>
        <v>0</v>
      </c>
      <c r="I11" s="3152">
        <f>H11*$G$11</f>
        <v>0</v>
      </c>
      <c r="J11" s="3153"/>
      <c r="K11" s="3154">
        <f>IF($T$3=FALSE,0,M6*$E$11)</f>
        <v>0</v>
      </c>
      <c r="L11" s="3155">
        <f>K11*$G$11</f>
        <v>0</v>
      </c>
      <c r="M11" s="3156"/>
      <c r="N11" s="3157">
        <f>IF($T$3=FALSE,0,P6*$E$11)</f>
        <v>0</v>
      </c>
      <c r="O11" s="3152">
        <f>N11*$G$11</f>
        <v>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0</v>
      </c>
      <c r="K13" s="1352"/>
      <c r="L13" s="1251"/>
      <c r="M13" s="1044">
        <f>SUM(L14:L17)</f>
        <v>0</v>
      </c>
      <c r="N13" s="1351"/>
      <c r="O13" s="1249"/>
      <c r="P13" s="1041">
        <f>SUM(O14:O17)</f>
        <v>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c r="D14" s="4365"/>
      <c r="E14" s="4365"/>
      <c r="F14" s="4365"/>
      <c r="G14" s="1263"/>
      <c r="H14" s="1262" t="s">
        <v>919</v>
      </c>
      <c r="I14" s="2827">
        <f>IF(H14="ja",Q14,0)</f>
        <v>0</v>
      </c>
      <c r="J14" s="39"/>
      <c r="K14" s="1262" t="s">
        <v>919</v>
      </c>
      <c r="L14" s="1098">
        <f>IF(K14="ja",Q14,0)</f>
        <v>0</v>
      </c>
      <c r="M14" s="1016"/>
      <c r="N14" s="1262" t="s">
        <v>919</v>
      </c>
      <c r="O14" s="2827">
        <f>IF(N14="ja",Q14,0)</f>
        <v>0</v>
      </c>
      <c r="P14" s="2826"/>
      <c r="Q14" s="1261">
        <f>IF(C14=0,0,VLOOKUP(C14,'SD2'!$C$11:$O$50,'SD2'!$O$1,FALSE))</f>
        <v>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6" customHeight="1">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177</v>
      </c>
      <c r="S19" s="1241">
        <f>M13+M18</f>
        <v>177</v>
      </c>
      <c r="T19" s="1240">
        <f>P13+P18</f>
        <v>177</v>
      </c>
    </row>
    <row r="20" spans="1:26" s="36" customFormat="1" ht="15.6" customHeight="1">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6" customHeight="1">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ustomHeight="1">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125</v>
      </c>
      <c r="K23" s="1046"/>
      <c r="L23" s="1045"/>
      <c r="M23" s="1227">
        <f>SUM(L25:L26)</f>
        <v>125</v>
      </c>
      <c r="N23" s="1043"/>
      <c r="O23" s="1042"/>
      <c r="P23" s="1026">
        <f>SUM(O25:O26)</f>
        <v>125</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'SDK7'!F64</f>
        <v>250</v>
      </c>
      <c r="G25" s="1221">
        <f>F25*(100+$D$24)/100</f>
        <v>250</v>
      </c>
      <c r="H25" s="1220">
        <v>0.5</v>
      </c>
      <c r="I25" s="1181">
        <f>H25*$G25</f>
        <v>125</v>
      </c>
      <c r="J25" s="39"/>
      <c r="K25" s="1220">
        <f>H25</f>
        <v>0.5</v>
      </c>
      <c r="L25" s="1023">
        <f>K25*$G25</f>
        <v>125</v>
      </c>
      <c r="M25" s="1016"/>
      <c r="N25" s="1220">
        <f>H25</f>
        <v>0.5</v>
      </c>
      <c r="O25" s="1181">
        <f>N25*$G25</f>
        <v>125</v>
      </c>
      <c r="P25" s="1145"/>
      <c r="Q25" s="34"/>
    </row>
    <row r="26" spans="1:26" s="36" customFormat="1" ht="15" customHeight="1">
      <c r="A26" s="746"/>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34"/>
    </row>
    <row r="27" spans="1:26" s="511" customFormat="1" ht="18.75" customHeight="1">
      <c r="A27" s="711"/>
      <c r="B27" s="1215" t="s">
        <v>865</v>
      </c>
      <c r="C27" s="711"/>
      <c r="D27" s="51"/>
      <c r="E27" s="34"/>
      <c r="F27" s="34"/>
      <c r="G27" s="1214"/>
      <c r="H27" s="1173"/>
      <c r="I27" s="1172"/>
      <c r="J27" s="1041">
        <f>SUM(I30:I32)</f>
        <v>145.479375</v>
      </c>
      <c r="K27" s="1175"/>
      <c r="L27" s="1174"/>
      <c r="M27" s="1044">
        <f>SUM(L30:L32)</f>
        <v>193.9725</v>
      </c>
      <c r="N27" s="1173"/>
      <c r="O27" s="1172"/>
      <c r="P27" s="1041">
        <f>SUM(O30:O32)</f>
        <v>242.46562499999999</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2.91</v>
      </c>
      <c r="F30" s="1201">
        <f>VLOOKUP(K2,'SD8'!B9:L42,7,FALSE)</f>
        <v>2</v>
      </c>
      <c r="G30" s="1200"/>
      <c r="H30" s="1198">
        <f>IF(J$6=0,0,(J$6*$E30+$G30+X14))</f>
        <v>54.5625</v>
      </c>
      <c r="I30" s="1181">
        <f>H30*$D30</f>
        <v>64.929374999999993</v>
      </c>
      <c r="J30" s="39"/>
      <c r="K30" s="1199">
        <f>IF(M$6=0,0,(M$6*$E30+$G30+Y14))</f>
        <v>72.75</v>
      </c>
      <c r="L30" s="1023">
        <f>K30*$D30</f>
        <v>86.572499999999991</v>
      </c>
      <c r="M30" s="1016"/>
      <c r="N30" s="1198">
        <f>IF(P$6=0,0,(P$6*$E30+$G30+Z14))</f>
        <v>90.9375</v>
      </c>
      <c r="O30" s="1181">
        <f>N30*$D30</f>
        <v>108.21562499999999</v>
      </c>
      <c r="P30" s="1145"/>
      <c r="Q30" s="34"/>
    </row>
    <row r="31" spans="1:26" s="36" customFormat="1" ht="15" customHeight="1">
      <c r="A31" s="746"/>
      <c r="B31" s="217"/>
      <c r="C31" s="746" t="s">
        <v>234</v>
      </c>
      <c r="D31" s="1150">
        <f>'SDK1'!O53</f>
        <v>1.2</v>
      </c>
      <c r="E31" s="1201">
        <f>VLOOKUP(K2,'SD8'!B9:L42,4,FALSE)</f>
        <v>1.6</v>
      </c>
      <c r="F31" s="1201">
        <f>VLOOKUP(K2,'SD8'!B9:L42,8,FALSE)</f>
        <v>1.7999999999999998</v>
      </c>
      <c r="G31" s="1200"/>
      <c r="H31" s="1198">
        <f>IF(J$6=0,0,(J$6*$E31+$G31+X15))</f>
        <v>30</v>
      </c>
      <c r="I31" s="1181">
        <f>H31*$D31</f>
        <v>36</v>
      </c>
      <c r="J31" s="39"/>
      <c r="K31" s="1199">
        <f>IF(M$6=0,0,(M$6*$E31+$G31+Y15))</f>
        <v>40</v>
      </c>
      <c r="L31" s="1023">
        <f>K31*$D31</f>
        <v>48</v>
      </c>
      <c r="M31" s="1016"/>
      <c r="N31" s="1198">
        <f>IF(P$6=0,0,(P$6*$E31+$G31+Z15))</f>
        <v>50</v>
      </c>
      <c r="O31" s="1181">
        <f>N31*$D31</f>
        <v>60</v>
      </c>
      <c r="P31" s="1145"/>
      <c r="Q31" s="34"/>
    </row>
    <row r="32" spans="1:26" s="36" customFormat="1" ht="15" customHeight="1">
      <c r="A32" s="746"/>
      <c r="B32" s="185"/>
      <c r="C32" s="2791" t="s">
        <v>232</v>
      </c>
      <c r="D32" s="1133">
        <f>'SDK1'!O54</f>
        <v>0.99</v>
      </c>
      <c r="E32" s="1197">
        <f>VLOOKUP(K2,'SD8'!B9:L42,5,FALSE)</f>
        <v>2.4</v>
      </c>
      <c r="F32" s="1197">
        <f>VLOOKUP(K2,'SD8'!B9:L42,9,FALSE)</f>
        <v>10</v>
      </c>
      <c r="G32" s="1196"/>
      <c r="H32" s="1194">
        <f>IF(J$6=0,0,(J$6*$E32+$G32+X16))</f>
        <v>45</v>
      </c>
      <c r="I32" s="1177">
        <f>H32*$D32</f>
        <v>44.55</v>
      </c>
      <c r="J32" s="223"/>
      <c r="K32" s="1195">
        <f>IF(M$6=0,0,(M$6*$E32+$G32+Y16))</f>
        <v>60</v>
      </c>
      <c r="L32" s="1017">
        <f>K32*$D32</f>
        <v>59.4</v>
      </c>
      <c r="M32" s="1256"/>
      <c r="N32" s="1194">
        <f>IF(P$6=0,0,(P$6*$E32+$G32+Z16))</f>
        <v>75</v>
      </c>
      <c r="O32" s="1177">
        <f>N32*$D32</f>
        <v>74.25</v>
      </c>
      <c r="P32" s="1176"/>
      <c r="Q32" s="34"/>
    </row>
    <row r="33" spans="1:17" s="36" customFormat="1" ht="15" hidden="1" customHeight="1">
      <c r="A33" s="746"/>
      <c r="B33" s="185"/>
      <c r="C33" s="771" t="s">
        <v>230</v>
      </c>
      <c r="D33" s="1133">
        <f>'SDK1'!P55</f>
        <v>0.45</v>
      </c>
      <c r="E33" s="1197">
        <f>VLOOKUP(K2,'SD8'!B9:L42,6,FALSE)</f>
        <v>0.7</v>
      </c>
      <c r="F33" s="1197">
        <f>VLOOKUP(K2,'SD8'!B9:L42,10,FALSE)</f>
        <v>0.5</v>
      </c>
      <c r="G33" s="1196"/>
      <c r="H33" s="1194">
        <f>IF(J$6=0,0,(J$6*$E33+$G33+X17))</f>
        <v>13.125</v>
      </c>
      <c r="I33" s="1177">
        <f>H33*$D33</f>
        <v>5.90625</v>
      </c>
      <c r="J33" s="39"/>
      <c r="K33" s="1195">
        <f>IF(M$6=0,0,(M$6*$E33+$G33+Y17))</f>
        <v>17.5</v>
      </c>
      <c r="L33" s="1017">
        <f>K33*$D33</f>
        <v>7.875</v>
      </c>
      <c r="M33" s="1016"/>
      <c r="N33" s="1194">
        <f>IF(P$6=0,0,(P$6*$E33+$G33+Z17))</f>
        <v>21.875</v>
      </c>
      <c r="O33" s="1177">
        <f>N33*$D33</f>
        <v>9.84375</v>
      </c>
      <c r="P33" s="1176"/>
      <c r="Q33" s="34"/>
    </row>
    <row r="34" spans="1:17" s="511" customFormat="1" ht="18.75" customHeight="1">
      <c r="A34" s="711"/>
      <c r="B34" s="716" t="s">
        <v>859</v>
      </c>
      <c r="C34" s="711"/>
      <c r="D34" s="33"/>
      <c r="E34" s="33"/>
      <c r="F34" s="4381" t="s">
        <v>858</v>
      </c>
      <c r="G34" s="4382"/>
      <c r="H34" s="1191"/>
      <c r="I34" s="1190"/>
      <c r="J34" s="1041">
        <f>SUM(I36:I42)</f>
        <v>87.149999999999991</v>
      </c>
      <c r="K34" s="1193"/>
      <c r="L34" s="1192"/>
      <c r="M34" s="1044">
        <f>SUM(L36:L42)</f>
        <v>87.149999999999991</v>
      </c>
      <c r="N34" s="1191"/>
      <c r="O34" s="1190"/>
      <c r="P34" s="1041">
        <f>SUM(O36:O42)</f>
        <v>87.149999999999991</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1481</v>
      </c>
      <c r="D36" s="4389"/>
      <c r="E36" s="4390"/>
      <c r="F36" s="1183">
        <f>IF(C36="",0,VLOOKUP(C36,'SDK5'!C3:AF83,2,FALSE))</f>
        <v>24.9</v>
      </c>
      <c r="G36" s="1183">
        <f t="shared" ref="G36:G42" si="0">F36*(100+$D$35)/100</f>
        <v>24.9</v>
      </c>
      <c r="H36" s="1182">
        <v>3.5</v>
      </c>
      <c r="I36" s="1181">
        <f t="shared" ref="I36:I42" si="1">$G36*H36</f>
        <v>87.149999999999991</v>
      </c>
      <c r="J36" s="39"/>
      <c r="K36" s="1182">
        <v>3.5</v>
      </c>
      <c r="L36" s="1023">
        <f t="shared" ref="L36:L42" si="2">$G36*K36</f>
        <v>87.149999999999991</v>
      </c>
      <c r="M36" s="1016"/>
      <c r="N36" s="1182">
        <v>3.5</v>
      </c>
      <c r="O36" s="1181">
        <f t="shared" ref="O36:O42" si="3">$G36*N36</f>
        <v>87.149999999999991</v>
      </c>
      <c r="P36" s="1185"/>
      <c r="Q36" s="34"/>
    </row>
    <row r="37" spans="1:17" s="36" customFormat="1" ht="15" customHeight="1">
      <c r="A37" s="746"/>
      <c r="B37" s="1021"/>
      <c r="C37" s="4375" t="s">
        <v>311</v>
      </c>
      <c r="D37" s="4375"/>
      <c r="E37" s="4376"/>
      <c r="F37" s="1183">
        <f>IF(C37="",0,VLOOKUP(C37,'SDK5'!C4:AF84,2,FALSE))</f>
        <v>0</v>
      </c>
      <c r="G37" s="1183">
        <f t="shared" si="0"/>
        <v>0</v>
      </c>
      <c r="H37" s="1182"/>
      <c r="I37" s="1181">
        <f t="shared" si="1"/>
        <v>0</v>
      </c>
      <c r="J37" s="39"/>
      <c r="K37" s="1182"/>
      <c r="L37" s="1023">
        <f t="shared" si="2"/>
        <v>0</v>
      </c>
      <c r="M37" s="1016"/>
      <c r="N37" s="1182"/>
      <c r="O37" s="1181">
        <f t="shared" si="3"/>
        <v>0</v>
      </c>
      <c r="P37" s="1145"/>
      <c r="Q37" s="34"/>
    </row>
    <row r="38" spans="1:17" s="36" customFormat="1" ht="15" customHeight="1">
      <c r="A38" s="746"/>
      <c r="B38" s="1184"/>
      <c r="C38" s="4375"/>
      <c r="D38" s="4375"/>
      <c r="E38" s="4376"/>
      <c r="F38" s="1183">
        <f>IF(C38="",0,VLOOKUP(C38,'SDK5'!C5:AF85,2,FALSE))</f>
        <v>0</v>
      </c>
      <c r="G38" s="1183">
        <f t="shared" si="0"/>
        <v>0</v>
      </c>
      <c r="H38" s="1182"/>
      <c r="I38" s="1181">
        <f t="shared" si="1"/>
        <v>0</v>
      </c>
      <c r="J38" s="39"/>
      <c r="K38" s="1182"/>
      <c r="L38" s="1023">
        <f t="shared" si="2"/>
        <v>0</v>
      </c>
      <c r="M38" s="1016"/>
      <c r="N38" s="1182"/>
      <c r="O38" s="1181">
        <f t="shared" si="3"/>
        <v>0</v>
      </c>
      <c r="P38" s="1145"/>
      <c r="Q38" s="34"/>
    </row>
    <row r="39" spans="1:17" s="36" customFormat="1" ht="15" customHeight="1">
      <c r="A39" s="746"/>
      <c r="B39" s="1021"/>
      <c r="C39" s="4375"/>
      <c r="D39" s="4375"/>
      <c r="E39" s="4376"/>
      <c r="F39" s="1183">
        <f>IF(C39="",0,VLOOKUP(C39,'SDK5'!C6:AF86,2,FALSE))</f>
        <v>0</v>
      </c>
      <c r="G39" s="1183">
        <f t="shared" si="0"/>
        <v>0</v>
      </c>
      <c r="H39" s="1182"/>
      <c r="I39" s="1181">
        <f t="shared" si="1"/>
        <v>0</v>
      </c>
      <c r="J39" s="39"/>
      <c r="K39" s="1182"/>
      <c r="L39" s="1023">
        <f t="shared" si="2"/>
        <v>0</v>
      </c>
      <c r="M39" s="1016"/>
      <c r="N39" s="1182"/>
      <c r="O39" s="1181">
        <f t="shared" si="3"/>
        <v>0</v>
      </c>
      <c r="P39" s="1145"/>
      <c r="Q39" s="34"/>
    </row>
    <row r="40" spans="1:17" s="36" customFormat="1" ht="15" customHeight="1">
      <c r="A40" s="746"/>
      <c r="B40" s="1021"/>
      <c r="C40" s="4375"/>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166.86883662999998</v>
      </c>
      <c r="K43" s="1175"/>
      <c r="L43" s="1174"/>
      <c r="M43" s="1044">
        <f>SUM(M46:M57)</f>
        <v>167.84861414666665</v>
      </c>
      <c r="N43" s="1173"/>
      <c r="O43" s="1172"/>
      <c r="P43" s="1041">
        <f>SUM(P46:P57)</f>
        <v>168.82839166333332</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47">
        <v>1</v>
      </c>
      <c r="I46" s="1154">
        <f t="shared" ref="I46:I57" si="4">$F46*H46</f>
        <v>1.38</v>
      </c>
      <c r="J46" s="1145">
        <f t="shared" ref="J46:J57" si="5">H46*$G46</f>
        <v>64.642445999999993</v>
      </c>
      <c r="K46" s="1147">
        <v>1</v>
      </c>
      <c r="L46" s="1156">
        <f t="shared" ref="L46:L57" si="6">$F46*K46</f>
        <v>1.38</v>
      </c>
      <c r="M46" s="1148">
        <f t="shared" ref="M46:M57" si="7">K46*$G46</f>
        <v>64.642445999999993</v>
      </c>
      <c r="N46" s="1147">
        <v>1</v>
      </c>
      <c r="O46" s="1154">
        <f t="shared" ref="O46:O57" si="8">$F46*N46</f>
        <v>1.38</v>
      </c>
      <c r="P46" s="1145">
        <f t="shared" ref="P46:P57" si="9">N46*$G46</f>
        <v>64.642445999999993</v>
      </c>
      <c r="Q46" s="34">
        <f>$Q$2*H46</f>
        <v>0</v>
      </c>
    </row>
    <row r="47" spans="1:17" s="36" customFormat="1" ht="15" customHeight="1">
      <c r="A47" s="746"/>
      <c r="B47" s="1153"/>
      <c r="C47" s="4387" t="s">
        <v>357</v>
      </c>
      <c r="D47" s="4388"/>
      <c r="E47" s="1152">
        <f>IF($C47=0,0,VLOOKUP($C47,'SD3'!$C$24:$O$85,4,FALSE))</f>
        <v>83</v>
      </c>
      <c r="F47" s="1151">
        <f>IF($C47=0,0,VLOOKUP($C47,'SD3'!$C$24:$O$85,12,FALSE))</f>
        <v>1.02</v>
      </c>
      <c r="G47" s="1150">
        <f>IF($C47=0,0,VLOOKUP($C47,'SD3'!$C$24:$O$85,13,FALSE))</f>
        <v>29.5819738</v>
      </c>
      <c r="H47" s="1147">
        <v>1</v>
      </c>
      <c r="I47" s="1146">
        <f t="shared" si="4"/>
        <v>1.02</v>
      </c>
      <c r="J47" s="1145">
        <f t="shared" si="5"/>
        <v>29.5819738</v>
      </c>
      <c r="K47" s="1147">
        <v>1</v>
      </c>
      <c r="L47" s="1149">
        <f t="shared" si="6"/>
        <v>1.02</v>
      </c>
      <c r="M47" s="1148">
        <f t="shared" si="7"/>
        <v>29.5819738</v>
      </c>
      <c r="N47" s="1147">
        <v>1</v>
      </c>
      <c r="O47" s="1146">
        <f t="shared" si="8"/>
        <v>1.02</v>
      </c>
      <c r="P47" s="1145">
        <f t="shared" si="9"/>
        <v>29.5819738</v>
      </c>
      <c r="Q47" s="34"/>
    </row>
    <row r="48" spans="1:17" s="36" customFormat="1" ht="15" customHeight="1">
      <c r="A48" s="746"/>
      <c r="B48" s="1153"/>
      <c r="C48" s="4387" t="s">
        <v>351</v>
      </c>
      <c r="D48" s="4388"/>
      <c r="E48" s="1152">
        <f>IF($C48=0,0,VLOOKUP($C48,'SD3'!$C$24:$O$85,4,FALSE))</f>
        <v>83</v>
      </c>
      <c r="F48" s="1151">
        <f>IF($C48=0,0,VLOOKUP($C48,'SD3'!$C$24:$O$85,12,FALSE))</f>
        <v>0.78</v>
      </c>
      <c r="G48" s="1150">
        <f>IF($C48=0,0,VLOOKUP($C48,'SD3'!$C$24:$O$85,13,FALSE))</f>
        <v>31.33439774</v>
      </c>
      <c r="H48" s="1147">
        <v>1</v>
      </c>
      <c r="I48" s="1146">
        <f t="shared" si="4"/>
        <v>0.78</v>
      </c>
      <c r="J48" s="1145">
        <f t="shared" si="5"/>
        <v>31.33439774</v>
      </c>
      <c r="K48" s="1147">
        <v>1</v>
      </c>
      <c r="L48" s="1149">
        <f t="shared" si="6"/>
        <v>0.78</v>
      </c>
      <c r="M48" s="1148">
        <f t="shared" si="7"/>
        <v>31.33439774</v>
      </c>
      <c r="N48" s="1147">
        <v>1</v>
      </c>
      <c r="O48" s="1146">
        <f t="shared" si="8"/>
        <v>0.78</v>
      </c>
      <c r="P48" s="1145">
        <f t="shared" si="9"/>
        <v>31.33439774</v>
      </c>
      <c r="Q48" s="34"/>
    </row>
    <row r="49" spans="1:17" s="36" customFormat="1" ht="15" customHeight="1">
      <c r="A49" s="746"/>
      <c r="B49" s="1153"/>
      <c r="C49" s="4387" t="s">
        <v>346</v>
      </c>
      <c r="D49" s="4388"/>
      <c r="E49" s="1152">
        <f>IF($C49=0,0,VLOOKUP($C49,'SD3'!$C$24:$O$85,4,FALSE))</f>
        <v>83</v>
      </c>
      <c r="F49" s="1151">
        <f>IF($C49=0,0,VLOOKUP($C49,'SD3'!$C$24:$O$85,12,FALSE))</f>
        <v>0.16</v>
      </c>
      <c r="G49" s="1150">
        <f>IF($C49=0,0,VLOOKUP($C49,'SD3'!$C$24:$O$85,13,FALSE))</f>
        <v>3.7403892799999996</v>
      </c>
      <c r="H49" s="1147">
        <v>1</v>
      </c>
      <c r="I49" s="1146">
        <f t="shared" si="4"/>
        <v>0.16</v>
      </c>
      <c r="J49" s="1145">
        <f t="shared" si="5"/>
        <v>3.7403892799999996</v>
      </c>
      <c r="K49" s="1147">
        <v>1</v>
      </c>
      <c r="L49" s="1149">
        <f t="shared" si="6"/>
        <v>0.16</v>
      </c>
      <c r="M49" s="1148">
        <f t="shared" si="7"/>
        <v>3.7403892799999996</v>
      </c>
      <c r="N49" s="1147">
        <v>1</v>
      </c>
      <c r="O49" s="1146">
        <f t="shared" si="8"/>
        <v>0.16</v>
      </c>
      <c r="P49" s="1145">
        <f t="shared" si="9"/>
        <v>3.7403892799999996</v>
      </c>
      <c r="Q49" s="34"/>
    </row>
    <row r="50" spans="1:17" s="36" customFormat="1" ht="15" customHeight="1">
      <c r="A50" s="746"/>
      <c r="B50" s="1153"/>
      <c r="C50" s="4387" t="s">
        <v>1591</v>
      </c>
      <c r="D50" s="4388"/>
      <c r="E50" s="1152">
        <f>IF($C50=0,0,VLOOKUP($C50,'SD3'!$C$24:$O$85,4,FALSE))</f>
        <v>83</v>
      </c>
      <c r="F50" s="1151">
        <f>IF($C50=0,0,VLOOKUP($C50,'SD3'!$C$24:$O$85,12,FALSE))</f>
        <v>0.22</v>
      </c>
      <c r="G50" s="1150">
        <f>IF($C50=0,0,VLOOKUP($C50,'SD3'!$C$24:$O$85,13,FALSE))</f>
        <v>6.6430352599999996</v>
      </c>
      <c r="H50" s="1147">
        <v>1</v>
      </c>
      <c r="I50" s="1146">
        <f t="shared" si="4"/>
        <v>0.22</v>
      </c>
      <c r="J50" s="1145">
        <f t="shared" si="5"/>
        <v>6.6430352599999996</v>
      </c>
      <c r="K50" s="1147">
        <v>1</v>
      </c>
      <c r="L50" s="1149">
        <f t="shared" si="6"/>
        <v>0.22</v>
      </c>
      <c r="M50" s="1148">
        <f t="shared" si="7"/>
        <v>6.6430352599999996</v>
      </c>
      <c r="N50" s="1147">
        <v>1</v>
      </c>
      <c r="O50" s="1146">
        <f t="shared" si="8"/>
        <v>0.22</v>
      </c>
      <c r="P50" s="1145">
        <f t="shared" si="9"/>
        <v>6.6430352599999996</v>
      </c>
      <c r="Q50" s="34"/>
    </row>
    <row r="51" spans="1:17" s="36" customFormat="1" ht="15" customHeight="1">
      <c r="A51" s="746"/>
      <c r="B51" s="1153"/>
      <c r="C51" s="4403" t="s">
        <v>1748</v>
      </c>
      <c r="D51" s="4404"/>
      <c r="E51" s="1152">
        <f>IF($C51=0,0,VLOOKUP($C51,'SD3'!$C$24:$O$85,4,FALSE))</f>
        <v>120</v>
      </c>
      <c r="F51" s="1151">
        <f>IF($C51=0,0,VLOOKUP($C51,'SD3'!$C$24:$O$85,12,FALSE))</f>
        <v>0.37</v>
      </c>
      <c r="G51" s="1150">
        <f>IF($C51=0,0,VLOOKUP($C51,'SD3'!$C$24:$O$85,13,FALSE))</f>
        <v>11.7573302</v>
      </c>
      <c r="H51" s="3654">
        <f>J6/75</f>
        <v>0.25</v>
      </c>
      <c r="I51" s="1146">
        <f t="shared" si="4"/>
        <v>9.2499999999999999E-2</v>
      </c>
      <c r="J51" s="1145">
        <f t="shared" si="5"/>
        <v>2.93933255</v>
      </c>
      <c r="K51" s="3654">
        <f>M6/75</f>
        <v>0.33333333333333331</v>
      </c>
      <c r="L51" s="1149">
        <f t="shared" si="6"/>
        <v>0.12333333333333332</v>
      </c>
      <c r="M51" s="1148">
        <f t="shared" si="7"/>
        <v>3.9191100666666667</v>
      </c>
      <c r="N51" s="3654">
        <f>P6/75</f>
        <v>0.41666666666666669</v>
      </c>
      <c r="O51" s="1146">
        <f t="shared" si="8"/>
        <v>0.15416666666666667</v>
      </c>
      <c r="P51" s="1145">
        <f t="shared" si="9"/>
        <v>4.8988875833333339</v>
      </c>
      <c r="Q51" s="34"/>
    </row>
    <row r="52" spans="1:17" s="36" customFormat="1" ht="15" customHeight="1">
      <c r="A52" s="746"/>
      <c r="B52" s="1153"/>
      <c r="C52" s="4387" t="s">
        <v>360</v>
      </c>
      <c r="D52" s="4388"/>
      <c r="E52" s="1152">
        <f>IF($C52=0,0,VLOOKUP($C52,'SD3'!$C$24:$O$85,4,FALSE))</f>
        <v>120</v>
      </c>
      <c r="F52" s="1151">
        <f>IF($C52=0,0,VLOOKUP($C52,'SD3'!$C$24:$O$85,12,FALSE))</f>
        <v>0.79</v>
      </c>
      <c r="G52" s="1150">
        <f>IF($C52=0,0,VLOOKUP($C52,'SD3'!$C$24:$O$85,13,FALSE))</f>
        <v>27.987262000000001</v>
      </c>
      <c r="H52" s="1147">
        <v>1</v>
      </c>
      <c r="I52" s="1146">
        <f t="shared" si="4"/>
        <v>0.79</v>
      </c>
      <c r="J52" s="1145">
        <f t="shared" si="5"/>
        <v>27.987262000000001</v>
      </c>
      <c r="K52" s="1147">
        <v>1</v>
      </c>
      <c r="L52" s="1149">
        <f t="shared" si="6"/>
        <v>0.79</v>
      </c>
      <c r="M52" s="1148">
        <f t="shared" si="7"/>
        <v>27.987262000000001</v>
      </c>
      <c r="N52" s="1147">
        <v>1</v>
      </c>
      <c r="O52" s="1146">
        <f t="shared" si="8"/>
        <v>0.79</v>
      </c>
      <c r="P52" s="1145">
        <f t="shared" si="9"/>
        <v>27.987262000000001</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t="s">
        <v>332</v>
      </c>
      <c r="D57" s="4402"/>
      <c r="E57" s="1135">
        <f>IF($C57=0,0,VLOOKUP($C57,'SD3'!$C$24:$O$85,4,FALSE))</f>
        <v>83</v>
      </c>
      <c r="F57" s="1134">
        <f>IF($C57=0,0,VLOOKUP($C57,'SD3'!$C$24:$O$85,12,FALSE))</f>
        <v>1.3</v>
      </c>
      <c r="G57" s="1133">
        <f>IF($C57=0,0,VLOOKUP($C57,'SD3'!$C$24:$O$85,13,FALSE))</f>
        <v>25.970662899999994</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row>
    <row r="58" spans="1:17" s="46" customFormat="1" ht="18.75" customHeight="1">
      <c r="A58" s="811"/>
      <c r="B58" s="716" t="s">
        <v>848</v>
      </c>
      <c r="C58" s="811"/>
      <c r="D58" s="811"/>
      <c r="E58" s="811"/>
      <c r="F58" s="34"/>
      <c r="G58" s="1047"/>
      <c r="H58" s="1124"/>
      <c r="I58" s="1123">
        <f>SUM($I$46:$I$57)</f>
        <v>4.4424999999999999</v>
      </c>
      <c r="J58" s="1128"/>
      <c r="K58" s="1127"/>
      <c r="L58" s="1126">
        <f>SUM($L$46:$L$57)</f>
        <v>4.4733333333333336</v>
      </c>
      <c r="M58" s="1125"/>
      <c r="N58" s="1124"/>
      <c r="O58" s="1123">
        <f>SUM($O$46:$O$57)</f>
        <v>4.5041666666666664</v>
      </c>
      <c r="P58" s="1122"/>
      <c r="Q58" s="34"/>
    </row>
    <row r="59" spans="1:17" s="46" customFormat="1" ht="15" customHeight="1">
      <c r="A59" s="811"/>
      <c r="B59" s="1121"/>
      <c r="C59" s="285"/>
      <c r="D59" s="222" t="s">
        <v>847</v>
      </c>
      <c r="E59" s="1120">
        <v>80</v>
      </c>
      <c r="F59" s="285" t="s">
        <v>846</v>
      </c>
      <c r="G59" s="1119"/>
      <c r="H59" s="1115"/>
      <c r="I59" s="1114">
        <f>IF(I58+SUM($I$46:$I$57)*$E$59%&gt;I58+10,I58+10,I58+SUM($I$46:$I$57)*$E$59%)</f>
        <v>7.9965000000000002</v>
      </c>
      <c r="J59" s="1113"/>
      <c r="K59" s="1118"/>
      <c r="L59" s="1117">
        <f>IF(L58+SUM($L$46:$L$57)*$E$59%&gt;L58+10,L58+10,L58+SUM($L$46:$L$57)*$E$59%)</f>
        <v>8.0519999999999996</v>
      </c>
      <c r="M59" s="1116"/>
      <c r="N59" s="1115"/>
      <c r="O59" s="1114">
        <f>IF(O58+SUM($O$46:$O$57)*$E$59%&gt;O58+10,O58+10,O58+SUM($O$46:$O$57)*$E$59%)</f>
        <v>8.1074999999999999</v>
      </c>
      <c r="P59" s="1113"/>
      <c r="Q59" s="34"/>
    </row>
    <row r="60" spans="1:17" s="36" customFormat="1" ht="18.75" customHeight="1">
      <c r="A60" s="746"/>
      <c r="B60" s="716" t="s">
        <v>845</v>
      </c>
      <c r="C60" s="811"/>
      <c r="D60" s="811"/>
      <c r="E60" s="39"/>
      <c r="F60" s="39"/>
      <c r="G60" s="1112"/>
      <c r="H60" s="1104"/>
      <c r="I60" s="1103"/>
      <c r="J60" s="1111">
        <f>IF(J6=0,0,SUM(I62:I64))</f>
        <v>193.6</v>
      </c>
      <c r="K60" s="1107"/>
      <c r="L60" s="1106"/>
      <c r="M60" s="1044">
        <f>IF(M6=0,0,SUM(L62:L64))</f>
        <v>193.6</v>
      </c>
      <c r="N60" s="1104"/>
      <c r="O60" s="1103"/>
      <c r="P60" s="1111">
        <f>IF(P6=0,0,SUM(O62:O64))</f>
        <v>193.6</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t="s">
        <v>299</v>
      </c>
      <c r="D62" s="4365"/>
      <c r="E62" s="4365"/>
      <c r="F62" s="1101">
        <f>IF($C62=0,0,VLOOKUP($C62,'SD3'!$C$90:$D$104,2,FALSE))</f>
        <v>193.6</v>
      </c>
      <c r="G62" s="1100">
        <f>(100+$D$61)/100*F62</f>
        <v>193.6</v>
      </c>
      <c r="H62" s="173"/>
      <c r="I62" s="1096">
        <f>$G$62</f>
        <v>193.6</v>
      </c>
      <c r="J62" s="173"/>
      <c r="K62" s="1099"/>
      <c r="L62" s="1098">
        <f>$G$62</f>
        <v>193.6</v>
      </c>
      <c r="M62" s="1016"/>
      <c r="N62" s="1097"/>
      <c r="O62" s="1096">
        <f>$G$62</f>
        <v>193.6</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t="s">
        <v>289</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34"/>
    </row>
    <row r="65" spans="1:20" s="511" customFormat="1" ht="18.75" customHeight="1">
      <c r="A65" s="711"/>
      <c r="B65" s="716" t="s">
        <v>844</v>
      </c>
      <c r="C65" s="711"/>
      <c r="D65" s="711"/>
      <c r="E65" s="711"/>
      <c r="F65" s="34"/>
      <c r="G65" s="1047"/>
      <c r="H65" s="385"/>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041">
        <f>R68*(H9+H10)*I68%+F68</f>
        <v>91.687500000000114</v>
      </c>
      <c r="K67" s="1068" t="s">
        <v>842</v>
      </c>
      <c r="L67" s="1067" t="s">
        <v>841</v>
      </c>
      <c r="M67" s="1044">
        <f>S68*(K9+K10)*L68%+F68</f>
        <v>122.25000000000014</v>
      </c>
      <c r="N67" s="1066" t="s">
        <v>842</v>
      </c>
      <c r="O67" s="1065" t="s">
        <v>841</v>
      </c>
      <c r="P67" s="1041">
        <f>T68*(N9+N10)*O68%+F68</f>
        <v>152.81250000000017</v>
      </c>
      <c r="Q67" s="34"/>
    </row>
    <row r="68" spans="1:20" s="511" customFormat="1" ht="15" customHeight="1">
      <c r="A68" s="711"/>
      <c r="B68" s="1064"/>
      <c r="C68" s="4393" t="s">
        <v>564</v>
      </c>
      <c r="D68" s="4393"/>
      <c r="E68" s="4393"/>
      <c r="F68" s="1063"/>
      <c r="G68" s="1054" t="s">
        <v>163</v>
      </c>
      <c r="H68" s="1061">
        <v>13</v>
      </c>
      <c r="I68" s="1060">
        <v>100</v>
      </c>
      <c r="J68" s="1059"/>
      <c r="K68" s="1061">
        <v>13</v>
      </c>
      <c r="L68" s="1060">
        <v>100</v>
      </c>
      <c r="M68" s="1062"/>
      <c r="N68" s="1061">
        <v>13</v>
      </c>
      <c r="O68" s="1060">
        <v>100</v>
      </c>
      <c r="P68" s="1059"/>
      <c r="Q68" s="34"/>
      <c r="R68" s="1373">
        <f>IF($H$68=0,0,VLOOKUP($H$68,'SD6'!$L$8:$M$156,'SD6'!C1,FALSE))*(1+'SDK1'!O11/100)</f>
        <v>4.8900000000000059</v>
      </c>
      <c r="S68" s="1373">
        <f>IF($K$68=0,0,VLOOKUP($K$68,'SD6'!$L$8:$M$156,'SD6'!C1,FALSE))*(1+'SDK1'!O11/100)</f>
        <v>4.8900000000000059</v>
      </c>
      <c r="T68" s="1372">
        <f>IF($N$68=0,0,VLOOKUP($N$68,'SD6'!$L$8:$M$156,'SD6'!C1,FALSE))*(1+'SDK1'!O11/100)</f>
        <v>4.8900000000000059</v>
      </c>
    </row>
    <row r="69" spans="1:20" s="511" customFormat="1" ht="18.75" customHeight="1">
      <c r="A69" s="711"/>
      <c r="B69" s="716" t="s">
        <v>839</v>
      </c>
      <c r="C69" s="711"/>
      <c r="D69" s="711"/>
      <c r="E69" s="34"/>
      <c r="F69" s="34"/>
      <c r="G69" s="1047"/>
      <c r="H69" s="38"/>
      <c r="I69" s="51"/>
      <c r="J69" s="1041">
        <f>H70*$F70/1000</f>
        <v>27.375</v>
      </c>
      <c r="K69" s="1057"/>
      <c r="L69" s="1056"/>
      <c r="M69" s="1044">
        <f>K70*$F70/1000</f>
        <v>36.5</v>
      </c>
      <c r="N69" s="38"/>
      <c r="O69" s="51"/>
      <c r="P69" s="1041">
        <f>N70*$F70/1000</f>
        <v>45.625</v>
      </c>
      <c r="Q69" s="34"/>
    </row>
    <row r="70" spans="1:20" s="511" customFormat="1" ht="15" customHeight="1">
      <c r="A70" s="711"/>
      <c r="B70" s="772"/>
      <c r="C70" s="771" t="s">
        <v>606</v>
      </c>
      <c r="D70" s="285"/>
      <c r="E70" s="222"/>
      <c r="F70" s="3742">
        <f>'SDK7'!G106</f>
        <v>40</v>
      </c>
      <c r="G70" s="1054" t="s">
        <v>163</v>
      </c>
      <c r="H70" s="1357">
        <f>J7</f>
        <v>684.375</v>
      </c>
      <c r="I70" s="1049"/>
      <c r="J70" s="1048"/>
      <c r="K70" s="1053">
        <f>M7</f>
        <v>912.5</v>
      </c>
      <c r="L70" s="1052"/>
      <c r="M70" s="1051"/>
      <c r="N70" s="1357">
        <f>P7</f>
        <v>1140.625</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3470"/>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f>(J23+J27+J34+J43+J60+J65+J67+J69+J71)*('SDK1'!$O$59%*$G$75/12)</f>
        <v>6.9763392635833341</v>
      </c>
      <c r="K75" s="513"/>
      <c r="L75" s="522"/>
      <c r="M75" s="1005">
        <f>(M23+M27+M34+M43+M60+M65+M67+M69+M71)*('SDK1'!$O$59%*$G$75/12)</f>
        <v>7.7193426178888895</v>
      </c>
      <c r="N75" s="1007"/>
      <c r="O75" s="1006"/>
      <c r="P75" s="1005">
        <f>(P23+P27+P34+P43+P60+P65+P67+P69+P71)*('SDK1'!$O$59%*$G$75/12)</f>
        <v>8.462345972194445</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H151" s="1354"/>
      <c r="J151" s="1353"/>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H155" s="1354"/>
      <c r="J155" s="1353"/>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48" orientation="portrait" r:id="rId1"/>
      <headerFooter alignWithMargins="0">
        <oddFooter>&amp;L&amp;11LEL Schwäbisch Gmünd&amp;C61&amp;R&amp;11&amp;F</oddFooter>
      </headerFooter>
    </customSheetView>
    <customSheetView guid="{5D5C9B61-9ABD-4513-AAEB-8333A9D6196C}"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48" orientation="portrait" r:id="rId2"/>
      <headerFooter alignWithMargins="0">
        <oddFooter>&amp;L&amp;11LEL Schwäbisch Gmünd&amp;C61&amp;R&amp;11&amp;F</oddFooter>
      </headerFooter>
    </customSheetView>
    <customSheetView guid="{22A73C4F-9004-4CEF-8499-B1F91BE1B569}"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48" orientation="portrait" r:id="rId3"/>
      <headerFooter alignWithMargins="0">
        <oddFooter>&amp;L&amp;11LEL Schwäbisch Gmünd&amp;C61&amp;R&amp;11&amp;F</oddFooter>
      </headerFooter>
    </customSheetView>
  </customSheetViews>
  <mergeCells count="50">
    <mergeCell ref="F34:G34"/>
    <mergeCell ref="C40:E40"/>
    <mergeCell ref="C64:E64"/>
    <mergeCell ref="C36:E36"/>
    <mergeCell ref="C42:E42"/>
    <mergeCell ref="C73:E73"/>
    <mergeCell ref="C37:E37"/>
    <mergeCell ref="C56:D56"/>
    <mergeCell ref="C68:E68"/>
    <mergeCell ref="C62:E62"/>
    <mergeCell ref="C41:E41"/>
    <mergeCell ref="C47:D47"/>
    <mergeCell ref="C48:D48"/>
    <mergeCell ref="C49:D49"/>
    <mergeCell ref="C50:D50"/>
    <mergeCell ref="C51:D51"/>
    <mergeCell ref="C52:D52"/>
    <mergeCell ref="C53:D53"/>
    <mergeCell ref="C54:D54"/>
    <mergeCell ref="C55:D55"/>
    <mergeCell ref="B75:C75"/>
    <mergeCell ref="K1:L1"/>
    <mergeCell ref="N1:O1"/>
    <mergeCell ref="C16:F16"/>
    <mergeCell ref="C74:E74"/>
    <mergeCell ref="C17:F17"/>
    <mergeCell ref="C19:F19"/>
    <mergeCell ref="N3:O4"/>
    <mergeCell ref="F23:G23"/>
    <mergeCell ref="C63:E63"/>
    <mergeCell ref="C38:E38"/>
    <mergeCell ref="C57:D57"/>
    <mergeCell ref="J4:L4"/>
    <mergeCell ref="H6:I6"/>
    <mergeCell ref="C46:D46"/>
    <mergeCell ref="C39:E39"/>
    <mergeCell ref="K2:P2"/>
    <mergeCell ref="D25:E25"/>
    <mergeCell ref="D26:E26"/>
    <mergeCell ref="C14:F14"/>
    <mergeCell ref="C15:F15"/>
    <mergeCell ref="N6:O6"/>
    <mergeCell ref="E10:F10"/>
    <mergeCell ref="K6:L6"/>
    <mergeCell ref="E4:I4"/>
    <mergeCell ref="J3:L3"/>
    <mergeCell ref="E22:G22"/>
    <mergeCell ref="C20:F20"/>
    <mergeCell ref="C21:F21"/>
    <mergeCell ref="B3:H3"/>
  </mergeCells>
  <dataValidations count="5">
    <dataValidation type="list" showInputMessage="1" showErrorMessage="1" sqref="H14 K14 N14" xr:uid="{00000000-0002-0000-3600-000000000000}">
      <formula1>"ja,nein"</formula1>
    </dataValidation>
    <dataValidation type="list" allowBlank="1" showInputMessage="1" showErrorMessage="1" sqref="H15:H17 K15:K17 N15:N17" xr:uid="{00000000-0002-0000-3600-000001000000}">
      <formula1>"ja,nein"</formula1>
    </dataValidation>
    <dataValidation type="whole" allowBlank="1" showInputMessage="1" showErrorMessage="1" errorTitle="Anteil Erntegut" error="Prozentwert darf nur zwischen 0 und 100 liegen." sqref="O68 L68 I68" xr:uid="{00000000-0002-0000-3600-000002000000}">
      <formula1>0</formula1>
      <formula2>100</formula2>
    </dataValidation>
    <dataValidation type="decimal" allowBlank="1" showInputMessage="1" showErrorMessage="1" errorTitle="Wassergehalt Getreide" error="Zulässig sind nur Werte zwischen 9,1 und 23,9 % Wassergehalt." sqref="H68 K68 N68" xr:uid="{00000000-0002-0000-3600-000003000000}">
      <formula1>9.1</formula1>
      <formula2>23.9</formula2>
    </dataValidation>
    <dataValidation type="list" allowBlank="1" showInputMessage="1" showErrorMessage="1" errorTitle="Organisationsabh. Ausgleichsl." error="Bitte aus Dropdownliste auswählen." sqref="D19:F19" xr:uid="{00000000-0002-0000-3600-000004000000}">
      <formula1>$C$60:$C$75</formula1>
    </dataValidation>
  </dataValidations>
  <hyperlinks>
    <hyperlink ref="F9" location="'SDK1'!A1" display="Preis ändern" xr:uid="{00000000-0004-0000-3600-000000000000}"/>
  </hyperlinks>
  <printOptions horizontalCentered="1"/>
  <pageMargins left="0.59055118110236227" right="0.59055118110236227" top="0.59055118110236227" bottom="0.59055118110236227" header="0.39370078740157483" footer="0.39370078740157483"/>
  <pageSetup paperSize="9" scale="65" firstPageNumber="48" orientation="portrait" r:id="rId4"/>
  <headerFooter alignWithMargins="0">
    <oddFooter>&amp;L&amp;11LEL Schwäbisch Gmünd&amp;C61&amp;R&amp;11&amp;F</oddFooter>
  </headerFooter>
  <drawing r:id="rId5"/>
  <extLst>
    <ext xmlns:x14="http://schemas.microsoft.com/office/spreadsheetml/2009/9/main" uri="{CCE6A557-97BC-4b89-ADB6-D9C93CAAB3DF}">
      <x14:dataValidations xmlns:xm="http://schemas.microsoft.com/office/excel/2006/main" count="6">
        <x14:dataValidation type="list" allowBlank="1" showInputMessage="1" showErrorMessage="1" errorTitle="Pflanzenschutzmittel" error="Bitte aus Dropdownliste auswählen." xr:uid="{00000000-0002-0000-3600-000005000000}">
          <x14:formula1>
            <xm:f>'SDK5'!$U$214:$U$313</xm:f>
          </x14:formula1>
          <xm:sqref>C37:E42</xm:sqref>
        </x14:dataValidation>
        <x14:dataValidation type="list" allowBlank="1" showInputMessage="1" showErrorMessage="1" errorTitle="Verfahrensabh. Ausgleichsleist." error="Bitte aus Dropdownliste auswählen." xr:uid="{00000000-0002-0000-3600-000006000000}">
          <x14:formula1>
            <xm:f>'SD2'!$C$11:$C$50</xm:f>
          </x14:formula1>
          <xm:sqref>C14:F17</xm:sqref>
        </x14:dataValidation>
        <x14:dataValidation type="list" allowBlank="1" showInputMessage="1" showErrorMessage="1" errorTitle="Organisationsabh. Ausgleichsl." error="Bitte aus Dropdownliste auswählen." xr:uid="{00000000-0002-0000-3600-000007000000}">
          <x14:formula1>
            <xm:f>'SD2'!$C$60:$C$77</xm:f>
          </x14:formula1>
          <xm:sqref>C19:C21</xm:sqref>
        </x14:dataValidation>
        <x14:dataValidation type="list" allowBlank="1" showInputMessage="1" showErrorMessage="1" errorTitle="Arbeitsgänge" error="Bitte aus Dropdownliste auswählen." xr:uid="{00000000-0002-0000-3600-000008000000}">
          <x14:formula1>
            <xm:f>'SD3'!$C$23:$C$75</xm:f>
          </x14:formula1>
          <xm:sqref>C46:D57</xm:sqref>
        </x14:dataValidation>
        <x14:dataValidation type="list" allowBlank="1" showInputMessage="1" showErrorMessage="1" errorTitle="Lohnmaschinen" error="Bitte aus Dropdownliste auswählen." xr:uid="{00000000-0002-0000-3600-000009000000}">
          <x14:formula1>
            <xm:f>'SD3'!$C$90:$C$104</xm:f>
          </x14:formula1>
          <xm:sqref>C62:E64</xm:sqref>
        </x14:dataValidation>
        <x14:dataValidation type="list" allowBlank="1" showInputMessage="1" showErrorMessage="1" errorTitle="Pflanzenschutzmittel" error="Bitte aus Dropdownliste auswählen." xr:uid="{00000000-0002-0000-3600-00000A000000}">
          <x14:formula1>
            <xm:f>'SDK5'!$U$214:$U$228</xm:f>
          </x14:formula1>
          <xm:sqref>C36:E36</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4">
    <tabColor rgb="FF99FF33"/>
    <pageSetUpPr fitToPage="1"/>
  </sheetPr>
  <dimension ref="A1:AO218"/>
  <sheetViews>
    <sheetView workbookViewId="0">
      <selection activeCell="AA1" sqref="AA1"/>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0" style="31" hidden="1" customWidth="1"/>
    <col min="22" max="22" width="12.8984375" style="31" hidden="1" customWidth="1"/>
    <col min="23" max="26" width="0" style="31" hidden="1" customWidth="1"/>
    <col min="27" max="16384" width="10.5" style="31"/>
  </cols>
  <sheetData>
    <row r="1" spans="1:41" s="1317" customFormat="1" ht="30.45" customHeight="1">
      <c r="A1" s="1321"/>
      <c r="B1" s="258"/>
      <c r="C1" s="1333"/>
      <c r="D1" s="1253"/>
      <c r="E1" s="255"/>
      <c r="F1" s="255"/>
      <c r="G1" s="430"/>
      <c r="H1" s="1328"/>
      <c r="I1" s="3212" t="s">
        <v>1679</v>
      </c>
      <c r="J1" s="3210">
        <f>(J7+J13+J18+J22+I11+I12)-(J23+J27+J34+J43+J60+J65+J67+J69+J71+J75)</f>
        <v>622.44355756416667</v>
      </c>
      <c r="K1" s="4360">
        <f>M1-J1</f>
        <v>0</v>
      </c>
      <c r="L1" s="4360"/>
      <c r="M1" s="3210">
        <f>(M7+M13+M18+M22+L11+L12)-(M23+M27+M34+M43+M60+M65+M67+M69+M71+M75)</f>
        <v>622.44355756416667</v>
      </c>
      <c r="N1" s="4360">
        <f>P1-M1</f>
        <v>0</v>
      </c>
      <c r="O1" s="4360"/>
      <c r="P1" s="3210">
        <f>(P7+P13+P18+P22+O11+O12)-(P23+P27+P34+P43+P60+P65+P67+P69+P71+P75)</f>
        <v>622.44355756416667</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184</v>
      </c>
      <c r="L2" s="4372"/>
      <c r="M2" s="4372"/>
      <c r="N2" s="4372"/>
      <c r="O2" s="4372"/>
      <c r="P2" s="4372"/>
      <c r="Q2" s="1345">
        <v>0</v>
      </c>
      <c r="AB2" s="36"/>
    </row>
    <row r="3" spans="1:41" s="1317" customFormat="1" ht="32.4" customHeight="1">
      <c r="A3" s="1321"/>
      <c r="B3" s="4405" t="s">
        <v>1727</v>
      </c>
      <c r="C3" s="4405"/>
      <c r="D3" s="4405"/>
      <c r="E3" s="4405"/>
      <c r="F3" s="4405"/>
      <c r="G3" s="4405"/>
      <c r="H3" s="4405"/>
      <c r="J3" s="4368"/>
      <c r="K3" s="4369"/>
      <c r="L3" s="4369"/>
      <c r="M3" s="1368"/>
      <c r="N3" s="4373" t="str">
        <f>IF(AND(T3=TRUE,T4=TRUE),"nur 1 Strohnutzung möglich","")</f>
        <v/>
      </c>
      <c r="O3" s="4374"/>
      <c r="P3" s="1326"/>
      <c r="Q3" s="1321"/>
      <c r="T3" s="1343" t="b">
        <v>0</v>
      </c>
      <c r="AB3" s="36"/>
    </row>
    <row r="4" spans="1:41" s="1317" customFormat="1" ht="20.25" customHeight="1">
      <c r="A4" s="1321"/>
      <c r="B4" s="309" t="s">
        <v>779</v>
      </c>
      <c r="C4" s="31"/>
      <c r="D4" s="31"/>
      <c r="E4" s="4406" t="s">
        <v>920</v>
      </c>
      <c r="F4" s="4406"/>
      <c r="G4" s="4406"/>
      <c r="H4" s="4406"/>
      <c r="I4" s="4406"/>
      <c r="J4" s="4368"/>
      <c r="K4" s="4369"/>
      <c r="L4" s="4369"/>
      <c r="M4" s="1367"/>
      <c r="N4" s="4374"/>
      <c r="O4" s="4374"/>
      <c r="P4" s="1322">
        <f>'SDK1'!O3</f>
        <v>2024</v>
      </c>
      <c r="Q4" s="1321"/>
      <c r="T4" s="1343" t="b">
        <v>0</v>
      </c>
      <c r="AB4" s="36"/>
    </row>
    <row r="5" spans="1:41" ht="6" customHeight="1">
      <c r="AB5" s="36"/>
    </row>
    <row r="6" spans="1:41" s="1311" customFormat="1" ht="24" customHeight="1">
      <c r="A6" s="41"/>
      <c r="B6" s="1316" t="s">
        <v>832</v>
      </c>
      <c r="C6" s="1315"/>
      <c r="D6" s="1315"/>
      <c r="E6" s="1315"/>
      <c r="F6" s="1315"/>
      <c r="G6" s="1314"/>
      <c r="H6" s="4366" t="s">
        <v>171</v>
      </c>
      <c r="I6" s="4367"/>
      <c r="J6" s="1313">
        <v>1</v>
      </c>
      <c r="K6" s="4379" t="s">
        <v>144</v>
      </c>
      <c r="L6" s="4380"/>
      <c r="M6" s="1313">
        <v>1</v>
      </c>
      <c r="N6" s="4366" t="s">
        <v>170</v>
      </c>
      <c r="O6" s="4367"/>
      <c r="P6" s="1312">
        <v>1</v>
      </c>
      <c r="Q6" s="49"/>
      <c r="AB6" s="36"/>
    </row>
    <row r="7" spans="1:41" s="196" customFormat="1" ht="18.75" customHeight="1">
      <c r="A7" s="40"/>
      <c r="B7" s="245" t="s">
        <v>883</v>
      </c>
      <c r="C7" s="40"/>
      <c r="D7" s="40"/>
      <c r="E7" s="40"/>
      <c r="F7" s="40"/>
      <c r="G7" s="1310"/>
      <c r="H7" s="1307"/>
      <c r="I7" s="1306"/>
      <c r="J7" s="1041">
        <f>SUM(I9:I10)</f>
        <v>0</v>
      </c>
      <c r="K7" s="1309"/>
      <c r="L7" s="1308"/>
      <c r="M7" s="1044">
        <f>SUM(L9:L10)</f>
        <v>0</v>
      </c>
      <c r="N7" s="1307"/>
      <c r="O7" s="1306"/>
      <c r="P7" s="1041">
        <f>SUM(O9:O10)</f>
        <v>0</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t="s">
        <v>882</v>
      </c>
      <c r="G9" s="1221"/>
      <c r="H9" s="1303">
        <f>J6-H10</f>
        <v>1</v>
      </c>
      <c r="I9" s="1299">
        <f>H9*G9</f>
        <v>0</v>
      </c>
      <c r="J9" s="37"/>
      <c r="K9" s="1302">
        <f>M6-K10</f>
        <v>1</v>
      </c>
      <c r="L9" s="1301">
        <f>K9*G9</f>
        <v>0</v>
      </c>
      <c r="M9" s="1280"/>
      <c r="N9" s="1300">
        <f>P6-N10</f>
        <v>1</v>
      </c>
      <c r="O9" s="1299">
        <f>N9*G9</f>
        <v>0</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309"/>
      <c r="B11" s="217"/>
      <c r="C11" s="39" t="s">
        <v>878</v>
      </c>
      <c r="D11" s="309"/>
      <c r="E11" s="1286"/>
      <c r="F11" s="39" t="s">
        <v>877</v>
      </c>
      <c r="G11" s="1285">
        <f>'SDK1'!$O$48</f>
        <v>10.7</v>
      </c>
      <c r="H11" s="3151">
        <f>IF($T$3=FALSE,0,J6*$E$11)</f>
        <v>0</v>
      </c>
      <c r="I11" s="3152">
        <f>H11*$G$11</f>
        <v>0</v>
      </c>
      <c r="J11" s="3153"/>
      <c r="K11" s="3154">
        <f>IF($T$3=FALSE,0,M6*$E$11)</f>
        <v>0</v>
      </c>
      <c r="L11" s="3155">
        <f>K11*$G$11</f>
        <v>0</v>
      </c>
      <c r="M11" s="3156"/>
      <c r="N11" s="3157">
        <f>IF($T$3=FALSE,0,P6*$E$11)</f>
        <v>0</v>
      </c>
      <c r="O11" s="3152">
        <f>N11*$G$11</f>
        <v>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730</v>
      </c>
      <c r="K13" s="1352"/>
      <c r="L13" s="1251"/>
      <c r="M13" s="1044">
        <f>SUM(L14:L17)</f>
        <v>730</v>
      </c>
      <c r="N13" s="1351"/>
      <c r="O13" s="1249"/>
      <c r="P13" s="1041">
        <f>SUM(O14:O17)</f>
        <v>730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t="s">
        <v>1518</v>
      </c>
      <c r="D14" s="4365"/>
      <c r="E14" s="4365"/>
      <c r="F14" s="4365"/>
      <c r="G14" s="1263"/>
      <c r="H14" s="1391" t="s">
        <v>919</v>
      </c>
      <c r="I14" s="2827">
        <f>IF(H14="ja",Q14,0)</f>
        <v>730</v>
      </c>
      <c r="J14" s="39"/>
      <c r="K14" s="1262" t="s">
        <v>919</v>
      </c>
      <c r="L14" s="1098">
        <f>IF(K14="ja",Q14,0)</f>
        <v>730</v>
      </c>
      <c r="M14" s="1016"/>
      <c r="N14" s="1262" t="s">
        <v>919</v>
      </c>
      <c r="O14" s="2827">
        <f>IF(N14="ja",Q14,0)</f>
        <v>730</v>
      </c>
      <c r="P14" s="2826"/>
      <c r="Q14" s="1261">
        <f>IF(C14=0,0,VLOOKUP(C14,'SD2'!$C$11:$O$50,'SD2'!$O$1,FALSE))</f>
        <v>730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907</v>
      </c>
      <c r="S19" s="1241">
        <f>M13+M18</f>
        <v>907</v>
      </c>
      <c r="T19" s="1240">
        <f>P13+P18</f>
        <v>907</v>
      </c>
    </row>
    <row r="20" spans="1:26" s="36" customFormat="1" ht="15">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ustomHeight="1">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156</v>
      </c>
      <c r="K23" s="1046"/>
      <c r="L23" s="1045"/>
      <c r="M23" s="1227">
        <f>SUM(L25:L26)</f>
        <v>156</v>
      </c>
      <c r="N23" s="1043"/>
      <c r="O23" s="1042"/>
      <c r="P23" s="1026">
        <f>SUM(O25:O26)</f>
        <v>156</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'SDK7'!F75/100</f>
        <v>13</v>
      </c>
      <c r="G25" s="1221">
        <f>F25*(100+$D$24)/100</f>
        <v>13</v>
      </c>
      <c r="H25" s="1390">
        <v>12</v>
      </c>
      <c r="I25" s="1181">
        <f>H25*$G25</f>
        <v>156</v>
      </c>
      <c r="J25" s="39"/>
      <c r="K25" s="1390">
        <v>12</v>
      </c>
      <c r="L25" s="1023">
        <f>K25*$G25</f>
        <v>156</v>
      </c>
      <c r="M25" s="1016"/>
      <c r="N25" s="1390">
        <v>12</v>
      </c>
      <c r="O25" s="1181">
        <f>N25*$G25</f>
        <v>156</v>
      </c>
      <c r="P25" s="1145"/>
      <c r="Q25" s="34"/>
    </row>
    <row r="26" spans="1:26" s="36" customFormat="1" ht="15" customHeight="1">
      <c r="A26" s="746"/>
      <c r="B26" s="772"/>
      <c r="C26" s="1219"/>
      <c r="D26" s="4385"/>
      <c r="E26" s="4386"/>
      <c r="F26" s="1218"/>
      <c r="G26" s="1217">
        <f>F26*(100+$D$24)/100</f>
        <v>0</v>
      </c>
      <c r="H26" s="1360"/>
      <c r="I26" s="1177">
        <f>H26*$G26</f>
        <v>0</v>
      </c>
      <c r="J26" s="39"/>
      <c r="K26" s="1360">
        <f>H26</f>
        <v>0</v>
      </c>
      <c r="L26" s="1017">
        <f>K26*$G26</f>
        <v>0</v>
      </c>
      <c r="M26" s="1016"/>
      <c r="N26" s="1360">
        <f>H26</f>
        <v>0</v>
      </c>
      <c r="O26" s="1177">
        <f>N26*$G26</f>
        <v>0</v>
      </c>
      <c r="P26" s="1176"/>
      <c r="Q26" s="34"/>
    </row>
    <row r="27" spans="1:26" s="511" customFormat="1" ht="18.75" customHeight="1">
      <c r="A27" s="711"/>
      <c r="B27" s="1215" t="s">
        <v>865</v>
      </c>
      <c r="C27" s="711"/>
      <c r="D27" s="51"/>
      <c r="E27" s="34"/>
      <c r="F27" s="34"/>
      <c r="G27" s="1214"/>
      <c r="H27" s="1173"/>
      <c r="I27" s="1172"/>
      <c r="J27" s="1041">
        <f>SUM(I30:I32)</f>
        <v>0</v>
      </c>
      <c r="K27" s="1175"/>
      <c r="L27" s="1174"/>
      <c r="M27" s="1044">
        <f>SUM(L30:L32)</f>
        <v>0</v>
      </c>
      <c r="N27" s="1173"/>
      <c r="O27" s="1172"/>
      <c r="P27" s="1041">
        <f>SUM(O30:O32)</f>
        <v>0</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0</v>
      </c>
      <c r="F30" s="1201">
        <f>VLOOKUP(K2,'SD8'!B9:L42,7,FALSE)</f>
        <v>0</v>
      </c>
      <c r="G30" s="1200"/>
      <c r="H30" s="1198">
        <f>IF(J$6=0,0,(J$6*$E30+$G30+X14))</f>
        <v>0</v>
      </c>
      <c r="I30" s="1181">
        <f>H30*$D30</f>
        <v>0</v>
      </c>
      <c r="J30" s="39"/>
      <c r="K30" s="1199">
        <f>IF(M$6=0,0,(M$6*$E30+$G30+Y14))</f>
        <v>0</v>
      </c>
      <c r="L30" s="1023">
        <f>K30*$D30</f>
        <v>0</v>
      </c>
      <c r="M30" s="1016"/>
      <c r="N30" s="1198">
        <f>IF(P$6=0,0,(P$6*$E30+$G30+Z14))</f>
        <v>0</v>
      </c>
      <c r="O30" s="1181">
        <f>N30*$D30</f>
        <v>0</v>
      </c>
      <c r="P30" s="1145"/>
      <c r="Q30" s="34"/>
    </row>
    <row r="31" spans="1:26" s="36" customFormat="1" ht="15" customHeight="1">
      <c r="A31" s="746"/>
      <c r="B31" s="217"/>
      <c r="C31" s="746" t="s">
        <v>234</v>
      </c>
      <c r="D31" s="1150">
        <f>'SDK1'!O53</f>
        <v>1.2</v>
      </c>
      <c r="E31" s="1201">
        <f>VLOOKUP(K2,'SD8'!B9:L42,4,FALSE)</f>
        <v>0</v>
      </c>
      <c r="F31" s="1201">
        <f>VLOOKUP(K2,'SD8'!B9:L42,8,FALSE)</f>
        <v>0</v>
      </c>
      <c r="G31" s="1200"/>
      <c r="H31" s="1198">
        <f>IF(J$6=0,0,(J$6*$E31+$G31+X15))</f>
        <v>0</v>
      </c>
      <c r="I31" s="1181">
        <f>H31*$D31</f>
        <v>0</v>
      </c>
      <c r="J31" s="39"/>
      <c r="K31" s="1199">
        <f>IF(M$6=0,0,(M$6*$E31+$G31+Y15))</f>
        <v>0</v>
      </c>
      <c r="L31" s="1023">
        <f>K31*$D31</f>
        <v>0</v>
      </c>
      <c r="M31" s="1016"/>
      <c r="N31" s="1198">
        <f>IF(P$6=0,0,(P$6*$E31+$G31+Z15))</f>
        <v>0</v>
      </c>
      <c r="O31" s="1181">
        <f>N31*$D31</f>
        <v>0</v>
      </c>
      <c r="P31" s="1145"/>
      <c r="Q31" s="34"/>
    </row>
    <row r="32" spans="1:26" s="36" customFormat="1" ht="15" customHeight="1">
      <c r="A32" s="746"/>
      <c r="B32" s="185"/>
      <c r="C32" s="2791" t="s">
        <v>232</v>
      </c>
      <c r="D32" s="1133">
        <f>'SDK1'!O54</f>
        <v>0.99</v>
      </c>
      <c r="E32" s="1197">
        <f>VLOOKUP(K2,'SD8'!B9:L42,5,FALSE)</f>
        <v>0</v>
      </c>
      <c r="F32" s="1197">
        <f>VLOOKUP(K2,'SD8'!B9:L42,9,FALSE)</f>
        <v>0</v>
      </c>
      <c r="G32" s="1196"/>
      <c r="H32" s="1194">
        <f>IF(J$6=0,0,(J$6*$E32+$G32+X16))</f>
        <v>0</v>
      </c>
      <c r="I32" s="1177">
        <f>H32*$D32</f>
        <v>0</v>
      </c>
      <c r="J32" s="223"/>
      <c r="K32" s="1195">
        <f>IF(M$6=0,0,(M$6*$E32+$G32+Y16))</f>
        <v>0</v>
      </c>
      <c r="L32" s="1017">
        <f>K32*$D32</f>
        <v>0</v>
      </c>
      <c r="M32" s="1256"/>
      <c r="N32" s="1194">
        <f>IF(P$6=0,0,(P$6*$E32+$G32+Z16))</f>
        <v>0</v>
      </c>
      <c r="O32" s="1177">
        <f>N32*$D32</f>
        <v>0</v>
      </c>
      <c r="P32" s="1176"/>
      <c r="Q32" s="34"/>
    </row>
    <row r="33" spans="1:17" s="36" customFormat="1" ht="15" hidden="1" customHeight="1">
      <c r="A33" s="746"/>
      <c r="B33" s="185"/>
      <c r="C33" s="771" t="s">
        <v>230</v>
      </c>
      <c r="D33" s="1133">
        <f>'SDK1'!P55</f>
        <v>0.45</v>
      </c>
      <c r="E33" s="1197">
        <f>VLOOKUP(K2,'SD8'!B9:L42,6,FALSE)</f>
        <v>0</v>
      </c>
      <c r="F33" s="1197">
        <f>VLOOKUP(K2,'SD8'!B9:L42,10,FALSE)</f>
        <v>0</v>
      </c>
      <c r="G33" s="1196"/>
      <c r="H33" s="1194">
        <f>IF(J$6=0,0,(J$6*$E33+$G33+X17))</f>
        <v>0</v>
      </c>
      <c r="I33" s="1177">
        <f>H33*$D33</f>
        <v>0</v>
      </c>
      <c r="J33" s="39"/>
      <c r="K33" s="1195">
        <f>IF(M$6=0,0,(M$6*$E33+$G33+Y17))</f>
        <v>0</v>
      </c>
      <c r="L33" s="1017">
        <f>K33*$D33</f>
        <v>0</v>
      </c>
      <c r="M33" s="1016"/>
      <c r="N33" s="1194">
        <f>IF(P$6=0,0,(P$6*$E33+$G33+Z17))</f>
        <v>0</v>
      </c>
      <c r="O33" s="1177">
        <f>N33*$D33</f>
        <v>0</v>
      </c>
      <c r="P33" s="1176"/>
      <c r="Q33" s="34"/>
    </row>
    <row r="34" spans="1:17" s="511" customFormat="1" ht="18.75" customHeight="1">
      <c r="A34" s="711"/>
      <c r="B34" s="716" t="s">
        <v>859</v>
      </c>
      <c r="C34" s="711"/>
      <c r="D34" s="33"/>
      <c r="E34" s="33"/>
      <c r="F34" s="4381" t="s">
        <v>858</v>
      </c>
      <c r="G34" s="4382"/>
      <c r="H34" s="1191"/>
      <c r="I34" s="1190"/>
      <c r="J34" s="1041">
        <f>SUM(I36:I42)</f>
        <v>0</v>
      </c>
      <c r="K34" s="1193"/>
      <c r="L34" s="1192"/>
      <c r="M34" s="1044">
        <f>SUM(L36:L42)</f>
        <v>0</v>
      </c>
      <c r="N34" s="1191"/>
      <c r="O34" s="1190"/>
      <c r="P34" s="1041">
        <f>SUM(O36:O42)</f>
        <v>0</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c r="D36" s="4389"/>
      <c r="E36" s="4390"/>
      <c r="F36" s="1183">
        <f>IF(C36="",0,VLOOKUP(C36,'SDK5'!C3:AF83,2,FALSE))</f>
        <v>0</v>
      </c>
      <c r="G36" s="1183">
        <f t="shared" ref="G36:G42" si="0">F36*(100+$D$35)/100</f>
        <v>0</v>
      </c>
      <c r="H36" s="1389"/>
      <c r="I36" s="1181">
        <f t="shared" ref="I36:I42" si="1">$G36*H36</f>
        <v>0</v>
      </c>
      <c r="J36" s="39"/>
      <c r="K36" s="1389"/>
      <c r="L36" s="1023">
        <f t="shared" ref="L36:L42" si="2">$G36*K36</f>
        <v>0</v>
      </c>
      <c r="M36" s="1016"/>
      <c r="N36" s="1182"/>
      <c r="O36" s="1181">
        <f t="shared" ref="O36:O42" si="3">$G36*N36</f>
        <v>0</v>
      </c>
      <c r="P36" s="1185"/>
      <c r="Q36" s="34"/>
    </row>
    <row r="37" spans="1:17" s="36" customFormat="1" ht="15" customHeight="1">
      <c r="A37" s="746"/>
      <c r="B37" s="1021"/>
      <c r="C37" s="4375"/>
      <c r="D37" s="4375"/>
      <c r="E37" s="4376"/>
      <c r="F37" s="1183">
        <f>IF(C37="",0,VLOOKUP(C37,'SDK5'!C4:AF84,2,FALSE))</f>
        <v>0</v>
      </c>
      <c r="G37" s="1183">
        <f t="shared" si="0"/>
        <v>0</v>
      </c>
      <c r="H37" s="1389"/>
      <c r="I37" s="1181">
        <f t="shared" si="1"/>
        <v>0</v>
      </c>
      <c r="J37" s="39"/>
      <c r="K37" s="1389"/>
      <c r="L37" s="1023">
        <f t="shared" si="2"/>
        <v>0</v>
      </c>
      <c r="M37" s="1016"/>
      <c r="N37" s="1182"/>
      <c r="O37" s="1181">
        <f t="shared" si="3"/>
        <v>0</v>
      </c>
      <c r="P37" s="1145"/>
      <c r="Q37" s="34"/>
    </row>
    <row r="38" spans="1:17" s="36" customFormat="1" ht="15" customHeight="1">
      <c r="A38" s="746"/>
      <c r="B38" s="1184"/>
      <c r="C38" s="4375"/>
      <c r="D38" s="4375"/>
      <c r="E38" s="4376"/>
      <c r="F38" s="1183">
        <f>IF(C38="",0,VLOOKUP(C38,'SDK5'!C5:AF85,2,FALSE))</f>
        <v>0</v>
      </c>
      <c r="G38" s="1183">
        <f t="shared" si="0"/>
        <v>0</v>
      </c>
      <c r="H38" s="1389"/>
      <c r="I38" s="1181">
        <f t="shared" si="1"/>
        <v>0</v>
      </c>
      <c r="J38" s="39"/>
      <c r="K38" s="1389"/>
      <c r="L38" s="1023">
        <f t="shared" si="2"/>
        <v>0</v>
      </c>
      <c r="M38" s="1016"/>
      <c r="N38" s="1182"/>
      <c r="O38" s="1181">
        <f t="shared" si="3"/>
        <v>0</v>
      </c>
      <c r="P38" s="1145"/>
      <c r="Q38" s="34"/>
    </row>
    <row r="39" spans="1:17" s="36" customFormat="1" ht="15" customHeight="1">
      <c r="A39" s="746"/>
      <c r="B39" s="1021"/>
      <c r="C39" s="4375"/>
      <c r="D39" s="4375"/>
      <c r="E39" s="4376"/>
      <c r="F39" s="1183">
        <f>IF(C39="",0,VLOOKUP(C39,'SDK5'!C6:AF86,2,FALSE))</f>
        <v>0</v>
      </c>
      <c r="G39" s="1183">
        <f t="shared" si="0"/>
        <v>0</v>
      </c>
      <c r="H39" s="1389"/>
      <c r="I39" s="1181">
        <f t="shared" si="1"/>
        <v>0</v>
      </c>
      <c r="J39" s="39"/>
      <c r="K39" s="1389"/>
      <c r="L39" s="1023">
        <f t="shared" si="2"/>
        <v>0</v>
      </c>
      <c r="M39" s="1016"/>
      <c r="N39" s="1182"/>
      <c r="O39" s="1181">
        <f t="shared" si="3"/>
        <v>0</v>
      </c>
      <c r="P39" s="1145"/>
      <c r="Q39" s="34"/>
    </row>
    <row r="40" spans="1:17" s="36" customFormat="1" ht="15" customHeight="1">
      <c r="A40" s="746"/>
      <c r="B40" s="1021"/>
      <c r="C40" s="4375"/>
      <c r="D40" s="4375"/>
      <c r="E40" s="4376"/>
      <c r="F40" s="1183">
        <f>IF(C40="",0,VLOOKUP(C40,'SDK5'!C7:AF87,2,FALSE))</f>
        <v>0</v>
      </c>
      <c r="G40" s="1183">
        <f t="shared" si="0"/>
        <v>0</v>
      </c>
      <c r="H40" s="1389"/>
      <c r="I40" s="1181">
        <f t="shared" si="1"/>
        <v>0</v>
      </c>
      <c r="J40" s="39"/>
      <c r="K40" s="1389"/>
      <c r="L40" s="1023">
        <f t="shared" si="2"/>
        <v>0</v>
      </c>
      <c r="M40" s="1016"/>
      <c r="N40" s="1182"/>
      <c r="O40" s="1181">
        <f t="shared" si="3"/>
        <v>0</v>
      </c>
      <c r="P40" s="1145"/>
      <c r="Q40" s="34"/>
    </row>
    <row r="41" spans="1:17" s="36" customFormat="1" ht="15" customHeight="1">
      <c r="A41" s="746"/>
      <c r="B41" s="1021"/>
      <c r="C41" s="4375"/>
      <c r="D41" s="4375"/>
      <c r="E41" s="4376"/>
      <c r="F41" s="1183">
        <f>IF(C41="",0,VLOOKUP(C41,'SDK5'!C8:AF88,2,FALSE))</f>
        <v>0</v>
      </c>
      <c r="G41" s="1183">
        <f t="shared" si="0"/>
        <v>0</v>
      </c>
      <c r="H41" s="1389"/>
      <c r="I41" s="1181">
        <f t="shared" si="1"/>
        <v>0</v>
      </c>
      <c r="J41" s="39"/>
      <c r="K41" s="1389"/>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388"/>
      <c r="I42" s="1177">
        <f t="shared" si="1"/>
        <v>0</v>
      </c>
      <c r="J42" s="39"/>
      <c r="K42" s="138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126.20473629999998</v>
      </c>
      <c r="K43" s="1175"/>
      <c r="L43" s="1174"/>
      <c r="M43" s="1044">
        <f>SUM(M46:M57)</f>
        <v>126.20473629999998</v>
      </c>
      <c r="N43" s="1173"/>
      <c r="O43" s="1172"/>
      <c r="P43" s="1041">
        <f>SUM(P46:P57)</f>
        <v>126.20473629999998</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55">
        <v>1</v>
      </c>
      <c r="I46" s="1154">
        <f t="shared" ref="I46:I57" si="4">$F46*H46</f>
        <v>1.38</v>
      </c>
      <c r="J46" s="1145">
        <f t="shared" ref="J46:J57" si="5">H46*$G46</f>
        <v>64.642445999999993</v>
      </c>
      <c r="K46" s="1155">
        <v>1</v>
      </c>
      <c r="L46" s="1156">
        <f t="shared" ref="L46:L57" si="6">$F46*K46</f>
        <v>1.38</v>
      </c>
      <c r="M46" s="1148">
        <f t="shared" ref="M46:M57" si="7">K46*$G46</f>
        <v>64.642445999999993</v>
      </c>
      <c r="N46" s="1155">
        <v>1</v>
      </c>
      <c r="O46" s="1154">
        <f t="shared" ref="O46:O57" si="8">$F46*N46</f>
        <v>1.38</v>
      </c>
      <c r="P46" s="1145">
        <f t="shared" ref="P46:P57" si="9">N46*$G46</f>
        <v>64.642445999999993</v>
      </c>
      <c r="Q46" s="34">
        <f>$Q$2*H46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341</v>
      </c>
      <c r="D48" s="4388"/>
      <c r="E48" s="1152">
        <f>IF($C48=0,0,VLOOKUP($C48,'SD3'!$C$24:$O$85,4,FALSE))</f>
        <v>83</v>
      </c>
      <c r="F48" s="1151">
        <f>IF($C48=0,0,VLOOKUP($C48,'SD3'!$C$24:$O$85,12,FALSE))</f>
        <v>1.17</v>
      </c>
      <c r="G48" s="1150">
        <f>IF($C48=0,0,VLOOKUP($C48,'SD3'!$C$24:$O$85,13,FALSE))</f>
        <v>30.902852299999999</v>
      </c>
      <c r="H48" s="1147">
        <v>1</v>
      </c>
      <c r="I48" s="1146">
        <f t="shared" si="4"/>
        <v>1.17</v>
      </c>
      <c r="J48" s="1145">
        <f t="shared" si="5"/>
        <v>30.902852299999999</v>
      </c>
      <c r="K48" s="1147">
        <v>1</v>
      </c>
      <c r="L48" s="1149">
        <f t="shared" si="6"/>
        <v>1.17</v>
      </c>
      <c r="M48" s="1148">
        <f t="shared" si="7"/>
        <v>30.902852299999999</v>
      </c>
      <c r="N48" s="1147">
        <v>1</v>
      </c>
      <c r="O48" s="1146">
        <f t="shared" si="8"/>
        <v>1.17</v>
      </c>
      <c r="P48" s="1145">
        <f t="shared" si="9"/>
        <v>30.902852299999999</v>
      </c>
      <c r="Q48" s="34"/>
    </row>
    <row r="49" spans="1:17" s="36" customFormat="1" ht="15" customHeight="1">
      <c r="A49" s="746"/>
      <c r="B49" s="1153"/>
      <c r="C49" s="4387"/>
      <c r="D49" s="4388"/>
      <c r="E49" s="1152">
        <f>IF($C49=0,0,VLOOKUP($C49,'SD3'!$C$24:$O$85,4,FALSE))</f>
        <v>0</v>
      </c>
      <c r="F49" s="1151">
        <f>IF($C49=0,0,VLOOKUP($C49,'SD3'!$C$24:$O$85,12,FALSE))</f>
        <v>0</v>
      </c>
      <c r="G49" s="1150">
        <f>IF($C49=0,0,VLOOKUP($C49,'SD3'!$C$24:$O$85,13,FALSE))</f>
        <v>0</v>
      </c>
      <c r="H49" s="1147"/>
      <c r="I49" s="1146">
        <f t="shared" si="4"/>
        <v>0</v>
      </c>
      <c r="J49" s="1145">
        <f t="shared" si="5"/>
        <v>0</v>
      </c>
      <c r="K49" s="1147"/>
      <c r="L49" s="1149">
        <f t="shared" si="6"/>
        <v>0</v>
      </c>
      <c r="M49" s="1148">
        <f t="shared" si="7"/>
        <v>0</v>
      </c>
      <c r="N49" s="1147"/>
      <c r="O49" s="1146">
        <f t="shared" si="8"/>
        <v>0</v>
      </c>
      <c r="P49" s="1145">
        <f t="shared" si="9"/>
        <v>0</v>
      </c>
      <c r="Q49" s="34"/>
    </row>
    <row r="50" spans="1:17" s="36" customFormat="1" ht="15" customHeight="1">
      <c r="A50" s="746"/>
      <c r="B50" s="1153"/>
      <c r="C50" s="4387"/>
      <c r="D50" s="4388"/>
      <c r="E50" s="1152">
        <f>IF($C50=0,0,VLOOKUP($C50,'SD3'!$C$24:$O$85,4,FALSE))</f>
        <v>0</v>
      </c>
      <c r="F50" s="1151">
        <f>IF($C50=0,0,VLOOKUP($C50,'SD3'!$C$24:$O$85,12,FALSE))</f>
        <v>0</v>
      </c>
      <c r="G50" s="1150">
        <f>IF($C50=0,0,VLOOKUP($C50,'SD3'!$C$24:$O$85,13,FALSE))</f>
        <v>0</v>
      </c>
      <c r="H50" s="1147"/>
      <c r="I50" s="1146">
        <f t="shared" si="4"/>
        <v>0</v>
      </c>
      <c r="J50" s="1145">
        <f t="shared" si="5"/>
        <v>0</v>
      </c>
      <c r="K50" s="1147"/>
      <c r="L50" s="1149">
        <f t="shared" si="6"/>
        <v>0</v>
      </c>
      <c r="M50" s="1148">
        <f t="shared" si="7"/>
        <v>0</v>
      </c>
      <c r="N50" s="1147"/>
      <c r="O50" s="1146">
        <f t="shared" si="8"/>
        <v>0</v>
      </c>
      <c r="P50" s="1145">
        <f t="shared" si="9"/>
        <v>0</v>
      </c>
      <c r="Q50" s="34"/>
    </row>
    <row r="51" spans="1:17" s="36" customFormat="1" ht="15" customHeight="1">
      <c r="A51" s="746"/>
      <c r="B51" s="1153"/>
      <c r="C51" s="4387"/>
      <c r="D51" s="4388"/>
      <c r="E51" s="1152">
        <f>IF($C51=0,0,VLOOKUP($C51,'SD3'!$C$24:$O$85,4,FALSE))</f>
        <v>0</v>
      </c>
      <c r="F51" s="1151">
        <f>IF($C51=0,0,VLOOKUP($C51,'SD3'!$C$24:$O$85,12,FALSE))</f>
        <v>0</v>
      </c>
      <c r="G51" s="1150">
        <f>IF($C51=0,0,VLOOKUP($C51,'SD3'!$C$24:$O$85,13,FALSE))</f>
        <v>0</v>
      </c>
      <c r="H51" s="1147"/>
      <c r="I51" s="1146">
        <f t="shared" si="4"/>
        <v>0</v>
      </c>
      <c r="J51" s="1145">
        <f t="shared" si="5"/>
        <v>0</v>
      </c>
      <c r="K51" s="1147"/>
      <c r="L51" s="1149">
        <f t="shared" si="6"/>
        <v>0</v>
      </c>
      <c r="M51" s="1148">
        <f t="shared" si="7"/>
        <v>0</v>
      </c>
      <c r="N51" s="1147"/>
      <c r="O51" s="1146">
        <f t="shared" si="8"/>
        <v>0</v>
      </c>
      <c r="P51" s="1145">
        <f t="shared" si="9"/>
        <v>0</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c r="D57" s="4402"/>
      <c r="E57" s="1135">
        <f>IF($C57=0,0,VLOOKUP($C57,'SD3'!$C$24:$O$85,4,FALSE))</f>
        <v>0</v>
      </c>
      <c r="F57" s="1134">
        <f>IF($C57=0,0,VLOOKUP($C57,'SD3'!$C$24:$O$85,12,FALSE))</f>
        <v>0</v>
      </c>
      <c r="G57" s="1133">
        <f>IF($C57=0,0,VLOOKUP($C57,'SD3'!$C$24:$O$85,13,FALSE))</f>
        <v>0</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row>
    <row r="58" spans="1:17" s="46" customFormat="1" ht="18.75" customHeight="1">
      <c r="A58" s="811"/>
      <c r="B58" s="716" t="s">
        <v>848</v>
      </c>
      <c r="C58" s="811"/>
      <c r="D58" s="811"/>
      <c r="E58" s="811"/>
      <c r="F58" s="34"/>
      <c r="G58" s="1047"/>
      <c r="H58" s="1124"/>
      <c r="I58" s="1123">
        <f>SUM($I$46:$I$57)</f>
        <v>3.26</v>
      </c>
      <c r="J58" s="1128"/>
      <c r="K58" s="1127"/>
      <c r="L58" s="1126">
        <f>SUM($L$46:$L$57)</f>
        <v>3.26</v>
      </c>
      <c r="M58" s="1125"/>
      <c r="N58" s="1124"/>
      <c r="O58" s="1123">
        <f>SUM($O$46:$O$57)</f>
        <v>3.26</v>
      </c>
      <c r="P58" s="1122"/>
      <c r="Q58" s="34"/>
    </row>
    <row r="59" spans="1:17" s="46" customFormat="1" ht="15" customHeight="1">
      <c r="A59" s="811"/>
      <c r="B59" s="1121"/>
      <c r="C59" s="285"/>
      <c r="D59" s="222" t="s">
        <v>847</v>
      </c>
      <c r="E59" s="1120">
        <v>80</v>
      </c>
      <c r="F59" s="285" t="s">
        <v>846</v>
      </c>
      <c r="G59" s="1119"/>
      <c r="H59" s="1115"/>
      <c r="I59" s="1114">
        <f>IF(I58+SUM($I$46:$I$57)*$E$59%&gt;I58+10,I58+10,I58+SUM($I$46:$I$57)*$E$59%)</f>
        <v>5.8680000000000003</v>
      </c>
      <c r="J59" s="1113"/>
      <c r="K59" s="1118"/>
      <c r="L59" s="1117">
        <f>IF(L58+SUM($L$46:$L$57)*$E$59%&gt;L58+10,L58+10,L58+SUM($L$46:$L$57)*$E$59%)</f>
        <v>5.8680000000000003</v>
      </c>
      <c r="M59" s="1116"/>
      <c r="N59" s="1115"/>
      <c r="O59" s="1114">
        <f>IF(O58+SUM($O$46:$O$57)*$E$59%&gt;O58+10,O58+10,O58+SUM($O$46:$O$57)*$E$59%)</f>
        <v>5.8680000000000003</v>
      </c>
      <c r="P59" s="1113"/>
      <c r="Q59" s="34"/>
    </row>
    <row r="60" spans="1:17" s="36" customFormat="1" ht="18.75" customHeight="1">
      <c r="A60" s="746"/>
      <c r="B60" s="716" t="s">
        <v>845</v>
      </c>
      <c r="C60" s="811"/>
      <c r="D60" s="811"/>
      <c r="E60" s="39"/>
      <c r="F60" s="39"/>
      <c r="G60" s="1112"/>
      <c r="H60" s="1104"/>
      <c r="I60" s="1103"/>
      <c r="J60" s="1111">
        <f>IF(J6=0,0,SUM(I62:I64))</f>
        <v>0</v>
      </c>
      <c r="K60" s="1107"/>
      <c r="L60" s="1106"/>
      <c r="M60" s="1044">
        <f>IF(M6=0,0,SUM(L62:L64))</f>
        <v>0</v>
      </c>
      <c r="N60" s="1104"/>
      <c r="O60" s="1103"/>
      <c r="P60" s="1111">
        <f>IF(P6=0,0,SUM(O62:O64))</f>
        <v>0</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c r="D62" s="4365"/>
      <c r="E62" s="4365"/>
      <c r="F62" s="1101">
        <f>IF($C62=0,0,VLOOKUP($C62,'SD3'!$C$90:$D$104,2,FALSE))</f>
        <v>0</v>
      </c>
      <c r="G62" s="1100">
        <f>(100+$D$61)/100*F62</f>
        <v>0</v>
      </c>
      <c r="H62" s="173"/>
      <c r="I62" s="1096">
        <f>$G$62</f>
        <v>0</v>
      </c>
      <c r="J62" s="173"/>
      <c r="K62" s="1099"/>
      <c r="L62" s="1098">
        <f>$G$62</f>
        <v>0</v>
      </c>
      <c r="M62" s="1016"/>
      <c r="N62" s="1097"/>
      <c r="O62" s="1096">
        <f>$G$62</f>
        <v>0</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34"/>
    </row>
    <row r="65" spans="1:20" s="511" customFormat="1" ht="18.75" customHeight="1">
      <c r="A65" s="711"/>
      <c r="B65" s="716" t="s">
        <v>844</v>
      </c>
      <c r="C65" s="711"/>
      <c r="D65" s="711"/>
      <c r="E65" s="711"/>
      <c r="F65" s="34"/>
      <c r="G65" s="1047"/>
      <c r="H65" s="385"/>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387"/>
      <c r="K67" s="1068" t="s">
        <v>842</v>
      </c>
      <c r="L67" s="1067" t="s">
        <v>841</v>
      </c>
      <c r="M67" s="1387"/>
      <c r="N67" s="1066" t="s">
        <v>842</v>
      </c>
      <c r="O67" s="1065" t="s">
        <v>841</v>
      </c>
      <c r="P67" s="1387"/>
      <c r="Q67" s="34"/>
    </row>
    <row r="68" spans="1:20" s="511" customFormat="1" ht="15" customHeight="1">
      <c r="A68" s="711"/>
      <c r="B68" s="1064"/>
      <c r="C68" s="4393" t="s">
        <v>564</v>
      </c>
      <c r="D68" s="4393"/>
      <c r="E68" s="4393"/>
      <c r="F68" s="1063"/>
      <c r="G68" s="1054" t="s">
        <v>163</v>
      </c>
      <c r="H68" s="1061"/>
      <c r="I68" s="1060"/>
      <c r="J68" s="1059"/>
      <c r="K68" s="1061"/>
      <c r="L68" s="1060"/>
      <c r="M68" s="1062"/>
      <c r="N68" s="1061"/>
      <c r="O68" s="1060"/>
      <c r="P68" s="1059"/>
      <c r="Q68" s="34"/>
      <c r="R68" s="1369">
        <f>IF($H$68=0,0,VLOOKUP($H$68,'SD6'!B8:C101,2,FALSE))*(1+'SDK1'!O11/100)</f>
        <v>0</v>
      </c>
      <c r="S68" s="1058">
        <f>IF($K$68=0,0,VLOOKUP($K$68,'SD6'!B8:C101,2,FALSE))*(1+'SDK1'!O11/100)</f>
        <v>0</v>
      </c>
      <c r="T68" s="1369">
        <f>IF($N$68=0,0,VLOOKUP($N$68,'SD6'!B8:C101,2,FALSE))*(1+'SDK1'!O11/100)</f>
        <v>0</v>
      </c>
    </row>
    <row r="69" spans="1:20" s="511" customFormat="1" ht="18.75" hidden="1" customHeight="1">
      <c r="A69" s="711"/>
      <c r="B69" s="716" t="s">
        <v>839</v>
      </c>
      <c r="C69" s="711"/>
      <c r="D69" s="711"/>
      <c r="E69" s="34"/>
      <c r="F69" s="34"/>
      <c r="G69" s="1047"/>
      <c r="H69" s="38"/>
      <c r="I69" s="51"/>
      <c r="J69" s="1041">
        <f>H70*$F70/1000</f>
        <v>0</v>
      </c>
      <c r="K69" s="1057"/>
      <c r="L69" s="1056"/>
      <c r="M69" s="1044">
        <f>K70*$F70/1000</f>
        <v>0</v>
      </c>
      <c r="N69" s="38"/>
      <c r="O69" s="51"/>
      <c r="P69" s="1041">
        <f>N70*$F70/1000</f>
        <v>0</v>
      </c>
      <c r="Q69" s="34"/>
    </row>
    <row r="70" spans="1:20" s="511" customFormat="1" ht="15" hidden="1" customHeight="1">
      <c r="A70" s="711"/>
      <c r="B70" s="772"/>
      <c r="C70" s="771" t="s">
        <v>606</v>
      </c>
      <c r="D70" s="285"/>
      <c r="E70" s="222"/>
      <c r="F70" s="1386"/>
      <c r="G70" s="1054" t="s">
        <v>163</v>
      </c>
      <c r="H70" s="1357">
        <f>J7</f>
        <v>0</v>
      </c>
      <c r="I70" s="1049"/>
      <c r="J70" s="1048"/>
      <c r="K70" s="1053">
        <f>M7</f>
        <v>0</v>
      </c>
      <c r="L70" s="1052"/>
      <c r="M70" s="1051"/>
      <c r="N70" s="1357">
        <f>P7</f>
        <v>0</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3470"/>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f>(J23+J27+J34+J43+J60+J65+J67+J69+J71)*('SDK1'!$O$59%*$G$75/12)</f>
        <v>2.3517061358333331</v>
      </c>
      <c r="K75" s="513"/>
      <c r="L75" s="522"/>
      <c r="M75" s="1005">
        <f>(M23+M27+M34+M43+M60+M65+M67+M69+M71)*('SDK1'!$O$59%*$G$75/12)</f>
        <v>2.3517061358333331</v>
      </c>
      <c r="N75" s="1007"/>
      <c r="O75" s="1006"/>
      <c r="P75" s="1005">
        <f>(P23+P27+P34+P43+P60+P65+P67+P69+P71)*('SDK1'!$O$59%*$G$75/12)</f>
        <v>2.3517061358333331</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M151" s="31"/>
      <c r="N151" s="31"/>
      <c r="O151" s="31"/>
      <c r="P151" s="31"/>
      <c r="Q151" s="31"/>
    </row>
    <row r="152" spans="1:17">
      <c r="A152" s="31"/>
      <c r="B152" s="441"/>
      <c r="C152" s="12"/>
      <c r="M152" s="31"/>
      <c r="N152" s="31"/>
      <c r="O152" s="31"/>
      <c r="P152" s="31"/>
      <c r="Q152" s="31"/>
    </row>
    <row r="153" spans="1:17">
      <c r="A153" s="31"/>
      <c r="B153" s="441"/>
      <c r="C153" s="12"/>
      <c r="M153" s="31"/>
      <c r="N153" s="31"/>
      <c r="O153" s="31"/>
      <c r="P153" s="31"/>
      <c r="Q153" s="31"/>
    </row>
    <row r="154" spans="1:17">
      <c r="A154" s="31"/>
      <c r="B154" s="441"/>
      <c r="C154" s="12"/>
      <c r="M154" s="31"/>
      <c r="N154" s="31"/>
      <c r="O154" s="31"/>
      <c r="P154" s="31"/>
      <c r="Q154" s="31"/>
    </row>
    <row r="155" spans="1:17">
      <c r="A155" s="31"/>
      <c r="B155" s="441"/>
      <c r="C155" s="12"/>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76" orientation="portrait" r:id="rId1"/>
      <headerFooter alignWithMargins="0">
        <oddFooter>&amp;L&amp;11LEL Schwäbisch Gmünd&amp;C83&amp;R&amp;11&amp;F</oddFooter>
      </headerFooter>
    </customSheetView>
    <customSheetView guid="{5D5C9B61-9ABD-4513-AAEB-8333A9D6196C}"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76" orientation="portrait" r:id="rId2"/>
      <headerFooter alignWithMargins="0">
        <oddFooter>&amp;L&amp;11LEL Schwäbisch Gmünd&amp;C83&amp;R&amp;11&amp;F</oddFooter>
      </headerFooter>
    </customSheetView>
    <customSheetView guid="{22A73C4F-9004-4CEF-8499-B1F91BE1B569}"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76" orientation="portrait" r:id="rId3"/>
      <headerFooter alignWithMargins="0">
        <oddFooter>&amp;L&amp;11LEL Schwäbisch Gmünd&amp;C83&amp;R&amp;11&amp;F</oddFooter>
      </headerFooter>
    </customSheetView>
  </customSheetViews>
  <mergeCells count="50">
    <mergeCell ref="B75:C75"/>
    <mergeCell ref="C37:E37"/>
    <mergeCell ref="C73:E73"/>
    <mergeCell ref="C55:D55"/>
    <mergeCell ref="C68:E68"/>
    <mergeCell ref="C74:E74"/>
    <mergeCell ref="C56:D56"/>
    <mergeCell ref="C57:D57"/>
    <mergeCell ref="C51:D51"/>
    <mergeCell ref="C53:D53"/>
    <mergeCell ref="C62:E62"/>
    <mergeCell ref="C64:E64"/>
    <mergeCell ref="C41:E41"/>
    <mergeCell ref="C42:E42"/>
    <mergeCell ref="C47:D47"/>
    <mergeCell ref="C63:E63"/>
    <mergeCell ref="C19:F19"/>
    <mergeCell ref="J4:L4"/>
    <mergeCell ref="E4:I4"/>
    <mergeCell ref="C20:F20"/>
    <mergeCell ref="C21:F21"/>
    <mergeCell ref="N6:O6"/>
    <mergeCell ref="C14:F14"/>
    <mergeCell ref="C17:F17"/>
    <mergeCell ref="C16:F16"/>
    <mergeCell ref="K1:L1"/>
    <mergeCell ref="K2:P2"/>
    <mergeCell ref="C15:F15"/>
    <mergeCell ref="N3:O4"/>
    <mergeCell ref="H6:I6"/>
    <mergeCell ref="K6:L6"/>
    <mergeCell ref="E10:F10"/>
    <mergeCell ref="N1:O1"/>
    <mergeCell ref="J3:L3"/>
    <mergeCell ref="B3:H3"/>
    <mergeCell ref="C48:D48"/>
    <mergeCell ref="C52:D52"/>
    <mergeCell ref="C54:D54"/>
    <mergeCell ref="E22:G22"/>
    <mergeCell ref="F23:G23"/>
    <mergeCell ref="F34:G34"/>
    <mergeCell ref="D25:E25"/>
    <mergeCell ref="D26:E26"/>
    <mergeCell ref="C36:E36"/>
    <mergeCell ref="C39:E39"/>
    <mergeCell ref="C40:E40"/>
    <mergeCell ref="C38:E38"/>
    <mergeCell ref="C49:D49"/>
    <mergeCell ref="C50:D50"/>
    <mergeCell ref="C46:D46"/>
  </mergeCells>
  <dataValidations count="5">
    <dataValidation type="list" showInputMessage="1" showErrorMessage="1" sqref="H14 K14 N14" xr:uid="{00000000-0002-0000-3700-000000000000}">
      <formula1>"ja,nein"</formula1>
    </dataValidation>
    <dataValidation type="list" allowBlank="1" showInputMessage="1" showErrorMessage="1" sqref="H15:H17 K15:K17 N15:N17" xr:uid="{00000000-0002-0000-3700-000001000000}">
      <formula1>"ja,nein"</formula1>
    </dataValidation>
    <dataValidation type="decimal" allowBlank="1" showInputMessage="1" showErrorMessage="1" errorTitle="Wassergehalt Getreide" error="Zulässig sind nur Werte zwischen 14,1 und 22,0 % Wassergehalt." sqref="H68 K68 N68" xr:uid="{00000000-0002-0000-3700-000002000000}">
      <formula1>14.1</formula1>
      <formula2>22</formula2>
    </dataValidation>
    <dataValidation type="whole" allowBlank="1" showInputMessage="1" showErrorMessage="1" errorTitle="Anteil Erntegut" error="Prozentwert darf nur zwischen 0 und 100 liegen." sqref="O68 L68 I68" xr:uid="{00000000-0002-0000-3700-000003000000}">
      <formula1>0</formula1>
      <formula2>100</formula2>
    </dataValidation>
    <dataValidation type="list" allowBlank="1" showInputMessage="1" showErrorMessage="1" errorTitle="Organisationsabh. Ausgleichsl." error="Bitte aus Dropdownliste auswählen." sqref="D19:F19" xr:uid="{00000000-0002-0000-3700-000004000000}">
      <formula1>$C$60:$C$75</formula1>
    </dataValidation>
  </dataValidations>
  <hyperlinks>
    <hyperlink ref="F9" location="'SDK1'!A1" display="Preis ändern" xr:uid="{00000000-0004-0000-3700-000000000000}"/>
  </hyperlinks>
  <printOptions horizontalCentered="1"/>
  <pageMargins left="0.59055118110236227" right="0.59055118110236227" top="0.59055118110236227" bottom="0.59055118110236227" header="0.39370078740157483" footer="0.39370078740157483"/>
  <pageSetup paperSize="9" scale="65" firstPageNumber="76" orientation="portrait" r:id="rId4"/>
  <headerFooter alignWithMargins="0">
    <oddFooter>&amp;L&amp;11LEL Schwäbisch Gmünd&amp;C83&amp;R&amp;11&amp;F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r:uid="{00000000-0002-0000-3700-000005000000}">
          <x14:formula1>
            <xm:f>'SDK5'!$AR$214:$AR$313</xm:f>
          </x14:formula1>
          <xm:sqref>C36:E42</xm:sqref>
        </x14:dataValidation>
        <x14:dataValidation type="list" allowBlank="1" showInputMessage="1" showErrorMessage="1" errorTitle="Verfahrensabh. Ausgleichsleist." error="Bitte aus Dropdownliste auswählen." xr:uid="{00000000-0002-0000-3700-000006000000}">
          <x14:formula1>
            <xm:f>'SD2'!$C$11:$C$50</xm:f>
          </x14:formula1>
          <xm:sqref>C14:F17</xm:sqref>
        </x14:dataValidation>
        <x14:dataValidation type="list" allowBlank="1" showInputMessage="1" showErrorMessage="1" errorTitle="Organisationsabh. Ausgleichsl." error="Bitte aus Dropdownliste auswählen." xr:uid="{00000000-0002-0000-3700-000007000000}">
          <x14:formula1>
            <xm:f>'SD2'!$C$60:$C$77</xm:f>
          </x14:formula1>
          <xm:sqref>C19:C21</xm:sqref>
        </x14:dataValidation>
        <x14:dataValidation type="list" allowBlank="1" showInputMessage="1" showErrorMessage="1" errorTitle="Arbeitsgänge" error="Bitte aus Dropdownliste auswählen." xr:uid="{00000000-0002-0000-3700-000008000000}">
          <x14:formula1>
            <xm:f>'SD3'!$C$23:$C$75</xm:f>
          </x14:formula1>
          <xm:sqref>C46:D57</xm:sqref>
        </x14:dataValidation>
        <x14:dataValidation type="list" allowBlank="1" showInputMessage="1" showErrorMessage="1" errorTitle="Lohnmaschinen" error="Bitte aus Dropdownliste auswählen." xr:uid="{00000000-0002-0000-3700-000009000000}">
          <x14:formula1>
            <xm:f>'SD3'!$C$90:$C$104</xm:f>
          </x14:formula1>
          <xm:sqref>C62:E64</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55">
    <tabColor rgb="FF99FF33"/>
    <pageSetUpPr fitToPage="1"/>
  </sheetPr>
  <dimension ref="A1:AO218"/>
  <sheetViews>
    <sheetView workbookViewId="0">
      <selection activeCell="E4" sqref="E4:I4"/>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0" style="31" hidden="1" customWidth="1"/>
    <col min="22" max="22" width="12.8984375" style="31" hidden="1" customWidth="1"/>
    <col min="23" max="28" width="0" style="31" hidden="1" customWidth="1"/>
    <col min="29" max="16384" width="10.5" style="31"/>
  </cols>
  <sheetData>
    <row r="1" spans="1:41" s="1317" customFormat="1" ht="30.45" customHeight="1">
      <c r="A1" s="1321"/>
      <c r="B1" s="258"/>
      <c r="C1" s="1333"/>
      <c r="D1" s="1253"/>
      <c r="E1" s="255"/>
      <c r="F1" s="255"/>
      <c r="G1" s="430"/>
      <c r="H1" s="1328"/>
      <c r="I1" s="3212" t="s">
        <v>1679</v>
      </c>
      <c r="J1" s="3210">
        <f>(J7+J13+J18+J22+I11+I12)-(J23+J27+J34+J43+J60+J65+J67+J69+J71+J75)</f>
        <v>110.83716161174999</v>
      </c>
      <c r="K1" s="4360">
        <f>M1-J1</f>
        <v>0</v>
      </c>
      <c r="L1" s="4360"/>
      <c r="M1" s="3210">
        <f>(M7+M13+M18+M22+L11+L12)-(M23+M27+M34+M43+M60+M65+M67+M69+M71+M75)</f>
        <v>110.83716161174999</v>
      </c>
      <c r="N1" s="4360">
        <f>P1-M1</f>
        <v>0</v>
      </c>
      <c r="O1" s="4360"/>
      <c r="P1" s="3210">
        <f>(P7+P13+P18+P22+O11+O12)-(P23+P27+P34+P43+P60+P65+P67+P69+P71+P75)</f>
        <v>110.83716161174999</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183</v>
      </c>
      <c r="L2" s="4372"/>
      <c r="M2" s="4372"/>
      <c r="N2" s="4372"/>
      <c r="O2" s="4372"/>
      <c r="P2" s="4372"/>
      <c r="Q2" s="1345">
        <v>0</v>
      </c>
    </row>
    <row r="3" spans="1:41" s="1317" customFormat="1" ht="32.4" customHeight="1">
      <c r="A3" s="1321"/>
      <c r="B3" s="4405" t="s">
        <v>1727</v>
      </c>
      <c r="C3" s="4405"/>
      <c r="D3" s="4405"/>
      <c r="E3" s="4405"/>
      <c r="F3" s="4405"/>
      <c r="G3" s="4405"/>
      <c r="H3" s="4405"/>
      <c r="J3" s="4368"/>
      <c r="K3" s="4369"/>
      <c r="L3" s="4369"/>
      <c r="M3" s="1368"/>
      <c r="N3" s="4373" t="str">
        <f>IF(AND(T3=TRUE,T4=TRUE),"nur 1 Strohnutzung möglich","")</f>
        <v/>
      </c>
      <c r="O3" s="4374"/>
      <c r="P3" s="1326"/>
      <c r="Q3" s="1321"/>
      <c r="T3" s="1343" t="b">
        <v>0</v>
      </c>
    </row>
    <row r="4" spans="1:41" s="1317" customFormat="1" ht="20.25" customHeight="1">
      <c r="A4" s="1321"/>
      <c r="B4" s="309" t="s">
        <v>779</v>
      </c>
      <c r="C4" s="31"/>
      <c r="D4" s="31"/>
      <c r="E4" s="4432" t="s">
        <v>922</v>
      </c>
      <c r="F4" s="4432"/>
      <c r="G4" s="4432"/>
      <c r="H4" s="4432"/>
      <c r="I4" s="4432"/>
      <c r="J4" s="4368"/>
      <c r="K4" s="4369"/>
      <c r="L4" s="4369"/>
      <c r="M4" s="1367"/>
      <c r="N4" s="4374"/>
      <c r="O4" s="4374"/>
      <c r="P4" s="1322">
        <f>'SDK1'!O3</f>
        <v>2024</v>
      </c>
      <c r="Q4" s="1321"/>
      <c r="T4" s="1343" t="b">
        <v>0</v>
      </c>
    </row>
    <row r="5" spans="1:41" ht="6" customHeight="1"/>
    <row r="6" spans="1:41" s="1311" customFormat="1" ht="24" customHeight="1">
      <c r="A6" s="41"/>
      <c r="B6" s="1316" t="s">
        <v>832</v>
      </c>
      <c r="C6" s="1315"/>
      <c r="D6" s="1315"/>
      <c r="E6" s="1315"/>
      <c r="F6" s="1315"/>
      <c r="G6" s="1314"/>
      <c r="H6" s="4366" t="s">
        <v>171</v>
      </c>
      <c r="I6" s="4367"/>
      <c r="J6" s="1313">
        <v>1</v>
      </c>
      <c r="K6" s="4379" t="s">
        <v>144</v>
      </c>
      <c r="L6" s="4380"/>
      <c r="M6" s="1313">
        <v>1</v>
      </c>
      <c r="N6" s="4366" t="s">
        <v>170</v>
      </c>
      <c r="O6" s="4367"/>
      <c r="P6" s="1312">
        <v>1</v>
      </c>
      <c r="Q6" s="49"/>
    </row>
    <row r="7" spans="1:41" s="196" customFormat="1" ht="18.75" customHeight="1">
      <c r="A7" s="40"/>
      <c r="B7" s="245" t="s">
        <v>883</v>
      </c>
      <c r="C7" s="40"/>
      <c r="D7" s="40"/>
      <c r="E7" s="40"/>
      <c r="F7" s="40"/>
      <c r="G7" s="1310"/>
      <c r="H7" s="1307"/>
      <c r="I7" s="1306"/>
      <c r="J7" s="1041">
        <f>SUM(I9:I10)</f>
        <v>0</v>
      </c>
      <c r="K7" s="1309"/>
      <c r="L7" s="1308"/>
      <c r="M7" s="1044">
        <f>SUM(L9:L10)</f>
        <v>0</v>
      </c>
      <c r="N7" s="1307"/>
      <c r="O7" s="1306"/>
      <c r="P7" s="1041">
        <f>SUM(O9:O10)</f>
        <v>0</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45"/>
      <c r="C9" s="39" t="str">
        <f>IF('SDK1'!O9&gt;0,"Hauptprodukt (incl. MwSt.)","Hauptprodukt (ohne MwSt)")</f>
        <v>Hauptprodukt (ohne MwSt)</v>
      </c>
      <c r="D9" s="40"/>
      <c r="E9" s="40"/>
      <c r="F9" s="1304"/>
      <c r="G9" s="1221"/>
      <c r="H9" s="1303">
        <f>J6-H10</f>
        <v>1</v>
      </c>
      <c r="I9" s="1299">
        <f>H9*G9</f>
        <v>0</v>
      </c>
      <c r="J9" s="37"/>
      <c r="K9" s="1302">
        <f>M6-K10</f>
        <v>1</v>
      </c>
      <c r="L9" s="1301">
        <f>K9*G9</f>
        <v>0</v>
      </c>
      <c r="M9" s="1280"/>
      <c r="N9" s="1300">
        <f>P6-N10</f>
        <v>1</v>
      </c>
      <c r="O9" s="1299">
        <f>N9*G9</f>
        <v>0</v>
      </c>
      <c r="P9" s="37"/>
      <c r="Q9" s="34"/>
      <c r="R9" s="517"/>
      <c r="S9" s="208" t="s">
        <v>887</v>
      </c>
      <c r="T9" s="1298"/>
    </row>
    <row r="10" spans="1:41" s="1268" customFormat="1" ht="15" customHeight="1">
      <c r="A10" s="309"/>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309"/>
      <c r="B11" s="217"/>
      <c r="C11" s="39" t="s">
        <v>878</v>
      </c>
      <c r="D11" s="309"/>
      <c r="E11" s="1286"/>
      <c r="F11" s="39" t="s">
        <v>877</v>
      </c>
      <c r="G11" s="1285">
        <f>'SDK1'!$O$48</f>
        <v>10.7</v>
      </c>
      <c r="H11" s="1284">
        <f>IF($T$3=FALSE,0,J6*$E$11)</f>
        <v>0</v>
      </c>
      <c r="I11" s="1278">
        <f>H11*$G$11</f>
        <v>0</v>
      </c>
      <c r="J11" s="1283"/>
      <c r="K11" s="1282">
        <f>IF($T$3=FALSE,0,M6*$E$11)</f>
        <v>0</v>
      </c>
      <c r="L11" s="1281">
        <f>K11*$G$11</f>
        <v>0</v>
      </c>
      <c r="M11" s="1280"/>
      <c r="N11" s="1279">
        <f>IF($T$3=FALSE,0,P6*$E$11)</f>
        <v>0</v>
      </c>
      <c r="O11" s="1278">
        <f>N11*$G$11</f>
        <v>0</v>
      </c>
      <c r="P11" s="37"/>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100</v>
      </c>
      <c r="K13" s="1352"/>
      <c r="L13" s="1251"/>
      <c r="M13" s="1044">
        <f>SUM(L14:L17)</f>
        <v>100</v>
      </c>
      <c r="N13" s="1351"/>
      <c r="O13" s="1249"/>
      <c r="P13" s="1041">
        <f>SUM(O14:O17)</f>
        <v>100</v>
      </c>
      <c r="Q13" s="34"/>
      <c r="R13" s="1253"/>
      <c r="W13" s="1266" t="s">
        <v>872</v>
      </c>
      <c r="X13" s="1264" t="str">
        <f>IF(OR(T3=TRUE,T4=TRUE),J6*$E$11,"0")</f>
        <v>0</v>
      </c>
      <c r="Y13" s="1265" t="str">
        <f>IF(OR(T3=TRUE,T4=TRUE),M6*$E$11,"0")</f>
        <v>0</v>
      </c>
      <c r="Z13" s="1264" t="str">
        <f>IF(OR(T3=TRUE,T4=TRUE),P6*$E$11,"0")</f>
        <v>0</v>
      </c>
    </row>
    <row r="14" spans="1:41" s="36" customFormat="1" ht="15" customHeight="1">
      <c r="A14" s="39"/>
      <c r="B14" s="1247"/>
      <c r="C14" s="4365" t="s">
        <v>1514</v>
      </c>
      <c r="D14" s="4365"/>
      <c r="E14" s="4365"/>
      <c r="F14" s="4365"/>
      <c r="G14" s="1263"/>
      <c r="H14" s="1262" t="s">
        <v>919</v>
      </c>
      <c r="I14" s="2827">
        <f>IF(H14="ja",Q14,0)</f>
        <v>100</v>
      </c>
      <c r="J14" s="39"/>
      <c r="K14" s="1262" t="s">
        <v>919</v>
      </c>
      <c r="L14" s="1098">
        <f>IF(K14="ja",Q14,0)</f>
        <v>100</v>
      </c>
      <c r="M14" s="1016"/>
      <c r="N14" s="1262" t="s">
        <v>919</v>
      </c>
      <c r="O14" s="2827">
        <f>IF(N14="ja",Q14,0)</f>
        <v>100</v>
      </c>
      <c r="P14" s="2826"/>
      <c r="Q14" s="1261">
        <f>IF(C14=0,0,VLOOKUP(C14,'SD2'!$C$11:$O$50,'SD2'!$O$1,FALSE))</f>
        <v>100</v>
      </c>
      <c r="R14" s="1253"/>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511" customFormat="1" ht="18.75" customHeight="1">
      <c r="A18" s="40"/>
      <c r="B18" s="209" t="s">
        <v>1563</v>
      </c>
      <c r="C18" s="1672"/>
      <c r="D18" s="1672"/>
      <c r="E18" s="1672"/>
      <c r="F18" s="1672"/>
      <c r="G18" s="2240"/>
      <c r="H18" s="1351"/>
      <c r="I18" s="2241"/>
      <c r="J18" s="1041">
        <f>SUM(I19:I21)</f>
        <v>177</v>
      </c>
      <c r="K18" s="1352"/>
      <c r="L18" s="2242"/>
      <c r="M18" s="1044">
        <f>SUM(L19:L21)</f>
        <v>177</v>
      </c>
      <c r="N18" s="1351"/>
      <c r="O18" s="2241"/>
      <c r="P18" s="1041">
        <f>SUM(O19:O21)</f>
        <v>177</v>
      </c>
      <c r="Q18" s="34"/>
      <c r="R18" s="514" t="s">
        <v>870</v>
      </c>
      <c r="S18" s="308"/>
      <c r="T18" s="1248"/>
    </row>
    <row r="19" spans="1:26" s="36" customFormat="1" ht="15.6" customHeight="1">
      <c r="A19" s="39"/>
      <c r="B19" s="1247"/>
      <c r="C19" s="4365" t="s">
        <v>1560</v>
      </c>
      <c r="D19" s="4365"/>
      <c r="E19" s="4365"/>
      <c r="F19" s="4365"/>
      <c r="G19" s="1246"/>
      <c r="H19" s="1244"/>
      <c r="I19" s="2827">
        <f>IF(OR($C19=0,$J$6=0),0,VLOOKUP($C19,'SD2'!C60:O78,12,FALSE))</f>
        <v>155</v>
      </c>
      <c r="J19" s="39"/>
      <c r="K19" s="1245"/>
      <c r="L19" s="1098">
        <f>IF(OR($C19=0,$M$6=0),0,VLOOKUP($C19,'SD2'!$C$60:$O$78,12,FALSE))</f>
        <v>155</v>
      </c>
      <c r="M19" s="1016"/>
      <c r="N19" s="1244"/>
      <c r="O19" s="2827">
        <f>IF(OR($C19=0,$P$6=0),0,VLOOKUP($C19,'SD2'!C60:O78,12,FALSE))</f>
        <v>155</v>
      </c>
      <c r="P19" s="2826"/>
      <c r="Q19" s="34"/>
      <c r="R19" s="1242">
        <f>J13+J18</f>
        <v>277</v>
      </c>
      <c r="S19" s="1241">
        <f>M13+M18</f>
        <v>277</v>
      </c>
      <c r="T19" s="1240">
        <f>P13+P18</f>
        <v>277</v>
      </c>
    </row>
    <row r="20" spans="1:26" s="36" customFormat="1" ht="15.6" customHeight="1">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6" customHeight="1">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309"/>
      <c r="B22" s="245" t="s">
        <v>869</v>
      </c>
      <c r="C22" s="39"/>
      <c r="D22" s="1234"/>
      <c r="E22" s="4370" t="s">
        <v>868</v>
      </c>
      <c r="F22" s="4370"/>
      <c r="G22" s="4371"/>
      <c r="H22" s="1231"/>
      <c r="I22" s="1230"/>
      <c r="J22" s="1229"/>
      <c r="K22" s="1233"/>
      <c r="L22" s="1232"/>
      <c r="M22" s="1229"/>
      <c r="N22" s="1231"/>
      <c r="O22" s="1230"/>
      <c r="P22" s="1229"/>
      <c r="R22" s="34"/>
      <c r="S22" s="34"/>
      <c r="T22" s="34"/>
    </row>
    <row r="23" spans="1:26" ht="18.75" customHeight="1">
      <c r="A23" s="309"/>
      <c r="B23" s="209" t="s">
        <v>867</v>
      </c>
      <c r="C23" s="1228"/>
      <c r="D23" s="1228"/>
      <c r="F23" s="4381" t="s">
        <v>858</v>
      </c>
      <c r="G23" s="4382"/>
      <c r="H23" s="1043"/>
      <c r="I23" s="1042"/>
      <c r="J23" s="1026">
        <f>SUM(I25:I26)</f>
        <v>62.5</v>
      </c>
      <c r="K23" s="1046"/>
      <c r="L23" s="1045"/>
      <c r="M23" s="1227">
        <f>SUM(L25:L26)</f>
        <v>62.5</v>
      </c>
      <c r="N23" s="1043"/>
      <c r="O23" s="1042"/>
      <c r="P23" s="1026">
        <f>SUM(O25:O26)</f>
        <v>62.5</v>
      </c>
    </row>
    <row r="24" spans="1:26" ht="13.2" customHeight="1">
      <c r="A24" s="309"/>
      <c r="B24" s="1226"/>
      <c r="C24" s="1039" t="s">
        <v>837</v>
      </c>
      <c r="D24" s="1110">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c r="G25" s="1221">
        <f>F25*(100+$D$24)/100</f>
        <v>0</v>
      </c>
      <c r="H25" s="1390"/>
      <c r="I25" s="1181">
        <f>H25*$G25</f>
        <v>0</v>
      </c>
      <c r="J25" s="39"/>
      <c r="K25" s="1390"/>
      <c r="L25" s="1023">
        <f>K25*$G25</f>
        <v>0</v>
      </c>
      <c r="M25" s="1016"/>
      <c r="N25" s="1390">
        <f>H25</f>
        <v>0</v>
      </c>
      <c r="O25" s="1181">
        <f>N25*$G25</f>
        <v>0</v>
      </c>
      <c r="P25" s="1145"/>
      <c r="Q25" s="34"/>
    </row>
    <row r="26" spans="1:26" s="36" customFormat="1" ht="15" customHeight="1">
      <c r="A26" s="746"/>
      <c r="B26" s="772"/>
      <c r="C26" s="1219" t="s">
        <v>183</v>
      </c>
      <c r="D26" s="4385" t="s">
        <v>921</v>
      </c>
      <c r="E26" s="4386"/>
      <c r="F26" s="1218">
        <v>2.5</v>
      </c>
      <c r="G26" s="1217">
        <f>F26*(100+$D$24)/100</f>
        <v>2.5</v>
      </c>
      <c r="H26" s="1360">
        <v>25</v>
      </c>
      <c r="I26" s="1177">
        <f>H26*$G26</f>
        <v>62.5</v>
      </c>
      <c r="J26" s="39"/>
      <c r="K26" s="1360">
        <v>25</v>
      </c>
      <c r="L26" s="1017">
        <f>K26*$G26</f>
        <v>62.5</v>
      </c>
      <c r="M26" s="1016"/>
      <c r="N26" s="1360">
        <v>25</v>
      </c>
      <c r="O26" s="1177">
        <f>N26*$G26</f>
        <v>62.5</v>
      </c>
      <c r="P26" s="1176"/>
      <c r="Q26" s="34"/>
    </row>
    <row r="27" spans="1:26" s="511" customFormat="1" ht="18.75" customHeight="1">
      <c r="A27" s="711"/>
      <c r="B27" s="1215" t="s">
        <v>865</v>
      </c>
      <c r="C27" s="711"/>
      <c r="D27" s="51"/>
      <c r="E27" s="34"/>
      <c r="F27" s="34"/>
      <c r="G27" s="1214"/>
      <c r="H27" s="1173"/>
      <c r="I27" s="1172"/>
      <c r="J27" s="1041">
        <f>SUM(I30:I32)</f>
        <v>0</v>
      </c>
      <c r="K27" s="1175"/>
      <c r="L27" s="1174"/>
      <c r="M27" s="1044">
        <f>SUM(L30:L32)</f>
        <v>0</v>
      </c>
      <c r="N27" s="1173"/>
      <c r="O27" s="1172"/>
      <c r="P27" s="1041">
        <f>SUM(O30:O32)</f>
        <v>0</v>
      </c>
      <c r="Q27" s="34"/>
    </row>
    <row r="28" spans="1:26" s="511" customFormat="1" ht="13.65" customHeight="1">
      <c r="A28" s="711"/>
      <c r="B28" s="774"/>
      <c r="C28" s="33"/>
      <c r="D28" s="1213" t="s">
        <v>706</v>
      </c>
      <c r="E28" s="1213" t="s">
        <v>864</v>
      </c>
      <c r="F28" s="1213" t="s">
        <v>864</v>
      </c>
      <c r="G28" s="1212" t="s">
        <v>863</v>
      </c>
      <c r="H28" s="1172"/>
      <c r="I28" s="1209"/>
      <c r="J28" s="1211"/>
      <c r="K28" s="1175"/>
      <c r="L28" s="1105"/>
      <c r="M28" s="1210"/>
      <c r="N28" s="1173"/>
      <c r="O28" s="1209"/>
      <c r="P28" s="1026"/>
      <c r="Q28" s="34"/>
    </row>
    <row r="29" spans="1:26" s="511" customFormat="1" ht="15" customHeight="1">
      <c r="A29" s="711"/>
      <c r="B29" s="1208"/>
      <c r="C29" s="747" t="s">
        <v>862</v>
      </c>
      <c r="D29" s="1034" t="s">
        <v>611</v>
      </c>
      <c r="E29" s="1034" t="s">
        <v>861</v>
      </c>
      <c r="F29" s="1034" t="s">
        <v>860</v>
      </c>
      <c r="G29" s="1034" t="s">
        <v>612</v>
      </c>
      <c r="H29" s="1205" t="s">
        <v>612</v>
      </c>
      <c r="I29" s="1027" t="s">
        <v>163</v>
      </c>
      <c r="J29" s="33"/>
      <c r="K29" s="1207" t="s">
        <v>612</v>
      </c>
      <c r="L29" s="1030" t="s">
        <v>163</v>
      </c>
      <c r="M29" s="1206"/>
      <c r="N29" s="1205" t="s">
        <v>612</v>
      </c>
      <c r="O29" s="1027" t="s">
        <v>163</v>
      </c>
      <c r="P29" s="1204"/>
      <c r="Q29" s="34"/>
    </row>
    <row r="30" spans="1:26" s="36" customFormat="1" ht="15" customHeight="1">
      <c r="A30" s="746"/>
      <c r="B30" s="1203"/>
      <c r="C30" s="1202" t="s">
        <v>236</v>
      </c>
      <c r="D30" s="1150">
        <f>'SDK1'!O52</f>
        <v>1.19</v>
      </c>
      <c r="E30" s="1201">
        <f>VLOOKUP(K2,'SD8'!B9:L42,3,FALSE)</f>
        <v>0</v>
      </c>
      <c r="F30" s="1201">
        <f>VLOOKUP(K2,'SD8'!B9:L42,7,FALSE)</f>
        <v>0</v>
      </c>
      <c r="G30" s="1200"/>
      <c r="H30" s="1198">
        <f>IF(J$6=0,0,(J$6*$E30+$G30+X14))</f>
        <v>0</v>
      </c>
      <c r="I30" s="1181">
        <f>H30*$D30</f>
        <v>0</v>
      </c>
      <c r="J30" s="39"/>
      <c r="K30" s="1199">
        <f>IF(M$6=0,0,(M$6*$E30+$G30+Y14))</f>
        <v>0</v>
      </c>
      <c r="L30" s="1023">
        <f>K30*$D30</f>
        <v>0</v>
      </c>
      <c r="M30" s="1016"/>
      <c r="N30" s="1198">
        <f>IF(P$6=0,0,(P$6*$E30+$G30+Z14))</f>
        <v>0</v>
      </c>
      <c r="O30" s="1181">
        <f>N30*$D30</f>
        <v>0</v>
      </c>
      <c r="P30" s="1145"/>
      <c r="Q30" s="34"/>
    </row>
    <row r="31" spans="1:26" s="36" customFormat="1" ht="15" customHeight="1">
      <c r="A31" s="746"/>
      <c r="B31" s="217"/>
      <c r="C31" s="746" t="s">
        <v>234</v>
      </c>
      <c r="D31" s="1150">
        <f>'SDK1'!O53</f>
        <v>1.2</v>
      </c>
      <c r="E31" s="1201">
        <f>VLOOKUP(K2,'SD8'!B9:L42,4,FALSE)</f>
        <v>0</v>
      </c>
      <c r="F31" s="1201">
        <f>VLOOKUP(K2,'SD8'!B9:L42,8,FALSE)</f>
        <v>0</v>
      </c>
      <c r="G31" s="1200"/>
      <c r="H31" s="1198">
        <f>IF(J$6=0,0,(J$6*$E31+$G31+X15))</f>
        <v>0</v>
      </c>
      <c r="I31" s="1181">
        <f>H31*$D31</f>
        <v>0</v>
      </c>
      <c r="J31" s="39"/>
      <c r="K31" s="1199">
        <f>IF(M$6=0,0,(M$6*$E31+$G31+Y15))</f>
        <v>0</v>
      </c>
      <c r="L31" s="1023">
        <f>K31*$D31</f>
        <v>0</v>
      </c>
      <c r="M31" s="1016"/>
      <c r="N31" s="1198">
        <f>IF(P$6=0,0,(P$6*$E31+$G31+Z15))</f>
        <v>0</v>
      </c>
      <c r="O31" s="1181">
        <f>N31*$D31</f>
        <v>0</v>
      </c>
      <c r="P31" s="1145"/>
      <c r="Q31" s="34"/>
    </row>
    <row r="32" spans="1:26" s="36" customFormat="1" ht="15" customHeight="1">
      <c r="A32" s="746"/>
      <c r="B32" s="185"/>
      <c r="C32" s="2791" t="s">
        <v>232</v>
      </c>
      <c r="D32" s="1133">
        <f>'SDK1'!O54</f>
        <v>0.99</v>
      </c>
      <c r="E32" s="1197">
        <f>VLOOKUP(K2,'SD8'!B9:L42,5,FALSE)</f>
        <v>0</v>
      </c>
      <c r="F32" s="1197">
        <f>VLOOKUP(K2,'SD8'!B9:L42,9,FALSE)</f>
        <v>0</v>
      </c>
      <c r="G32" s="1196"/>
      <c r="H32" s="1194">
        <f>IF(J$6=0,0,(J$6*$E32+$G32+X16))</f>
        <v>0</v>
      </c>
      <c r="I32" s="1177">
        <f>H32*$D32</f>
        <v>0</v>
      </c>
      <c r="J32" s="223"/>
      <c r="K32" s="1195">
        <f>IF(M$6=0,0,(M$6*$E32+$G32+Y16))</f>
        <v>0</v>
      </c>
      <c r="L32" s="1017">
        <f>K32*$D32</f>
        <v>0</v>
      </c>
      <c r="M32" s="1256"/>
      <c r="N32" s="1194">
        <f>IF(P$6=0,0,(P$6*$E32+$G32+Z16))</f>
        <v>0</v>
      </c>
      <c r="O32" s="1177">
        <f>N32*$D32</f>
        <v>0</v>
      </c>
      <c r="P32" s="1176"/>
      <c r="Q32" s="34"/>
    </row>
    <row r="33" spans="1:17" s="36" customFormat="1" ht="15" hidden="1" customHeight="1">
      <c r="A33" s="746"/>
      <c r="B33" s="185"/>
      <c r="C33" s="771" t="s">
        <v>230</v>
      </c>
      <c r="D33" s="1133">
        <f>'SDK1'!P55</f>
        <v>0.45</v>
      </c>
      <c r="E33" s="1197">
        <f>VLOOKUP(K2,'SD8'!B9:L42,6,FALSE)</f>
        <v>0</v>
      </c>
      <c r="F33" s="1197">
        <f>VLOOKUP(K2,'SD8'!B9:L42,10,FALSE)</f>
        <v>0</v>
      </c>
      <c r="G33" s="1196"/>
      <c r="H33" s="1194">
        <f>IF(J$6=0,0,(J$6*$E33+$G33+X17))</f>
        <v>0</v>
      </c>
      <c r="I33" s="1177">
        <f>H33*$D33</f>
        <v>0</v>
      </c>
      <c r="J33" s="39"/>
      <c r="K33" s="1195">
        <f>IF(M$6=0,0,(M$6*$E33+$G33+Y17))</f>
        <v>0</v>
      </c>
      <c r="L33" s="1017">
        <f>K33*$D33</f>
        <v>0</v>
      </c>
      <c r="M33" s="1016"/>
      <c r="N33" s="1194">
        <f>IF(P$6=0,0,(P$6*$E33+$G33+Z17))</f>
        <v>0</v>
      </c>
      <c r="O33" s="1177">
        <f>N33*$D33</f>
        <v>0</v>
      </c>
      <c r="P33" s="1176"/>
      <c r="Q33" s="34"/>
    </row>
    <row r="34" spans="1:17" s="511" customFormat="1" ht="18.75" customHeight="1">
      <c r="A34" s="711"/>
      <c r="B34" s="716" t="s">
        <v>859</v>
      </c>
      <c r="C34" s="711"/>
      <c r="D34" s="33"/>
      <c r="E34" s="33"/>
      <c r="F34" s="4381" t="s">
        <v>858</v>
      </c>
      <c r="G34" s="4382"/>
      <c r="H34" s="1191"/>
      <c r="I34" s="1190"/>
      <c r="J34" s="1041">
        <f>SUM(I36:I42)</f>
        <v>0</v>
      </c>
      <c r="K34" s="1193"/>
      <c r="L34" s="1192"/>
      <c r="M34" s="1044">
        <f>SUM(L36:L42)</f>
        <v>0</v>
      </c>
      <c r="N34" s="1191"/>
      <c r="O34" s="1190"/>
      <c r="P34" s="1041">
        <f>SUM(O36:O42)</f>
        <v>0</v>
      </c>
      <c r="Q34" s="34"/>
    </row>
    <row r="35" spans="1:17" s="511" customFormat="1" ht="13.2" customHeight="1">
      <c r="A35" s="711"/>
      <c r="B35" s="1040"/>
      <c r="C35" s="1039" t="s">
        <v>837</v>
      </c>
      <c r="D35" s="1110">
        <f>'SDK1'!$O$11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t="s">
        <v>311</v>
      </c>
      <c r="D36" s="4389"/>
      <c r="E36" s="4390"/>
      <c r="F36" s="1183">
        <f>IF(C36="",0,VLOOKUP(C36,'SDK5'!C3:AF83,2,FALSE))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34"/>
    </row>
    <row r="37" spans="1:17" s="36" customFormat="1" ht="15" customHeight="1">
      <c r="A37" s="746"/>
      <c r="B37" s="1021"/>
      <c r="C37" s="4375"/>
      <c r="D37" s="4375"/>
      <c r="E37" s="4376"/>
      <c r="F37" s="1183">
        <f>IF(C37="",0,VLOOKUP(C37,'SDK5'!C4:AF84,2,FALSE))</f>
        <v>0</v>
      </c>
      <c r="G37" s="1183">
        <f t="shared" si="0"/>
        <v>0</v>
      </c>
      <c r="H37" s="1182"/>
      <c r="I37" s="1181">
        <f t="shared" si="1"/>
        <v>0</v>
      </c>
      <c r="J37" s="39"/>
      <c r="K37" s="1182"/>
      <c r="L37" s="1023">
        <f t="shared" si="2"/>
        <v>0</v>
      </c>
      <c r="M37" s="1016"/>
      <c r="N37" s="1182"/>
      <c r="O37" s="1181">
        <f t="shared" si="3"/>
        <v>0</v>
      </c>
      <c r="P37" s="1145"/>
      <c r="Q37" s="34"/>
    </row>
    <row r="38" spans="1:17" s="36" customFormat="1" ht="15" customHeight="1">
      <c r="A38" s="746"/>
      <c r="B38" s="1184"/>
      <c r="C38" s="4375"/>
      <c r="D38" s="4375"/>
      <c r="E38" s="4376"/>
      <c r="F38" s="1183">
        <f>IF(C38="",0,VLOOKUP(C38,'SDK5'!C5:AF85,2,FALSE))</f>
        <v>0</v>
      </c>
      <c r="G38" s="1183">
        <f t="shared" si="0"/>
        <v>0</v>
      </c>
      <c r="H38" s="1182"/>
      <c r="I38" s="1181">
        <f t="shared" si="1"/>
        <v>0</v>
      </c>
      <c r="J38" s="39"/>
      <c r="K38" s="1182"/>
      <c r="L38" s="1023">
        <f t="shared" si="2"/>
        <v>0</v>
      </c>
      <c r="M38" s="1016"/>
      <c r="N38" s="1182"/>
      <c r="O38" s="1181">
        <f t="shared" si="3"/>
        <v>0</v>
      </c>
      <c r="P38" s="1145"/>
      <c r="Q38" s="34"/>
    </row>
    <row r="39" spans="1:17" s="36" customFormat="1" ht="15" customHeight="1">
      <c r="A39" s="746"/>
      <c r="B39" s="1021"/>
      <c r="C39" s="4375"/>
      <c r="D39" s="4375"/>
      <c r="E39" s="4376"/>
      <c r="F39" s="1183">
        <f>IF(C39="",0,VLOOKUP(C39,'SDK5'!C6:AF86,2,FALSE))</f>
        <v>0</v>
      </c>
      <c r="G39" s="1183">
        <f t="shared" si="0"/>
        <v>0</v>
      </c>
      <c r="H39" s="1182"/>
      <c r="I39" s="1181">
        <f t="shared" si="1"/>
        <v>0</v>
      </c>
      <c r="J39" s="39"/>
      <c r="K39" s="1182"/>
      <c r="L39" s="1023">
        <f t="shared" si="2"/>
        <v>0</v>
      </c>
      <c r="M39" s="1016"/>
      <c r="N39" s="1182"/>
      <c r="O39" s="1181">
        <f t="shared" si="3"/>
        <v>0</v>
      </c>
      <c r="P39" s="1145"/>
      <c r="Q39" s="34"/>
    </row>
    <row r="40" spans="1:17" s="36" customFormat="1" ht="15" customHeight="1">
      <c r="A40" s="746"/>
      <c r="B40" s="1021"/>
      <c r="C40" s="4375"/>
      <c r="D40" s="4375"/>
      <c r="E40" s="4376"/>
      <c r="F40" s="1183">
        <f>IF(C40="",0,VLOOKUP(C40,'SDK5'!C7:AF87,2,FALSE))</f>
        <v>0</v>
      </c>
      <c r="G40" s="1183">
        <f t="shared" si="0"/>
        <v>0</v>
      </c>
      <c r="H40" s="1182"/>
      <c r="I40" s="1181">
        <f t="shared" si="1"/>
        <v>0</v>
      </c>
      <c r="J40" s="39"/>
      <c r="K40" s="1182"/>
      <c r="L40" s="1023">
        <f t="shared" si="2"/>
        <v>0</v>
      </c>
      <c r="M40" s="1016"/>
      <c r="N40" s="1182"/>
      <c r="O40" s="1181">
        <f t="shared" si="3"/>
        <v>0</v>
      </c>
      <c r="P40" s="1145"/>
      <c r="Q40" s="34"/>
    </row>
    <row r="41" spans="1:17" s="36" customFormat="1" ht="15" customHeight="1">
      <c r="A41" s="746"/>
      <c r="B41" s="1021"/>
      <c r="C41" s="4375"/>
      <c r="D41" s="4375"/>
      <c r="E41" s="4376"/>
      <c r="F41" s="1183">
        <f>IF(C41="",0,VLOOKUP(C41,'SDK5'!C8:AF88,2,FALSE))</f>
        <v>0</v>
      </c>
      <c r="G41" s="1183">
        <f t="shared" si="0"/>
        <v>0</v>
      </c>
      <c r="H41" s="1182"/>
      <c r="I41" s="1181">
        <f t="shared" si="1"/>
        <v>0</v>
      </c>
      <c r="J41" s="39"/>
      <c r="K41" s="1182"/>
      <c r="L41" s="1023">
        <f t="shared" si="2"/>
        <v>0</v>
      </c>
      <c r="M41" s="1016"/>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39"/>
      <c r="K42" s="1178"/>
      <c r="L42" s="1017">
        <f t="shared" si="2"/>
        <v>0</v>
      </c>
      <c r="M42" s="1016"/>
      <c r="N42" s="1178"/>
      <c r="O42" s="1177">
        <f t="shared" si="3"/>
        <v>0</v>
      </c>
      <c r="P42" s="1176"/>
      <c r="Q42" s="34"/>
    </row>
    <row r="43" spans="1:17" s="511" customFormat="1" ht="18.75" customHeight="1">
      <c r="A43" s="711"/>
      <c r="B43" s="716" t="s">
        <v>856</v>
      </c>
      <c r="C43" s="711"/>
      <c r="D43" s="711"/>
      <c r="E43" s="711"/>
      <c r="F43" s="711"/>
      <c r="G43" s="1047"/>
      <c r="H43" s="1173"/>
      <c r="I43" s="1172"/>
      <c r="J43" s="1041">
        <f>SUM(J46:J57)</f>
        <v>102.28959179</v>
      </c>
      <c r="K43" s="1175"/>
      <c r="L43" s="1174"/>
      <c r="M43" s="1044">
        <f>SUM(M46:M57)</f>
        <v>102.28959179</v>
      </c>
      <c r="N43" s="1173"/>
      <c r="O43" s="1172"/>
      <c r="P43" s="1041">
        <f>SUM(P46:P57)</f>
        <v>102.28959179</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360</v>
      </c>
      <c r="D46" s="4364"/>
      <c r="E46" s="1152">
        <f>IF($C46=0,0,VLOOKUP($C46,'SD3'!$C$24:$O$85,4,FALSE))</f>
        <v>120</v>
      </c>
      <c r="F46" s="1151">
        <f>IF($C46=0,0,VLOOKUP($C46,'SD3'!$C$24:$O$85,12,FALSE))</f>
        <v>0.79</v>
      </c>
      <c r="G46" s="1150">
        <f>IF($C46=0,0,VLOOKUP($C46,'SD3'!$C$24:$O$85,13,FALSE))</f>
        <v>27.987262000000001</v>
      </c>
      <c r="H46" s="1155">
        <v>1</v>
      </c>
      <c r="I46" s="1154">
        <f t="shared" ref="I46:I57" si="4">$F46*H46</f>
        <v>0.79</v>
      </c>
      <c r="J46" s="1145">
        <f t="shared" ref="J46:J57" si="5">H46*$G46</f>
        <v>27.987262000000001</v>
      </c>
      <c r="K46" s="1155">
        <v>1</v>
      </c>
      <c r="L46" s="1156">
        <f t="shared" ref="L46:L57" si="6">$F46*K46</f>
        <v>0.79</v>
      </c>
      <c r="M46" s="1148">
        <f t="shared" ref="M46:M57" si="7">K46*$G46</f>
        <v>27.987262000000001</v>
      </c>
      <c r="N46" s="1155">
        <v>1</v>
      </c>
      <c r="O46" s="1154">
        <f t="shared" ref="O46:O57" si="8">$F46*N46</f>
        <v>0.79</v>
      </c>
      <c r="P46" s="1145">
        <f t="shared" ref="P46:P57" si="9">N46*$G46</f>
        <v>27.987262000000001</v>
      </c>
      <c r="Q46" s="34">
        <f>$Q$2*H46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356</v>
      </c>
      <c r="D48" s="4388"/>
      <c r="E48" s="1152">
        <f>IF($C48=0,0,VLOOKUP($C48,'SD3'!$C$24:$O$85,4,FALSE))</f>
        <v>83</v>
      </c>
      <c r="F48" s="1151">
        <f>IF($C48=0,0,VLOOKUP($C48,'SD3'!$C$24:$O$85,12,FALSE))</f>
        <v>0.53</v>
      </c>
      <c r="G48" s="1150">
        <f>IF($C48=0,0,VLOOKUP($C48,'SD3'!$C$24:$O$85,13,FALSE))</f>
        <v>12.740039489999999</v>
      </c>
      <c r="H48" s="1147">
        <v>1</v>
      </c>
      <c r="I48" s="1146">
        <f t="shared" si="4"/>
        <v>0.53</v>
      </c>
      <c r="J48" s="1145">
        <f t="shared" si="5"/>
        <v>12.740039489999999</v>
      </c>
      <c r="K48" s="1147">
        <v>1</v>
      </c>
      <c r="L48" s="1149">
        <f t="shared" si="6"/>
        <v>0.53</v>
      </c>
      <c r="M48" s="1148">
        <f t="shared" si="7"/>
        <v>12.740039489999999</v>
      </c>
      <c r="N48" s="1147">
        <v>1</v>
      </c>
      <c r="O48" s="1146">
        <f t="shared" si="8"/>
        <v>0.53</v>
      </c>
      <c r="P48" s="1145">
        <f t="shared" si="9"/>
        <v>12.740039489999999</v>
      </c>
      <c r="Q48" s="34"/>
    </row>
    <row r="49" spans="1:17" s="36" customFormat="1" ht="15" customHeight="1">
      <c r="A49" s="746"/>
      <c r="B49" s="1153"/>
      <c r="C49" s="4387" t="s">
        <v>341</v>
      </c>
      <c r="D49" s="4388"/>
      <c r="E49" s="1152">
        <f>IF($C49=0,0,VLOOKUP($C49,'SD3'!$C$24:$O$85,4,FALSE))</f>
        <v>83</v>
      </c>
      <c r="F49" s="1151">
        <f>IF($C49=0,0,VLOOKUP($C49,'SD3'!$C$24:$O$85,12,FALSE))</f>
        <v>1.17</v>
      </c>
      <c r="G49" s="1150">
        <f>IF($C49=0,0,VLOOKUP($C49,'SD3'!$C$24:$O$85,13,FALSE))</f>
        <v>30.902852299999999</v>
      </c>
      <c r="H49" s="1147">
        <v>1</v>
      </c>
      <c r="I49" s="1146">
        <f t="shared" si="4"/>
        <v>1.17</v>
      </c>
      <c r="J49" s="1145">
        <f t="shared" si="5"/>
        <v>30.902852299999999</v>
      </c>
      <c r="K49" s="1147">
        <v>1</v>
      </c>
      <c r="L49" s="1149">
        <f t="shared" si="6"/>
        <v>1.17</v>
      </c>
      <c r="M49" s="1148">
        <f t="shared" si="7"/>
        <v>30.902852299999999</v>
      </c>
      <c r="N49" s="1147">
        <v>1</v>
      </c>
      <c r="O49" s="1146">
        <f t="shared" si="8"/>
        <v>1.17</v>
      </c>
      <c r="P49" s="1145">
        <f t="shared" si="9"/>
        <v>30.902852299999999</v>
      </c>
      <c r="Q49" s="34"/>
    </row>
    <row r="50" spans="1:17" s="36" customFormat="1" ht="15" customHeight="1">
      <c r="A50" s="746"/>
      <c r="B50" s="1153"/>
      <c r="C50" s="4387"/>
      <c r="D50" s="4388"/>
      <c r="E50" s="1152">
        <f>IF($C50=0,0,VLOOKUP($C50,'SD3'!$C$24:$O$85,4,FALSE))</f>
        <v>0</v>
      </c>
      <c r="F50" s="1151">
        <f>IF($C50=0,0,VLOOKUP($C50,'SD3'!$C$24:$O$85,12,FALSE))</f>
        <v>0</v>
      </c>
      <c r="G50" s="1150">
        <f>IF($C50=0,0,VLOOKUP($C50,'SD3'!$C$24:$O$85,13,FALSE))</f>
        <v>0</v>
      </c>
      <c r="H50" s="1147"/>
      <c r="I50" s="1146">
        <f t="shared" si="4"/>
        <v>0</v>
      </c>
      <c r="J50" s="1145">
        <f t="shared" si="5"/>
        <v>0</v>
      </c>
      <c r="K50" s="1147"/>
      <c r="L50" s="1149">
        <f t="shared" si="6"/>
        <v>0</v>
      </c>
      <c r="M50" s="1148">
        <f t="shared" si="7"/>
        <v>0</v>
      </c>
      <c r="N50" s="1147"/>
      <c r="O50" s="1146">
        <f t="shared" si="8"/>
        <v>0</v>
      </c>
      <c r="P50" s="1145">
        <f t="shared" si="9"/>
        <v>0</v>
      </c>
      <c r="Q50" s="34"/>
    </row>
    <row r="51" spans="1:17" s="36" customFormat="1" ht="15" customHeight="1">
      <c r="A51" s="746"/>
      <c r="B51" s="1153"/>
      <c r="C51" s="4387"/>
      <c r="D51" s="4388"/>
      <c r="E51" s="1152">
        <f>IF($C51=0,0,VLOOKUP($C51,'SD3'!$C$24:$O$85,4,FALSE))</f>
        <v>0</v>
      </c>
      <c r="F51" s="1151">
        <f>IF($C51=0,0,VLOOKUP($C51,'SD3'!$C$24:$O$85,12,FALSE))</f>
        <v>0</v>
      </c>
      <c r="G51" s="1150">
        <f>IF($C51=0,0,VLOOKUP($C51,'SD3'!$C$24:$O$85,13,FALSE))</f>
        <v>0</v>
      </c>
      <c r="H51" s="1147"/>
      <c r="I51" s="1146">
        <f t="shared" si="4"/>
        <v>0</v>
      </c>
      <c r="J51" s="1145">
        <f t="shared" si="5"/>
        <v>0</v>
      </c>
      <c r="K51" s="1147"/>
      <c r="L51" s="1149">
        <f t="shared" si="6"/>
        <v>0</v>
      </c>
      <c r="M51" s="1148">
        <f t="shared" si="7"/>
        <v>0</v>
      </c>
      <c r="N51" s="1147"/>
      <c r="O51" s="1146">
        <f t="shared" si="8"/>
        <v>0</v>
      </c>
      <c r="P51" s="1145">
        <f t="shared" si="9"/>
        <v>0</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342"/>
      <c r="C56" s="4394"/>
      <c r="D56" s="4395"/>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1084"/>
      <c r="C57" s="4401"/>
      <c r="D57" s="4402"/>
      <c r="E57" s="1135">
        <f>IF($C57=0,0,VLOOKUP($C57,'SD3'!$C$24:$O$85,4,FALSE))</f>
        <v>0</v>
      </c>
      <c r="F57" s="1134">
        <f>IF($C57=0,0,VLOOKUP($C57,'SD3'!$C$24:$O$85,12,FALSE))</f>
        <v>0</v>
      </c>
      <c r="G57" s="1133">
        <f>IF($C57=0,0,VLOOKUP($C57,'SD3'!$C$24:$O$85,13,FALSE))</f>
        <v>0</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row>
    <row r="58" spans="1:17" s="46" customFormat="1" ht="18.75" customHeight="1">
      <c r="A58" s="811"/>
      <c r="B58" s="716" t="s">
        <v>848</v>
      </c>
      <c r="C58" s="811"/>
      <c r="D58" s="811"/>
      <c r="E58" s="811"/>
      <c r="F58" s="34"/>
      <c r="G58" s="1047"/>
      <c r="H58" s="1124"/>
      <c r="I58" s="1123">
        <f>SUM($I$46:$I$57)</f>
        <v>3.2</v>
      </c>
      <c r="J58" s="1128"/>
      <c r="K58" s="1127"/>
      <c r="L58" s="1126">
        <f>SUM($L$46:$L$57)</f>
        <v>3.2</v>
      </c>
      <c r="M58" s="1125"/>
      <c r="N58" s="1124"/>
      <c r="O58" s="1123">
        <f>SUM($O$46:$O$57)</f>
        <v>3.2</v>
      </c>
      <c r="P58" s="1122"/>
      <c r="Q58" s="34"/>
    </row>
    <row r="59" spans="1:17" s="46" customFormat="1" ht="15" customHeight="1">
      <c r="A59" s="811"/>
      <c r="B59" s="1121"/>
      <c r="C59" s="285"/>
      <c r="D59" s="222" t="s">
        <v>847</v>
      </c>
      <c r="E59" s="1120">
        <v>80</v>
      </c>
      <c r="F59" s="285" t="s">
        <v>846</v>
      </c>
      <c r="G59" s="1119"/>
      <c r="H59" s="1115"/>
      <c r="I59" s="1114">
        <f>IF(I58+SUM($I$46:$I$57)*$E$59%&gt;I58+10,I58+10,I58+SUM($I$46:$I$57)*$E$59%)</f>
        <v>5.7600000000000007</v>
      </c>
      <c r="J59" s="1113"/>
      <c r="K59" s="1118"/>
      <c r="L59" s="1117">
        <f>IF(L58+SUM($L$46:$L$57)*$E$59%&gt;L58+10,L58+10,L58+SUM($L$46:$L$57)*$E$59%)</f>
        <v>5.7600000000000007</v>
      </c>
      <c r="M59" s="1116"/>
      <c r="N59" s="1115"/>
      <c r="O59" s="1114">
        <f>IF(O58+SUM($O$46:$O$57)*$E$59%&gt;O58+10,O58+10,O58+SUM($O$46:$O$57)*$E$59%)</f>
        <v>5.7600000000000007</v>
      </c>
      <c r="P59" s="1113"/>
      <c r="Q59" s="34"/>
    </row>
    <row r="60" spans="1:17" s="36" customFormat="1" ht="18.75" customHeight="1">
      <c r="A60" s="746"/>
      <c r="B60" s="716" t="s">
        <v>845</v>
      </c>
      <c r="C60" s="811"/>
      <c r="D60" s="811"/>
      <c r="E60" s="39"/>
      <c r="F60" s="39"/>
      <c r="G60" s="1112"/>
      <c r="H60" s="1104"/>
      <c r="I60" s="1103"/>
      <c r="J60" s="1111">
        <f>IF(J6=0,0,SUM(I62:I64))</f>
        <v>0</v>
      </c>
      <c r="K60" s="1107"/>
      <c r="L60" s="1106"/>
      <c r="M60" s="1044">
        <f>IF(M6=0,0,SUM(L62:L64))</f>
        <v>0</v>
      </c>
      <c r="N60" s="1104"/>
      <c r="O60" s="1103"/>
      <c r="P60" s="1111">
        <f>IF(P6=0,0,SUM(O62:O64))</f>
        <v>0</v>
      </c>
      <c r="Q60" s="34"/>
    </row>
    <row r="61" spans="1:17" s="36" customFormat="1" ht="13.2" customHeight="1">
      <c r="A61" s="746"/>
      <c r="B61" s="1040"/>
      <c r="C61" s="1039" t="s">
        <v>837</v>
      </c>
      <c r="D61" s="1110">
        <f>'SDK1'!$O$11</f>
        <v>0</v>
      </c>
      <c r="E61" s="1037"/>
      <c r="F61" s="1033" t="s">
        <v>239</v>
      </c>
      <c r="G61" s="1109" t="s">
        <v>836</v>
      </c>
      <c r="H61" s="1104"/>
      <c r="I61" s="1103"/>
      <c r="J61" s="1108"/>
      <c r="K61" s="1107"/>
      <c r="L61" s="1106"/>
      <c r="M61" s="1105"/>
      <c r="N61" s="1104"/>
      <c r="O61" s="1103"/>
      <c r="P61" s="1102"/>
      <c r="Q61" s="34"/>
    </row>
    <row r="62" spans="1:17" s="36" customFormat="1" ht="15" customHeight="1">
      <c r="A62" s="746"/>
      <c r="B62" s="1021"/>
      <c r="C62" s="4365"/>
      <c r="D62" s="4365"/>
      <c r="E62" s="4365"/>
      <c r="F62" s="1101">
        <f>IF($C62=0,0,VLOOKUP($C62,'SD3'!$C$90:$D$104,2,FALSE))</f>
        <v>0</v>
      </c>
      <c r="G62" s="1100">
        <f>(100+$D$61)/100*F62</f>
        <v>0</v>
      </c>
      <c r="H62" s="173"/>
      <c r="I62" s="1096">
        <f>$G$62</f>
        <v>0</v>
      </c>
      <c r="J62" s="173"/>
      <c r="K62" s="1099"/>
      <c r="L62" s="1098">
        <f>$G$62</f>
        <v>0</v>
      </c>
      <c r="M62" s="1016"/>
      <c r="N62" s="1097"/>
      <c r="O62" s="1096">
        <f>$G$62</f>
        <v>0</v>
      </c>
      <c r="P62" s="1095"/>
      <c r="Q62" s="34"/>
    </row>
    <row r="63" spans="1:17" s="36" customFormat="1" ht="15"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34"/>
    </row>
    <row r="64" spans="1:17" s="36" customFormat="1" ht="15" customHeight="1">
      <c r="A64" s="746"/>
      <c r="B64" s="1084"/>
      <c r="C64" s="4396"/>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34"/>
    </row>
    <row r="65" spans="1:20" s="511" customFormat="1" ht="18.75" customHeight="1">
      <c r="A65" s="711"/>
      <c r="B65" s="716" t="s">
        <v>844</v>
      </c>
      <c r="C65" s="711"/>
      <c r="D65" s="711"/>
      <c r="E65" s="711"/>
      <c r="F65" s="34"/>
      <c r="G65" s="1047"/>
      <c r="H65" s="385"/>
      <c r="I65" s="51"/>
      <c r="J65" s="1041">
        <f>H66*$E66</f>
        <v>0</v>
      </c>
      <c r="K65" s="1056"/>
      <c r="L65" s="1056"/>
      <c r="M65" s="1044">
        <f>K66*$E66</f>
        <v>0</v>
      </c>
      <c r="N65" s="51"/>
      <c r="O65" s="51"/>
      <c r="P65" s="1041">
        <f>N66*$E66</f>
        <v>0</v>
      </c>
      <c r="Q65" s="34"/>
    </row>
    <row r="66" spans="1:20" s="511" customFormat="1" ht="15" customHeight="1">
      <c r="A66" s="711"/>
      <c r="B66" s="1075"/>
      <c r="C66" s="815"/>
      <c r="D66" s="222" t="s">
        <v>691</v>
      </c>
      <c r="E66" s="1074"/>
      <c r="F66" s="1049"/>
      <c r="G66" s="1073" t="s">
        <v>362</v>
      </c>
      <c r="H66" s="1071"/>
      <c r="I66" s="1070"/>
      <c r="J66" s="1059"/>
      <c r="K66" s="1071"/>
      <c r="L66" s="1072"/>
      <c r="M66" s="1062"/>
      <c r="N66" s="1071"/>
      <c r="O66" s="1070"/>
      <c r="P66" s="1059"/>
      <c r="Q66" s="34"/>
    </row>
    <row r="67" spans="1:20" s="511" customFormat="1" ht="22.95" customHeight="1">
      <c r="A67" s="711"/>
      <c r="B67" s="716" t="s">
        <v>843</v>
      </c>
      <c r="C67" s="711"/>
      <c r="D67" s="711"/>
      <c r="E67" s="175"/>
      <c r="F67" s="1069"/>
      <c r="G67" s="1047"/>
      <c r="H67" s="1066" t="s">
        <v>842</v>
      </c>
      <c r="I67" s="1065" t="s">
        <v>841</v>
      </c>
      <c r="J67" s="1387"/>
      <c r="K67" s="1068" t="s">
        <v>842</v>
      </c>
      <c r="L67" s="1067" t="s">
        <v>841</v>
      </c>
      <c r="M67" s="1387"/>
      <c r="N67" s="1066" t="s">
        <v>842</v>
      </c>
      <c r="O67" s="1065" t="s">
        <v>841</v>
      </c>
      <c r="P67" s="1387"/>
      <c r="Q67" s="34"/>
    </row>
    <row r="68" spans="1:20" s="511" customFormat="1" ht="15" customHeight="1">
      <c r="A68" s="711"/>
      <c r="B68" s="1064"/>
      <c r="C68" s="4393" t="s">
        <v>564</v>
      </c>
      <c r="D68" s="4393"/>
      <c r="E68" s="4393"/>
      <c r="F68" s="1063"/>
      <c r="G68" s="1054" t="s">
        <v>163</v>
      </c>
      <c r="H68" s="1061"/>
      <c r="I68" s="1060"/>
      <c r="J68" s="1059"/>
      <c r="K68" s="1061"/>
      <c r="L68" s="1060"/>
      <c r="M68" s="1062"/>
      <c r="N68" s="1061"/>
      <c r="O68" s="1060"/>
      <c r="P68" s="1059"/>
      <c r="Q68" s="34"/>
      <c r="R68" s="1369">
        <f>IF($H$68=0,0,VLOOKUP($H$68,'SD6'!B8:C101,2,FALSE))*(1+'SDK1'!O11/100)</f>
        <v>0</v>
      </c>
      <c r="S68" s="1058">
        <f>IF($K$68=0,0,VLOOKUP($K$68,'SD6'!B8:C101,2,FALSE))*(1+'SDK1'!O11/100)</f>
        <v>0</v>
      </c>
      <c r="T68" s="1369">
        <f>IF($N$68=0,0,VLOOKUP($N$68,'SD6'!B8:C101,2,FALSE))*(1+'SDK1'!O11/100)</f>
        <v>0</v>
      </c>
    </row>
    <row r="69" spans="1:20" s="511" customFormat="1" ht="18.75" hidden="1" customHeight="1">
      <c r="A69" s="711"/>
      <c r="B69" s="716" t="s">
        <v>839</v>
      </c>
      <c r="C69" s="711"/>
      <c r="D69" s="711"/>
      <c r="E69" s="34"/>
      <c r="F69" s="34"/>
      <c r="G69" s="1047"/>
      <c r="H69" s="38"/>
      <c r="I69" s="51"/>
      <c r="J69" s="1041">
        <f>H70*$F70/1000</f>
        <v>0</v>
      </c>
      <c r="K69" s="1057"/>
      <c r="L69" s="1056"/>
      <c r="M69" s="1044">
        <f>K70*$F70/1000</f>
        <v>0</v>
      </c>
      <c r="N69" s="38"/>
      <c r="O69" s="51"/>
      <c r="P69" s="1041">
        <f>N70*$F70/1000</f>
        <v>0</v>
      </c>
      <c r="Q69" s="34"/>
    </row>
    <row r="70" spans="1:20" s="511" customFormat="1" ht="15" hidden="1" customHeight="1">
      <c r="A70" s="711"/>
      <c r="B70" s="772"/>
      <c r="C70" s="771" t="s">
        <v>606</v>
      </c>
      <c r="D70" s="285"/>
      <c r="E70" s="222"/>
      <c r="F70" s="1386"/>
      <c r="G70" s="1054" t="s">
        <v>163</v>
      </c>
      <c r="H70" s="1357">
        <f>J7</f>
        <v>0</v>
      </c>
      <c r="I70" s="1049"/>
      <c r="J70" s="1048"/>
      <c r="K70" s="1053">
        <f>M7</f>
        <v>0</v>
      </c>
      <c r="L70" s="1052"/>
      <c r="M70" s="1051"/>
      <c r="N70" s="1357">
        <f>P7</f>
        <v>0</v>
      </c>
      <c r="O70" s="1049"/>
      <c r="P70" s="1048"/>
      <c r="Q70" s="34"/>
    </row>
    <row r="71" spans="1:20" ht="18.75" customHeight="1">
      <c r="A71" s="309"/>
      <c r="B71" s="245" t="s">
        <v>838</v>
      </c>
      <c r="C71" s="309"/>
      <c r="D71" s="309"/>
      <c r="E71" s="175"/>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3470"/>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3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34"/>
    </row>
    <row r="75" spans="1:20" s="511" customFormat="1" ht="30.45" customHeight="1">
      <c r="A75" s="711"/>
      <c r="B75" s="4391" t="s">
        <v>835</v>
      </c>
      <c r="C75" s="4392"/>
      <c r="D75" s="1012" t="s">
        <v>834</v>
      </c>
      <c r="E75" s="1011">
        <f>'SDK1'!$O$59/100</f>
        <v>0.02</v>
      </c>
      <c r="F75" s="1010" t="s">
        <v>833</v>
      </c>
      <c r="G75" s="1009">
        <v>5</v>
      </c>
      <c r="H75" s="1007"/>
      <c r="I75" s="1008"/>
      <c r="J75" s="1005">
        <f>(J23+J27+J34+J43+J60+J65+J67+J69+J71)*('SDK1'!$O$59%*$G$75/12)</f>
        <v>1.37324659825</v>
      </c>
      <c r="K75" s="513"/>
      <c r="L75" s="522"/>
      <c r="M75" s="1005">
        <f>(M23+M27+M34+M43+M60+M65+M67+M69+M71)*('SDK1'!$O$59%*$G$75/12)</f>
        <v>1.37324659825</v>
      </c>
      <c r="N75" s="1007"/>
      <c r="O75" s="1006"/>
      <c r="P75" s="1005">
        <f>(P23+P27+P34+P43+P60+P65+P67+P69+P71)*('SDK1'!$O$59%*$G$75/12)</f>
        <v>1.37324659825</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M150" s="31"/>
      <c r="N150" s="31"/>
      <c r="O150" s="31"/>
      <c r="P150" s="31"/>
      <c r="Q150" s="31"/>
    </row>
    <row r="151" spans="1:17">
      <c r="A151" s="31"/>
      <c r="B151" s="441"/>
      <c r="C151" s="12"/>
      <c r="M151" s="31"/>
      <c r="N151" s="31"/>
      <c r="O151" s="31"/>
      <c r="P151" s="31"/>
      <c r="Q151" s="31"/>
    </row>
    <row r="152" spans="1:17">
      <c r="A152" s="31"/>
      <c r="B152" s="441"/>
      <c r="C152" s="12"/>
      <c r="M152" s="31"/>
      <c r="N152" s="31"/>
      <c r="O152" s="31"/>
      <c r="P152" s="31"/>
      <c r="Q152" s="31"/>
    </row>
    <row r="153" spans="1:17">
      <c r="A153" s="31"/>
      <c r="B153" s="441"/>
      <c r="C153" s="12"/>
      <c r="M153" s="31"/>
      <c r="N153" s="31"/>
      <c r="O153" s="31"/>
      <c r="P153" s="31"/>
      <c r="Q153" s="31"/>
    </row>
    <row r="154" spans="1:17">
      <c r="A154" s="31"/>
      <c r="B154" s="441"/>
      <c r="C154" s="12"/>
      <c r="M154" s="31"/>
      <c r="N154" s="31"/>
      <c r="O154" s="31"/>
      <c r="P154" s="31"/>
      <c r="Q154" s="31"/>
    </row>
    <row r="155" spans="1:17">
      <c r="A155" s="31"/>
      <c r="B155" s="441"/>
      <c r="C155" s="12"/>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dataConsolidate/>
  <customSheetViews>
    <customSheetView guid="{8063F48F-80B5-4ECD-B18A-51CBF126E780}"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76" orientation="portrait" r:id="rId1"/>
      <headerFooter alignWithMargins="0">
        <oddFooter>&amp;L&amp;11LEL Schwäbisch Gmünd&amp;C85&amp;R&amp;11&amp;F</oddFooter>
      </headerFooter>
    </customSheetView>
    <customSheetView guid="{5D5C9B61-9ABD-4513-AAEB-8333A9D6196C}"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76" orientation="portrait" r:id="rId2"/>
      <headerFooter alignWithMargins="0">
        <oddFooter>&amp;L&amp;11LEL Schwäbisch Gmünd&amp;C85&amp;R&amp;11&amp;F</oddFooter>
      </headerFooter>
    </customSheetView>
    <customSheetView guid="{22A73C4F-9004-4CEF-8499-B1F91BE1B569}"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76" orientation="portrait" r:id="rId3"/>
      <headerFooter alignWithMargins="0">
        <oddFooter>&amp;L&amp;11LEL Schwäbisch Gmünd&amp;C85&amp;R&amp;11&amp;F</oddFooter>
      </headerFooter>
    </customSheetView>
  </customSheetViews>
  <mergeCells count="50">
    <mergeCell ref="B3:H3"/>
    <mergeCell ref="N6:O6"/>
    <mergeCell ref="N1:O1"/>
    <mergeCell ref="K2:P2"/>
    <mergeCell ref="J3:L3"/>
    <mergeCell ref="N3:O4"/>
    <mergeCell ref="K1:L1"/>
    <mergeCell ref="E4:I4"/>
    <mergeCell ref="J4:L4"/>
    <mergeCell ref="K6:L6"/>
    <mergeCell ref="C19:F19"/>
    <mergeCell ref="D25:E25"/>
    <mergeCell ref="E22:G22"/>
    <mergeCell ref="F23:G23"/>
    <mergeCell ref="H6:I6"/>
    <mergeCell ref="E10:F10"/>
    <mergeCell ref="C14:F14"/>
    <mergeCell ref="C15:F15"/>
    <mergeCell ref="C16:F16"/>
    <mergeCell ref="C17:F17"/>
    <mergeCell ref="C20:F20"/>
    <mergeCell ref="C21:F21"/>
    <mergeCell ref="D26:E26"/>
    <mergeCell ref="C36:E36"/>
    <mergeCell ref="C37:E37"/>
    <mergeCell ref="C38:E38"/>
    <mergeCell ref="C39:E39"/>
    <mergeCell ref="C53:D53"/>
    <mergeCell ref="C54:D54"/>
    <mergeCell ref="C55:D55"/>
    <mergeCell ref="F34:G34"/>
    <mergeCell ref="C73:E73"/>
    <mergeCell ref="C48:D48"/>
    <mergeCell ref="C49:D49"/>
    <mergeCell ref="C50:D50"/>
    <mergeCell ref="C51:D51"/>
    <mergeCell ref="C52:D52"/>
    <mergeCell ref="C40:E40"/>
    <mergeCell ref="C41:E41"/>
    <mergeCell ref="C42:E42"/>
    <mergeCell ref="C46:D46"/>
    <mergeCell ref="C47:D47"/>
    <mergeCell ref="C74:E74"/>
    <mergeCell ref="B75:C75"/>
    <mergeCell ref="C56:D56"/>
    <mergeCell ref="C57:D57"/>
    <mergeCell ref="C62:E62"/>
    <mergeCell ref="C63:E63"/>
    <mergeCell ref="C64:E64"/>
    <mergeCell ref="C68:E68"/>
  </mergeCells>
  <dataValidations disablePrompts="1" count="5">
    <dataValidation type="list" showInputMessage="1" showErrorMessage="1" sqref="H14 K14 N14" xr:uid="{00000000-0002-0000-3800-000000000000}">
      <formula1>"ja,nein"</formula1>
    </dataValidation>
    <dataValidation type="list" allowBlank="1" showInputMessage="1" showErrorMessage="1" sqref="H15:H17 K15:K17 N15:N17" xr:uid="{00000000-0002-0000-3800-000001000000}">
      <formula1>"ja,nein"</formula1>
    </dataValidation>
    <dataValidation type="whole" allowBlank="1" showInputMessage="1" showErrorMessage="1" errorTitle="Anteil Erntegut" error="Prozentwert darf nur zwischen 0 und 100 liegen." sqref="O68 L68 I68" xr:uid="{00000000-0002-0000-3800-000002000000}">
      <formula1>0</formula1>
      <formula2>100</formula2>
    </dataValidation>
    <dataValidation type="decimal" allowBlank="1" showInputMessage="1" showErrorMessage="1" errorTitle="Wassergehalt Getreide" error="Zulässig sind nur Werte zwischen 14,1 und 22,0 % Wassergehalt." sqref="H68 K68 N68" xr:uid="{00000000-0002-0000-3800-000003000000}">
      <formula1>14.1</formula1>
      <formula2>22</formula2>
    </dataValidation>
    <dataValidation type="list" allowBlank="1" showInputMessage="1" showErrorMessage="1" errorTitle="Organisationsabh. Ausgleichsl." error="Bitte aus Dropdownliste auswählen." sqref="D19:F19" xr:uid="{00000000-0002-0000-3800-000004000000}">
      <formula1>$C$60:$C$75</formula1>
    </dataValidation>
  </dataValidations>
  <printOptions horizontalCentered="1"/>
  <pageMargins left="0.59055118110236227" right="0.59055118110236227" top="0.59055118110236227" bottom="0.59055118110236227" header="0.39370078740157483" footer="0.39370078740157483"/>
  <pageSetup paperSize="9" scale="65" firstPageNumber="76" orientation="portrait" r:id="rId4"/>
  <headerFooter alignWithMargins="0">
    <oddFooter>&amp;L&amp;11LEL Schwäbisch Gmünd&amp;C85&amp;R&amp;11&amp;F</oddFooter>
  </headerFooter>
  <drawing r:id="rId5"/>
  <legacyDrawing r:id="rId6"/>
  <extLst>
    <ext xmlns:x14="http://schemas.microsoft.com/office/spreadsheetml/2009/9/main" uri="{CCE6A557-97BC-4b89-ADB6-D9C93CAAB3DF}">
      <x14:dataValidations xmlns:xm="http://schemas.microsoft.com/office/excel/2006/main" disablePrompts="1" count="5">
        <x14:dataValidation type="list" allowBlank="1" showInputMessage="1" showErrorMessage="1" errorTitle="Pflanzenschutzmittel" error="Bitte aus Dropdownliste auswählen." xr:uid="{00000000-0002-0000-3800-000005000000}">
          <x14:formula1>
            <xm:f>'SDK5'!$AF$214:$AF$313</xm:f>
          </x14:formula1>
          <xm:sqref>C36:E42</xm:sqref>
        </x14:dataValidation>
        <x14:dataValidation type="list" allowBlank="1" showInputMessage="1" showErrorMessage="1" errorTitle="Verfahrensabh. Ausgleichsleist." error="Bitte aus Dropdownliste auswählen." xr:uid="{00000000-0002-0000-3800-000006000000}">
          <x14:formula1>
            <xm:f>'SD2'!$C$11:$C$50</xm:f>
          </x14:formula1>
          <xm:sqref>C14:F17</xm:sqref>
        </x14:dataValidation>
        <x14:dataValidation type="list" allowBlank="1" showInputMessage="1" showErrorMessage="1" errorTitle="Organisationsabh. Ausgleichsl." error="Bitte aus Dropdownliste auswählen." xr:uid="{00000000-0002-0000-3800-000007000000}">
          <x14:formula1>
            <xm:f>'SD2'!$C$60:$C$77</xm:f>
          </x14:formula1>
          <xm:sqref>C19:C21</xm:sqref>
        </x14:dataValidation>
        <x14:dataValidation type="list" allowBlank="1" showInputMessage="1" showErrorMessage="1" errorTitle="Arbeitsgänge" error="Bitte aus Dropdownliste auswählen." xr:uid="{00000000-0002-0000-3800-000008000000}">
          <x14:formula1>
            <xm:f>'SD3'!$C$23:$C$75</xm:f>
          </x14:formula1>
          <xm:sqref>C46:D57</xm:sqref>
        </x14:dataValidation>
        <x14:dataValidation type="list" allowBlank="1" showInputMessage="1" showErrorMessage="1" errorTitle="Lohnmaschinen" error="Bitte aus Dropdownliste auswählen." xr:uid="{00000000-0002-0000-3800-000009000000}">
          <x14:formula1>
            <xm:f>'SD3'!$C$90:$C$104</xm:f>
          </x14:formula1>
          <xm:sqref>C62:E64</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6">
    <pageSetUpPr fitToPage="1"/>
  </sheetPr>
  <dimension ref="A1:AO218"/>
  <sheetViews>
    <sheetView workbookViewId="0">
      <selection activeCell="F70" sqref="F70"/>
    </sheetView>
  </sheetViews>
  <sheetFormatPr baseColWidth="10" defaultColWidth="10.5" defaultRowHeight="13.2"/>
  <cols>
    <col min="1" max="1" width="1.5" style="2276" customWidth="1"/>
    <col min="2" max="2" width="3.19921875" style="2276" customWidth="1"/>
    <col min="3" max="3" width="13.19921875" style="2276" customWidth="1"/>
    <col min="4" max="5" width="9.19921875" style="2276" customWidth="1"/>
    <col min="6" max="6" width="9.59765625" style="2276" customWidth="1"/>
    <col min="7" max="7" width="9.19921875" style="2277" customWidth="1"/>
    <col min="8" max="8" width="8.09765625" style="2276" customWidth="1"/>
    <col min="9" max="10" width="7.19921875" style="2276" customWidth="1"/>
    <col min="11" max="11" width="8" style="2276" customWidth="1"/>
    <col min="12" max="13" width="7.19921875" style="2276" customWidth="1"/>
    <col min="14" max="14" width="8" style="2276" customWidth="1"/>
    <col min="15" max="16" width="7.19921875" style="2276" customWidth="1"/>
    <col min="17" max="17" width="19.69921875" style="2276" hidden="1" customWidth="1"/>
    <col min="18" max="18" width="12" style="2274" hidden="1" customWidth="1"/>
    <col min="19" max="21" width="0" style="2274" hidden="1" customWidth="1"/>
    <col min="22" max="22" width="12.8984375" style="2274" hidden="1" customWidth="1"/>
    <col min="23" max="29" width="0" style="2274" hidden="1" customWidth="1"/>
    <col min="30" max="16384" width="10.5" style="2274"/>
  </cols>
  <sheetData>
    <row r="1" spans="1:41" s="2272" customFormat="1" ht="30.45" customHeight="1">
      <c r="A1" s="2269"/>
      <c r="B1" s="258"/>
      <c r="C1" s="1333"/>
      <c r="D1" s="2270"/>
      <c r="E1" s="255"/>
      <c r="F1" s="255"/>
      <c r="G1" s="2271"/>
      <c r="H1" s="1328"/>
      <c r="I1" s="3212" t="s">
        <v>1679</v>
      </c>
      <c r="J1" s="3210">
        <f>(J7+J13+J18+J22+I11+I12)-(J23+J27+J34+J43+J60+J65+J67+J69+J71+J75)</f>
        <v>0</v>
      </c>
      <c r="K1" s="4360">
        <f>M1-J1</f>
        <v>0</v>
      </c>
      <c r="L1" s="4360"/>
      <c r="M1" s="3210">
        <f>(M7+M13+M18+M22+L11+L12)-(M23+M27+M34+M43+M60+M65+M67+M69+M71+M75)</f>
        <v>0</v>
      </c>
      <c r="N1" s="4360">
        <f>P1-M1</f>
        <v>0</v>
      </c>
      <c r="O1" s="4360"/>
      <c r="P1" s="3210">
        <f>(P7+P13+P18+P22+O11+O12)-(P23+P27+P34+P43+P60+P65+P67+P69+P71+P75)</f>
        <v>0</v>
      </c>
      <c r="Q1" s="2269"/>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272" customFormat="1" ht="24.6" customHeight="1">
      <c r="A2" s="2269"/>
      <c r="B2" s="437" t="s">
        <v>1422</v>
      </c>
      <c r="H2" s="1328"/>
      <c r="K2" s="4441" t="s">
        <v>23</v>
      </c>
      <c r="L2" s="4441"/>
      <c r="M2" s="4441"/>
      <c r="N2" s="4441"/>
      <c r="O2" s="4441"/>
      <c r="P2" s="4441"/>
      <c r="Q2" s="2273">
        <v>0</v>
      </c>
    </row>
    <row r="3" spans="1:41" s="2272" customFormat="1" ht="31.95" customHeight="1">
      <c r="A3" s="2269"/>
      <c r="B3" s="4405" t="s">
        <v>1727</v>
      </c>
      <c r="C3" s="4405"/>
      <c r="D3" s="4405"/>
      <c r="E3" s="4405"/>
      <c r="F3" s="4405"/>
      <c r="G3" s="4405"/>
      <c r="H3" s="4405"/>
      <c r="J3" s="4368" t="s">
        <v>886</v>
      </c>
      <c r="K3" s="4440"/>
      <c r="L3" s="4440"/>
      <c r="M3" s="1327"/>
      <c r="N3" s="4373" t="str">
        <f>IF(AND(T3=TRUE,T4=TRUE),"nur 1 Strohnutzung möglich","")</f>
        <v/>
      </c>
      <c r="O3" s="4442"/>
      <c r="P3" s="1326"/>
      <c r="Q3" s="2269"/>
      <c r="T3" s="1343" t="b">
        <v>0</v>
      </c>
    </row>
    <row r="4" spans="1:41" s="2272" customFormat="1" ht="20.25" customHeight="1">
      <c r="A4" s="2269"/>
      <c r="B4" s="309" t="s">
        <v>779</v>
      </c>
      <c r="C4" s="2274"/>
      <c r="D4" s="2274"/>
      <c r="E4" s="4406" t="s">
        <v>890</v>
      </c>
      <c r="F4" s="4406"/>
      <c r="G4" s="4406"/>
      <c r="H4" s="4406"/>
      <c r="I4" s="4406"/>
      <c r="J4" s="4368" t="s">
        <v>875</v>
      </c>
      <c r="K4" s="4440"/>
      <c r="L4" s="4440"/>
      <c r="M4" s="2275"/>
      <c r="N4" s="4442"/>
      <c r="O4" s="4442"/>
      <c r="P4" s="1322">
        <f>'SDK1'!O3</f>
        <v>2024</v>
      </c>
      <c r="Q4" s="2269"/>
      <c r="T4" s="1343" t="b">
        <v>0</v>
      </c>
    </row>
    <row r="5" spans="1:41" ht="6" customHeight="1"/>
    <row r="6" spans="1:41" s="1311" customFormat="1" ht="24" customHeight="1">
      <c r="A6" s="41"/>
      <c r="B6" s="1316" t="s">
        <v>832</v>
      </c>
      <c r="C6" s="1315"/>
      <c r="D6" s="1315"/>
      <c r="E6" s="1315"/>
      <c r="F6" s="1315"/>
      <c r="G6" s="1314"/>
      <c r="H6" s="4366" t="s">
        <v>171</v>
      </c>
      <c r="I6" s="4367"/>
      <c r="J6" s="2278"/>
      <c r="K6" s="4379" t="s">
        <v>144</v>
      </c>
      <c r="L6" s="4380"/>
      <c r="M6" s="2278"/>
      <c r="N6" s="4366" t="s">
        <v>170</v>
      </c>
      <c r="O6" s="4367"/>
      <c r="P6" s="2279"/>
      <c r="Q6" s="49"/>
    </row>
    <row r="7" spans="1:41" s="196" customFormat="1" ht="18.75" customHeight="1">
      <c r="A7" s="40"/>
      <c r="B7" s="245" t="s">
        <v>883</v>
      </c>
      <c r="C7" s="40"/>
      <c r="D7" s="40"/>
      <c r="E7" s="40"/>
      <c r="F7" s="40"/>
      <c r="G7" s="1310"/>
      <c r="H7" s="1307"/>
      <c r="I7" s="1306"/>
      <c r="J7" s="2280">
        <f>SUM(I9:I10)</f>
        <v>0</v>
      </c>
      <c r="K7" s="1309"/>
      <c r="L7" s="1308"/>
      <c r="M7" s="2281">
        <f>SUM(L9:L10)</f>
        <v>0</v>
      </c>
      <c r="N7" s="1307"/>
      <c r="O7" s="1306"/>
      <c r="P7" s="2280">
        <f>SUM(O9:O10)</f>
        <v>0</v>
      </c>
      <c r="Q7" s="2276"/>
    </row>
    <row r="8" spans="1:41" s="196" customFormat="1" ht="13.2" customHeight="1">
      <c r="A8" s="40"/>
      <c r="B8" s="1226"/>
      <c r="C8" s="1305"/>
      <c r="D8" s="1305"/>
      <c r="E8" s="1305"/>
      <c r="F8" s="1305"/>
      <c r="G8" s="2282" t="s">
        <v>220</v>
      </c>
      <c r="H8" s="2283" t="s">
        <v>164</v>
      </c>
      <c r="I8" s="2284" t="s">
        <v>163</v>
      </c>
      <c r="J8" s="2285"/>
      <c r="K8" s="2286" t="s">
        <v>164</v>
      </c>
      <c r="L8" s="2287" t="s">
        <v>163</v>
      </c>
      <c r="M8" s="2288"/>
      <c r="N8" s="2283" t="s">
        <v>164</v>
      </c>
      <c r="O8" s="2284" t="s">
        <v>163</v>
      </c>
      <c r="P8" s="2285"/>
      <c r="Q8" s="2276"/>
    </row>
    <row r="9" spans="1:41" s="196" customFormat="1" ht="16.5" customHeight="1">
      <c r="A9" s="40"/>
      <c r="B9" s="245"/>
      <c r="C9" s="39" t="s">
        <v>1423</v>
      </c>
      <c r="D9" s="40"/>
      <c r="E9" s="40"/>
      <c r="F9" s="1304"/>
      <c r="G9" s="2289"/>
      <c r="H9" s="1303">
        <f>J6-H10</f>
        <v>0</v>
      </c>
      <c r="I9" s="2290">
        <f>H9*G9</f>
        <v>0</v>
      </c>
      <c r="J9" s="37"/>
      <c r="K9" s="1302">
        <f>M6-K10</f>
        <v>0</v>
      </c>
      <c r="L9" s="2291">
        <f>K9*G9</f>
        <v>0</v>
      </c>
      <c r="M9" s="1280"/>
      <c r="N9" s="1300">
        <f>P6-N10</f>
        <v>0</v>
      </c>
      <c r="O9" s="2290">
        <f>N9*G9</f>
        <v>0</v>
      </c>
      <c r="P9" s="37"/>
      <c r="Q9" s="2276"/>
      <c r="R9" s="517"/>
      <c r="S9" s="208" t="s">
        <v>887</v>
      </c>
      <c r="T9" s="1298"/>
    </row>
    <row r="10" spans="1:41" s="1268" customFormat="1" ht="15" customHeight="1">
      <c r="A10" s="309"/>
      <c r="B10" s="185"/>
      <c r="C10" s="223" t="s">
        <v>1424</v>
      </c>
      <c r="D10" s="1277"/>
      <c r="E10" s="4377"/>
      <c r="F10" s="4378"/>
      <c r="G10" s="1297"/>
      <c r="H10" s="2292"/>
      <c r="I10" s="2293">
        <f>H10*G10</f>
        <v>0</v>
      </c>
      <c r="J10" s="1296"/>
      <c r="K10" s="2294"/>
      <c r="L10" s="2295">
        <f>K10*G10</f>
        <v>0</v>
      </c>
      <c r="M10" s="1293"/>
      <c r="N10" s="2292"/>
      <c r="O10" s="2293">
        <f>N10*G10</f>
        <v>0</v>
      </c>
      <c r="P10" s="1290"/>
      <c r="Q10" s="2276"/>
      <c r="R10" s="1289">
        <f>I10+I11+I12</f>
        <v>0</v>
      </c>
      <c r="S10" s="1288">
        <f>L10+L11+L12</f>
        <v>0</v>
      </c>
      <c r="T10" s="1287">
        <f>O10+O11+O12</f>
        <v>0</v>
      </c>
      <c r="W10" s="196" t="s">
        <v>879</v>
      </c>
    </row>
    <row r="11" spans="1:41" s="1268" customFormat="1" ht="15" customHeight="1">
      <c r="A11" s="309"/>
      <c r="B11" s="217"/>
      <c r="C11" s="39" t="s">
        <v>878</v>
      </c>
      <c r="D11" s="309"/>
      <c r="E11" s="1286">
        <v>0.5</v>
      </c>
      <c r="F11" s="39" t="s">
        <v>877</v>
      </c>
      <c r="G11" s="1285">
        <v>7.5</v>
      </c>
      <c r="H11" s="2296">
        <f>IF(OR($T$3,$T$4)=TRUE,J6*$E$11,0)</f>
        <v>0</v>
      </c>
      <c r="I11" s="2297">
        <f>H11*$G$11</f>
        <v>0</v>
      </c>
      <c r="J11" s="1283"/>
      <c r="K11" s="2298">
        <f>IF(OR($T$3,$T$4)=TRUE,M6*$E$11,0)</f>
        <v>0</v>
      </c>
      <c r="L11" s="2299">
        <f>K11*$G$11</f>
        <v>0</v>
      </c>
      <c r="M11" s="1280"/>
      <c r="N11" s="2300">
        <f>IF($T$3=FALSE,0,P6*$E$11)</f>
        <v>0</v>
      </c>
      <c r="O11" s="2297">
        <f>N11*$G$11</f>
        <v>0</v>
      </c>
      <c r="P11" s="37">
        <f>IF(OR($T$3,$T$4)=TRUE,P6*$E$11,0)</f>
        <v>0</v>
      </c>
      <c r="Q11" s="2276"/>
      <c r="W11" s="1268" t="s">
        <v>876</v>
      </c>
    </row>
    <row r="12" spans="1:41" s="1268" customFormat="1" ht="15" customHeight="1">
      <c r="A12" s="309"/>
      <c r="B12" s="185"/>
      <c r="C12" s="223" t="s">
        <v>875</v>
      </c>
      <c r="D12" s="1277"/>
      <c r="E12" s="1276"/>
      <c r="F12" s="223" t="s">
        <v>874</v>
      </c>
      <c r="G12" s="1275"/>
      <c r="H12" s="2301"/>
      <c r="I12" s="2302">
        <f>IF(T4=TRUE,L12*(J6/M6),0)</f>
        <v>0</v>
      </c>
      <c r="J12" s="1273"/>
      <c r="K12" s="2303"/>
      <c r="L12" s="2304"/>
      <c r="M12" s="1271">
        <f>IF(AND(L12&gt;0,T4=FALSE),"keine Angabe bei M4 ?",0)</f>
        <v>0</v>
      </c>
      <c r="N12" s="2303"/>
      <c r="O12" s="2302">
        <f>IF(T4=TRUE,L12*(P6/M6),0)</f>
        <v>0</v>
      </c>
      <c r="P12" s="37"/>
      <c r="Q12" s="2276"/>
    </row>
    <row r="13" spans="1:41" s="196" customFormat="1" ht="18.75" customHeight="1">
      <c r="A13" s="40"/>
      <c r="B13" s="209" t="s">
        <v>873</v>
      </c>
      <c r="C13" s="40"/>
      <c r="D13" s="40"/>
      <c r="E13" s="40"/>
      <c r="F13" s="40"/>
      <c r="G13" s="1267"/>
      <c r="H13" s="2305"/>
      <c r="I13" s="2306"/>
      <c r="J13" s="2280">
        <f>SUM(I14:I17)</f>
        <v>0</v>
      </c>
      <c r="K13" s="2307"/>
      <c r="L13" s="2308"/>
      <c r="M13" s="2281">
        <f>SUM(L14:L17)</f>
        <v>0</v>
      </c>
      <c r="N13" s="2305"/>
      <c r="O13" s="2306"/>
      <c r="P13" s="2280">
        <f>SUM(O14:O17)</f>
        <v>0</v>
      </c>
      <c r="Q13" s="2276"/>
      <c r="R13" s="2270"/>
      <c r="W13" s="1266" t="s">
        <v>872</v>
      </c>
      <c r="X13" s="1264" t="str">
        <f>IF(OR(T3=TRUE,T4=TRUE),J6*$E$11,"0")</f>
        <v>0</v>
      </c>
      <c r="Y13" s="1265" t="str">
        <f>IF(OR(T3=TRUE,T4=TRUE),M6*$E$11,"0")</f>
        <v>0</v>
      </c>
      <c r="Z13" s="1264" t="str">
        <f>IF(OR(T3=TRUE,T4=TRUE),P6*$E$11,"0")</f>
        <v>0</v>
      </c>
    </row>
    <row r="14" spans="1:41" s="36" customFormat="1" ht="15" customHeight="1">
      <c r="A14" s="39"/>
      <c r="B14" s="1247"/>
      <c r="C14" s="4365"/>
      <c r="D14" s="4365"/>
      <c r="E14" s="4365"/>
      <c r="F14" s="4365"/>
      <c r="G14" s="1263"/>
      <c r="H14" s="2309" t="s">
        <v>871</v>
      </c>
      <c r="I14" s="2827">
        <f>IF(H14="ja",Q14,0)</f>
        <v>0</v>
      </c>
      <c r="J14" s="39"/>
      <c r="K14" s="2309" t="s">
        <v>871</v>
      </c>
      <c r="L14" s="1098">
        <f>IF(K14="ja",Q14,0)</f>
        <v>0</v>
      </c>
      <c r="M14" s="1016"/>
      <c r="N14" s="2309" t="s">
        <v>871</v>
      </c>
      <c r="O14" s="2827">
        <f>IF(N14="ja",Q14,0)</f>
        <v>0</v>
      </c>
      <c r="P14" s="2826"/>
      <c r="Q14" s="1261">
        <f>IF(C14=0,0,VLOOKUP(C14,'SD2'!$C$11:$O$50,'SD2'!$O$1,FALSE))</f>
        <v>0</v>
      </c>
      <c r="R14" s="2270"/>
      <c r="S14" s="196"/>
      <c r="T14" s="196"/>
      <c r="W14" s="36" t="s">
        <v>236</v>
      </c>
      <c r="X14" s="1260">
        <f>$X$13*F30</f>
        <v>0</v>
      </c>
      <c r="Y14" s="1260">
        <f>$Y$13*F30</f>
        <v>0</v>
      </c>
      <c r="Z14" s="1260">
        <f>$Z$13*F30</f>
        <v>0</v>
      </c>
    </row>
    <row r="15" spans="1:41" s="36" customFormat="1" ht="15" customHeight="1">
      <c r="A15" s="39"/>
      <c r="B15" s="1247"/>
      <c r="C15" s="4365"/>
      <c r="D15" s="4365"/>
      <c r="E15" s="4365"/>
      <c r="F15" s="4365"/>
      <c r="G15" s="1263"/>
      <c r="H15" s="2309" t="s">
        <v>871</v>
      </c>
      <c r="I15" s="2827">
        <f>IF(H15="ja",Q15,0)</f>
        <v>0</v>
      </c>
      <c r="J15" s="39"/>
      <c r="K15" s="2309" t="s">
        <v>871</v>
      </c>
      <c r="L15" s="1098">
        <f>IF(K15="ja",Q15,0)</f>
        <v>0</v>
      </c>
      <c r="M15" s="1016"/>
      <c r="N15" s="2309" t="s">
        <v>871</v>
      </c>
      <c r="O15" s="2827">
        <f>IF(N15="ja",Q15,0)</f>
        <v>0</v>
      </c>
      <c r="P15" s="2826"/>
      <c r="Q15" s="1261">
        <f>IF(C15=0,0,VLOOKUP(C15,'SD2'!$C$11:$O$50,'SD2'!$O$1,FALSE))</f>
        <v>0</v>
      </c>
      <c r="R15" s="2270"/>
      <c r="S15" s="196"/>
      <c r="T15" s="196"/>
      <c r="W15" s="36" t="s">
        <v>685</v>
      </c>
      <c r="X15" s="1260">
        <f>$X$13*F31</f>
        <v>0</v>
      </c>
      <c r="Y15" s="1260">
        <f>$Y$13*F31</f>
        <v>0</v>
      </c>
      <c r="Z15" s="1260">
        <f>$Z$13*F31</f>
        <v>0</v>
      </c>
    </row>
    <row r="16" spans="1:41" s="36" customFormat="1" ht="15" customHeight="1">
      <c r="A16" s="39"/>
      <c r="B16" s="1247"/>
      <c r="C16" s="4365"/>
      <c r="D16" s="4365"/>
      <c r="E16" s="4365"/>
      <c r="F16" s="4365"/>
      <c r="G16" s="1263"/>
      <c r="H16" s="2309" t="s">
        <v>871</v>
      </c>
      <c r="I16" s="2827">
        <f>IF(H16="ja",Q16,0)</f>
        <v>0</v>
      </c>
      <c r="J16" s="39"/>
      <c r="K16" s="2309" t="s">
        <v>871</v>
      </c>
      <c r="L16" s="1098">
        <f>IF(K16="ja",Q16,0)</f>
        <v>0</v>
      </c>
      <c r="M16" s="1016"/>
      <c r="N16" s="2309" t="s">
        <v>871</v>
      </c>
      <c r="O16" s="2827">
        <f>IF(N16="ja",Q16,0)</f>
        <v>0</v>
      </c>
      <c r="P16" s="2826"/>
      <c r="Q16" s="1261">
        <f>IF(C16=0,0,VLOOKUP(C16,'SD2'!$C$11:$O$50,'SD2'!$O$1,FALSE))</f>
        <v>0</v>
      </c>
      <c r="R16" s="2270"/>
      <c r="S16" s="196"/>
      <c r="T16" s="196"/>
      <c r="W16" s="36" t="s">
        <v>684</v>
      </c>
      <c r="X16" s="1260">
        <f>$X$13*F32</f>
        <v>0</v>
      </c>
      <c r="Y16" s="1260">
        <f>$Y$13*F32</f>
        <v>0</v>
      </c>
      <c r="Z16" s="1260">
        <f>$Z$13*F32</f>
        <v>0</v>
      </c>
    </row>
    <row r="17" spans="1:26" s="36" customFormat="1" ht="15" customHeight="1">
      <c r="A17" s="39"/>
      <c r="B17" s="1247"/>
      <c r="C17" s="4365"/>
      <c r="D17" s="4365"/>
      <c r="E17" s="4365"/>
      <c r="F17" s="4365"/>
      <c r="G17" s="1263"/>
      <c r="H17" s="2309" t="s">
        <v>871</v>
      </c>
      <c r="I17" s="2827">
        <f>IF(H17="ja",Q17,0)</f>
        <v>0</v>
      </c>
      <c r="J17" s="39"/>
      <c r="K17" s="2309" t="s">
        <v>871</v>
      </c>
      <c r="L17" s="1098">
        <f>IF(K17="ja",Q17,0)</f>
        <v>0</v>
      </c>
      <c r="M17" s="1016"/>
      <c r="N17" s="2309" t="s">
        <v>871</v>
      </c>
      <c r="O17" s="2827">
        <f>IF(N17="ja",Q17,0)</f>
        <v>0</v>
      </c>
      <c r="P17" s="2826"/>
      <c r="Q17" s="1261">
        <f>IF(C17=0,0,VLOOKUP(C17,'SD2'!$C$11:$O$50,'SD2'!$O$1,FALSE))</f>
        <v>0</v>
      </c>
      <c r="R17" s="2270"/>
      <c r="S17" s="196"/>
      <c r="T17" s="196"/>
      <c r="W17" s="36" t="s">
        <v>230</v>
      </c>
      <c r="X17" s="1260">
        <f>$X$13*F33</f>
        <v>0</v>
      </c>
      <c r="Y17" s="1260">
        <f>$Y$13*F33</f>
        <v>0</v>
      </c>
      <c r="Z17" s="1260">
        <f>$Z$13*F33</f>
        <v>0</v>
      </c>
    </row>
    <row r="18" spans="1:26" s="2255" customFormat="1" ht="18.75" customHeight="1">
      <c r="A18" s="40"/>
      <c r="B18" s="2787" t="s">
        <v>1563</v>
      </c>
      <c r="C18" s="40"/>
      <c r="D18" s="40"/>
      <c r="E18" s="40"/>
      <c r="F18" s="40"/>
      <c r="G18" s="38"/>
      <c r="H18" s="2310"/>
      <c r="I18" s="2306"/>
      <c r="J18" s="2280">
        <f>SUM(I19:I21)</f>
        <v>0</v>
      </c>
      <c r="K18" s="2311"/>
      <c r="L18" s="2308"/>
      <c r="M18" s="2281">
        <f>SUM(L19:L21)</f>
        <v>0</v>
      </c>
      <c r="N18" s="2310"/>
      <c r="O18" s="2306"/>
      <c r="P18" s="2280">
        <f>SUM(O19:O21)</f>
        <v>0</v>
      </c>
      <c r="Q18" s="2276"/>
      <c r="R18" s="514" t="s">
        <v>870</v>
      </c>
      <c r="S18" s="308"/>
      <c r="T18" s="1248"/>
    </row>
    <row r="19" spans="1:26" s="36" customFormat="1" ht="15.6" customHeight="1">
      <c r="A19" s="39"/>
      <c r="B19" s="1247"/>
      <c r="C19" s="4365" t="s">
        <v>1560</v>
      </c>
      <c r="D19" s="4365"/>
      <c r="E19" s="4365"/>
      <c r="F19" s="4365"/>
      <c r="G19" s="1246"/>
      <c r="H19" s="2312"/>
      <c r="I19" s="2827">
        <f>IF(OR($C19=0,$J$6=0),0,VLOOKUP($C19,'SD2'!C60:O78,12,FALSE))</f>
        <v>0</v>
      </c>
      <c r="J19" s="39"/>
      <c r="K19" s="2313"/>
      <c r="L19" s="2829">
        <f>IF(OR($C19=0,$M$6=0),0,VLOOKUP($C19,'SD2'!$C$60:$O$78,12,FALSE))</f>
        <v>0</v>
      </c>
      <c r="M19" s="1016"/>
      <c r="N19" s="2312"/>
      <c r="O19" s="2827">
        <f>IF(OR($C19=0,$P$6=0),0,VLOOKUP($C19,'SD2'!C60:O78,12,FALSE))</f>
        <v>0</v>
      </c>
      <c r="P19" s="2826"/>
      <c r="Q19" s="2276"/>
      <c r="R19" s="1242">
        <f>J13+J18</f>
        <v>0</v>
      </c>
      <c r="S19" s="1241">
        <f>M13+M18</f>
        <v>0</v>
      </c>
      <c r="T19" s="1240">
        <f>P13+P18</f>
        <v>0</v>
      </c>
    </row>
    <row r="20" spans="1:26" s="36" customFormat="1" ht="15.6" customHeight="1">
      <c r="A20" s="2783"/>
      <c r="B20" s="1247"/>
      <c r="C20" s="4365" t="s">
        <v>1675</v>
      </c>
      <c r="D20" s="4365"/>
      <c r="E20" s="4365"/>
      <c r="F20" s="4365"/>
      <c r="G20" s="1246"/>
      <c r="H20" s="2312"/>
      <c r="I20" s="2827">
        <f>IF(OR($C20=0,$J$6=0),0,VLOOKUP($C20,'SD2'!C61:O79,12,FALSE))</f>
        <v>0</v>
      </c>
      <c r="J20" s="2783"/>
      <c r="K20" s="2313"/>
      <c r="L20" s="2829">
        <f>IF(OR($C20=0,$M$6=0),0,VLOOKUP($C20,'SD2'!$C$60:$O$78,12,FALSE))</f>
        <v>0</v>
      </c>
      <c r="M20" s="2795"/>
      <c r="N20" s="2312"/>
      <c r="O20" s="2827">
        <f>IF(OR($C20=0,$P$6=0),0,VLOOKUP($C20,'SD2'!C61:O79,12,FALSE))</f>
        <v>0</v>
      </c>
      <c r="P20" s="2826"/>
      <c r="Q20" s="2276"/>
      <c r="R20" s="2888"/>
      <c r="S20" s="2888"/>
      <c r="T20" s="2888"/>
    </row>
    <row r="21" spans="1:26" s="36" customFormat="1" ht="15.6" customHeight="1">
      <c r="A21" s="2783"/>
      <c r="B21" s="1247"/>
      <c r="C21" s="4365"/>
      <c r="D21" s="4365"/>
      <c r="E21" s="4365"/>
      <c r="F21" s="4365"/>
      <c r="G21" s="1246"/>
      <c r="H21" s="2312"/>
      <c r="I21" s="2827">
        <f>IF(OR($C21=0,$J$6=0),0,VLOOKUP($C21,'SD2'!C62:O79,12,FALSE))</f>
        <v>0</v>
      </c>
      <c r="J21" s="2783"/>
      <c r="K21" s="2313"/>
      <c r="L21" s="2829">
        <f>IF(OR($C21=0,$M$6=0),0,VLOOKUP($C21,'SD2'!$C$60:$O$78,12,FALSE))</f>
        <v>0</v>
      </c>
      <c r="M21" s="2795"/>
      <c r="N21" s="2312"/>
      <c r="O21" s="2827">
        <f>IF(OR($C21=0,$P$6=0),0,VLOOKUP($C21,'SD2'!C62:O79,12,FALSE))</f>
        <v>0</v>
      </c>
      <c r="P21" s="2826"/>
      <c r="Q21" s="2276"/>
      <c r="R21" s="2888"/>
      <c r="S21" s="2888"/>
      <c r="T21" s="2888"/>
    </row>
    <row r="22" spans="1:26" ht="15.6" customHeight="1">
      <c r="A22" s="309"/>
      <c r="B22" s="245" t="s">
        <v>869</v>
      </c>
      <c r="C22" s="39"/>
      <c r="D22" s="1234"/>
      <c r="E22" s="4370" t="s">
        <v>868</v>
      </c>
      <c r="F22" s="4370"/>
      <c r="G22" s="4371"/>
      <c r="H22" s="2314"/>
      <c r="I22" s="2315"/>
      <c r="J22" s="2316"/>
      <c r="K22" s="2317"/>
      <c r="L22" s="2318"/>
      <c r="M22" s="2316"/>
      <c r="N22" s="2314"/>
      <c r="O22" s="2315"/>
      <c r="P22" s="2316"/>
      <c r="R22" s="2276"/>
      <c r="S22" s="2276"/>
      <c r="T22" s="2276"/>
    </row>
    <row r="23" spans="1:26" ht="18.75" customHeight="1">
      <c r="A23" s="309"/>
      <c r="B23" s="209" t="s">
        <v>867</v>
      </c>
      <c r="C23" s="1228"/>
      <c r="D23" s="1228"/>
      <c r="F23" s="4438" t="s">
        <v>858</v>
      </c>
      <c r="G23" s="4439"/>
      <c r="H23" s="1043"/>
      <c r="I23" s="1042"/>
      <c r="J23" s="2285">
        <f>SUM(I25:I26)</f>
        <v>0</v>
      </c>
      <c r="K23" s="1046"/>
      <c r="L23" s="1045"/>
      <c r="M23" s="2288">
        <f>SUM(L25:L26)</f>
        <v>0</v>
      </c>
      <c r="N23" s="1043"/>
      <c r="O23" s="1042"/>
      <c r="P23" s="2285">
        <f>SUM(O25:O26)</f>
        <v>0</v>
      </c>
    </row>
    <row r="24" spans="1:26" ht="13.2" customHeight="1">
      <c r="A24" s="309"/>
      <c r="B24" s="1226"/>
      <c r="C24" s="1039" t="s">
        <v>837</v>
      </c>
      <c r="D24" s="1110">
        <v>0</v>
      </c>
      <c r="E24" s="1225"/>
      <c r="F24" s="2282" t="s">
        <v>239</v>
      </c>
      <c r="G24" s="2319" t="s">
        <v>836</v>
      </c>
      <c r="H24" s="2283" t="s">
        <v>857</v>
      </c>
      <c r="I24" s="2284" t="s">
        <v>163</v>
      </c>
      <c r="K24" s="2286" t="s">
        <v>857</v>
      </c>
      <c r="L24" s="2287" t="s">
        <v>163</v>
      </c>
      <c r="M24" s="2320"/>
      <c r="N24" s="2283" t="s">
        <v>857</v>
      </c>
      <c r="O24" s="2284" t="s">
        <v>163</v>
      </c>
      <c r="P24" s="1185"/>
    </row>
    <row r="25" spans="1:26" s="36" customFormat="1" ht="15" customHeight="1">
      <c r="A25" s="746"/>
      <c r="B25" s="1223"/>
      <c r="C25" s="746" t="s">
        <v>866</v>
      </c>
      <c r="D25" s="4434"/>
      <c r="E25" s="4435"/>
      <c r="F25" s="1222"/>
      <c r="G25" s="1221">
        <f>F25*(100+$D$24)/100</f>
        <v>0</v>
      </c>
      <c r="H25" s="2321"/>
      <c r="I25" s="1181">
        <f>H25*$G25</f>
        <v>0</v>
      </c>
      <c r="J25" s="39"/>
      <c r="K25" s="2321"/>
      <c r="L25" s="1023">
        <f>K25*$G25</f>
        <v>0</v>
      </c>
      <c r="M25" s="1016"/>
      <c r="N25" s="2321"/>
      <c r="O25" s="1181">
        <f>N25*$G25</f>
        <v>0</v>
      </c>
      <c r="P25" s="1145"/>
      <c r="Q25" s="2276"/>
    </row>
    <row r="26" spans="1:26" s="36" customFormat="1" ht="15" customHeight="1">
      <c r="A26" s="746"/>
      <c r="B26" s="772"/>
      <c r="C26" s="1219" t="s">
        <v>183</v>
      </c>
      <c r="D26" s="4436"/>
      <c r="E26" s="4437"/>
      <c r="F26" s="1218"/>
      <c r="G26" s="1217">
        <f>F26*(100+$D$24)/100</f>
        <v>0</v>
      </c>
      <c r="H26" s="1360"/>
      <c r="I26" s="1177">
        <f>H26*$G26</f>
        <v>0</v>
      </c>
      <c r="J26" s="39"/>
      <c r="K26" s="1360">
        <f>H26</f>
        <v>0</v>
      </c>
      <c r="L26" s="1017">
        <f>K26*$G26</f>
        <v>0</v>
      </c>
      <c r="M26" s="1016"/>
      <c r="N26" s="1360">
        <f>H26</f>
        <v>0</v>
      </c>
      <c r="O26" s="1177">
        <f>N26*$G26</f>
        <v>0</v>
      </c>
      <c r="P26" s="1176"/>
      <c r="Q26" s="2276"/>
    </row>
    <row r="27" spans="1:26" s="2255" customFormat="1" ht="18.75" customHeight="1">
      <c r="A27" s="711"/>
      <c r="B27" s="1215" t="s">
        <v>865</v>
      </c>
      <c r="C27" s="711"/>
      <c r="D27" s="51"/>
      <c r="E27" s="2276"/>
      <c r="F27" s="2276"/>
      <c r="G27" s="1214"/>
      <c r="H27" s="1173"/>
      <c r="I27" s="1172"/>
      <c r="J27" s="2280">
        <f>SUM(I30:I32)</f>
        <v>0</v>
      </c>
      <c r="K27" s="1175"/>
      <c r="L27" s="1174"/>
      <c r="M27" s="2281">
        <f>SUM(L30:L32)</f>
        <v>0</v>
      </c>
      <c r="N27" s="1173"/>
      <c r="O27" s="1172"/>
      <c r="P27" s="2280">
        <f>SUM(O30:O32)</f>
        <v>0</v>
      </c>
      <c r="Q27" s="2276"/>
    </row>
    <row r="28" spans="1:26" s="2255" customFormat="1" ht="13.65" customHeight="1">
      <c r="A28" s="711"/>
      <c r="B28" s="774"/>
      <c r="C28" s="2257"/>
      <c r="D28" s="2322" t="s">
        <v>706</v>
      </c>
      <c r="E28" s="2322" t="s">
        <v>864</v>
      </c>
      <c r="F28" s="2322" t="s">
        <v>864</v>
      </c>
      <c r="G28" s="2323" t="s">
        <v>863</v>
      </c>
      <c r="H28" s="1172"/>
      <c r="I28" s="2324"/>
      <c r="J28" s="2258"/>
      <c r="K28" s="1175"/>
      <c r="L28" s="2325"/>
      <c r="M28" s="1210"/>
      <c r="N28" s="1173"/>
      <c r="O28" s="2324"/>
      <c r="P28" s="2285"/>
      <c r="Q28" s="2276"/>
    </row>
    <row r="29" spans="1:26" s="2255" customFormat="1" ht="15" customHeight="1">
      <c r="A29" s="711"/>
      <c r="B29" s="1208"/>
      <c r="C29" s="2326" t="s">
        <v>862</v>
      </c>
      <c r="D29" s="2327" t="s">
        <v>611</v>
      </c>
      <c r="E29" s="2327" t="s">
        <v>861</v>
      </c>
      <c r="F29" s="2327" t="s">
        <v>860</v>
      </c>
      <c r="G29" s="2327" t="s">
        <v>612</v>
      </c>
      <c r="H29" s="2283" t="s">
        <v>612</v>
      </c>
      <c r="I29" s="2284" t="s">
        <v>163</v>
      </c>
      <c r="J29" s="2257"/>
      <c r="K29" s="2286" t="s">
        <v>612</v>
      </c>
      <c r="L29" s="2287" t="s">
        <v>163</v>
      </c>
      <c r="M29" s="1206"/>
      <c r="N29" s="2283" t="s">
        <v>612</v>
      </c>
      <c r="O29" s="2284" t="s">
        <v>163</v>
      </c>
      <c r="P29" s="1204"/>
      <c r="Q29" s="2276"/>
    </row>
    <row r="30" spans="1:26" s="36" customFormat="1" ht="15" customHeight="1">
      <c r="A30" s="746"/>
      <c r="B30" s="1203"/>
      <c r="C30" s="1202" t="s">
        <v>236</v>
      </c>
      <c r="D30" s="1150">
        <v>1</v>
      </c>
      <c r="E30" s="1201">
        <v>0</v>
      </c>
      <c r="F30" s="1201">
        <v>0</v>
      </c>
      <c r="G30" s="1200"/>
      <c r="H30" s="1198">
        <f>IF(J$6=0,0,(J$6*$E30+$G30+X14))</f>
        <v>0</v>
      </c>
      <c r="I30" s="1181">
        <f>H30*$D30</f>
        <v>0</v>
      </c>
      <c r="J30" s="39"/>
      <c r="K30" s="1199">
        <f>IF(M$6=0,0,(M$6*$E30+$G30+Y14))</f>
        <v>0</v>
      </c>
      <c r="L30" s="1023">
        <f>K30*$D30</f>
        <v>0</v>
      </c>
      <c r="M30" s="1016"/>
      <c r="N30" s="1198">
        <f>IF(P$6=0,0,(P$6*$E30+$G30+Z14))</f>
        <v>0</v>
      </c>
      <c r="O30" s="1181">
        <f>N30*$D30</f>
        <v>0</v>
      </c>
      <c r="P30" s="1145"/>
      <c r="Q30" s="2276"/>
    </row>
    <row r="31" spans="1:26" s="36" customFormat="1" ht="15" customHeight="1">
      <c r="A31" s="746"/>
      <c r="B31" s="217"/>
      <c r="C31" s="746" t="s">
        <v>234</v>
      </c>
      <c r="D31" s="1150">
        <v>0.8</v>
      </c>
      <c r="E31" s="1201">
        <v>0</v>
      </c>
      <c r="F31" s="1201">
        <v>0</v>
      </c>
      <c r="G31" s="1200"/>
      <c r="H31" s="1198">
        <f>IF(J$6=0,0,(J$6*$E31+$G31+X15))</f>
        <v>0</v>
      </c>
      <c r="I31" s="1181">
        <f>H31*$D31</f>
        <v>0</v>
      </c>
      <c r="J31" s="39"/>
      <c r="K31" s="1199">
        <f>IF(M$6=0,0,(M$6*$E31+$G31+Y15))</f>
        <v>0</v>
      </c>
      <c r="L31" s="1023">
        <f>K31*$D31</f>
        <v>0</v>
      </c>
      <c r="M31" s="1016"/>
      <c r="N31" s="1198">
        <f>IF(P$6=0,0,(P$6*$E31+$G31+Z15))</f>
        <v>0</v>
      </c>
      <c r="O31" s="1181">
        <f>N31*$D31</f>
        <v>0</v>
      </c>
      <c r="P31" s="1145"/>
      <c r="Q31" s="2276"/>
    </row>
    <row r="32" spans="1:26" s="36" customFormat="1" ht="15" customHeight="1">
      <c r="A32" s="746"/>
      <c r="B32" s="185"/>
      <c r="C32" s="2791" t="s">
        <v>232</v>
      </c>
      <c r="D32" s="1133">
        <v>0.6</v>
      </c>
      <c r="E32" s="1197">
        <v>0</v>
      </c>
      <c r="F32" s="1197">
        <v>0</v>
      </c>
      <c r="G32" s="1196"/>
      <c r="H32" s="1194">
        <f>IF(J$6=0,0,(J$6*$E32+$G32+X16))</f>
        <v>0</v>
      </c>
      <c r="I32" s="1177">
        <f>H32*$D32</f>
        <v>0</v>
      </c>
      <c r="J32" s="223"/>
      <c r="K32" s="1195">
        <f>IF(M$6=0,0,(M$6*$E32+$G32+Y16))</f>
        <v>0</v>
      </c>
      <c r="L32" s="1017">
        <f>K32*$D32</f>
        <v>0</v>
      </c>
      <c r="M32" s="1256"/>
      <c r="N32" s="1194">
        <f>IF(P$6=0,0,(P$6*$E32+$G32+Z16))</f>
        <v>0</v>
      </c>
      <c r="O32" s="1177">
        <f>N32*$D32</f>
        <v>0</v>
      </c>
      <c r="P32" s="1176"/>
      <c r="Q32" s="2276"/>
    </row>
    <row r="33" spans="1:17" s="36" customFormat="1" ht="15" hidden="1" customHeight="1">
      <c r="A33" s="746"/>
      <c r="B33" s="185"/>
      <c r="C33" s="771" t="s">
        <v>230</v>
      </c>
      <c r="D33" s="1133">
        <v>0.5</v>
      </c>
      <c r="E33" s="1197">
        <v>0</v>
      </c>
      <c r="F33" s="1197">
        <v>0</v>
      </c>
      <c r="G33" s="1196"/>
      <c r="H33" s="1194">
        <f>IF(J$6=0,0,(J$6*$E33+$G33+X17))</f>
        <v>0</v>
      </c>
      <c r="I33" s="1177">
        <f>H33*$D33</f>
        <v>0</v>
      </c>
      <c r="J33" s="39"/>
      <c r="K33" s="1195">
        <f>IF(M$6=0,0,(M$6*$E33+$G33+Y17))</f>
        <v>0</v>
      </c>
      <c r="L33" s="1017">
        <f>K33*$D33</f>
        <v>0</v>
      </c>
      <c r="M33" s="1016"/>
      <c r="N33" s="1194">
        <f>IF(P$6=0,0,(P$6*$E33+$G33+Z17))</f>
        <v>0</v>
      </c>
      <c r="O33" s="1177">
        <f>N33*$D33</f>
        <v>0</v>
      </c>
      <c r="P33" s="1176"/>
      <c r="Q33" s="2276"/>
    </row>
    <row r="34" spans="1:17" s="2255" customFormat="1" ht="18.75" customHeight="1">
      <c r="A34" s="711"/>
      <c r="B34" s="716" t="s">
        <v>859</v>
      </c>
      <c r="C34" s="711"/>
      <c r="D34" s="2257"/>
      <c r="E34" s="2257"/>
      <c r="F34" s="4438" t="s">
        <v>858</v>
      </c>
      <c r="G34" s="4439"/>
      <c r="H34" s="1191"/>
      <c r="I34" s="1190"/>
      <c r="J34" s="2280">
        <f>SUM(I36:I42)</f>
        <v>0</v>
      </c>
      <c r="K34" s="1193"/>
      <c r="L34" s="1192"/>
      <c r="M34" s="2281">
        <f>SUM(L36:L42)</f>
        <v>0</v>
      </c>
      <c r="N34" s="1191"/>
      <c r="O34" s="1190"/>
      <c r="P34" s="2280">
        <f>SUM(O36:O42)</f>
        <v>0</v>
      </c>
      <c r="Q34" s="2276"/>
    </row>
    <row r="35" spans="1:17" s="2255" customFormat="1" ht="13.2" customHeight="1">
      <c r="A35" s="711"/>
      <c r="B35" s="1040"/>
      <c r="C35" s="1039" t="s">
        <v>837</v>
      </c>
      <c r="D35" s="1110">
        <v>0</v>
      </c>
      <c r="E35" s="2328"/>
      <c r="F35" s="2282" t="s">
        <v>239</v>
      </c>
      <c r="G35" s="2319" t="s">
        <v>836</v>
      </c>
      <c r="H35" s="2329" t="s">
        <v>857</v>
      </c>
      <c r="I35" s="2284" t="s">
        <v>163</v>
      </c>
      <c r="J35" s="1189"/>
      <c r="K35" s="2330" t="s">
        <v>857</v>
      </c>
      <c r="L35" s="2287" t="s">
        <v>163</v>
      </c>
      <c r="M35" s="1187"/>
      <c r="N35" s="2329" t="s">
        <v>857</v>
      </c>
      <c r="O35" s="2284" t="s">
        <v>163</v>
      </c>
      <c r="P35" s="2285"/>
      <c r="Q35" s="2276"/>
    </row>
    <row r="36" spans="1:17" s="36" customFormat="1" ht="15" customHeight="1">
      <c r="A36" s="746"/>
      <c r="B36" s="1021"/>
      <c r="C36" s="4389" t="s">
        <v>311</v>
      </c>
      <c r="D36" s="4389"/>
      <c r="E36" s="4390"/>
      <c r="F36" s="1183">
        <f>IF(C36="",0,VLOOKUP(C36,'SDK5'!C3:AF83,2,FALSE))</f>
        <v>0</v>
      </c>
      <c r="G36" s="1183">
        <f t="shared" ref="G36:G42" si="0">F36*(100+$D$35)/100</f>
        <v>0</v>
      </c>
      <c r="H36" s="2331">
        <v>1</v>
      </c>
      <c r="I36" s="1181">
        <f t="shared" ref="I36:I42" si="1">$G36*H36</f>
        <v>0</v>
      </c>
      <c r="J36" s="39"/>
      <c r="K36" s="2331"/>
      <c r="L36" s="1023">
        <f t="shared" ref="L36:L42" si="2">$G36*K36</f>
        <v>0</v>
      </c>
      <c r="M36" s="1016"/>
      <c r="N36" s="2331"/>
      <c r="O36" s="1181">
        <f t="shared" ref="O36:O42" si="3">$G36*N36</f>
        <v>0</v>
      </c>
      <c r="P36" s="1185"/>
      <c r="Q36" s="2276"/>
    </row>
    <row r="37" spans="1:17" s="36" customFormat="1" ht="15" customHeight="1">
      <c r="A37" s="746"/>
      <c r="B37" s="1021"/>
      <c r="C37" s="4375"/>
      <c r="D37" s="4375"/>
      <c r="E37" s="4376"/>
      <c r="F37" s="1183">
        <f>IF(C37="",0,VLOOKUP(C37,'SDK5'!C4:AF84,2,FALSE))</f>
        <v>0</v>
      </c>
      <c r="G37" s="1183">
        <f t="shared" si="0"/>
        <v>0</v>
      </c>
      <c r="H37" s="2331"/>
      <c r="I37" s="1181">
        <f t="shared" si="1"/>
        <v>0</v>
      </c>
      <c r="J37" s="39"/>
      <c r="K37" s="2331"/>
      <c r="L37" s="1023">
        <f t="shared" si="2"/>
        <v>0</v>
      </c>
      <c r="M37" s="1016"/>
      <c r="N37" s="2331"/>
      <c r="O37" s="1181">
        <f t="shared" si="3"/>
        <v>0</v>
      </c>
      <c r="P37" s="1145"/>
      <c r="Q37" s="2276"/>
    </row>
    <row r="38" spans="1:17" s="36" customFormat="1" ht="15" customHeight="1">
      <c r="A38" s="746"/>
      <c r="B38" s="1184"/>
      <c r="C38" s="4375"/>
      <c r="D38" s="4375"/>
      <c r="E38" s="4376"/>
      <c r="F38" s="1183">
        <f>IF(C38="",0,VLOOKUP(C38,'SDK5'!C5:AF85,2,FALSE))</f>
        <v>0</v>
      </c>
      <c r="G38" s="1183">
        <f t="shared" si="0"/>
        <v>0</v>
      </c>
      <c r="H38" s="2331"/>
      <c r="I38" s="1181">
        <f t="shared" si="1"/>
        <v>0</v>
      </c>
      <c r="J38" s="39"/>
      <c r="K38" s="2331"/>
      <c r="L38" s="1023">
        <f t="shared" si="2"/>
        <v>0</v>
      </c>
      <c r="M38" s="1016"/>
      <c r="N38" s="2331"/>
      <c r="O38" s="1181">
        <f t="shared" si="3"/>
        <v>0</v>
      </c>
      <c r="P38" s="1145"/>
      <c r="Q38" s="2276"/>
    </row>
    <row r="39" spans="1:17" s="36" customFormat="1" ht="15" customHeight="1">
      <c r="A39" s="746"/>
      <c r="B39" s="1021"/>
      <c r="C39" s="4375"/>
      <c r="D39" s="4375"/>
      <c r="E39" s="4376"/>
      <c r="F39" s="1183">
        <f>IF(C39="",0,VLOOKUP(C39,'SDK5'!C6:AF86,2,FALSE))</f>
        <v>0</v>
      </c>
      <c r="G39" s="1183">
        <f t="shared" si="0"/>
        <v>0</v>
      </c>
      <c r="H39" s="2331"/>
      <c r="I39" s="1181">
        <f t="shared" si="1"/>
        <v>0</v>
      </c>
      <c r="J39" s="39"/>
      <c r="K39" s="2331"/>
      <c r="L39" s="1023">
        <f t="shared" si="2"/>
        <v>0</v>
      </c>
      <c r="M39" s="1016"/>
      <c r="N39" s="2331"/>
      <c r="O39" s="1181">
        <f t="shared" si="3"/>
        <v>0</v>
      </c>
      <c r="P39" s="1145"/>
      <c r="Q39" s="2276"/>
    </row>
    <row r="40" spans="1:17" s="36" customFormat="1" ht="15" customHeight="1">
      <c r="A40" s="746"/>
      <c r="B40" s="1021"/>
      <c r="C40" s="4375"/>
      <c r="D40" s="4375"/>
      <c r="E40" s="4376"/>
      <c r="F40" s="1183">
        <f>IF(C40="",0,VLOOKUP(C40,'SDK5'!C7:AF87,2,FALSE))</f>
        <v>0</v>
      </c>
      <c r="G40" s="1183">
        <f t="shared" si="0"/>
        <v>0</v>
      </c>
      <c r="H40" s="2331"/>
      <c r="I40" s="1181">
        <f t="shared" si="1"/>
        <v>0</v>
      </c>
      <c r="J40" s="39"/>
      <c r="K40" s="2331"/>
      <c r="L40" s="1023">
        <f t="shared" si="2"/>
        <v>0</v>
      </c>
      <c r="M40" s="1016"/>
      <c r="N40" s="2331"/>
      <c r="O40" s="1181">
        <f t="shared" si="3"/>
        <v>0</v>
      </c>
      <c r="P40" s="1145"/>
      <c r="Q40" s="2276"/>
    </row>
    <row r="41" spans="1:17" s="36" customFormat="1" ht="15" customHeight="1">
      <c r="A41" s="746"/>
      <c r="B41" s="1021"/>
      <c r="C41" s="4375"/>
      <c r="D41" s="4375"/>
      <c r="E41" s="4376"/>
      <c r="F41" s="1183">
        <f>IF(C41="",0,VLOOKUP(C41,'SDK5'!C8:AF88,2,FALSE))</f>
        <v>0</v>
      </c>
      <c r="G41" s="1183">
        <f t="shared" si="0"/>
        <v>0</v>
      </c>
      <c r="H41" s="2331"/>
      <c r="I41" s="1181">
        <f t="shared" si="1"/>
        <v>0</v>
      </c>
      <c r="J41" s="39"/>
      <c r="K41" s="2331"/>
      <c r="L41" s="1023">
        <f t="shared" si="2"/>
        <v>0</v>
      </c>
      <c r="M41" s="1016"/>
      <c r="N41" s="2331"/>
      <c r="O41" s="1181">
        <f t="shared" si="3"/>
        <v>0</v>
      </c>
      <c r="P41" s="1145"/>
      <c r="Q41" s="2276"/>
    </row>
    <row r="42" spans="1:17" s="36" customFormat="1" ht="15" customHeight="1">
      <c r="A42" s="746"/>
      <c r="B42" s="1180"/>
      <c r="C42" s="4361"/>
      <c r="D42" s="4361"/>
      <c r="E42" s="4362"/>
      <c r="F42" s="1179">
        <f>IF(C42="",0,VLOOKUP(C42,'SDK5'!C9:AF89,2,FALSE))</f>
        <v>0</v>
      </c>
      <c r="G42" s="1179">
        <f t="shared" si="0"/>
        <v>0</v>
      </c>
      <c r="H42" s="2332"/>
      <c r="I42" s="1177">
        <f t="shared" si="1"/>
        <v>0</v>
      </c>
      <c r="J42" s="39"/>
      <c r="K42" s="2332"/>
      <c r="L42" s="1017">
        <f t="shared" si="2"/>
        <v>0</v>
      </c>
      <c r="M42" s="1016"/>
      <c r="N42" s="2332"/>
      <c r="O42" s="1177">
        <f t="shared" si="3"/>
        <v>0</v>
      </c>
      <c r="P42" s="1176"/>
      <c r="Q42" s="2276"/>
    </row>
    <row r="43" spans="1:17" s="2255" customFormat="1" ht="18.75" customHeight="1">
      <c r="A43" s="711"/>
      <c r="B43" s="716" t="s">
        <v>856</v>
      </c>
      <c r="C43" s="711"/>
      <c r="D43" s="711"/>
      <c r="E43" s="711"/>
      <c r="F43" s="711"/>
      <c r="G43" s="1047"/>
      <c r="H43" s="1173"/>
      <c r="I43" s="1172"/>
      <c r="J43" s="2280">
        <f>SUM(J46:J57)</f>
        <v>0</v>
      </c>
      <c r="K43" s="1175"/>
      <c r="L43" s="1174"/>
      <c r="M43" s="2281">
        <f>SUM(M46:M57)</f>
        <v>0</v>
      </c>
      <c r="N43" s="1173"/>
      <c r="O43" s="1172"/>
      <c r="P43" s="2280">
        <f>SUM(P46:P57)</f>
        <v>0</v>
      </c>
      <c r="Q43" s="2276"/>
    </row>
    <row r="44" spans="1:17" s="36" customFormat="1" ht="15" customHeight="1">
      <c r="A44" s="746"/>
      <c r="B44" s="774"/>
      <c r="C44" s="746" t="s">
        <v>855</v>
      </c>
      <c r="D44" s="746"/>
      <c r="E44" s="1171" t="s">
        <v>365</v>
      </c>
      <c r="F44" s="1170" t="s">
        <v>854</v>
      </c>
      <c r="G44" s="1169"/>
      <c r="H44" s="306" t="s">
        <v>853</v>
      </c>
      <c r="I44" s="1165" t="s">
        <v>852</v>
      </c>
      <c r="J44" s="2333"/>
      <c r="K44" s="1168" t="s">
        <v>853</v>
      </c>
      <c r="L44" s="1167" t="s">
        <v>852</v>
      </c>
      <c r="M44" s="2334"/>
      <c r="N44" s="306" t="s">
        <v>853</v>
      </c>
      <c r="O44" s="1165" t="s">
        <v>852</v>
      </c>
      <c r="P44" s="2333"/>
      <c r="Q44" s="2276"/>
    </row>
    <row r="45" spans="1:17" s="36" customFormat="1" ht="15" customHeight="1">
      <c r="A45" s="746"/>
      <c r="B45" s="2335"/>
      <c r="C45" s="2336"/>
      <c r="D45" s="1163"/>
      <c r="E45" s="2327" t="s">
        <v>851</v>
      </c>
      <c r="F45" s="2327" t="s">
        <v>850</v>
      </c>
      <c r="G45" s="2327" t="s">
        <v>441</v>
      </c>
      <c r="H45" s="1159" t="s">
        <v>849</v>
      </c>
      <c r="I45" s="2282" t="s">
        <v>113</v>
      </c>
      <c r="J45" s="2337" t="s">
        <v>163</v>
      </c>
      <c r="K45" s="1162" t="s">
        <v>849</v>
      </c>
      <c r="L45" s="2338" t="s">
        <v>113</v>
      </c>
      <c r="M45" s="2339" t="s">
        <v>163</v>
      </c>
      <c r="N45" s="1159" t="s">
        <v>849</v>
      </c>
      <c r="O45" s="2282" t="s">
        <v>113</v>
      </c>
      <c r="P45" s="2337" t="s">
        <v>163</v>
      </c>
      <c r="Q45" s="2276"/>
    </row>
    <row r="46" spans="1:17" s="36" customFormat="1" ht="15" customHeight="1">
      <c r="A46" s="746"/>
      <c r="B46" s="1157"/>
      <c r="C46" s="4363"/>
      <c r="D46" s="4364"/>
      <c r="E46" s="1152">
        <f>IF($C46=0,0,VLOOKUP($C46,'SD3'!$C$24:$O$85,4,FALSE))</f>
        <v>0</v>
      </c>
      <c r="F46" s="1151">
        <f>IF($C46=0,0,VLOOKUP($C46,'SD3'!$C$24:$O$85,12,FALSE))</f>
        <v>0</v>
      </c>
      <c r="G46" s="1150">
        <f>IF($C46=0,0,VLOOKUP($C46,'SD3'!$C$24:$O$85,13,FALSE))</f>
        <v>0</v>
      </c>
      <c r="H46" s="1155"/>
      <c r="I46" s="1154">
        <f t="shared" ref="I46:I56" si="4">$F46*H46</f>
        <v>0</v>
      </c>
      <c r="J46" s="1145">
        <f t="shared" ref="J46:J57" si="5">H46*$G46</f>
        <v>0</v>
      </c>
      <c r="K46" s="1155"/>
      <c r="L46" s="1156">
        <f t="shared" ref="L46:L57" si="6">$F46*K46</f>
        <v>0</v>
      </c>
      <c r="M46" s="1148">
        <f t="shared" ref="M46:M57" si="7">K46*$G46</f>
        <v>0</v>
      </c>
      <c r="N46" s="1155"/>
      <c r="O46" s="1154">
        <f t="shared" ref="O46:O57" si="8">$F46*N46</f>
        <v>0</v>
      </c>
      <c r="P46" s="1145">
        <f t="shared" ref="P46:P57" si="9">N46*$G46</f>
        <v>0</v>
      </c>
      <c r="Q46" s="2276">
        <f>$Q$2*H46</f>
        <v>0</v>
      </c>
    </row>
    <row r="47" spans="1:17" s="36" customFormat="1" ht="15" customHeight="1">
      <c r="A47" s="746"/>
      <c r="B47" s="1153"/>
      <c r="C47" s="4387"/>
      <c r="D47" s="4388"/>
      <c r="E47" s="1152">
        <f>IF($C47=0,0,VLOOKUP($C47,'SD3'!$C$24:$O$85,4,FALSE))</f>
        <v>0</v>
      </c>
      <c r="F47" s="1151">
        <f>IF($C47=0,0,VLOOKUP($C47,'SD3'!$C$24:$O$85,12,FALSE))</f>
        <v>0</v>
      </c>
      <c r="G47" s="1150">
        <f>IF($C47=0,0,VLOOKUP($C47,'SD3'!$C$24:$O$85,13,FALSE))</f>
        <v>0</v>
      </c>
      <c r="H47" s="1147"/>
      <c r="I47" s="1146">
        <f t="shared" si="4"/>
        <v>0</v>
      </c>
      <c r="J47" s="1145">
        <f t="shared" si="5"/>
        <v>0</v>
      </c>
      <c r="K47" s="1147"/>
      <c r="L47" s="1149">
        <f t="shared" si="6"/>
        <v>0</v>
      </c>
      <c r="M47" s="1148">
        <f t="shared" si="7"/>
        <v>0</v>
      </c>
      <c r="N47" s="1147"/>
      <c r="O47" s="1146">
        <f t="shared" si="8"/>
        <v>0</v>
      </c>
      <c r="P47" s="1145">
        <f t="shared" si="9"/>
        <v>0</v>
      </c>
      <c r="Q47" s="2276"/>
    </row>
    <row r="48" spans="1:17" s="36" customFormat="1" ht="15" customHeight="1">
      <c r="A48" s="746"/>
      <c r="B48" s="1153"/>
      <c r="C48" s="4387"/>
      <c r="D48" s="4388"/>
      <c r="E48" s="1152">
        <f>IF($C48=0,0,VLOOKUP($C48,'SD3'!$C$24:$O$85,4,FALSE))</f>
        <v>0</v>
      </c>
      <c r="F48" s="1151">
        <f>IF($C48=0,0,VLOOKUP($C48,'SD3'!$C$24:$O$85,12,FALSE))</f>
        <v>0</v>
      </c>
      <c r="G48" s="1150">
        <f>IF($C48=0,0,VLOOKUP($C48,'SD3'!$C$24:$O$85,13,FALSE))</f>
        <v>0</v>
      </c>
      <c r="H48" s="1147"/>
      <c r="I48" s="1146">
        <f t="shared" si="4"/>
        <v>0</v>
      </c>
      <c r="J48" s="1145">
        <f t="shared" si="5"/>
        <v>0</v>
      </c>
      <c r="K48" s="1147"/>
      <c r="L48" s="1149">
        <f t="shared" si="6"/>
        <v>0</v>
      </c>
      <c r="M48" s="1148">
        <f t="shared" si="7"/>
        <v>0</v>
      </c>
      <c r="N48" s="1147"/>
      <c r="O48" s="1146">
        <f t="shared" si="8"/>
        <v>0</v>
      </c>
      <c r="P48" s="1145">
        <f t="shared" si="9"/>
        <v>0</v>
      </c>
      <c r="Q48" s="2276"/>
    </row>
    <row r="49" spans="1:17" s="36" customFormat="1" ht="15" customHeight="1">
      <c r="A49" s="746"/>
      <c r="B49" s="1153"/>
      <c r="C49" s="4387"/>
      <c r="D49" s="4388"/>
      <c r="E49" s="1152">
        <f>IF($C49=0,0,VLOOKUP($C49,'SD3'!$C$24:$O$85,4,FALSE))</f>
        <v>0</v>
      </c>
      <c r="F49" s="1151">
        <f>IF($C49=0,0,VLOOKUP($C49,'SD3'!$C$24:$O$85,12,FALSE))</f>
        <v>0</v>
      </c>
      <c r="G49" s="1150">
        <f>IF($C49=0,0,VLOOKUP($C49,'SD3'!$C$24:$O$85,13,FALSE))</f>
        <v>0</v>
      </c>
      <c r="H49" s="1147"/>
      <c r="I49" s="1146">
        <f t="shared" si="4"/>
        <v>0</v>
      </c>
      <c r="J49" s="1145">
        <f t="shared" si="5"/>
        <v>0</v>
      </c>
      <c r="K49" s="1147"/>
      <c r="L49" s="1149">
        <f t="shared" si="6"/>
        <v>0</v>
      </c>
      <c r="M49" s="1148">
        <f t="shared" si="7"/>
        <v>0</v>
      </c>
      <c r="N49" s="1147"/>
      <c r="O49" s="1146">
        <f t="shared" si="8"/>
        <v>0</v>
      </c>
      <c r="P49" s="1145">
        <f t="shared" si="9"/>
        <v>0</v>
      </c>
      <c r="Q49" s="2276"/>
    </row>
    <row r="50" spans="1:17" s="36" customFormat="1" ht="15" customHeight="1">
      <c r="A50" s="746"/>
      <c r="B50" s="1153"/>
      <c r="C50" s="4387"/>
      <c r="D50" s="4388"/>
      <c r="E50" s="1152">
        <f>IF($C50=0,0,VLOOKUP($C50,'SD3'!$C$24:$O$85,4,FALSE))</f>
        <v>0</v>
      </c>
      <c r="F50" s="1151">
        <f>IF($C50=0,0,VLOOKUP($C50,'SD3'!$C$24:$O$85,12,FALSE))</f>
        <v>0</v>
      </c>
      <c r="G50" s="1150">
        <f>IF($C50=0,0,VLOOKUP($C50,'SD3'!$C$24:$O$85,13,FALSE))</f>
        <v>0</v>
      </c>
      <c r="H50" s="1147"/>
      <c r="I50" s="1146">
        <f t="shared" si="4"/>
        <v>0</v>
      </c>
      <c r="J50" s="1145">
        <f t="shared" si="5"/>
        <v>0</v>
      </c>
      <c r="K50" s="1147"/>
      <c r="L50" s="1149">
        <f t="shared" si="6"/>
        <v>0</v>
      </c>
      <c r="M50" s="1148">
        <f t="shared" si="7"/>
        <v>0</v>
      </c>
      <c r="N50" s="1147"/>
      <c r="O50" s="1146">
        <f t="shared" si="8"/>
        <v>0</v>
      </c>
      <c r="P50" s="1145">
        <f t="shared" si="9"/>
        <v>0</v>
      </c>
      <c r="Q50" s="2276"/>
    </row>
    <row r="51" spans="1:17" s="36" customFormat="1" ht="15" customHeight="1">
      <c r="A51" s="746"/>
      <c r="B51" s="1153"/>
      <c r="C51" s="4387"/>
      <c r="D51" s="4388"/>
      <c r="E51" s="1152">
        <f>IF($C51=0,0,VLOOKUP($C51,'SD3'!$C$24:$O$85,4,FALSE))</f>
        <v>0</v>
      </c>
      <c r="F51" s="1151">
        <f>IF($C51=0,0,VLOOKUP($C51,'SD3'!$C$24:$O$85,12,FALSE))</f>
        <v>0</v>
      </c>
      <c r="G51" s="1150">
        <f>IF($C51=0,0,VLOOKUP($C51,'SD3'!$C$24:$O$85,13,FALSE))</f>
        <v>0</v>
      </c>
      <c r="H51" s="1147"/>
      <c r="I51" s="1146">
        <f t="shared" si="4"/>
        <v>0</v>
      </c>
      <c r="J51" s="1145">
        <f t="shared" si="5"/>
        <v>0</v>
      </c>
      <c r="K51" s="1147"/>
      <c r="L51" s="1149">
        <f t="shared" si="6"/>
        <v>0</v>
      </c>
      <c r="M51" s="1148">
        <f t="shared" si="7"/>
        <v>0</v>
      </c>
      <c r="N51" s="1147"/>
      <c r="O51" s="1146">
        <f t="shared" si="8"/>
        <v>0</v>
      </c>
      <c r="P51" s="1145">
        <f t="shared" si="9"/>
        <v>0</v>
      </c>
      <c r="Q51" s="2276"/>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2276"/>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2276"/>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2276"/>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2276"/>
    </row>
    <row r="56" spans="1:17" s="36" customFormat="1" ht="15" customHeight="1">
      <c r="A56" s="746"/>
      <c r="B56" s="1342"/>
      <c r="C56" s="4394"/>
      <c r="D56" s="4395"/>
      <c r="E56" s="1341">
        <f>IF($C56=0,0,VLOOKUP($C56,'SD3'!$C$24:$O$85,4,FALSE))</f>
        <v>0</v>
      </c>
      <c r="F56" s="1340">
        <f>IF($C56=0,0,VLOOKUP($C56,'SD3'!$C$24:$O$85,12,FALSE))</f>
        <v>0</v>
      </c>
      <c r="G56" s="3227">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2276"/>
    </row>
    <row r="57" spans="1:17" s="36" customFormat="1" ht="47.25" customHeight="1">
      <c r="A57" s="746"/>
      <c r="B57" s="1084"/>
      <c r="C57" s="4423" t="s">
        <v>332</v>
      </c>
      <c r="D57" s="4424"/>
      <c r="E57" s="1341">
        <f>IF($C57=0,0,VLOOKUP($C57,'SD3'!$C$24:$O$85,4,FALSE))</f>
        <v>83</v>
      </c>
      <c r="F57" s="1340">
        <f>IF($C57=0,0,VLOOKUP($C57,'SD3'!$C$24:$O$85,12,FALSE))</f>
        <v>1.3</v>
      </c>
      <c r="G57" s="3227">
        <f>IF($C57=0,0,VLOOKUP($C57,'SD3'!$C$24:$O$85,13,FALSE))</f>
        <v>25.970662899999994</v>
      </c>
      <c r="H57" s="1131">
        <f>IF($T$4=TRUE,0,H11/40)</f>
        <v>0</v>
      </c>
      <c r="I57" s="1130">
        <f>$F57*H57</f>
        <v>0</v>
      </c>
      <c r="J57" s="2340">
        <f t="shared" si="5"/>
        <v>0</v>
      </c>
      <c r="K57" s="1131">
        <f>IF($T$4=TRUE,0,K11/40)</f>
        <v>0</v>
      </c>
      <c r="L57" s="1132">
        <f t="shared" si="6"/>
        <v>0</v>
      </c>
      <c r="M57" s="2341">
        <f t="shared" si="7"/>
        <v>0</v>
      </c>
      <c r="N57" s="1131">
        <f>IF($T$4=TRUE,0,N11/40)</f>
        <v>0</v>
      </c>
      <c r="O57" s="1130">
        <f t="shared" si="8"/>
        <v>0</v>
      </c>
      <c r="P57" s="2340">
        <f t="shared" si="9"/>
        <v>0</v>
      </c>
      <c r="Q57" s="2276"/>
    </row>
    <row r="58" spans="1:17" s="46" customFormat="1" ht="18.75" customHeight="1">
      <c r="A58" s="811"/>
      <c r="B58" s="716" t="s">
        <v>848</v>
      </c>
      <c r="C58" s="811"/>
      <c r="D58" s="811"/>
      <c r="E58" s="811"/>
      <c r="F58" s="2276"/>
      <c r="G58" s="1047"/>
      <c r="H58" s="1124"/>
      <c r="I58" s="2342">
        <f>SUM($I$46:$I$57)</f>
        <v>0</v>
      </c>
      <c r="J58" s="2343"/>
      <c r="K58" s="1127"/>
      <c r="L58" s="2344">
        <f>SUM($L$46:$L$57)</f>
        <v>0</v>
      </c>
      <c r="M58" s="2345"/>
      <c r="N58" s="1124"/>
      <c r="O58" s="2342">
        <f>SUM($O$46:$O$57)</f>
        <v>0</v>
      </c>
      <c r="P58" s="2346"/>
      <c r="Q58" s="2276"/>
    </row>
    <row r="59" spans="1:17" s="46" customFormat="1" ht="15" customHeight="1">
      <c r="A59" s="811"/>
      <c r="B59" s="1121"/>
      <c r="C59" s="2347"/>
      <c r="D59" s="222" t="s">
        <v>847</v>
      </c>
      <c r="E59" s="1120">
        <v>80</v>
      </c>
      <c r="F59" s="2347" t="s">
        <v>846</v>
      </c>
      <c r="G59" s="2348"/>
      <c r="H59" s="1115"/>
      <c r="I59" s="2349">
        <f>IF(I58+SUM($I$46:$I$57)*$E$59%&gt;I58+10,I58+10,I58+SUM($I$46:$I$57)*$E$59%)</f>
        <v>0</v>
      </c>
      <c r="J59" s="1113"/>
      <c r="K59" s="1118"/>
      <c r="L59" s="2350">
        <f>IF(L58+SUM($L$46:$L$57)*$E$59%&gt;L58+10,L58+10,L58+SUM($L$46:$L$57)*$E$59%)</f>
        <v>0</v>
      </c>
      <c r="M59" s="1116"/>
      <c r="N59" s="1115"/>
      <c r="O59" s="2349">
        <f>IF(O58+SUM($O$46:$O$57)*$E$59%&gt;O58+10,O58+10,O58+SUM($O$46:$O$57)*$E$59%)</f>
        <v>0</v>
      </c>
      <c r="P59" s="1113"/>
      <c r="Q59" s="2276"/>
    </row>
    <row r="60" spans="1:17" s="36" customFormat="1" ht="18.75" customHeight="1">
      <c r="A60" s="746"/>
      <c r="B60" s="716" t="s">
        <v>845</v>
      </c>
      <c r="C60" s="811"/>
      <c r="D60" s="811"/>
      <c r="E60" s="39"/>
      <c r="F60" s="39"/>
      <c r="G60" s="1112"/>
      <c r="H60" s="1104"/>
      <c r="I60" s="1103"/>
      <c r="J60" s="2351">
        <f>IF(J6=0,0,SUM(I62:I64))</f>
        <v>0</v>
      </c>
      <c r="K60" s="1107"/>
      <c r="L60" s="1106"/>
      <c r="M60" s="2281">
        <f>IF(M6=0,0,SUM(L62:L64))</f>
        <v>0</v>
      </c>
      <c r="N60" s="1104"/>
      <c r="O60" s="1103"/>
      <c r="P60" s="2351">
        <f>IF(P6=0,0,SUM(O62:O64))</f>
        <v>0</v>
      </c>
      <c r="Q60" s="2276"/>
    </row>
    <row r="61" spans="1:17" s="36" customFormat="1" ht="13.2" customHeight="1">
      <c r="A61" s="746"/>
      <c r="B61" s="1040"/>
      <c r="C61" s="1039" t="s">
        <v>837</v>
      </c>
      <c r="D61" s="1110">
        <v>0</v>
      </c>
      <c r="E61" s="2328"/>
      <c r="F61" s="2282" t="s">
        <v>239</v>
      </c>
      <c r="G61" s="2319" t="s">
        <v>836</v>
      </c>
      <c r="H61" s="1104"/>
      <c r="I61" s="1103"/>
      <c r="J61" s="2352"/>
      <c r="K61" s="1107"/>
      <c r="L61" s="1106"/>
      <c r="M61" s="2325"/>
      <c r="N61" s="1104"/>
      <c r="O61" s="1103"/>
      <c r="P61" s="2353"/>
      <c r="Q61" s="2276"/>
    </row>
    <row r="62" spans="1:17" s="36" customFormat="1" ht="15" customHeight="1">
      <c r="A62" s="746"/>
      <c r="B62" s="1021"/>
      <c r="C62" s="4365"/>
      <c r="D62" s="4365"/>
      <c r="E62" s="4365"/>
      <c r="F62" s="1101">
        <v>0</v>
      </c>
      <c r="G62" s="1100">
        <f>(100+$D$61)/100*F62</f>
        <v>0</v>
      </c>
      <c r="H62" s="173"/>
      <c r="I62" s="1096">
        <f>$G$62</f>
        <v>0</v>
      </c>
      <c r="J62" s="173"/>
      <c r="K62" s="1099"/>
      <c r="L62" s="1098">
        <f>$G$62</f>
        <v>0</v>
      </c>
      <c r="M62" s="1016"/>
      <c r="N62" s="1097"/>
      <c r="O62" s="1096">
        <f>$G$62</f>
        <v>0</v>
      </c>
      <c r="P62" s="1095"/>
      <c r="Q62" s="2276"/>
    </row>
    <row r="63" spans="1:17" s="36" customFormat="1" ht="15" customHeight="1">
      <c r="A63" s="746"/>
      <c r="B63" s="1094"/>
      <c r="C63" s="4397"/>
      <c r="D63" s="4397"/>
      <c r="E63" s="4398"/>
      <c r="F63" s="1093">
        <v>0</v>
      </c>
      <c r="G63" s="1092">
        <f>(100+$D$61)/100*F63</f>
        <v>0</v>
      </c>
      <c r="H63" s="1091"/>
      <c r="I63" s="1086">
        <f>$G$63</f>
        <v>0</v>
      </c>
      <c r="J63" s="1091"/>
      <c r="K63" s="1090"/>
      <c r="L63" s="1089">
        <f>$G$63</f>
        <v>0</v>
      </c>
      <c r="M63" s="1088"/>
      <c r="N63" s="1087"/>
      <c r="O63" s="1086">
        <f>$G$63</f>
        <v>0</v>
      </c>
      <c r="P63" s="1085"/>
      <c r="Q63" s="2276"/>
    </row>
    <row r="64" spans="1:17" s="36" customFormat="1" ht="15" customHeight="1">
      <c r="A64" s="746"/>
      <c r="B64" s="1084"/>
      <c r="C64" s="4396"/>
      <c r="D64" s="4396"/>
      <c r="E64" s="4396"/>
      <c r="F64" s="1083">
        <v>0</v>
      </c>
      <c r="G64" s="1082">
        <f>(100+$D$61)/100*F64</f>
        <v>0</v>
      </c>
      <c r="H64" s="1078"/>
      <c r="I64" s="1077">
        <f>H11*$G$64</f>
        <v>0</v>
      </c>
      <c r="J64" s="173"/>
      <c r="K64" s="1081"/>
      <c r="L64" s="1080">
        <f>K11*$G$64</f>
        <v>0</v>
      </c>
      <c r="M64" s="2341"/>
      <c r="N64" s="1078"/>
      <c r="O64" s="1077">
        <f>N11*$G$64</f>
        <v>0</v>
      </c>
      <c r="P64" s="1076"/>
      <c r="Q64" s="2276"/>
    </row>
    <row r="65" spans="1:20" s="2255" customFormat="1" ht="18.75" customHeight="1">
      <c r="A65" s="711"/>
      <c r="B65" s="716" t="s">
        <v>844</v>
      </c>
      <c r="C65" s="711"/>
      <c r="D65" s="711"/>
      <c r="E65" s="711"/>
      <c r="F65" s="2276"/>
      <c r="G65" s="1047"/>
      <c r="H65" s="385"/>
      <c r="I65" s="51"/>
      <c r="J65" s="2280">
        <f>H66*$E66</f>
        <v>0</v>
      </c>
      <c r="K65" s="1056"/>
      <c r="L65" s="1056"/>
      <c r="M65" s="2281">
        <f>K66*$E66</f>
        <v>0</v>
      </c>
      <c r="N65" s="51"/>
      <c r="O65" s="51"/>
      <c r="P65" s="2280">
        <f>N66*$E66</f>
        <v>0</v>
      </c>
      <c r="Q65" s="2276"/>
    </row>
    <row r="66" spans="1:20" s="2255" customFormat="1" ht="15" customHeight="1">
      <c r="A66" s="711"/>
      <c r="B66" s="1075"/>
      <c r="C66" s="815"/>
      <c r="D66" s="222" t="s">
        <v>691</v>
      </c>
      <c r="E66" s="1074"/>
      <c r="F66" s="1049"/>
      <c r="G66" s="1073" t="s">
        <v>362</v>
      </c>
      <c r="H66" s="1071"/>
      <c r="I66" s="1070"/>
      <c r="J66" s="1059"/>
      <c r="K66" s="1071"/>
      <c r="L66" s="1072"/>
      <c r="M66" s="1062"/>
      <c r="N66" s="1071"/>
      <c r="O66" s="1070"/>
      <c r="P66" s="1059"/>
      <c r="Q66" s="2276"/>
    </row>
    <row r="67" spans="1:20" s="2255" customFormat="1" ht="22.95" customHeight="1">
      <c r="A67" s="711"/>
      <c r="B67" s="716" t="s">
        <v>843</v>
      </c>
      <c r="C67" s="711"/>
      <c r="D67" s="711"/>
      <c r="E67" s="175"/>
      <c r="F67" s="1069"/>
      <c r="G67" s="1047"/>
      <c r="H67" s="2354" t="s">
        <v>842</v>
      </c>
      <c r="I67" s="1065" t="s">
        <v>841</v>
      </c>
      <c r="J67" s="2355">
        <f>R68*(H9+H10)*I68%+F68</f>
        <v>0</v>
      </c>
      <c r="K67" s="2356" t="s">
        <v>842</v>
      </c>
      <c r="L67" s="1067" t="s">
        <v>841</v>
      </c>
      <c r="M67" s="2355">
        <f>S68*(K9+K10)*L68%+F68</f>
        <v>0</v>
      </c>
      <c r="N67" s="2354" t="s">
        <v>842</v>
      </c>
      <c r="O67" s="1065" t="s">
        <v>841</v>
      </c>
      <c r="P67" s="2355">
        <f>T68*(N9+N10)*O68%+F68</f>
        <v>0</v>
      </c>
      <c r="Q67" s="2276"/>
    </row>
    <row r="68" spans="1:20" s="2255" customFormat="1" ht="15" customHeight="1">
      <c r="A68" s="711"/>
      <c r="B68" s="2357"/>
      <c r="C68" s="4393" t="s">
        <v>564</v>
      </c>
      <c r="D68" s="4393"/>
      <c r="E68" s="4433"/>
      <c r="F68" s="1063"/>
      <c r="G68" s="1054" t="s">
        <v>163</v>
      </c>
      <c r="H68" s="1061"/>
      <c r="I68" s="1060"/>
      <c r="J68" s="1059"/>
      <c r="K68" s="1061"/>
      <c r="L68" s="1060"/>
      <c r="M68" s="1062"/>
      <c r="N68" s="1061"/>
      <c r="O68" s="1060"/>
      <c r="P68" s="1059"/>
      <c r="Q68" s="2276"/>
      <c r="R68" s="2358">
        <v>0</v>
      </c>
      <c r="S68" s="2359">
        <v>0</v>
      </c>
      <c r="T68" s="2358">
        <v>0</v>
      </c>
    </row>
    <row r="69" spans="1:20" s="2255" customFormat="1" ht="18.75" customHeight="1">
      <c r="A69" s="711"/>
      <c r="B69" s="716" t="s">
        <v>839</v>
      </c>
      <c r="C69" s="711"/>
      <c r="D69" s="711"/>
      <c r="E69" s="2276"/>
      <c r="F69" s="2276"/>
      <c r="G69" s="1047"/>
      <c r="H69" s="38"/>
      <c r="I69" s="51"/>
      <c r="J69" s="2280">
        <f>H70*$F70/1000</f>
        <v>0</v>
      </c>
      <c r="K69" s="1057"/>
      <c r="L69" s="1056"/>
      <c r="M69" s="2281">
        <f>K70*$F70/1000</f>
        <v>0</v>
      </c>
      <c r="N69" s="38"/>
      <c r="O69" s="51"/>
      <c r="P69" s="2280">
        <f>N70*$F70/1000</f>
        <v>0</v>
      </c>
      <c r="Q69" s="2276"/>
    </row>
    <row r="70" spans="1:20" s="2255" customFormat="1" ht="15" customHeight="1">
      <c r="A70" s="711"/>
      <c r="B70" s="772"/>
      <c r="C70" s="771" t="s">
        <v>606</v>
      </c>
      <c r="D70" s="2347"/>
      <c r="E70" s="222"/>
      <c r="F70" s="1386"/>
      <c r="G70" s="1054" t="s">
        <v>163</v>
      </c>
      <c r="H70" s="1357">
        <f>J7</f>
        <v>0</v>
      </c>
      <c r="I70" s="1049"/>
      <c r="J70" s="2360"/>
      <c r="K70" s="1053">
        <f>M7</f>
        <v>0</v>
      </c>
      <c r="L70" s="1052"/>
      <c r="M70" s="2361"/>
      <c r="N70" s="1357">
        <f>P7</f>
        <v>0</v>
      </c>
      <c r="O70" s="1049"/>
      <c r="P70" s="2360"/>
      <c r="Q70" s="2276"/>
    </row>
    <row r="71" spans="1:20" ht="18.75" customHeight="1">
      <c r="A71" s="309"/>
      <c r="B71" s="245" t="s">
        <v>838</v>
      </c>
      <c r="C71" s="309"/>
      <c r="D71" s="309"/>
      <c r="E71" s="175"/>
      <c r="G71" s="1047"/>
      <c r="H71" s="1043"/>
      <c r="I71" s="1042"/>
      <c r="J71" s="2280">
        <f>SUM(I73:I74)</f>
        <v>0</v>
      </c>
      <c r="K71" s="1046"/>
      <c r="L71" s="1045"/>
      <c r="M71" s="2281">
        <f>SUM(L73:L74)</f>
        <v>0</v>
      </c>
      <c r="N71" s="1043"/>
      <c r="O71" s="1042"/>
      <c r="P71" s="2280">
        <f>SUM(O73:O74)</f>
        <v>0</v>
      </c>
    </row>
    <row r="72" spans="1:20" ht="13.2" customHeight="1">
      <c r="A72" s="309"/>
      <c r="B72" s="1040"/>
      <c r="C72" s="1039" t="s">
        <v>837</v>
      </c>
      <c r="D72" s="1038">
        <v>0</v>
      </c>
      <c r="E72" s="2328"/>
      <c r="F72" s="3470"/>
      <c r="G72" s="1035"/>
      <c r="H72" s="2327" t="s">
        <v>239</v>
      </c>
      <c r="I72" s="2282" t="s">
        <v>836</v>
      </c>
      <c r="J72" s="2362"/>
      <c r="K72" s="2363" t="s">
        <v>239</v>
      </c>
      <c r="L72" s="2287" t="s">
        <v>836</v>
      </c>
      <c r="M72" s="2364"/>
      <c r="N72" s="2365" t="s">
        <v>239</v>
      </c>
      <c r="O72" s="2284" t="s">
        <v>836</v>
      </c>
      <c r="P72" s="2285"/>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276"/>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276"/>
    </row>
    <row r="75" spans="1:20" s="2255" customFormat="1" ht="30.45" customHeight="1">
      <c r="A75" s="711"/>
      <c r="B75" s="4391" t="s">
        <v>835</v>
      </c>
      <c r="C75" s="4392"/>
      <c r="D75" s="1012" t="s">
        <v>834</v>
      </c>
      <c r="E75" s="2366">
        <v>1.4999999999999999E-2</v>
      </c>
      <c r="F75" s="1010" t="s">
        <v>833</v>
      </c>
      <c r="G75" s="1009">
        <v>7</v>
      </c>
      <c r="H75" s="1007"/>
      <c r="I75" s="1008"/>
      <c r="J75" s="2367">
        <v>0</v>
      </c>
      <c r="K75" s="2256"/>
      <c r="L75" s="2368"/>
      <c r="M75" s="2367">
        <v>0</v>
      </c>
      <c r="N75" s="1007"/>
      <c r="O75" s="1006"/>
      <c r="P75" s="2367">
        <v>0</v>
      </c>
      <c r="Q75" s="2276"/>
    </row>
    <row r="78" spans="1:20">
      <c r="L78" s="2369"/>
    </row>
    <row r="79" spans="1:20">
      <c r="L79" s="2369"/>
    </row>
    <row r="80" spans="1:20">
      <c r="L80" s="2369"/>
    </row>
    <row r="81" spans="1:12">
      <c r="A81" s="2274"/>
      <c r="L81" s="2369"/>
    </row>
    <row r="82" spans="1:12">
      <c r="A82" s="2274"/>
      <c r="L82" s="2369"/>
    </row>
    <row r="83" spans="1:12">
      <c r="A83" s="2274"/>
      <c r="L83" s="2369"/>
    </row>
    <row r="84" spans="1:12">
      <c r="A84" s="2274"/>
      <c r="L84" s="2369"/>
    </row>
    <row r="85" spans="1:12">
      <c r="A85" s="2274"/>
      <c r="L85" s="2369"/>
    </row>
    <row r="86" spans="1:12">
      <c r="A86" s="2274"/>
      <c r="L86" s="2369"/>
    </row>
    <row r="87" spans="1:12">
      <c r="A87" s="2274"/>
      <c r="L87" s="2369"/>
    </row>
    <row r="88" spans="1:12">
      <c r="A88" s="2274"/>
      <c r="L88" s="2369"/>
    </row>
    <row r="89" spans="1:12">
      <c r="A89" s="2274"/>
      <c r="L89" s="2369"/>
    </row>
    <row r="90" spans="1:12">
      <c r="A90" s="2274"/>
      <c r="L90" s="2369"/>
    </row>
    <row r="91" spans="1:12">
      <c r="A91" s="2274"/>
      <c r="L91" s="2369"/>
    </row>
    <row r="92" spans="1:12">
      <c r="A92" s="2274"/>
      <c r="L92" s="2369"/>
    </row>
    <row r="93" spans="1:12">
      <c r="A93" s="2274"/>
      <c r="L93" s="2369"/>
    </row>
    <row r="94" spans="1:12">
      <c r="A94" s="2274"/>
      <c r="L94" s="2369"/>
    </row>
    <row r="95" spans="1:12">
      <c r="A95" s="2274"/>
      <c r="L95" s="2369"/>
    </row>
    <row r="96" spans="1:12">
      <c r="A96" s="2274"/>
      <c r="L96" s="2369"/>
    </row>
    <row r="97" spans="1:12">
      <c r="A97" s="2274"/>
      <c r="L97" s="2369"/>
    </row>
    <row r="98" spans="1:12">
      <c r="A98" s="2274"/>
      <c r="L98" s="2369"/>
    </row>
    <row r="99" spans="1:12">
      <c r="A99" s="2274"/>
      <c r="L99" s="2369"/>
    </row>
    <row r="100" spans="1:12">
      <c r="A100" s="2274"/>
      <c r="L100" s="2369"/>
    </row>
    <row r="101" spans="1:12">
      <c r="A101" s="2274"/>
      <c r="B101" s="2274"/>
      <c r="L101" s="2369"/>
    </row>
    <row r="102" spans="1:12">
      <c r="A102" s="2274"/>
      <c r="B102" s="2274"/>
      <c r="C102" s="2370"/>
      <c r="L102" s="2369"/>
    </row>
    <row r="103" spans="1:12">
      <c r="A103" s="2274"/>
      <c r="B103" s="2274"/>
      <c r="C103" s="2371" t="s">
        <v>1146</v>
      </c>
      <c r="L103" s="2369"/>
    </row>
    <row r="104" spans="1:12">
      <c r="A104" s="2274"/>
      <c r="B104" s="2274"/>
      <c r="C104" s="2371" t="s">
        <v>607</v>
      </c>
      <c r="L104" s="2369"/>
    </row>
    <row r="105" spans="1:12">
      <c r="A105" s="2274"/>
      <c r="B105" s="2274"/>
      <c r="C105" s="2371"/>
      <c r="L105" s="2369"/>
    </row>
    <row r="106" spans="1:12">
      <c r="A106" s="2274"/>
      <c r="B106" s="2274"/>
      <c r="C106" s="2371"/>
      <c r="L106" s="2369"/>
    </row>
    <row r="107" spans="1:12">
      <c r="A107" s="2274"/>
      <c r="B107" s="2274"/>
      <c r="C107" s="2372"/>
      <c r="L107" s="2369"/>
    </row>
    <row r="108" spans="1:12">
      <c r="A108" s="2274"/>
      <c r="B108" s="2274"/>
      <c r="L108" s="2369"/>
    </row>
    <row r="109" spans="1:12">
      <c r="A109" s="2274"/>
      <c r="B109" s="2274"/>
      <c r="L109" s="2369"/>
    </row>
    <row r="110" spans="1:12">
      <c r="A110" s="2274"/>
      <c r="B110" s="2274"/>
      <c r="L110" s="2369"/>
    </row>
    <row r="111" spans="1:12">
      <c r="A111" s="2274"/>
      <c r="B111" s="2274"/>
      <c r="L111" s="2369"/>
    </row>
    <row r="112" spans="1:12">
      <c r="A112" s="2274"/>
      <c r="B112" s="2274"/>
      <c r="L112" s="2369"/>
    </row>
    <row r="113" spans="1:12">
      <c r="A113" s="2274"/>
      <c r="L113" s="2369"/>
    </row>
    <row r="114" spans="1:12">
      <c r="A114" s="2274"/>
      <c r="L114" s="2369"/>
    </row>
    <row r="115" spans="1:12">
      <c r="A115" s="2274"/>
      <c r="L115" s="2369"/>
    </row>
    <row r="116" spans="1:12">
      <c r="A116" s="2274"/>
      <c r="L116" s="2369"/>
    </row>
    <row r="117" spans="1:12">
      <c r="A117" s="2274"/>
      <c r="L117" s="2369"/>
    </row>
    <row r="118" spans="1:12">
      <c r="A118" s="2274"/>
      <c r="L118" s="2369"/>
    </row>
    <row r="119" spans="1:12">
      <c r="A119" s="2274"/>
      <c r="L119" s="2369"/>
    </row>
    <row r="120" spans="1:12">
      <c r="A120" s="2274"/>
      <c r="B120" s="441">
        <v>1</v>
      </c>
      <c r="C120" s="2369" t="s">
        <v>1403</v>
      </c>
      <c r="E120" s="2276" t="s">
        <v>510</v>
      </c>
      <c r="L120" s="2369"/>
    </row>
    <row r="121" spans="1:12">
      <c r="A121" s="2274"/>
      <c r="B121" s="441">
        <v>2</v>
      </c>
      <c r="C121" s="2369" t="s">
        <v>558</v>
      </c>
      <c r="E121" s="2276" t="s">
        <v>485</v>
      </c>
      <c r="L121" s="2369"/>
    </row>
    <row r="122" spans="1:12">
      <c r="A122" s="2274"/>
      <c r="B122" s="441">
        <v>3</v>
      </c>
      <c r="C122" s="2369" t="s">
        <v>556</v>
      </c>
      <c r="E122" s="2276">
        <v>0</v>
      </c>
      <c r="L122" s="2369"/>
    </row>
    <row r="123" spans="1:12">
      <c r="A123" s="2274"/>
      <c r="B123" s="441">
        <v>4</v>
      </c>
      <c r="C123" s="2369" t="s">
        <v>554</v>
      </c>
      <c r="E123" s="2276">
        <v>0</v>
      </c>
      <c r="L123" s="2369"/>
    </row>
    <row r="124" spans="1:12">
      <c r="A124" s="2274"/>
      <c r="B124" s="441">
        <v>5</v>
      </c>
      <c r="C124" s="2369" t="s">
        <v>1404</v>
      </c>
      <c r="E124" s="2276">
        <v>0</v>
      </c>
      <c r="L124" s="2369"/>
    </row>
    <row r="125" spans="1:12">
      <c r="A125" s="2274"/>
      <c r="B125" s="441">
        <v>6</v>
      </c>
      <c r="C125" s="2369" t="s">
        <v>552</v>
      </c>
      <c r="E125" s="2276">
        <v>0</v>
      </c>
      <c r="L125" s="2369"/>
    </row>
    <row r="126" spans="1:12">
      <c r="A126" s="2274"/>
      <c r="B126" s="441">
        <v>7</v>
      </c>
      <c r="C126" s="2369" t="s">
        <v>550</v>
      </c>
      <c r="E126" s="2276">
        <v>0</v>
      </c>
      <c r="L126" s="2369"/>
    </row>
    <row r="127" spans="1:12">
      <c r="A127" s="2274"/>
      <c r="B127" s="441">
        <v>8</v>
      </c>
      <c r="C127" s="2369" t="s">
        <v>547</v>
      </c>
      <c r="E127" s="2276">
        <v>0</v>
      </c>
      <c r="L127" s="2369"/>
    </row>
    <row r="128" spans="1:12">
      <c r="A128" s="2274"/>
      <c r="B128" s="441">
        <v>9</v>
      </c>
      <c r="C128" s="2369" t="s">
        <v>546</v>
      </c>
      <c r="E128" s="2276">
        <v>0</v>
      </c>
      <c r="L128" s="2369"/>
    </row>
    <row r="129" spans="1:12">
      <c r="A129" s="2274"/>
      <c r="B129" s="441">
        <v>10</v>
      </c>
      <c r="C129" s="2369" t="s">
        <v>544</v>
      </c>
      <c r="E129" s="2276">
        <v>0</v>
      </c>
      <c r="L129" s="2369"/>
    </row>
    <row r="130" spans="1:12">
      <c r="A130" s="2274"/>
      <c r="B130" s="441">
        <v>11</v>
      </c>
      <c r="C130" s="2369" t="s">
        <v>543</v>
      </c>
      <c r="E130" s="2276">
        <v>0</v>
      </c>
      <c r="L130" s="2369"/>
    </row>
    <row r="131" spans="1:12">
      <c r="A131" s="2274"/>
      <c r="B131" s="441">
        <v>12</v>
      </c>
      <c r="C131" s="2369" t="s">
        <v>542</v>
      </c>
      <c r="E131" s="2276">
        <v>0</v>
      </c>
      <c r="L131" s="2369"/>
    </row>
    <row r="132" spans="1:12">
      <c r="A132" s="2274"/>
      <c r="B132" s="441">
        <v>13</v>
      </c>
      <c r="C132" s="2369" t="s">
        <v>541</v>
      </c>
      <c r="E132" s="2276">
        <v>0</v>
      </c>
      <c r="L132" s="2369"/>
    </row>
    <row r="133" spans="1:12">
      <c r="A133" s="2274"/>
      <c r="B133" s="441">
        <v>14</v>
      </c>
      <c r="C133" s="2369" t="s">
        <v>540</v>
      </c>
      <c r="E133" s="2276">
        <v>0</v>
      </c>
      <c r="L133" s="2369"/>
    </row>
    <row r="134" spans="1:12">
      <c r="A134" s="2274"/>
      <c r="B134" s="441">
        <v>15</v>
      </c>
      <c r="C134" s="2369" t="s">
        <v>539</v>
      </c>
      <c r="E134" s="2276">
        <v>0</v>
      </c>
      <c r="L134" s="2369"/>
    </row>
    <row r="135" spans="1:12">
      <c r="A135" s="2274"/>
      <c r="B135" s="441">
        <v>16</v>
      </c>
      <c r="C135" s="2369" t="s">
        <v>538</v>
      </c>
      <c r="E135" s="2276">
        <v>0</v>
      </c>
      <c r="L135" s="2369"/>
    </row>
    <row r="136" spans="1:12">
      <c r="A136" s="2274"/>
      <c r="B136" s="441">
        <v>17</v>
      </c>
      <c r="C136" s="2369" t="s">
        <v>537</v>
      </c>
      <c r="E136" s="2276">
        <v>0</v>
      </c>
      <c r="L136" s="2369"/>
    </row>
    <row r="137" spans="1:12">
      <c r="A137" s="2274"/>
      <c r="B137" s="441">
        <v>18</v>
      </c>
      <c r="C137" s="2369" t="s">
        <v>536</v>
      </c>
      <c r="E137" s="2276">
        <v>0</v>
      </c>
      <c r="L137" s="2369"/>
    </row>
    <row r="138" spans="1:12">
      <c r="A138" s="2274"/>
      <c r="B138" s="441">
        <v>19</v>
      </c>
      <c r="C138" s="2369" t="s">
        <v>535</v>
      </c>
      <c r="E138" s="2276">
        <v>0</v>
      </c>
      <c r="L138" s="2369"/>
    </row>
    <row r="139" spans="1:12">
      <c r="A139" s="2274"/>
      <c r="B139" s="441">
        <v>20</v>
      </c>
      <c r="C139" s="2369" t="s">
        <v>1405</v>
      </c>
      <c r="E139" s="2276">
        <v>0</v>
      </c>
      <c r="L139" s="2369"/>
    </row>
    <row r="140" spans="1:12">
      <c r="A140" s="2274"/>
      <c r="B140" s="441">
        <v>21</v>
      </c>
      <c r="C140" s="2369" t="s">
        <v>534</v>
      </c>
      <c r="E140" s="2276">
        <v>0</v>
      </c>
      <c r="L140" s="2369"/>
    </row>
    <row r="141" spans="1:12">
      <c r="A141" s="2274"/>
      <c r="B141" s="441">
        <v>22</v>
      </c>
      <c r="C141" s="2369" t="s">
        <v>533</v>
      </c>
      <c r="E141" s="2276">
        <v>0</v>
      </c>
      <c r="L141" s="2369"/>
    </row>
    <row r="142" spans="1:12">
      <c r="A142" s="2274"/>
      <c r="B142" s="441">
        <v>23</v>
      </c>
      <c r="C142" s="2369" t="s">
        <v>532</v>
      </c>
      <c r="E142" s="2276">
        <v>0</v>
      </c>
      <c r="L142" s="2369"/>
    </row>
    <row r="143" spans="1:12">
      <c r="A143" s="2274"/>
      <c r="B143" s="441">
        <v>24</v>
      </c>
      <c r="C143" s="2369" t="s">
        <v>531</v>
      </c>
      <c r="E143" s="2276">
        <v>0</v>
      </c>
      <c r="L143" s="2369"/>
    </row>
    <row r="144" spans="1:12">
      <c r="A144" s="2274"/>
      <c r="B144" s="441">
        <v>25</v>
      </c>
      <c r="C144" s="2369" t="s">
        <v>530</v>
      </c>
      <c r="E144" s="2276">
        <v>0</v>
      </c>
      <c r="L144" s="2369"/>
    </row>
    <row r="145" spans="1:17">
      <c r="A145" s="2274"/>
      <c r="B145" s="441">
        <v>26</v>
      </c>
      <c r="C145" s="2369" t="s">
        <v>1406</v>
      </c>
      <c r="E145" s="2276">
        <v>0</v>
      </c>
      <c r="L145" s="2369"/>
      <c r="M145" s="2274"/>
      <c r="N145" s="2274"/>
      <c r="O145" s="2274"/>
      <c r="P145" s="2274"/>
      <c r="Q145" s="2274"/>
    </row>
    <row r="146" spans="1:17">
      <c r="A146" s="2274"/>
      <c r="B146" s="441">
        <v>27</v>
      </c>
      <c r="C146" s="2369" t="s">
        <v>529</v>
      </c>
      <c r="E146" s="2276">
        <v>0</v>
      </c>
      <c r="L146" s="2369"/>
      <c r="M146" s="2274"/>
      <c r="N146" s="2274"/>
      <c r="O146" s="2274"/>
      <c r="P146" s="2274"/>
      <c r="Q146" s="2274"/>
    </row>
    <row r="147" spans="1:17">
      <c r="A147" s="2274"/>
      <c r="B147" s="441">
        <v>28</v>
      </c>
      <c r="C147" s="2369" t="s">
        <v>528</v>
      </c>
      <c r="E147" s="2276">
        <v>0</v>
      </c>
      <c r="L147" s="2369"/>
      <c r="M147" s="2274"/>
      <c r="N147" s="2274"/>
      <c r="O147" s="2274"/>
      <c r="P147" s="2274"/>
      <c r="Q147" s="2274"/>
    </row>
    <row r="148" spans="1:17">
      <c r="A148" s="2274"/>
      <c r="B148" s="441">
        <v>29</v>
      </c>
      <c r="C148" s="2369" t="s">
        <v>527</v>
      </c>
      <c r="E148" s="2276">
        <v>0</v>
      </c>
      <c r="L148" s="2369"/>
      <c r="M148" s="2274"/>
      <c r="N148" s="2274"/>
      <c r="O148" s="2274"/>
      <c r="P148" s="2274"/>
      <c r="Q148" s="2274"/>
    </row>
    <row r="149" spans="1:17">
      <c r="A149" s="2274"/>
      <c r="B149" s="441">
        <v>30</v>
      </c>
      <c r="C149" s="2369" t="s">
        <v>526</v>
      </c>
      <c r="E149" s="2276">
        <v>0</v>
      </c>
      <c r="M149" s="2274"/>
      <c r="N149" s="2274"/>
      <c r="O149" s="2274"/>
      <c r="P149" s="2274"/>
      <c r="Q149" s="2274"/>
    </row>
    <row r="150" spans="1:17">
      <c r="A150" s="2274"/>
      <c r="B150" s="441">
        <v>31</v>
      </c>
      <c r="C150" s="2369" t="s">
        <v>1407</v>
      </c>
      <c r="E150" s="2276">
        <v>0</v>
      </c>
      <c r="M150" s="2274"/>
      <c r="N150" s="2274"/>
      <c r="O150" s="2274"/>
      <c r="P150" s="2274"/>
      <c r="Q150" s="2274"/>
    </row>
    <row r="151" spans="1:17">
      <c r="A151" s="2274"/>
      <c r="B151" s="441">
        <v>32</v>
      </c>
      <c r="C151" s="2369" t="s">
        <v>525</v>
      </c>
      <c r="E151" s="2276">
        <v>0</v>
      </c>
      <c r="M151" s="2274"/>
      <c r="N151" s="2274"/>
      <c r="O151" s="2274"/>
      <c r="P151" s="2274"/>
      <c r="Q151" s="2274"/>
    </row>
    <row r="152" spans="1:17">
      <c r="A152" s="2274"/>
      <c r="B152" s="441">
        <v>33</v>
      </c>
      <c r="C152" s="2369" t="s">
        <v>524</v>
      </c>
      <c r="E152" s="2276">
        <v>0</v>
      </c>
      <c r="M152" s="2274"/>
      <c r="N152" s="2274"/>
      <c r="O152" s="2274"/>
      <c r="P152" s="2274"/>
      <c r="Q152" s="2274"/>
    </row>
    <row r="153" spans="1:17">
      <c r="A153" s="2274"/>
      <c r="B153" s="441">
        <v>34</v>
      </c>
      <c r="C153" s="2369" t="s">
        <v>1408</v>
      </c>
      <c r="E153" s="2276">
        <v>0</v>
      </c>
      <c r="M153" s="2274"/>
      <c r="N153" s="2274"/>
      <c r="O153" s="2274"/>
      <c r="P153" s="2274"/>
      <c r="Q153" s="2274"/>
    </row>
    <row r="154" spans="1:17">
      <c r="A154" s="2274"/>
      <c r="B154" s="441">
        <v>35</v>
      </c>
      <c r="C154" s="2369" t="s">
        <v>523</v>
      </c>
      <c r="E154" s="2276">
        <v>0</v>
      </c>
      <c r="M154" s="2274"/>
      <c r="N154" s="2274"/>
      <c r="O154" s="2274"/>
      <c r="P154" s="2274"/>
      <c r="Q154" s="2274"/>
    </row>
    <row r="155" spans="1:17">
      <c r="A155" s="2274"/>
      <c r="B155" s="441">
        <v>36</v>
      </c>
      <c r="C155" s="2369" t="s">
        <v>1409</v>
      </c>
      <c r="E155" s="2276">
        <v>0</v>
      </c>
      <c r="M155" s="2274"/>
      <c r="N155" s="2274"/>
      <c r="O155" s="2274"/>
      <c r="P155" s="2274"/>
      <c r="Q155" s="2274"/>
    </row>
    <row r="156" spans="1:17">
      <c r="A156" s="2274"/>
      <c r="B156" s="441">
        <v>37</v>
      </c>
      <c r="C156" s="2369" t="s">
        <v>522</v>
      </c>
      <c r="D156" s="2369"/>
      <c r="E156" s="2276">
        <v>0</v>
      </c>
      <c r="F156" s="2369"/>
      <c r="G156" s="2369"/>
      <c r="H156" s="2369"/>
      <c r="I156" s="2369"/>
      <c r="J156" s="2369"/>
      <c r="K156" s="2369"/>
      <c r="M156" s="2274"/>
      <c r="N156" s="2274"/>
      <c r="O156" s="2274"/>
      <c r="P156" s="2274"/>
      <c r="Q156" s="2274"/>
    </row>
    <row r="157" spans="1:17">
      <c r="A157" s="2274"/>
      <c r="B157" s="441">
        <v>38</v>
      </c>
      <c r="C157" s="2369" t="s">
        <v>1410</v>
      </c>
      <c r="D157" s="2369"/>
      <c r="E157" s="2276">
        <v>0</v>
      </c>
      <c r="F157" s="2369"/>
      <c r="G157" s="2369"/>
      <c r="H157" s="2369"/>
      <c r="I157" s="2369"/>
      <c r="J157" s="2369"/>
      <c r="K157" s="2369"/>
      <c r="M157" s="2274"/>
      <c r="N157" s="2274"/>
      <c r="O157" s="2274"/>
      <c r="P157" s="2274"/>
      <c r="Q157" s="2274"/>
    </row>
    <row r="158" spans="1:17">
      <c r="A158" s="2274"/>
      <c r="B158" s="441">
        <v>39</v>
      </c>
      <c r="C158" s="2369" t="s">
        <v>1411</v>
      </c>
      <c r="D158" s="2369"/>
      <c r="E158" s="2276">
        <v>0</v>
      </c>
      <c r="F158" s="2369"/>
      <c r="G158" s="2369"/>
      <c r="H158" s="2369"/>
      <c r="I158" s="2369"/>
      <c r="J158" s="2369"/>
      <c r="K158" s="2369"/>
      <c r="M158" s="2274"/>
      <c r="N158" s="2274"/>
      <c r="O158" s="2274"/>
      <c r="P158" s="2274"/>
      <c r="Q158" s="2274"/>
    </row>
    <row r="159" spans="1:17">
      <c r="A159" s="2274"/>
      <c r="B159" s="441">
        <v>40</v>
      </c>
      <c r="C159" s="2369" t="s">
        <v>1412</v>
      </c>
      <c r="E159" s="2276">
        <v>0</v>
      </c>
      <c r="M159" s="2274"/>
      <c r="N159" s="2274"/>
      <c r="O159" s="2274"/>
      <c r="P159" s="2274"/>
      <c r="Q159" s="2274"/>
    </row>
    <row r="160" spans="1:17">
      <c r="A160" s="2274"/>
      <c r="B160" s="441">
        <v>41</v>
      </c>
      <c r="C160" s="2369" t="s">
        <v>521</v>
      </c>
      <c r="E160" s="2276">
        <v>0</v>
      </c>
      <c r="M160" s="2274"/>
      <c r="N160" s="2274"/>
      <c r="O160" s="2274"/>
      <c r="P160" s="2274"/>
      <c r="Q160" s="2274"/>
    </row>
    <row r="161" spans="2:5" s="2274" customFormat="1">
      <c r="B161" s="441">
        <v>42</v>
      </c>
      <c r="C161" s="2369" t="s">
        <v>520</v>
      </c>
      <c r="D161" s="2276"/>
      <c r="E161" s="2276">
        <v>0</v>
      </c>
    </row>
    <row r="162" spans="2:5" s="2274" customFormat="1">
      <c r="B162" s="441">
        <v>43</v>
      </c>
      <c r="C162" s="2369" t="s">
        <v>519</v>
      </c>
      <c r="D162" s="2276"/>
      <c r="E162" s="2276">
        <v>0</v>
      </c>
    </row>
    <row r="163" spans="2:5" s="2274" customFormat="1">
      <c r="B163" s="441">
        <v>44</v>
      </c>
      <c r="C163" s="2369" t="s">
        <v>1413</v>
      </c>
      <c r="D163" s="2276"/>
      <c r="E163" s="2276">
        <v>0</v>
      </c>
    </row>
    <row r="164" spans="2:5" s="2274" customFormat="1">
      <c r="B164" s="441">
        <v>45</v>
      </c>
      <c r="C164" s="2369" t="s">
        <v>518</v>
      </c>
      <c r="D164" s="2276"/>
      <c r="E164" s="2276">
        <v>0</v>
      </c>
    </row>
    <row r="165" spans="2:5" s="2274" customFormat="1">
      <c r="B165" s="441">
        <v>46</v>
      </c>
      <c r="C165" s="2369" t="s">
        <v>517</v>
      </c>
      <c r="D165" s="2276"/>
      <c r="E165" s="2276">
        <v>0</v>
      </c>
    </row>
    <row r="166" spans="2:5" s="2274" customFormat="1">
      <c r="B166" s="441">
        <v>47</v>
      </c>
      <c r="C166" s="2369" t="s">
        <v>516</v>
      </c>
      <c r="D166" s="2276"/>
      <c r="E166" s="2276">
        <v>0</v>
      </c>
    </row>
    <row r="167" spans="2:5" s="2274" customFormat="1">
      <c r="B167" s="441">
        <v>48</v>
      </c>
      <c r="C167" s="2369" t="s">
        <v>515</v>
      </c>
      <c r="D167" s="2276"/>
      <c r="E167" s="2276">
        <v>0</v>
      </c>
    </row>
    <row r="168" spans="2:5" s="2274" customFormat="1">
      <c r="B168" s="441">
        <v>49</v>
      </c>
      <c r="C168" s="2369" t="s">
        <v>514</v>
      </c>
      <c r="D168" s="2276"/>
      <c r="E168" s="2276">
        <v>0</v>
      </c>
    </row>
    <row r="169" spans="2:5" s="2274" customFormat="1">
      <c r="B169" s="441">
        <v>50</v>
      </c>
      <c r="C169" s="2369" t="s">
        <v>513</v>
      </c>
      <c r="D169" s="2276"/>
      <c r="E169" s="2276">
        <v>0</v>
      </c>
    </row>
    <row r="170" spans="2:5" s="2274" customFormat="1">
      <c r="B170" s="441">
        <v>51</v>
      </c>
      <c r="C170" s="2369" t="s">
        <v>512</v>
      </c>
      <c r="D170" s="2276"/>
      <c r="E170" s="2276">
        <v>0</v>
      </c>
    </row>
    <row r="171" spans="2:5" s="2274" customFormat="1">
      <c r="B171" s="441">
        <v>52</v>
      </c>
      <c r="C171" s="2369" t="s">
        <v>511</v>
      </c>
      <c r="D171" s="2276"/>
      <c r="E171" s="2276">
        <v>0</v>
      </c>
    </row>
    <row r="172" spans="2:5" s="2274" customFormat="1">
      <c r="B172" s="441">
        <v>53</v>
      </c>
      <c r="C172" s="2369" t="s">
        <v>1414</v>
      </c>
      <c r="D172" s="2276"/>
      <c r="E172" s="2276">
        <v>0</v>
      </c>
    </row>
    <row r="173" spans="2:5" s="2274" customFormat="1">
      <c r="B173" s="441">
        <v>54</v>
      </c>
      <c r="C173" s="2369" t="s">
        <v>510</v>
      </c>
      <c r="D173" s="2276"/>
      <c r="E173" s="2276">
        <v>0</v>
      </c>
    </row>
    <row r="174" spans="2:5" s="2274" customFormat="1">
      <c r="B174" s="441">
        <v>55</v>
      </c>
      <c r="C174" s="2369" t="s">
        <v>1415</v>
      </c>
      <c r="D174" s="2276"/>
      <c r="E174" s="2276">
        <v>0</v>
      </c>
    </row>
    <row r="175" spans="2:5" s="2274" customFormat="1">
      <c r="B175" s="441">
        <v>56</v>
      </c>
      <c r="C175" s="2369" t="s">
        <v>509</v>
      </c>
      <c r="D175" s="2276"/>
      <c r="E175" s="2276">
        <v>0</v>
      </c>
    </row>
    <row r="176" spans="2:5" s="2274" customFormat="1">
      <c r="B176" s="441">
        <v>57</v>
      </c>
      <c r="C176" s="2369" t="s">
        <v>508</v>
      </c>
      <c r="D176" s="2276"/>
      <c r="E176" s="2276">
        <v>0</v>
      </c>
    </row>
    <row r="177" spans="2:5" s="2274" customFormat="1">
      <c r="B177" s="441">
        <v>58</v>
      </c>
      <c r="C177" s="2369" t="s">
        <v>507</v>
      </c>
      <c r="D177" s="2276"/>
      <c r="E177" s="2276">
        <v>0</v>
      </c>
    </row>
    <row r="178" spans="2:5" s="2274" customFormat="1">
      <c r="B178" s="441">
        <v>59</v>
      </c>
      <c r="C178" s="2369" t="s">
        <v>506</v>
      </c>
      <c r="D178" s="2276"/>
      <c r="E178" s="2276">
        <v>0</v>
      </c>
    </row>
    <row r="179" spans="2:5" s="2274" customFormat="1">
      <c r="B179" s="441">
        <v>60</v>
      </c>
      <c r="C179" s="2369" t="s">
        <v>504</v>
      </c>
      <c r="D179" s="2276"/>
      <c r="E179" s="2276">
        <v>0</v>
      </c>
    </row>
    <row r="180" spans="2:5" s="2274" customFormat="1">
      <c r="B180" s="441">
        <v>61</v>
      </c>
      <c r="C180" s="2369" t="s">
        <v>503</v>
      </c>
      <c r="D180" s="2276"/>
      <c r="E180" s="2276">
        <v>0</v>
      </c>
    </row>
    <row r="181" spans="2:5" s="2274" customFormat="1">
      <c r="B181" s="441">
        <v>62</v>
      </c>
      <c r="C181" s="2369" t="s">
        <v>1416</v>
      </c>
      <c r="D181" s="2276"/>
      <c r="E181" s="2276">
        <v>0</v>
      </c>
    </row>
    <row r="182" spans="2:5" s="2274" customFormat="1">
      <c r="B182" s="441">
        <v>63</v>
      </c>
      <c r="C182" s="2369" t="s">
        <v>502</v>
      </c>
      <c r="D182" s="2276"/>
      <c r="E182" s="2276">
        <v>0</v>
      </c>
    </row>
    <row r="183" spans="2:5" s="2274" customFormat="1">
      <c r="B183" s="441">
        <v>64</v>
      </c>
      <c r="C183" s="2369" t="s">
        <v>501</v>
      </c>
      <c r="D183" s="2276"/>
      <c r="E183" s="2276">
        <v>0</v>
      </c>
    </row>
    <row r="184" spans="2:5" s="2274" customFormat="1">
      <c r="B184" s="441">
        <v>65</v>
      </c>
      <c r="C184" s="2369" t="s">
        <v>1417</v>
      </c>
      <c r="D184" s="2276"/>
      <c r="E184" s="2276">
        <v>0</v>
      </c>
    </row>
    <row r="185" spans="2:5" s="2274" customFormat="1">
      <c r="B185" s="441">
        <v>66</v>
      </c>
      <c r="C185" s="2369" t="s">
        <v>500</v>
      </c>
      <c r="D185" s="2276"/>
      <c r="E185" s="2276">
        <v>0</v>
      </c>
    </row>
    <row r="186" spans="2:5" s="2274" customFormat="1">
      <c r="B186" s="441">
        <v>67</v>
      </c>
      <c r="C186" s="2369" t="s">
        <v>499</v>
      </c>
      <c r="D186" s="2276"/>
      <c r="E186" s="2276">
        <v>0</v>
      </c>
    </row>
    <row r="187" spans="2:5" s="2274" customFormat="1">
      <c r="B187" s="441">
        <v>68</v>
      </c>
      <c r="C187" s="2369" t="s">
        <v>498</v>
      </c>
      <c r="D187" s="2276"/>
      <c r="E187" s="2276">
        <v>0</v>
      </c>
    </row>
    <row r="188" spans="2:5" s="2274" customFormat="1">
      <c r="B188" s="441">
        <v>69</v>
      </c>
      <c r="C188" s="2369" t="s">
        <v>497</v>
      </c>
      <c r="D188" s="2276"/>
      <c r="E188" s="2276">
        <v>0</v>
      </c>
    </row>
    <row r="189" spans="2:5" s="2274" customFormat="1">
      <c r="B189" s="441">
        <v>70</v>
      </c>
      <c r="C189" s="2369" t="s">
        <v>496</v>
      </c>
      <c r="D189" s="2276"/>
      <c r="E189" s="2276">
        <v>0</v>
      </c>
    </row>
    <row r="190" spans="2:5" s="2274" customFormat="1">
      <c r="B190" s="441">
        <v>71</v>
      </c>
      <c r="C190" s="2369" t="s">
        <v>1418</v>
      </c>
      <c r="D190" s="2276"/>
      <c r="E190" s="2276">
        <v>0</v>
      </c>
    </row>
    <row r="191" spans="2:5" s="2274" customFormat="1">
      <c r="B191" s="441">
        <v>72</v>
      </c>
      <c r="C191" s="2369" t="s">
        <v>495</v>
      </c>
      <c r="D191" s="2276"/>
      <c r="E191" s="2276">
        <v>0</v>
      </c>
    </row>
    <row r="192" spans="2:5" s="2274" customFormat="1">
      <c r="B192" s="441">
        <v>73</v>
      </c>
      <c r="C192" s="2369" t="s">
        <v>494</v>
      </c>
      <c r="D192" s="2276"/>
      <c r="E192" s="2276">
        <v>0</v>
      </c>
    </row>
    <row r="193" spans="2:5" s="2274" customFormat="1">
      <c r="B193" s="441">
        <v>74</v>
      </c>
      <c r="C193" s="2369" t="s">
        <v>493</v>
      </c>
      <c r="D193" s="2276"/>
      <c r="E193" s="2276">
        <v>0</v>
      </c>
    </row>
    <row r="194" spans="2:5" s="2274" customFormat="1">
      <c r="B194" s="441">
        <v>75</v>
      </c>
      <c r="C194" s="2369" t="s">
        <v>492</v>
      </c>
      <c r="D194" s="2276"/>
      <c r="E194" s="2276">
        <v>0</v>
      </c>
    </row>
    <row r="195" spans="2:5" s="2274" customFormat="1">
      <c r="B195" s="441">
        <v>76</v>
      </c>
      <c r="C195" s="2369" t="s">
        <v>491</v>
      </c>
      <c r="D195" s="2276"/>
      <c r="E195" s="2276">
        <v>0</v>
      </c>
    </row>
    <row r="196" spans="2:5" s="2274" customFormat="1">
      <c r="B196" s="441">
        <v>77</v>
      </c>
      <c r="C196" s="2369" t="s">
        <v>490</v>
      </c>
      <c r="D196" s="2276"/>
      <c r="E196" s="2276">
        <v>0</v>
      </c>
    </row>
    <row r="197" spans="2:5" s="2274" customFormat="1">
      <c r="B197" s="441">
        <v>78</v>
      </c>
      <c r="C197" s="2369" t="s">
        <v>489</v>
      </c>
      <c r="D197" s="2276"/>
      <c r="E197" s="2276">
        <v>0</v>
      </c>
    </row>
    <row r="198" spans="2:5" s="2274" customFormat="1">
      <c r="B198" s="441">
        <v>79</v>
      </c>
      <c r="C198" s="2369" t="s">
        <v>488</v>
      </c>
      <c r="D198" s="2276"/>
      <c r="E198" s="2276">
        <v>0</v>
      </c>
    </row>
    <row r="199" spans="2:5" s="2274" customFormat="1">
      <c r="B199" s="441">
        <v>80</v>
      </c>
      <c r="C199" s="2369" t="s">
        <v>1419</v>
      </c>
      <c r="D199" s="2276"/>
      <c r="E199" s="2276">
        <v>0</v>
      </c>
    </row>
    <row r="200" spans="2:5" s="2274" customFormat="1">
      <c r="B200" s="441">
        <v>81</v>
      </c>
      <c r="C200" s="2369" t="s">
        <v>1420</v>
      </c>
      <c r="D200" s="2276"/>
      <c r="E200" s="2276">
        <v>0</v>
      </c>
    </row>
    <row r="201" spans="2:5" s="2274" customFormat="1">
      <c r="B201" s="441">
        <v>82</v>
      </c>
      <c r="C201" s="2369" t="s">
        <v>487</v>
      </c>
      <c r="D201" s="2276"/>
      <c r="E201" s="2276">
        <v>0</v>
      </c>
    </row>
    <row r="202" spans="2:5" s="2274" customFormat="1">
      <c r="B202" s="441">
        <v>83</v>
      </c>
      <c r="C202" s="2369" t="s">
        <v>486</v>
      </c>
      <c r="D202" s="2276"/>
      <c r="E202" s="2276">
        <v>0</v>
      </c>
    </row>
    <row r="203" spans="2:5" s="2274" customFormat="1">
      <c r="B203" s="441">
        <v>84</v>
      </c>
      <c r="C203" s="2369" t="s">
        <v>485</v>
      </c>
      <c r="D203" s="2276"/>
      <c r="E203" s="2276">
        <v>0</v>
      </c>
    </row>
    <row r="204" spans="2:5" s="2274" customFormat="1">
      <c r="B204" s="441">
        <v>85</v>
      </c>
      <c r="C204" s="2369" t="s">
        <v>484</v>
      </c>
      <c r="D204" s="2276"/>
      <c r="E204" s="2276">
        <v>0</v>
      </c>
    </row>
    <row r="205" spans="2:5" s="2274" customFormat="1">
      <c r="B205" s="441">
        <v>86</v>
      </c>
      <c r="C205" s="2369" t="s">
        <v>483</v>
      </c>
      <c r="D205" s="2276"/>
      <c r="E205" s="2276">
        <v>0</v>
      </c>
    </row>
    <row r="206" spans="2:5" s="2274" customFormat="1">
      <c r="B206" s="441">
        <v>87</v>
      </c>
      <c r="C206" s="2369" t="s">
        <v>481</v>
      </c>
      <c r="D206" s="2276"/>
      <c r="E206" s="2276">
        <v>0</v>
      </c>
    </row>
    <row r="207" spans="2:5" s="2274" customFormat="1">
      <c r="B207" s="441">
        <v>88</v>
      </c>
      <c r="C207" s="2369" t="s">
        <v>479</v>
      </c>
      <c r="D207" s="2276"/>
      <c r="E207" s="2276">
        <v>0</v>
      </c>
    </row>
    <row r="208" spans="2:5" s="2274" customFormat="1">
      <c r="B208" s="441">
        <v>89</v>
      </c>
      <c r="C208" s="2369" t="s">
        <v>478</v>
      </c>
      <c r="D208" s="2276"/>
      <c r="E208" s="2276">
        <v>0</v>
      </c>
    </row>
    <row r="209" spans="2:5" s="2274" customFormat="1">
      <c r="B209" s="441">
        <v>90</v>
      </c>
      <c r="C209" s="2369">
        <v>0</v>
      </c>
      <c r="D209" s="2276"/>
      <c r="E209" s="2276">
        <v>0</v>
      </c>
    </row>
    <row r="210" spans="2:5" s="2274" customFormat="1">
      <c r="B210" s="441">
        <v>91</v>
      </c>
      <c r="C210" s="2369">
        <v>0</v>
      </c>
      <c r="D210" s="2276"/>
      <c r="E210" s="2276">
        <v>0</v>
      </c>
    </row>
    <row r="211" spans="2:5" s="2274" customFormat="1">
      <c r="B211" s="441">
        <v>92</v>
      </c>
      <c r="C211" s="2369">
        <v>0</v>
      </c>
      <c r="D211" s="2276"/>
      <c r="E211" s="2276">
        <v>0</v>
      </c>
    </row>
    <row r="212" spans="2:5" s="2274" customFormat="1">
      <c r="B212" s="441">
        <v>93</v>
      </c>
      <c r="C212" s="2369">
        <v>0</v>
      </c>
      <c r="D212" s="2276"/>
      <c r="E212" s="2276">
        <v>0</v>
      </c>
    </row>
    <row r="213" spans="2:5" s="2274" customFormat="1">
      <c r="B213" s="441">
        <v>94</v>
      </c>
      <c r="C213" s="2369">
        <v>0</v>
      </c>
      <c r="D213" s="2276"/>
      <c r="E213" s="2276">
        <v>0</v>
      </c>
    </row>
    <row r="214" spans="2:5" s="2274" customFormat="1">
      <c r="B214" s="441">
        <v>95</v>
      </c>
      <c r="C214" s="2369">
        <v>0</v>
      </c>
      <c r="D214" s="2276"/>
      <c r="E214" s="2276">
        <v>0</v>
      </c>
    </row>
    <row r="215" spans="2:5" s="2274" customFormat="1">
      <c r="B215" s="441">
        <v>96</v>
      </c>
      <c r="C215" s="2369">
        <v>0</v>
      </c>
      <c r="D215" s="2276"/>
      <c r="E215" s="2276">
        <v>0</v>
      </c>
    </row>
    <row r="216" spans="2:5" s="2274" customFormat="1">
      <c r="B216" s="441">
        <v>97</v>
      </c>
      <c r="C216" s="2369">
        <v>0</v>
      </c>
      <c r="D216" s="2276"/>
      <c r="E216" s="2276">
        <v>0</v>
      </c>
    </row>
    <row r="217" spans="2:5" s="2274" customFormat="1">
      <c r="B217" s="441">
        <v>98</v>
      </c>
      <c r="C217" s="2369">
        <v>0</v>
      </c>
      <c r="D217" s="2276"/>
      <c r="E217" s="2276">
        <v>0</v>
      </c>
    </row>
    <row r="218" spans="2:5" s="2274" customFormat="1">
      <c r="B218" s="441">
        <v>99</v>
      </c>
      <c r="C218" s="2369">
        <v>0</v>
      </c>
      <c r="D218" s="2276"/>
      <c r="E218" s="2276">
        <v>0</v>
      </c>
    </row>
  </sheetData>
  <sheetProtection sheet="1" objects="1" scenarios="1"/>
  <customSheetViews>
    <customSheetView guid="{8063F48F-80B5-4ECD-B18A-51CBF126E780}" fitToPage="1" hiddenColumns="1" topLeftCell="A23">
      <selection activeCell="AE33" sqref="AE33:AE34"/>
      <pageMargins left="0.59055118110236227" right="0.59055118110236227" top="0.59055118110236227" bottom="0.59055118110236227" header="0.39370078740157483" footer="0.39370078740157483"/>
      <printOptions horizontalCentered="1"/>
      <pageSetup paperSize="9" scale="65" firstPageNumber="82" orientation="portrait" r:id="rId1"/>
      <headerFooter alignWithMargins="0">
        <oddFooter>&amp;L&amp;11LEL Schwäbisch Gmünd&amp;C87&amp;R&amp;11&amp;F</oddFooter>
      </headerFooter>
    </customSheetView>
    <customSheetView guid="{5D5C9B61-9ABD-4513-AAEB-8333A9D6196C}" fitToPage="1" hiddenColumns="1" topLeftCell="A23">
      <selection activeCell="AE33" sqref="AE33:AE34"/>
      <pageMargins left="0.59055118110236227" right="0.59055118110236227" top="0.59055118110236227" bottom="0.59055118110236227" header="0.39370078740157483" footer="0.39370078740157483"/>
      <printOptions horizontalCentered="1"/>
      <pageSetup paperSize="9" scale="65" firstPageNumber="82" orientation="portrait" r:id="rId2"/>
      <headerFooter alignWithMargins="0">
        <oddFooter>&amp;L&amp;11LEL Schwäbisch Gmünd&amp;C87&amp;R&amp;11&amp;F</oddFooter>
      </headerFooter>
    </customSheetView>
    <customSheetView guid="{22A73C4F-9004-4CEF-8499-B1F91BE1B569}" fitToPage="1" hiddenColumns="1" topLeftCell="A23">
      <selection activeCell="AE33" sqref="AE33:AE34"/>
      <pageMargins left="0.59055118110236227" right="0.59055118110236227" top="0.59055118110236227" bottom="0.59055118110236227" header="0.39370078740157483" footer="0.39370078740157483"/>
      <printOptions horizontalCentered="1"/>
      <pageSetup paperSize="9" scale="65" firstPageNumber="82" orientation="portrait" r:id="rId3"/>
      <headerFooter alignWithMargins="0">
        <oddFooter>&amp;L&amp;11LEL Schwäbisch Gmünd&amp;C87&amp;R&amp;11&amp;F</oddFooter>
      </headerFooter>
    </customSheetView>
  </customSheetViews>
  <mergeCells count="50">
    <mergeCell ref="E4:I4"/>
    <mergeCell ref="J4:L4"/>
    <mergeCell ref="K1:L1"/>
    <mergeCell ref="N1:O1"/>
    <mergeCell ref="K2:P2"/>
    <mergeCell ref="J3:L3"/>
    <mergeCell ref="N3:O4"/>
    <mergeCell ref="B3:H3"/>
    <mergeCell ref="F23:G23"/>
    <mergeCell ref="H6:I6"/>
    <mergeCell ref="K6:L6"/>
    <mergeCell ref="N6:O6"/>
    <mergeCell ref="E10:F10"/>
    <mergeCell ref="C14:F14"/>
    <mergeCell ref="C15:F15"/>
    <mergeCell ref="C16:F16"/>
    <mergeCell ref="C17:F17"/>
    <mergeCell ref="C19:F19"/>
    <mergeCell ref="E22:G22"/>
    <mergeCell ref="C20:F20"/>
    <mergeCell ref="C21:F21"/>
    <mergeCell ref="C47:D47"/>
    <mergeCell ref="D25:E25"/>
    <mergeCell ref="D26:E26"/>
    <mergeCell ref="F34:G34"/>
    <mergeCell ref="C36:E36"/>
    <mergeCell ref="C37:E37"/>
    <mergeCell ref="C38:E38"/>
    <mergeCell ref="C39:E39"/>
    <mergeCell ref="C40:E40"/>
    <mergeCell ref="C41:E41"/>
    <mergeCell ref="C42:E42"/>
    <mergeCell ref="C46:D46"/>
    <mergeCell ref="C63:E63"/>
    <mergeCell ref="C48:D48"/>
    <mergeCell ref="C49:D49"/>
    <mergeCell ref="C50:D50"/>
    <mergeCell ref="C51:D51"/>
    <mergeCell ref="C52:D52"/>
    <mergeCell ref="C53:D53"/>
    <mergeCell ref="C54:D54"/>
    <mergeCell ref="C55:D55"/>
    <mergeCell ref="C56:D56"/>
    <mergeCell ref="C57:D57"/>
    <mergeCell ref="C62:E62"/>
    <mergeCell ref="C64:E64"/>
    <mergeCell ref="C68:E68"/>
    <mergeCell ref="C73:E73"/>
    <mergeCell ref="C74:E74"/>
    <mergeCell ref="B75:C75"/>
  </mergeCells>
  <dataValidations count="3">
    <dataValidation type="list" showInputMessage="1" showErrorMessage="1" sqref="K14:K17 H14:H17 N14:N17" xr:uid="{00000000-0002-0000-3900-000000000000}">
      <formula1>"ja,nein"</formula1>
    </dataValidation>
    <dataValidation type="whole" allowBlank="1" showInputMessage="1" showErrorMessage="1" errorTitle="Anteil Erntegut" error="Prozentwert darf nur zwischen 0 und 100 liegen." sqref="O68 L68 I68" xr:uid="{00000000-0002-0000-3900-000001000000}">
      <formula1>0</formula1>
      <formula2>100</formula2>
    </dataValidation>
    <dataValidation type="decimal" allowBlank="1" showInputMessage="1" showErrorMessage="1" errorTitle="Wassergehalt Getreide" error="Zulässig sind nur Werte zwischen 14,1 und 22,0 % Wassergehalt." sqref="H68 K68 N68" xr:uid="{00000000-0002-0000-3900-000002000000}">
      <formula1>14.1</formula1>
      <formula2>22</formula2>
    </dataValidation>
  </dataValidations>
  <printOptions horizontalCentered="1"/>
  <pageMargins left="0.59055118110236227" right="0.59055118110236227" top="0.59055118110236227" bottom="0.59055118110236227" header="0.39370078740157483" footer="0.39370078740157483"/>
  <pageSetup paperSize="9" scale="65" firstPageNumber="82" orientation="portrait" r:id="rId4"/>
  <headerFooter alignWithMargins="0">
    <oddFooter>&amp;L&amp;11LEL Schwäbisch Gmünd&amp;C87&amp;R&amp;11&amp;F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91489" r:id="rId7" name="Check Box 1">
              <controlPr defaultSize="0" print="0" autoFill="0" autoLine="0" autoPict="0">
                <anchor moveWithCells="1">
                  <from>
                    <xdr:col>12</xdr:col>
                    <xdr:colOff>182880</xdr:colOff>
                    <xdr:row>2</xdr:row>
                    <xdr:rowOff>251460</xdr:rowOff>
                  </from>
                  <to>
                    <xdr:col>13</xdr:col>
                    <xdr:colOff>22860</xdr:colOff>
                    <xdr:row>3</xdr:row>
                    <xdr:rowOff>182880</xdr:rowOff>
                  </to>
                </anchor>
              </controlPr>
            </control>
          </mc:Choice>
        </mc:AlternateContent>
        <mc:AlternateContent xmlns:mc="http://schemas.openxmlformats.org/markup-compatibility/2006">
          <mc:Choice Requires="x14">
            <control shapeId="191490" r:id="rId8" name="Check Box 2">
              <controlPr defaultSize="0" print="0" autoFill="0" autoLine="0" autoPict="0">
                <anchor moveWithCells="1">
                  <from>
                    <xdr:col>12</xdr:col>
                    <xdr:colOff>175260</xdr:colOff>
                    <xdr:row>1</xdr:row>
                    <xdr:rowOff>259080</xdr:rowOff>
                  </from>
                  <to>
                    <xdr:col>13</xdr:col>
                    <xdr:colOff>7620</xdr:colOff>
                    <xdr:row>2</xdr:row>
                    <xdr:rowOff>297180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Lohnmaschinen" error="Bitte aus Dropdownliste auswählen." xr:uid="{00000000-0002-0000-3900-000003000000}">
          <x14:formula1>
            <xm:f>'SD3'!$C$90:$C$104</xm:f>
          </x14:formula1>
          <xm:sqref>C62:E64</xm:sqref>
        </x14:dataValidation>
        <x14:dataValidation type="list" allowBlank="1" showInputMessage="1" showErrorMessage="1" errorTitle="Arbeitsgänge" error="Bitte aus Dropdownliste auswählen." xr:uid="{00000000-0002-0000-3900-000004000000}">
          <x14:formula1>
            <xm:f>'SD3'!$C$24:$C$71</xm:f>
          </x14:formula1>
          <xm:sqref>C46:D57</xm:sqref>
        </x14:dataValidation>
        <x14:dataValidation type="list" allowBlank="1" showInputMessage="1" showErrorMessage="1" errorTitle="Pflanzenschutzmittel" error="Bitte aus Dropdownliste auswählen." xr:uid="{00000000-0002-0000-3900-000005000000}">
          <x14:formula1>
            <xm:f>'SDK5'!$AD$214:$AD$289</xm:f>
          </x14:formula1>
          <xm:sqref>C36:E42</xm:sqref>
        </x14:dataValidation>
        <x14:dataValidation type="list" allowBlank="1" showInputMessage="1" showErrorMessage="1" errorTitle="Verfahrensabh. Ausgleichsleist." error="Bitte aus Dropdownliste auswählen." xr:uid="{00000000-0002-0000-3900-000006000000}">
          <x14:formula1>
            <xm:f>'SD2'!$C$11:$C$50</xm:f>
          </x14:formula1>
          <xm:sqref>C14:F17</xm:sqref>
        </x14:dataValidation>
        <x14:dataValidation type="list" allowBlank="1" showInputMessage="1" showErrorMessage="1" errorTitle="Organisationsabh. Ausgleichsl." error="Bitte aus Dropdownliste auswählen." xr:uid="{00000000-0002-0000-3900-000007000000}">
          <x14:formula1>
            <xm:f>'SD2'!$C$60:$C$77</xm:f>
          </x14:formula1>
          <xm:sqref>C19:F21</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75">
    <tabColor rgb="FF00B050"/>
    <pageSetUpPr fitToPage="1"/>
  </sheetPr>
  <dimension ref="A1:AO208"/>
  <sheetViews>
    <sheetView zoomScale="96" zoomScaleNormal="96"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9" width="7.19921875" style="28" customWidth="1"/>
    <col min="10" max="10" width="7.8984375" style="28" customWidth="1"/>
    <col min="11" max="16" width="7.19921875" style="28" customWidth="1"/>
    <col min="17" max="17" width="7.3984375" style="28" hidden="1" customWidth="1"/>
    <col min="18" max="19" width="7.3984375" style="27" hidden="1" customWidth="1"/>
    <col min="20" max="20" width="9.69921875" style="27" hidden="1" customWidth="1"/>
    <col min="21" max="34" width="7.3984375" style="27" hidden="1" customWidth="1"/>
    <col min="35" max="16384" width="10.5" style="27"/>
  </cols>
  <sheetData>
    <row r="1" spans="1:41" s="219" customFormat="1" ht="30.15" customHeight="1">
      <c r="A1" s="1681"/>
      <c r="B1" s="258"/>
      <c r="C1" s="1333"/>
      <c r="D1" s="100"/>
      <c r="E1" s="255"/>
      <c r="F1" s="255"/>
      <c r="G1" s="3180"/>
      <c r="H1" s="3180"/>
      <c r="I1" s="3213" t="s">
        <v>1679</v>
      </c>
      <c r="J1" s="3210">
        <f>(J7+J13+J18+J22+I11+I12)-(J23+J27+J34+J43+J60+J65+J67+J69+J71+J75)</f>
        <v>528.72995285895001</v>
      </c>
      <c r="K1" s="4360">
        <f>M1-J1</f>
        <v>248.64</v>
      </c>
      <c r="L1" s="4360"/>
      <c r="M1" s="3210">
        <f>(M7+M13+M18+M22+L11+L12)-(M23+M27+M34+M43+M60+M65+M67+M69+M71+M75)</f>
        <v>777.36995285895</v>
      </c>
      <c r="N1" s="4360">
        <f>P1-M1</f>
        <v>165.76</v>
      </c>
      <c r="O1" s="4360"/>
      <c r="P1" s="3210">
        <f>(P7+P13+P18+P22+O11+O12)-(P23+P27+P34+P43+P60+P65+P67+P69+P71+P75)</f>
        <v>943.12995285894999</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J2" s="3610"/>
      <c r="K2" s="4372" t="s">
        <v>1751</v>
      </c>
      <c r="L2" s="4372"/>
      <c r="M2" s="4372"/>
      <c r="N2" s="4372"/>
      <c r="O2" s="4372"/>
      <c r="P2" s="4372"/>
      <c r="Q2" s="1681"/>
    </row>
    <row r="3" spans="1:41" s="219" customFormat="1" ht="33" customHeight="1">
      <c r="A3" s="1681"/>
      <c r="B3" s="4405" t="s">
        <v>1727</v>
      </c>
      <c r="C3" s="4405"/>
      <c r="D3" s="4405"/>
      <c r="E3" s="4405"/>
      <c r="F3" s="4405"/>
      <c r="G3" s="4405"/>
      <c r="H3" s="4405"/>
      <c r="J3" s="29"/>
      <c r="K3" s="29"/>
      <c r="L3" s="29"/>
      <c r="M3" s="29"/>
      <c r="O3" s="29"/>
      <c r="P3" s="1326"/>
      <c r="Q3" s="4443"/>
      <c r="R3" s="4443"/>
      <c r="S3" s="4443"/>
      <c r="T3" s="1343" t="b">
        <v>0</v>
      </c>
    </row>
    <row r="4" spans="1:41" s="219" customFormat="1" ht="20.25" customHeight="1">
      <c r="A4" s="1681"/>
      <c r="B4" s="309" t="s">
        <v>779</v>
      </c>
      <c r="C4" s="27"/>
      <c r="D4" s="27"/>
      <c r="E4" s="4406" t="s">
        <v>1466</v>
      </c>
      <c r="F4" s="4406"/>
      <c r="G4" s="4406"/>
      <c r="H4" s="4406"/>
      <c r="I4" s="4406"/>
      <c r="J4" s="29"/>
      <c r="K4" s="29"/>
      <c r="L4" s="29"/>
      <c r="M4" s="29"/>
      <c r="O4" s="29"/>
      <c r="P4" s="1322">
        <f>SDÖ1!O3</f>
        <v>2024</v>
      </c>
      <c r="Q4" s="4443"/>
      <c r="R4" s="4443"/>
      <c r="S4" s="4443"/>
      <c r="T4" s="1343" t="b">
        <v>0</v>
      </c>
    </row>
    <row r="5" spans="1:41" ht="6" customHeight="1">
      <c r="Q5" s="4443"/>
      <c r="R5" s="4443"/>
      <c r="S5" s="4443"/>
    </row>
    <row r="6" spans="1:41" s="1311" customFormat="1" ht="24" customHeight="1">
      <c r="A6" s="41"/>
      <c r="B6" s="1316" t="s">
        <v>832</v>
      </c>
      <c r="C6" s="1315"/>
      <c r="D6" s="1315"/>
      <c r="E6" s="2248" t="s">
        <v>1134</v>
      </c>
      <c r="F6" s="1315"/>
      <c r="G6" s="1314"/>
      <c r="H6" s="4366" t="s">
        <v>171</v>
      </c>
      <c r="I6" s="4367"/>
      <c r="J6" s="1313">
        <v>300</v>
      </c>
      <c r="K6" s="4379" t="s">
        <v>144</v>
      </c>
      <c r="L6" s="4380"/>
      <c r="M6" s="1313">
        <v>420</v>
      </c>
      <c r="N6" s="4366" t="s">
        <v>170</v>
      </c>
      <c r="O6" s="4367"/>
      <c r="P6" s="1312">
        <v>500</v>
      </c>
      <c r="Q6" s="4443"/>
      <c r="R6" s="4443"/>
      <c r="S6" s="4443"/>
    </row>
    <row r="7" spans="1:41" s="196" customFormat="1" ht="18.75" customHeight="1">
      <c r="A7" s="40"/>
      <c r="B7" s="245" t="s">
        <v>1133</v>
      </c>
      <c r="C7" s="40"/>
      <c r="D7" s="40"/>
      <c r="E7" s="40"/>
      <c r="F7" s="40"/>
      <c r="G7" s="1310" t="s">
        <v>163</v>
      </c>
      <c r="H7" s="1307"/>
      <c r="I7" s="1306"/>
      <c r="J7" s="1041">
        <f>SUM(I9:I10)</f>
        <v>0</v>
      </c>
      <c r="K7" s="1309"/>
      <c r="L7" s="1308"/>
      <c r="M7" s="1044">
        <f>SUM(L9:L10)</f>
        <v>0</v>
      </c>
      <c r="N7" s="1307"/>
      <c r="O7" s="1306"/>
      <c r="P7" s="1041">
        <f>SUM(O9:O10)</f>
        <v>0</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c r="G9" s="1221"/>
      <c r="H9" s="1303">
        <f>J6-H10</f>
        <v>300</v>
      </c>
      <c r="I9" s="1299">
        <f>H9*G9</f>
        <v>0</v>
      </c>
      <c r="J9" s="37"/>
      <c r="K9" s="1302">
        <f>M6-K10</f>
        <v>420</v>
      </c>
      <c r="L9" s="1301">
        <f>K9*G9</f>
        <v>0</v>
      </c>
      <c r="M9" s="1280"/>
      <c r="N9" s="1300">
        <f>P6-N10</f>
        <v>500</v>
      </c>
      <c r="O9" s="1299">
        <f>N9*G9</f>
        <v>0</v>
      </c>
      <c r="P9" s="37"/>
      <c r="Q9" s="28"/>
      <c r="R9" s="517"/>
      <c r="S9" s="208" t="s">
        <v>887</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customHeight="1">
      <c r="A11" s="309"/>
      <c r="B11" s="217"/>
      <c r="C11" s="39" t="s">
        <v>878</v>
      </c>
      <c r="D11" s="309"/>
      <c r="E11" s="1286">
        <v>0</v>
      </c>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37"/>
      <c r="Q11" s="34"/>
      <c r="W11" s="1268" t="s">
        <v>876</v>
      </c>
    </row>
    <row r="12" spans="1:41" s="1268" customFormat="1" ht="15"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t="str">
        <f>IF(OR(T3=TRUE,T4=TRUE),J6*$E$11,"0")</f>
        <v>0</v>
      </c>
      <c r="Y12" s="1265" t="str">
        <f>IF(OR(T3=TRUE,T4=TRUE),M6*$E$11,"0")</f>
        <v>0</v>
      </c>
      <c r="Z12" s="1264" t="str">
        <f>IF(OR(T3=TRUE,T4=TRUE),P6*$E$11,"0")</f>
        <v>0</v>
      </c>
    </row>
    <row r="13" spans="1:41" s="196" customFormat="1" ht="18.75" customHeight="1">
      <c r="A13" s="40"/>
      <c r="B13" s="209" t="s">
        <v>1130</v>
      </c>
      <c r="C13" s="40"/>
      <c r="D13" s="40"/>
      <c r="E13" s="40"/>
      <c r="F13" s="40"/>
      <c r="G13" s="1267" t="s">
        <v>163</v>
      </c>
      <c r="H13" s="1250"/>
      <c r="I13" s="1249">
        <v>7</v>
      </c>
      <c r="J13" s="1041">
        <f>SUM(I14:I17)</f>
        <v>240</v>
      </c>
      <c r="K13" s="1252"/>
      <c r="L13" s="1251"/>
      <c r="M13" s="1044">
        <f>SUM(L14:L17)</f>
        <v>240</v>
      </c>
      <c r="N13" s="1250"/>
      <c r="O13" s="1249"/>
      <c r="P13" s="1041">
        <f>SUM(O14:O16)</f>
        <v>240</v>
      </c>
      <c r="Q13" s="28"/>
      <c r="R13" s="100"/>
      <c r="U13" s="36"/>
      <c r="V13" s="36"/>
      <c r="W13" s="36" t="s">
        <v>236</v>
      </c>
      <c r="X13" s="1260">
        <f>$X$12*F30</f>
        <v>0</v>
      </c>
      <c r="Y13" s="1260">
        <f>$Y$12*F30</f>
        <v>0</v>
      </c>
      <c r="Z13" s="1260">
        <f>$Z$12*F30</f>
        <v>0</v>
      </c>
      <c r="AI13" s="2908"/>
    </row>
    <row r="14" spans="1:41" s="36" customFormat="1" ht="15" customHeight="1">
      <c r="A14" s="39"/>
      <c r="B14" s="1247"/>
      <c r="C14" s="4365" t="s">
        <v>1511</v>
      </c>
      <c r="D14" s="4365"/>
      <c r="E14" s="4365"/>
      <c r="F14" s="4365"/>
      <c r="G14" s="1263"/>
      <c r="H14" s="1391" t="s">
        <v>919</v>
      </c>
      <c r="I14" s="1243">
        <f>IF(H14="ja",Q14,0)</f>
        <v>240</v>
      </c>
      <c r="J14" s="39"/>
      <c r="K14" s="1262" t="s">
        <v>919</v>
      </c>
      <c r="L14" s="1098">
        <f>IF(K14="ja",Q14,0)</f>
        <v>240</v>
      </c>
      <c r="M14" s="1016"/>
      <c r="N14" s="1262" t="s">
        <v>919</v>
      </c>
      <c r="O14" s="1243">
        <f>IF(N14="ja",Q14,0)</f>
        <v>240</v>
      </c>
      <c r="P14" s="1013"/>
      <c r="Q14" s="1261">
        <f>IF(C14=0,0,VLOOKUP(C14,'SD2'!$C$11:$O$50,'SD2'!$O$1,FALSE))</f>
        <v>240</v>
      </c>
      <c r="R14" s="1350"/>
      <c r="S14" s="1349"/>
      <c r="T14" s="1348"/>
      <c r="W14" s="36" t="s">
        <v>685</v>
      </c>
      <c r="X14" s="1260">
        <f>$X$12*F31</f>
        <v>0</v>
      </c>
      <c r="Y14" s="1260">
        <f>$Y$12*F31</f>
        <v>0</v>
      </c>
      <c r="Z14" s="1260">
        <f>$Z$12*F31</f>
        <v>0</v>
      </c>
    </row>
    <row r="15" spans="1:41" s="36" customFormat="1" ht="15" customHeight="1">
      <c r="A15" s="39"/>
      <c r="B15" s="1247"/>
      <c r="C15" s="4365"/>
      <c r="D15" s="4365"/>
      <c r="E15" s="4365"/>
      <c r="F15" s="4365"/>
      <c r="G15" s="1263"/>
      <c r="H15" s="1391" t="s">
        <v>871</v>
      </c>
      <c r="I15" s="1243">
        <f>IF(H15="ja",Q15,0)</f>
        <v>0</v>
      </c>
      <c r="J15" s="39"/>
      <c r="K15" s="1391" t="s">
        <v>871</v>
      </c>
      <c r="L15" s="1098">
        <f>IF(K15="ja",Q15,0)</f>
        <v>0</v>
      </c>
      <c r="M15" s="1016"/>
      <c r="N15" s="1391" t="s">
        <v>871</v>
      </c>
      <c r="O15" s="1243">
        <f>IF(N15="ja",Q15,0)</f>
        <v>0</v>
      </c>
      <c r="P15" s="1013"/>
      <c r="Q15" s="1261">
        <f>IF(C15=0,0,VLOOKUP(C15,'SD2'!$C$11:$O$50,'SD2'!$O$1,FALSE))</f>
        <v>0</v>
      </c>
      <c r="R15" s="1347"/>
      <c r="S15" s="1343"/>
      <c r="T15" s="1346"/>
      <c r="W15" s="36" t="s">
        <v>684</v>
      </c>
      <c r="X15" s="1260">
        <f>$X$12*F32</f>
        <v>0</v>
      </c>
      <c r="Y15" s="1260">
        <f>$Y$12*F32</f>
        <v>0</v>
      </c>
      <c r="Z15" s="1260">
        <f>$Z$12*F32</f>
        <v>0</v>
      </c>
    </row>
    <row r="16" spans="1:41" s="36" customFormat="1" ht="15" customHeight="1">
      <c r="A16" s="39"/>
      <c r="B16" s="1247"/>
      <c r="C16" s="4365"/>
      <c r="D16" s="4365"/>
      <c r="E16" s="4365"/>
      <c r="F16" s="4365"/>
      <c r="G16" s="1263"/>
      <c r="H16" s="1262" t="s">
        <v>871</v>
      </c>
      <c r="I16" s="1243">
        <f>IF(H16="ja",Q16,0)</f>
        <v>0</v>
      </c>
      <c r="J16" s="39"/>
      <c r="K16" s="1262" t="s">
        <v>871</v>
      </c>
      <c r="L16" s="1098">
        <f>IF(K16="ja",Q16,0)</f>
        <v>0</v>
      </c>
      <c r="M16" s="1016"/>
      <c r="N16" s="1262" t="s">
        <v>871</v>
      </c>
      <c r="O16" s="1243">
        <f>IF(N16="ja",Q16,0)</f>
        <v>0</v>
      </c>
      <c r="P16" s="1013"/>
      <c r="Q16" s="1261">
        <f>IF(C16=0,0,VLOOKUP(C16,'SD2'!$C$11:$O$50,'SD2'!$O$1,FALSE))</f>
        <v>0</v>
      </c>
      <c r="R16" s="1347"/>
      <c r="S16" s="1343"/>
      <c r="T16" s="1346"/>
      <c r="W16" s="36" t="s">
        <v>230</v>
      </c>
      <c r="X16" s="1260">
        <f>$X$12*F33</f>
        <v>0</v>
      </c>
      <c r="Y16" s="1260">
        <f>$Y$12*F33</f>
        <v>0</v>
      </c>
      <c r="Z16" s="1260">
        <f>$Z$12*F33</f>
        <v>0</v>
      </c>
    </row>
    <row r="17" spans="1:26" s="511" customFormat="1" ht="15" customHeight="1">
      <c r="A17" s="40"/>
      <c r="B17" s="1247"/>
      <c r="C17" s="4365"/>
      <c r="D17" s="4365"/>
      <c r="E17" s="4365"/>
      <c r="F17" s="4365"/>
      <c r="G17" s="1263"/>
      <c r="H17" s="1262" t="s">
        <v>871</v>
      </c>
      <c r="I17" s="1243">
        <f>IF(H17="ja",Q17,0)</f>
        <v>0</v>
      </c>
      <c r="J17" s="39"/>
      <c r="K17" s="1262" t="s">
        <v>871</v>
      </c>
      <c r="L17" s="1098">
        <f>IF(K17="ja",Q17,0)</f>
        <v>0</v>
      </c>
      <c r="M17" s="1016"/>
      <c r="N17" s="1262" t="s">
        <v>871</v>
      </c>
      <c r="O17" s="1243">
        <f>IF(N17="ja",Q17,0)</f>
        <v>0</v>
      </c>
      <c r="P17" s="1013"/>
      <c r="Q17" s="1261">
        <f>IF(C17=0,0,VLOOKUP(C17,'SD2'!$C$11:$O$50,'SD2'!$O$1,FALSE))</f>
        <v>0</v>
      </c>
    </row>
    <row r="18" spans="1:26" s="36" customFormat="1" ht="18.75" customHeight="1">
      <c r="A18" s="39"/>
      <c r="B18" s="209" t="s">
        <v>1563</v>
      </c>
      <c r="C18" s="1672"/>
      <c r="D18" s="1672"/>
      <c r="E18" s="1672"/>
      <c r="F18" s="1672"/>
      <c r="G18" s="2464"/>
      <c r="H18" s="2249"/>
      <c r="I18" s="2465"/>
      <c r="J18" s="1041">
        <f>SUM(I19:I21)</f>
        <v>177</v>
      </c>
      <c r="K18" s="2250"/>
      <c r="L18" s="2466"/>
      <c r="M18" s="1044">
        <f>SUM(L19:L21)</f>
        <v>177</v>
      </c>
      <c r="N18" s="2249"/>
      <c r="O18" s="2465"/>
      <c r="P18" s="1041">
        <f>SUM(O19:O21)</f>
        <v>177</v>
      </c>
      <c r="Q18" s="28"/>
      <c r="R18" s="514" t="s">
        <v>870</v>
      </c>
      <c r="S18" s="308"/>
      <c r="T18" s="1248"/>
    </row>
    <row r="19" spans="1:26" ht="15.6" customHeight="1">
      <c r="A19" s="309"/>
      <c r="B19" s="1247"/>
      <c r="C19" s="4365" t="s">
        <v>1560</v>
      </c>
      <c r="D19" s="4365"/>
      <c r="E19" s="4365"/>
      <c r="F19" s="4365"/>
      <c r="G19" s="2914"/>
      <c r="H19" s="1244"/>
      <c r="I19" s="2839">
        <f>IF(OR($C19=0,$J$6=0),0,VLOOKUP($C19,'SD2'!C60:O78,12,FALSE))</f>
        <v>155</v>
      </c>
      <c r="J19" s="39"/>
      <c r="K19" s="1245"/>
      <c r="L19" s="1098">
        <f>IF(OR($C19=0,$M$6=0),0,VLOOKUP($C19,'SD2'!$C$60:$O$78,12,FALSE))</f>
        <v>155</v>
      </c>
      <c r="M19" s="1016"/>
      <c r="N19" s="1244"/>
      <c r="O19" s="1243">
        <f>IF(OR($C19=0,$P$6=0),0,VLOOKUP($C19,'SD2'!C60:O78,12,FALSE))</f>
        <v>155</v>
      </c>
      <c r="P19" s="1013"/>
      <c r="R19" s="1242">
        <f>J13+J18</f>
        <v>417</v>
      </c>
      <c r="S19" s="1242">
        <f>M13+M18</f>
        <v>417</v>
      </c>
      <c r="T19" s="1242">
        <f>P13+P18</f>
        <v>417</v>
      </c>
    </row>
    <row r="20" spans="1:26" s="2894" customFormat="1" ht="15.6" customHeight="1">
      <c r="A20" s="2788"/>
      <c r="B20" s="1247"/>
      <c r="C20" s="4365" t="s">
        <v>1675</v>
      </c>
      <c r="D20" s="4365"/>
      <c r="E20" s="4365"/>
      <c r="F20" s="4365"/>
      <c r="G20" s="2914"/>
      <c r="H20" s="1244"/>
      <c r="I20" s="2839">
        <f>IF(OR($C20=0,$J$6=0),0,VLOOKUP($C20,'SD2'!C61:O79,12,FALSE))</f>
        <v>22</v>
      </c>
      <c r="J20" s="2783"/>
      <c r="K20" s="1245"/>
      <c r="L20" s="2829">
        <f>IF(OR($C20=0,$M$6=0),0,VLOOKUP($C20,'SD2'!$C$60:$O$78,12,FALSE))</f>
        <v>22</v>
      </c>
      <c r="M20" s="2795"/>
      <c r="N20" s="1244"/>
      <c r="O20" s="2839">
        <f>IF(OR($C20=0,$P$6=0),0,VLOOKUP($C20,'SD2'!C61:O79,12,FALSE))</f>
        <v>22</v>
      </c>
      <c r="P20" s="1013"/>
      <c r="Q20" s="2895"/>
      <c r="R20" s="2888"/>
      <c r="S20" s="2888"/>
      <c r="T20" s="2888"/>
    </row>
    <row r="21" spans="1:26" s="2894" customFormat="1" ht="15.6" customHeight="1">
      <c r="A21" s="2788"/>
      <c r="B21" s="1247"/>
      <c r="C21" s="4365"/>
      <c r="D21" s="4365"/>
      <c r="E21" s="4365"/>
      <c r="F21" s="4365"/>
      <c r="G21" s="2914"/>
      <c r="H21" s="1244"/>
      <c r="I21" s="2839">
        <f>IF(OR($C21=0,$J$6=0),0,VLOOKUP($C21,'SD2'!C62:O79,12,FALSE))</f>
        <v>0</v>
      </c>
      <c r="J21" s="2783"/>
      <c r="K21" s="1245"/>
      <c r="L21" s="2829">
        <f>IF(OR($C21=0,$M$6=0),0,VLOOKUP($C21,'SD2'!$C$60:$O$78,12,FALSE))</f>
        <v>0</v>
      </c>
      <c r="M21" s="2795"/>
      <c r="N21" s="1244"/>
      <c r="O21" s="2839">
        <f>IF(OR($C21=0,$P$6=0),0,VLOOKUP($C21,'SD2'!C62:O79,12,FALSE))</f>
        <v>0</v>
      </c>
      <c r="P21" s="1013"/>
      <c r="Q21" s="2895"/>
      <c r="R21" s="2888"/>
      <c r="S21" s="2888"/>
      <c r="T21" s="2888"/>
    </row>
    <row r="22" spans="1:26" ht="15.6" customHeight="1">
      <c r="A22" s="309"/>
      <c r="B22" s="245" t="s">
        <v>869</v>
      </c>
      <c r="C22" s="39"/>
      <c r="D22" s="1234"/>
      <c r="E22" s="4370" t="s">
        <v>868</v>
      </c>
      <c r="F22" s="4370"/>
      <c r="G22" s="4371"/>
      <c r="H22" s="1231"/>
      <c r="I22" s="1230"/>
      <c r="J22" s="1229">
        <v>0</v>
      </c>
      <c r="K22" s="1233"/>
      <c r="L22" s="1232"/>
      <c r="M22" s="1229"/>
      <c r="N22" s="1231"/>
      <c r="O22" s="1230"/>
      <c r="P22" s="1229"/>
    </row>
    <row r="23" spans="1:26" s="36" customFormat="1" ht="18.75" customHeight="1">
      <c r="A23" s="746"/>
      <c r="B23" s="209" t="s">
        <v>214</v>
      </c>
      <c r="C23" s="1228"/>
      <c r="D23" s="1228"/>
      <c r="E23" s="34"/>
      <c r="F23" s="4381"/>
      <c r="G23" s="4382" t="s">
        <v>163</v>
      </c>
      <c r="H23" s="1043"/>
      <c r="I23" s="1042"/>
      <c r="J23" s="1026">
        <f>SUM(I25:I26)</f>
        <v>203.75</v>
      </c>
      <c r="K23" s="1046"/>
      <c r="L23" s="1045"/>
      <c r="M23" s="1227">
        <f>SUM(L25:L26)</f>
        <v>203.75</v>
      </c>
      <c r="N23" s="1043"/>
      <c r="O23" s="1042"/>
      <c r="P23" s="1026">
        <f>SUM(O25:O26)</f>
        <v>203.75</v>
      </c>
      <c r="Q23" s="28"/>
    </row>
    <row r="24" spans="1:26"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c r="W24" s="36" t="s">
        <v>1661</v>
      </c>
    </row>
    <row r="25" spans="1:26" s="511" customFormat="1" ht="18.75" customHeight="1">
      <c r="A25" s="711"/>
      <c r="B25" s="1223"/>
      <c r="C25" s="746" t="s">
        <v>866</v>
      </c>
      <c r="D25" s="4383"/>
      <c r="E25" s="4384"/>
      <c r="F25" s="1222">
        <f>SDÖ7!F28/100</f>
        <v>8.15</v>
      </c>
      <c r="G25" s="1221">
        <f>F25*(100+$D$24)/100</f>
        <v>8.15</v>
      </c>
      <c r="H25" s="1220">
        <v>25</v>
      </c>
      <c r="I25" s="1181">
        <f>H25*$G25</f>
        <v>203.75</v>
      </c>
      <c r="J25" s="39"/>
      <c r="K25" s="1220">
        <f>H25</f>
        <v>25</v>
      </c>
      <c r="L25" s="1023">
        <f>K25*$G25</f>
        <v>203.75</v>
      </c>
      <c r="M25" s="1016"/>
      <c r="N25" s="1220">
        <f>H25</f>
        <v>25</v>
      </c>
      <c r="O25" s="1181">
        <f>N25*$G25</f>
        <v>203.75</v>
      </c>
      <c r="P25" s="1145"/>
      <c r="Q25" s="28"/>
    </row>
    <row r="26" spans="1:26"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c r="W26" s="1364" t="s">
        <v>1662</v>
      </c>
      <c r="X26" s="1364" t="s">
        <v>1660</v>
      </c>
      <c r="Y26" s="1364" t="s">
        <v>1660</v>
      </c>
      <c r="Z26" s="1364" t="s">
        <v>1660</v>
      </c>
    </row>
    <row r="27" spans="1:26" s="511" customFormat="1" ht="17.399999999999999" customHeight="1">
      <c r="A27" s="711"/>
      <c r="B27" s="1215" t="s">
        <v>213</v>
      </c>
      <c r="C27" s="711"/>
      <c r="D27" s="51"/>
      <c r="E27" s="34"/>
      <c r="F27" s="34"/>
      <c r="G27" s="1214" t="s">
        <v>163</v>
      </c>
      <c r="H27" s="1173"/>
      <c r="I27" s="1172"/>
      <c r="J27" s="1041">
        <f>SUM(I30:I32)</f>
        <v>-518</v>
      </c>
      <c r="K27" s="1175"/>
      <c r="L27" s="1174"/>
      <c r="M27" s="1044">
        <f>SUM(L30:L32)</f>
        <v>-766.64</v>
      </c>
      <c r="N27" s="1173"/>
      <c r="O27" s="1172"/>
      <c r="P27" s="1041">
        <f>SUM(O30:O32)</f>
        <v>-932.4</v>
      </c>
      <c r="Q27" s="28"/>
      <c r="W27" s="511" t="s">
        <v>236</v>
      </c>
      <c r="X27" s="511" t="e">
        <f>VLOOKUP(C36,'SD8'!$B$49:$G$57,3,FALSE)</f>
        <v>#N/A</v>
      </c>
      <c r="Y27" s="511">
        <v>0</v>
      </c>
      <c r="Z27" s="511">
        <v>0</v>
      </c>
    </row>
    <row r="28" spans="1:26" s="36" customFormat="1" ht="15" customHeight="1">
      <c r="A28" s="746"/>
      <c r="B28" s="774"/>
      <c r="C28" s="2224"/>
      <c r="D28" s="1213" t="s">
        <v>706</v>
      </c>
      <c r="E28" s="1213" t="s">
        <v>864</v>
      </c>
      <c r="F28" s="1213" t="s">
        <v>864</v>
      </c>
      <c r="G28" s="1212" t="s">
        <v>863</v>
      </c>
      <c r="H28" s="1172"/>
      <c r="I28" s="1209"/>
      <c r="J28" s="2225"/>
      <c r="K28" s="1175"/>
      <c r="L28" s="1105"/>
      <c r="M28" s="1210"/>
      <c r="N28" s="1173"/>
      <c r="O28" s="1209"/>
      <c r="P28" s="1026"/>
      <c r="Q28" s="28"/>
      <c r="W28" s="36" t="s">
        <v>685</v>
      </c>
      <c r="X28" s="2593" t="e">
        <f>VLOOKUP(C37,'SD8'!$B$49:$G$57,4)</f>
        <v>#N/A</v>
      </c>
      <c r="Y28" s="36">
        <v>0</v>
      </c>
      <c r="Z28" s="36">
        <v>0</v>
      </c>
    </row>
    <row r="29" spans="1:26" s="36" customFormat="1" ht="15" customHeight="1">
      <c r="A29" s="746"/>
      <c r="B29" s="1208"/>
      <c r="C29" s="747" t="s">
        <v>862</v>
      </c>
      <c r="D29" s="1034" t="s">
        <v>611</v>
      </c>
      <c r="E29" s="1034" t="s">
        <v>861</v>
      </c>
      <c r="F29" s="1034" t="s">
        <v>860</v>
      </c>
      <c r="G29" s="1034" t="s">
        <v>1128</v>
      </c>
      <c r="H29" s="1205" t="s">
        <v>612</v>
      </c>
      <c r="I29" s="1027" t="s">
        <v>163</v>
      </c>
      <c r="J29" s="2224"/>
      <c r="K29" s="1207" t="s">
        <v>612</v>
      </c>
      <c r="L29" s="1030" t="s">
        <v>163</v>
      </c>
      <c r="M29" s="1206"/>
      <c r="N29" s="1205" t="s">
        <v>612</v>
      </c>
      <c r="O29" s="1027" t="s">
        <v>163</v>
      </c>
      <c r="P29" s="1204"/>
      <c r="Q29" s="28"/>
      <c r="W29" s="36" t="s">
        <v>684</v>
      </c>
      <c r="X29" s="36">
        <v>0</v>
      </c>
      <c r="Y29" s="36">
        <v>0</v>
      </c>
      <c r="Z29" s="36">
        <v>0</v>
      </c>
    </row>
    <row r="30" spans="1:26" s="36" customFormat="1" ht="15" customHeight="1">
      <c r="A30" s="746"/>
      <c r="B30" s="1203"/>
      <c r="C30" s="1202" t="s">
        <v>236</v>
      </c>
      <c r="D30" s="1150">
        <f>SDÖ1!O56</f>
        <v>5.18</v>
      </c>
      <c r="E30" s="1201">
        <f>VLOOKUP($K$2,'SD8'!$B$9:$K$44,3,FALSE)</f>
        <v>-2</v>
      </c>
      <c r="F30" s="1201"/>
      <c r="G30" s="1200">
        <v>20</v>
      </c>
      <c r="H30" s="1198">
        <f>IF(J$6=0,0,(J$6*0.2*$E30+$G30+X13))</f>
        <v>-100</v>
      </c>
      <c r="I30" s="1181">
        <f>H30*$D30</f>
        <v>-518</v>
      </c>
      <c r="J30" s="39"/>
      <c r="K30" s="1199">
        <f>IF(M$6=0,0,(M$6*0.2*$E30+$G30+AA13))</f>
        <v>-148</v>
      </c>
      <c r="L30" s="1023">
        <f>K30*$D30</f>
        <v>-766.64</v>
      </c>
      <c r="M30" s="1016"/>
      <c r="N30" s="1198">
        <f>IF(P$6=0,0,(P$6*0.2*$E30+$G30+AD13))</f>
        <v>-180</v>
      </c>
      <c r="O30" s="1181">
        <f>N30*$D30</f>
        <v>-932.4</v>
      </c>
      <c r="P30" s="1145"/>
      <c r="Q30" s="28"/>
      <c r="W30" s="36" t="s">
        <v>230</v>
      </c>
      <c r="X30" s="36">
        <v>0</v>
      </c>
      <c r="Y30" s="36">
        <v>0</v>
      </c>
      <c r="Z30" s="36">
        <v>0</v>
      </c>
    </row>
    <row r="31" spans="1:26" s="36" customFormat="1" ht="15" customHeight="1">
      <c r="A31" s="746"/>
      <c r="B31" s="217"/>
      <c r="C31" s="746" t="s">
        <v>234</v>
      </c>
      <c r="D31" s="1150">
        <f>SDÖ1!O57</f>
        <v>1.42</v>
      </c>
      <c r="E31" s="1201">
        <v>0</v>
      </c>
      <c r="F31" s="1201"/>
      <c r="G31" s="1200"/>
      <c r="H31" s="1198">
        <f>IF(J$6=0,0,(J$6*0.2*$E31+$G31+X14))</f>
        <v>0</v>
      </c>
      <c r="I31" s="1181">
        <f>H31*$D31</f>
        <v>0</v>
      </c>
      <c r="J31" s="39"/>
      <c r="K31" s="1199">
        <f>IF(M$6=0,0,(M$6*0.2*$E31+$G31+AA14))</f>
        <v>0</v>
      </c>
      <c r="L31" s="1023">
        <f>K31*$D31</f>
        <v>0</v>
      </c>
      <c r="M31" s="1016"/>
      <c r="N31" s="1198">
        <f>IF(P$6=0,0,(P$6*0.2*$E31+$G31+AD14))</f>
        <v>0</v>
      </c>
      <c r="O31" s="1181">
        <f>N31*$D31</f>
        <v>0</v>
      </c>
      <c r="P31" s="1145"/>
      <c r="Q31" s="28"/>
    </row>
    <row r="32" spans="1:26" s="511" customFormat="1" ht="18.75" customHeight="1">
      <c r="A32" s="711"/>
      <c r="B32" s="185"/>
      <c r="C32" s="2791" t="s">
        <v>232</v>
      </c>
      <c r="D32" s="1133">
        <f>SDÖ1!O58</f>
        <v>1.78</v>
      </c>
      <c r="E32" s="1197">
        <v>0</v>
      </c>
      <c r="F32" s="2609"/>
      <c r="G32" s="1200"/>
      <c r="H32" s="1194">
        <f>IF(J$6=0,0,(J$6*0.2*$E32+$G32+X15))</f>
        <v>0</v>
      </c>
      <c r="I32" s="1177">
        <f>H32*$D32</f>
        <v>0</v>
      </c>
      <c r="J32" s="223"/>
      <c r="K32" s="1195">
        <f>IF(M$6=0,0,(M$6*0.2*$E32+$G32+AA15))</f>
        <v>0</v>
      </c>
      <c r="L32" s="1017">
        <f>K32*$D32</f>
        <v>0</v>
      </c>
      <c r="M32" s="1256"/>
      <c r="N32" s="1194">
        <f>IF(P$6=0,0,(P$6*0.2*$E32+$G32+AD15))</f>
        <v>0</v>
      </c>
      <c r="O32" s="1177">
        <f>N32*$D32</f>
        <v>0</v>
      </c>
      <c r="P32" s="1176"/>
      <c r="Q32" s="28"/>
    </row>
    <row r="33" spans="1:17" s="511" customFormat="1" ht="13.2" hidden="1" customHeight="1">
      <c r="A33" s="711"/>
      <c r="B33" s="185"/>
      <c r="C33" s="771" t="s">
        <v>230</v>
      </c>
      <c r="D33" s="1133">
        <f>SDÖ1!P59</f>
        <v>0.5</v>
      </c>
      <c r="E33" s="2609">
        <v>0</v>
      </c>
      <c r="F33" s="1197"/>
      <c r="G33" s="1196"/>
      <c r="H33" s="1194">
        <f>IF(J$6=0,0,(J$6*0.2*$E33+$G33+X16))</f>
        <v>0</v>
      </c>
      <c r="I33" s="1177">
        <f>H33*$D33</f>
        <v>0</v>
      </c>
      <c r="J33" s="39"/>
      <c r="K33" s="1195">
        <f>IF(M$6=0,0,(M$6*0.2*$E33+$G33+AA16))</f>
        <v>0</v>
      </c>
      <c r="L33" s="1017">
        <f>K33*$D33</f>
        <v>0</v>
      </c>
      <c r="M33" s="1016"/>
      <c r="N33" s="1194">
        <f>IF(P$6=0,0,(P$6*0.2*$E33+$G33+AD16))</f>
        <v>0</v>
      </c>
      <c r="O33" s="1177">
        <f>N33*$D33</f>
        <v>0</v>
      </c>
      <c r="P33" s="1176"/>
      <c r="Q33" s="28"/>
    </row>
    <row r="34" spans="1:17" s="36" customFormat="1" ht="15" customHeight="1">
      <c r="A34" s="746"/>
      <c r="B34" s="716" t="s">
        <v>212</v>
      </c>
      <c r="C34" s="711"/>
      <c r="D34" s="2224"/>
      <c r="E34" s="2224"/>
      <c r="F34" s="4381"/>
      <c r="G34" s="4382" t="s">
        <v>163</v>
      </c>
      <c r="H34" s="1191"/>
      <c r="I34" s="1190"/>
      <c r="J34" s="1041">
        <f>SUM(I36:I42)</f>
        <v>0</v>
      </c>
      <c r="K34" s="1193"/>
      <c r="L34" s="1192"/>
      <c r="M34" s="1044">
        <f>SUM(L36:L42)</f>
        <v>0</v>
      </c>
      <c r="N34" s="1191"/>
      <c r="O34" s="1190"/>
      <c r="P34" s="1041">
        <f>SUM(O36:O42)</f>
        <v>0</v>
      </c>
      <c r="Q34" s="34"/>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c r="D36" s="4389"/>
      <c r="E36" s="4390"/>
      <c r="F36" s="1183">
        <f>IF(C36=0,0,VLOOKUP(C36,SDÖ5!$C$7:$D$16,2,FALSE))</f>
        <v>0</v>
      </c>
      <c r="G36" s="1183">
        <f t="shared" ref="G36:G42" si="0">F36*(100+$D$35)/100</f>
        <v>0</v>
      </c>
      <c r="H36" s="1182">
        <v>0</v>
      </c>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1182"/>
      <c r="L37" s="1023">
        <f t="shared" si="2"/>
        <v>0</v>
      </c>
      <c r="M37" s="1016"/>
      <c r="N37" s="1182"/>
      <c r="O37" s="1181">
        <f t="shared" si="3"/>
        <v>0</v>
      </c>
      <c r="P37" s="1145"/>
      <c r="Q37" s="28"/>
    </row>
    <row r="38" spans="1:17" s="36" customFormat="1" ht="15"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customHeight="1">
      <c r="A39" s="746"/>
      <c r="B39" s="1021"/>
      <c r="C39" s="4375"/>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197.83489008999999</v>
      </c>
      <c r="K43" s="1175"/>
      <c r="L43" s="1174"/>
      <c r="M43" s="1044">
        <f>SUM(M46:M57)</f>
        <v>197.83489008999999</v>
      </c>
      <c r="N43" s="1173"/>
      <c r="O43" s="1172"/>
      <c r="P43" s="1041">
        <f>SUM(P46:P57)</f>
        <v>197.83489008999999</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7"/>
      <c r="C46" s="4363" t="s">
        <v>1589</v>
      </c>
      <c r="D46" s="4364"/>
      <c r="E46" s="1152">
        <f>IF($C46=0,0,VLOOKUP($C46,'SD3'!$C$24:$O$71,4,FALSE))</f>
        <v>120</v>
      </c>
      <c r="F46" s="1151">
        <f>IF($C46=0,0,VLOOKUP($C46,'SD3'!$C$24:$O$71,12,FALSE))</f>
        <v>1.38</v>
      </c>
      <c r="G46" s="1150">
        <f>IF($C46=0,0,VLOOKUP($C46,'SD3'!$C$24:$O$71,13,FALSE))</f>
        <v>64.642445999999993</v>
      </c>
      <c r="H46" s="1155">
        <v>1</v>
      </c>
      <c r="I46" s="1154">
        <f t="shared" ref="I46:I57" si="4">$F46*H46</f>
        <v>1.38</v>
      </c>
      <c r="J46" s="1145">
        <f t="shared" ref="J46:J57" si="5">H46*$G46</f>
        <v>64.642445999999993</v>
      </c>
      <c r="K46" s="1155">
        <v>1</v>
      </c>
      <c r="L46" s="1156">
        <f t="shared" ref="L46:L57" si="6">$F46*K46</f>
        <v>1.38</v>
      </c>
      <c r="M46" s="1148">
        <f t="shared" ref="M46:M57" si="7">K46*$G46</f>
        <v>64.642445999999993</v>
      </c>
      <c r="N46" s="1155">
        <v>1</v>
      </c>
      <c r="O46" s="1154">
        <f t="shared" ref="O46:O57" si="8">$F46*N46</f>
        <v>1.38</v>
      </c>
      <c r="P46" s="1145">
        <f t="shared" ref="P46:P57" si="9">N46*$G46</f>
        <v>64.642445999999993</v>
      </c>
      <c r="Q46" s="34"/>
    </row>
    <row r="47" spans="1:17" s="36" customFormat="1" ht="15" customHeight="1">
      <c r="A47" s="746"/>
      <c r="B47" s="1153"/>
      <c r="C47" s="4387" t="s">
        <v>360</v>
      </c>
      <c r="D47" s="4388"/>
      <c r="E47" s="1152">
        <f>IF($C47=0,0,VLOOKUP($C47,'SD3'!$C$24:$O$71,4,FALSE))</f>
        <v>120</v>
      </c>
      <c r="F47" s="1151">
        <f>IF($C47=0,0,VLOOKUP($C47,'SD3'!$C$24:$O$71,12,FALSE))</f>
        <v>0.79</v>
      </c>
      <c r="G47" s="1150">
        <f>IF($C47=0,0,VLOOKUP($C47,'SD3'!$C$24:$O$71,13,FALSE))</f>
        <v>27.987262000000001</v>
      </c>
      <c r="H47" s="1147">
        <v>1</v>
      </c>
      <c r="I47" s="1146">
        <f t="shared" si="4"/>
        <v>0.79</v>
      </c>
      <c r="J47" s="1145">
        <f t="shared" si="5"/>
        <v>27.987262000000001</v>
      </c>
      <c r="K47" s="1147">
        <v>1</v>
      </c>
      <c r="L47" s="1149">
        <f t="shared" si="6"/>
        <v>0.79</v>
      </c>
      <c r="M47" s="1148">
        <f t="shared" si="7"/>
        <v>27.987262000000001</v>
      </c>
      <c r="N47" s="1147">
        <v>1</v>
      </c>
      <c r="O47" s="1146">
        <f t="shared" si="8"/>
        <v>0.79</v>
      </c>
      <c r="P47" s="1145">
        <f t="shared" si="9"/>
        <v>27.987262000000001</v>
      </c>
      <c r="Q47" s="28"/>
    </row>
    <row r="48" spans="1:17" s="36" customFormat="1" ht="15" customHeight="1">
      <c r="A48" s="746"/>
      <c r="B48" s="1153"/>
      <c r="C48" s="4387" t="s">
        <v>354</v>
      </c>
      <c r="D48" s="4388"/>
      <c r="E48" s="1152">
        <f>IF($C48=0,0,VLOOKUP($C48,'SD3'!$C$24:$O$71,4,FALSE))</f>
        <v>120</v>
      </c>
      <c r="F48" s="1151">
        <f>IF($C48=0,0,VLOOKUP($C48,'SD3'!$C$24:$O$71,12,FALSE))</f>
        <v>0.71</v>
      </c>
      <c r="G48" s="1150">
        <f>IF($C48=0,0,VLOOKUP($C48,'SD3'!$C$24:$O$71,13,FALSE))</f>
        <v>30.659437999999998</v>
      </c>
      <c r="H48" s="1147">
        <v>1</v>
      </c>
      <c r="I48" s="1146">
        <f t="shared" si="4"/>
        <v>0.71</v>
      </c>
      <c r="J48" s="1145">
        <f t="shared" si="5"/>
        <v>30.659437999999998</v>
      </c>
      <c r="K48" s="1147">
        <v>1</v>
      </c>
      <c r="L48" s="1149">
        <f t="shared" si="6"/>
        <v>0.71</v>
      </c>
      <c r="M48" s="1148">
        <f t="shared" si="7"/>
        <v>30.659437999999998</v>
      </c>
      <c r="N48" s="1147">
        <v>1</v>
      </c>
      <c r="O48" s="1146">
        <f t="shared" si="8"/>
        <v>0.71</v>
      </c>
      <c r="P48" s="1145">
        <f t="shared" si="9"/>
        <v>30.659437999999998</v>
      </c>
      <c r="Q48" s="28"/>
    </row>
    <row r="49" spans="1:17" s="36" customFormat="1" ht="15" customHeight="1">
      <c r="A49" s="746"/>
      <c r="B49" s="1153"/>
      <c r="C49" s="4387" t="s">
        <v>356</v>
      </c>
      <c r="D49" s="4388"/>
      <c r="E49" s="1152">
        <f>IF($C49=0,0,VLOOKUP($C49,'SD3'!$C$24:$O$71,4,FALSE))</f>
        <v>83</v>
      </c>
      <c r="F49" s="1151">
        <f>IF($C49=0,0,VLOOKUP($C49,'SD3'!$C$24:$O$71,12,FALSE))</f>
        <v>0.53</v>
      </c>
      <c r="G49" s="1150">
        <f>IF($C49=0,0,VLOOKUP($C49,'SD3'!$C$24:$O$71,13,FALSE))</f>
        <v>12.740039489999999</v>
      </c>
      <c r="H49" s="1147">
        <v>1</v>
      </c>
      <c r="I49" s="1146">
        <f t="shared" si="4"/>
        <v>0.53</v>
      </c>
      <c r="J49" s="1145">
        <f t="shared" si="5"/>
        <v>12.740039489999999</v>
      </c>
      <c r="K49" s="1147">
        <v>1</v>
      </c>
      <c r="L49" s="1149">
        <f t="shared" si="6"/>
        <v>0.53</v>
      </c>
      <c r="M49" s="1148">
        <f t="shared" si="7"/>
        <v>12.740039489999999</v>
      </c>
      <c r="N49" s="1147">
        <v>1</v>
      </c>
      <c r="O49" s="1146">
        <f t="shared" si="8"/>
        <v>0.53</v>
      </c>
      <c r="P49" s="1145">
        <f t="shared" si="9"/>
        <v>12.740039489999999</v>
      </c>
      <c r="Q49" s="28"/>
    </row>
    <row r="50" spans="1:17" s="36" customFormat="1" ht="15" customHeight="1">
      <c r="A50" s="746"/>
      <c r="B50" s="1153"/>
      <c r="C50" s="4387"/>
      <c r="D50" s="4388"/>
      <c r="E50" s="1152">
        <f>IF($C50=0,0,VLOOKUP($C50,'SD3'!$C$24:$O$71,4,FALSE))</f>
        <v>0</v>
      </c>
      <c r="F50" s="1151">
        <f>IF($C50=0,0,VLOOKUP($C50,'SD3'!$C$24:$O$71,12,FALSE))</f>
        <v>0</v>
      </c>
      <c r="G50" s="1150">
        <f>IF($C50=0,0,VLOOKUP($C50,'SD3'!$C$24:$O$71,13,FALSE))</f>
        <v>0</v>
      </c>
      <c r="H50" s="1147"/>
      <c r="I50" s="1146">
        <f t="shared" si="4"/>
        <v>0</v>
      </c>
      <c r="J50" s="1145">
        <f t="shared" si="5"/>
        <v>0</v>
      </c>
      <c r="K50" s="1147"/>
      <c r="L50" s="1149">
        <f t="shared" si="6"/>
        <v>0</v>
      </c>
      <c r="M50" s="1148">
        <f t="shared" si="7"/>
        <v>0</v>
      </c>
      <c r="N50" s="1147"/>
      <c r="O50" s="1146">
        <f t="shared" si="8"/>
        <v>0</v>
      </c>
      <c r="P50" s="1145">
        <f t="shared" si="9"/>
        <v>0</v>
      </c>
      <c r="Q50" s="28"/>
    </row>
    <row r="51" spans="1:17" s="36" customFormat="1" ht="15" customHeight="1">
      <c r="A51" s="746"/>
      <c r="B51" s="1153"/>
      <c r="C51" s="4387" t="s">
        <v>341</v>
      </c>
      <c r="D51" s="4388"/>
      <c r="E51" s="1152">
        <f>IF($C51=0,0,VLOOKUP($C51,'SD3'!$C$24:$O$71,4,FALSE))</f>
        <v>83</v>
      </c>
      <c r="F51" s="1151">
        <f>IF($C51=0,0,VLOOKUP($C51,'SD3'!$C$24:$O$71,12,FALSE))</f>
        <v>1.17</v>
      </c>
      <c r="G51" s="1150">
        <f>IF($C51=0,0,VLOOKUP($C51,'SD3'!$C$24:$O$71,13,FALSE))</f>
        <v>30.902852299999999</v>
      </c>
      <c r="H51" s="1147">
        <v>2</v>
      </c>
      <c r="I51" s="1146">
        <f t="shared" si="4"/>
        <v>2.34</v>
      </c>
      <c r="J51" s="1145">
        <f t="shared" si="5"/>
        <v>61.805704599999999</v>
      </c>
      <c r="K51" s="1147">
        <v>2</v>
      </c>
      <c r="L51" s="1149">
        <f t="shared" si="6"/>
        <v>2.34</v>
      </c>
      <c r="M51" s="1148">
        <f t="shared" si="7"/>
        <v>61.805704599999999</v>
      </c>
      <c r="N51" s="1147">
        <v>2</v>
      </c>
      <c r="O51" s="1146">
        <f t="shared" si="8"/>
        <v>2.34</v>
      </c>
      <c r="P51" s="1145">
        <f t="shared" si="9"/>
        <v>61.805704599999999</v>
      </c>
      <c r="Q51" s="28"/>
    </row>
    <row r="52" spans="1:17" s="36" customFormat="1" ht="15" customHeight="1">
      <c r="A52" s="746"/>
      <c r="B52" s="1153"/>
      <c r="C52" s="4387"/>
      <c r="D52" s="4388"/>
      <c r="E52" s="1152">
        <f>IF($C52=0,0,VLOOKUP($C52,'SD3'!$C$24:$O$71,4,FALSE))</f>
        <v>0</v>
      </c>
      <c r="F52" s="1151">
        <f>IF($C52=0,0,VLOOKUP($C52,'SD3'!$C$24:$O$71,12,FALSE))</f>
        <v>0</v>
      </c>
      <c r="G52" s="1150">
        <f>IF($C52=0,0,VLOOKUP($C52,'SD3'!$C$24:$O$71,13,FALSE))</f>
        <v>0</v>
      </c>
      <c r="H52" s="1147"/>
      <c r="I52" s="1146">
        <f t="shared" si="4"/>
        <v>0</v>
      </c>
      <c r="J52" s="1145">
        <f t="shared" si="5"/>
        <v>0</v>
      </c>
      <c r="K52" s="1147"/>
      <c r="L52" s="1149">
        <f t="shared" si="6"/>
        <v>0</v>
      </c>
      <c r="M52" s="1148">
        <f t="shared" si="7"/>
        <v>0</v>
      </c>
      <c r="N52" s="1147"/>
      <c r="O52" s="1146">
        <f t="shared" si="8"/>
        <v>0</v>
      </c>
      <c r="P52" s="1145">
        <f t="shared" si="9"/>
        <v>0</v>
      </c>
      <c r="Q52" s="28"/>
    </row>
    <row r="53" spans="1:17" s="36" customFormat="1" ht="15" customHeight="1">
      <c r="A53" s="746"/>
      <c r="B53" s="1153"/>
      <c r="C53" s="4387"/>
      <c r="D53" s="4388"/>
      <c r="E53" s="1152">
        <f>IF($C53=0,0,VLOOKUP($C53,'SD3'!$C$24:$O$71,4,FALSE))</f>
        <v>0</v>
      </c>
      <c r="F53" s="1151">
        <f>IF($C53=0,0,VLOOKUP($C53,'SD3'!$C$24:$O$71,12,FALSE))</f>
        <v>0</v>
      </c>
      <c r="G53" s="1150">
        <f>IF($C53=0,0,VLOOKUP($C53,'SD3'!$C$24:$O$71,13,FALSE))</f>
        <v>0</v>
      </c>
      <c r="H53" s="1147"/>
      <c r="I53" s="1146">
        <f t="shared" si="4"/>
        <v>0</v>
      </c>
      <c r="J53" s="1145">
        <f t="shared" si="5"/>
        <v>0</v>
      </c>
      <c r="K53" s="1147"/>
      <c r="L53" s="1149">
        <f t="shared" si="6"/>
        <v>0</v>
      </c>
      <c r="M53" s="1148">
        <f t="shared" si="7"/>
        <v>0</v>
      </c>
      <c r="N53" s="1147"/>
      <c r="O53" s="1146">
        <f t="shared" si="8"/>
        <v>0</v>
      </c>
      <c r="P53" s="1145">
        <f t="shared" si="9"/>
        <v>0</v>
      </c>
      <c r="Q53" s="28"/>
    </row>
    <row r="54" spans="1:17" s="36" customFormat="1" ht="15" customHeight="1">
      <c r="A54" s="746"/>
      <c r="B54" s="1153"/>
      <c r="C54" s="4387"/>
      <c r="D54" s="4388"/>
      <c r="E54" s="1152">
        <f>IF($C54=0,0,VLOOKUP($C54,'SD3'!$C$24:$O$71,4,FALSE))</f>
        <v>0</v>
      </c>
      <c r="F54" s="1151">
        <f>IF($C54=0,0,VLOOKUP($C54,'SD3'!$C$24:$O$71,12,FALSE))</f>
        <v>0</v>
      </c>
      <c r="G54" s="1150">
        <f>IF($C54=0,0,VLOOKUP($C54,'SD3'!$C$24:$O$71,13,FALSE))</f>
        <v>0</v>
      </c>
      <c r="H54" s="1147"/>
      <c r="I54" s="1146">
        <f t="shared" si="4"/>
        <v>0</v>
      </c>
      <c r="J54" s="1145">
        <f t="shared" si="5"/>
        <v>0</v>
      </c>
      <c r="K54" s="1147"/>
      <c r="L54" s="1149">
        <f t="shared" si="6"/>
        <v>0</v>
      </c>
      <c r="M54" s="1148">
        <f t="shared" si="7"/>
        <v>0</v>
      </c>
      <c r="N54" s="1147"/>
      <c r="O54" s="1146">
        <f t="shared" si="8"/>
        <v>0</v>
      </c>
      <c r="P54" s="1145">
        <f t="shared" si="9"/>
        <v>0</v>
      </c>
      <c r="Q54" s="28"/>
    </row>
    <row r="55" spans="1:17" s="36" customFormat="1" ht="15" customHeight="1">
      <c r="A55" s="746"/>
      <c r="B55" s="1153"/>
      <c r="C55" s="4387"/>
      <c r="D55" s="4388"/>
      <c r="E55" s="1152">
        <f>IF($C55=0,0,VLOOKUP($C55,'SD3'!$C$24:$O$71,4,FALSE))</f>
        <v>0</v>
      </c>
      <c r="F55" s="1151">
        <f>IF($C55=0,0,VLOOKUP($C55,'SD3'!$C$24:$O$71,12,FALSE))</f>
        <v>0</v>
      </c>
      <c r="G55" s="1150">
        <f>IF($C55=0,0,VLOOKUP($C55,'SD3'!$C$24:$O$71,13,FALSE))</f>
        <v>0</v>
      </c>
      <c r="H55" s="1147"/>
      <c r="I55" s="1146">
        <f t="shared" si="4"/>
        <v>0</v>
      </c>
      <c r="J55" s="1145">
        <f t="shared" si="5"/>
        <v>0</v>
      </c>
      <c r="K55" s="1147"/>
      <c r="L55" s="1149">
        <f t="shared" si="6"/>
        <v>0</v>
      </c>
      <c r="M55" s="1148">
        <f t="shared" si="7"/>
        <v>0</v>
      </c>
      <c r="N55" s="1147"/>
      <c r="O55" s="1146">
        <f t="shared" si="8"/>
        <v>0</v>
      </c>
      <c r="P55" s="1145">
        <f t="shared" si="9"/>
        <v>0</v>
      </c>
      <c r="Q55" s="28"/>
    </row>
    <row r="56" spans="1:17" s="36" customFormat="1" ht="13.8">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8"/>
    </row>
    <row r="57" spans="1:17" s="36" customFormat="1" ht="35.4" customHeight="1">
      <c r="A57" s="746"/>
      <c r="B57" s="1084"/>
      <c r="C57" s="4401"/>
      <c r="D57" s="4402"/>
      <c r="E57" s="2589">
        <f>IF($C57=0,0,VLOOKUP($C57,'SD3'!$C$24:$O$71,4,FALSE))</f>
        <v>0</v>
      </c>
      <c r="F57" s="2590">
        <f>IF($C57=0,0,VLOOKUP($C57,'SD3'!$C$24:$O$71,12,FALSE))</f>
        <v>0</v>
      </c>
      <c r="G57" s="2591">
        <f>IF($C57=0,0,VLOOKUP($C57,'SD3'!$C$24:$O$71,13,FALSE))</f>
        <v>0</v>
      </c>
      <c r="H57" s="1131"/>
      <c r="I57" s="1130">
        <f t="shared" si="4"/>
        <v>0</v>
      </c>
      <c r="J57" s="1129">
        <f t="shared" si="5"/>
        <v>0</v>
      </c>
      <c r="K57" s="1131"/>
      <c r="L57" s="1132">
        <f t="shared" si="6"/>
        <v>0</v>
      </c>
      <c r="M57" s="1079">
        <f t="shared" si="7"/>
        <v>0</v>
      </c>
      <c r="N57" s="1131"/>
      <c r="O57" s="1130">
        <f t="shared" si="8"/>
        <v>0</v>
      </c>
      <c r="P57" s="1129">
        <f t="shared" si="9"/>
        <v>0</v>
      </c>
      <c r="Q57" s="28"/>
    </row>
    <row r="58" spans="1:17" s="511" customFormat="1" ht="18.75" customHeight="1">
      <c r="A58" s="711"/>
      <c r="B58" s="716" t="s">
        <v>848</v>
      </c>
      <c r="C58" s="811"/>
      <c r="D58" s="811"/>
      <c r="E58" s="811"/>
      <c r="F58" s="34"/>
      <c r="G58" s="1047"/>
      <c r="H58" s="1124"/>
      <c r="I58" s="1123">
        <f>SUM($I$46:$I$57)</f>
        <v>5.75</v>
      </c>
      <c r="J58" s="1128"/>
      <c r="K58" s="1127"/>
      <c r="L58" s="1126">
        <f>SUM($L$46:$L$57)</f>
        <v>5.75</v>
      </c>
      <c r="M58" s="1125"/>
      <c r="N58" s="1124"/>
      <c r="O58" s="1123">
        <f>SUM($O$46:$O$57)</f>
        <v>5.75</v>
      </c>
      <c r="P58" s="1122"/>
      <c r="Q58" s="28"/>
    </row>
    <row r="59" spans="1:17" s="511" customFormat="1" ht="15" customHeight="1">
      <c r="A59" s="711"/>
      <c r="B59" s="1121"/>
      <c r="C59" s="285"/>
      <c r="D59" s="222" t="s">
        <v>847</v>
      </c>
      <c r="E59" s="1120">
        <v>80</v>
      </c>
      <c r="F59" s="285" t="s">
        <v>846</v>
      </c>
      <c r="G59" s="1119"/>
      <c r="H59" s="1115"/>
      <c r="I59" s="1114">
        <f>IF(I58+SUM($I$46:$I$57)*$E$59%&gt;I58+10,I58+10,I58+SUM($I$46:$I$57)*$E$59%)</f>
        <v>10.350000000000001</v>
      </c>
      <c r="J59" s="1113"/>
      <c r="K59" s="1118"/>
      <c r="L59" s="1117">
        <f>IF(L58+SUM($L$46:$L$57)*$E$59%&gt;L58+10,L58+10,L58+SUM($L$46:$L$57)*$E$59%)</f>
        <v>10.350000000000001</v>
      </c>
      <c r="M59" s="1116"/>
      <c r="N59" s="1115"/>
      <c r="O59" s="1114">
        <f>IF(O58+SUM($O$46:$O$57)*$E$59%&gt;O58+10,O58+10,O58+SUM($O$46:$O$57)*$E$59%)</f>
        <v>10.350000000000001</v>
      </c>
      <c r="P59" s="1113"/>
      <c r="Q59" s="28"/>
    </row>
    <row r="60" spans="1:17" s="46" customFormat="1" ht="18.75" customHeight="1">
      <c r="A60" s="811"/>
      <c r="B60" s="716" t="s">
        <v>845</v>
      </c>
      <c r="C60" s="811"/>
      <c r="D60" s="811"/>
      <c r="E60" s="39"/>
      <c r="F60" s="39"/>
      <c r="G60" s="1112"/>
      <c r="H60" s="1104"/>
      <c r="I60" s="1103"/>
      <c r="J60" s="1111">
        <f>IF(J6=0,0,SUM(I62:I64))</f>
        <v>0</v>
      </c>
      <c r="K60" s="1107"/>
      <c r="L60" s="1106"/>
      <c r="M60" s="1044">
        <f>IF(M6=0,0,SUM(L62:L64))</f>
        <v>0</v>
      </c>
      <c r="N60" s="1104"/>
      <c r="O60" s="1103"/>
      <c r="P60" s="1111">
        <f>IF(P6=0,0,SUM(O62:O64))</f>
        <v>0</v>
      </c>
      <c r="Q60" s="28"/>
    </row>
    <row r="61" spans="1:17"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c r="D62" s="4365"/>
      <c r="E62" s="4365"/>
      <c r="F62" s="1101">
        <f>IF($C62=0,0,VLOOKUP($C62,'SD3'!$C$90:$D$114,2,FALSE))</f>
        <v>0</v>
      </c>
      <c r="G62" s="1100">
        <f>(100+$D$61)/100*F62</f>
        <v>0</v>
      </c>
      <c r="H62" s="173"/>
      <c r="I62" s="1096">
        <f>$G$62</f>
        <v>0</v>
      </c>
      <c r="J62" s="173"/>
      <c r="K62" s="1099"/>
      <c r="L62" s="1098">
        <f>$G$62</f>
        <v>0</v>
      </c>
      <c r="M62" s="1016"/>
      <c r="N62" s="1097"/>
      <c r="O62" s="1096">
        <f>$G$62</f>
        <v>0</v>
      </c>
      <c r="P62" s="1095"/>
      <c r="Q62" s="28"/>
    </row>
    <row r="63" spans="1:17" s="36" customFormat="1" ht="13.2" customHeight="1">
      <c r="A63" s="746"/>
      <c r="B63" s="1094"/>
      <c r="C63" s="4397"/>
      <c r="D63" s="4397"/>
      <c r="E63" s="4398"/>
      <c r="F63" s="1605">
        <f>IF($C63=0,0,VLOOKUP($C63,'SD3'!$C$90:$D$114,2,FALSE))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t="s">
        <v>289</v>
      </c>
      <c r="D64" s="4396"/>
      <c r="E64" s="4396"/>
      <c r="F64" s="2607">
        <f>IF($T$3=FALSE,0,VLOOKUP($C64,'SD3'!$C$90:$D$104,2,FALSE))</f>
        <v>0</v>
      </c>
      <c r="G64" s="1082">
        <f>(100+$D$61)/100*F64</f>
        <v>0</v>
      </c>
      <c r="H64" s="1078"/>
      <c r="I64" s="1077">
        <f>H11*$G$64</f>
        <v>0</v>
      </c>
      <c r="J64" s="173"/>
      <c r="K64" s="1081"/>
      <c r="L64" s="1080">
        <f>K11*$G$64</f>
        <v>0</v>
      </c>
      <c r="M64" s="1079"/>
      <c r="N64" s="1078"/>
      <c r="O64" s="1077">
        <f>N11*$G$64</f>
        <v>0</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4.4"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15.6" customHeight="1">
      <c r="A67" s="711"/>
      <c r="B67" s="716" t="s">
        <v>843</v>
      </c>
      <c r="C67" s="711"/>
      <c r="D67" s="711"/>
      <c r="E67" s="175"/>
      <c r="F67" s="1069"/>
      <c r="G67" s="1047"/>
      <c r="H67" s="1066" t="s">
        <v>842</v>
      </c>
      <c r="I67" s="1065" t="s">
        <v>841</v>
      </c>
      <c r="J67" s="1041">
        <f>R68*(H9+H10)*I68%+F68</f>
        <v>0</v>
      </c>
      <c r="K67" s="1068" t="s">
        <v>842</v>
      </c>
      <c r="L67" s="1067" t="s">
        <v>841</v>
      </c>
      <c r="M67" s="1044">
        <f>S68*(K9+K10)*L68%+F68</f>
        <v>0</v>
      </c>
      <c r="N67" s="1066" t="s">
        <v>842</v>
      </c>
      <c r="O67" s="1065" t="s">
        <v>841</v>
      </c>
      <c r="P67" s="1041">
        <f>T68*(N9+N10)*O68%+F68</f>
        <v>0</v>
      </c>
      <c r="Q67" s="28"/>
    </row>
    <row r="68" spans="1:20" s="511" customFormat="1" ht="15.6" customHeight="1">
      <c r="A68" s="711"/>
      <c r="B68" s="1064"/>
      <c r="C68" s="4393" t="s">
        <v>564</v>
      </c>
      <c r="D68" s="4393"/>
      <c r="E68" s="4393"/>
      <c r="F68" s="1063"/>
      <c r="G68" s="1054" t="s">
        <v>163</v>
      </c>
      <c r="H68" s="1061"/>
      <c r="I68" s="1060">
        <v>50</v>
      </c>
      <c r="J68" s="1059"/>
      <c r="K68" s="1061"/>
      <c r="L68" s="1060">
        <v>50</v>
      </c>
      <c r="M68" s="1062"/>
      <c r="N68" s="1061"/>
      <c r="O68" s="1060">
        <v>50</v>
      </c>
      <c r="P68" s="1059"/>
      <c r="Q68" s="28"/>
      <c r="R68" s="1369">
        <f>IF($H$68=0,0,VLOOKUP($H$68,'SD6'!B8:C101,'SD6'!C1,FALSE))*(1+'SDK1'!O11/100)</f>
        <v>0</v>
      </c>
      <c r="S68" s="1369">
        <f>IF($H$68=0,0,VLOOKUP($H$68,'SD6'!C8:D101,'SD6'!D1,FALSE))*(1+'SDK1'!Q11/100)</f>
        <v>0</v>
      </c>
      <c r="T68" s="1369">
        <f>IF($H$68=0,0,VLOOKUP($H$68,'SD6'!D8:E101,'SD6'!E1,FALSE))*(1+'SDK1'!R11/100)</f>
        <v>0</v>
      </c>
    </row>
    <row r="69" spans="1:20" s="511" customFormat="1" ht="13.95" customHeight="1">
      <c r="A69" s="711"/>
      <c r="B69" s="716" t="s">
        <v>839</v>
      </c>
      <c r="C69" s="711"/>
      <c r="D69" s="711"/>
      <c r="E69" s="34"/>
      <c r="F69" s="34"/>
      <c r="G69" s="1047"/>
      <c r="H69" s="38"/>
      <c r="I69" s="51"/>
      <c r="J69" s="1041"/>
      <c r="K69" s="1057"/>
      <c r="L69" s="1056"/>
      <c r="M69" s="1044">
        <f>K70*$F70/1000</f>
        <v>0</v>
      </c>
      <c r="N69" s="38"/>
      <c r="O69" s="51"/>
      <c r="P69" s="1041">
        <f>N70*$F70/1000</f>
        <v>0</v>
      </c>
      <c r="Q69" s="28"/>
    </row>
    <row r="70" spans="1:20" s="511" customFormat="1" ht="13.95" customHeight="1">
      <c r="A70" s="711"/>
      <c r="B70" s="772"/>
      <c r="C70" s="771" t="s">
        <v>606</v>
      </c>
      <c r="D70" s="285"/>
      <c r="E70" s="222"/>
      <c r="F70" s="3742"/>
      <c r="G70" s="1054" t="s">
        <v>163</v>
      </c>
      <c r="H70" s="1050">
        <f>J7</f>
        <v>0</v>
      </c>
      <c r="I70" s="1049"/>
      <c r="J70" s="1048"/>
      <c r="K70" s="1053">
        <f>M7</f>
        <v>0</v>
      </c>
      <c r="L70" s="1052"/>
      <c r="M70" s="1051"/>
      <c r="N70" s="1050">
        <f>P7</f>
        <v>0</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4.950000000000003" customHeight="1">
      <c r="A75" s="711"/>
      <c r="B75" s="4391" t="s">
        <v>835</v>
      </c>
      <c r="C75" s="4392"/>
      <c r="D75" s="1012" t="s">
        <v>834</v>
      </c>
      <c r="E75" s="1011">
        <f>'SDK1'!$O$59/100</f>
        <v>0.02</v>
      </c>
      <c r="F75" s="1010" t="s">
        <v>833</v>
      </c>
      <c r="G75" s="1009">
        <v>7</v>
      </c>
      <c r="H75" s="1007"/>
      <c r="I75" s="1008"/>
      <c r="J75" s="1005">
        <f>(J23+J34+J43+J60+J65+J67+J69+J71)*('SDK1'!$O$59%*$G$75/12)</f>
        <v>4.68515705105</v>
      </c>
      <c r="K75" s="2223"/>
      <c r="L75" s="522"/>
      <c r="M75" s="1005">
        <f>(M23++M34+M43+M60+M65+M67+M69+M71)*('SDK1'!$O$59%*$G$75/12)</f>
        <v>4.68515705105</v>
      </c>
      <c r="N75" s="1007"/>
      <c r="O75" s="1006"/>
      <c r="P75" s="1005">
        <f>(P23+P34+P43+P60+P65+P67+P69+P71)*('SDK1'!$O$59%*$G$75/12)</f>
        <v>4.68515705105</v>
      </c>
      <c r="Q75" s="28"/>
    </row>
    <row r="77" spans="1:20" ht="15.6" customHeight="1">
      <c r="B77" s="2919"/>
      <c r="C77" s="2919"/>
      <c r="D77" s="2919"/>
      <c r="E77" s="2919"/>
      <c r="F77" s="2919"/>
      <c r="G77" s="2919"/>
    </row>
    <row r="78" spans="1:20" ht="13.95" customHeight="1">
      <c r="B78" s="2919"/>
      <c r="C78" s="2919"/>
      <c r="D78" s="2919"/>
      <c r="E78" s="2919"/>
      <c r="F78" s="2919"/>
      <c r="G78" s="2919"/>
      <c r="H78" s="2602"/>
      <c r="I78" s="2602"/>
      <c r="J78" s="2602"/>
      <c r="K78" s="2602"/>
      <c r="L78" s="2602"/>
      <c r="M78" s="2602"/>
      <c r="N78" s="2602"/>
      <c r="O78" s="2602"/>
      <c r="P78" s="2602"/>
    </row>
    <row r="79" spans="1:20">
      <c r="B79" s="2919"/>
      <c r="C79" s="2919"/>
      <c r="D79" s="2919"/>
      <c r="E79" s="2919"/>
      <c r="F79" s="2919"/>
      <c r="G79" s="2919"/>
      <c r="H79" s="2602"/>
      <c r="I79" s="2602"/>
      <c r="J79" s="2602"/>
      <c r="K79" s="2602"/>
      <c r="L79" s="2602"/>
      <c r="M79" s="2602"/>
      <c r="N79" s="2602"/>
      <c r="O79" s="2602"/>
      <c r="P79" s="2602"/>
    </row>
    <row r="80" spans="1:20" ht="13.95" customHeight="1">
      <c r="B80" s="2919"/>
      <c r="C80" s="2919"/>
      <c r="D80" s="2919"/>
      <c r="E80" s="2919"/>
      <c r="F80" s="2919"/>
      <c r="G80" s="2919"/>
      <c r="H80" s="2602"/>
      <c r="I80" s="2602"/>
      <c r="J80" s="2602"/>
      <c r="K80" s="2602"/>
      <c r="L80" s="2602"/>
      <c r="M80" s="2602"/>
      <c r="N80" s="2602"/>
      <c r="O80" s="2602"/>
      <c r="P80" s="2602"/>
    </row>
    <row r="81" spans="2:16" ht="13.95" customHeight="1">
      <c r="B81" s="2919"/>
      <c r="C81" s="2919"/>
      <c r="D81" s="2919"/>
      <c r="E81" s="2919"/>
      <c r="F81" s="2919"/>
      <c r="G81" s="2919"/>
      <c r="H81" s="2602"/>
      <c r="I81" s="2602"/>
      <c r="J81" s="2602"/>
      <c r="K81" s="2602"/>
      <c r="L81" s="2602"/>
      <c r="M81" s="2602"/>
      <c r="N81" s="2602"/>
      <c r="O81" s="2602"/>
      <c r="P81" s="2602"/>
    </row>
    <row r="82" spans="2:16">
      <c r="B82" s="2919"/>
      <c r="C82" s="2919"/>
      <c r="D82" s="2919"/>
      <c r="E82" s="2919"/>
      <c r="F82" s="2919"/>
      <c r="G82" s="2919"/>
      <c r="H82" s="2602"/>
      <c r="I82" s="2602"/>
      <c r="J82" s="2602"/>
      <c r="K82" s="2602"/>
      <c r="L82" s="2602"/>
      <c r="M82" s="2602"/>
      <c r="N82" s="2602"/>
      <c r="O82" s="2602"/>
      <c r="P82" s="2602"/>
    </row>
    <row r="83" spans="2:16" ht="13.95" customHeight="1">
      <c r="B83" s="2919"/>
      <c r="C83" s="2919"/>
      <c r="D83" s="2919"/>
      <c r="E83" s="2919"/>
      <c r="F83" s="2919"/>
      <c r="G83" s="2919"/>
      <c r="H83" s="2602"/>
      <c r="I83" s="2602"/>
      <c r="J83" s="2602"/>
      <c r="K83" s="2602"/>
      <c r="L83" s="2602"/>
      <c r="M83" s="2602"/>
      <c r="N83" s="2602"/>
      <c r="O83" s="2602"/>
      <c r="P83" s="2602"/>
    </row>
    <row r="84" spans="2:16" ht="13.95" customHeight="1">
      <c r="B84" s="2919"/>
      <c r="C84" s="2919"/>
      <c r="D84" s="2919"/>
      <c r="E84" s="2919"/>
      <c r="F84" s="2919"/>
      <c r="G84" s="2919"/>
      <c r="H84" s="2602"/>
      <c r="I84" s="2602"/>
      <c r="J84" s="2602"/>
      <c r="K84" s="2602"/>
      <c r="L84" s="2602"/>
      <c r="M84" s="2602"/>
      <c r="N84" s="2602"/>
      <c r="O84" s="2602"/>
      <c r="P84" s="2602"/>
    </row>
    <row r="85" spans="2:16">
      <c r="B85" s="2919"/>
      <c r="C85" s="2919"/>
      <c r="D85" s="2919"/>
      <c r="E85" s="2919"/>
      <c r="F85" s="2919"/>
      <c r="G85" s="2919"/>
      <c r="H85" s="2602"/>
      <c r="I85" s="2602"/>
      <c r="J85" s="2602"/>
      <c r="K85" s="2602"/>
      <c r="L85" s="2602"/>
      <c r="M85" s="2602"/>
      <c r="N85" s="2602"/>
      <c r="O85" s="2602"/>
      <c r="P85" s="2602"/>
    </row>
    <row r="86" spans="2:16">
      <c r="B86" s="2919"/>
      <c r="C86" s="2919"/>
      <c r="D86" s="2919"/>
      <c r="E86" s="2919"/>
      <c r="F86" s="2919"/>
      <c r="G86" s="2919"/>
      <c r="H86" s="2602"/>
      <c r="I86" s="2602"/>
      <c r="J86" s="2602"/>
      <c r="K86" s="2602"/>
      <c r="L86" s="2602"/>
      <c r="M86" s="2602"/>
      <c r="N86" s="2602"/>
      <c r="O86" s="2602"/>
      <c r="P86" s="2602"/>
    </row>
    <row r="87" spans="2:16" ht="15.6" customHeight="1">
      <c r="B87" s="2919"/>
      <c r="C87" s="2919"/>
      <c r="D87" s="2919"/>
      <c r="E87" s="2919"/>
      <c r="F87" s="2919"/>
      <c r="G87" s="2919"/>
      <c r="H87" s="2602"/>
      <c r="I87" s="2602"/>
      <c r="J87" s="2602"/>
      <c r="K87" s="2602"/>
      <c r="L87" s="2602"/>
      <c r="M87" s="2602"/>
      <c r="N87" s="2602"/>
      <c r="O87" s="2602"/>
      <c r="P87" s="2602"/>
    </row>
    <row r="88" spans="2:16">
      <c r="B88" s="2919"/>
      <c r="C88" s="2919"/>
      <c r="D88" s="2919"/>
      <c r="E88" s="2919"/>
      <c r="F88" s="2919"/>
      <c r="G88" s="2919"/>
      <c r="H88" s="2602"/>
      <c r="I88" s="2602"/>
      <c r="J88" s="2602"/>
      <c r="K88" s="2602"/>
      <c r="L88" s="2602"/>
      <c r="M88" s="2602"/>
      <c r="N88" s="2602"/>
      <c r="O88" s="2602"/>
      <c r="P88" s="2602"/>
    </row>
    <row r="89" spans="2:16">
      <c r="B89" s="2919"/>
      <c r="C89" s="2919"/>
      <c r="D89" s="2919"/>
      <c r="E89" s="2919"/>
      <c r="F89" s="2919"/>
      <c r="G89" s="2919"/>
      <c r="H89" s="2602"/>
      <c r="I89" s="2602"/>
      <c r="J89" s="2602"/>
      <c r="K89" s="2602"/>
      <c r="L89" s="2602"/>
      <c r="M89" s="2602"/>
      <c r="N89" s="2602"/>
      <c r="O89" s="2602"/>
      <c r="P89" s="2602"/>
    </row>
    <row r="90" spans="2:16" ht="13.2" customHeight="1">
      <c r="B90" s="2919"/>
      <c r="C90" s="2919"/>
      <c r="D90" s="2919"/>
      <c r="E90" s="2919"/>
      <c r="F90" s="2919"/>
      <c r="G90" s="2919"/>
      <c r="H90" s="2602"/>
      <c r="I90" s="2602"/>
      <c r="J90" s="2602"/>
      <c r="K90" s="2602"/>
      <c r="L90" s="2602"/>
      <c r="M90" s="2602"/>
      <c r="N90" s="2602"/>
      <c r="O90" s="2602"/>
      <c r="P90" s="2602"/>
    </row>
    <row r="91" spans="2:16">
      <c r="B91" s="2919"/>
      <c r="C91" s="2919"/>
      <c r="D91" s="2919"/>
      <c r="E91" s="2919"/>
      <c r="F91" s="2919"/>
      <c r="G91" s="2919"/>
      <c r="H91" s="2602"/>
      <c r="I91" s="2602"/>
      <c r="J91" s="2602"/>
      <c r="K91" s="2602"/>
      <c r="L91" s="2602"/>
      <c r="M91" s="2602"/>
      <c r="N91" s="2602"/>
      <c r="O91" s="2602"/>
      <c r="P91" s="2602"/>
    </row>
    <row r="92" spans="2:16">
      <c r="B92" s="2919"/>
      <c r="C92" s="2919"/>
      <c r="D92" s="2919"/>
      <c r="E92" s="2919"/>
      <c r="F92" s="2919"/>
      <c r="G92" s="2919"/>
      <c r="H92" s="2602"/>
      <c r="I92" s="2602"/>
      <c r="J92" s="2602"/>
      <c r="K92" s="2602"/>
      <c r="L92" s="2602"/>
      <c r="M92" s="2602"/>
      <c r="N92" s="2602"/>
      <c r="O92" s="2602"/>
      <c r="P92" s="2602"/>
    </row>
    <row r="93" spans="2:16">
      <c r="B93" s="2919"/>
      <c r="C93" s="2919"/>
      <c r="D93" s="2919"/>
      <c r="E93" s="2919"/>
      <c r="F93" s="2919"/>
      <c r="G93" s="2919"/>
      <c r="H93" s="2602"/>
      <c r="I93" s="2602"/>
      <c r="J93" s="2602"/>
      <c r="K93" s="2602"/>
      <c r="L93" s="2602"/>
      <c r="M93" s="2602"/>
      <c r="N93" s="2602"/>
      <c r="O93" s="2602"/>
      <c r="P93" s="2602"/>
    </row>
    <row r="94" spans="2:16">
      <c r="B94" s="2919"/>
      <c r="C94" s="2919"/>
      <c r="D94" s="2919"/>
      <c r="E94" s="2919"/>
      <c r="F94" s="2919"/>
      <c r="G94" s="2919"/>
      <c r="H94" s="2602"/>
      <c r="I94" s="2602"/>
      <c r="J94" s="2602"/>
      <c r="K94" s="2602"/>
      <c r="L94" s="2602"/>
      <c r="M94" s="2602"/>
      <c r="N94" s="2602"/>
      <c r="O94" s="2602"/>
      <c r="P94" s="2602"/>
    </row>
    <row r="95" spans="2:16">
      <c r="B95" s="2919"/>
      <c r="C95" s="2919"/>
      <c r="D95" s="2919"/>
      <c r="E95" s="2919"/>
      <c r="F95" s="2919"/>
      <c r="G95" s="2919"/>
      <c r="H95" s="2602"/>
      <c r="I95" s="2602"/>
      <c r="J95" s="2602"/>
      <c r="K95" s="2602"/>
      <c r="L95" s="2602"/>
      <c r="M95" s="2602"/>
      <c r="N95" s="2602"/>
      <c r="O95" s="2602"/>
      <c r="P95" s="2602"/>
    </row>
    <row r="96" spans="2:16">
      <c r="C96" s="1712"/>
      <c r="D96" s="1712"/>
      <c r="E96" s="1712"/>
      <c r="G96" s="2602"/>
      <c r="H96" s="2602"/>
      <c r="I96" s="2602"/>
      <c r="J96" s="2602"/>
      <c r="K96" s="2602"/>
      <c r="L96" s="2602"/>
      <c r="M96" s="2602"/>
      <c r="N96" s="2602"/>
      <c r="O96" s="2602"/>
      <c r="P96" s="2602"/>
    </row>
    <row r="97" spans="2:16">
      <c r="B97" s="29"/>
      <c r="C97" s="448"/>
      <c r="D97" s="448"/>
      <c r="E97" s="448"/>
      <c r="F97" s="29"/>
      <c r="G97" s="2602"/>
      <c r="H97" s="2602"/>
      <c r="I97" s="2602"/>
      <c r="J97" s="2602"/>
      <c r="K97" s="2602"/>
      <c r="L97" s="2602"/>
      <c r="M97" s="2602"/>
      <c r="N97" s="2602"/>
      <c r="O97" s="2602"/>
      <c r="P97" s="2602"/>
    </row>
    <row r="98" spans="2:16">
      <c r="B98" s="29"/>
      <c r="C98" s="448"/>
      <c r="D98" s="448"/>
      <c r="E98" s="448"/>
      <c r="F98" s="29"/>
      <c r="G98" s="2602"/>
      <c r="H98" s="2602"/>
      <c r="I98" s="2602"/>
      <c r="J98" s="2602"/>
      <c r="K98" s="2602"/>
      <c r="L98" s="2602"/>
      <c r="M98" s="2602"/>
      <c r="N98" s="2602"/>
      <c r="O98" s="2602"/>
      <c r="P98" s="2602"/>
    </row>
    <row r="99" spans="2:16">
      <c r="B99" s="29"/>
      <c r="C99" s="29"/>
      <c r="D99" s="29"/>
      <c r="E99" s="29"/>
      <c r="F99" s="29"/>
      <c r="G99" s="2602"/>
      <c r="H99" s="2602"/>
      <c r="I99" s="2602"/>
      <c r="J99" s="2602"/>
      <c r="K99" s="2602"/>
      <c r="L99" s="2602"/>
      <c r="M99" s="2602"/>
      <c r="N99" s="2602"/>
      <c r="O99" s="2602"/>
      <c r="P99" s="2602"/>
    </row>
    <row r="100" spans="2:16">
      <c r="G100" s="2602"/>
      <c r="H100" s="2602"/>
      <c r="I100" s="2602"/>
      <c r="J100" s="2602"/>
      <c r="K100" s="2602"/>
      <c r="L100" s="2602"/>
      <c r="M100" s="2602"/>
      <c r="N100" s="2602"/>
      <c r="O100" s="2602"/>
      <c r="P100" s="2602"/>
    </row>
    <row r="101" spans="2:16">
      <c r="B101" s="29"/>
      <c r="C101" s="29"/>
      <c r="D101" s="29"/>
      <c r="G101" s="2602"/>
      <c r="H101" s="2602"/>
      <c r="I101" s="2602"/>
      <c r="J101" s="2602"/>
      <c r="K101" s="2602"/>
      <c r="L101" s="2602"/>
      <c r="M101" s="2602"/>
      <c r="N101" s="2602"/>
      <c r="O101" s="2602"/>
      <c r="P101" s="2602"/>
    </row>
    <row r="102" spans="2:16">
      <c r="B102" s="29"/>
      <c r="C102" s="29"/>
      <c r="D102" s="29"/>
      <c r="G102" s="2602"/>
      <c r="H102" s="2602"/>
      <c r="I102" s="2602"/>
      <c r="J102" s="2602"/>
      <c r="K102" s="2602"/>
      <c r="L102" s="2602"/>
      <c r="M102" s="2602"/>
      <c r="N102" s="2602"/>
      <c r="O102" s="2602"/>
      <c r="P102" s="2602"/>
    </row>
    <row r="103" spans="2:16">
      <c r="B103" s="29"/>
      <c r="C103" s="29"/>
      <c r="D103" s="29"/>
      <c r="G103" s="2602"/>
      <c r="H103" s="2602"/>
      <c r="I103" s="2602"/>
      <c r="J103" s="2602"/>
      <c r="K103" s="2602"/>
      <c r="L103" s="2602"/>
      <c r="M103" s="2602"/>
      <c r="N103" s="2602"/>
      <c r="O103" s="2602"/>
      <c r="P103" s="2602"/>
    </row>
    <row r="104" spans="2:16">
      <c r="B104" s="29"/>
      <c r="C104" s="29"/>
      <c r="D104" s="29"/>
      <c r="G104" s="2602"/>
      <c r="H104" s="2602"/>
      <c r="I104" s="2602"/>
      <c r="J104" s="2602"/>
      <c r="K104" s="2602"/>
      <c r="L104" s="2602"/>
      <c r="M104" s="2602"/>
      <c r="N104" s="2602"/>
      <c r="O104" s="2602"/>
      <c r="P104" s="2602"/>
    </row>
    <row r="105" spans="2:16">
      <c r="B105" s="29"/>
      <c r="C105" s="29"/>
      <c r="D105" s="29"/>
      <c r="G105" s="2602"/>
      <c r="H105" s="2602"/>
      <c r="I105" s="2602"/>
      <c r="J105" s="2602"/>
      <c r="K105" s="2602"/>
      <c r="L105" s="2602"/>
      <c r="M105" s="2602"/>
      <c r="N105" s="2602"/>
      <c r="O105" s="2602"/>
      <c r="P105" s="2602"/>
    </row>
    <row r="106" spans="2:16">
      <c r="B106" s="29"/>
      <c r="C106" s="29"/>
      <c r="D106" s="29"/>
      <c r="G106" s="2602"/>
      <c r="H106" s="2602"/>
      <c r="I106" s="2602"/>
      <c r="J106" s="2602"/>
      <c r="K106" s="2602"/>
      <c r="L106" s="2602"/>
      <c r="M106" s="2602"/>
      <c r="N106" s="2602"/>
      <c r="O106" s="2602"/>
      <c r="P106" s="2602"/>
    </row>
    <row r="107" spans="2:16">
      <c r="B107" s="29"/>
      <c r="C107" s="29"/>
      <c r="D107" s="29"/>
      <c r="G107" s="2602"/>
      <c r="H107" s="2602"/>
      <c r="I107" s="2602"/>
      <c r="J107" s="2602"/>
      <c r="K107" s="2602"/>
      <c r="L107" s="2602"/>
      <c r="M107" s="2602"/>
      <c r="N107" s="2602"/>
      <c r="O107" s="2602"/>
      <c r="P107" s="2602"/>
    </row>
    <row r="108" spans="2:16">
      <c r="B108" s="29"/>
      <c r="C108" s="29"/>
      <c r="D108" s="29"/>
      <c r="G108" s="2602"/>
      <c r="H108" s="2602"/>
      <c r="I108" s="2602"/>
      <c r="J108" s="2602"/>
      <c r="K108" s="2602"/>
      <c r="L108" s="2602"/>
      <c r="M108" s="2602"/>
      <c r="N108" s="2602"/>
      <c r="O108" s="2602"/>
      <c r="P108" s="2602"/>
    </row>
    <row r="109" spans="2:16">
      <c r="B109" s="29"/>
      <c r="C109" s="29"/>
      <c r="D109" s="29"/>
      <c r="G109" s="2602"/>
      <c r="H109" s="2602"/>
      <c r="I109" s="2602"/>
      <c r="J109" s="2602"/>
      <c r="K109" s="2602"/>
      <c r="L109" s="2602"/>
      <c r="M109" s="2602"/>
      <c r="N109" s="2602"/>
      <c r="O109" s="2602"/>
      <c r="P109" s="2602"/>
    </row>
    <row r="110" spans="2:16">
      <c r="G110" s="2602"/>
      <c r="H110" s="2602"/>
      <c r="I110" s="2602"/>
      <c r="J110" s="2602"/>
      <c r="K110" s="2602"/>
      <c r="L110" s="2602"/>
      <c r="M110" s="2602"/>
      <c r="N110" s="2602"/>
      <c r="O110" s="2602"/>
      <c r="P110" s="2602"/>
    </row>
    <row r="111" spans="2:16">
      <c r="G111" s="2602"/>
      <c r="H111" s="2602"/>
      <c r="I111" s="2602"/>
      <c r="J111" s="2602"/>
      <c r="K111" s="2602"/>
      <c r="L111" s="2602"/>
      <c r="M111" s="2602"/>
      <c r="N111" s="2602"/>
      <c r="O111" s="2602"/>
      <c r="P111" s="2602"/>
    </row>
    <row r="112" spans="2:16">
      <c r="G112" s="2602"/>
      <c r="H112" s="2602"/>
      <c r="I112" s="2602"/>
      <c r="J112" s="2602"/>
      <c r="K112" s="2602"/>
      <c r="L112" s="2602"/>
      <c r="M112" s="2602"/>
      <c r="N112" s="2602"/>
      <c r="O112" s="2602"/>
      <c r="P112" s="2602"/>
    </row>
    <row r="113" spans="2:17">
      <c r="G113" s="2602"/>
      <c r="H113" s="2602"/>
      <c r="I113" s="2602"/>
      <c r="J113" s="2602"/>
      <c r="K113" s="2602"/>
      <c r="L113" s="2602"/>
      <c r="M113" s="2602"/>
      <c r="N113" s="2602"/>
      <c r="O113" s="2602"/>
      <c r="P113" s="2602"/>
    </row>
    <row r="114" spans="2:17">
      <c r="G114" s="2602"/>
      <c r="H114" s="2602"/>
      <c r="I114" s="2602"/>
      <c r="J114" s="2602"/>
      <c r="K114" s="2602"/>
      <c r="L114" s="2602"/>
      <c r="M114" s="2602"/>
      <c r="N114" s="2602"/>
      <c r="O114" s="2602"/>
      <c r="P114" s="2602"/>
    </row>
    <row r="115" spans="2:17">
      <c r="G115" s="2602"/>
      <c r="H115" s="2602"/>
      <c r="I115" s="2602"/>
      <c r="J115" s="2602"/>
      <c r="K115" s="2602"/>
      <c r="L115" s="2602"/>
      <c r="M115" s="2602"/>
      <c r="N115" s="2602"/>
      <c r="O115" s="2602"/>
      <c r="P115" s="2602"/>
    </row>
    <row r="116" spans="2:17">
      <c r="G116" s="2602"/>
      <c r="H116" s="2602"/>
      <c r="I116" s="2602"/>
      <c r="J116" s="2602"/>
      <c r="K116" s="2602"/>
      <c r="L116" s="2602"/>
      <c r="M116" s="2602"/>
      <c r="N116" s="2602"/>
      <c r="O116" s="2602"/>
      <c r="P116" s="2602"/>
    </row>
    <row r="117" spans="2:17">
      <c r="G117" s="2602"/>
      <c r="H117" s="2602"/>
      <c r="I117" s="2602"/>
      <c r="J117" s="2602"/>
      <c r="K117" s="2602"/>
      <c r="L117" s="2602"/>
      <c r="M117" s="2602"/>
      <c r="N117" s="2602"/>
      <c r="O117" s="2602"/>
      <c r="P117" s="2602"/>
    </row>
    <row r="118" spans="2:17">
      <c r="G118" s="2602"/>
      <c r="H118" s="2602"/>
      <c r="I118" s="2602"/>
      <c r="J118" s="2602"/>
      <c r="K118" s="2602"/>
      <c r="L118" s="2602"/>
      <c r="M118" s="2602"/>
      <c r="N118" s="2602"/>
      <c r="O118" s="2602"/>
      <c r="P118" s="2602"/>
    </row>
    <row r="119" spans="2:17">
      <c r="G119" s="2602"/>
      <c r="H119" s="2602"/>
      <c r="I119" s="2602"/>
      <c r="J119" s="2602"/>
      <c r="K119" s="2602"/>
      <c r="L119" s="2602"/>
      <c r="M119" s="2602"/>
      <c r="N119" s="2602"/>
      <c r="O119" s="2602"/>
      <c r="P119" s="2602"/>
      <c r="Q119" s="27"/>
    </row>
    <row r="120" spans="2:17">
      <c r="B120" s="440"/>
      <c r="C120" s="29"/>
      <c r="G120" s="2602"/>
      <c r="H120" s="2602"/>
      <c r="I120" s="2602"/>
      <c r="J120" s="2602"/>
      <c r="K120" s="2602"/>
      <c r="L120" s="2602"/>
      <c r="M120" s="2602"/>
      <c r="N120" s="2602"/>
      <c r="O120" s="2602"/>
      <c r="P120" s="2602"/>
    </row>
    <row r="121" spans="2:17">
      <c r="B121" s="440"/>
      <c r="C121" s="29"/>
      <c r="G121" s="2602"/>
      <c r="H121" s="2602"/>
      <c r="I121" s="2602"/>
      <c r="J121" s="2602"/>
      <c r="K121" s="2602"/>
      <c r="L121" s="2602"/>
      <c r="M121" s="2602"/>
      <c r="N121" s="2602"/>
      <c r="O121" s="2602"/>
      <c r="P121" s="2602"/>
    </row>
    <row r="122" spans="2:17">
      <c r="B122" s="440"/>
      <c r="C122" s="29"/>
      <c r="G122" s="2602"/>
      <c r="H122" s="2602"/>
      <c r="I122" s="2602"/>
      <c r="J122" s="2602"/>
      <c r="K122" s="2602"/>
      <c r="L122" s="2602"/>
      <c r="M122" s="2602"/>
      <c r="N122" s="2602"/>
      <c r="O122" s="2602"/>
      <c r="P122" s="2602"/>
    </row>
    <row r="123" spans="2:17">
      <c r="B123" s="440"/>
      <c r="C123" s="29"/>
      <c r="G123" s="2602"/>
      <c r="H123" s="2602"/>
      <c r="I123" s="2602"/>
      <c r="J123" s="2602"/>
      <c r="K123" s="2602"/>
      <c r="L123" s="2602"/>
      <c r="M123" s="2602"/>
      <c r="N123" s="2602"/>
      <c r="O123" s="2602"/>
      <c r="P123" s="2602"/>
    </row>
    <row r="124" spans="2:17">
      <c r="B124" s="440"/>
      <c r="C124" s="29"/>
      <c r="G124" s="2602"/>
      <c r="H124" s="2602"/>
      <c r="I124" s="2602"/>
      <c r="J124" s="2602"/>
      <c r="K124" s="2602"/>
      <c r="L124" s="2602"/>
      <c r="M124" s="2602"/>
      <c r="N124" s="2602"/>
      <c r="O124" s="2602"/>
      <c r="P124" s="2602"/>
    </row>
    <row r="125" spans="2:17">
      <c r="B125" s="440"/>
      <c r="C125" s="29"/>
      <c r="G125" s="2602"/>
      <c r="H125" s="2602"/>
      <c r="I125" s="2602"/>
      <c r="J125" s="2602"/>
      <c r="K125" s="2602"/>
      <c r="L125" s="2602"/>
      <c r="M125" s="2602"/>
      <c r="N125" s="2602"/>
      <c r="O125" s="2602"/>
      <c r="P125" s="2602"/>
    </row>
    <row r="126" spans="2:17">
      <c r="B126" s="440"/>
      <c r="C126" s="29"/>
      <c r="G126" s="2602"/>
      <c r="H126" s="2602"/>
      <c r="I126" s="2602"/>
      <c r="J126" s="2602"/>
      <c r="K126" s="2602"/>
      <c r="L126" s="2602"/>
      <c r="M126" s="2602"/>
      <c r="N126" s="2602"/>
      <c r="O126" s="2602"/>
      <c r="P126" s="2602"/>
    </row>
    <row r="127" spans="2:17">
      <c r="B127" s="440"/>
      <c r="C127" s="29"/>
      <c r="G127" s="2602"/>
      <c r="H127" s="2602"/>
      <c r="I127" s="2602"/>
      <c r="J127" s="2602"/>
      <c r="K127" s="2602"/>
      <c r="L127" s="2602"/>
      <c r="M127" s="2602"/>
      <c r="N127" s="2602"/>
      <c r="O127" s="2602"/>
      <c r="P127" s="2602"/>
    </row>
    <row r="128" spans="2:17">
      <c r="B128" s="440"/>
      <c r="C128" s="29"/>
      <c r="G128" s="2602"/>
      <c r="H128" s="2602"/>
      <c r="I128" s="2602"/>
      <c r="J128" s="2602"/>
      <c r="K128" s="2602"/>
      <c r="L128" s="2602"/>
      <c r="M128" s="2602"/>
      <c r="N128" s="2602"/>
      <c r="O128" s="2602"/>
      <c r="P128" s="2602"/>
    </row>
    <row r="129" spans="2:16">
      <c r="B129" s="440"/>
      <c r="C129" s="29"/>
      <c r="G129" s="2602"/>
      <c r="H129" s="2602"/>
      <c r="I129" s="2602"/>
      <c r="J129" s="2602"/>
      <c r="K129" s="2602"/>
      <c r="L129" s="2602"/>
      <c r="M129" s="2602"/>
      <c r="N129" s="2602"/>
      <c r="O129" s="2602"/>
      <c r="P129" s="2602"/>
    </row>
    <row r="130" spans="2:16">
      <c r="B130" s="440"/>
      <c r="C130" s="29"/>
      <c r="G130" s="2602"/>
      <c r="H130" s="2602"/>
      <c r="I130" s="2602"/>
      <c r="J130" s="2602"/>
      <c r="K130" s="2602"/>
      <c r="L130" s="2602"/>
      <c r="M130" s="2602"/>
      <c r="N130" s="2602"/>
      <c r="O130" s="2602"/>
      <c r="P130" s="2602"/>
    </row>
    <row r="131" spans="2:16">
      <c r="B131" s="440"/>
      <c r="C131" s="29"/>
      <c r="G131" s="2602"/>
      <c r="H131" s="2602"/>
      <c r="I131" s="2602"/>
      <c r="J131" s="2602"/>
      <c r="K131" s="2602"/>
      <c r="L131" s="2602"/>
      <c r="M131" s="2602"/>
      <c r="N131" s="2602"/>
      <c r="O131" s="2602"/>
      <c r="P131" s="2602"/>
    </row>
    <row r="132" spans="2:16">
      <c r="B132" s="440"/>
      <c r="C132" s="29"/>
      <c r="G132" s="2602"/>
      <c r="H132" s="2602"/>
      <c r="I132" s="2602"/>
      <c r="J132" s="2602"/>
      <c r="K132" s="2602"/>
      <c r="L132" s="2602"/>
      <c r="M132" s="2602"/>
      <c r="N132" s="2602"/>
      <c r="O132" s="2602"/>
      <c r="P132" s="2602"/>
    </row>
    <row r="133" spans="2:16">
      <c r="B133" s="440"/>
      <c r="C133" s="29"/>
      <c r="G133" s="2602"/>
      <c r="H133" s="2602"/>
      <c r="I133" s="2602"/>
      <c r="J133" s="2602"/>
      <c r="K133" s="2602"/>
      <c r="L133" s="2602"/>
      <c r="M133" s="2602"/>
      <c r="N133" s="2602"/>
      <c r="O133" s="2602"/>
      <c r="P133" s="2602"/>
    </row>
    <row r="134" spans="2:16">
      <c r="B134" s="440"/>
      <c r="C134" s="29"/>
      <c r="G134" s="2602"/>
      <c r="H134" s="2602"/>
      <c r="I134" s="2602"/>
      <c r="J134" s="2602"/>
      <c r="K134" s="2602"/>
      <c r="L134" s="2602"/>
      <c r="M134" s="2602"/>
      <c r="N134" s="2602"/>
      <c r="O134" s="2602"/>
      <c r="P134" s="2602"/>
    </row>
    <row r="135" spans="2:16">
      <c r="B135" s="440"/>
      <c r="C135" s="29"/>
      <c r="G135" s="2602"/>
      <c r="H135" s="2602"/>
      <c r="I135" s="2602"/>
      <c r="J135" s="2602"/>
      <c r="K135" s="2602"/>
      <c r="L135" s="2602"/>
      <c r="M135" s="2602"/>
      <c r="N135" s="2602"/>
      <c r="O135" s="2602"/>
      <c r="P135" s="2602"/>
    </row>
    <row r="136" spans="2:16">
      <c r="B136" s="440"/>
      <c r="C136" s="29"/>
      <c r="G136" s="2602"/>
      <c r="H136" s="2602"/>
      <c r="I136" s="2602"/>
      <c r="J136" s="2602"/>
      <c r="K136" s="2602"/>
      <c r="L136" s="2602"/>
      <c r="M136" s="2602"/>
      <c r="N136" s="2602"/>
      <c r="O136" s="2602"/>
      <c r="P136" s="2602"/>
    </row>
    <row r="137" spans="2:16">
      <c r="B137" s="440"/>
      <c r="C137" s="29"/>
      <c r="G137" s="2602"/>
      <c r="H137" s="2602"/>
      <c r="I137" s="2602"/>
      <c r="J137" s="2602"/>
      <c r="K137" s="2602"/>
      <c r="L137" s="2602"/>
      <c r="M137" s="2602"/>
      <c r="N137" s="2602"/>
      <c r="O137" s="2602"/>
      <c r="P137" s="2602"/>
    </row>
    <row r="138" spans="2:16">
      <c r="B138" s="440"/>
      <c r="C138" s="29"/>
      <c r="G138" s="2602"/>
      <c r="H138" s="2602"/>
      <c r="I138" s="2602"/>
      <c r="J138" s="2602"/>
      <c r="K138" s="2602"/>
      <c r="L138" s="2602"/>
      <c r="M138" s="2602"/>
      <c r="N138" s="2602"/>
      <c r="O138" s="2602"/>
      <c r="P138" s="2602"/>
    </row>
    <row r="139" spans="2:16">
      <c r="B139" s="440"/>
      <c r="C139" s="29"/>
      <c r="G139" s="2602"/>
      <c r="H139" s="2602"/>
      <c r="I139" s="2602"/>
      <c r="J139" s="2602"/>
      <c r="K139" s="2602"/>
      <c r="L139" s="2602"/>
      <c r="M139" s="2602"/>
      <c r="N139" s="2602"/>
      <c r="O139" s="2602"/>
      <c r="P139" s="2602"/>
    </row>
    <row r="140" spans="2:16">
      <c r="B140" s="440"/>
      <c r="C140" s="29"/>
      <c r="G140" s="2602"/>
      <c r="H140" s="2602"/>
      <c r="I140" s="2602"/>
      <c r="J140" s="2602"/>
      <c r="K140" s="2602"/>
      <c r="L140" s="2602"/>
      <c r="M140" s="2602"/>
      <c r="N140" s="2602"/>
      <c r="O140" s="2602"/>
      <c r="P140" s="2602"/>
    </row>
    <row r="141" spans="2:16">
      <c r="B141" s="440"/>
      <c r="C141" s="29"/>
      <c r="L141" s="29"/>
    </row>
    <row r="142" spans="2:16">
      <c r="B142" s="440"/>
      <c r="C142" s="29"/>
      <c r="L142" s="29"/>
    </row>
    <row r="143" spans="2:16">
      <c r="B143" s="440"/>
      <c r="C143" s="29"/>
      <c r="L143" s="29"/>
    </row>
    <row r="144" spans="2:16">
      <c r="B144" s="440"/>
      <c r="C144" s="29"/>
      <c r="L144" s="29"/>
    </row>
    <row r="145" spans="2:12">
      <c r="B145" s="440"/>
      <c r="C145" s="29"/>
      <c r="L145" s="29"/>
    </row>
    <row r="146" spans="2:12">
      <c r="B146" s="440"/>
      <c r="C146" s="29"/>
      <c r="L146" s="29"/>
    </row>
    <row r="147" spans="2:12">
      <c r="B147" s="440"/>
      <c r="C147" s="29"/>
      <c r="L147" s="29"/>
    </row>
    <row r="148" spans="2:12">
      <c r="B148" s="440"/>
      <c r="C148" s="29"/>
      <c r="L148" s="29"/>
    </row>
    <row r="149" spans="2:12">
      <c r="B149" s="440"/>
      <c r="C149" s="29"/>
    </row>
    <row r="150" spans="2:12">
      <c r="B150" s="440"/>
      <c r="C150" s="29"/>
    </row>
    <row r="151" spans="2:12">
      <c r="B151" s="440"/>
      <c r="C151" s="29"/>
      <c r="I151" s="1563"/>
    </row>
    <row r="152" spans="2:12">
      <c r="B152" s="440"/>
      <c r="C152" s="29"/>
      <c r="I152" s="1563"/>
    </row>
    <row r="153" spans="2:12">
      <c r="B153" s="440"/>
      <c r="C153" s="29"/>
      <c r="I153" s="1563"/>
    </row>
    <row r="154" spans="2:12">
      <c r="B154" s="440"/>
      <c r="C154" s="29"/>
      <c r="I154" s="1563"/>
    </row>
    <row r="155" spans="2:12">
      <c r="B155" s="440"/>
      <c r="C155" s="29"/>
      <c r="I155" s="1563"/>
    </row>
    <row r="156" spans="2:12">
      <c r="B156" s="440"/>
      <c r="C156" s="29"/>
      <c r="D156" s="29"/>
      <c r="F156" s="29"/>
      <c r="G156" s="29"/>
      <c r="H156" s="29"/>
      <c r="I156" s="29"/>
      <c r="J156" s="29"/>
      <c r="K156" s="29"/>
    </row>
    <row r="157" spans="2:12">
      <c r="B157" s="440"/>
      <c r="C157" s="29"/>
      <c r="D157" s="29"/>
      <c r="F157" s="29"/>
      <c r="G157" s="29"/>
      <c r="H157" s="29"/>
      <c r="I157" s="29"/>
      <c r="J157" s="29"/>
      <c r="K157" s="29"/>
    </row>
    <row r="158" spans="2:12">
      <c r="B158" s="440"/>
      <c r="C158" s="29"/>
      <c r="D158" s="29"/>
      <c r="F158" s="29"/>
      <c r="G158" s="29"/>
      <c r="H158" s="29"/>
      <c r="I158" s="29"/>
      <c r="J158" s="29"/>
      <c r="K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row r="207" spans="2:3">
      <c r="B207" s="440"/>
      <c r="C207" s="29"/>
    </row>
    <row r="208" spans="2:3">
      <c r="B208" s="440"/>
      <c r="C208" s="29"/>
    </row>
  </sheetData>
  <sheetProtection sheet="1" selectLockedCells="1"/>
  <dataConsolidate/>
  <customSheetViews>
    <customSheetView guid="{8063F48F-80B5-4ECD-B18A-51CBF126E780}" fitToPage="1" hiddenRows="1" hiddenColumns="1">
      <selection activeCell="AE33" sqref="AE33:AE34"/>
      <pageMargins left="0.59055118110236227" right="0.57999999999999996" top="0.59055118110236227" bottom="0.59055118110236227" header="0.39370078740157483" footer="0.39370078740157483"/>
      <printOptions horizontalCentered="1"/>
      <pageSetup paperSize="9" scale="70" firstPageNumber="80" orientation="portrait" r:id="rId1"/>
      <headerFooter alignWithMargins="0">
        <oddFooter>&amp;L&amp;11LEL Schwäbisch Gmünd&amp;R&amp;11&amp;F</oddFooter>
      </headerFooter>
    </customSheetView>
    <customSheetView guid="{5D5C9B61-9ABD-4513-AAEB-8333A9D6196C}" fitToPage="1" hiddenRows="1" hiddenColumns="1">
      <selection activeCell="AE33" sqref="AE33:AE34"/>
      <pageMargins left="0.59055118110236227" right="0.57999999999999996" top="0.59055118110236227" bottom="0.59055118110236227" header="0.39370078740157483" footer="0.39370078740157483"/>
      <printOptions horizontalCentered="1"/>
      <pageSetup paperSize="9" scale="70" firstPageNumber="80" orientation="portrait" r:id="rId2"/>
      <headerFooter alignWithMargins="0">
        <oddFooter>&amp;L&amp;11LEL Schwäbisch Gmünd&amp;R&amp;11&amp;F</oddFooter>
      </headerFooter>
    </customSheetView>
    <customSheetView guid="{22A73C4F-9004-4CEF-8499-B1F91BE1B569}" fitToPage="1" hiddenRows="1" hiddenColumns="1">
      <selection activeCell="AE33" sqref="AE33:AE34"/>
      <pageMargins left="0.59055118110236227" right="0.57999999999999996" top="0.59055118110236227" bottom="0.59055118110236227" header="0.39370078740157483" footer="0.39370078740157483"/>
      <printOptions horizontalCentered="1"/>
      <pageSetup paperSize="9" scale="70" firstPageNumber="80" orientation="portrait" r:id="rId3"/>
      <headerFooter alignWithMargins="0">
        <oddFooter>&amp;L&amp;11LEL Schwäbisch Gmünd&amp;R&amp;11&amp;F</oddFooter>
      </headerFooter>
    </customSheetView>
  </customSheetViews>
  <mergeCells count="48">
    <mergeCell ref="Q3:S6"/>
    <mergeCell ref="K1:L1"/>
    <mergeCell ref="N1:O1"/>
    <mergeCell ref="C16:F16"/>
    <mergeCell ref="H6:I6"/>
    <mergeCell ref="K2:P2"/>
    <mergeCell ref="E4:I4"/>
    <mergeCell ref="B3:H3"/>
    <mergeCell ref="C14:F14"/>
    <mergeCell ref="C15:F15"/>
    <mergeCell ref="N6:O6"/>
    <mergeCell ref="E10:F10"/>
    <mergeCell ref="K6:L6"/>
    <mergeCell ref="C19:F19"/>
    <mergeCell ref="C17:F17"/>
    <mergeCell ref="F23:G23"/>
    <mergeCell ref="C20:F20"/>
    <mergeCell ref="C21:F21"/>
    <mergeCell ref="C73:E73"/>
    <mergeCell ref="E22:G22"/>
    <mergeCell ref="C63:E63"/>
    <mergeCell ref="C68:E68"/>
    <mergeCell ref="C50:D50"/>
    <mergeCell ref="C48:D48"/>
    <mergeCell ref="C37:E37"/>
    <mergeCell ref="C39:E39"/>
    <mergeCell ref="C38:E38"/>
    <mergeCell ref="C40:E40"/>
    <mergeCell ref="C46:D46"/>
    <mergeCell ref="C36:E36"/>
    <mergeCell ref="D25:E25"/>
    <mergeCell ref="D26:E26"/>
    <mergeCell ref="C74:E74"/>
    <mergeCell ref="B75:C75"/>
    <mergeCell ref="F34:G34"/>
    <mergeCell ref="C41:E41"/>
    <mergeCell ref="C54:D54"/>
    <mergeCell ref="C57:D57"/>
    <mergeCell ref="C51:D51"/>
    <mergeCell ref="C56:D56"/>
    <mergeCell ref="C42:E42"/>
    <mergeCell ref="C64:E64"/>
    <mergeCell ref="C53:D53"/>
    <mergeCell ref="C52:D52"/>
    <mergeCell ref="C49:D49"/>
    <mergeCell ref="C47:D47"/>
    <mergeCell ref="C55:D55"/>
    <mergeCell ref="C62:E62"/>
  </mergeCells>
  <dataValidations count="6">
    <dataValidation type="whole" allowBlank="1" showInputMessage="1" showErrorMessage="1" errorTitle="Anteil Erntegut" error="Prozentwert darf nur zwischen 0 und 100 liegen." sqref="O68 L68 I68" xr:uid="{00000000-0002-0000-3B00-000000000000}">
      <formula1>0</formula1>
      <formula2>100</formula2>
    </dataValidation>
    <dataValidation type="list" allowBlank="1" showInputMessage="1" showErrorMessage="1" errorTitle="Organisationsabh. Ausgleichsl." error="Bitte aus Dropdownliste auswählen." sqref="C18:F18" xr:uid="{00000000-0002-0000-3B00-000001000000}">
      <formula1>$G$78:$G$79</formula1>
    </dataValidation>
    <dataValidation type="decimal" allowBlank="1" showInputMessage="1" showErrorMessage="1" errorTitle="Wassergehalt Getreide" error="Zulässig sind nur Werte zwischen 14,1 und 22,0 % Wassergehalt." sqref="H68 K68 N68" xr:uid="{00000000-0002-0000-3B00-000002000000}">
      <formula1>14.1</formula1>
      <formula2>22</formula2>
    </dataValidation>
    <dataValidation type="list" allowBlank="1" showInputMessage="1" showErrorMessage="1" sqref="K16:K17 H16:H17 N16:N17" xr:uid="{00000000-0002-0000-3B00-000003000000}">
      <formula1>"ja,nein"</formula1>
    </dataValidation>
    <dataValidation type="list" showInputMessage="1" showErrorMessage="1" sqref="H14:H15 K14:K15 N14:N15" xr:uid="{00000000-0002-0000-3B00-000004000000}">
      <formula1>"ja,nein"</formula1>
    </dataValidation>
    <dataValidation type="list" allowBlank="1" showInputMessage="1" showErrorMessage="1" errorTitle="Organisationsabh. Ausgleichsl." error="Bitte aus Dropdownliste auswählen." sqref="D19:F19" xr:uid="{00000000-0002-0000-3B00-000005000000}">
      <formula1>$C$60:$C$75</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4"/>
  <headerFooter alignWithMargins="0">
    <oddFooter>&amp;L&amp;11LEL Schwäbisch Gmünd&amp;R&amp;11&amp;F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3B00-000006000000}">
          <x14:formula1>
            <xm:f>'SD2'!$C$11:$C$50</xm:f>
          </x14:formula1>
          <xm:sqref>C14:F17</xm:sqref>
        </x14:dataValidation>
        <x14:dataValidation type="list" allowBlank="1" showInputMessage="1" showErrorMessage="1" errorTitle="Organisationsabh. Ausgleichsl." error="Bitte aus Dropdownliste auswählen." xr:uid="{00000000-0002-0000-3B00-000007000000}">
          <x14:formula1>
            <xm:f>'SD2'!$C$60:$C$77</xm:f>
          </x14:formula1>
          <xm:sqref>C19:C21</xm:sqref>
        </x14:dataValidation>
        <x14:dataValidation type="list" allowBlank="1" showInputMessage="1" showErrorMessage="1" errorTitle="Arbeitsgänge" error="Bitte aus Dropdownliste auswählen." xr:uid="{00000000-0002-0000-3B00-000008000000}">
          <x14:formula1>
            <xm:f>'SD3'!$C$23:$C$75</xm:f>
          </x14:formula1>
          <xm:sqref>C46:D57</xm:sqref>
        </x14:dataValidation>
        <x14:dataValidation type="list" allowBlank="1" showInputMessage="1" showErrorMessage="1" xr:uid="{00000000-0002-0000-3B00-000009000000}">
          <x14:formula1>
            <xm:f>SDÖ5!$C$5:$C$16</xm:f>
          </x14:formula1>
          <xm:sqref>C36:E42 C5</xm:sqref>
        </x14:dataValidation>
        <x14:dataValidation type="list" allowBlank="1" showInputMessage="1" showErrorMessage="1" errorTitle="Lohnmaschinen" error="Bitte aus Dropdownliste auswählen." xr:uid="{00000000-0002-0000-3B00-00000B000000}">
          <x14:formula1>
            <xm:f>'SD3'!$C$90:$C$104</xm:f>
          </x14:formula1>
          <xm:sqref>C62:E64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pageSetUpPr fitToPage="1"/>
  </sheetPr>
  <dimension ref="A1:AH191"/>
  <sheetViews>
    <sheetView workbookViewId="0"/>
  </sheetViews>
  <sheetFormatPr baseColWidth="10" defaultColWidth="10.19921875" defaultRowHeight="15"/>
  <cols>
    <col min="1" max="1" width="1.5" style="1823" customWidth="1"/>
    <col min="2" max="2" width="9.59765625" style="1823" customWidth="1"/>
    <col min="3" max="3" width="7.69921875" style="1824" customWidth="1"/>
    <col min="4" max="4" width="3.19921875" style="1824" customWidth="1"/>
    <col min="5" max="5" width="2.3984375" style="1824" customWidth="1"/>
    <col min="6" max="6" width="5.09765625" style="1824" customWidth="1"/>
    <col min="7" max="7" width="6" style="1824" customWidth="1"/>
    <col min="8" max="8" width="1.5" style="1824" customWidth="1"/>
    <col min="9" max="9" width="12" style="1824" customWidth="1"/>
    <col min="10" max="10" width="6" style="1824" customWidth="1"/>
    <col min="11" max="11" width="3.19921875" style="1824" customWidth="1"/>
    <col min="12" max="12" width="10.5" style="1824" customWidth="1"/>
    <col min="13" max="13" width="3.19921875" style="1824" customWidth="1"/>
    <col min="14" max="14" width="6" style="1824" customWidth="1"/>
    <col min="15" max="15" width="1.5" style="1824" customWidth="1"/>
    <col min="16" max="16" width="15" style="1823" customWidth="1"/>
    <col min="17" max="17" width="9.59765625" style="1823" customWidth="1"/>
    <col min="18" max="18" width="3.19921875" style="1823" customWidth="1"/>
    <col min="19" max="19" width="1.5" style="1823" customWidth="1"/>
    <col min="20" max="20" width="15" style="1823" customWidth="1"/>
    <col min="21" max="21" width="1.5" style="1823" customWidth="1"/>
    <col min="22" max="22" width="10.69921875" style="100" bestFit="1" customWidth="1"/>
    <col min="23" max="23" width="12.19921875" style="100" bestFit="1" customWidth="1"/>
    <col min="24" max="24" width="12.59765625" style="100" bestFit="1" customWidth="1"/>
    <col min="25" max="25" width="10.19921875" style="100"/>
    <col min="26" max="26" width="11.09765625" style="100" customWidth="1"/>
    <col min="27" max="27" width="10.19921875" style="100"/>
    <col min="28" max="28" width="0" style="100" hidden="1" customWidth="1"/>
    <col min="29" max="29" width="10.19921875" style="100"/>
    <col min="30" max="30" width="10.5" style="100" bestFit="1" customWidth="1"/>
    <col min="31" max="34" width="10.19921875" style="100"/>
    <col min="35" max="16384" width="10.19921875" style="1823"/>
  </cols>
  <sheetData>
    <row r="1" spans="1:27" ht="5.0999999999999996" customHeight="1" thickBot="1">
      <c r="A1" s="2075"/>
      <c r="B1" s="1893"/>
      <c r="C1" s="2169"/>
      <c r="D1" s="2169"/>
      <c r="E1" s="2169"/>
      <c r="F1" s="2169"/>
      <c r="G1" s="2169"/>
      <c r="H1" s="2169"/>
      <c r="I1" s="2169"/>
      <c r="J1" s="2169"/>
      <c r="K1" s="2169"/>
      <c r="L1" s="2169"/>
      <c r="M1" s="2169"/>
      <c r="N1" s="2169"/>
      <c r="O1" s="2169"/>
      <c r="P1" s="1893"/>
      <c r="Q1" s="1893"/>
      <c r="R1" s="1893"/>
      <c r="S1" s="1893"/>
      <c r="T1" s="1893"/>
      <c r="U1" s="1893"/>
      <c r="V1" s="1825"/>
      <c r="W1" s="1825"/>
      <c r="X1" s="1825"/>
      <c r="Y1" s="1825"/>
    </row>
    <row r="2" spans="1:27" ht="15" customHeight="1">
      <c r="A2" s="1893"/>
      <c r="B2" s="3796" t="s">
        <v>1337</v>
      </c>
      <c r="C2" s="3797"/>
      <c r="D2" s="3797"/>
      <c r="E2" s="3797"/>
      <c r="F2" s="3797"/>
      <c r="G2" s="3797"/>
      <c r="H2" s="3797"/>
      <c r="I2" s="3797"/>
      <c r="J2" s="3797"/>
      <c r="K2" s="3797"/>
      <c r="L2" s="3797"/>
      <c r="M2" s="3797"/>
      <c r="N2" s="3797"/>
      <c r="O2" s="3797"/>
      <c r="P2" s="3797"/>
      <c r="Q2" s="3797"/>
      <c r="R2" s="3797"/>
      <c r="S2" s="3797"/>
      <c r="T2" s="3798"/>
      <c r="U2" s="1893"/>
      <c r="V2" s="1825"/>
      <c r="W2" s="1825"/>
      <c r="X2" s="1825"/>
      <c r="Y2" s="1825"/>
    </row>
    <row r="3" spans="1:27" ht="15" customHeight="1" thickBot="1">
      <c r="A3" s="1893"/>
      <c r="B3" s="3799" t="s">
        <v>1336</v>
      </c>
      <c r="C3" s="3800"/>
      <c r="D3" s="3800"/>
      <c r="E3" s="3800"/>
      <c r="F3" s="3800"/>
      <c r="G3" s="3800"/>
      <c r="H3" s="3800"/>
      <c r="I3" s="3800"/>
      <c r="J3" s="3800"/>
      <c r="K3" s="3800"/>
      <c r="L3" s="3800"/>
      <c r="M3" s="3800"/>
      <c r="N3" s="3800"/>
      <c r="O3" s="3800"/>
      <c r="P3" s="3800"/>
      <c r="Q3" s="3800"/>
      <c r="R3" s="3800"/>
      <c r="S3" s="3800"/>
      <c r="T3" s="3801"/>
      <c r="U3" s="1893"/>
      <c r="V3" s="1825"/>
      <c r="W3" s="1825"/>
      <c r="X3" s="1825"/>
      <c r="Y3" s="1825"/>
    </row>
    <row r="4" spans="1:27" ht="5.0999999999999996" customHeight="1" thickBot="1">
      <c r="A4" s="1893"/>
      <c r="B4" s="2105"/>
      <c r="C4" s="2105"/>
      <c r="D4" s="2105"/>
      <c r="E4" s="2105"/>
      <c r="F4" s="2105"/>
      <c r="G4" s="2105"/>
      <c r="H4" s="2105"/>
      <c r="I4" s="2105"/>
      <c r="J4" s="2105"/>
      <c r="K4" s="2105"/>
      <c r="L4" s="2105"/>
      <c r="M4" s="2105"/>
      <c r="N4" s="2105"/>
      <c r="O4" s="2105"/>
      <c r="P4" s="2105"/>
      <c r="Q4" s="2105"/>
      <c r="R4" s="2105"/>
      <c r="S4" s="2105"/>
      <c r="T4" s="2105"/>
      <c r="U4" s="1893"/>
      <c r="V4" s="1825"/>
      <c r="W4" s="1825"/>
      <c r="X4" s="1825"/>
      <c r="Y4" s="1825"/>
    </row>
    <row r="5" spans="1:27" ht="20.100000000000001" customHeight="1" thickBot="1">
      <c r="A5" s="1893"/>
      <c r="B5" s="3811" t="s">
        <v>1335</v>
      </c>
      <c r="C5" s="3812"/>
      <c r="D5" s="3812"/>
      <c r="E5" s="3812"/>
      <c r="F5" s="3812"/>
      <c r="G5" s="3813"/>
      <c r="H5" s="2006"/>
      <c r="I5" s="2142" t="s">
        <v>1334</v>
      </c>
      <c r="J5" s="2168"/>
      <c r="K5" s="2168"/>
      <c r="L5" s="2167"/>
      <c r="M5" s="498"/>
      <c r="N5" s="2166"/>
      <c r="O5" s="2006"/>
      <c r="P5" s="2165" t="s">
        <v>1333</v>
      </c>
      <c r="Q5" s="2165"/>
      <c r="R5" s="2007"/>
      <c r="S5" s="2007"/>
      <c r="T5" s="2007"/>
      <c r="U5" s="1893"/>
      <c r="V5" s="1825"/>
      <c r="W5" s="2079">
        <v>1</v>
      </c>
      <c r="X5" s="2164" t="s">
        <v>1332</v>
      </c>
      <c r="Y5" s="2056"/>
      <c r="Z5" s="2077"/>
      <c r="AA5" s="2077"/>
    </row>
    <row r="6" spans="1:27" ht="15" customHeight="1" thickBot="1">
      <c r="A6" s="2075"/>
      <c r="B6" s="3808" t="s">
        <v>1331</v>
      </c>
      <c r="C6" s="3809"/>
      <c r="D6" s="3809"/>
      <c r="E6" s="3809"/>
      <c r="F6" s="3809"/>
      <c r="G6" s="3810"/>
      <c r="H6" s="2006"/>
      <c r="I6" s="218" t="s">
        <v>1330</v>
      </c>
      <c r="J6" s="39"/>
      <c r="K6" s="39"/>
      <c r="L6" s="2155">
        <v>1.4</v>
      </c>
      <c r="M6" s="48" t="str">
        <f>IF($W$5=1," kg/dt TM",IF($W$5=2,"kg/dt FM",""))</f>
        <v xml:space="preserve"> kg/dt TM</v>
      </c>
      <c r="N6" s="2154"/>
      <c r="O6" s="2006"/>
      <c r="P6" s="3804" t="s">
        <v>1329</v>
      </c>
      <c r="Q6" s="3805"/>
      <c r="R6" s="3805"/>
      <c r="S6" s="2163"/>
      <c r="T6" s="2149">
        <v>300</v>
      </c>
      <c r="U6" s="1893"/>
      <c r="V6" s="1825"/>
      <c r="W6" s="1825"/>
      <c r="X6" s="1825"/>
      <c r="Y6" s="1825"/>
    </row>
    <row r="7" spans="1:27" ht="15" customHeight="1" thickBot="1">
      <c r="A7" s="1893"/>
      <c r="B7" s="2007"/>
      <c r="C7" s="2007"/>
      <c r="D7" s="2007"/>
      <c r="E7" s="2007"/>
      <c r="F7" s="2007"/>
      <c r="G7" s="2007"/>
      <c r="H7" s="2006"/>
      <c r="I7" s="218" t="s">
        <v>1328</v>
      </c>
      <c r="J7" s="39"/>
      <c r="K7" s="39"/>
      <c r="L7" s="2162"/>
      <c r="M7" s="39" t="s">
        <v>612</v>
      </c>
      <c r="N7" s="2154"/>
      <c r="O7" s="2006"/>
      <c r="P7" s="3806"/>
      <c r="Q7" s="3807"/>
      <c r="R7" s="3807"/>
      <c r="S7" s="2161"/>
      <c r="T7" s="2149"/>
      <c r="U7" s="1893"/>
      <c r="V7" s="1825"/>
      <c r="W7" s="1825"/>
      <c r="X7" s="1825"/>
      <c r="Y7" s="1825"/>
    </row>
    <row r="8" spans="1:27" ht="15" customHeight="1" thickBot="1">
      <c r="A8" s="1893"/>
      <c r="B8" s="2160"/>
      <c r="C8" s="2160"/>
      <c r="D8" s="2160"/>
      <c r="E8" s="2160"/>
      <c r="F8" s="2160"/>
      <c r="G8" s="2006"/>
      <c r="H8" s="2006"/>
      <c r="I8" s="218" t="s">
        <v>1327</v>
      </c>
      <c r="J8" s="2156"/>
      <c r="K8" s="2156"/>
      <c r="L8" s="2155">
        <v>0.59</v>
      </c>
      <c r="M8" s="48" t="str">
        <f>IF($W$5=1," kg/dt TM",IF($W$5=2,"kg/dt FM",""))</f>
        <v xml:space="preserve"> kg/dt TM</v>
      </c>
      <c r="N8" s="2154"/>
      <c r="O8" s="2006"/>
      <c r="P8" s="3806" t="s">
        <v>1030</v>
      </c>
      <c r="Q8" s="3807"/>
      <c r="R8" s="3807"/>
      <c r="S8" s="2150"/>
      <c r="T8" s="2149"/>
      <c r="U8" s="1893"/>
      <c r="V8" s="1825"/>
      <c r="W8" s="2159">
        <f>IF(W5=1,D10,W9*W10)</f>
        <v>17</v>
      </c>
      <c r="X8" s="2153"/>
      <c r="Y8" s="1825"/>
    </row>
    <row r="9" spans="1:27" ht="15" customHeight="1" thickBot="1">
      <c r="A9" s="1893"/>
      <c r="B9" s="2158" t="s">
        <v>1326</v>
      </c>
      <c r="C9" s="2157"/>
      <c r="D9" s="2141"/>
      <c r="E9" s="2141"/>
      <c r="F9" s="2141"/>
      <c r="G9" s="2140"/>
      <c r="H9" s="2006"/>
      <c r="I9" s="218" t="s">
        <v>1325</v>
      </c>
      <c r="J9" s="2156"/>
      <c r="K9" s="2156"/>
      <c r="L9" s="2155">
        <v>1.67</v>
      </c>
      <c r="M9" s="48" t="str">
        <f>IF($W$5=1," kg/dt TM",IF($W$5=2,"kg/dt FM",""))</f>
        <v xml:space="preserve"> kg/dt TM</v>
      </c>
      <c r="N9" s="2154"/>
      <c r="O9" s="2006"/>
      <c r="P9" s="3806" t="s">
        <v>1324</v>
      </c>
      <c r="Q9" s="3807"/>
      <c r="R9" s="3807"/>
      <c r="S9" s="2150"/>
      <c r="T9" s="2149"/>
      <c r="U9" s="1893"/>
      <c r="V9" s="1825"/>
      <c r="W9" s="2147">
        <f>IF(W5=2,D11,W8/W10)</f>
        <v>51.515151515151516</v>
      </c>
      <c r="X9" s="2153"/>
      <c r="Y9" s="1825"/>
    </row>
    <row r="10" spans="1:27" ht="15" customHeight="1" thickBot="1">
      <c r="A10" s="1825"/>
      <c r="B10" s="2146" t="s">
        <v>1323</v>
      </c>
      <c r="C10" s="2145"/>
      <c r="D10" s="3802">
        <v>17</v>
      </c>
      <c r="E10" s="3803"/>
      <c r="F10" s="2144" t="str">
        <f>IF(W5=1,"t TM/ha","")</f>
        <v>t TM/ha</v>
      </c>
      <c r="G10" s="2143"/>
      <c r="H10" s="2006"/>
      <c r="I10" s="1512" t="s">
        <v>1322</v>
      </c>
      <c r="J10" s="2123"/>
      <c r="K10" s="2123"/>
      <c r="L10" s="2152">
        <v>0.23</v>
      </c>
      <c r="M10" s="2120" t="str">
        <f>IF($W$5=1," kg/dt TM",IF($W$5=2,"kg/dt FM",""))</f>
        <v xml:space="preserve"> kg/dt TM</v>
      </c>
      <c r="N10" s="2151"/>
      <c r="O10" s="2006"/>
      <c r="P10" s="3806"/>
      <c r="Q10" s="3807"/>
      <c r="R10" s="3807"/>
      <c r="S10" s="2150"/>
      <c r="T10" s="2149"/>
      <c r="U10" s="1893"/>
      <c r="V10" s="1825"/>
      <c r="W10" s="2148">
        <f>D12</f>
        <v>0.33</v>
      </c>
      <c r="X10" s="2147">
        <f>W9</f>
        <v>51.515151515151516</v>
      </c>
      <c r="Y10" s="1825"/>
    </row>
    <row r="11" spans="1:27" ht="15" customHeight="1" thickBot="1">
      <c r="A11" s="1893"/>
      <c r="B11" s="2146" t="s">
        <v>1321</v>
      </c>
      <c r="C11" s="2145"/>
      <c r="D11" s="3802"/>
      <c r="E11" s="3803"/>
      <c r="F11" s="2144" t="str">
        <f>IF(W5=2,"t FM/ha","")</f>
        <v/>
      </c>
      <c r="G11" s="2143"/>
      <c r="H11" s="2006"/>
      <c r="I11" s="2142" t="s">
        <v>1320</v>
      </c>
      <c r="J11" s="2141"/>
      <c r="K11" s="2141"/>
      <c r="L11" s="2141"/>
      <c r="M11" s="2141"/>
      <c r="N11" s="2140"/>
      <c r="O11" s="2006"/>
      <c r="P11" s="3792" t="s">
        <v>1319</v>
      </c>
      <c r="Q11" s="3793"/>
      <c r="R11" s="3793"/>
      <c r="S11" s="2139"/>
      <c r="T11" s="2138"/>
      <c r="U11" s="1893"/>
      <c r="V11" s="1825"/>
      <c r="W11" s="1825"/>
      <c r="X11" s="1825"/>
      <c r="Y11" s="1825"/>
    </row>
    <row r="12" spans="1:27" ht="15" customHeight="1" thickBot="1">
      <c r="A12" s="1893"/>
      <c r="B12" s="2137" t="s">
        <v>1318</v>
      </c>
      <c r="C12" s="2136"/>
      <c r="D12" s="3814">
        <v>0.33</v>
      </c>
      <c r="E12" s="3815"/>
      <c r="F12" s="3815"/>
      <c r="G12" s="3816"/>
      <c r="H12" s="2006"/>
      <c r="I12" s="218" t="s">
        <v>1259</v>
      </c>
      <c r="J12" s="39"/>
      <c r="K12" s="244" t="s">
        <v>1241</v>
      </c>
      <c r="L12" s="2127">
        <f>'SDK1'!O52</f>
        <v>1.19</v>
      </c>
      <c r="M12" s="48" t="s">
        <v>611</v>
      </c>
      <c r="N12" s="2126"/>
      <c r="O12" s="2006"/>
      <c r="P12" s="2135"/>
      <c r="Q12" s="2135"/>
      <c r="R12" s="2134" t="s">
        <v>1317</v>
      </c>
      <c r="S12" s="2134"/>
      <c r="T12" s="2133">
        <f>SUM(T6:T11)</f>
        <v>300</v>
      </c>
      <c r="U12" s="1893"/>
      <c r="V12" s="1893"/>
      <c r="W12" s="1893"/>
      <c r="X12" s="1893"/>
      <c r="Y12" s="1893"/>
      <c r="Z12" s="1823"/>
    </row>
    <row r="13" spans="1:27" ht="15" customHeight="1" thickBot="1">
      <c r="A13" s="1893"/>
      <c r="B13" s="2132" t="s">
        <v>1316</v>
      </c>
      <c r="C13" s="2131"/>
      <c r="D13" s="3817">
        <f>X10*1000/D14</f>
        <v>73.593073593073584</v>
      </c>
      <c r="E13" s="3817"/>
      <c r="F13" s="3817"/>
      <c r="G13" s="3818"/>
      <c r="H13" s="2006"/>
      <c r="I13" s="2130"/>
      <c r="J13" s="39"/>
      <c r="K13" s="244" t="s">
        <v>1315</v>
      </c>
      <c r="L13" s="2127">
        <f>'SDK1'!O53</f>
        <v>1.2</v>
      </c>
      <c r="M13" s="48" t="s">
        <v>611</v>
      </c>
      <c r="N13" s="2126"/>
      <c r="O13" s="2006"/>
      <c r="P13" s="2007"/>
      <c r="Q13" s="2007"/>
      <c r="R13" s="2007"/>
      <c r="S13" s="2007"/>
      <c r="T13" s="2007"/>
      <c r="U13" s="1893"/>
      <c r="V13" s="1893"/>
      <c r="W13" s="1825"/>
      <c r="X13" s="1825"/>
      <c r="Y13" s="1825"/>
    </row>
    <row r="14" spans="1:27" ht="15" customHeight="1" thickBot="1">
      <c r="A14" s="1893"/>
      <c r="B14" s="2124" t="s">
        <v>1314</v>
      </c>
      <c r="C14" s="2129"/>
      <c r="D14" s="3819">
        <v>700</v>
      </c>
      <c r="E14" s="3820"/>
      <c r="F14" s="3820"/>
      <c r="G14" s="3821"/>
      <c r="H14" s="2006"/>
      <c r="I14" s="2128"/>
      <c r="J14" s="39"/>
      <c r="K14" s="244" t="s">
        <v>1313</v>
      </c>
      <c r="L14" s="2127">
        <f>'SDK1'!O54</f>
        <v>0.99</v>
      </c>
      <c r="M14" s="48" t="s">
        <v>611</v>
      </c>
      <c r="N14" s="2126"/>
      <c r="O14" s="2006"/>
      <c r="P14" s="3794" t="s">
        <v>1312</v>
      </c>
      <c r="Q14" s="3795"/>
      <c r="R14" s="2007"/>
      <c r="S14" s="2007"/>
      <c r="T14" s="2007"/>
      <c r="U14" s="1893"/>
      <c r="V14" s="1893"/>
      <c r="W14" s="1825"/>
      <c r="X14" s="1825"/>
      <c r="Y14" s="1825"/>
    </row>
    <row r="15" spans="1:27" ht="15" customHeight="1" thickBot="1">
      <c r="A15" s="1893"/>
      <c r="B15" s="2007"/>
      <c r="C15" s="2125"/>
      <c r="D15" s="2125"/>
      <c r="E15" s="2125"/>
      <c r="F15" s="2125"/>
      <c r="G15" s="2125"/>
      <c r="H15" s="2006"/>
      <c r="I15" s="2124"/>
      <c r="J15" s="2123"/>
      <c r="K15" s="2122" t="s">
        <v>1235</v>
      </c>
      <c r="L15" s="2121">
        <f>'SDK1'!P55</f>
        <v>0.45</v>
      </c>
      <c r="M15" s="2120" t="s">
        <v>611</v>
      </c>
      <c r="N15" s="2119"/>
      <c r="O15" s="2006"/>
      <c r="P15" s="3830" t="s">
        <v>1311</v>
      </c>
      <c r="Q15" s="3831"/>
      <c r="R15" s="2007"/>
      <c r="S15" s="2007"/>
      <c r="T15" s="2007"/>
      <c r="U15" s="1893"/>
      <c r="V15" s="1893"/>
      <c r="W15" s="1825"/>
      <c r="X15" s="1825"/>
      <c r="Y15" s="1825"/>
    </row>
    <row r="16" spans="1:27" ht="15" customHeight="1" thickBot="1">
      <c r="A16" s="1893"/>
      <c r="B16" s="2118" t="s">
        <v>1310</v>
      </c>
      <c r="C16" s="2117"/>
      <c r="D16" s="3842">
        <f>'SDK4'!Q50</f>
        <v>20</v>
      </c>
      <c r="E16" s="3843"/>
      <c r="F16" s="3843"/>
      <c r="G16" s="3844"/>
      <c r="H16" s="2006"/>
      <c r="I16" s="2116" t="s">
        <v>1309</v>
      </c>
      <c r="J16" s="2115"/>
      <c r="K16" s="2115"/>
      <c r="L16" s="2115"/>
      <c r="M16" s="2115"/>
      <c r="N16" s="2114">
        <v>0.8</v>
      </c>
      <c r="O16" s="2006"/>
      <c r="P16" s="3832">
        <v>0.1</v>
      </c>
      <c r="Q16" s="3833"/>
      <c r="R16" s="2007"/>
      <c r="S16" s="2007"/>
      <c r="T16" s="2007"/>
      <c r="U16" s="1893"/>
      <c r="V16" s="1825"/>
      <c r="W16" s="1825"/>
      <c r="X16" s="1825"/>
      <c r="Y16" s="1825"/>
    </row>
    <row r="17" spans="1:34" ht="3.9" customHeight="1">
      <c r="A17" s="2106"/>
      <c r="B17" s="2108"/>
      <c r="C17" s="2113"/>
      <c r="D17" s="2112"/>
      <c r="E17" s="2112"/>
      <c r="F17" s="2112"/>
      <c r="G17" s="2112"/>
      <c r="H17" s="226"/>
      <c r="I17" s="2108"/>
      <c r="J17" s="173"/>
      <c r="K17" s="2111"/>
      <c r="L17" s="2110"/>
      <c r="M17" s="2109"/>
      <c r="N17" s="2108"/>
      <c r="O17" s="226"/>
      <c r="P17" s="2107"/>
      <c r="Q17" s="2107"/>
      <c r="R17" s="2107"/>
      <c r="S17" s="2107"/>
      <c r="T17" s="2107"/>
      <c r="U17" s="2106"/>
      <c r="V17" s="1825"/>
      <c r="W17" s="1825"/>
      <c r="X17" s="1825"/>
      <c r="Y17" s="1825"/>
    </row>
    <row r="18" spans="1:34" ht="30.45" customHeight="1" thickBot="1">
      <c r="A18" s="1893"/>
      <c r="B18" s="2104"/>
      <c r="C18" s="2105"/>
      <c r="D18" s="2104"/>
      <c r="E18" s="2104"/>
      <c r="F18" s="2104"/>
      <c r="G18" s="2104"/>
      <c r="H18" s="2104"/>
      <c r="I18" s="2104"/>
      <c r="J18" s="2104"/>
      <c r="K18" s="2104"/>
      <c r="L18" s="2104"/>
      <c r="M18" s="2104"/>
      <c r="N18" s="2104"/>
      <c r="O18" s="2104"/>
      <c r="P18" s="2104"/>
      <c r="Q18" s="2104"/>
      <c r="R18" s="2103"/>
      <c r="S18" s="2103"/>
      <c r="T18" s="1825"/>
      <c r="U18" s="1893"/>
      <c r="V18" s="1825"/>
      <c r="W18" s="1825"/>
      <c r="X18" s="1825"/>
      <c r="Y18" s="1825"/>
    </row>
    <row r="19" spans="1:34" ht="15" customHeight="1">
      <c r="A19" s="1893"/>
      <c r="B19" s="3840" t="s">
        <v>1308</v>
      </c>
      <c r="C19" s="3841"/>
      <c r="D19" s="2102"/>
      <c r="E19" s="2101"/>
      <c r="F19" s="2101"/>
      <c r="G19" s="2101"/>
      <c r="H19" s="2101"/>
      <c r="I19" s="2101"/>
      <c r="J19" s="2101"/>
      <c r="K19" s="2101"/>
      <c r="L19" s="2101"/>
      <c r="M19" s="2101"/>
      <c r="N19" s="2101"/>
      <c r="O19" s="2100"/>
      <c r="P19" s="3834" t="s">
        <v>1117</v>
      </c>
      <c r="Q19" s="3835"/>
      <c r="R19" s="2019"/>
      <c r="S19" s="2099"/>
      <c r="T19" s="2098" t="s">
        <v>1116</v>
      </c>
      <c r="U19" s="1893"/>
      <c r="V19" s="1825"/>
      <c r="W19" s="1825"/>
      <c r="X19" s="1825"/>
      <c r="Y19" s="1825"/>
    </row>
    <row r="20" spans="1:34" ht="15" customHeight="1">
      <c r="A20" s="1893"/>
      <c r="B20" s="3838" t="s">
        <v>1307</v>
      </c>
      <c r="C20" s="3839"/>
      <c r="D20" s="2092"/>
      <c r="E20" s="2091"/>
      <c r="F20" s="2091"/>
      <c r="G20" s="2091"/>
      <c r="H20" s="2091"/>
      <c r="I20" s="2091"/>
      <c r="J20" s="2091"/>
      <c r="K20" s="2091"/>
      <c r="L20" s="2091"/>
      <c r="M20" s="2091"/>
      <c r="N20" s="2091"/>
      <c r="O20" s="2091"/>
      <c r="P20" s="3836" t="s">
        <v>1306</v>
      </c>
      <c r="Q20" s="3837"/>
      <c r="R20" s="1932"/>
      <c r="S20" s="2097"/>
      <c r="T20" s="2096" t="s">
        <v>1305</v>
      </c>
      <c r="U20" s="1893"/>
      <c r="V20" s="1825"/>
      <c r="W20" s="1825"/>
      <c r="X20" s="1825"/>
      <c r="Y20" s="1825"/>
    </row>
    <row r="21" spans="1:34" ht="15" customHeight="1" thickBot="1">
      <c r="A21" s="1893"/>
      <c r="B21" s="2094"/>
      <c r="C21" s="2093"/>
      <c r="D21" s="2092"/>
      <c r="E21" s="2091"/>
      <c r="F21" s="2091"/>
      <c r="G21" s="2091"/>
      <c r="H21" s="2091"/>
      <c r="I21" s="2091"/>
      <c r="J21" s="2091"/>
      <c r="K21" s="2091"/>
      <c r="L21" s="2091"/>
      <c r="M21" s="2091"/>
      <c r="N21" s="2091"/>
      <c r="O21" s="2091"/>
      <c r="P21" s="3836" t="s">
        <v>1301</v>
      </c>
      <c r="Q21" s="3837"/>
      <c r="R21" s="1932"/>
      <c r="S21" s="2023"/>
      <c r="T21" s="2095" t="s">
        <v>706</v>
      </c>
      <c r="U21" s="1893"/>
      <c r="V21" s="1825"/>
      <c r="W21" s="1825"/>
      <c r="X21" s="1825"/>
      <c r="Y21" s="1825"/>
    </row>
    <row r="22" spans="1:34" ht="15" customHeight="1" thickBot="1">
      <c r="A22" s="1893"/>
      <c r="B22" s="2094" t="s">
        <v>1304</v>
      </c>
      <c r="C22" s="2093"/>
      <c r="D22" s="2092"/>
      <c r="E22" s="2091"/>
      <c r="F22" s="2091"/>
      <c r="G22" s="2091"/>
      <c r="H22" s="2091"/>
      <c r="I22" s="2091"/>
      <c r="J22" s="2091"/>
      <c r="K22" s="2091"/>
      <c r="L22" s="2091"/>
      <c r="M22" s="2091"/>
      <c r="N22" s="2091"/>
      <c r="O22" s="2091"/>
      <c r="P22" s="2090" t="s">
        <v>1303</v>
      </c>
      <c r="Q22" s="2089" t="s">
        <v>1302</v>
      </c>
      <c r="R22" s="1932"/>
      <c r="S22" s="2023"/>
      <c r="T22" s="2088" t="s">
        <v>1301</v>
      </c>
      <c r="U22" s="1893"/>
      <c r="V22" s="1825"/>
      <c r="W22" s="1825"/>
      <c r="X22" s="1825"/>
      <c r="Y22" s="1825"/>
    </row>
    <row r="23" spans="1:34" ht="17.7" customHeight="1">
      <c r="A23" s="1893"/>
      <c r="B23" s="3828" t="s">
        <v>1300</v>
      </c>
      <c r="C23" s="3826" t="s">
        <v>1299</v>
      </c>
      <c r="D23" s="2046" t="s">
        <v>1298</v>
      </c>
      <c r="E23" s="2045"/>
      <c r="F23" s="2045"/>
      <c r="G23" s="2045"/>
      <c r="H23" s="2045"/>
      <c r="I23" s="2045"/>
      <c r="J23" s="2045"/>
      <c r="K23" s="2045"/>
      <c r="L23" s="2045"/>
      <c r="M23" s="2045"/>
      <c r="N23" s="2045"/>
      <c r="O23" s="2044"/>
      <c r="P23" s="2043">
        <v>139</v>
      </c>
      <c r="Q23" s="2042">
        <f>P23/((100+'SDK1'!$O$10)/100)</f>
        <v>139</v>
      </c>
      <c r="R23" s="1932"/>
      <c r="S23" s="2029"/>
      <c r="T23" s="2087">
        <f t="shared" ref="T23:T29" si="0">P23</f>
        <v>139</v>
      </c>
      <c r="U23" s="1893"/>
      <c r="V23" s="1825"/>
      <c r="W23" s="1825"/>
      <c r="X23" s="1825"/>
      <c r="Y23" s="1825"/>
    </row>
    <row r="24" spans="1:34" ht="17.7" customHeight="1">
      <c r="A24" s="1893"/>
      <c r="B24" s="3828"/>
      <c r="C24" s="3826"/>
      <c r="D24" s="2086" t="s">
        <v>770</v>
      </c>
      <c r="E24" s="1944"/>
      <c r="F24" s="1944"/>
      <c r="G24" s="1944"/>
      <c r="H24" s="1944"/>
      <c r="I24" s="1944"/>
      <c r="J24" s="1944"/>
      <c r="K24" s="1263"/>
      <c r="L24" s="1944"/>
      <c r="M24" s="1263"/>
      <c r="N24" s="1944"/>
      <c r="O24" s="2085" t="str">
        <f>IF(P24=0,"(bitte TM/FM, Nährstoffentzug und Nährstoffkosten erfassen!; s. oben)","")</f>
        <v/>
      </c>
      <c r="P24" s="1942">
        <f>IF(W5=1,(D10*10*(L6*L12+L8*L13+L9*L14+L10*L15))-(L7*L12),IF(W5=2,(D11*10*(L6*L12+L8*L13+L9*L14+L10*L15))-(L7*L12),0))</f>
        <v>702.23599999999999</v>
      </c>
      <c r="Q24" s="2035">
        <f>P24/((100+'SDK1'!$O$11)/100)</f>
        <v>702.23599999999999</v>
      </c>
      <c r="R24" s="1932"/>
      <c r="S24" s="2029"/>
      <c r="T24" s="1939">
        <f t="shared" si="0"/>
        <v>702.23599999999999</v>
      </c>
      <c r="U24" s="1893"/>
      <c r="V24" s="1825"/>
      <c r="W24" s="1825"/>
      <c r="X24" s="1825"/>
      <c r="Y24" s="1825"/>
    </row>
    <row r="25" spans="1:34" ht="17.7" customHeight="1">
      <c r="A25" s="1893"/>
      <c r="B25" s="3828"/>
      <c r="C25" s="3826"/>
      <c r="D25" s="2084" t="s">
        <v>1297</v>
      </c>
      <c r="E25" s="1944"/>
      <c r="F25" s="1944"/>
      <c r="G25" s="1944"/>
      <c r="H25" s="1944"/>
      <c r="I25" s="1944"/>
      <c r="J25" s="2083">
        <v>1</v>
      </c>
      <c r="K25" s="2082"/>
      <c r="L25" s="2081" t="s">
        <v>1296</v>
      </c>
      <c r="M25" s="2082"/>
      <c r="N25" s="2081" t="s">
        <v>1295</v>
      </c>
      <c r="O25" s="2080"/>
      <c r="P25" s="1942">
        <f>IF(W25=2,0,IF(W25=1,IF(W5=1,D10*J25*10*(L6*L12*(100%-W26)+L8*L13+L9*L14+L10*L15)*-1,IF(W5=2,D11*J25*10*(L6*L12*(100%-W26)+L8*L13+L9*L14+L10*L15)*-1,0))))</f>
        <v>0</v>
      </c>
      <c r="Q25" s="2035">
        <f>P25/((100+'SDK1'!$O$11)/100)</f>
        <v>0</v>
      </c>
      <c r="R25" s="1932"/>
      <c r="S25" s="2029"/>
      <c r="T25" s="1939">
        <f t="shared" si="0"/>
        <v>0</v>
      </c>
      <c r="U25" s="1893"/>
      <c r="V25" s="1825"/>
      <c r="W25" s="2079">
        <v>2</v>
      </c>
      <c r="X25" s="2056" t="s">
        <v>1294</v>
      </c>
      <c r="Y25" s="2056"/>
      <c r="Z25" s="2078"/>
      <c r="AA25" s="2077"/>
      <c r="AD25" s="2076"/>
    </row>
    <row r="26" spans="1:34" ht="17.7" customHeight="1">
      <c r="A26" s="2075"/>
      <c r="B26" s="3828"/>
      <c r="C26" s="3826"/>
      <c r="D26" s="2038" t="s">
        <v>1293</v>
      </c>
      <c r="E26" s="1855"/>
      <c r="F26" s="1855"/>
      <c r="G26" s="1855"/>
      <c r="H26" s="1855"/>
      <c r="I26" s="1855"/>
      <c r="J26" s="1855"/>
      <c r="K26" s="1855"/>
      <c r="L26" s="1855"/>
      <c r="M26" s="1855"/>
      <c r="N26" s="1855"/>
      <c r="O26" s="2037"/>
      <c r="P26" s="2036">
        <v>73</v>
      </c>
      <c r="Q26" s="2035">
        <f>P26/((100+'SDK1'!$O$11)/100)</f>
        <v>73</v>
      </c>
      <c r="R26" s="1932"/>
      <c r="S26" s="2029"/>
      <c r="T26" s="2034">
        <f t="shared" si="0"/>
        <v>73</v>
      </c>
      <c r="U26" s="1893"/>
      <c r="V26" s="1825"/>
      <c r="W26" s="2074">
        <f>N106</f>
        <v>0.28000000000000003</v>
      </c>
      <c r="X26" s="2056" t="s">
        <v>1292</v>
      </c>
      <c r="Y26" s="2073"/>
    </row>
    <row r="27" spans="1:34" ht="17.7" customHeight="1">
      <c r="A27" s="1893"/>
      <c r="B27" s="3829"/>
      <c r="C27" s="3826"/>
      <c r="D27" s="2038" t="s">
        <v>609</v>
      </c>
      <c r="E27" s="1855"/>
      <c r="F27" s="1855"/>
      <c r="G27" s="1855"/>
      <c r="H27" s="1855"/>
      <c r="I27" s="1855"/>
      <c r="J27" s="1855"/>
      <c r="K27" s="1855"/>
      <c r="L27" s="1855"/>
      <c r="M27" s="1855"/>
      <c r="N27" s="1855"/>
      <c r="O27" s="2037"/>
      <c r="P27" s="2036">
        <v>22</v>
      </c>
      <c r="Q27" s="2035">
        <f>P27</f>
        <v>22</v>
      </c>
      <c r="R27" s="1932"/>
      <c r="S27" s="2029"/>
      <c r="T27" s="2034">
        <f t="shared" si="0"/>
        <v>22</v>
      </c>
      <c r="U27" s="1893"/>
      <c r="V27" s="1825"/>
      <c r="W27" s="1825"/>
      <c r="X27" s="1825"/>
      <c r="Y27" s="1825"/>
    </row>
    <row r="28" spans="1:34" ht="17.7" customHeight="1">
      <c r="A28" s="1893"/>
      <c r="B28" s="2072">
        <v>0.5</v>
      </c>
      <c r="C28" s="3827"/>
      <c r="D28" s="2038" t="s">
        <v>1291</v>
      </c>
      <c r="E28" s="1855"/>
      <c r="F28" s="1855"/>
      <c r="G28" s="1855"/>
      <c r="H28" s="1855"/>
      <c r="I28" s="1855"/>
      <c r="J28" s="1855"/>
      <c r="K28" s="1855"/>
      <c r="L28" s="1855"/>
      <c r="M28" s="1855"/>
      <c r="N28" s="1855"/>
      <c r="O28" s="2037"/>
      <c r="P28" s="2036"/>
      <c r="Q28" s="2035">
        <f>P28/((100+'SDK1'!$O$11)/100)</f>
        <v>0</v>
      </c>
      <c r="R28" s="1932"/>
      <c r="S28" s="2029"/>
      <c r="T28" s="2034">
        <f t="shared" si="0"/>
        <v>0</v>
      </c>
      <c r="U28" s="1893"/>
      <c r="V28" s="1825"/>
      <c r="W28" s="1825"/>
      <c r="X28" s="1825"/>
      <c r="Y28" s="1825"/>
    </row>
    <row r="29" spans="1:34" s="2068" customFormat="1" ht="17.7" customHeight="1">
      <c r="A29" s="2069"/>
      <c r="B29" s="1965"/>
      <c r="C29" s="1964"/>
      <c r="D29" s="1963" t="s">
        <v>1263</v>
      </c>
      <c r="E29" s="255"/>
      <c r="F29" s="255"/>
      <c r="G29" s="255"/>
      <c r="H29" s="255"/>
      <c r="I29" s="255"/>
      <c r="J29" s="255"/>
      <c r="K29" s="255"/>
      <c r="L29" s="1962" t="s">
        <v>1262</v>
      </c>
      <c r="M29" s="3772" t="s">
        <v>577</v>
      </c>
      <c r="N29" s="3772"/>
      <c r="O29" s="1961"/>
      <c r="P29" s="1960" t="e">
        <f>SUM(M31:N37)</f>
        <v>#N/A</v>
      </c>
      <c r="Q29" s="2065" t="e">
        <f>P29/((100+'SDK1'!$O$11)/100)</f>
        <v>#N/A</v>
      </c>
      <c r="R29" s="1932"/>
      <c r="S29" s="2071"/>
      <c r="T29" s="2070" t="e">
        <f t="shared" si="0"/>
        <v>#N/A</v>
      </c>
      <c r="U29" s="2069"/>
      <c r="V29" s="1825"/>
      <c r="W29" s="1825"/>
      <c r="X29" s="1825"/>
      <c r="Y29" s="1825"/>
      <c r="Z29" s="100"/>
      <c r="AA29" s="100"/>
      <c r="AB29" s="100"/>
      <c r="AC29" s="100"/>
      <c r="AD29" s="100"/>
      <c r="AE29" s="100"/>
      <c r="AF29" s="100"/>
      <c r="AG29" s="100"/>
      <c r="AH29" s="100"/>
    </row>
    <row r="30" spans="1:34" s="2068" customFormat="1" ht="17.7" customHeight="1">
      <c r="A30" s="2069"/>
      <c r="B30" s="1965"/>
      <c r="C30" s="1964"/>
      <c r="D30" s="1963" t="s">
        <v>1290</v>
      </c>
      <c r="E30" s="255"/>
      <c r="F30" s="255"/>
      <c r="G30" s="255"/>
      <c r="H30" s="255"/>
      <c r="I30" s="255"/>
      <c r="J30" s="255"/>
      <c r="K30" s="255"/>
      <c r="L30" s="1962" t="s">
        <v>1271</v>
      </c>
      <c r="M30" s="3776" t="s">
        <v>1259</v>
      </c>
      <c r="N30" s="3776"/>
      <c r="O30" s="1961"/>
      <c r="P30" s="1960"/>
      <c r="Q30" s="1959"/>
      <c r="R30" s="1932"/>
      <c r="S30" s="2071"/>
      <c r="T30" s="2070"/>
      <c r="U30" s="2069"/>
      <c r="V30" s="1825"/>
      <c r="W30" s="1825"/>
      <c r="X30" s="1825"/>
      <c r="Y30" s="1825"/>
      <c r="Z30" s="100"/>
      <c r="AA30" s="100"/>
      <c r="AB30" s="100"/>
      <c r="AC30" s="100"/>
      <c r="AD30" s="100"/>
      <c r="AE30" s="100"/>
      <c r="AF30" s="100"/>
      <c r="AG30" s="100"/>
      <c r="AH30" s="100"/>
    </row>
    <row r="31" spans="1:34" ht="14.25" customHeight="1">
      <c r="A31" s="1893"/>
      <c r="B31" s="1947">
        <f t="shared" ref="B31:B37" si="1">D31*C31*(1+$B$28)</f>
        <v>1.1850000000000001</v>
      </c>
      <c r="C31" s="1989">
        <f>VLOOKUP(AB31,'SD3'!$B$24:$O$85,13,FALSE)</f>
        <v>0.79</v>
      </c>
      <c r="D31" s="1988">
        <v>1</v>
      </c>
      <c r="E31" s="1955" t="str">
        <f t="shared" ref="E31:E37" si="2">IF(D31&gt;0,"x","")</f>
        <v>x</v>
      </c>
      <c r="F31" s="3773" t="str">
        <f>VLOOKUP(AB31,'SD3'!$B$24:$C$85,2,FALSE)</f>
        <v>Schwergrubber 3 m</v>
      </c>
      <c r="G31" s="3773"/>
      <c r="H31" s="3773"/>
      <c r="I31" s="3773"/>
      <c r="J31" s="3773"/>
      <c r="K31" s="1263"/>
      <c r="L31" s="1987">
        <f>VLOOKUP(AB31,'SD3'!$B$24:$O$85,14,FALSE)</f>
        <v>27.987262000000001</v>
      </c>
      <c r="M31" s="3774">
        <f t="shared" ref="M31:M37" si="3">D31*L31</f>
        <v>27.987262000000001</v>
      </c>
      <c r="N31" s="3774"/>
      <c r="O31" s="1951"/>
      <c r="P31" s="1950"/>
      <c r="Q31" s="1949"/>
      <c r="R31" s="1932"/>
      <c r="S31" s="2029"/>
      <c r="T31" s="1948"/>
      <c r="U31" s="1893"/>
      <c r="V31" s="1825"/>
      <c r="W31" s="1825"/>
      <c r="X31" s="1825"/>
      <c r="Y31" s="1825"/>
      <c r="AB31" s="1392">
        <v>2</v>
      </c>
    </row>
    <row r="32" spans="1:34" ht="14.25" customHeight="1">
      <c r="A32" s="1893"/>
      <c r="B32" s="1947">
        <f t="shared" si="1"/>
        <v>1.53</v>
      </c>
      <c r="C32" s="1989">
        <f>VLOOKUP(AB32,'SD3'!$B$24:$O$85,13,FALSE)</f>
        <v>1.02</v>
      </c>
      <c r="D32" s="1988">
        <v>1</v>
      </c>
      <c r="E32" s="1955" t="str">
        <f t="shared" si="2"/>
        <v>x</v>
      </c>
      <c r="F32" s="3773" t="str">
        <f>VLOOKUP(AB32,'SD3'!$B$24:$C$85,2,FALSE)</f>
        <v>Kreiselegge 3 m</v>
      </c>
      <c r="G32" s="3773"/>
      <c r="H32" s="3773"/>
      <c r="I32" s="3773"/>
      <c r="J32" s="3773"/>
      <c r="K32" s="1263"/>
      <c r="L32" s="1987">
        <f>VLOOKUP(AB32,'SD3'!$B$24:$O$85,14,FALSE)</f>
        <v>29.5819738</v>
      </c>
      <c r="M32" s="3774">
        <f t="shared" si="3"/>
        <v>29.5819738</v>
      </c>
      <c r="N32" s="3774"/>
      <c r="O32" s="1951"/>
      <c r="P32" s="1950"/>
      <c r="Q32" s="1949"/>
      <c r="R32" s="1932"/>
      <c r="S32" s="2029"/>
      <c r="T32" s="1948"/>
      <c r="U32" s="1893"/>
      <c r="V32" s="1825"/>
      <c r="W32" s="1825"/>
      <c r="X32" s="1825"/>
      <c r="Y32" s="1825"/>
      <c r="AB32" s="1392">
        <v>4</v>
      </c>
    </row>
    <row r="33" spans="1:28" ht="14.25" customHeight="1">
      <c r="A33" s="1893"/>
      <c r="B33" s="1947">
        <f t="shared" si="1"/>
        <v>3.93</v>
      </c>
      <c r="C33" s="1989">
        <f>VLOOKUP(AB33,'SD3'!$B$24:$O$85,13,FALSE)</f>
        <v>1.31</v>
      </c>
      <c r="D33" s="1988">
        <v>2</v>
      </c>
      <c r="E33" s="1955" t="str">
        <f t="shared" si="2"/>
        <v>x</v>
      </c>
      <c r="F33" s="3773" t="str">
        <f>VLOOKUP(AB33,'SD3'!$B$24:$C$85,2,FALSE)</f>
        <v>Mist/Kompost streuen 20 t/ha  (6 m, 10,5 t) inkl. Beladen</v>
      </c>
      <c r="G33" s="3773"/>
      <c r="H33" s="3773"/>
      <c r="I33" s="3773"/>
      <c r="J33" s="3773"/>
      <c r="K33" s="1263"/>
      <c r="L33" s="1987">
        <f>VLOOKUP(AB33,'SD3'!$B$24:$O$85,14,FALSE)</f>
        <v>52.605682600000002</v>
      </c>
      <c r="M33" s="3774">
        <f t="shared" si="3"/>
        <v>105.2113652</v>
      </c>
      <c r="N33" s="3774"/>
      <c r="O33" s="1951"/>
      <c r="P33" s="1950"/>
      <c r="Q33" s="1949"/>
      <c r="R33" s="1932"/>
      <c r="S33" s="2029"/>
      <c r="T33" s="1948"/>
      <c r="U33" s="1893"/>
      <c r="V33" s="1825"/>
      <c r="W33" s="1825"/>
      <c r="X33" s="1825"/>
      <c r="Y33" s="1825"/>
      <c r="AB33" s="1392">
        <v>16</v>
      </c>
    </row>
    <row r="34" spans="1:28" ht="14.25" customHeight="1">
      <c r="A34" s="1893"/>
      <c r="B34" s="1947" t="e">
        <f t="shared" si="1"/>
        <v>#N/A</v>
      </c>
      <c r="C34" s="1989" t="e">
        <f>VLOOKUP(AB34,'SD3'!$B$24:$O$85,13,FALSE)</f>
        <v>#N/A</v>
      </c>
      <c r="D34" s="1988">
        <v>1</v>
      </c>
      <c r="E34" s="1955" t="str">
        <f t="shared" si="2"/>
        <v>x</v>
      </c>
      <c r="F34" s="3773" t="e">
        <f>VLOOKUP(AB34,'SD3'!$B$24:$C$85,2,FALSE)</f>
        <v>#N/A</v>
      </c>
      <c r="G34" s="3773"/>
      <c r="H34" s="3773"/>
      <c r="I34" s="3773"/>
      <c r="J34" s="3773"/>
      <c r="K34" s="1263"/>
      <c r="L34" s="1987" t="e">
        <f>VLOOKUP(AB34,'SD3'!$B$24:$O$85,14,FALSE)</f>
        <v>#N/A</v>
      </c>
      <c r="M34" s="3774" t="e">
        <f t="shared" si="3"/>
        <v>#N/A</v>
      </c>
      <c r="N34" s="3774"/>
      <c r="O34" s="1951"/>
      <c r="P34" s="1950"/>
      <c r="Q34" s="1949"/>
      <c r="R34" s="1932"/>
      <c r="S34" s="2029"/>
      <c r="T34" s="1948"/>
      <c r="U34" s="1893"/>
      <c r="V34" s="1825"/>
      <c r="W34" s="1825"/>
      <c r="X34" s="1825"/>
      <c r="Y34" s="1825"/>
      <c r="AB34" s="1392">
        <v>17</v>
      </c>
    </row>
    <row r="35" spans="1:28" ht="14.25" customHeight="1">
      <c r="A35" s="1893"/>
      <c r="B35" s="1947">
        <f t="shared" si="1"/>
        <v>0</v>
      </c>
      <c r="C35" s="1989">
        <f>VLOOKUP(AB35,'SD3'!$B$24:$O$85,13,FALSE)</f>
        <v>1.38</v>
      </c>
      <c r="D35" s="1988"/>
      <c r="E35" s="1955" t="str">
        <f t="shared" si="2"/>
        <v/>
      </c>
      <c r="F35" s="3773" t="str">
        <f>VLOOKUP(AB35,'SD3'!$B$24:$C$85,2,FALSE)</f>
        <v>Drehpflug, 5 Schare</v>
      </c>
      <c r="G35" s="3773"/>
      <c r="H35" s="3773"/>
      <c r="I35" s="3773"/>
      <c r="J35" s="3773"/>
      <c r="K35" s="1263"/>
      <c r="L35" s="1987">
        <f>VLOOKUP(AB35,'SD3'!$B$24:$O$85,14,FALSE)</f>
        <v>64.642445999999993</v>
      </c>
      <c r="M35" s="3774">
        <f t="shared" si="3"/>
        <v>0</v>
      </c>
      <c r="N35" s="3774"/>
      <c r="O35" s="1951"/>
      <c r="P35" s="1950"/>
      <c r="Q35" s="1949"/>
      <c r="R35" s="1932"/>
      <c r="S35" s="2029"/>
      <c r="T35" s="1948"/>
      <c r="U35" s="1893"/>
      <c r="V35" s="1825"/>
      <c r="W35" s="1825"/>
      <c r="X35" s="1825"/>
      <c r="Y35" s="1825"/>
      <c r="AB35" s="1392">
        <v>1</v>
      </c>
    </row>
    <row r="36" spans="1:28" ht="14.25" customHeight="1">
      <c r="A36" s="1893"/>
      <c r="B36" s="1947">
        <f t="shared" si="1"/>
        <v>0</v>
      </c>
      <c r="C36" s="1989">
        <f>VLOOKUP(AB36,'SD3'!$B$24:$O$85,13,FALSE)</f>
        <v>1.38</v>
      </c>
      <c r="D36" s="1988"/>
      <c r="E36" s="1955" t="str">
        <f t="shared" si="2"/>
        <v/>
      </c>
      <c r="F36" s="3773" t="str">
        <f>VLOOKUP(AB36,'SD3'!$B$24:$C$85,2,FALSE)</f>
        <v>Drehpflug, 5 Schare</v>
      </c>
      <c r="G36" s="3773"/>
      <c r="H36" s="3773"/>
      <c r="I36" s="3773"/>
      <c r="J36" s="3773"/>
      <c r="K36" s="1263"/>
      <c r="L36" s="1987">
        <f>VLOOKUP(AB36,'SD3'!$B$24:$O$85,14,FALSE)</f>
        <v>64.642445999999993</v>
      </c>
      <c r="M36" s="3774">
        <f t="shared" si="3"/>
        <v>0</v>
      </c>
      <c r="N36" s="3774"/>
      <c r="O36" s="1951"/>
      <c r="P36" s="1950"/>
      <c r="Q36" s="1949"/>
      <c r="R36" s="1932"/>
      <c r="S36" s="2029"/>
      <c r="T36" s="1948"/>
      <c r="U36" s="1893"/>
      <c r="V36" s="1825"/>
      <c r="W36" s="1825"/>
      <c r="X36" s="1825"/>
      <c r="Y36" s="1825"/>
      <c r="AB36" s="1392">
        <v>1</v>
      </c>
    </row>
    <row r="37" spans="1:28" ht="14.1" customHeight="1">
      <c r="A37" s="1893"/>
      <c r="B37" s="1947">
        <f t="shared" si="1"/>
        <v>0</v>
      </c>
      <c r="C37" s="1989">
        <f>VLOOKUP(AB37,'SD3'!$B$24:$O$85,13,FALSE)</f>
        <v>1.38</v>
      </c>
      <c r="D37" s="1997"/>
      <c r="E37" s="1996" t="str">
        <f t="shared" si="2"/>
        <v/>
      </c>
      <c r="F37" s="3825" t="str">
        <f>VLOOKUP(AB37,'SD3'!$B$24:$C$85,2,FALSE)</f>
        <v>Drehpflug, 5 Schare</v>
      </c>
      <c r="G37" s="3825"/>
      <c r="H37" s="3825"/>
      <c r="I37" s="3825"/>
      <c r="J37" s="3825"/>
      <c r="K37" s="1944"/>
      <c r="L37" s="1993">
        <f>VLOOKUP(AB37,'SD3'!$B$24:$O$85,14,FALSE)</f>
        <v>64.642445999999993</v>
      </c>
      <c r="M37" s="3775">
        <f t="shared" si="3"/>
        <v>0</v>
      </c>
      <c r="N37" s="3775"/>
      <c r="O37" s="1943"/>
      <c r="P37" s="2067"/>
      <c r="Q37" s="2066"/>
      <c r="R37" s="1932"/>
      <c r="S37" s="2029"/>
      <c r="T37" s="1939"/>
      <c r="U37" s="1893"/>
      <c r="V37" s="1825"/>
      <c r="W37" s="1825"/>
      <c r="X37" s="1825"/>
      <c r="Y37" s="1825"/>
      <c r="AB37" s="1392">
        <v>1</v>
      </c>
    </row>
    <row r="38" spans="1:28" ht="17.7" customHeight="1">
      <c r="A38" s="1893"/>
      <c r="B38" s="1992"/>
      <c r="C38" s="1991"/>
      <c r="D38" s="1976" t="s">
        <v>765</v>
      </c>
      <c r="E38" s="1973"/>
      <c r="F38" s="1973"/>
      <c r="G38" s="1263"/>
      <c r="H38" s="1263"/>
      <c r="I38" s="1263"/>
      <c r="J38" s="1263"/>
      <c r="K38" s="1263"/>
      <c r="L38" s="1263"/>
      <c r="M38" s="1263"/>
      <c r="N38" s="1263"/>
      <c r="O38" s="1990"/>
      <c r="P38" s="1950" t="e">
        <f>SUM(M39:N41)</f>
        <v>#N/A</v>
      </c>
      <c r="Q38" s="2065" t="e">
        <f>P38/((100+'SDK1'!$O$11)/100)</f>
        <v>#N/A</v>
      </c>
      <c r="R38" s="1932"/>
      <c r="S38" s="2029"/>
      <c r="T38" s="1948" t="e">
        <f>P38</f>
        <v>#N/A</v>
      </c>
      <c r="U38" s="1893"/>
      <c r="V38" s="1825"/>
      <c r="W38" s="1825"/>
      <c r="X38" s="1825"/>
      <c r="Y38" s="1825"/>
    </row>
    <row r="39" spans="1:28" ht="14.25" customHeight="1">
      <c r="A39" s="1893"/>
      <c r="B39" s="1947">
        <f>D39*C39*(1+$B$28)</f>
        <v>0</v>
      </c>
      <c r="C39" s="1989"/>
      <c r="D39" s="1988">
        <v>1</v>
      </c>
      <c r="E39" s="1955" t="str">
        <f>IF(D39&gt;0,"x","")</f>
        <v>x</v>
      </c>
      <c r="F39" s="1954" t="e">
        <f>VLOOKUP(AB39,'SD3'!$B$90:$C$104,2,FALSE)</f>
        <v>#N/A</v>
      </c>
      <c r="G39" s="2064"/>
      <c r="H39" s="2064"/>
      <c r="I39" s="2063"/>
      <c r="J39" s="2063"/>
      <c r="K39" s="1263"/>
      <c r="L39" s="1987" t="e">
        <f>VLOOKUP(AB39,'SD3'!$B$90:$D$104,3,FALSE)</f>
        <v>#N/A</v>
      </c>
      <c r="M39" s="3774" t="e">
        <f>D39*L39*(100+'SDK1'!$O$11)/100</f>
        <v>#N/A</v>
      </c>
      <c r="N39" s="3774"/>
      <c r="O39" s="1951"/>
      <c r="P39" s="1950"/>
      <c r="Q39" s="1949"/>
      <c r="R39" s="1932"/>
      <c r="S39" s="2029"/>
      <c r="T39" s="1948"/>
      <c r="U39" s="1893"/>
      <c r="V39" s="1825"/>
      <c r="W39" s="1825"/>
      <c r="X39" s="1825"/>
      <c r="Y39" s="1825"/>
      <c r="AB39" s="1392">
        <v>17</v>
      </c>
    </row>
    <row r="40" spans="1:28" ht="14.25" customHeight="1">
      <c r="A40" s="1893"/>
      <c r="B40" s="1947">
        <f>D40*C40*(1+$B$28)</f>
        <v>0</v>
      </c>
      <c r="C40" s="1989"/>
      <c r="D40" s="1988"/>
      <c r="E40" s="1955" t="str">
        <f>IF(D40&gt;0,"x","")</f>
        <v/>
      </c>
      <c r="F40" s="1954" t="str">
        <f>VLOOKUP(AB40,'SD3'!$B$90:$C$104,2,FALSE)</f>
        <v>Mähdrescher - Getreide</v>
      </c>
      <c r="G40" s="2064"/>
      <c r="H40" s="2064"/>
      <c r="I40" s="2063"/>
      <c r="J40" s="2063"/>
      <c r="K40" s="1263"/>
      <c r="L40" s="1987">
        <f>VLOOKUP(AB40,'SD3'!$B$90:$D$104,3,FALSE)</f>
        <v>157</v>
      </c>
      <c r="M40" s="3774">
        <f>D40*L40*(100+'SDK1'!$O$11)/100</f>
        <v>0</v>
      </c>
      <c r="N40" s="3774"/>
      <c r="O40" s="1951"/>
      <c r="P40" s="1950"/>
      <c r="Q40" s="1949"/>
      <c r="R40" s="1932"/>
      <c r="S40" s="2029"/>
      <c r="T40" s="1948"/>
      <c r="U40" s="1893"/>
      <c r="V40" s="1825"/>
      <c r="W40" s="1825"/>
      <c r="X40" s="1825"/>
      <c r="Y40" s="1825"/>
      <c r="AB40" s="1392">
        <v>1</v>
      </c>
    </row>
    <row r="41" spans="1:28" ht="16.2" customHeight="1">
      <c r="A41" s="1893"/>
      <c r="B41" s="1947">
        <f>D41*C41*(1+$B$28)</f>
        <v>0</v>
      </c>
      <c r="C41" s="1989"/>
      <c r="D41" s="1997">
        <v>1</v>
      </c>
      <c r="E41" s="1996" t="str">
        <f>IF(D41&gt;0,"x","")</f>
        <v>x</v>
      </c>
      <c r="F41" s="1995" t="s">
        <v>1289</v>
      </c>
      <c r="G41" s="1995"/>
      <c r="H41" s="1995"/>
      <c r="I41" s="1994"/>
      <c r="J41" s="2062">
        <f>IF(W25=2,0,X10*N16*J25)</f>
        <v>0</v>
      </c>
      <c r="K41" s="1944" t="s">
        <v>579</v>
      </c>
      <c r="L41" s="2061">
        <v>2.75</v>
      </c>
      <c r="M41" s="3774">
        <f>D41*J41*L41*(100+'SDK1'!$O$11)/100</f>
        <v>0</v>
      </c>
      <c r="N41" s="3774"/>
      <c r="O41" s="1943"/>
      <c r="P41" s="1942"/>
      <c r="Q41" s="1941"/>
      <c r="R41" s="1932"/>
      <c r="S41" s="2029"/>
      <c r="T41" s="1939"/>
      <c r="U41" s="1893"/>
      <c r="V41" s="1825"/>
      <c r="W41" s="1825"/>
      <c r="X41" s="1825"/>
      <c r="Y41" s="1825"/>
      <c r="AB41" s="1392">
        <v>1</v>
      </c>
    </row>
    <row r="42" spans="1:28" ht="17.7" customHeight="1">
      <c r="A42" s="1893"/>
      <c r="B42" s="1992"/>
      <c r="C42" s="1991"/>
      <c r="D42" s="2038" t="s">
        <v>1288</v>
      </c>
      <c r="E42" s="1855"/>
      <c r="F42" s="1855"/>
      <c r="G42" s="1855"/>
      <c r="H42" s="1855"/>
      <c r="I42" s="1855"/>
      <c r="J42" s="1855"/>
      <c r="K42" s="1855"/>
      <c r="L42" s="1855"/>
      <c r="M42" s="1855"/>
      <c r="N42" s="1855"/>
      <c r="O42" s="2037"/>
      <c r="P42" s="2036"/>
      <c r="Q42" s="1949">
        <f>P42</f>
        <v>0</v>
      </c>
      <c r="R42" s="1932"/>
      <c r="S42" s="2029"/>
      <c r="T42" s="2034">
        <f>P42</f>
        <v>0</v>
      </c>
      <c r="U42" s="1893"/>
      <c r="V42" s="1825"/>
      <c r="W42" s="1825"/>
      <c r="X42" s="1825"/>
      <c r="Y42" s="1825"/>
    </row>
    <row r="43" spans="1:28" ht="17.7" customHeight="1">
      <c r="A43" s="1893"/>
      <c r="B43" s="1992"/>
      <c r="C43" s="1991"/>
      <c r="D43" s="2060" t="s">
        <v>393</v>
      </c>
      <c r="E43" s="2059"/>
      <c r="F43" s="2059"/>
      <c r="G43" s="2059"/>
      <c r="H43" s="2059"/>
      <c r="I43" s="2059"/>
      <c r="J43" s="2059"/>
      <c r="K43" s="2059"/>
      <c r="L43" s="2059"/>
      <c r="M43" s="2059"/>
      <c r="N43" s="2059"/>
      <c r="O43" s="2058"/>
      <c r="P43" s="2057" t="e">
        <f>SUM(P23:P42)</f>
        <v>#N/A</v>
      </c>
      <c r="Q43" s="1922" t="e">
        <f>SUM(Q23:Q42)</f>
        <v>#N/A</v>
      </c>
      <c r="R43" s="2056"/>
      <c r="S43" s="2055"/>
      <c r="T43" s="2054" t="e">
        <f>SUM(T23:T42)</f>
        <v>#N/A</v>
      </c>
      <c r="U43" s="1893"/>
      <c r="V43" s="1825"/>
      <c r="W43" s="1825"/>
      <c r="X43" s="1825"/>
      <c r="Y43" s="1825"/>
    </row>
    <row r="44" spans="1:28" ht="17.7" customHeight="1">
      <c r="A44" s="1893"/>
      <c r="B44" s="1918" t="e">
        <f>SUM(B31:B37)+SUM(B39:B41)</f>
        <v>#N/A</v>
      </c>
      <c r="C44" s="1991"/>
      <c r="D44" s="2038" t="s">
        <v>1287</v>
      </c>
      <c r="E44" s="1855"/>
      <c r="F44" s="1855"/>
      <c r="G44" s="1855"/>
      <c r="H44" s="1855"/>
      <c r="I44" s="1855"/>
      <c r="J44" s="1855"/>
      <c r="K44" s="1855"/>
      <c r="L44" s="1855"/>
      <c r="M44" s="1855"/>
      <c r="N44" s="1855"/>
      <c r="O44" s="2037"/>
      <c r="P44" s="1960" t="e">
        <f>B44*$D$16</f>
        <v>#N/A</v>
      </c>
      <c r="Q44" s="2042" t="e">
        <f>P44</f>
        <v>#N/A</v>
      </c>
      <c r="R44" s="1932"/>
      <c r="S44" s="2029"/>
      <c r="T44" s="2041" t="e">
        <f>P44</f>
        <v>#N/A</v>
      </c>
      <c r="U44" s="1893"/>
      <c r="V44" s="1825"/>
      <c r="W44" s="1825"/>
      <c r="X44" s="1825"/>
      <c r="Y44" s="1825"/>
    </row>
    <row r="45" spans="1:28" ht="17.7" customHeight="1">
      <c r="A45" s="1893"/>
      <c r="B45" s="2050"/>
      <c r="C45" s="1991"/>
      <c r="D45" s="2038" t="s">
        <v>1286</v>
      </c>
      <c r="E45" s="1855"/>
      <c r="F45" s="1855"/>
      <c r="G45" s="1855"/>
      <c r="H45" s="1855"/>
      <c r="I45" s="1855"/>
      <c r="J45" s="1855"/>
      <c r="K45" s="1855"/>
      <c r="L45" s="1855"/>
      <c r="M45" s="1855"/>
      <c r="N45" s="1855"/>
      <c r="O45" s="2037"/>
      <c r="P45" s="2036"/>
      <c r="Q45" s="2035">
        <f>P45/((100+'SDK1'!$O$11)/100)</f>
        <v>0</v>
      </c>
      <c r="R45" s="1932"/>
      <c r="S45" s="2029"/>
      <c r="T45" s="2034">
        <f>P45</f>
        <v>0</v>
      </c>
      <c r="U45" s="1893"/>
      <c r="V45" s="1825"/>
      <c r="W45" s="1825"/>
      <c r="X45" s="1825"/>
      <c r="Y45" s="1825"/>
    </row>
    <row r="46" spans="1:28" ht="17.7" customHeight="1">
      <c r="A46" s="1893"/>
      <c r="B46" s="2050"/>
      <c r="C46" s="1991"/>
      <c r="D46" s="1976" t="s">
        <v>835</v>
      </c>
      <c r="E46" s="1263"/>
      <c r="F46" s="1263"/>
      <c r="G46" s="1263"/>
      <c r="H46" s="1263"/>
      <c r="I46" s="1263"/>
      <c r="J46" s="1263"/>
      <c r="K46" s="1263"/>
      <c r="L46" s="1263"/>
      <c r="M46" s="1263"/>
      <c r="N46" s="1263"/>
      <c r="O46" s="1990"/>
      <c r="P46" s="2053">
        <v>17</v>
      </c>
      <c r="Q46" s="1949">
        <f>P46</f>
        <v>17</v>
      </c>
      <c r="R46" s="1932"/>
      <c r="S46" s="2029"/>
      <c r="T46" s="1948">
        <f>P46</f>
        <v>17</v>
      </c>
      <c r="U46" s="1893"/>
      <c r="V46" s="1825"/>
      <c r="W46" s="1825"/>
      <c r="X46" s="1825"/>
      <c r="Y46" s="1825"/>
    </row>
    <row r="47" spans="1:28" ht="17.399999999999999">
      <c r="A47" s="1893"/>
      <c r="B47" s="2050"/>
      <c r="C47" s="1908"/>
      <c r="D47" s="2052" t="s">
        <v>1285</v>
      </c>
      <c r="E47" s="1925"/>
      <c r="F47" s="1925"/>
      <c r="G47" s="1925"/>
      <c r="H47" s="1925"/>
      <c r="I47" s="1925"/>
      <c r="J47" s="1925"/>
      <c r="K47" s="1925"/>
      <c r="L47" s="1925"/>
      <c r="M47" s="1925"/>
      <c r="N47" s="2051"/>
      <c r="O47" s="1924"/>
      <c r="P47" s="1923" t="e">
        <f>P43+P44+P45+P46</f>
        <v>#N/A</v>
      </c>
      <c r="Q47" s="1922" t="e">
        <f>Q43+Q44+Q45+Q46</f>
        <v>#N/A</v>
      </c>
      <c r="R47" s="1921"/>
      <c r="S47" s="1920"/>
      <c r="T47" s="1919" t="e">
        <f>T43+T44+T45+T46</f>
        <v>#N/A</v>
      </c>
      <c r="U47" s="1893"/>
      <c r="V47" s="1825"/>
      <c r="W47" s="1825"/>
      <c r="X47" s="1825"/>
      <c r="Y47" s="1825"/>
    </row>
    <row r="48" spans="1:28" ht="17.399999999999999">
      <c r="A48" s="1893"/>
      <c r="B48" s="2050"/>
      <c r="C48" s="1908"/>
      <c r="D48" s="2049" t="s">
        <v>1284</v>
      </c>
      <c r="E48" s="2048"/>
      <c r="F48" s="2048"/>
      <c r="G48" s="2048"/>
      <c r="H48" s="2048"/>
      <c r="I48" s="2048"/>
      <c r="J48" s="2048"/>
      <c r="K48" s="2048"/>
      <c r="L48" s="2048"/>
      <c r="M48" s="2048"/>
      <c r="N48" s="2048"/>
      <c r="O48" s="2047" t="s">
        <v>1283</v>
      </c>
      <c r="P48" s="1970" t="e">
        <f>IF($X$10=0,"        Ertrag ?",P47/$X$10)</f>
        <v>#N/A</v>
      </c>
      <c r="Q48" s="1969" t="e">
        <f>IF($X$10=0,"        Ertrag ?",Q47/$X$10)</f>
        <v>#N/A</v>
      </c>
      <c r="R48" s="1968"/>
      <c r="S48" s="1967"/>
      <c r="T48" s="1966" t="e">
        <f>IF($X$10=0,"     Ertrag ?",T47/$X$10)</f>
        <v>#N/A</v>
      </c>
      <c r="U48" s="1893"/>
      <c r="V48" s="1825"/>
      <c r="W48" s="1825"/>
      <c r="X48" s="1825"/>
      <c r="Y48" s="1825"/>
    </row>
    <row r="49" spans="1:34" ht="17.7" customHeight="1">
      <c r="A49" s="1893"/>
      <c r="B49" s="2040"/>
      <c r="C49" s="2039"/>
      <c r="D49" s="2046" t="s">
        <v>1282</v>
      </c>
      <c r="E49" s="2045"/>
      <c r="F49" s="2045"/>
      <c r="G49" s="2045"/>
      <c r="H49" s="2045"/>
      <c r="I49" s="2045"/>
      <c r="J49" s="2045"/>
      <c r="K49" s="2045"/>
      <c r="L49" s="2045"/>
      <c r="M49" s="2045"/>
      <c r="N49" s="2045"/>
      <c r="O49" s="2044"/>
      <c r="P49" s="2043">
        <v>250</v>
      </c>
      <c r="Q49" s="2042">
        <f>P49/((100+'SDK1'!$O$11)/100)</f>
        <v>250</v>
      </c>
      <c r="R49" s="1932"/>
      <c r="S49" s="2029"/>
      <c r="T49" s="2041">
        <f>P49</f>
        <v>250</v>
      </c>
      <c r="U49" s="1893"/>
      <c r="V49" s="1825"/>
      <c r="W49" s="1825"/>
      <c r="X49" s="1825"/>
      <c r="Y49" s="1825"/>
    </row>
    <row r="50" spans="1:34" ht="17.7" customHeight="1">
      <c r="A50" s="1893"/>
      <c r="B50" s="1978"/>
      <c r="C50" s="1977"/>
      <c r="D50" s="2038" t="s">
        <v>1281</v>
      </c>
      <c r="E50" s="1855"/>
      <c r="F50" s="1855"/>
      <c r="G50" s="1855"/>
      <c r="H50" s="1855"/>
      <c r="I50" s="1855"/>
      <c r="J50" s="1855"/>
      <c r="K50" s="1855"/>
      <c r="L50" s="1855"/>
      <c r="M50" s="1855"/>
      <c r="N50" s="1855"/>
      <c r="O50" s="2037"/>
      <c r="P50" s="2036">
        <v>50</v>
      </c>
      <c r="Q50" s="2035">
        <f>P50/((100+'SDK1'!$O$11)/100)</f>
        <v>50</v>
      </c>
      <c r="R50" s="1932"/>
      <c r="S50" s="2029"/>
      <c r="T50" s="2034">
        <f>P50</f>
        <v>50</v>
      </c>
      <c r="U50" s="1893"/>
      <c r="V50" s="1825"/>
      <c r="W50" s="1825"/>
      <c r="X50" s="1825"/>
      <c r="Y50" s="1825"/>
    </row>
    <row r="51" spans="1:34" ht="17.7" customHeight="1">
      <c r="A51" s="1893"/>
      <c r="B51" s="2040"/>
      <c r="C51" s="2039"/>
      <c r="D51" s="2038" t="s">
        <v>1280</v>
      </c>
      <c r="E51" s="1855"/>
      <c r="F51" s="1855"/>
      <c r="G51" s="1855"/>
      <c r="H51" s="1855"/>
      <c r="I51" s="1855"/>
      <c r="J51" s="1855"/>
      <c r="K51" s="1855"/>
      <c r="L51" s="1855"/>
      <c r="M51" s="1855"/>
      <c r="N51" s="1855"/>
      <c r="O51" s="2037"/>
      <c r="P51" s="2036">
        <v>200</v>
      </c>
      <c r="Q51" s="2035">
        <f>P51</f>
        <v>200</v>
      </c>
      <c r="R51" s="1932"/>
      <c r="S51" s="2029"/>
      <c r="T51" s="2034">
        <f>P51</f>
        <v>200</v>
      </c>
      <c r="U51" s="1893"/>
      <c r="V51" s="1825"/>
      <c r="W51" s="1825"/>
      <c r="X51" s="1825"/>
      <c r="Y51" s="1825"/>
    </row>
    <row r="52" spans="1:34" ht="17.7" customHeight="1">
      <c r="A52" s="1893"/>
      <c r="B52" s="2040"/>
      <c r="C52" s="2039"/>
      <c r="D52" s="2038" t="s">
        <v>1279</v>
      </c>
      <c r="E52" s="1855"/>
      <c r="F52" s="1855"/>
      <c r="G52" s="1855"/>
      <c r="H52" s="1855"/>
      <c r="I52" s="1855"/>
      <c r="J52" s="1855"/>
      <c r="K52" s="1855"/>
      <c r="L52" s="1855"/>
      <c r="M52" s="1855"/>
      <c r="N52" s="1855"/>
      <c r="O52" s="2037"/>
      <c r="P52" s="2036">
        <v>100</v>
      </c>
      <c r="Q52" s="2035">
        <f>P52/((100+'SDK1'!$O$11)/100)</f>
        <v>100</v>
      </c>
      <c r="R52" s="1932"/>
      <c r="S52" s="2029"/>
      <c r="T52" s="2034">
        <f>P52</f>
        <v>100</v>
      </c>
      <c r="U52" s="1893"/>
      <c r="V52" s="1825"/>
      <c r="W52" s="1825"/>
      <c r="X52" s="1825"/>
      <c r="Y52" s="1825"/>
    </row>
    <row r="53" spans="1:34" ht="17.7" customHeight="1">
      <c r="A53" s="1893"/>
      <c r="B53" s="2027"/>
      <c r="C53" s="2026"/>
      <c r="D53" s="2033" t="s">
        <v>1278</v>
      </c>
      <c r="E53" s="1847"/>
      <c r="F53" s="1847"/>
      <c r="G53" s="1847"/>
      <c r="H53" s="1847"/>
      <c r="I53" s="1847"/>
      <c r="J53" s="1847"/>
      <c r="K53" s="1847"/>
      <c r="L53" s="1847"/>
      <c r="M53" s="1847"/>
      <c r="N53" s="1847"/>
      <c r="O53" s="2032"/>
      <c r="P53" s="2031">
        <f>SUM(P49:P52)</f>
        <v>600</v>
      </c>
      <c r="Q53" s="2030">
        <f>SUM(Q49:Q52)</f>
        <v>600</v>
      </c>
      <c r="R53" s="1932"/>
      <c r="S53" s="2029"/>
      <c r="T53" s="2028">
        <f>P53</f>
        <v>600</v>
      </c>
      <c r="U53" s="1893"/>
      <c r="V53" s="1825"/>
      <c r="W53" s="1825"/>
      <c r="X53" s="1825"/>
      <c r="Y53" s="1825"/>
    </row>
    <row r="54" spans="1:34" ht="17.7" customHeight="1">
      <c r="A54" s="1893"/>
      <c r="B54" s="2027"/>
      <c r="C54" s="2026"/>
      <c r="D54" s="2004" t="s">
        <v>1277</v>
      </c>
      <c r="E54" s="1953"/>
      <c r="F54" s="1953"/>
      <c r="G54" s="1953"/>
      <c r="H54" s="1953"/>
      <c r="I54" s="1953"/>
      <c r="J54" s="1953"/>
      <c r="K54" s="1953"/>
      <c r="L54" s="1953"/>
      <c r="M54" s="1953"/>
      <c r="N54" s="1953"/>
      <c r="O54" s="1953"/>
      <c r="P54" s="2025"/>
      <c r="Q54" s="2024"/>
      <c r="R54" s="1932"/>
      <c r="S54" s="2023"/>
      <c r="T54" s="2022">
        <f>T12</f>
        <v>300</v>
      </c>
      <c r="U54" s="1893"/>
      <c r="V54" s="1825"/>
      <c r="W54" s="1825"/>
      <c r="X54" s="1825"/>
      <c r="Y54" s="1825"/>
    </row>
    <row r="55" spans="1:34" ht="17.399999999999999">
      <c r="A55" s="1893"/>
      <c r="B55" s="1909"/>
      <c r="C55" s="1908"/>
      <c r="D55" s="1926" t="s">
        <v>1276</v>
      </c>
      <c r="E55" s="1925"/>
      <c r="F55" s="1925"/>
      <c r="G55" s="1925"/>
      <c r="H55" s="1925"/>
      <c r="I55" s="1925"/>
      <c r="J55" s="1925"/>
      <c r="K55" s="1925"/>
      <c r="L55" s="1925"/>
      <c r="M55" s="1925"/>
      <c r="N55" s="1925"/>
      <c r="O55" s="1924"/>
      <c r="P55" s="1923" t="e">
        <f>P47+P53</f>
        <v>#N/A</v>
      </c>
      <c r="Q55" s="1922" t="e">
        <f>Q47+Q53</f>
        <v>#N/A</v>
      </c>
      <c r="R55" s="1921"/>
      <c r="S55" s="1920"/>
      <c r="T55" s="1919" t="e">
        <f>T47+T53-T54</f>
        <v>#N/A</v>
      </c>
      <c r="U55" s="1893"/>
      <c r="V55" s="1825"/>
      <c r="W55" s="1825"/>
      <c r="X55" s="1825"/>
      <c r="Y55" s="1825"/>
    </row>
    <row r="56" spans="1:34" ht="15" customHeight="1">
      <c r="A56" s="1893"/>
      <c r="B56" s="1909"/>
      <c r="C56" s="1908"/>
      <c r="D56" s="1917"/>
      <c r="E56" s="1916"/>
      <c r="F56" s="1916"/>
      <c r="G56" s="1916"/>
      <c r="H56" s="1916"/>
      <c r="I56" s="1916"/>
      <c r="J56" s="1916"/>
      <c r="K56" s="1916"/>
      <c r="L56" s="1916"/>
      <c r="M56" s="1916"/>
      <c r="N56" s="1916"/>
      <c r="O56" s="1915" t="s">
        <v>1275</v>
      </c>
      <c r="P56" s="1914" t="e">
        <f>IF($X$10=0,"        Ertrag ?",P55/$X$10)</f>
        <v>#N/A</v>
      </c>
      <c r="Q56" s="1913" t="e">
        <f>IF($X$10=0,"        Ertrag ?",Q55/$X$10)</f>
        <v>#N/A</v>
      </c>
      <c r="R56" s="1912"/>
      <c r="S56" s="1911"/>
      <c r="T56" s="1910" t="e">
        <f>IF($X$10=0,"     Ertrag ?",T55/$X$10)</f>
        <v>#N/A</v>
      </c>
      <c r="U56" s="1893"/>
      <c r="V56" s="1825"/>
      <c r="W56" s="1825"/>
      <c r="X56" s="1825"/>
      <c r="Y56" s="1825"/>
    </row>
    <row r="57" spans="1:34" ht="17.399999999999999">
      <c r="A57" s="1893"/>
      <c r="B57" s="1909"/>
      <c r="C57" s="1908"/>
      <c r="D57" s="3779" t="str">
        <f>"Voller Preis( incl. "&amp;P16*100&amp;"% Wagniszuschlag) (ab Feld)"</f>
        <v>Voller Preis( incl. 10% Wagniszuschlag) (ab Feld)</v>
      </c>
      <c r="E57" s="3780"/>
      <c r="F57" s="3780"/>
      <c r="G57" s="3780"/>
      <c r="H57" s="3780"/>
      <c r="I57" s="3780"/>
      <c r="J57" s="3780"/>
      <c r="K57" s="3780"/>
      <c r="L57" s="3780"/>
      <c r="M57" s="3780"/>
      <c r="N57" s="3780"/>
      <c r="O57" s="3781"/>
      <c r="P57" s="1907" t="e">
        <f>P55*(1+$P$16)</f>
        <v>#N/A</v>
      </c>
      <c r="Q57" s="1906" t="e">
        <f>Q55*(1+$P$16)</f>
        <v>#N/A</v>
      </c>
      <c r="R57" s="1905"/>
      <c r="S57" s="1904"/>
      <c r="T57" s="1903"/>
      <c r="U57" s="1893"/>
      <c r="V57" s="1825"/>
      <c r="W57" s="1825"/>
      <c r="X57" s="1825"/>
      <c r="Y57" s="1825"/>
    </row>
    <row r="58" spans="1:34" ht="15" customHeight="1" thickBot="1">
      <c r="A58" s="1893"/>
      <c r="B58" s="1902"/>
      <c r="C58" s="1901"/>
      <c r="D58" s="3782"/>
      <c r="E58" s="3783"/>
      <c r="F58" s="3783"/>
      <c r="G58" s="3783"/>
      <c r="H58" s="3783"/>
      <c r="I58" s="3783"/>
      <c r="J58" s="3783"/>
      <c r="K58" s="3783"/>
      <c r="L58" s="3783"/>
      <c r="M58" s="3783"/>
      <c r="N58" s="3783"/>
      <c r="O58" s="3784"/>
      <c r="P58" s="1900" t="e">
        <f>IF($X$10=0,"        Ertrag ?",P56*(1+$P$16))</f>
        <v>#N/A</v>
      </c>
      <c r="Q58" s="1899" t="e">
        <f>IF($X$10=0,"        Ertrag ?",Q56*(1+$P$16))</f>
        <v>#N/A</v>
      </c>
      <c r="R58" s="1898"/>
      <c r="S58" s="1897"/>
      <c r="T58" s="1896"/>
      <c r="U58" s="1893"/>
      <c r="V58" s="1825"/>
      <c r="W58" s="1825"/>
      <c r="X58" s="1825"/>
      <c r="Y58" s="1825"/>
    </row>
    <row r="59" spans="1:34" ht="15" customHeight="1" thickBot="1">
      <c r="A59" s="1893"/>
      <c r="B59" s="2021"/>
      <c r="C59" s="2019"/>
      <c r="D59" s="2019"/>
      <c r="E59" s="2019"/>
      <c r="F59" s="2019"/>
      <c r="G59" s="2019"/>
      <c r="H59" s="2019"/>
      <c r="I59" s="2019"/>
      <c r="J59" s="2019"/>
      <c r="K59" s="2019"/>
      <c r="L59" s="2019"/>
      <c r="M59" s="2019"/>
      <c r="N59" s="2019"/>
      <c r="O59" s="2019"/>
      <c r="P59" s="2019"/>
      <c r="Q59" s="2020"/>
      <c r="R59" s="2019"/>
      <c r="S59" s="2019"/>
      <c r="T59" s="2018"/>
      <c r="U59" s="1825"/>
      <c r="V59" s="1825"/>
      <c r="W59" s="1825"/>
      <c r="X59" s="1825"/>
      <c r="Y59" s="1825"/>
    </row>
    <row r="60" spans="1:34" s="2005" customFormat="1" ht="25.2" customHeight="1">
      <c r="A60" s="2007"/>
      <c r="B60" s="2017"/>
      <c r="C60" s="2016"/>
      <c r="D60" s="2015" t="s">
        <v>1274</v>
      </c>
      <c r="E60" s="2014"/>
      <c r="F60" s="2014"/>
      <c r="G60" s="2014"/>
      <c r="H60" s="2014"/>
      <c r="I60" s="2014"/>
      <c r="J60" s="2014"/>
      <c r="K60" s="2014"/>
      <c r="L60" s="2014"/>
      <c r="M60" s="2014"/>
      <c r="N60" s="2014"/>
      <c r="O60" s="2013"/>
      <c r="P60" s="2012" t="e">
        <f>P55</f>
        <v>#N/A</v>
      </c>
      <c r="Q60" s="2011" t="e">
        <f>Q55</f>
        <v>#N/A</v>
      </c>
      <c r="R60" s="2010"/>
      <c r="S60" s="2009"/>
      <c r="T60" s="2008" t="e">
        <f>T55</f>
        <v>#N/A</v>
      </c>
      <c r="U60" s="2007"/>
      <c r="V60" s="2006"/>
      <c r="W60" s="2006"/>
      <c r="X60" s="2006"/>
      <c r="Y60" s="2006"/>
      <c r="Z60" s="1711"/>
      <c r="AA60" s="1711"/>
      <c r="AB60" s="1711"/>
      <c r="AC60" s="1711"/>
      <c r="AD60" s="1711"/>
      <c r="AE60" s="1711"/>
      <c r="AF60" s="1711"/>
      <c r="AG60" s="1711"/>
      <c r="AH60" s="1711"/>
    </row>
    <row r="61" spans="1:34" ht="15" customHeight="1">
      <c r="A61" s="1893"/>
      <c r="B61" s="1909"/>
      <c r="C61" s="1908"/>
      <c r="D61" s="2004"/>
      <c r="E61" s="2003"/>
      <c r="F61" s="2003"/>
      <c r="G61" s="2003"/>
      <c r="H61" s="2003"/>
      <c r="I61" s="2003"/>
      <c r="J61" s="2003"/>
      <c r="K61" s="2003"/>
      <c r="L61" s="2003"/>
      <c r="M61" s="2003"/>
      <c r="N61" s="2003"/>
      <c r="O61" s="2002"/>
      <c r="P61" s="2001"/>
      <c r="Q61" s="2000"/>
      <c r="R61" s="1932"/>
      <c r="S61" s="1999"/>
      <c r="T61" s="1998"/>
      <c r="U61" s="1893"/>
      <c r="V61" s="1825"/>
      <c r="W61" s="1825"/>
      <c r="X61" s="1825"/>
      <c r="Y61" s="1825"/>
    </row>
    <row r="62" spans="1:34" ht="17.7" customHeight="1">
      <c r="A62" s="1893"/>
      <c r="B62" s="1965"/>
      <c r="C62" s="1964"/>
      <c r="D62" s="1963" t="s">
        <v>1273</v>
      </c>
      <c r="E62" s="255"/>
      <c r="F62" s="255"/>
      <c r="G62" s="255"/>
      <c r="H62" s="255"/>
      <c r="I62" s="255"/>
      <c r="J62" s="255"/>
      <c r="K62" s="255"/>
      <c r="L62" s="1962" t="s">
        <v>1262</v>
      </c>
      <c r="M62" s="3791" t="s">
        <v>577</v>
      </c>
      <c r="N62" s="3791" t="s">
        <v>577</v>
      </c>
      <c r="O62" s="1961"/>
      <c r="P62" s="1960" t="e">
        <f>SUM(M64:N69)</f>
        <v>#N/A</v>
      </c>
      <c r="Q62" s="1959" t="e">
        <f>P62/((100+'SDK1'!$O$11)/100)</f>
        <v>#N/A</v>
      </c>
      <c r="R62" s="1932"/>
      <c r="S62" s="1940"/>
      <c r="T62" s="1948" t="e">
        <f>P62</f>
        <v>#N/A</v>
      </c>
      <c r="U62" s="1893"/>
      <c r="V62" s="1825"/>
      <c r="W62" s="1825"/>
      <c r="X62" s="1825"/>
      <c r="Y62" s="1825"/>
    </row>
    <row r="63" spans="1:34" ht="17.7" customHeight="1">
      <c r="A63" s="1893"/>
      <c r="B63" s="1965"/>
      <c r="C63" s="1964"/>
      <c r="D63" s="1963" t="s">
        <v>1272</v>
      </c>
      <c r="E63" s="255"/>
      <c r="F63" s="255"/>
      <c r="G63" s="255"/>
      <c r="H63" s="255"/>
      <c r="I63" s="255"/>
      <c r="J63" s="255"/>
      <c r="K63" s="255"/>
      <c r="L63" s="1962" t="s">
        <v>1271</v>
      </c>
      <c r="M63" s="3776" t="s">
        <v>1259</v>
      </c>
      <c r="N63" s="3776"/>
      <c r="O63" s="1961"/>
      <c r="P63" s="1960"/>
      <c r="Q63" s="1959"/>
      <c r="R63" s="1932"/>
      <c r="S63" s="1940"/>
      <c r="T63" s="1948"/>
      <c r="U63" s="1893"/>
      <c r="V63" s="1825"/>
      <c r="W63" s="1825"/>
      <c r="X63" s="1825"/>
      <c r="Y63" s="1825"/>
    </row>
    <row r="64" spans="1:34" ht="14.1" customHeight="1">
      <c r="A64" s="1893"/>
      <c r="B64" s="1947">
        <f t="shared" ref="B64:B69" si="4">D64*C64*(1+$B$28)</f>
        <v>0.33750000000000002</v>
      </c>
      <c r="C64" s="1989">
        <f>VLOOKUP(AB64,'SD3'!B24:O85,13,FALSE)</f>
        <v>0.25</v>
      </c>
      <c r="D64" s="1988">
        <v>0.9</v>
      </c>
      <c r="E64" s="1955" t="str">
        <f t="shared" ref="E64:E69" si="5">IF(D64&gt;0,"x","")</f>
        <v>x</v>
      </c>
      <c r="F64" s="1954" t="str">
        <f>VLOOKUP(AB64,'SD3'!$B$24:$C$85,2,FALSE)</f>
        <v>Kreiselwender 10,75m</v>
      </c>
      <c r="G64" s="1954"/>
      <c r="H64" s="1954"/>
      <c r="I64" s="1953"/>
      <c r="J64" s="1953"/>
      <c r="K64" s="1263"/>
      <c r="L64" s="1987">
        <f>VLOOKUP(AB64,'SD3'!$B$24:$O$85,14,FALSE)</f>
        <v>6.4943582499999994</v>
      </c>
      <c r="M64" s="3774">
        <f t="shared" ref="M64:M69" si="6">D64*L64</f>
        <v>5.844922425</v>
      </c>
      <c r="N64" s="3774"/>
      <c r="O64" s="1951"/>
      <c r="P64" s="1950"/>
      <c r="Q64" s="1949"/>
      <c r="R64" s="1932"/>
      <c r="S64" s="1940"/>
      <c r="T64" s="1948"/>
      <c r="U64" s="1893"/>
      <c r="V64" s="1825"/>
      <c r="W64" s="1825"/>
      <c r="X64" s="1825"/>
      <c r="Y64" s="1825"/>
      <c r="AB64" s="1392">
        <v>40</v>
      </c>
    </row>
    <row r="65" spans="1:34" ht="14.1" customHeight="1">
      <c r="A65" s="1893"/>
      <c r="B65" s="1947">
        <f t="shared" si="4"/>
        <v>0.37800000000000011</v>
      </c>
      <c r="C65" s="1989">
        <f>VLOOKUP(AB65,'SD3'!B24:O85,13,FALSE)</f>
        <v>0.28000000000000003</v>
      </c>
      <c r="D65" s="1988">
        <v>0.9</v>
      </c>
      <c r="E65" s="1955" t="str">
        <f t="shared" si="5"/>
        <v>x</v>
      </c>
      <c r="F65" s="1954" t="str">
        <f>VLOOKUP(AB65,'SD3'!$B$24:$C$85,2,FALSE)</f>
        <v>Kreiselschwader 7,5m Seitenablage</v>
      </c>
      <c r="G65" s="1954"/>
      <c r="H65" s="1954"/>
      <c r="I65" s="1953"/>
      <c r="J65" s="1953"/>
      <c r="K65" s="1263"/>
      <c r="L65" s="1987">
        <f>VLOOKUP(AB65,'SD3'!$B$24:$O$85,14,FALSE)</f>
        <v>8.4989732</v>
      </c>
      <c r="M65" s="3774">
        <f t="shared" si="6"/>
        <v>7.6490758799999998</v>
      </c>
      <c r="N65" s="3774"/>
      <c r="O65" s="1951"/>
      <c r="P65" s="1950"/>
      <c r="Q65" s="1949"/>
      <c r="R65" s="1932"/>
      <c r="S65" s="1940"/>
      <c r="T65" s="1948"/>
      <c r="U65" s="1893"/>
      <c r="V65" s="1825"/>
      <c r="W65" s="1825"/>
      <c r="X65" s="1825"/>
      <c r="Y65" s="1825"/>
      <c r="AB65" s="1392">
        <v>41</v>
      </c>
    </row>
    <row r="66" spans="1:34" ht="14.1" customHeight="1">
      <c r="A66" s="1893"/>
      <c r="B66" s="1947">
        <f t="shared" si="4"/>
        <v>0</v>
      </c>
      <c r="C66" s="1989">
        <f>VLOOKUP(AB66,'SD3'!B24:O85,13,FALSE)</f>
        <v>1.38</v>
      </c>
      <c r="D66" s="1988"/>
      <c r="E66" s="1955" t="str">
        <f t="shared" si="5"/>
        <v/>
      </c>
      <c r="F66" s="1954" t="str">
        <f>VLOOKUP(AB66,'SD3'!$B$24:$C$85,2,FALSE)</f>
        <v>Drehpflug, 5 Schare</v>
      </c>
      <c r="G66" s="1954"/>
      <c r="H66" s="1954"/>
      <c r="I66" s="1953"/>
      <c r="J66" s="1953"/>
      <c r="K66" s="1263"/>
      <c r="L66" s="1987">
        <f>VLOOKUP(AB66,'SD3'!$B$24:$O$85,14,FALSE)</f>
        <v>64.642445999999993</v>
      </c>
      <c r="M66" s="3774">
        <f t="shared" si="6"/>
        <v>0</v>
      </c>
      <c r="N66" s="3774"/>
      <c r="O66" s="1951"/>
      <c r="P66" s="1950"/>
      <c r="Q66" s="1949"/>
      <c r="R66" s="1932"/>
      <c r="S66" s="1940"/>
      <c r="T66" s="1948"/>
      <c r="U66" s="1893"/>
      <c r="V66" s="1825"/>
      <c r="W66" s="1825"/>
      <c r="X66" s="1825"/>
      <c r="Y66" s="1825"/>
      <c r="AB66" s="1392">
        <v>1</v>
      </c>
    </row>
    <row r="67" spans="1:34" ht="14.1" customHeight="1">
      <c r="A67" s="1893"/>
      <c r="B67" s="1947">
        <f t="shared" si="4"/>
        <v>0</v>
      </c>
      <c r="C67" s="1989">
        <f>VLOOKUP(AB67,'SD3'!B24:O85,13,FALSE)</f>
        <v>1.38</v>
      </c>
      <c r="D67" s="1988"/>
      <c r="E67" s="1955" t="str">
        <f t="shared" si="5"/>
        <v/>
      </c>
      <c r="F67" s="1954" t="str">
        <f>VLOOKUP(AB67,'SD3'!$B$24:$C$85,2,FALSE)</f>
        <v>Drehpflug, 5 Schare</v>
      </c>
      <c r="G67" s="1954"/>
      <c r="H67" s="1954"/>
      <c r="I67" s="1953"/>
      <c r="J67" s="1953"/>
      <c r="K67" s="1263"/>
      <c r="L67" s="1987">
        <f>VLOOKUP(AB67,'SD3'!$B$24:$O$85,14,FALSE)</f>
        <v>64.642445999999993</v>
      </c>
      <c r="M67" s="3774">
        <f t="shared" si="6"/>
        <v>0</v>
      </c>
      <c r="N67" s="3774"/>
      <c r="O67" s="1951"/>
      <c r="P67" s="1950"/>
      <c r="Q67" s="1949"/>
      <c r="R67" s="1932"/>
      <c r="S67" s="1940"/>
      <c r="T67" s="1948"/>
      <c r="U67" s="1893"/>
      <c r="V67" s="1825"/>
      <c r="W67" s="1825"/>
      <c r="X67" s="1825"/>
      <c r="Y67" s="1825"/>
      <c r="AB67" s="1392">
        <v>1</v>
      </c>
    </row>
    <row r="68" spans="1:34" ht="14.1" customHeight="1">
      <c r="A68" s="1893"/>
      <c r="B68" s="1947">
        <f t="shared" si="4"/>
        <v>0</v>
      </c>
      <c r="C68" s="1989">
        <f>VLOOKUP(AB68,'SD3'!B24:O85,13,FALSE)</f>
        <v>1.38</v>
      </c>
      <c r="D68" s="1988"/>
      <c r="E68" s="1955" t="str">
        <f t="shared" si="5"/>
        <v/>
      </c>
      <c r="F68" s="1954" t="str">
        <f>VLOOKUP(AB68,'SD3'!$B$24:$C$85,2,FALSE)</f>
        <v>Drehpflug, 5 Schare</v>
      </c>
      <c r="G68" s="1954"/>
      <c r="H68" s="1954"/>
      <c r="I68" s="1953"/>
      <c r="J68" s="1953"/>
      <c r="K68" s="1263"/>
      <c r="L68" s="1987">
        <f>VLOOKUP(AB68,'SD3'!$B$24:$O$85,14,FALSE)</f>
        <v>64.642445999999993</v>
      </c>
      <c r="M68" s="3774">
        <f t="shared" si="6"/>
        <v>0</v>
      </c>
      <c r="N68" s="3774"/>
      <c r="O68" s="1951"/>
      <c r="P68" s="1950"/>
      <c r="Q68" s="1949"/>
      <c r="R68" s="1932"/>
      <c r="S68" s="1940"/>
      <c r="T68" s="1948"/>
      <c r="U68" s="1893"/>
      <c r="V68" s="1825"/>
      <c r="W68" s="1825"/>
      <c r="X68" s="1825"/>
      <c r="Y68" s="1825"/>
      <c r="AB68" s="1392">
        <v>1</v>
      </c>
    </row>
    <row r="69" spans="1:34" ht="14.1" customHeight="1">
      <c r="A69" s="1893"/>
      <c r="B69" s="1947" t="e">
        <f t="shared" si="4"/>
        <v>#N/A</v>
      </c>
      <c r="C69" s="1989" t="e">
        <f>VLOOKUP(AB69,'SD3'!B24:O85,13,FALSE)</f>
        <v>#N/A</v>
      </c>
      <c r="D69" s="1997"/>
      <c r="E69" s="1996" t="str">
        <f t="shared" si="5"/>
        <v/>
      </c>
      <c r="F69" s="1995" t="e">
        <f>VLOOKUP(AB69,'SD3'!$B$24:$C$85,2,FALSE)</f>
        <v>#N/A</v>
      </c>
      <c r="G69" s="1995"/>
      <c r="H69" s="1995"/>
      <c r="I69" s="1994"/>
      <c r="J69" s="1994"/>
      <c r="K69" s="1944"/>
      <c r="L69" s="1993" t="e">
        <f>VLOOKUP(AB69,'SD3'!$B$24:$O$85,14,FALSE)</f>
        <v>#N/A</v>
      </c>
      <c r="M69" s="3775" t="e">
        <f t="shared" si="6"/>
        <v>#N/A</v>
      </c>
      <c r="N69" s="3775"/>
      <c r="O69" s="1943"/>
      <c r="P69" s="1942"/>
      <c r="Q69" s="1941"/>
      <c r="R69" s="1932"/>
      <c r="S69" s="1940"/>
      <c r="T69" s="1939"/>
      <c r="U69" s="1893"/>
      <c r="V69" s="1825"/>
      <c r="W69" s="1825"/>
      <c r="X69" s="1825"/>
      <c r="Y69" s="1825"/>
      <c r="AB69" s="1392">
        <v>22</v>
      </c>
    </row>
    <row r="70" spans="1:34" ht="17.7" customHeight="1">
      <c r="A70" s="1893"/>
      <c r="B70" s="1992"/>
      <c r="C70" s="1991"/>
      <c r="D70" s="1976" t="s">
        <v>765</v>
      </c>
      <c r="E70" s="1973"/>
      <c r="F70" s="1973"/>
      <c r="G70" s="1263"/>
      <c r="H70" s="1263"/>
      <c r="I70" s="1263"/>
      <c r="J70" s="1263"/>
      <c r="K70" s="1263"/>
      <c r="L70" s="1263"/>
      <c r="M70" s="1263"/>
      <c r="N70" s="1263"/>
      <c r="O70" s="1990"/>
      <c r="P70" s="1950" t="e">
        <f>SUM(M71:N73)</f>
        <v>#N/A</v>
      </c>
      <c r="Q70" s="1949" t="e">
        <f>P70/((100+'SDK1'!$O$11)/100)</f>
        <v>#N/A</v>
      </c>
      <c r="R70" s="1932"/>
      <c r="S70" s="1940"/>
      <c r="T70" s="1948" t="e">
        <f>P70</f>
        <v>#N/A</v>
      </c>
      <c r="U70" s="1893"/>
      <c r="V70" s="1825"/>
      <c r="W70" s="1825"/>
      <c r="X70" s="1825"/>
      <c r="Y70" s="1825"/>
    </row>
    <row r="71" spans="1:34" ht="14.1" customHeight="1">
      <c r="A71" s="1893"/>
      <c r="B71" s="1947">
        <f>D71*C71*(1+$B$28)</f>
        <v>0</v>
      </c>
      <c r="C71" s="1989"/>
      <c r="D71" s="1988">
        <v>1</v>
      </c>
      <c r="E71" s="1955" t="str">
        <f>IF(D71&gt;0,"x","")</f>
        <v>x</v>
      </c>
      <c r="F71" s="1954" t="e">
        <f>VLOOKUP(AB71,'SD3'!$B$90:$C$104,2,FALSE)</f>
        <v>#N/A</v>
      </c>
      <c r="G71" s="1954"/>
      <c r="H71" s="1954"/>
      <c r="I71" s="1953"/>
      <c r="J71" s="1953"/>
      <c r="K71" s="1263"/>
      <c r="L71" s="1987" t="e">
        <f>VLOOKUP(AB71,'SD3'!$B$90:$D$104,3,FALSE)</f>
        <v>#N/A</v>
      </c>
      <c r="M71" s="3774" t="e">
        <f>D71*L71*(100+'SDK1'!$O$11)/100</f>
        <v>#N/A</v>
      </c>
      <c r="N71" s="3774"/>
      <c r="O71" s="1951"/>
      <c r="P71" s="1950"/>
      <c r="Q71" s="1949"/>
      <c r="R71" s="1932"/>
      <c r="S71" s="1940"/>
      <c r="T71" s="1948"/>
      <c r="U71" s="1893"/>
      <c r="V71" s="1825"/>
      <c r="W71" s="1825"/>
      <c r="X71" s="1825"/>
      <c r="Y71" s="1825"/>
      <c r="AB71" s="1392">
        <v>18</v>
      </c>
    </row>
    <row r="72" spans="1:34" ht="14.1" customHeight="1">
      <c r="A72" s="1893"/>
      <c r="B72" s="1947">
        <f>D72*C72*(1+$B$28)</f>
        <v>0</v>
      </c>
      <c r="C72" s="1989"/>
      <c r="D72" s="1988"/>
      <c r="E72" s="1955" t="str">
        <f>IF(D72&gt;0,"x","")</f>
        <v/>
      </c>
      <c r="F72" s="1954" t="str">
        <f>VLOOKUP(AB72,'SD3'!$B$90:$C$104,2,FALSE)</f>
        <v>Mähdrescher - Getreide</v>
      </c>
      <c r="G72" s="1954"/>
      <c r="H72" s="1954"/>
      <c r="I72" s="1953"/>
      <c r="J72" s="1953"/>
      <c r="K72" s="1263"/>
      <c r="L72" s="1987">
        <f>VLOOKUP(AB72,'SD3'!$B$90:$D$104,3,FALSE)</f>
        <v>157</v>
      </c>
      <c r="M72" s="3774">
        <f>D72*L72*(100+'SDK1'!$O$11)/100</f>
        <v>0</v>
      </c>
      <c r="N72" s="3774"/>
      <c r="O72" s="1951"/>
      <c r="P72" s="1950"/>
      <c r="Q72" s="1949"/>
      <c r="R72" s="1932"/>
      <c r="S72" s="1940"/>
      <c r="T72" s="1948"/>
      <c r="U72" s="1893"/>
      <c r="V72" s="1825"/>
      <c r="W72" s="1825"/>
      <c r="X72" s="1825"/>
      <c r="Y72" s="1825"/>
      <c r="AB72" s="1392">
        <v>1</v>
      </c>
    </row>
    <row r="73" spans="1:34" ht="14.1" customHeight="1">
      <c r="A73" s="1893"/>
      <c r="B73" s="1947">
        <f>D73*C73*(1+$B$28)</f>
        <v>0</v>
      </c>
      <c r="C73" s="1989"/>
      <c r="D73" s="1988"/>
      <c r="E73" s="1955" t="str">
        <f>IF(D73&gt;0,"x","")</f>
        <v/>
      </c>
      <c r="F73" s="1954" t="str">
        <f>VLOOKUP(AB73,'SD3'!$B$90:$C$104,2,FALSE)</f>
        <v>Mähdrescher - Getreide</v>
      </c>
      <c r="G73" s="1954"/>
      <c r="H73" s="1954"/>
      <c r="I73" s="1953"/>
      <c r="J73" s="1953"/>
      <c r="K73" s="1263"/>
      <c r="L73" s="1987">
        <f>VLOOKUP(AB73,'SD3'!$B$90:$D$104,3,FALSE)</f>
        <v>157</v>
      </c>
      <c r="M73" s="3774">
        <f>D73*L73*(100+'SDK1'!$O$11)/100</f>
        <v>0</v>
      </c>
      <c r="N73" s="3774"/>
      <c r="O73" s="1951"/>
      <c r="P73" s="1950"/>
      <c r="Q73" s="1949"/>
      <c r="R73" s="1932"/>
      <c r="S73" s="1940"/>
      <c r="T73" s="1948"/>
      <c r="U73" s="1893"/>
      <c r="V73" s="1825"/>
      <c r="W73" s="1825"/>
      <c r="X73" s="1825"/>
      <c r="Y73" s="1825"/>
      <c r="AB73" s="1392">
        <v>1</v>
      </c>
    </row>
    <row r="74" spans="1:34" s="1928" customFormat="1" ht="17.7" customHeight="1">
      <c r="A74" s="1929"/>
      <c r="B74" s="1918" t="e">
        <f>SUM(B64:B69)+SUM(B71:B73)</f>
        <v>#N/A</v>
      </c>
      <c r="C74" s="1938"/>
      <c r="D74" s="1986" t="s">
        <v>1270</v>
      </c>
      <c r="E74" s="1985"/>
      <c r="F74" s="1985"/>
      <c r="G74" s="1985"/>
      <c r="H74" s="1985"/>
      <c r="I74" s="1985"/>
      <c r="J74" s="1985"/>
      <c r="K74" s="1985"/>
      <c r="L74" s="1985"/>
      <c r="M74" s="1985"/>
      <c r="N74" s="1985"/>
      <c r="O74" s="1984"/>
      <c r="P74" s="1983" t="e">
        <f>B74*$D$16</f>
        <v>#N/A</v>
      </c>
      <c r="Q74" s="1982" t="e">
        <f>P74</f>
        <v>#N/A</v>
      </c>
      <c r="R74" s="1981"/>
      <c r="S74" s="1980"/>
      <c r="T74" s="1979" t="e">
        <f>P74</f>
        <v>#N/A</v>
      </c>
      <c r="U74" s="1929"/>
      <c r="V74" s="1825"/>
      <c r="W74" s="1825"/>
      <c r="X74" s="1825"/>
      <c r="Y74" s="1825"/>
      <c r="Z74" s="100"/>
      <c r="AA74" s="100"/>
      <c r="AB74" s="100"/>
      <c r="AC74" s="100"/>
      <c r="AD74" s="100"/>
      <c r="AE74" s="100"/>
      <c r="AF74" s="100"/>
      <c r="AG74" s="100"/>
      <c r="AH74" s="100"/>
    </row>
    <row r="75" spans="1:34" ht="17.399999999999999">
      <c r="A75" s="1893"/>
      <c r="B75" s="1909"/>
      <c r="C75" s="1908"/>
      <c r="D75" s="1926" t="s">
        <v>1269</v>
      </c>
      <c r="E75" s="1925"/>
      <c r="F75" s="1925"/>
      <c r="G75" s="1925"/>
      <c r="H75" s="1925"/>
      <c r="I75" s="1925"/>
      <c r="J75" s="1925"/>
      <c r="K75" s="1925"/>
      <c r="L75" s="1925"/>
      <c r="M75" s="1925"/>
      <c r="N75" s="1925"/>
      <c r="O75" s="1924"/>
      <c r="P75" s="1923" t="e">
        <f>SUM(P62:P74)+P55</f>
        <v>#N/A</v>
      </c>
      <c r="Q75" s="1922" t="e">
        <f>SUM(Q62:Q74)+Q55</f>
        <v>#N/A</v>
      </c>
      <c r="R75" s="1921"/>
      <c r="S75" s="1920"/>
      <c r="T75" s="1919" t="e">
        <f>SUM(T62:T74)+T55</f>
        <v>#N/A</v>
      </c>
      <c r="U75" s="1893"/>
      <c r="V75" s="1825"/>
      <c r="W75" s="1825"/>
      <c r="X75" s="1825"/>
      <c r="Y75" s="1825"/>
    </row>
    <row r="76" spans="1:34" ht="15" customHeight="1">
      <c r="A76" s="1893"/>
      <c r="B76" s="1909"/>
      <c r="C76" s="1908"/>
      <c r="D76" s="1917"/>
      <c r="E76" s="1916"/>
      <c r="F76" s="1916"/>
      <c r="G76" s="1916"/>
      <c r="H76" s="1916"/>
      <c r="I76" s="1916"/>
      <c r="J76" s="1916"/>
      <c r="K76" s="1916"/>
      <c r="L76" s="1916"/>
      <c r="M76" s="1916"/>
      <c r="N76" s="1916"/>
      <c r="O76" s="1915" t="s">
        <v>1268</v>
      </c>
      <c r="P76" s="1914" t="e">
        <f>IF($X$10=0,"        Ertrag ?",P75/$X$10)</f>
        <v>#N/A</v>
      </c>
      <c r="Q76" s="1913" t="e">
        <f>IF($X$10=0,"        Ertrag ?",Q75/$X$10)</f>
        <v>#N/A</v>
      </c>
      <c r="R76" s="1912"/>
      <c r="S76" s="1911"/>
      <c r="T76" s="1910" t="e">
        <f>IF($X$10=0,"     Ertrag ?",T75/$X$10)</f>
        <v>#N/A</v>
      </c>
      <c r="U76" s="1893"/>
      <c r="V76" s="1825"/>
      <c r="W76" s="1825"/>
      <c r="X76" s="1825"/>
      <c r="Y76" s="1825"/>
    </row>
    <row r="77" spans="1:34" ht="17.399999999999999">
      <c r="A77" s="1893"/>
      <c r="B77" s="1909"/>
      <c r="C77" s="1908"/>
      <c r="D77" s="3779" t="str">
        <f>"Voller Preis( incl. "&amp;P16*100&amp;"% Wagniszuschlag) (incl. Einlagern)"</f>
        <v>Voller Preis( incl. 10% Wagniszuschlag) (incl. Einlagern)</v>
      </c>
      <c r="E77" s="3780"/>
      <c r="F77" s="3780"/>
      <c r="G77" s="3780"/>
      <c r="H77" s="3780"/>
      <c r="I77" s="3780"/>
      <c r="J77" s="3780"/>
      <c r="K77" s="3780"/>
      <c r="L77" s="3780"/>
      <c r="M77" s="3780"/>
      <c r="N77" s="3780"/>
      <c r="O77" s="3781" t="str">
        <f>"Voller Preis( incl. "&amp;P16*100&amp;"% Wagniszuschlag) (incl. Einsilieren)"</f>
        <v>Voller Preis( incl. 10% Wagniszuschlag) (incl. Einsilieren)</v>
      </c>
      <c r="P77" s="1907" t="e">
        <f>P75*(1+$P$16)</f>
        <v>#N/A</v>
      </c>
      <c r="Q77" s="1906" t="e">
        <f>Q75*(1+$P$16)</f>
        <v>#N/A</v>
      </c>
      <c r="R77" s="1905"/>
      <c r="S77" s="1904"/>
      <c r="T77" s="1903"/>
      <c r="U77" s="1893"/>
      <c r="V77" s="1825"/>
      <c r="W77" s="1825"/>
      <c r="X77" s="1825"/>
      <c r="Y77" s="1825"/>
    </row>
    <row r="78" spans="1:34" ht="15" customHeight="1">
      <c r="A78" s="1893"/>
      <c r="B78" s="1909"/>
      <c r="C78" s="1908"/>
      <c r="D78" s="3822"/>
      <c r="E78" s="3823"/>
      <c r="F78" s="3823"/>
      <c r="G78" s="3823"/>
      <c r="H78" s="3823"/>
      <c r="I78" s="3823"/>
      <c r="J78" s="3823"/>
      <c r="K78" s="3823"/>
      <c r="L78" s="3823"/>
      <c r="M78" s="3823"/>
      <c r="N78" s="3823"/>
      <c r="O78" s="3824"/>
      <c r="P78" s="1970" t="e">
        <f>IF($X$10=0,"        Ertrag ?",P76*(1+$P$16))</f>
        <v>#N/A</v>
      </c>
      <c r="Q78" s="1969" t="e">
        <f>IF($X$10=0,"        Ertrag ?",Q76*(1+$P$16))</f>
        <v>#N/A</v>
      </c>
      <c r="R78" s="1968"/>
      <c r="S78" s="1967"/>
      <c r="T78" s="1966"/>
      <c r="U78" s="1893"/>
      <c r="V78" s="1825"/>
      <c r="W78" s="1825"/>
      <c r="X78" s="1825"/>
      <c r="Y78" s="1825"/>
    </row>
    <row r="79" spans="1:34" ht="17.7" customHeight="1">
      <c r="A79" s="1893"/>
      <c r="B79" s="1978"/>
      <c r="C79" s="1977"/>
      <c r="D79" s="1976" t="s">
        <v>1267</v>
      </c>
      <c r="E79" s="1263"/>
      <c r="F79" s="1263"/>
      <c r="G79" s="1263"/>
      <c r="H79" s="1263"/>
      <c r="I79" s="1263"/>
      <c r="J79" s="1263"/>
      <c r="K79" s="1263"/>
      <c r="L79" s="1975">
        <v>3</v>
      </c>
      <c r="M79" s="1974"/>
      <c r="N79" s="1973" t="s">
        <v>1266</v>
      </c>
      <c r="O79" s="1972"/>
      <c r="P79" s="1971">
        <f>D13*L79</f>
        <v>220.77922077922074</v>
      </c>
      <c r="Q79" s="1949">
        <f>P79/((100+'SDK1'!$O$11)/100)</f>
        <v>220.77922077922074</v>
      </c>
      <c r="R79" s="1932"/>
      <c r="S79" s="1940"/>
      <c r="T79" s="1948">
        <f>P79</f>
        <v>220.77922077922074</v>
      </c>
      <c r="U79" s="1893"/>
      <c r="V79" s="1825"/>
      <c r="W79" s="1825"/>
      <c r="X79" s="1825"/>
      <c r="Y79" s="1825"/>
    </row>
    <row r="80" spans="1:34" ht="17.399999999999999">
      <c r="A80" s="1893"/>
      <c r="B80" s="1909"/>
      <c r="C80" s="1908"/>
      <c r="D80" s="1926" t="s">
        <v>1265</v>
      </c>
      <c r="E80" s="1925"/>
      <c r="F80" s="1925"/>
      <c r="G80" s="1925"/>
      <c r="H80" s="1925"/>
      <c r="I80" s="1925"/>
      <c r="J80" s="1925"/>
      <c r="K80" s="1925"/>
      <c r="L80" s="1925"/>
      <c r="M80" s="1925"/>
      <c r="N80" s="1925"/>
      <c r="O80" s="1924"/>
      <c r="P80" s="1923" t="e">
        <f>P75+P79</f>
        <v>#N/A</v>
      </c>
      <c r="Q80" s="1922" t="e">
        <f>Q75+Q79</f>
        <v>#N/A</v>
      </c>
      <c r="R80" s="1921"/>
      <c r="S80" s="1920"/>
      <c r="T80" s="1919" t="e">
        <f>T75+T79</f>
        <v>#N/A</v>
      </c>
      <c r="U80" s="1893"/>
      <c r="V80" s="1825"/>
      <c r="W80" s="1825"/>
      <c r="X80" s="1825"/>
      <c r="Y80" s="1825"/>
    </row>
    <row r="81" spans="1:34" ht="15" customHeight="1">
      <c r="A81" s="1893"/>
      <c r="B81" s="1909"/>
      <c r="C81" s="1908"/>
      <c r="D81" s="1917"/>
      <c r="E81" s="1916"/>
      <c r="F81" s="1916"/>
      <c r="G81" s="1916"/>
      <c r="H81" s="1916"/>
      <c r="I81" s="1916"/>
      <c r="J81" s="1916"/>
      <c r="K81" s="1916"/>
      <c r="L81" s="1916"/>
      <c r="M81" s="1916"/>
      <c r="N81" s="1916"/>
      <c r="O81" s="1915" t="s">
        <v>1264</v>
      </c>
      <c r="P81" s="1914" t="e">
        <f>IF($X$10=0,"        Ertrag ?",P80/$X$10)</f>
        <v>#N/A</v>
      </c>
      <c r="Q81" s="1913" t="e">
        <f>IF($X$10=0,"        Ertrag ?",Q80/$X$10)</f>
        <v>#N/A</v>
      </c>
      <c r="R81" s="1912"/>
      <c r="S81" s="1911"/>
      <c r="T81" s="1910" t="e">
        <f>IF($X$10=0,"     Ertrag ?",T80/$X$10)</f>
        <v>#N/A</v>
      </c>
      <c r="U81" s="1893"/>
      <c r="V81" s="1825"/>
      <c r="W81" s="1825"/>
      <c r="X81" s="1825"/>
      <c r="Y81" s="1825"/>
    </row>
    <row r="82" spans="1:34" ht="17.399999999999999">
      <c r="A82" s="1893"/>
      <c r="B82" s="1909"/>
      <c r="C82" s="1908"/>
      <c r="D82" s="3779" t="str">
        <f>"Voller Preis( incl. "&amp;P16*100&amp;"% Wagniszuschlag) (incl. Einsilieren+ Festk. Silo)"</f>
        <v>Voller Preis( incl. 10% Wagniszuschlag) (incl. Einsilieren+ Festk. Silo)</v>
      </c>
      <c r="E82" s="3780"/>
      <c r="F82" s="3780"/>
      <c r="G82" s="3780"/>
      <c r="H82" s="3780"/>
      <c r="I82" s="3780"/>
      <c r="J82" s="3780"/>
      <c r="K82" s="3780"/>
      <c r="L82" s="3780"/>
      <c r="M82" s="3780"/>
      <c r="N82" s="3780"/>
      <c r="O82" s="3781" t="str">
        <f>"Voller Preis( incl. "&amp;P16*100&amp;"% Wagniszuschlag) (incl. Einsilieren + Festk.Silo)"</f>
        <v>Voller Preis( incl. 10% Wagniszuschlag) (incl. Einsilieren + Festk.Silo)</v>
      </c>
      <c r="P82" s="1907" t="e">
        <f>P80*(1+$P$16)</f>
        <v>#N/A</v>
      </c>
      <c r="Q82" s="1906" t="e">
        <f>Q80*(1+$P$16)</f>
        <v>#N/A</v>
      </c>
      <c r="R82" s="1905"/>
      <c r="S82" s="1904"/>
      <c r="T82" s="1903"/>
      <c r="U82" s="1893"/>
      <c r="V82" s="1825"/>
      <c r="W82" s="1825"/>
      <c r="X82" s="1825"/>
      <c r="Y82" s="1825"/>
    </row>
    <row r="83" spans="1:34" ht="15" customHeight="1">
      <c r="A83" s="1893"/>
      <c r="B83" s="1909"/>
      <c r="C83" s="1908"/>
      <c r="D83" s="3822"/>
      <c r="E83" s="3823"/>
      <c r="F83" s="3823"/>
      <c r="G83" s="3823"/>
      <c r="H83" s="3823"/>
      <c r="I83" s="3823"/>
      <c r="J83" s="3823"/>
      <c r="K83" s="3823"/>
      <c r="L83" s="3823"/>
      <c r="M83" s="3823"/>
      <c r="N83" s="3823"/>
      <c r="O83" s="3824"/>
      <c r="P83" s="1970" t="e">
        <f>IF($X$10=0,"        Ertrag ?",P81*(1+$P$16))</f>
        <v>#N/A</v>
      </c>
      <c r="Q83" s="1969" t="e">
        <f>IF($X$10=0,"        Ertrag ?",Q81*(1+$P$16))</f>
        <v>#N/A</v>
      </c>
      <c r="R83" s="1968"/>
      <c r="S83" s="1967"/>
      <c r="T83" s="1966"/>
      <c r="U83" s="1893"/>
      <c r="V83" s="1825"/>
      <c r="W83" s="1825"/>
      <c r="X83" s="1825"/>
      <c r="Y83" s="1825"/>
    </row>
    <row r="84" spans="1:34" s="1928" customFormat="1" ht="17.7" customHeight="1">
      <c r="A84" s="1929"/>
      <c r="B84" s="1965"/>
      <c r="C84" s="1964"/>
      <c r="D84" s="1963" t="s">
        <v>1263</v>
      </c>
      <c r="E84" s="255"/>
      <c r="F84" s="255"/>
      <c r="G84" s="255"/>
      <c r="H84" s="255"/>
      <c r="I84" s="255"/>
      <c r="J84" s="255"/>
      <c r="K84" s="255"/>
      <c r="L84" s="1962" t="s">
        <v>1262</v>
      </c>
      <c r="M84" s="3772" t="s">
        <v>577</v>
      </c>
      <c r="N84" s="3772" t="s">
        <v>577</v>
      </c>
      <c r="O84" s="1961"/>
      <c r="P84" s="1960">
        <f>SUM(M86:N88)</f>
        <v>52.251082251082245</v>
      </c>
      <c r="Q84" s="1959">
        <f>P84/((100+'SDK1'!$O$11)/100)</f>
        <v>52.251082251082245</v>
      </c>
      <c r="R84" s="1932"/>
      <c r="S84" s="1940"/>
      <c r="T84" s="1948">
        <f>P84</f>
        <v>52.251082251082245</v>
      </c>
      <c r="U84" s="1929"/>
      <c r="V84" s="1825"/>
      <c r="W84" s="1825"/>
      <c r="X84" s="1825"/>
      <c r="Y84" s="1825"/>
      <c r="Z84" s="100"/>
      <c r="AA84" s="100"/>
      <c r="AB84" s="100"/>
      <c r="AC84" s="100"/>
      <c r="AD84" s="100"/>
      <c r="AE84" s="100"/>
      <c r="AF84" s="100"/>
      <c r="AG84" s="100"/>
      <c r="AH84" s="100"/>
    </row>
    <row r="85" spans="1:34" s="1928" customFormat="1" ht="17.7" customHeight="1">
      <c r="A85" s="1929"/>
      <c r="B85" s="1965"/>
      <c r="C85" s="1964"/>
      <c r="D85" s="1963" t="s">
        <v>1261</v>
      </c>
      <c r="E85" s="255"/>
      <c r="F85" s="255"/>
      <c r="G85" s="255"/>
      <c r="H85" s="255"/>
      <c r="I85" s="255"/>
      <c r="J85" s="255"/>
      <c r="K85" s="255"/>
      <c r="L85" s="1962" t="s">
        <v>1260</v>
      </c>
      <c r="M85" s="3776" t="s">
        <v>1259</v>
      </c>
      <c r="N85" s="3776"/>
      <c r="O85" s="1961"/>
      <c r="P85" s="1960"/>
      <c r="Q85" s="1959"/>
      <c r="R85" s="1932"/>
      <c r="S85" s="1940"/>
      <c r="T85" s="1948"/>
      <c r="U85" s="1929"/>
      <c r="V85" s="1825"/>
      <c r="W85" s="1825"/>
      <c r="X85" s="1825"/>
      <c r="Y85" s="1825"/>
      <c r="Z85" s="100"/>
      <c r="AA85" s="100"/>
      <c r="AB85" s="100"/>
      <c r="AC85" s="100"/>
      <c r="AD85" s="100"/>
      <c r="AE85" s="100"/>
      <c r="AF85" s="100"/>
      <c r="AG85" s="100"/>
      <c r="AH85" s="100"/>
    </row>
    <row r="86" spans="1:34" s="1928" customFormat="1" ht="14.1" customHeight="1">
      <c r="A86" s="1929"/>
      <c r="B86" s="1947">
        <f>IF(C86&gt;0,C86*(1+$B$28),0)</f>
        <v>3</v>
      </c>
      <c r="C86" s="1946">
        <v>2</v>
      </c>
      <c r="D86" s="1956" t="s">
        <v>1258</v>
      </c>
      <c r="E86" s="1955"/>
      <c r="F86" s="1954"/>
      <c r="G86" s="1954"/>
      <c r="H86" s="1954"/>
      <c r="I86" s="1958"/>
      <c r="J86" s="3785">
        <f>D13</f>
        <v>73.593073593073584</v>
      </c>
      <c r="K86" s="3785"/>
      <c r="L86" s="1957">
        <v>0.6</v>
      </c>
      <c r="M86" s="3774">
        <f>D13*L86</f>
        <v>44.15584415584415</v>
      </c>
      <c r="N86" s="3774"/>
      <c r="O86" s="1951"/>
      <c r="P86" s="1950"/>
      <c r="Q86" s="1949"/>
      <c r="R86" s="1932"/>
      <c r="S86" s="1940"/>
      <c r="T86" s="1948"/>
      <c r="U86" s="1929"/>
      <c r="V86" s="1825"/>
      <c r="W86" s="1825"/>
      <c r="X86" s="1825"/>
      <c r="Y86" s="1825"/>
      <c r="Z86" s="100"/>
      <c r="AA86" s="100"/>
      <c r="AB86" s="1392">
        <v>44</v>
      </c>
      <c r="AC86" s="100"/>
      <c r="AD86" s="100"/>
      <c r="AE86" s="100"/>
      <c r="AF86" s="100"/>
      <c r="AG86" s="100"/>
      <c r="AH86" s="100"/>
    </row>
    <row r="87" spans="1:34" s="1928" customFormat="1" ht="14.1" customHeight="1">
      <c r="A87" s="1929"/>
      <c r="B87" s="1947">
        <f>IF(C87&gt;0,C87*(1+$B$28),0)</f>
        <v>3</v>
      </c>
      <c r="C87" s="1946">
        <v>2</v>
      </c>
      <c r="D87" s="1956" t="s">
        <v>1257</v>
      </c>
      <c r="E87" s="1955"/>
      <c r="F87" s="1954"/>
      <c r="G87" s="1954"/>
      <c r="H87" s="1954"/>
      <c r="I87" s="1953"/>
      <c r="J87" s="3789">
        <v>0.2</v>
      </c>
      <c r="K87" s="3790"/>
      <c r="L87" s="1952">
        <v>0.55000000000000004</v>
      </c>
      <c r="M87" s="3774">
        <f>D13*J87*L87</f>
        <v>8.0952380952380949</v>
      </c>
      <c r="N87" s="3774"/>
      <c r="O87" s="1951"/>
      <c r="P87" s="1950"/>
      <c r="Q87" s="1949"/>
      <c r="R87" s="1932"/>
      <c r="S87" s="1940"/>
      <c r="T87" s="1948"/>
      <c r="U87" s="1929"/>
      <c r="V87" s="1825"/>
      <c r="W87" s="1825"/>
      <c r="X87" s="1825"/>
      <c r="Y87" s="1825"/>
      <c r="Z87" s="100"/>
      <c r="AA87" s="100"/>
      <c r="AB87" s="1392">
        <v>45</v>
      </c>
      <c r="AC87" s="100"/>
      <c r="AD87" s="100"/>
      <c r="AE87" s="100"/>
      <c r="AF87" s="100"/>
      <c r="AG87" s="100"/>
      <c r="AH87" s="100"/>
    </row>
    <row r="88" spans="1:34" s="1928" customFormat="1" ht="14.1" customHeight="1">
      <c r="A88" s="1929"/>
      <c r="B88" s="1947">
        <f>IF(C88&gt;0,C88*(1+$B$28),0)</f>
        <v>0</v>
      </c>
      <c r="C88" s="1946"/>
      <c r="D88" s="1945"/>
      <c r="E88" s="3786" t="s">
        <v>431</v>
      </c>
      <c r="F88" s="3786"/>
      <c r="G88" s="3786"/>
      <c r="H88" s="3786"/>
      <c r="I88" s="3786"/>
      <c r="J88" s="1944"/>
      <c r="K88" s="1944"/>
      <c r="L88" s="1944"/>
      <c r="M88" s="3778"/>
      <c r="N88" s="3778"/>
      <c r="O88" s="1943"/>
      <c r="P88" s="1942"/>
      <c r="Q88" s="1941"/>
      <c r="R88" s="1932"/>
      <c r="S88" s="1940"/>
      <c r="T88" s="1939"/>
      <c r="U88" s="1929"/>
      <c r="V88" s="1825"/>
      <c r="W88" s="1825"/>
      <c r="X88" s="1825"/>
      <c r="Y88" s="1825"/>
      <c r="Z88" s="100"/>
      <c r="AA88" s="100"/>
      <c r="AB88" s="1392">
        <v>46</v>
      </c>
      <c r="AC88" s="100"/>
      <c r="AD88" s="100"/>
      <c r="AE88" s="100"/>
      <c r="AF88" s="100"/>
      <c r="AG88" s="100"/>
      <c r="AH88" s="100"/>
    </row>
    <row r="89" spans="1:34" s="1928" customFormat="1" ht="17.7" customHeight="1">
      <c r="A89" s="1929"/>
      <c r="B89" s="1918">
        <f>SUM(B86:B88)</f>
        <v>6</v>
      </c>
      <c r="C89" s="1938"/>
      <c r="D89" s="1937" t="s">
        <v>1256</v>
      </c>
      <c r="E89" s="1936"/>
      <c r="F89" s="1936"/>
      <c r="G89" s="1936"/>
      <c r="H89" s="1936"/>
      <c r="I89" s="1936"/>
      <c r="J89" s="1936"/>
      <c r="K89" s="1936"/>
      <c r="L89" s="1936"/>
      <c r="M89" s="1936"/>
      <c r="N89" s="1936"/>
      <c r="O89" s="1935"/>
      <c r="P89" s="1934">
        <f>B89*$D$16</f>
        <v>120</v>
      </c>
      <c r="Q89" s="1933">
        <f>P89</f>
        <v>120</v>
      </c>
      <c r="R89" s="1932"/>
      <c r="S89" s="1931"/>
      <c r="T89" s="1930">
        <f>P89</f>
        <v>120</v>
      </c>
      <c r="U89" s="1929"/>
      <c r="V89" s="1825"/>
      <c r="W89" s="1825"/>
      <c r="X89" s="1825"/>
      <c r="Y89" s="1825"/>
      <c r="Z89" s="100"/>
      <c r="AA89" s="100"/>
      <c r="AB89" s="100"/>
      <c r="AC89" s="100"/>
      <c r="AD89" s="100"/>
      <c r="AE89" s="100"/>
      <c r="AF89" s="100"/>
      <c r="AG89" s="100"/>
      <c r="AH89" s="100"/>
    </row>
    <row r="90" spans="1:34" ht="17.399999999999999">
      <c r="A90" s="1893"/>
      <c r="B90" s="1909"/>
      <c r="C90" s="1927"/>
      <c r="D90" s="1926" t="s">
        <v>1255</v>
      </c>
      <c r="E90" s="1925"/>
      <c r="F90" s="1925"/>
      <c r="G90" s="1925"/>
      <c r="H90" s="1925"/>
      <c r="I90" s="1925"/>
      <c r="J90" s="1925"/>
      <c r="K90" s="1925"/>
      <c r="L90" s="1925"/>
      <c r="M90" s="1925"/>
      <c r="N90" s="1925"/>
      <c r="O90" s="1924"/>
      <c r="P90" s="1923" t="e">
        <f>P80+P84+P89</f>
        <v>#N/A</v>
      </c>
      <c r="Q90" s="1922" t="e">
        <f>Q80+Q84+Q89</f>
        <v>#N/A</v>
      </c>
      <c r="R90" s="1921"/>
      <c r="S90" s="1920"/>
      <c r="T90" s="1919" t="e">
        <f>T80+T84+T89</f>
        <v>#N/A</v>
      </c>
      <c r="U90" s="1893"/>
      <c r="V90" s="1825"/>
      <c r="W90" s="1825"/>
      <c r="X90" s="1825"/>
      <c r="Y90" s="1825"/>
    </row>
    <row r="91" spans="1:34" ht="15" customHeight="1">
      <c r="A91" s="1893"/>
      <c r="B91" s="1918" t="e">
        <f>B44+B74+B859</f>
        <v>#N/A</v>
      </c>
      <c r="C91" s="1908"/>
      <c r="D91" s="1917"/>
      <c r="E91" s="1916"/>
      <c r="F91" s="1916"/>
      <c r="G91" s="1916"/>
      <c r="H91" s="1916"/>
      <c r="I91" s="1916"/>
      <c r="J91" s="1916"/>
      <c r="K91" s="1916"/>
      <c r="L91" s="1916"/>
      <c r="M91" s="1916"/>
      <c r="N91" s="1916"/>
      <c r="O91" s="1915" t="s">
        <v>1254</v>
      </c>
      <c r="P91" s="1914" t="e">
        <f>IF($X$10=0,"        Ertrag ?",P90/$X$10)</f>
        <v>#N/A</v>
      </c>
      <c r="Q91" s="1913" t="e">
        <f>IF($X$10=0,"        Ertrag ?",Q90/$X$10)</f>
        <v>#N/A</v>
      </c>
      <c r="R91" s="1912"/>
      <c r="S91" s="1911"/>
      <c r="T91" s="1910" t="e">
        <f>IF($X$10=0,"     Ertrag ?",T90/$X$10)</f>
        <v>#N/A</v>
      </c>
      <c r="U91" s="1893"/>
      <c r="V91" s="1825"/>
      <c r="W91" s="1825"/>
      <c r="X91" s="1825"/>
      <c r="Y91" s="1825"/>
    </row>
    <row r="92" spans="1:34" ht="17.399999999999999">
      <c r="A92" s="1893"/>
      <c r="B92" s="1909"/>
      <c r="C92" s="1908"/>
      <c r="D92" s="3779" t="str">
        <f>"Voller Preis( incl. "&amp;P16*100&amp;"% Wagniszuschlag) (frei Fermenter)"</f>
        <v>Voller Preis( incl. 10% Wagniszuschlag) (frei Fermenter)</v>
      </c>
      <c r="E92" s="3780"/>
      <c r="F92" s="3780"/>
      <c r="G92" s="3780"/>
      <c r="H92" s="3780"/>
      <c r="I92" s="3780"/>
      <c r="J92" s="3780"/>
      <c r="K92" s="3780"/>
      <c r="L92" s="3780"/>
      <c r="M92" s="3780"/>
      <c r="N92" s="3780"/>
      <c r="O92" s="3781" t="str">
        <f>"Voller Preis( incl. "&amp;P16*100&amp;"% Wagniszuschlag) (frei Fermenter)"</f>
        <v>Voller Preis( incl. 10% Wagniszuschlag) (frei Fermenter)</v>
      </c>
      <c r="P92" s="1907" t="e">
        <f>P90*(1+$P$16)</f>
        <v>#N/A</v>
      </c>
      <c r="Q92" s="1906" t="e">
        <f>Q90*(1+$P$16)</f>
        <v>#N/A</v>
      </c>
      <c r="R92" s="1905"/>
      <c r="S92" s="1904"/>
      <c r="T92" s="1903"/>
      <c r="U92" s="1893"/>
      <c r="V92" s="1825"/>
      <c r="W92" s="1825"/>
      <c r="X92" s="1825"/>
      <c r="Y92" s="1825"/>
    </row>
    <row r="93" spans="1:34" ht="15" customHeight="1" thickBot="1">
      <c r="A93" s="1893"/>
      <c r="B93" s="1902"/>
      <c r="C93" s="1901"/>
      <c r="D93" s="3782"/>
      <c r="E93" s="3783"/>
      <c r="F93" s="3783"/>
      <c r="G93" s="3783"/>
      <c r="H93" s="3783"/>
      <c r="I93" s="3783"/>
      <c r="J93" s="3783"/>
      <c r="K93" s="3783"/>
      <c r="L93" s="3783"/>
      <c r="M93" s="3783"/>
      <c r="N93" s="3783"/>
      <c r="O93" s="3784"/>
      <c r="P93" s="1900" t="e">
        <f>IF($X$10=0,"        Ertrag ?",P91*(1+$P$16))</f>
        <v>#N/A</v>
      </c>
      <c r="Q93" s="1899" t="e">
        <f>IF($X$10=0,"        Ertrag ?",Q91*(1+$P$16))</f>
        <v>#N/A</v>
      </c>
      <c r="R93" s="1898"/>
      <c r="S93" s="1897"/>
      <c r="T93" s="1896"/>
      <c r="U93" s="1893"/>
      <c r="V93" s="1825"/>
      <c r="W93" s="1825"/>
      <c r="X93" s="1825"/>
      <c r="Y93" s="1825"/>
    </row>
    <row r="94" spans="1:34">
      <c r="A94" s="1893"/>
      <c r="B94" s="1895"/>
      <c r="C94" s="1894"/>
      <c r="D94" s="1894"/>
      <c r="E94" s="1894"/>
      <c r="F94" s="1894"/>
      <c r="G94" s="1894"/>
      <c r="H94" s="1894"/>
      <c r="I94" s="1894"/>
      <c r="J94" s="1894"/>
      <c r="K94" s="1894"/>
      <c r="L94" s="1894"/>
      <c r="M94" s="1894"/>
      <c r="N94" s="1894"/>
      <c r="O94" s="1894"/>
      <c r="P94" s="1893"/>
      <c r="Q94" s="1893"/>
      <c r="R94" s="1893"/>
      <c r="S94" s="1893"/>
      <c r="T94" s="1893"/>
      <c r="U94" s="1893"/>
      <c r="V94" s="1825"/>
      <c r="W94" s="1825"/>
      <c r="X94" s="1825"/>
      <c r="Y94" s="1825"/>
    </row>
    <row r="95" spans="1:34" ht="10.199999999999999" customHeight="1" thickBot="1">
      <c r="B95" s="1892"/>
      <c r="C95" s="1891"/>
      <c r="D95" s="1891"/>
      <c r="E95" s="1891"/>
      <c r="F95" s="1891"/>
      <c r="G95" s="1891"/>
      <c r="H95" s="1891"/>
      <c r="I95" s="1891"/>
      <c r="J95" s="1891"/>
      <c r="K95" s="1891"/>
      <c r="L95" s="1891"/>
      <c r="M95" s="1891"/>
      <c r="N95" s="1891"/>
      <c r="O95" s="1891"/>
      <c r="U95" s="1890"/>
      <c r="V95" s="1825"/>
      <c r="W95" s="1825"/>
      <c r="X95" s="1825"/>
      <c r="Y95" s="1825"/>
    </row>
    <row r="96" spans="1:34" ht="6" customHeight="1" thickBot="1">
      <c r="A96" s="1889"/>
      <c r="B96" s="1888"/>
      <c r="C96" s="1887"/>
      <c r="D96" s="1887"/>
      <c r="E96" s="1887"/>
      <c r="F96" s="1887"/>
      <c r="G96" s="1887"/>
      <c r="H96" s="1887"/>
      <c r="I96" s="1887"/>
      <c r="J96" s="1887"/>
      <c r="K96" s="1887"/>
      <c r="L96" s="1887"/>
      <c r="M96" s="1887"/>
      <c r="N96" s="1887"/>
      <c r="O96" s="1887"/>
      <c r="P96" s="1886"/>
      <c r="Q96" s="1886"/>
      <c r="R96" s="1886"/>
      <c r="S96" s="1886"/>
      <c r="T96" s="1886"/>
      <c r="U96" s="1885"/>
      <c r="V96" s="1825"/>
      <c r="W96" s="1825"/>
      <c r="X96" s="1825"/>
      <c r="Y96" s="1825"/>
    </row>
    <row r="97" spans="1:25" ht="20.100000000000001" customHeight="1" thickBot="1">
      <c r="A97" s="1842"/>
      <c r="B97" s="1884" t="s">
        <v>1253</v>
      </c>
      <c r="C97" s="1883"/>
      <c r="D97" s="1883"/>
      <c r="E97" s="1883"/>
      <c r="F97" s="1883"/>
      <c r="G97" s="1883"/>
      <c r="H97" s="1883"/>
      <c r="I97" s="1883"/>
      <c r="J97" s="1883"/>
      <c r="K97" s="1883"/>
      <c r="L97" s="1878"/>
      <c r="M97" s="1878"/>
      <c r="N97" s="1878"/>
      <c r="O97" s="1878"/>
      <c r="P97" s="1882"/>
      <c r="Q97" s="1881"/>
      <c r="R97" s="1881"/>
      <c r="S97" s="1880" t="s">
        <v>1252</v>
      </c>
      <c r="T97" s="1879" t="str">
        <f>B5</f>
        <v>Silomais 170 dt TM</v>
      </c>
      <c r="U97" s="1831"/>
      <c r="V97" s="1825"/>
      <c r="W97" s="1825"/>
      <c r="X97" s="1825"/>
      <c r="Y97" s="1825"/>
    </row>
    <row r="98" spans="1:25" ht="15" customHeight="1">
      <c r="A98" s="1842"/>
      <c r="B98" s="1868"/>
      <c r="C98" s="1878"/>
      <c r="D98" s="1878"/>
      <c r="E98" s="1878"/>
      <c r="F98" s="1878"/>
      <c r="G98" s="1878"/>
      <c r="H98" s="1878"/>
      <c r="I98" s="1878"/>
      <c r="J98" s="1878"/>
      <c r="K98" s="1878"/>
      <c r="L98" s="1878"/>
      <c r="M98" s="1878"/>
      <c r="N98" s="1878"/>
      <c r="O98" s="1878"/>
      <c r="P98" s="1868"/>
      <c r="Q98" s="1868"/>
      <c r="R98" s="1868"/>
      <c r="S98" s="1868"/>
      <c r="T98" s="1868"/>
      <c r="U98" s="1831"/>
      <c r="V98" s="1825"/>
      <c r="W98" s="1825"/>
      <c r="X98" s="1825"/>
      <c r="Y98" s="1825"/>
    </row>
    <row r="99" spans="1:25" ht="15" customHeight="1">
      <c r="A99" s="1842"/>
      <c r="B99" s="1877" t="s">
        <v>1251</v>
      </c>
      <c r="C99" s="3787">
        <f>W8</f>
        <v>17</v>
      </c>
      <c r="D99" s="3787"/>
      <c r="E99" s="3787"/>
      <c r="F99" s="1876"/>
      <c r="G99" s="1263"/>
      <c r="H99" s="1263"/>
      <c r="I99" s="1864" t="s">
        <v>1250</v>
      </c>
      <c r="J99" s="1864" t="s">
        <v>1249</v>
      </c>
      <c r="K99" s="1874" t="str">
        <f>IF(W5=1,"x","")</f>
        <v>x</v>
      </c>
      <c r="L99" s="1868"/>
      <c r="M99" s="1868"/>
      <c r="N99" s="1263" t="s">
        <v>1248</v>
      </c>
      <c r="O99" s="1263"/>
      <c r="P99" s="1263"/>
      <c r="Q99" s="1263"/>
      <c r="R99" s="1871"/>
      <c r="S99" s="1870" t="s">
        <v>1241</v>
      </c>
      <c r="T99" s="1869">
        <f>L12</f>
        <v>1.19</v>
      </c>
      <c r="U99" s="1831"/>
      <c r="V99" s="1825"/>
      <c r="W99" s="1825"/>
      <c r="X99" s="1825"/>
      <c r="Y99" s="1825"/>
    </row>
    <row r="100" spans="1:25" ht="15" customHeight="1">
      <c r="A100" s="1842"/>
      <c r="B100" s="1263"/>
      <c r="C100" s="3788">
        <f>W9</f>
        <v>51.515151515151516</v>
      </c>
      <c r="D100" s="3788"/>
      <c r="E100" s="3788"/>
      <c r="F100" s="1875"/>
      <c r="G100" s="1263"/>
      <c r="H100" s="1263"/>
      <c r="I100" s="1864"/>
      <c r="J100" s="1864" t="s">
        <v>1247</v>
      </c>
      <c r="K100" s="1874" t="str">
        <f>IF(W5=2,"x","")</f>
        <v/>
      </c>
      <c r="L100" s="1868"/>
      <c r="M100" s="1868"/>
      <c r="N100" s="1263"/>
      <c r="O100" s="1263"/>
      <c r="P100" s="1263"/>
      <c r="Q100" s="1263"/>
      <c r="R100" s="1871"/>
      <c r="S100" s="1870" t="s">
        <v>1239</v>
      </c>
      <c r="T100" s="1869">
        <f>L13</f>
        <v>1.2</v>
      </c>
      <c r="U100" s="1831"/>
      <c r="V100" s="1825"/>
      <c r="W100" s="1825"/>
      <c r="X100" s="1825"/>
      <c r="Y100" s="1825"/>
    </row>
    <row r="101" spans="1:25" ht="15" customHeight="1">
      <c r="A101" s="1842"/>
      <c r="B101" s="1868"/>
      <c r="C101" s="1873"/>
      <c r="D101" s="1873"/>
      <c r="E101" s="1873"/>
      <c r="F101" s="1873"/>
      <c r="G101" s="1868"/>
      <c r="H101" s="1868"/>
      <c r="I101" s="1872"/>
      <c r="J101" s="1872"/>
      <c r="K101" s="1872"/>
      <c r="L101" s="1868"/>
      <c r="M101" s="1868"/>
      <c r="N101" s="1263"/>
      <c r="O101" s="1263"/>
      <c r="P101" s="1263"/>
      <c r="Q101" s="1263"/>
      <c r="R101" s="1871"/>
      <c r="S101" s="1870" t="s">
        <v>1246</v>
      </c>
      <c r="T101" s="1869">
        <f>L14</f>
        <v>0.99</v>
      </c>
      <c r="U101" s="1831"/>
      <c r="V101" s="1825"/>
      <c r="W101" s="1825"/>
      <c r="X101" s="1825"/>
      <c r="Y101" s="1825"/>
    </row>
    <row r="102" spans="1:25" ht="15" customHeight="1">
      <c r="A102" s="1842"/>
      <c r="B102" s="1868"/>
      <c r="C102" s="1868"/>
      <c r="D102" s="1868"/>
      <c r="E102" s="1868"/>
      <c r="F102" s="1868"/>
      <c r="G102" s="1868"/>
      <c r="H102" s="1868"/>
      <c r="I102" s="1868"/>
      <c r="J102" s="1868"/>
      <c r="K102" s="1868"/>
      <c r="L102" s="1868"/>
      <c r="M102" s="1868"/>
      <c r="N102" s="1263"/>
      <c r="O102" s="1263"/>
      <c r="P102" s="1263"/>
      <c r="Q102" s="1263"/>
      <c r="R102" s="1871"/>
      <c r="S102" s="1870" t="s">
        <v>1235</v>
      </c>
      <c r="T102" s="1869">
        <f>L15</f>
        <v>0.45</v>
      </c>
      <c r="U102" s="1831"/>
      <c r="V102" s="1825"/>
      <c r="W102" s="1825"/>
      <c r="X102" s="1825"/>
      <c r="Y102" s="1825"/>
    </row>
    <row r="103" spans="1:25" ht="6" customHeight="1">
      <c r="A103" s="1842"/>
      <c r="B103" s="1868"/>
      <c r="C103" s="1868"/>
      <c r="D103" s="1868"/>
      <c r="E103" s="1868"/>
      <c r="F103" s="1868"/>
      <c r="G103" s="1868"/>
      <c r="H103" s="1868"/>
      <c r="I103" s="1868"/>
      <c r="J103" s="1868"/>
      <c r="K103" s="1868"/>
      <c r="L103" s="1868"/>
      <c r="M103" s="1868"/>
      <c r="N103" s="1868"/>
      <c r="O103" s="1868"/>
      <c r="P103" s="1868"/>
      <c r="Q103" s="1868"/>
      <c r="R103" s="1868"/>
      <c r="S103" s="1868"/>
      <c r="T103" s="1868"/>
      <c r="U103" s="1831"/>
      <c r="V103" s="1825"/>
      <c r="W103" s="1825"/>
      <c r="X103" s="1825"/>
      <c r="Y103" s="1825"/>
    </row>
    <row r="104" spans="1:25" ht="15" customHeight="1">
      <c r="A104" s="1842"/>
      <c r="B104" s="1263"/>
      <c r="C104" s="1840"/>
      <c r="D104" s="1865"/>
      <c r="E104" s="1840"/>
      <c r="F104" s="1840"/>
      <c r="G104" s="1867"/>
      <c r="H104" s="1867"/>
      <c r="I104" s="1840"/>
      <c r="J104" s="1840"/>
      <c r="K104" s="1840"/>
      <c r="L104" s="1840"/>
      <c r="M104" s="1840"/>
      <c r="N104" s="1866" t="s">
        <v>1245</v>
      </c>
      <c r="O104" s="1866"/>
      <c r="P104" s="1263"/>
      <c r="Q104" s="1263"/>
      <c r="R104" s="109"/>
      <c r="S104" s="109"/>
      <c r="T104" s="109"/>
      <c r="U104" s="1831"/>
      <c r="V104" s="1825"/>
      <c r="W104" s="1825"/>
      <c r="X104" s="1825"/>
      <c r="Y104" s="1825"/>
    </row>
    <row r="105" spans="1:25" ht="15" customHeight="1">
      <c r="A105" s="1842"/>
      <c r="B105" s="1263"/>
      <c r="C105" s="1865" t="s">
        <v>1244</v>
      </c>
      <c r="D105" s="1263"/>
      <c r="E105" s="1865"/>
      <c r="F105" s="1865"/>
      <c r="G105" s="109"/>
      <c r="H105" s="109"/>
      <c r="I105" s="3777" t="s">
        <v>1242</v>
      </c>
      <c r="J105" s="3777"/>
      <c r="K105" s="1840"/>
      <c r="L105" s="1263"/>
      <c r="M105" s="1263"/>
      <c r="N105" s="1263" t="s">
        <v>1243</v>
      </c>
      <c r="O105" s="1263"/>
      <c r="P105" s="1864" t="s">
        <v>1242</v>
      </c>
      <c r="Q105" s="1864"/>
      <c r="S105" s="1263"/>
      <c r="T105" s="1863"/>
      <c r="U105" s="1831"/>
      <c r="V105" s="1825"/>
      <c r="W105" s="1825"/>
      <c r="X105" s="1825"/>
      <c r="Y105" s="1825"/>
    </row>
    <row r="106" spans="1:25" ht="15" customHeight="1">
      <c r="A106" s="1842"/>
      <c r="B106" s="1860" t="s">
        <v>1241</v>
      </c>
      <c r="C106" s="1862">
        <f>L6</f>
        <v>1.4</v>
      </c>
      <c r="D106" s="1857" t="str">
        <f>IF($K$99="x","kg/dt TM",IF($K$100="x","kg/dt FM",""))</f>
        <v>kg/dt TM</v>
      </c>
      <c r="E106" s="1859"/>
      <c r="F106" s="1859"/>
      <c r="G106" s="1855"/>
      <c r="H106" s="1855"/>
      <c r="I106" s="1858">
        <f>IF($K$99="x",C106*$C$99*10,IF($K$100="x",C106*$C$100*10,0))</f>
        <v>237.99999999999997</v>
      </c>
      <c r="J106" s="1857" t="s">
        <v>1240</v>
      </c>
      <c r="K106" s="1856"/>
      <c r="L106" s="1855"/>
      <c r="M106" s="1855"/>
      <c r="N106" s="1861">
        <v>0.28000000000000003</v>
      </c>
      <c r="O106" s="1854"/>
      <c r="P106" s="1853">
        <f>I106*(1-N106)*T99</f>
        <v>203.91839999999996</v>
      </c>
      <c r="Q106" s="1852"/>
      <c r="S106" s="1263"/>
      <c r="T106" s="1263"/>
      <c r="U106" s="1831"/>
      <c r="V106" s="1825"/>
      <c r="W106" s="1825"/>
      <c r="X106" s="1825"/>
      <c r="Y106" s="1825"/>
    </row>
    <row r="107" spans="1:25" ht="15" customHeight="1">
      <c r="A107" s="1842"/>
      <c r="B107" s="1860" t="s">
        <v>1239</v>
      </c>
      <c r="C107" s="1860">
        <f>L8</f>
        <v>0.59</v>
      </c>
      <c r="D107" s="1857" t="str">
        <f>IF($K$99="x","kg/dt TM",IF($K$100="x","kg/dt FM",""))</f>
        <v>kg/dt TM</v>
      </c>
      <c r="E107" s="1859"/>
      <c r="F107" s="1859"/>
      <c r="G107" s="1855"/>
      <c r="H107" s="1855"/>
      <c r="I107" s="1858">
        <f>IF($K$99="x",C107*$C$99*10,IF($K$100="x",C107*$C$100*10,0))</f>
        <v>100.3</v>
      </c>
      <c r="J107" s="1857" t="s">
        <v>1238</v>
      </c>
      <c r="K107" s="1856"/>
      <c r="L107" s="1855"/>
      <c r="M107" s="1855"/>
      <c r="N107" s="1854">
        <v>0</v>
      </c>
      <c r="O107" s="1854"/>
      <c r="P107" s="1853">
        <f>I107*(1-N107)*T100</f>
        <v>120.35999999999999</v>
      </c>
      <c r="Q107" s="1852"/>
      <c r="S107" s="1263"/>
      <c r="T107" s="1263"/>
      <c r="U107" s="1831"/>
      <c r="V107" s="1825"/>
      <c r="W107" s="1825"/>
      <c r="X107" s="1825"/>
      <c r="Y107" s="1825"/>
    </row>
    <row r="108" spans="1:25" ht="15" customHeight="1">
      <c r="A108" s="1842"/>
      <c r="B108" s="1860" t="s">
        <v>1237</v>
      </c>
      <c r="C108" s="1860">
        <f>L9</f>
        <v>1.67</v>
      </c>
      <c r="D108" s="1857" t="str">
        <f>IF($K$99="x","kg/dt TM",IF($K$100="x","kg/dt FM",""))</f>
        <v>kg/dt TM</v>
      </c>
      <c r="E108" s="1859"/>
      <c r="F108" s="1859"/>
      <c r="G108" s="1855"/>
      <c r="H108" s="1855"/>
      <c r="I108" s="1858">
        <f>IF($K$99="x",C108*$C$99*10,IF($K$100="x",C108*$C$100*10,0))</f>
        <v>283.89999999999998</v>
      </c>
      <c r="J108" s="1857" t="s">
        <v>1236</v>
      </c>
      <c r="K108" s="1856"/>
      <c r="L108" s="1855"/>
      <c r="M108" s="1855"/>
      <c r="N108" s="1854">
        <v>0</v>
      </c>
      <c r="O108" s="1854"/>
      <c r="P108" s="1853">
        <f>I108*(1-N108)*T101</f>
        <v>281.06099999999998</v>
      </c>
      <c r="Q108" s="1852"/>
      <c r="S108" s="1263"/>
      <c r="T108" s="1263"/>
      <c r="U108" s="1831"/>
      <c r="V108" s="1825"/>
      <c r="W108" s="1825"/>
      <c r="X108" s="1825"/>
      <c r="Y108" s="1825"/>
    </row>
    <row r="109" spans="1:25" ht="15" customHeight="1">
      <c r="A109" s="1842"/>
      <c r="B109" s="1851" t="s">
        <v>1235</v>
      </c>
      <c r="C109" s="1851">
        <f>L10</f>
        <v>0.23</v>
      </c>
      <c r="D109" s="1848" t="str">
        <f>IF($K$99="x","kg/dt TM",IF($K$100="x","kg/dt FM",""))</f>
        <v>kg/dt TM</v>
      </c>
      <c r="E109" s="1850"/>
      <c r="F109" s="1850"/>
      <c r="G109" s="1846"/>
      <c r="H109" s="1846"/>
      <c r="I109" s="1849">
        <f>IF($K$99="x",C109*$C$99*10,IF($K$100="x",C109*$C$100*10,0))</f>
        <v>39.1</v>
      </c>
      <c r="J109" s="1848" t="s">
        <v>1234</v>
      </c>
      <c r="K109" s="1847"/>
      <c r="L109" s="1846"/>
      <c r="M109" s="1846"/>
      <c r="N109" s="1845">
        <v>0</v>
      </c>
      <c r="O109" s="1845"/>
      <c r="P109" s="1844">
        <f>I109*(1-N109)*T102</f>
        <v>17.595000000000002</v>
      </c>
      <c r="Q109" s="1843"/>
      <c r="R109" s="1670"/>
      <c r="S109" s="1670"/>
      <c r="T109" s="1670"/>
      <c r="U109" s="1831"/>
      <c r="V109" s="1825"/>
      <c r="W109" s="1825"/>
      <c r="X109" s="1825"/>
      <c r="Y109" s="1825"/>
    </row>
    <row r="110" spans="1:25" ht="20.100000000000001" customHeight="1" thickBot="1">
      <c r="A110" s="1842"/>
      <c r="B110" s="1841"/>
      <c r="C110" s="1841"/>
      <c r="D110" s="1838"/>
      <c r="E110" s="1840"/>
      <c r="F110" s="1840"/>
      <c r="G110" s="1263"/>
      <c r="H110" s="1263"/>
      <c r="I110" s="1839"/>
      <c r="J110" s="1838"/>
      <c r="K110" s="1837"/>
      <c r="L110" s="1263"/>
      <c r="M110" s="1263"/>
      <c r="N110" s="1836"/>
      <c r="O110" s="1834" t="s">
        <v>1233</v>
      </c>
      <c r="P110" s="1835">
        <f>SUM(P106:P109)</f>
        <v>622.93439999999987</v>
      </c>
      <c r="Q110" s="1834"/>
      <c r="S110" s="1833" t="s">
        <v>1232</v>
      </c>
      <c r="T110" s="1832">
        <f>IF($X$10=0,"        Ertrag ?",P110/X10)</f>
        <v>12.092255999999997</v>
      </c>
      <c r="U110" s="1831"/>
      <c r="V110" s="1825"/>
      <c r="W110" s="1825"/>
      <c r="X110" s="1825"/>
      <c r="Y110" s="1825"/>
    </row>
    <row r="111" spans="1:25" ht="6" customHeight="1" thickTop="1" thickBot="1">
      <c r="A111" s="1830"/>
      <c r="B111" s="1828"/>
      <c r="C111" s="1828"/>
      <c r="D111" s="1828"/>
      <c r="E111" s="1828"/>
      <c r="F111" s="1828"/>
      <c r="G111" s="1828"/>
      <c r="H111" s="1828"/>
      <c r="I111" s="1828"/>
      <c r="J111" s="1828"/>
      <c r="K111" s="1828"/>
      <c r="L111" s="1828"/>
      <c r="M111" s="1828"/>
      <c r="N111" s="1828"/>
      <c r="O111" s="1828"/>
      <c r="P111" s="1828"/>
      <c r="Q111" s="1828"/>
      <c r="R111" s="1829"/>
      <c r="S111" s="1828"/>
      <c r="T111" s="1828"/>
      <c r="U111" s="1827"/>
      <c r="V111" s="1825"/>
      <c r="W111" s="1825"/>
      <c r="X111" s="1825"/>
      <c r="Y111" s="1825"/>
    </row>
    <row r="112" spans="1:25">
      <c r="A112" s="1825"/>
      <c r="B112" s="1825"/>
      <c r="C112" s="1825"/>
      <c r="D112" s="1825"/>
      <c r="E112" s="1825"/>
      <c r="F112" s="1825"/>
      <c r="G112" s="1825"/>
      <c r="H112" s="1825"/>
      <c r="I112" s="1825"/>
      <c r="J112" s="1825"/>
      <c r="K112" s="1825"/>
      <c r="L112" s="1825"/>
      <c r="M112" s="1825"/>
      <c r="N112" s="1825"/>
      <c r="O112" s="1825"/>
      <c r="P112" s="1825"/>
      <c r="Q112" s="1825"/>
      <c r="R112" s="1825"/>
      <c r="S112" s="1825"/>
      <c r="T112" s="1825"/>
      <c r="U112" s="1826"/>
      <c r="V112" s="1825"/>
      <c r="W112" s="1825"/>
      <c r="X112" s="1825"/>
      <c r="Y112" s="1825"/>
    </row>
    <row r="113" spans="1:25">
      <c r="A113" s="1825"/>
      <c r="B113" s="1825"/>
      <c r="C113" s="1825"/>
      <c r="D113" s="1825"/>
      <c r="E113" s="1825"/>
      <c r="F113" s="1825"/>
      <c r="G113" s="1825"/>
      <c r="H113" s="1825"/>
      <c r="I113" s="1825"/>
      <c r="J113" s="1825"/>
      <c r="K113" s="1825"/>
      <c r="L113" s="1825"/>
      <c r="M113" s="1825"/>
      <c r="N113" s="1825"/>
      <c r="O113" s="1825"/>
      <c r="P113" s="1825"/>
      <c r="Q113" s="1825"/>
      <c r="R113" s="1825"/>
      <c r="S113" s="1825"/>
      <c r="T113" s="1825"/>
      <c r="U113" s="1825"/>
      <c r="V113" s="1825"/>
      <c r="W113" s="1825"/>
      <c r="X113" s="1825"/>
      <c r="Y113" s="1825"/>
    </row>
    <row r="114" spans="1:25">
      <c r="A114" s="1825"/>
      <c r="B114" s="1825"/>
      <c r="C114" s="1825"/>
      <c r="D114" s="1825"/>
      <c r="E114" s="1825"/>
      <c r="F114" s="1825"/>
      <c r="G114" s="1825"/>
      <c r="H114" s="1825"/>
      <c r="I114" s="1825"/>
      <c r="J114" s="1825"/>
      <c r="K114" s="1825"/>
      <c r="L114" s="1825"/>
      <c r="M114" s="1825"/>
      <c r="N114" s="1825"/>
      <c r="O114" s="1825"/>
      <c r="P114" s="1825"/>
      <c r="Q114" s="1825"/>
      <c r="R114" s="1825"/>
      <c r="S114" s="1825"/>
      <c r="T114" s="1825"/>
      <c r="U114" s="1825"/>
      <c r="V114" s="1825"/>
      <c r="W114" s="1825"/>
      <c r="X114" s="1825"/>
      <c r="Y114" s="1825"/>
    </row>
    <row r="115" spans="1:25">
      <c r="A115" s="1825"/>
      <c r="B115" s="1825"/>
      <c r="C115" s="1825"/>
      <c r="D115" s="1825"/>
      <c r="E115" s="1825"/>
      <c r="F115" s="1825"/>
      <c r="G115" s="1825"/>
      <c r="H115" s="1825"/>
      <c r="I115" s="1825"/>
      <c r="J115" s="1825"/>
      <c r="K115" s="1825"/>
      <c r="L115" s="1825"/>
      <c r="M115" s="1825"/>
      <c r="N115" s="1825"/>
      <c r="O115" s="1825"/>
      <c r="P115" s="1825"/>
      <c r="Q115" s="1825"/>
      <c r="R115" s="1825"/>
      <c r="S115" s="1825"/>
      <c r="T115" s="1825"/>
      <c r="U115" s="1825"/>
      <c r="V115" s="1825"/>
      <c r="W115" s="1825"/>
      <c r="X115" s="1825"/>
      <c r="Y115" s="1825"/>
    </row>
    <row r="116" spans="1:25">
      <c r="A116" s="1825"/>
      <c r="B116" s="1825"/>
      <c r="C116" s="1825"/>
      <c r="D116" s="1825"/>
      <c r="E116" s="1825"/>
      <c r="F116" s="1825"/>
      <c r="G116" s="1825"/>
      <c r="H116" s="1825"/>
      <c r="I116" s="1825"/>
      <c r="J116" s="1825"/>
      <c r="K116" s="1825"/>
      <c r="L116" s="1825"/>
      <c r="M116" s="1825"/>
      <c r="N116" s="1825"/>
      <c r="O116" s="1825"/>
      <c r="P116" s="1825"/>
      <c r="Q116" s="1825"/>
      <c r="R116" s="1825"/>
      <c r="S116" s="1825"/>
      <c r="T116" s="1825"/>
      <c r="U116" s="1825"/>
      <c r="V116" s="1825"/>
      <c r="W116" s="1825"/>
      <c r="X116" s="1825"/>
      <c r="Y116" s="1825"/>
    </row>
    <row r="117" spans="1:25">
      <c r="A117" s="1825"/>
      <c r="B117" s="1825"/>
      <c r="C117" s="1825"/>
      <c r="D117" s="1825"/>
      <c r="E117" s="1825"/>
      <c r="F117" s="1825"/>
      <c r="G117" s="1825"/>
      <c r="H117" s="1825"/>
      <c r="I117" s="1825"/>
      <c r="J117" s="1825"/>
      <c r="K117" s="1825"/>
      <c r="L117" s="1825"/>
      <c r="M117" s="1825"/>
      <c r="N117" s="1825"/>
      <c r="O117" s="1825"/>
      <c r="P117" s="1825"/>
      <c r="Q117" s="1825"/>
      <c r="R117" s="1825"/>
      <c r="S117" s="1825"/>
      <c r="T117" s="1825"/>
      <c r="U117" s="1825"/>
      <c r="V117" s="1825"/>
      <c r="W117" s="1825"/>
      <c r="X117" s="1825"/>
      <c r="Y117" s="1825"/>
    </row>
    <row r="118" spans="1:25">
      <c r="A118" s="100"/>
      <c r="B118" s="100"/>
      <c r="C118" s="100"/>
      <c r="D118" s="100"/>
      <c r="E118" s="100"/>
      <c r="F118" s="100"/>
      <c r="G118" s="100"/>
      <c r="H118" s="100"/>
      <c r="I118" s="100"/>
      <c r="J118" s="100"/>
      <c r="K118" s="100"/>
      <c r="L118" s="100"/>
      <c r="M118" s="100"/>
      <c r="N118" s="100"/>
      <c r="O118" s="100"/>
      <c r="P118" s="100"/>
      <c r="Q118" s="100"/>
      <c r="R118" s="100"/>
      <c r="S118" s="100"/>
      <c r="T118" s="100"/>
      <c r="U118" s="100"/>
    </row>
    <row r="119" spans="1:25">
      <c r="A119" s="100"/>
      <c r="B119" s="100"/>
      <c r="C119" s="100"/>
      <c r="D119" s="100"/>
      <c r="E119" s="100"/>
      <c r="F119" s="100"/>
      <c r="G119" s="100"/>
      <c r="H119" s="100"/>
      <c r="I119" s="100"/>
      <c r="J119" s="100"/>
      <c r="K119" s="100"/>
      <c r="L119" s="100"/>
      <c r="M119" s="100"/>
      <c r="N119" s="100"/>
      <c r="O119" s="100"/>
      <c r="P119" s="100"/>
      <c r="Q119" s="100"/>
      <c r="R119" s="100"/>
      <c r="S119" s="100"/>
      <c r="T119" s="100"/>
      <c r="U119" s="100"/>
    </row>
    <row r="120" spans="1:25">
      <c r="A120" s="100"/>
      <c r="B120" s="100"/>
      <c r="C120" s="100"/>
      <c r="D120" s="100"/>
      <c r="E120" s="100"/>
      <c r="F120" s="100"/>
      <c r="G120" s="100"/>
      <c r="H120" s="100"/>
      <c r="I120" s="100"/>
      <c r="J120" s="100"/>
      <c r="K120" s="100"/>
      <c r="L120" s="100"/>
      <c r="M120" s="100"/>
      <c r="N120" s="100"/>
      <c r="O120" s="100"/>
      <c r="P120" s="100"/>
      <c r="Q120" s="100"/>
      <c r="R120" s="100"/>
      <c r="S120" s="100"/>
      <c r="T120" s="100"/>
      <c r="U120" s="100"/>
    </row>
    <row r="121" spans="1:25">
      <c r="A121" s="100"/>
      <c r="B121" s="100"/>
      <c r="C121" s="100"/>
      <c r="D121" s="100"/>
      <c r="E121" s="100"/>
      <c r="F121" s="100"/>
      <c r="G121" s="100"/>
      <c r="H121" s="100"/>
      <c r="I121" s="100"/>
      <c r="J121" s="100"/>
      <c r="K121" s="100"/>
      <c r="L121" s="100"/>
      <c r="M121" s="100"/>
      <c r="N121" s="100"/>
      <c r="O121" s="100"/>
      <c r="P121" s="100"/>
      <c r="Q121" s="100"/>
      <c r="R121" s="100"/>
      <c r="S121" s="100"/>
      <c r="T121" s="100"/>
      <c r="U121" s="100"/>
    </row>
    <row r="122" spans="1:25">
      <c r="A122" s="100"/>
      <c r="B122" s="100"/>
      <c r="C122" s="100"/>
      <c r="D122" s="100"/>
      <c r="E122" s="100"/>
      <c r="F122" s="100"/>
      <c r="G122" s="100"/>
      <c r="H122" s="100"/>
      <c r="I122" s="100"/>
      <c r="J122" s="100"/>
      <c r="K122" s="100"/>
      <c r="L122" s="100"/>
      <c r="M122" s="100"/>
      <c r="N122" s="100"/>
      <c r="O122" s="100"/>
      <c r="P122" s="100"/>
      <c r="Q122" s="100"/>
      <c r="R122" s="100"/>
      <c r="S122" s="100"/>
      <c r="T122" s="100"/>
      <c r="U122" s="100"/>
    </row>
    <row r="123" spans="1:25">
      <c r="A123" s="100"/>
      <c r="B123" s="100"/>
      <c r="C123" s="100"/>
      <c r="D123" s="100"/>
      <c r="E123" s="100"/>
      <c r="F123" s="100"/>
      <c r="G123" s="100"/>
      <c r="H123" s="100"/>
      <c r="I123" s="100"/>
      <c r="J123" s="100"/>
      <c r="K123" s="100"/>
      <c r="L123" s="100"/>
      <c r="M123" s="100"/>
      <c r="N123" s="100"/>
      <c r="O123" s="100"/>
      <c r="P123" s="100"/>
      <c r="Q123" s="100"/>
      <c r="R123" s="100"/>
      <c r="S123" s="100"/>
      <c r="T123" s="100"/>
      <c r="U123" s="100"/>
    </row>
    <row r="124" spans="1:25">
      <c r="A124" s="100"/>
      <c r="B124" s="100"/>
      <c r="C124" s="100"/>
      <c r="D124" s="100"/>
      <c r="E124" s="100"/>
      <c r="F124" s="100"/>
      <c r="G124" s="100"/>
      <c r="H124" s="100"/>
      <c r="I124" s="100"/>
      <c r="J124" s="100"/>
      <c r="K124" s="100"/>
      <c r="L124" s="100"/>
      <c r="M124" s="100"/>
      <c r="N124" s="100"/>
      <c r="O124" s="100"/>
      <c r="P124" s="100"/>
      <c r="Q124" s="100"/>
      <c r="R124" s="100"/>
      <c r="S124" s="100"/>
      <c r="T124" s="100"/>
      <c r="U124" s="100"/>
    </row>
    <row r="125" spans="1:25">
      <c r="A125" s="100"/>
      <c r="B125" s="100"/>
      <c r="C125" s="100"/>
      <c r="D125" s="100"/>
      <c r="E125" s="100"/>
      <c r="F125" s="100"/>
      <c r="G125" s="100"/>
      <c r="H125" s="100"/>
      <c r="I125" s="100"/>
      <c r="J125" s="100"/>
      <c r="K125" s="100"/>
      <c r="L125" s="100"/>
      <c r="M125" s="100"/>
      <c r="N125" s="100"/>
      <c r="O125" s="100"/>
      <c r="P125" s="100"/>
      <c r="Q125" s="100"/>
      <c r="R125" s="100"/>
      <c r="S125" s="100"/>
      <c r="T125" s="100"/>
      <c r="U125" s="100"/>
    </row>
    <row r="126" spans="1:25">
      <c r="A126" s="100"/>
      <c r="B126" s="100"/>
      <c r="C126" s="100"/>
      <c r="D126" s="100"/>
      <c r="E126" s="100"/>
      <c r="F126" s="100"/>
      <c r="G126" s="100"/>
      <c r="H126" s="100"/>
      <c r="I126" s="100"/>
      <c r="J126" s="100"/>
      <c r="K126" s="100"/>
      <c r="L126" s="100"/>
      <c r="M126" s="100"/>
      <c r="N126" s="100"/>
      <c r="O126" s="100"/>
      <c r="P126" s="100"/>
      <c r="Q126" s="100"/>
      <c r="R126" s="100"/>
      <c r="S126" s="100"/>
      <c r="T126" s="100"/>
      <c r="U126" s="100"/>
    </row>
    <row r="127" spans="1:25">
      <c r="A127" s="100"/>
      <c r="B127" s="100"/>
      <c r="C127" s="100"/>
      <c r="D127" s="100"/>
      <c r="E127" s="100"/>
      <c r="F127" s="100"/>
      <c r="G127" s="100"/>
      <c r="H127" s="100"/>
      <c r="I127" s="100"/>
      <c r="J127" s="100"/>
      <c r="K127" s="100"/>
      <c r="L127" s="100"/>
      <c r="M127" s="100"/>
      <c r="N127" s="100"/>
      <c r="O127" s="100"/>
      <c r="P127" s="100"/>
      <c r="Q127" s="100"/>
      <c r="R127" s="100"/>
      <c r="S127" s="100"/>
      <c r="T127" s="100"/>
      <c r="U127" s="100"/>
    </row>
    <row r="128" spans="1:25">
      <c r="A128" s="100"/>
      <c r="B128" s="100"/>
      <c r="C128" s="100"/>
      <c r="D128" s="100"/>
      <c r="E128" s="100"/>
      <c r="F128" s="100"/>
      <c r="G128" s="100"/>
      <c r="H128" s="100"/>
      <c r="I128" s="100"/>
      <c r="J128" s="100"/>
      <c r="K128" s="100"/>
      <c r="L128" s="100"/>
      <c r="M128" s="100"/>
      <c r="N128" s="100"/>
      <c r="O128" s="100"/>
      <c r="P128" s="100"/>
      <c r="Q128" s="100"/>
      <c r="R128" s="100"/>
      <c r="S128" s="100"/>
      <c r="T128" s="100"/>
      <c r="U128" s="100"/>
    </row>
    <row r="129" spans="1:21">
      <c r="A129" s="100"/>
      <c r="B129" s="100"/>
      <c r="C129" s="100"/>
      <c r="D129" s="100"/>
      <c r="E129" s="100"/>
      <c r="F129" s="100"/>
      <c r="G129" s="100"/>
      <c r="H129" s="100"/>
      <c r="I129" s="100"/>
      <c r="J129" s="100"/>
      <c r="K129" s="100"/>
      <c r="L129" s="100"/>
      <c r="M129" s="100"/>
      <c r="N129" s="100"/>
      <c r="O129" s="100"/>
      <c r="P129" s="100"/>
      <c r="Q129" s="100"/>
      <c r="R129" s="100"/>
      <c r="S129" s="100"/>
      <c r="T129" s="100"/>
      <c r="U129" s="100"/>
    </row>
    <row r="130" spans="1:21">
      <c r="A130" s="100"/>
      <c r="B130" s="100"/>
      <c r="C130" s="100"/>
      <c r="D130" s="100"/>
      <c r="E130" s="100"/>
      <c r="F130" s="100"/>
      <c r="G130" s="100"/>
      <c r="H130" s="100"/>
      <c r="I130" s="100"/>
      <c r="J130" s="100"/>
      <c r="K130" s="100"/>
      <c r="L130" s="100"/>
      <c r="M130" s="100"/>
      <c r="N130" s="100"/>
      <c r="O130" s="100"/>
      <c r="P130" s="100"/>
      <c r="Q130" s="100"/>
      <c r="R130" s="100"/>
      <c r="S130" s="100"/>
      <c r="T130" s="100"/>
      <c r="U130" s="100"/>
    </row>
    <row r="131" spans="1:21">
      <c r="A131" s="100"/>
      <c r="B131" s="100"/>
      <c r="C131" s="100"/>
      <c r="D131" s="100"/>
      <c r="E131" s="100"/>
      <c r="F131" s="100"/>
      <c r="G131" s="100"/>
      <c r="H131" s="100"/>
      <c r="I131" s="100"/>
      <c r="J131" s="100"/>
      <c r="K131" s="100"/>
      <c r="L131" s="100"/>
      <c r="M131" s="100"/>
      <c r="N131" s="100"/>
      <c r="O131" s="100"/>
      <c r="P131" s="100"/>
      <c r="Q131" s="100"/>
      <c r="R131" s="100"/>
      <c r="S131" s="100"/>
      <c r="T131" s="100"/>
      <c r="U131" s="100"/>
    </row>
    <row r="132" spans="1:21">
      <c r="A132" s="100"/>
      <c r="B132" s="100"/>
      <c r="C132" s="100"/>
      <c r="D132" s="100"/>
      <c r="E132" s="100"/>
      <c r="F132" s="100"/>
      <c r="G132" s="100"/>
      <c r="H132" s="100"/>
      <c r="I132" s="100"/>
      <c r="J132" s="100"/>
      <c r="K132" s="100"/>
      <c r="L132" s="100"/>
      <c r="M132" s="100"/>
      <c r="N132" s="100"/>
      <c r="O132" s="100"/>
      <c r="P132" s="100"/>
      <c r="Q132" s="100"/>
      <c r="R132" s="100"/>
      <c r="S132" s="100"/>
      <c r="T132" s="100"/>
      <c r="U132" s="100"/>
    </row>
    <row r="133" spans="1:21">
      <c r="A133" s="100"/>
      <c r="B133" s="100"/>
      <c r="C133" s="100"/>
      <c r="D133" s="100"/>
      <c r="E133" s="100"/>
      <c r="F133" s="100"/>
      <c r="G133" s="100"/>
      <c r="H133" s="100"/>
      <c r="I133" s="100"/>
      <c r="J133" s="100"/>
      <c r="K133" s="100"/>
      <c r="L133" s="100"/>
      <c r="M133" s="100"/>
      <c r="N133" s="100"/>
      <c r="O133" s="100"/>
      <c r="P133" s="100"/>
      <c r="Q133" s="100"/>
      <c r="R133" s="100"/>
      <c r="S133" s="100"/>
      <c r="T133" s="100"/>
      <c r="U133" s="100"/>
    </row>
    <row r="134" spans="1:21">
      <c r="A134" s="100"/>
      <c r="B134" s="100"/>
      <c r="C134" s="100"/>
      <c r="D134" s="100"/>
      <c r="E134" s="100"/>
      <c r="F134" s="100"/>
      <c r="G134" s="100"/>
      <c r="H134" s="100"/>
      <c r="I134" s="100"/>
      <c r="J134" s="100"/>
      <c r="K134" s="100"/>
      <c r="L134" s="100"/>
      <c r="M134" s="100"/>
      <c r="N134" s="100"/>
      <c r="O134" s="100"/>
      <c r="P134" s="100"/>
      <c r="Q134" s="100"/>
      <c r="R134" s="100"/>
      <c r="S134" s="100"/>
      <c r="T134" s="100"/>
      <c r="U134" s="100"/>
    </row>
    <row r="135" spans="1:21">
      <c r="A135" s="100"/>
      <c r="B135" s="100"/>
      <c r="C135" s="100"/>
      <c r="D135" s="100"/>
      <c r="E135" s="100"/>
      <c r="F135" s="100"/>
      <c r="G135" s="100"/>
      <c r="H135" s="100"/>
      <c r="I135" s="100"/>
      <c r="J135" s="100"/>
      <c r="K135" s="100"/>
      <c r="L135" s="100"/>
      <c r="M135" s="100"/>
      <c r="N135" s="100"/>
      <c r="O135" s="100"/>
      <c r="P135" s="100"/>
      <c r="Q135" s="100"/>
      <c r="R135" s="100"/>
      <c r="S135" s="100"/>
      <c r="T135" s="100"/>
      <c r="U135" s="100"/>
    </row>
    <row r="136" spans="1:21">
      <c r="A136" s="100"/>
      <c r="B136" s="100"/>
      <c r="C136" s="100"/>
      <c r="D136" s="100"/>
      <c r="E136" s="100"/>
      <c r="F136" s="100"/>
      <c r="G136" s="100"/>
      <c r="H136" s="100"/>
      <c r="I136" s="100"/>
      <c r="J136" s="100"/>
      <c r="K136" s="100"/>
      <c r="L136" s="100"/>
      <c r="M136" s="100"/>
      <c r="N136" s="100"/>
      <c r="O136" s="100"/>
      <c r="P136" s="100"/>
      <c r="Q136" s="100"/>
      <c r="R136" s="100"/>
      <c r="S136" s="100"/>
      <c r="T136" s="100"/>
      <c r="U136" s="100"/>
    </row>
    <row r="137" spans="1:21">
      <c r="A137" s="100"/>
      <c r="B137" s="100"/>
      <c r="C137" s="100"/>
      <c r="D137" s="100"/>
      <c r="E137" s="100"/>
      <c r="F137" s="100"/>
      <c r="G137" s="100"/>
      <c r="H137" s="100"/>
      <c r="I137" s="100"/>
      <c r="J137" s="100"/>
      <c r="K137" s="100"/>
      <c r="L137" s="100"/>
      <c r="M137" s="100"/>
      <c r="N137" s="100"/>
      <c r="O137" s="100"/>
      <c r="P137" s="100"/>
      <c r="Q137" s="100"/>
      <c r="R137" s="100"/>
      <c r="S137" s="100"/>
      <c r="T137" s="100"/>
      <c r="U137" s="100"/>
    </row>
    <row r="138" spans="1:21">
      <c r="A138" s="100"/>
      <c r="B138" s="100"/>
      <c r="C138" s="100"/>
      <c r="D138" s="100"/>
      <c r="E138" s="100"/>
      <c r="F138" s="100"/>
      <c r="G138" s="100"/>
      <c r="H138" s="100"/>
      <c r="I138" s="100"/>
      <c r="J138" s="100"/>
      <c r="K138" s="100"/>
      <c r="L138" s="100"/>
      <c r="M138" s="100"/>
      <c r="N138" s="100"/>
      <c r="O138" s="100"/>
      <c r="P138" s="100"/>
      <c r="Q138" s="100"/>
      <c r="R138" s="100"/>
      <c r="S138" s="100"/>
      <c r="T138" s="100"/>
      <c r="U138" s="100"/>
    </row>
    <row r="139" spans="1:21">
      <c r="A139" s="100"/>
      <c r="B139" s="100"/>
      <c r="C139" s="100"/>
      <c r="D139" s="100"/>
      <c r="E139" s="100"/>
      <c r="F139" s="100"/>
      <c r="G139" s="100"/>
      <c r="H139" s="100"/>
      <c r="I139" s="100"/>
      <c r="J139" s="100"/>
      <c r="K139" s="100"/>
      <c r="L139" s="100"/>
      <c r="M139" s="100"/>
      <c r="N139" s="100"/>
      <c r="O139" s="100"/>
      <c r="P139" s="100"/>
      <c r="Q139" s="100"/>
      <c r="R139" s="100"/>
      <c r="S139" s="100"/>
      <c r="T139" s="100"/>
      <c r="U139" s="100"/>
    </row>
    <row r="140" spans="1:21">
      <c r="A140" s="100"/>
      <c r="B140" s="100"/>
      <c r="C140" s="100"/>
      <c r="D140" s="100"/>
      <c r="E140" s="100"/>
      <c r="F140" s="100"/>
      <c r="G140" s="100"/>
      <c r="H140" s="100"/>
      <c r="I140" s="100"/>
      <c r="J140" s="100"/>
      <c r="K140" s="100"/>
      <c r="L140" s="100"/>
      <c r="M140" s="100"/>
      <c r="N140" s="100"/>
      <c r="O140" s="100"/>
      <c r="P140" s="100"/>
      <c r="Q140" s="100"/>
      <c r="R140" s="100"/>
      <c r="S140" s="100"/>
      <c r="T140" s="100"/>
      <c r="U140" s="100"/>
    </row>
    <row r="141" spans="1:21">
      <c r="A141" s="100"/>
      <c r="B141" s="100"/>
      <c r="C141" s="100"/>
      <c r="D141" s="100"/>
      <c r="E141" s="100"/>
      <c r="F141" s="100"/>
      <c r="G141" s="100"/>
      <c r="H141" s="100"/>
      <c r="I141" s="100"/>
      <c r="J141" s="100"/>
      <c r="K141" s="100"/>
      <c r="L141" s="100"/>
      <c r="M141" s="100"/>
      <c r="N141" s="100"/>
      <c r="O141" s="100"/>
      <c r="P141" s="100"/>
      <c r="Q141" s="100"/>
      <c r="R141" s="100"/>
      <c r="S141" s="100"/>
      <c r="T141" s="100"/>
      <c r="U141" s="100"/>
    </row>
    <row r="142" spans="1:21">
      <c r="A142" s="100"/>
      <c r="B142" s="100"/>
      <c r="C142" s="100"/>
      <c r="D142" s="100"/>
      <c r="E142" s="100"/>
      <c r="F142" s="100"/>
      <c r="G142" s="100"/>
      <c r="H142" s="100"/>
      <c r="I142" s="100"/>
      <c r="J142" s="100"/>
      <c r="K142" s="100"/>
      <c r="L142" s="100"/>
      <c r="M142" s="100"/>
      <c r="N142" s="100"/>
      <c r="O142" s="100"/>
      <c r="P142" s="100"/>
      <c r="Q142" s="100"/>
      <c r="R142" s="100"/>
      <c r="S142" s="100"/>
      <c r="T142" s="100"/>
      <c r="U142" s="100"/>
    </row>
    <row r="143" spans="1:21">
      <c r="A143" s="100"/>
      <c r="B143" s="100"/>
      <c r="C143" s="100"/>
      <c r="D143" s="100"/>
      <c r="E143" s="100"/>
      <c r="F143" s="100"/>
      <c r="G143" s="100"/>
      <c r="H143" s="100"/>
      <c r="I143" s="100"/>
      <c r="J143" s="100"/>
      <c r="K143" s="100"/>
      <c r="L143" s="100"/>
      <c r="M143" s="100"/>
      <c r="N143" s="100"/>
      <c r="O143" s="100"/>
      <c r="P143" s="100"/>
      <c r="Q143" s="100"/>
      <c r="R143" s="100"/>
      <c r="S143" s="100"/>
      <c r="T143" s="100"/>
      <c r="U143" s="100"/>
    </row>
    <row r="144" spans="1:21">
      <c r="A144" s="100"/>
      <c r="B144" s="100"/>
      <c r="C144" s="100"/>
      <c r="D144" s="100"/>
      <c r="E144" s="100"/>
      <c r="F144" s="100"/>
      <c r="G144" s="100"/>
      <c r="H144" s="100"/>
      <c r="I144" s="100"/>
      <c r="J144" s="100"/>
      <c r="K144" s="100"/>
      <c r="L144" s="100"/>
      <c r="M144" s="100"/>
      <c r="N144" s="100"/>
      <c r="O144" s="100"/>
      <c r="P144" s="100"/>
      <c r="Q144" s="100"/>
      <c r="R144" s="100"/>
      <c r="S144" s="100"/>
      <c r="T144" s="100"/>
      <c r="U144" s="100"/>
    </row>
    <row r="145" spans="1:21">
      <c r="A145" s="100"/>
      <c r="B145" s="100"/>
      <c r="C145" s="100"/>
      <c r="D145" s="100"/>
      <c r="E145" s="100"/>
      <c r="F145" s="100"/>
      <c r="G145" s="100"/>
      <c r="H145" s="100"/>
      <c r="I145" s="100"/>
      <c r="J145" s="100"/>
      <c r="K145" s="100"/>
      <c r="L145" s="100"/>
      <c r="M145" s="100"/>
      <c r="N145" s="100"/>
      <c r="O145" s="100"/>
      <c r="P145" s="100"/>
      <c r="Q145" s="100"/>
      <c r="R145" s="100"/>
      <c r="S145" s="100"/>
      <c r="T145" s="100"/>
      <c r="U145" s="100"/>
    </row>
    <row r="146" spans="1:21">
      <c r="A146" s="100"/>
      <c r="B146" s="100"/>
      <c r="C146" s="100"/>
      <c r="D146" s="100"/>
      <c r="E146" s="100"/>
      <c r="F146" s="100"/>
      <c r="G146" s="100"/>
      <c r="H146" s="100"/>
      <c r="I146" s="100"/>
      <c r="J146" s="100"/>
      <c r="K146" s="100"/>
      <c r="L146" s="100"/>
      <c r="M146" s="100"/>
      <c r="N146" s="100"/>
      <c r="O146" s="100"/>
      <c r="P146" s="100"/>
      <c r="Q146" s="100"/>
      <c r="R146" s="100"/>
      <c r="S146" s="100"/>
      <c r="T146" s="100"/>
      <c r="U146" s="100"/>
    </row>
    <row r="147" spans="1:21">
      <c r="A147" s="100"/>
      <c r="B147" s="100"/>
      <c r="C147" s="100"/>
      <c r="D147" s="100"/>
      <c r="E147" s="100"/>
      <c r="F147" s="100"/>
      <c r="G147" s="100"/>
      <c r="H147" s="100"/>
      <c r="I147" s="100"/>
      <c r="J147" s="100"/>
      <c r="K147" s="100"/>
      <c r="L147" s="100"/>
      <c r="M147" s="100"/>
      <c r="N147" s="100"/>
      <c r="O147" s="100"/>
      <c r="P147" s="100"/>
      <c r="Q147" s="100"/>
      <c r="R147" s="100"/>
      <c r="S147" s="100"/>
      <c r="T147" s="100"/>
      <c r="U147" s="100"/>
    </row>
    <row r="148" spans="1:21">
      <c r="A148" s="100"/>
      <c r="B148" s="100"/>
      <c r="C148" s="100"/>
      <c r="D148" s="100"/>
      <c r="E148" s="100"/>
      <c r="F148" s="100"/>
      <c r="G148" s="100"/>
      <c r="H148" s="100"/>
      <c r="I148" s="100"/>
      <c r="J148" s="100"/>
      <c r="K148" s="100"/>
      <c r="L148" s="100"/>
      <c r="M148" s="100"/>
      <c r="N148" s="100"/>
      <c r="O148" s="100"/>
      <c r="P148" s="100"/>
      <c r="Q148" s="100"/>
      <c r="R148" s="100"/>
      <c r="S148" s="100"/>
      <c r="T148" s="100"/>
      <c r="U148" s="100"/>
    </row>
    <row r="149" spans="1:21">
      <c r="A149" s="100"/>
      <c r="B149" s="100"/>
      <c r="C149" s="100"/>
      <c r="D149" s="100"/>
      <c r="E149" s="100"/>
      <c r="F149" s="100"/>
      <c r="G149" s="100"/>
      <c r="H149" s="100"/>
      <c r="I149" s="100"/>
      <c r="J149" s="100"/>
      <c r="K149" s="100"/>
      <c r="L149" s="100"/>
      <c r="M149" s="100"/>
      <c r="N149" s="100"/>
      <c r="O149" s="100"/>
      <c r="P149" s="100"/>
      <c r="Q149" s="100"/>
      <c r="R149" s="100"/>
      <c r="S149" s="100"/>
      <c r="T149" s="100"/>
      <c r="U149" s="100"/>
    </row>
    <row r="150" spans="1:21">
      <c r="A150" s="100"/>
      <c r="B150" s="100"/>
      <c r="C150" s="100"/>
      <c r="D150" s="100"/>
      <c r="E150" s="100"/>
      <c r="F150" s="100"/>
      <c r="G150" s="100"/>
      <c r="H150" s="100"/>
      <c r="I150" s="100"/>
      <c r="J150" s="100"/>
      <c r="K150" s="100"/>
      <c r="L150" s="100"/>
      <c r="M150" s="100"/>
      <c r="N150" s="100"/>
      <c r="O150" s="100"/>
      <c r="P150" s="100"/>
      <c r="Q150" s="100"/>
      <c r="R150" s="100"/>
      <c r="S150" s="100"/>
      <c r="T150" s="100"/>
      <c r="U150" s="100"/>
    </row>
    <row r="151" spans="1:21">
      <c r="A151" s="100"/>
      <c r="B151" s="100"/>
      <c r="C151" s="100"/>
      <c r="D151" s="100"/>
      <c r="E151" s="100"/>
      <c r="F151" s="100"/>
      <c r="G151" s="100"/>
      <c r="H151" s="100"/>
      <c r="I151" s="100"/>
      <c r="J151" s="100"/>
      <c r="K151" s="100"/>
      <c r="L151" s="100"/>
      <c r="M151" s="100"/>
      <c r="N151" s="100"/>
      <c r="O151" s="100"/>
      <c r="P151" s="100"/>
      <c r="Q151" s="100"/>
      <c r="R151" s="100"/>
      <c r="S151" s="100"/>
      <c r="T151" s="100"/>
      <c r="U151" s="100"/>
    </row>
    <row r="152" spans="1:21">
      <c r="A152" s="100"/>
      <c r="B152" s="100"/>
      <c r="C152" s="100"/>
      <c r="D152" s="100"/>
      <c r="E152" s="100"/>
      <c r="F152" s="100"/>
      <c r="G152" s="100"/>
      <c r="H152" s="100"/>
      <c r="I152" s="100"/>
      <c r="J152" s="100"/>
      <c r="K152" s="100"/>
      <c r="L152" s="100"/>
      <c r="M152" s="100"/>
      <c r="N152" s="100"/>
      <c r="O152" s="100"/>
      <c r="P152" s="100"/>
      <c r="Q152" s="100"/>
      <c r="R152" s="100"/>
      <c r="S152" s="100"/>
      <c r="T152" s="100"/>
      <c r="U152" s="100"/>
    </row>
    <row r="153" spans="1:21">
      <c r="A153" s="100"/>
      <c r="B153" s="100"/>
      <c r="C153" s="100"/>
      <c r="D153" s="100"/>
      <c r="E153" s="100"/>
      <c r="F153" s="100"/>
      <c r="G153" s="100"/>
      <c r="H153" s="100"/>
      <c r="I153" s="100"/>
      <c r="J153" s="100"/>
      <c r="K153" s="100"/>
      <c r="L153" s="100"/>
      <c r="M153" s="100"/>
      <c r="N153" s="100"/>
      <c r="O153" s="100"/>
      <c r="P153" s="100"/>
      <c r="Q153" s="100"/>
      <c r="R153" s="100"/>
      <c r="S153" s="100"/>
      <c r="T153" s="100"/>
      <c r="U153" s="100"/>
    </row>
    <row r="154" spans="1:21">
      <c r="A154" s="100"/>
      <c r="B154" s="100"/>
      <c r="C154" s="100"/>
      <c r="D154" s="100"/>
      <c r="E154" s="100"/>
      <c r="F154" s="100"/>
      <c r="G154" s="100"/>
      <c r="H154" s="100"/>
      <c r="I154" s="100"/>
      <c r="J154" s="100"/>
      <c r="K154" s="100"/>
      <c r="L154" s="100"/>
      <c r="M154" s="100"/>
      <c r="N154" s="100"/>
      <c r="O154" s="100"/>
      <c r="P154" s="100"/>
      <c r="Q154" s="100"/>
      <c r="R154" s="100"/>
      <c r="S154" s="100"/>
      <c r="T154" s="100"/>
      <c r="U154" s="100"/>
    </row>
    <row r="155" spans="1:21">
      <c r="A155" s="100"/>
      <c r="B155" s="100"/>
      <c r="C155" s="100"/>
      <c r="D155" s="100"/>
      <c r="E155" s="100"/>
      <c r="F155" s="100"/>
      <c r="G155" s="100"/>
      <c r="H155" s="100"/>
      <c r="I155" s="100"/>
      <c r="J155" s="100"/>
      <c r="K155" s="100"/>
      <c r="L155" s="100"/>
      <c r="M155" s="100"/>
      <c r="N155" s="100"/>
      <c r="O155" s="100"/>
      <c r="P155" s="100"/>
      <c r="Q155" s="100"/>
      <c r="R155" s="100"/>
      <c r="S155" s="100"/>
      <c r="T155" s="100"/>
      <c r="U155" s="100"/>
    </row>
    <row r="156" spans="1:21">
      <c r="A156" s="100"/>
      <c r="B156" s="100"/>
      <c r="C156" s="100"/>
      <c r="D156" s="100"/>
      <c r="E156" s="100"/>
      <c r="F156" s="100"/>
      <c r="G156" s="100"/>
      <c r="H156" s="100"/>
      <c r="I156" s="100"/>
      <c r="J156" s="100"/>
      <c r="K156" s="100"/>
      <c r="L156" s="100"/>
      <c r="M156" s="100"/>
      <c r="N156" s="100"/>
      <c r="O156" s="100"/>
      <c r="P156" s="100"/>
      <c r="Q156" s="100"/>
      <c r="R156" s="100"/>
      <c r="S156" s="100"/>
      <c r="T156" s="100"/>
      <c r="U156" s="100"/>
    </row>
    <row r="157" spans="1:21">
      <c r="A157" s="100"/>
      <c r="B157" s="100"/>
      <c r="C157" s="100"/>
      <c r="D157" s="100"/>
      <c r="E157" s="100"/>
      <c r="F157" s="100"/>
      <c r="G157" s="100"/>
      <c r="H157" s="100"/>
      <c r="I157" s="100"/>
      <c r="J157" s="100"/>
      <c r="K157" s="100"/>
      <c r="L157" s="100"/>
      <c r="M157" s="100"/>
      <c r="N157" s="100"/>
      <c r="O157" s="100"/>
      <c r="P157" s="100"/>
      <c r="Q157" s="100"/>
      <c r="R157" s="100"/>
      <c r="S157" s="100"/>
      <c r="T157" s="100"/>
      <c r="U157" s="100"/>
    </row>
    <row r="158" spans="1:21">
      <c r="A158" s="100"/>
      <c r="B158" s="100"/>
      <c r="C158" s="100"/>
      <c r="D158" s="100"/>
      <c r="E158" s="100"/>
      <c r="F158" s="100"/>
      <c r="G158" s="100"/>
      <c r="H158" s="100"/>
      <c r="I158" s="100"/>
      <c r="J158" s="100"/>
      <c r="K158" s="100"/>
      <c r="L158" s="100"/>
      <c r="M158" s="100"/>
      <c r="N158" s="100"/>
      <c r="O158" s="100"/>
      <c r="P158" s="100"/>
      <c r="Q158" s="100"/>
      <c r="R158" s="100"/>
      <c r="S158" s="100"/>
      <c r="T158" s="100"/>
      <c r="U158" s="100"/>
    </row>
    <row r="159" spans="1:21">
      <c r="A159" s="100"/>
      <c r="B159" s="100"/>
      <c r="C159" s="100"/>
      <c r="D159" s="100"/>
      <c r="E159" s="100"/>
      <c r="F159" s="100"/>
      <c r="G159" s="100"/>
      <c r="H159" s="100"/>
      <c r="I159" s="100"/>
      <c r="J159" s="100"/>
      <c r="K159" s="100"/>
      <c r="L159" s="100"/>
      <c r="M159" s="100"/>
      <c r="N159" s="100"/>
      <c r="O159" s="100"/>
      <c r="P159" s="100"/>
      <c r="Q159" s="100"/>
      <c r="R159" s="100"/>
      <c r="S159" s="100"/>
      <c r="T159" s="100"/>
      <c r="U159" s="100"/>
    </row>
    <row r="160" spans="1:21">
      <c r="A160" s="100"/>
      <c r="B160" s="100"/>
      <c r="C160" s="100"/>
      <c r="D160" s="100"/>
      <c r="E160" s="100"/>
      <c r="F160" s="100"/>
      <c r="G160" s="100"/>
      <c r="H160" s="100"/>
      <c r="I160" s="100"/>
      <c r="J160" s="100"/>
      <c r="K160" s="100"/>
      <c r="L160" s="100"/>
      <c r="M160" s="100"/>
      <c r="N160" s="100"/>
      <c r="O160" s="100"/>
      <c r="P160" s="100"/>
      <c r="Q160" s="100"/>
      <c r="R160" s="100"/>
      <c r="S160" s="100"/>
      <c r="T160" s="100"/>
      <c r="U160" s="100"/>
    </row>
    <row r="161" spans="1:21">
      <c r="A161" s="100"/>
      <c r="B161" s="100"/>
      <c r="C161" s="100"/>
      <c r="D161" s="100"/>
      <c r="E161" s="100"/>
      <c r="F161" s="100"/>
      <c r="G161" s="100"/>
      <c r="H161" s="100"/>
      <c r="I161" s="100"/>
      <c r="J161" s="100"/>
      <c r="K161" s="100"/>
      <c r="L161" s="100"/>
      <c r="M161" s="100"/>
      <c r="N161" s="100"/>
      <c r="O161" s="100"/>
      <c r="P161" s="100"/>
      <c r="Q161" s="100"/>
      <c r="R161" s="100"/>
      <c r="S161" s="100"/>
      <c r="T161" s="100"/>
      <c r="U161" s="100"/>
    </row>
    <row r="162" spans="1:21">
      <c r="A162" s="100"/>
      <c r="B162" s="100"/>
      <c r="C162" s="100"/>
      <c r="D162" s="100"/>
      <c r="E162" s="100"/>
      <c r="F162" s="100"/>
      <c r="G162" s="100"/>
      <c r="H162" s="100"/>
      <c r="I162" s="100"/>
      <c r="J162" s="100"/>
      <c r="K162" s="100"/>
      <c r="L162" s="100"/>
      <c r="M162" s="100"/>
      <c r="N162" s="100"/>
      <c r="O162" s="100"/>
      <c r="P162" s="100"/>
      <c r="Q162" s="100"/>
      <c r="R162" s="100"/>
      <c r="S162" s="100"/>
      <c r="T162" s="100"/>
      <c r="U162" s="100"/>
    </row>
    <row r="163" spans="1:21">
      <c r="A163" s="100"/>
      <c r="B163" s="100"/>
      <c r="C163" s="100"/>
      <c r="D163" s="100"/>
      <c r="E163" s="100"/>
      <c r="F163" s="100"/>
      <c r="G163" s="100"/>
      <c r="H163" s="100"/>
      <c r="I163" s="100"/>
      <c r="J163" s="100"/>
      <c r="K163" s="100"/>
      <c r="L163" s="100"/>
      <c r="M163" s="100"/>
      <c r="N163" s="100"/>
      <c r="O163" s="100"/>
      <c r="P163" s="100"/>
      <c r="Q163" s="100"/>
      <c r="R163" s="100"/>
      <c r="S163" s="100"/>
      <c r="T163" s="100"/>
      <c r="U163" s="100"/>
    </row>
    <row r="164" spans="1:21">
      <c r="A164" s="100"/>
      <c r="B164" s="100"/>
      <c r="C164" s="100"/>
      <c r="D164" s="100"/>
      <c r="E164" s="100"/>
      <c r="F164" s="100"/>
      <c r="G164" s="100"/>
      <c r="H164" s="100"/>
      <c r="I164" s="100"/>
      <c r="J164" s="100"/>
      <c r="K164" s="100"/>
      <c r="L164" s="100"/>
      <c r="M164" s="100"/>
      <c r="N164" s="100"/>
      <c r="O164" s="100"/>
      <c r="P164" s="100"/>
      <c r="Q164" s="100"/>
      <c r="R164" s="100"/>
      <c r="S164" s="100"/>
      <c r="T164" s="100"/>
      <c r="U164" s="100"/>
    </row>
    <row r="165" spans="1:21">
      <c r="A165" s="100"/>
      <c r="B165" s="100"/>
      <c r="C165" s="100"/>
      <c r="D165" s="100"/>
      <c r="E165" s="100"/>
      <c r="F165" s="100"/>
      <c r="G165" s="100"/>
      <c r="H165" s="100"/>
      <c r="I165" s="100"/>
      <c r="J165" s="100"/>
      <c r="K165" s="100"/>
      <c r="L165" s="100"/>
      <c r="M165" s="100"/>
      <c r="N165" s="100"/>
      <c r="O165" s="100"/>
      <c r="P165" s="100"/>
      <c r="Q165" s="100"/>
      <c r="R165" s="100"/>
      <c r="S165" s="100"/>
      <c r="T165" s="100"/>
      <c r="U165" s="100"/>
    </row>
    <row r="166" spans="1:21">
      <c r="A166" s="100"/>
      <c r="B166" s="100"/>
      <c r="C166" s="100"/>
      <c r="D166" s="100"/>
      <c r="E166" s="100"/>
      <c r="F166" s="100"/>
      <c r="G166" s="100"/>
      <c r="H166" s="100"/>
      <c r="I166" s="100"/>
      <c r="J166" s="100"/>
      <c r="K166" s="100"/>
      <c r="L166" s="100"/>
      <c r="M166" s="100"/>
      <c r="N166" s="100"/>
      <c r="O166" s="100"/>
      <c r="P166" s="100"/>
      <c r="Q166" s="100"/>
      <c r="R166" s="100"/>
      <c r="S166" s="100"/>
      <c r="T166" s="100"/>
      <c r="U166" s="100"/>
    </row>
    <row r="167" spans="1:21">
      <c r="A167" s="100"/>
      <c r="B167" s="100"/>
      <c r="C167" s="100"/>
      <c r="D167" s="100"/>
      <c r="E167" s="100"/>
      <c r="F167" s="100"/>
      <c r="G167" s="100"/>
      <c r="H167" s="100"/>
      <c r="I167" s="100"/>
      <c r="J167" s="100"/>
      <c r="K167" s="100"/>
      <c r="L167" s="100"/>
      <c r="M167" s="100"/>
      <c r="N167" s="100"/>
      <c r="O167" s="100"/>
      <c r="P167" s="100"/>
      <c r="Q167" s="100"/>
      <c r="R167" s="100"/>
      <c r="S167" s="100"/>
      <c r="T167" s="100"/>
      <c r="U167" s="100"/>
    </row>
    <row r="168" spans="1:21">
      <c r="A168" s="100"/>
      <c r="B168" s="100"/>
      <c r="C168" s="100"/>
      <c r="D168" s="100"/>
      <c r="E168" s="100"/>
      <c r="F168" s="100"/>
      <c r="G168" s="100"/>
      <c r="H168" s="100"/>
      <c r="I168" s="100"/>
      <c r="J168" s="100"/>
      <c r="K168" s="100"/>
      <c r="L168" s="100"/>
      <c r="M168" s="100"/>
      <c r="N168" s="100"/>
      <c r="O168" s="100"/>
      <c r="P168" s="100"/>
      <c r="Q168" s="100"/>
      <c r="R168" s="100"/>
      <c r="S168" s="100"/>
      <c r="T168" s="100"/>
      <c r="U168" s="100"/>
    </row>
    <row r="169" spans="1:21">
      <c r="A169" s="100"/>
      <c r="B169" s="100"/>
      <c r="C169" s="100"/>
      <c r="D169" s="100"/>
      <c r="E169" s="100"/>
      <c r="F169" s="100"/>
      <c r="G169" s="100"/>
      <c r="H169" s="100"/>
      <c r="I169" s="100"/>
      <c r="J169" s="100"/>
      <c r="K169" s="100"/>
      <c r="L169" s="100"/>
      <c r="M169" s="100"/>
      <c r="N169" s="100"/>
      <c r="O169" s="100"/>
      <c r="P169" s="100"/>
      <c r="Q169" s="100"/>
      <c r="R169" s="100"/>
      <c r="S169" s="100"/>
      <c r="T169" s="100"/>
      <c r="U169" s="100"/>
    </row>
    <row r="170" spans="1:21">
      <c r="A170" s="100"/>
      <c r="B170" s="100"/>
      <c r="C170" s="100"/>
      <c r="D170" s="100"/>
      <c r="E170" s="100"/>
      <c r="F170" s="100"/>
      <c r="G170" s="100"/>
      <c r="H170" s="100"/>
      <c r="I170" s="100"/>
      <c r="J170" s="100"/>
      <c r="K170" s="100"/>
      <c r="L170" s="100"/>
      <c r="M170" s="100"/>
      <c r="N170" s="100"/>
      <c r="O170" s="100"/>
      <c r="P170" s="100"/>
      <c r="Q170" s="100"/>
      <c r="R170" s="100"/>
      <c r="S170" s="100"/>
      <c r="T170" s="100"/>
      <c r="U170" s="100"/>
    </row>
    <row r="171" spans="1:21">
      <c r="A171" s="100"/>
      <c r="B171" s="100"/>
      <c r="C171" s="100"/>
      <c r="D171" s="100"/>
      <c r="E171" s="100"/>
      <c r="F171" s="100"/>
      <c r="G171" s="100"/>
      <c r="H171" s="100"/>
      <c r="I171" s="100"/>
      <c r="J171" s="100"/>
      <c r="K171" s="100"/>
      <c r="L171" s="100"/>
      <c r="M171" s="100"/>
      <c r="N171" s="100"/>
      <c r="O171" s="100"/>
      <c r="P171" s="100"/>
      <c r="Q171" s="100"/>
      <c r="R171" s="100"/>
      <c r="S171" s="100"/>
      <c r="T171" s="100"/>
      <c r="U171" s="100"/>
    </row>
    <row r="172" spans="1:21">
      <c r="A172" s="100"/>
      <c r="B172" s="100"/>
      <c r="C172" s="100"/>
      <c r="D172" s="100"/>
      <c r="E172" s="100"/>
      <c r="F172" s="100"/>
      <c r="G172" s="100"/>
      <c r="H172" s="100"/>
      <c r="I172" s="100"/>
      <c r="J172" s="100"/>
      <c r="K172" s="100"/>
      <c r="L172" s="100"/>
      <c r="M172" s="100"/>
      <c r="N172" s="100"/>
      <c r="O172" s="100"/>
      <c r="P172" s="100"/>
      <c r="Q172" s="100"/>
      <c r="R172" s="100"/>
      <c r="S172" s="100"/>
      <c r="T172" s="100"/>
      <c r="U172" s="100"/>
    </row>
    <row r="173" spans="1:21">
      <c r="A173" s="100"/>
      <c r="B173" s="100"/>
      <c r="C173" s="100"/>
      <c r="D173" s="100"/>
      <c r="E173" s="100"/>
      <c r="F173" s="100"/>
      <c r="G173" s="100"/>
      <c r="H173" s="100"/>
      <c r="I173" s="100"/>
      <c r="J173" s="100"/>
      <c r="K173" s="100"/>
      <c r="L173" s="100"/>
      <c r="M173" s="100"/>
      <c r="N173" s="100"/>
      <c r="O173" s="100"/>
      <c r="P173" s="100"/>
      <c r="Q173" s="100"/>
      <c r="R173" s="100"/>
      <c r="S173" s="100"/>
      <c r="T173" s="100"/>
      <c r="U173" s="100"/>
    </row>
    <row r="174" spans="1:21">
      <c r="A174" s="100"/>
      <c r="B174" s="100"/>
      <c r="C174" s="100"/>
      <c r="D174" s="100"/>
      <c r="E174" s="100"/>
      <c r="F174" s="100"/>
      <c r="G174" s="100"/>
      <c r="H174" s="100"/>
      <c r="I174" s="100"/>
      <c r="J174" s="100"/>
      <c r="K174" s="100"/>
      <c r="L174" s="100"/>
      <c r="M174" s="100"/>
      <c r="N174" s="100"/>
      <c r="O174" s="100"/>
      <c r="P174" s="100"/>
      <c r="Q174" s="100"/>
      <c r="R174" s="100"/>
      <c r="S174" s="100"/>
      <c r="T174" s="100"/>
      <c r="U174" s="100"/>
    </row>
    <row r="175" spans="1:21">
      <c r="A175" s="100"/>
      <c r="B175" s="100"/>
      <c r="C175" s="100"/>
      <c r="D175" s="100"/>
      <c r="E175" s="100"/>
      <c r="F175" s="100"/>
      <c r="G175" s="100"/>
      <c r="H175" s="100"/>
      <c r="I175" s="100"/>
      <c r="J175" s="100"/>
      <c r="K175" s="100"/>
      <c r="L175" s="100"/>
      <c r="M175" s="100"/>
      <c r="N175" s="100"/>
      <c r="O175" s="100"/>
      <c r="P175" s="100"/>
      <c r="Q175" s="100"/>
      <c r="R175" s="100"/>
      <c r="S175" s="100"/>
      <c r="T175" s="100"/>
      <c r="U175" s="100"/>
    </row>
    <row r="176" spans="1:21">
      <c r="A176" s="100"/>
      <c r="B176" s="100"/>
      <c r="C176" s="100"/>
      <c r="D176" s="100"/>
      <c r="E176" s="100"/>
      <c r="F176" s="100"/>
      <c r="G176" s="100"/>
      <c r="H176" s="100"/>
      <c r="I176" s="100"/>
      <c r="J176" s="100"/>
      <c r="K176" s="100"/>
      <c r="L176" s="100"/>
      <c r="M176" s="100"/>
      <c r="N176" s="100"/>
      <c r="O176" s="100"/>
      <c r="P176" s="100"/>
      <c r="Q176" s="100"/>
      <c r="R176" s="100"/>
      <c r="S176" s="100"/>
      <c r="T176" s="100"/>
      <c r="U176" s="100"/>
    </row>
    <row r="177" spans="1:21">
      <c r="A177" s="100"/>
      <c r="B177" s="100"/>
      <c r="C177" s="100"/>
      <c r="D177" s="100"/>
      <c r="E177" s="100"/>
      <c r="F177" s="100"/>
      <c r="G177" s="100"/>
      <c r="H177" s="100"/>
      <c r="I177" s="100"/>
      <c r="J177" s="100"/>
      <c r="K177" s="100"/>
      <c r="L177" s="100"/>
      <c r="M177" s="100"/>
      <c r="N177" s="100"/>
      <c r="O177" s="100"/>
      <c r="P177" s="100"/>
      <c r="Q177" s="100"/>
      <c r="R177" s="100"/>
      <c r="S177" s="100"/>
      <c r="T177" s="100"/>
      <c r="U177" s="100"/>
    </row>
    <row r="178" spans="1:21">
      <c r="A178" s="100"/>
      <c r="B178" s="100"/>
      <c r="C178" s="100"/>
      <c r="D178" s="100"/>
      <c r="E178" s="100"/>
      <c r="F178" s="100"/>
      <c r="G178" s="100"/>
      <c r="H178" s="100"/>
      <c r="I178" s="100"/>
      <c r="J178" s="100"/>
      <c r="K178" s="100"/>
      <c r="L178" s="100"/>
      <c r="M178" s="100"/>
      <c r="N178" s="100"/>
      <c r="O178" s="100"/>
      <c r="P178" s="100"/>
      <c r="Q178" s="100"/>
      <c r="R178" s="100"/>
      <c r="S178" s="100"/>
      <c r="T178" s="100"/>
      <c r="U178" s="100"/>
    </row>
    <row r="179" spans="1:21">
      <c r="A179" s="100"/>
      <c r="B179" s="100"/>
      <c r="C179" s="100"/>
      <c r="D179" s="100"/>
      <c r="E179" s="100"/>
      <c r="F179" s="100"/>
      <c r="G179" s="100"/>
      <c r="H179" s="100"/>
      <c r="I179" s="100"/>
      <c r="J179" s="100"/>
      <c r="K179" s="100"/>
      <c r="L179" s="100"/>
      <c r="M179" s="100"/>
      <c r="N179" s="100"/>
      <c r="O179" s="100"/>
      <c r="P179" s="100"/>
      <c r="Q179" s="100"/>
      <c r="R179" s="100"/>
      <c r="S179" s="100"/>
      <c r="T179" s="100"/>
      <c r="U179" s="100"/>
    </row>
    <row r="180" spans="1:21">
      <c r="A180" s="100"/>
      <c r="B180" s="100"/>
      <c r="C180" s="100"/>
      <c r="D180" s="100"/>
      <c r="E180" s="100"/>
      <c r="F180" s="100"/>
      <c r="G180" s="100"/>
      <c r="H180" s="100"/>
      <c r="I180" s="100"/>
      <c r="J180" s="100"/>
      <c r="K180" s="100"/>
      <c r="L180" s="100"/>
      <c r="M180" s="100"/>
      <c r="N180" s="100"/>
      <c r="O180" s="100"/>
      <c r="P180" s="100"/>
      <c r="Q180" s="100"/>
      <c r="R180" s="100"/>
      <c r="S180" s="100"/>
      <c r="T180" s="100"/>
      <c r="U180" s="100"/>
    </row>
    <row r="181" spans="1:21">
      <c r="A181" s="100"/>
      <c r="B181" s="100"/>
      <c r="C181" s="100"/>
      <c r="D181" s="100"/>
      <c r="E181" s="100"/>
      <c r="F181" s="100"/>
      <c r="G181" s="100"/>
      <c r="H181" s="100"/>
      <c r="I181" s="100"/>
      <c r="J181" s="100"/>
      <c r="K181" s="100"/>
      <c r="L181" s="100"/>
      <c r="M181" s="100"/>
      <c r="N181" s="100"/>
      <c r="O181" s="100"/>
      <c r="P181" s="100"/>
      <c r="Q181" s="100"/>
      <c r="R181" s="100"/>
      <c r="S181" s="100"/>
      <c r="T181" s="100"/>
      <c r="U181" s="100"/>
    </row>
    <row r="182" spans="1:21">
      <c r="A182" s="100"/>
      <c r="B182" s="100"/>
      <c r="C182" s="100"/>
      <c r="D182" s="100"/>
      <c r="E182" s="100"/>
      <c r="F182" s="100"/>
      <c r="G182" s="100"/>
      <c r="H182" s="100"/>
      <c r="I182" s="100"/>
      <c r="J182" s="100"/>
      <c r="K182" s="100"/>
      <c r="L182" s="100"/>
      <c r="M182" s="100"/>
      <c r="N182" s="100"/>
      <c r="O182" s="100"/>
      <c r="P182" s="100"/>
      <c r="Q182" s="100"/>
      <c r="R182" s="100"/>
      <c r="S182" s="100"/>
      <c r="T182" s="100"/>
      <c r="U182" s="100"/>
    </row>
    <row r="183" spans="1:21">
      <c r="A183" s="100"/>
      <c r="B183" s="100"/>
      <c r="C183" s="100"/>
      <c r="D183" s="100"/>
      <c r="E183" s="100"/>
      <c r="F183" s="100"/>
      <c r="G183" s="100"/>
      <c r="H183" s="100"/>
      <c r="I183" s="100"/>
      <c r="J183" s="100"/>
      <c r="K183" s="100"/>
      <c r="L183" s="100"/>
      <c r="M183" s="100"/>
      <c r="N183" s="100"/>
      <c r="O183" s="100"/>
      <c r="P183" s="100"/>
      <c r="Q183" s="100"/>
      <c r="R183" s="100"/>
      <c r="S183" s="100"/>
      <c r="T183" s="100"/>
      <c r="U183" s="100"/>
    </row>
    <row r="184" spans="1:21">
      <c r="A184" s="100"/>
      <c r="B184" s="100"/>
      <c r="C184" s="100"/>
      <c r="D184" s="100"/>
      <c r="E184" s="100"/>
      <c r="F184" s="100"/>
      <c r="G184" s="100"/>
      <c r="H184" s="100"/>
      <c r="I184" s="100"/>
      <c r="J184" s="100"/>
      <c r="K184" s="100"/>
      <c r="L184" s="100"/>
      <c r="M184" s="100"/>
      <c r="N184" s="100"/>
      <c r="O184" s="100"/>
      <c r="P184" s="100"/>
      <c r="Q184" s="100"/>
      <c r="R184" s="100"/>
      <c r="S184" s="100"/>
      <c r="T184" s="100"/>
      <c r="U184" s="100"/>
    </row>
    <row r="185" spans="1:21">
      <c r="A185" s="100"/>
      <c r="B185" s="100"/>
      <c r="C185" s="100"/>
      <c r="D185" s="100"/>
      <c r="E185" s="100"/>
      <c r="F185" s="100"/>
      <c r="G185" s="100"/>
      <c r="H185" s="100"/>
      <c r="I185" s="100"/>
      <c r="J185" s="100"/>
      <c r="K185" s="100"/>
      <c r="L185" s="100"/>
      <c r="M185" s="100"/>
      <c r="N185" s="100"/>
      <c r="O185" s="100"/>
      <c r="P185" s="100"/>
      <c r="Q185" s="100"/>
      <c r="R185" s="100"/>
      <c r="S185" s="100"/>
      <c r="T185" s="100"/>
      <c r="U185" s="100"/>
    </row>
    <row r="186" spans="1:21">
      <c r="A186" s="100"/>
      <c r="B186" s="100"/>
      <c r="C186" s="100"/>
      <c r="D186" s="100"/>
      <c r="E186" s="100"/>
      <c r="F186" s="100"/>
      <c r="G186" s="100"/>
      <c r="H186" s="100"/>
      <c r="I186" s="100"/>
      <c r="J186" s="100"/>
      <c r="K186" s="100"/>
      <c r="L186" s="100"/>
      <c r="M186" s="100"/>
      <c r="N186" s="100"/>
      <c r="O186" s="100"/>
      <c r="P186" s="100"/>
      <c r="Q186" s="100"/>
      <c r="R186" s="100"/>
      <c r="S186" s="100"/>
      <c r="T186" s="100"/>
      <c r="U186" s="100"/>
    </row>
    <row r="187" spans="1:21">
      <c r="A187" s="100"/>
      <c r="B187" s="100"/>
      <c r="C187" s="100"/>
      <c r="D187" s="100"/>
      <c r="E187" s="100"/>
      <c r="F187" s="100"/>
      <c r="G187" s="100"/>
      <c r="H187" s="100"/>
      <c r="I187" s="100"/>
      <c r="J187" s="100"/>
      <c r="K187" s="100"/>
      <c r="L187" s="100"/>
      <c r="M187" s="100"/>
      <c r="N187" s="100"/>
      <c r="O187" s="100"/>
      <c r="P187" s="100"/>
      <c r="Q187" s="100"/>
      <c r="R187" s="100"/>
      <c r="S187" s="100"/>
      <c r="T187" s="100"/>
      <c r="U187" s="100"/>
    </row>
    <row r="188" spans="1:21">
      <c r="A188" s="100"/>
      <c r="B188" s="100"/>
      <c r="C188" s="100"/>
      <c r="D188" s="100"/>
      <c r="E188" s="100"/>
      <c r="F188" s="100"/>
      <c r="G188" s="100"/>
      <c r="H188" s="100"/>
      <c r="I188" s="100"/>
      <c r="J188" s="100"/>
      <c r="K188" s="100"/>
      <c r="L188" s="100"/>
      <c r="M188" s="100"/>
      <c r="N188" s="100"/>
      <c r="O188" s="100"/>
      <c r="P188" s="100"/>
      <c r="Q188" s="100"/>
      <c r="R188" s="100"/>
      <c r="S188" s="100"/>
      <c r="T188" s="100"/>
      <c r="U188" s="100"/>
    </row>
    <row r="189" spans="1:21">
      <c r="A189" s="100"/>
      <c r="B189" s="100"/>
      <c r="C189" s="100"/>
      <c r="D189" s="100"/>
      <c r="E189" s="100"/>
      <c r="F189" s="100"/>
      <c r="G189" s="100"/>
      <c r="H189" s="100"/>
      <c r="I189" s="100"/>
      <c r="J189" s="100"/>
      <c r="K189" s="100"/>
      <c r="L189" s="100"/>
      <c r="M189" s="100"/>
      <c r="N189" s="100"/>
      <c r="O189" s="100"/>
      <c r="P189" s="100"/>
      <c r="Q189" s="100"/>
      <c r="R189" s="100"/>
      <c r="S189" s="100"/>
      <c r="T189" s="100"/>
      <c r="U189" s="100"/>
    </row>
    <row r="190" spans="1:21">
      <c r="A190" s="100"/>
      <c r="B190" s="100"/>
      <c r="C190" s="100"/>
      <c r="D190" s="100"/>
      <c r="E190" s="100"/>
      <c r="F190" s="100"/>
      <c r="G190" s="100"/>
      <c r="H190" s="100"/>
      <c r="I190" s="100"/>
      <c r="J190" s="100"/>
      <c r="K190" s="100"/>
      <c r="L190" s="100"/>
      <c r="M190" s="100"/>
      <c r="N190" s="100"/>
      <c r="O190" s="100"/>
      <c r="P190" s="100"/>
      <c r="Q190" s="100"/>
      <c r="R190" s="100"/>
      <c r="S190" s="100"/>
      <c r="T190" s="100"/>
      <c r="U190" s="100"/>
    </row>
    <row r="191" spans="1:21">
      <c r="A191" s="100"/>
      <c r="B191" s="100"/>
      <c r="C191" s="100"/>
      <c r="D191" s="100"/>
      <c r="E191" s="100"/>
      <c r="F191" s="100"/>
      <c r="G191" s="100"/>
      <c r="H191" s="100"/>
      <c r="I191" s="100"/>
      <c r="J191" s="100"/>
      <c r="K191" s="100"/>
      <c r="L191" s="100"/>
      <c r="M191" s="100"/>
      <c r="N191" s="100"/>
      <c r="O191" s="100"/>
      <c r="P191" s="100"/>
      <c r="Q191" s="100"/>
      <c r="R191" s="100"/>
      <c r="S191" s="100"/>
      <c r="T191" s="100"/>
      <c r="U191" s="100"/>
    </row>
  </sheetData>
  <customSheetViews>
    <customSheetView guid="{8063F48F-80B5-4ECD-B18A-51CBF126E780}" fitToPage="1" hiddenColumns="1" state="hidden">
      <rowBreaks count="1" manualBreakCount="1">
        <brk id="58" max="19" man="1"/>
      </rowBreaks>
      <pageMargins left="0.59055118110236227" right="0.57999999999999996" top="0.59055118110236227" bottom="0.59055118110236227" header="0.39370078740157483" footer="0.39370078740157483"/>
      <printOptions horizontalCentered="1"/>
      <pageSetup paperSize="9" scale="38" orientation="portrait" r:id="rId1"/>
      <headerFooter alignWithMargins="0">
        <oddFooter>&amp;L&amp;12LEL Schwäbisch Gmünd&amp;C&amp;12Kalkulationsdaten Marktfrüchte 2007&amp;F&amp;R&amp;"Arial,Fett"&amp;14 &amp;16 1</oddFooter>
      </headerFooter>
    </customSheetView>
    <customSheetView guid="{5D5C9B61-9ABD-4513-AAEB-8333A9D6196C}" fitToPage="1" hiddenColumns="1" state="hidden">
      <rowBreaks count="1" manualBreakCount="1">
        <brk id="58" max="19" man="1"/>
      </rowBreaks>
      <pageMargins left="0.59055118110236227" right="0.57999999999999996" top="0.59055118110236227" bottom="0.59055118110236227" header="0.39370078740157483" footer="0.39370078740157483"/>
      <printOptions horizontalCentered="1"/>
      <pageSetup paperSize="9" scale="38" orientation="portrait" r:id="rId2"/>
      <headerFooter alignWithMargins="0">
        <oddFooter>&amp;L&amp;12LEL Schwäbisch Gmünd&amp;C&amp;12Kalkulationsdaten Marktfrüchte 2007&amp;F&amp;R&amp;"Arial,Fett"&amp;14 &amp;16 1</oddFooter>
      </headerFooter>
    </customSheetView>
    <customSheetView guid="{22A73C4F-9004-4CEF-8499-B1F91BE1B569}" fitToPage="1" hiddenColumns="1" state="hidden">
      <rowBreaks count="1" manualBreakCount="1">
        <brk id="58" max="19" man="1"/>
      </rowBreaks>
      <pageMargins left="0.59055118110236227" right="0.57999999999999996" top="0.59055118110236227" bottom="0.59055118110236227" header="0.39370078740157483" footer="0.39370078740157483"/>
      <printOptions horizontalCentered="1"/>
      <pageSetup paperSize="9" scale="38" orientation="portrait" r:id="rId3"/>
      <headerFooter alignWithMargins="0">
        <oddFooter>&amp;L&amp;12LEL Schwäbisch Gmünd&amp;C&amp;12Kalkulationsdaten Marktfrüchte 2007&amp;F&amp;R&amp;"Arial,Fett"&amp;14 &amp;16 1</oddFooter>
      </headerFooter>
    </customSheetView>
  </customSheetViews>
  <mergeCells count="71">
    <mergeCell ref="C23:C28"/>
    <mergeCell ref="B23:B27"/>
    <mergeCell ref="P15:Q15"/>
    <mergeCell ref="P16:Q16"/>
    <mergeCell ref="P19:Q19"/>
    <mergeCell ref="P20:Q20"/>
    <mergeCell ref="P21:Q21"/>
    <mergeCell ref="B20:C20"/>
    <mergeCell ref="B19:C19"/>
    <mergeCell ref="D16:G16"/>
    <mergeCell ref="M84:N84"/>
    <mergeCell ref="M41:N41"/>
    <mergeCell ref="D57:O58"/>
    <mergeCell ref="F35:J35"/>
    <mergeCell ref="D77:O78"/>
    <mergeCell ref="D82:O83"/>
    <mergeCell ref="M63:N63"/>
    <mergeCell ref="M73:N73"/>
    <mergeCell ref="M72:N72"/>
    <mergeCell ref="F37:J37"/>
    <mergeCell ref="M40:N40"/>
    <mergeCell ref="M39:N39"/>
    <mergeCell ref="M37:N37"/>
    <mergeCell ref="P11:R11"/>
    <mergeCell ref="P14:Q14"/>
    <mergeCell ref="B2:T2"/>
    <mergeCell ref="B3:T3"/>
    <mergeCell ref="D10:E10"/>
    <mergeCell ref="P6:R6"/>
    <mergeCell ref="P8:R8"/>
    <mergeCell ref="P9:R9"/>
    <mergeCell ref="P10:R10"/>
    <mergeCell ref="B6:G6"/>
    <mergeCell ref="B5:G5"/>
    <mergeCell ref="P7:R7"/>
    <mergeCell ref="D11:E11"/>
    <mergeCell ref="D12:G12"/>
    <mergeCell ref="D13:G13"/>
    <mergeCell ref="D14:G14"/>
    <mergeCell ref="M34:N34"/>
    <mergeCell ref="M35:N35"/>
    <mergeCell ref="M36:N36"/>
    <mergeCell ref="I105:J105"/>
    <mergeCell ref="M86:N86"/>
    <mergeCell ref="M88:N88"/>
    <mergeCell ref="D92:O93"/>
    <mergeCell ref="J86:K86"/>
    <mergeCell ref="E88:I88"/>
    <mergeCell ref="C99:E99"/>
    <mergeCell ref="C100:E100"/>
    <mergeCell ref="J87:K87"/>
    <mergeCell ref="M87:N87"/>
    <mergeCell ref="M85:N85"/>
    <mergeCell ref="M62:N62"/>
    <mergeCell ref="M71:N71"/>
    <mergeCell ref="M29:N29"/>
    <mergeCell ref="F36:J36"/>
    <mergeCell ref="M65:N65"/>
    <mergeCell ref="M69:N69"/>
    <mergeCell ref="M31:N31"/>
    <mergeCell ref="M32:N32"/>
    <mergeCell ref="M33:N33"/>
    <mergeCell ref="F31:J31"/>
    <mergeCell ref="F32:J32"/>
    <mergeCell ref="F33:J33"/>
    <mergeCell ref="F34:J34"/>
    <mergeCell ref="M30:N30"/>
    <mergeCell ref="M64:N64"/>
    <mergeCell ref="M68:N68"/>
    <mergeCell ref="M66:N66"/>
    <mergeCell ref="M67:N67"/>
  </mergeCells>
  <conditionalFormatting sqref="D10:E10">
    <cfRule type="expression" dxfId="12" priority="2" stopIfTrue="1">
      <formula>$W$5=2</formula>
    </cfRule>
  </conditionalFormatting>
  <conditionalFormatting sqref="D11:G11">
    <cfRule type="expression" dxfId="11" priority="3" stopIfTrue="1">
      <formula>$W$5=1</formula>
    </cfRule>
  </conditionalFormatting>
  <conditionalFormatting sqref="F10:G10">
    <cfRule type="expression" dxfId="10" priority="1" stopIfTrue="1">
      <formula>$W$5=2</formula>
    </cfRule>
  </conditionalFormatting>
  <conditionalFormatting sqref="J25">
    <cfRule type="expression" dxfId="9" priority="4" stopIfTrue="1">
      <formula>$W$25=2</formula>
    </cfRule>
  </conditionalFormatting>
  <dataValidations count="3">
    <dataValidation type="custom" allowBlank="1" showInputMessage="1" showErrorMessage="1" error="Ja !   ist bereits angekreuzt !_x000a__x000a_oder_x000a__x000a_Bitte mit x ankreuzen!_x000a_" sqref="M25" xr:uid="{00000000-0002-0000-0B00-000000000000}">
      <formula1>AND(M25="X",K25&lt;&gt;"x")</formula1>
    </dataValidation>
    <dataValidation type="custom" allowBlank="1" showInputMessage="1" showErrorMessage="1" error="Nein !   ist bereits angekreuzt !_x000a__x000a_oder_x000a__x000a_Bitte mit x ankreuzen!_x000a_" sqref="K25" xr:uid="{00000000-0002-0000-0B00-000001000000}">
      <formula1>AND(K25="X",M25&lt;&gt;"x")</formula1>
    </dataValidation>
    <dataValidation type="custom" allowBlank="1" showInputMessage="1" showErrorMessage="1" error="TM? wurde bereits angekreuzt ! _x000a__x000a_oder_x000a__x000a_Bitte mit x ankreuzen!_x000a_" sqref="K101" xr:uid="{00000000-0002-0000-0B00-000002000000}">
      <formula1>AND(K101="X",K100&lt;&gt;"x")</formula1>
    </dataValidation>
  </dataValidations>
  <printOptions horizontalCentered="1"/>
  <pageMargins left="0.59055118110236227" right="0.57999999999999996" top="0.59055118110236227" bottom="0.59055118110236227" header="0.39370078740157483" footer="0.39370078740157483"/>
  <pageSetup paperSize="9" scale="38" orientation="portrait" r:id="rId4"/>
  <headerFooter alignWithMargins="0">
    <oddFooter>&amp;L&amp;12LEL Schwäbisch Gmünd&amp;C&amp;12Kalkulationsdaten Marktfrüchte 2007&amp;F&amp;R&amp;"Arial,Fett"&amp;14 &amp;16 1</oddFooter>
  </headerFooter>
  <rowBreaks count="1" manualBreakCount="1">
    <brk id="58" max="19" man="1"/>
  </rowBreaks>
  <drawing r:id="rId5"/>
  <legacyDrawing r:id="rId6"/>
  <mc:AlternateContent xmlns:mc="http://schemas.openxmlformats.org/markup-compatibility/2006">
    <mc:Choice Requires="x14">
      <controls>
        <mc:AlternateContent xmlns:mc="http://schemas.openxmlformats.org/markup-compatibility/2006">
          <mc:Choice Requires="x14">
            <control shapeId="98305" r:id="rId7" name="Option Button 1">
              <controlPr defaultSize="0" autoFill="0" autoLine="0" autoPict="0">
                <anchor moveWithCells="1">
                  <from>
                    <xdr:col>10</xdr:col>
                    <xdr:colOff>45720</xdr:colOff>
                    <xdr:row>24</xdr:row>
                    <xdr:rowOff>0</xdr:rowOff>
                  </from>
                  <to>
                    <xdr:col>11</xdr:col>
                    <xdr:colOff>114300</xdr:colOff>
                    <xdr:row>25</xdr:row>
                    <xdr:rowOff>7620</xdr:rowOff>
                  </to>
                </anchor>
              </controlPr>
            </control>
          </mc:Choice>
        </mc:AlternateContent>
        <mc:AlternateContent xmlns:mc="http://schemas.openxmlformats.org/markup-compatibility/2006">
          <mc:Choice Requires="x14">
            <control shapeId="98306" r:id="rId8" name="Option Button 2">
              <controlPr defaultSize="0" autoFill="0" autoLine="0" autoPict="0">
                <anchor moveWithCells="1">
                  <from>
                    <xdr:col>12</xdr:col>
                    <xdr:colOff>22860</xdr:colOff>
                    <xdr:row>23</xdr:row>
                    <xdr:rowOff>213360</xdr:rowOff>
                  </from>
                  <to>
                    <xdr:col>13</xdr:col>
                    <xdr:colOff>76200</xdr:colOff>
                    <xdr:row>24</xdr:row>
                    <xdr:rowOff>213360</xdr:rowOff>
                  </to>
                </anchor>
              </controlPr>
            </control>
          </mc:Choice>
        </mc:AlternateContent>
        <mc:AlternateContent xmlns:mc="http://schemas.openxmlformats.org/markup-compatibility/2006">
          <mc:Choice Requires="x14">
            <control shapeId="98307" r:id="rId9" name="Option Button 3">
              <controlPr defaultSize="0" autoFill="0" autoLine="0" autoPict="0">
                <anchor moveWithCells="1">
                  <from>
                    <xdr:col>2</xdr:col>
                    <xdr:colOff>137160</xdr:colOff>
                    <xdr:row>8</xdr:row>
                    <xdr:rowOff>175260</xdr:rowOff>
                  </from>
                  <to>
                    <xdr:col>2</xdr:col>
                    <xdr:colOff>457200</xdr:colOff>
                    <xdr:row>10</xdr:row>
                    <xdr:rowOff>7620</xdr:rowOff>
                  </to>
                </anchor>
              </controlPr>
            </control>
          </mc:Choice>
        </mc:AlternateContent>
        <mc:AlternateContent xmlns:mc="http://schemas.openxmlformats.org/markup-compatibility/2006">
          <mc:Choice Requires="x14">
            <control shapeId="98308" r:id="rId10" name="Option Button 4">
              <controlPr defaultSize="0" autoFill="0" autoLine="0" autoPict="0">
                <anchor moveWithCells="1">
                  <from>
                    <xdr:col>2</xdr:col>
                    <xdr:colOff>137160</xdr:colOff>
                    <xdr:row>9</xdr:row>
                    <xdr:rowOff>182880</xdr:rowOff>
                  </from>
                  <to>
                    <xdr:col>2</xdr:col>
                    <xdr:colOff>457200</xdr:colOff>
                    <xdr:row>11</xdr:row>
                    <xdr:rowOff>22860</xdr:rowOff>
                  </to>
                </anchor>
              </controlPr>
            </control>
          </mc:Choice>
        </mc:AlternateContent>
        <mc:AlternateContent xmlns:mc="http://schemas.openxmlformats.org/markup-compatibility/2006">
          <mc:Choice Requires="x14">
            <control shapeId="98309" r:id="rId11" name="Group Box 5">
              <controlPr defaultSize="0" autoFill="0" autoPict="0">
                <anchor moveWithCells="1">
                  <from>
                    <xdr:col>1</xdr:col>
                    <xdr:colOff>7620</xdr:colOff>
                    <xdr:row>8</xdr:row>
                    <xdr:rowOff>0</xdr:rowOff>
                  </from>
                  <to>
                    <xdr:col>7</xdr:col>
                    <xdr:colOff>0</xdr:colOff>
                    <xdr:row>11</xdr:row>
                    <xdr:rowOff>182880</xdr:rowOff>
                  </to>
                </anchor>
              </controlPr>
            </control>
          </mc:Choice>
        </mc:AlternateContent>
        <mc:AlternateContent xmlns:mc="http://schemas.openxmlformats.org/markup-compatibility/2006">
          <mc:Choice Requires="x14">
            <control shapeId="98310" r:id="rId12" name="Drop Down 6">
              <controlPr defaultSize="0" print="0" autoLine="0" autoPict="0">
                <anchor moveWithCells="1">
                  <from>
                    <xdr:col>5</xdr:col>
                    <xdr:colOff>0</xdr:colOff>
                    <xdr:row>30</xdr:row>
                    <xdr:rowOff>0</xdr:rowOff>
                  </from>
                  <to>
                    <xdr:col>10</xdr:col>
                    <xdr:colOff>22860</xdr:colOff>
                    <xdr:row>31</xdr:row>
                    <xdr:rowOff>22860</xdr:rowOff>
                  </to>
                </anchor>
              </controlPr>
            </control>
          </mc:Choice>
        </mc:AlternateContent>
        <mc:AlternateContent xmlns:mc="http://schemas.openxmlformats.org/markup-compatibility/2006">
          <mc:Choice Requires="x14">
            <control shapeId="98311" r:id="rId13" name="Drop Down 7">
              <controlPr defaultSize="0" print="0" autoLine="0" autoPict="0">
                <anchor moveWithCells="1">
                  <from>
                    <xdr:col>5</xdr:col>
                    <xdr:colOff>0</xdr:colOff>
                    <xdr:row>31</xdr:row>
                    <xdr:rowOff>0</xdr:rowOff>
                  </from>
                  <to>
                    <xdr:col>10</xdr:col>
                    <xdr:colOff>22860</xdr:colOff>
                    <xdr:row>32</xdr:row>
                    <xdr:rowOff>22860</xdr:rowOff>
                  </to>
                </anchor>
              </controlPr>
            </control>
          </mc:Choice>
        </mc:AlternateContent>
        <mc:AlternateContent xmlns:mc="http://schemas.openxmlformats.org/markup-compatibility/2006">
          <mc:Choice Requires="x14">
            <control shapeId="98312" r:id="rId14" name="Drop Down 8">
              <controlPr defaultSize="0" print="0" autoLine="0" autoPict="0">
                <anchor moveWithCells="1">
                  <from>
                    <xdr:col>5</xdr:col>
                    <xdr:colOff>0</xdr:colOff>
                    <xdr:row>32</xdr:row>
                    <xdr:rowOff>0</xdr:rowOff>
                  </from>
                  <to>
                    <xdr:col>10</xdr:col>
                    <xdr:colOff>22860</xdr:colOff>
                    <xdr:row>33</xdr:row>
                    <xdr:rowOff>22860</xdr:rowOff>
                  </to>
                </anchor>
              </controlPr>
            </control>
          </mc:Choice>
        </mc:AlternateContent>
        <mc:AlternateContent xmlns:mc="http://schemas.openxmlformats.org/markup-compatibility/2006">
          <mc:Choice Requires="x14">
            <control shapeId="98313" r:id="rId15" name="Drop Down 9">
              <controlPr defaultSize="0" print="0" autoLine="0" autoPict="0">
                <anchor moveWithCells="1">
                  <from>
                    <xdr:col>5</xdr:col>
                    <xdr:colOff>0</xdr:colOff>
                    <xdr:row>33</xdr:row>
                    <xdr:rowOff>0</xdr:rowOff>
                  </from>
                  <to>
                    <xdr:col>10</xdr:col>
                    <xdr:colOff>22860</xdr:colOff>
                    <xdr:row>34</xdr:row>
                    <xdr:rowOff>22860</xdr:rowOff>
                  </to>
                </anchor>
              </controlPr>
            </control>
          </mc:Choice>
        </mc:AlternateContent>
        <mc:AlternateContent xmlns:mc="http://schemas.openxmlformats.org/markup-compatibility/2006">
          <mc:Choice Requires="x14">
            <control shapeId="98314" r:id="rId16" name="Drop Down 10">
              <controlPr defaultSize="0" print="0" autoLine="0" autoPict="0">
                <anchor moveWithCells="1">
                  <from>
                    <xdr:col>5</xdr:col>
                    <xdr:colOff>0</xdr:colOff>
                    <xdr:row>34</xdr:row>
                    <xdr:rowOff>0</xdr:rowOff>
                  </from>
                  <to>
                    <xdr:col>10</xdr:col>
                    <xdr:colOff>22860</xdr:colOff>
                    <xdr:row>35</xdr:row>
                    <xdr:rowOff>22860</xdr:rowOff>
                  </to>
                </anchor>
              </controlPr>
            </control>
          </mc:Choice>
        </mc:AlternateContent>
        <mc:AlternateContent xmlns:mc="http://schemas.openxmlformats.org/markup-compatibility/2006">
          <mc:Choice Requires="x14">
            <control shapeId="98315" r:id="rId17" name="Drop Down 11">
              <controlPr defaultSize="0" print="0" autoLine="0" autoPict="0">
                <anchor moveWithCells="1">
                  <from>
                    <xdr:col>5</xdr:col>
                    <xdr:colOff>0</xdr:colOff>
                    <xdr:row>35</xdr:row>
                    <xdr:rowOff>0</xdr:rowOff>
                  </from>
                  <to>
                    <xdr:col>10</xdr:col>
                    <xdr:colOff>22860</xdr:colOff>
                    <xdr:row>36</xdr:row>
                    <xdr:rowOff>22860</xdr:rowOff>
                  </to>
                </anchor>
              </controlPr>
            </control>
          </mc:Choice>
        </mc:AlternateContent>
        <mc:AlternateContent xmlns:mc="http://schemas.openxmlformats.org/markup-compatibility/2006">
          <mc:Choice Requires="x14">
            <control shapeId="98316" r:id="rId18" name="Drop Down 12">
              <controlPr defaultSize="0" print="0" autoLine="0" autoPict="0">
                <anchor moveWithCells="1">
                  <from>
                    <xdr:col>5</xdr:col>
                    <xdr:colOff>0</xdr:colOff>
                    <xdr:row>37</xdr:row>
                    <xdr:rowOff>190500</xdr:rowOff>
                  </from>
                  <to>
                    <xdr:col>10</xdr:col>
                    <xdr:colOff>0</xdr:colOff>
                    <xdr:row>39</xdr:row>
                    <xdr:rowOff>0</xdr:rowOff>
                  </to>
                </anchor>
              </controlPr>
            </control>
          </mc:Choice>
        </mc:AlternateContent>
        <mc:AlternateContent xmlns:mc="http://schemas.openxmlformats.org/markup-compatibility/2006">
          <mc:Choice Requires="x14">
            <control shapeId="98317" r:id="rId19" name="Drop Down 13">
              <controlPr defaultSize="0" print="0" autoLine="0" autoPict="0">
                <anchor moveWithCells="1">
                  <from>
                    <xdr:col>5</xdr:col>
                    <xdr:colOff>0</xdr:colOff>
                    <xdr:row>39</xdr:row>
                    <xdr:rowOff>0</xdr:rowOff>
                  </from>
                  <to>
                    <xdr:col>10</xdr:col>
                    <xdr:colOff>0</xdr:colOff>
                    <xdr:row>40</xdr:row>
                    <xdr:rowOff>22860</xdr:rowOff>
                  </to>
                </anchor>
              </controlPr>
            </control>
          </mc:Choice>
        </mc:AlternateContent>
        <mc:AlternateContent xmlns:mc="http://schemas.openxmlformats.org/markup-compatibility/2006">
          <mc:Choice Requires="x14">
            <control shapeId="98318" r:id="rId20" name="Drop Down 14">
              <controlPr defaultSize="0" print="0" autoLine="0" autoPict="0">
                <anchor moveWithCells="1">
                  <from>
                    <xdr:col>5</xdr:col>
                    <xdr:colOff>0</xdr:colOff>
                    <xdr:row>63</xdr:row>
                    <xdr:rowOff>0</xdr:rowOff>
                  </from>
                  <to>
                    <xdr:col>10</xdr:col>
                    <xdr:colOff>22860</xdr:colOff>
                    <xdr:row>64</xdr:row>
                    <xdr:rowOff>22860</xdr:rowOff>
                  </to>
                </anchor>
              </controlPr>
            </control>
          </mc:Choice>
        </mc:AlternateContent>
        <mc:AlternateContent xmlns:mc="http://schemas.openxmlformats.org/markup-compatibility/2006">
          <mc:Choice Requires="x14">
            <control shapeId="98319" r:id="rId21" name="Drop Down 15">
              <controlPr defaultSize="0" print="0" autoLine="0" autoPict="0">
                <anchor moveWithCells="1">
                  <from>
                    <xdr:col>5</xdr:col>
                    <xdr:colOff>0</xdr:colOff>
                    <xdr:row>70</xdr:row>
                    <xdr:rowOff>0</xdr:rowOff>
                  </from>
                  <to>
                    <xdr:col>10</xdr:col>
                    <xdr:colOff>0</xdr:colOff>
                    <xdr:row>71</xdr:row>
                    <xdr:rowOff>22860</xdr:rowOff>
                  </to>
                </anchor>
              </controlPr>
            </control>
          </mc:Choice>
        </mc:AlternateContent>
        <mc:AlternateContent xmlns:mc="http://schemas.openxmlformats.org/markup-compatibility/2006">
          <mc:Choice Requires="x14">
            <control shapeId="98320" r:id="rId22" name="Drop Down 16">
              <controlPr defaultSize="0" print="0" autoLine="0" autoPict="0">
                <anchor moveWithCells="1">
                  <from>
                    <xdr:col>5</xdr:col>
                    <xdr:colOff>0</xdr:colOff>
                    <xdr:row>71</xdr:row>
                    <xdr:rowOff>0</xdr:rowOff>
                  </from>
                  <to>
                    <xdr:col>10</xdr:col>
                    <xdr:colOff>0</xdr:colOff>
                    <xdr:row>72</xdr:row>
                    <xdr:rowOff>22860</xdr:rowOff>
                  </to>
                </anchor>
              </controlPr>
            </control>
          </mc:Choice>
        </mc:AlternateContent>
        <mc:AlternateContent xmlns:mc="http://schemas.openxmlformats.org/markup-compatibility/2006">
          <mc:Choice Requires="x14">
            <control shapeId="98321" r:id="rId23" name="Drop Down 17">
              <controlPr defaultSize="0" print="0" autoLine="0" autoPict="0">
                <anchor moveWithCells="1">
                  <from>
                    <xdr:col>5</xdr:col>
                    <xdr:colOff>0</xdr:colOff>
                    <xdr:row>72</xdr:row>
                    <xdr:rowOff>0</xdr:rowOff>
                  </from>
                  <to>
                    <xdr:col>10</xdr:col>
                    <xdr:colOff>0</xdr:colOff>
                    <xdr:row>73</xdr:row>
                    <xdr:rowOff>22860</xdr:rowOff>
                  </to>
                </anchor>
              </controlPr>
            </control>
          </mc:Choice>
        </mc:AlternateContent>
        <mc:AlternateContent xmlns:mc="http://schemas.openxmlformats.org/markup-compatibility/2006">
          <mc:Choice Requires="x14">
            <control shapeId="98322" r:id="rId24" name="Drop Down 18">
              <controlPr defaultSize="0" print="0" autoLine="0" autoPict="0">
                <anchor moveWithCells="1">
                  <from>
                    <xdr:col>5</xdr:col>
                    <xdr:colOff>0</xdr:colOff>
                    <xdr:row>36</xdr:row>
                    <xdr:rowOff>0</xdr:rowOff>
                  </from>
                  <to>
                    <xdr:col>10</xdr:col>
                    <xdr:colOff>22860</xdr:colOff>
                    <xdr:row>37</xdr:row>
                    <xdr:rowOff>22860</xdr:rowOff>
                  </to>
                </anchor>
              </controlPr>
            </control>
          </mc:Choice>
        </mc:AlternateContent>
        <mc:AlternateContent xmlns:mc="http://schemas.openxmlformats.org/markup-compatibility/2006">
          <mc:Choice Requires="x14">
            <control shapeId="98323" r:id="rId25" name="Drop Down 19">
              <controlPr defaultSize="0" print="0" autoLine="0" autoPict="0">
                <anchor moveWithCells="1">
                  <from>
                    <xdr:col>5</xdr:col>
                    <xdr:colOff>0</xdr:colOff>
                    <xdr:row>35</xdr:row>
                    <xdr:rowOff>0</xdr:rowOff>
                  </from>
                  <to>
                    <xdr:col>10</xdr:col>
                    <xdr:colOff>22860</xdr:colOff>
                    <xdr:row>36</xdr:row>
                    <xdr:rowOff>22860</xdr:rowOff>
                  </to>
                </anchor>
              </controlPr>
            </control>
          </mc:Choice>
        </mc:AlternateContent>
        <mc:AlternateContent xmlns:mc="http://schemas.openxmlformats.org/markup-compatibility/2006">
          <mc:Choice Requires="x14">
            <control shapeId="98324" r:id="rId26" name="Drop Down 20">
              <controlPr defaultSize="0" print="0" autoLine="0" autoPict="0">
                <anchor moveWithCells="1">
                  <from>
                    <xdr:col>5</xdr:col>
                    <xdr:colOff>0</xdr:colOff>
                    <xdr:row>36</xdr:row>
                    <xdr:rowOff>0</xdr:rowOff>
                  </from>
                  <to>
                    <xdr:col>10</xdr:col>
                    <xdr:colOff>22860</xdr:colOff>
                    <xdr:row>37</xdr:row>
                    <xdr:rowOff>22860</xdr:rowOff>
                  </to>
                </anchor>
              </controlPr>
            </control>
          </mc:Choice>
        </mc:AlternateContent>
        <mc:AlternateContent xmlns:mc="http://schemas.openxmlformats.org/markup-compatibility/2006">
          <mc:Choice Requires="x14">
            <control shapeId="98325" r:id="rId27" name="Drop Down 21">
              <controlPr defaultSize="0" print="0" autoLine="0" autoPict="0">
                <anchor moveWithCells="1">
                  <from>
                    <xdr:col>5</xdr:col>
                    <xdr:colOff>0</xdr:colOff>
                    <xdr:row>64</xdr:row>
                    <xdr:rowOff>0</xdr:rowOff>
                  </from>
                  <to>
                    <xdr:col>10</xdr:col>
                    <xdr:colOff>22860</xdr:colOff>
                    <xdr:row>65</xdr:row>
                    <xdr:rowOff>22860</xdr:rowOff>
                  </to>
                </anchor>
              </controlPr>
            </control>
          </mc:Choice>
        </mc:AlternateContent>
        <mc:AlternateContent xmlns:mc="http://schemas.openxmlformats.org/markup-compatibility/2006">
          <mc:Choice Requires="x14">
            <control shapeId="98326" r:id="rId28" name="Drop Down 22">
              <controlPr defaultSize="0" print="0" autoLine="0" autoPict="0">
                <anchor moveWithCells="1">
                  <from>
                    <xdr:col>5</xdr:col>
                    <xdr:colOff>0</xdr:colOff>
                    <xdr:row>65</xdr:row>
                    <xdr:rowOff>0</xdr:rowOff>
                  </from>
                  <to>
                    <xdr:col>10</xdr:col>
                    <xdr:colOff>22860</xdr:colOff>
                    <xdr:row>66</xdr:row>
                    <xdr:rowOff>22860</xdr:rowOff>
                  </to>
                </anchor>
              </controlPr>
            </control>
          </mc:Choice>
        </mc:AlternateContent>
        <mc:AlternateContent xmlns:mc="http://schemas.openxmlformats.org/markup-compatibility/2006">
          <mc:Choice Requires="x14">
            <control shapeId="98327" r:id="rId29" name="Drop Down 23">
              <controlPr defaultSize="0" print="0" autoLine="0" autoPict="0">
                <anchor moveWithCells="1">
                  <from>
                    <xdr:col>5</xdr:col>
                    <xdr:colOff>0</xdr:colOff>
                    <xdr:row>66</xdr:row>
                    <xdr:rowOff>0</xdr:rowOff>
                  </from>
                  <to>
                    <xdr:col>10</xdr:col>
                    <xdr:colOff>22860</xdr:colOff>
                    <xdr:row>67</xdr:row>
                    <xdr:rowOff>22860</xdr:rowOff>
                  </to>
                </anchor>
              </controlPr>
            </control>
          </mc:Choice>
        </mc:AlternateContent>
        <mc:AlternateContent xmlns:mc="http://schemas.openxmlformats.org/markup-compatibility/2006">
          <mc:Choice Requires="x14">
            <control shapeId="98328" r:id="rId30" name="Drop Down 24">
              <controlPr defaultSize="0" print="0" autoLine="0" autoPict="0">
                <anchor moveWithCells="1">
                  <from>
                    <xdr:col>5</xdr:col>
                    <xdr:colOff>0</xdr:colOff>
                    <xdr:row>67</xdr:row>
                    <xdr:rowOff>0</xdr:rowOff>
                  </from>
                  <to>
                    <xdr:col>10</xdr:col>
                    <xdr:colOff>22860</xdr:colOff>
                    <xdr:row>68</xdr:row>
                    <xdr:rowOff>22860</xdr:rowOff>
                  </to>
                </anchor>
              </controlPr>
            </control>
          </mc:Choice>
        </mc:AlternateContent>
        <mc:AlternateContent xmlns:mc="http://schemas.openxmlformats.org/markup-compatibility/2006">
          <mc:Choice Requires="x14">
            <control shapeId="98329" r:id="rId31" name="Drop Down 25">
              <controlPr defaultSize="0" print="0" autoLine="0" autoPict="0">
                <anchor moveWithCells="1">
                  <from>
                    <xdr:col>5</xdr:col>
                    <xdr:colOff>0</xdr:colOff>
                    <xdr:row>68</xdr:row>
                    <xdr:rowOff>0</xdr:rowOff>
                  </from>
                  <to>
                    <xdr:col>10</xdr:col>
                    <xdr:colOff>22860</xdr:colOff>
                    <xdr:row>69</xdr:row>
                    <xdr:rowOff>60960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76">
    <tabColor rgb="FF00B050"/>
    <pageSetUpPr fitToPage="1"/>
  </sheetPr>
  <dimension ref="A1:AO206"/>
  <sheetViews>
    <sheetView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38.59765625" style="28" hidden="1" customWidth="1"/>
    <col min="18" max="27" width="10.5" style="27" hidden="1" customWidth="1"/>
    <col min="28" max="30" width="10.5" style="27" customWidth="1"/>
    <col min="31" max="16384" width="10.5" style="27"/>
  </cols>
  <sheetData>
    <row r="1" spans="1:41" s="219" customFormat="1" ht="30.15" customHeight="1">
      <c r="A1" s="1681"/>
      <c r="B1" s="258"/>
      <c r="C1" s="1333"/>
      <c r="D1" s="100"/>
      <c r="E1" s="255"/>
      <c r="F1" s="255"/>
      <c r="G1" s="3180"/>
      <c r="H1" s="3180"/>
      <c r="I1" s="3213" t="s">
        <v>1679</v>
      </c>
      <c r="J1" s="3210">
        <f>(J7+J13+J18+J22+I11+I12)-(J23+J27+J34+J43+J60+J65+J67+J69+J71+J75)</f>
        <v>529.14829587728332</v>
      </c>
      <c r="K1" s="4360">
        <f>M1-J1</f>
        <v>150.22000000000003</v>
      </c>
      <c r="L1" s="4360"/>
      <c r="M1" s="3210">
        <f>(M7+M13+M18+M22+L11+L12)-(M23+M27+M34+M43+M60+M65+M67+M69+M71+M75)</f>
        <v>679.36829587728334</v>
      </c>
      <c r="N1" s="4360">
        <f>P1-M1</f>
        <v>150.21999999999991</v>
      </c>
      <c r="O1" s="4360"/>
      <c r="P1" s="3210">
        <f>(P7+P13+P18+P22+O11+O12)-(P23+P27+P34+P43+P60+P65+P67+P69+P71+P75)</f>
        <v>829.58829587728326</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1752</v>
      </c>
      <c r="L2" s="4372"/>
      <c r="M2" s="4372"/>
      <c r="N2" s="4372"/>
      <c r="O2" s="4372"/>
      <c r="P2" s="4372"/>
      <c r="Q2" s="1681"/>
    </row>
    <row r="3" spans="1:41" s="219" customFormat="1" ht="32.4" customHeight="1">
      <c r="A3" s="1681"/>
      <c r="B3" s="4405" t="s">
        <v>1727</v>
      </c>
      <c r="C3" s="4405"/>
      <c r="D3" s="4405"/>
      <c r="E3" s="4405"/>
      <c r="F3" s="4405"/>
      <c r="G3" s="4405"/>
      <c r="H3" s="4405"/>
      <c r="J3" s="29"/>
      <c r="K3" s="29"/>
      <c r="L3" s="29"/>
      <c r="M3" s="29"/>
      <c r="N3" s="4444" t="str">
        <f>IF(AND(T3=TRUE,T4=TRUE),"nur 1 Strohnutzung möglich","")</f>
        <v/>
      </c>
      <c r="O3" s="4374"/>
      <c r="P3" s="1326"/>
      <c r="Q3" s="1681"/>
      <c r="T3" s="1343"/>
    </row>
    <row r="4" spans="1:41" s="219" customFormat="1" ht="20.25" customHeight="1">
      <c r="A4" s="1681"/>
      <c r="B4" s="309" t="s">
        <v>779</v>
      </c>
      <c r="C4" s="27"/>
      <c r="D4" s="27"/>
      <c r="E4" s="4406" t="s">
        <v>1137</v>
      </c>
      <c r="F4" s="4406"/>
      <c r="G4" s="4406"/>
      <c r="H4" s="4406"/>
      <c r="I4" s="4406"/>
      <c r="J4" s="29"/>
      <c r="K4" s="29"/>
      <c r="L4" s="29"/>
      <c r="M4" s="29"/>
      <c r="N4" s="4374"/>
      <c r="O4" s="4374"/>
      <c r="P4" s="1322">
        <f>SDÖ1!O3</f>
        <v>2024</v>
      </c>
      <c r="Q4" s="1681"/>
      <c r="T4" s="1343"/>
    </row>
    <row r="5" spans="1:41" ht="6" customHeight="1"/>
    <row r="6" spans="1:41" s="1311" customFormat="1" ht="24" customHeight="1">
      <c r="A6" s="41"/>
      <c r="B6" s="1316" t="s">
        <v>832</v>
      </c>
      <c r="C6" s="1315"/>
      <c r="D6" s="1315"/>
      <c r="E6" s="1315" t="s">
        <v>1134</v>
      </c>
      <c r="F6" s="1315"/>
      <c r="G6" s="1314"/>
      <c r="H6" s="4366" t="s">
        <v>171</v>
      </c>
      <c r="I6" s="4367"/>
      <c r="J6" s="1313">
        <v>400</v>
      </c>
      <c r="K6" s="4379" t="s">
        <v>144</v>
      </c>
      <c r="L6" s="4380"/>
      <c r="M6" s="1313">
        <v>500</v>
      </c>
      <c r="N6" s="4366" t="s">
        <v>170</v>
      </c>
      <c r="O6" s="4367"/>
      <c r="P6" s="1312">
        <v>600</v>
      </c>
      <c r="Q6" s="49"/>
    </row>
    <row r="7" spans="1:41" s="196" customFormat="1" ht="18.75" customHeight="1">
      <c r="A7" s="40"/>
      <c r="B7" s="245" t="s">
        <v>1133</v>
      </c>
      <c r="C7" s="40"/>
      <c r="D7" s="40"/>
      <c r="E7" s="40"/>
      <c r="F7" s="40"/>
      <c r="G7" s="1310" t="s">
        <v>163</v>
      </c>
      <c r="H7" s="1307"/>
      <c r="I7" s="1306"/>
      <c r="J7" s="1041">
        <f>SUM(I9:I10)</f>
        <v>0</v>
      </c>
      <c r="K7" s="1309"/>
      <c r="L7" s="1308"/>
      <c r="M7" s="1044">
        <f>SUM(L9:L10)</f>
        <v>0</v>
      </c>
      <c r="N7" s="1307"/>
      <c r="O7" s="1306"/>
      <c r="P7" s="1041">
        <f>SUM(O9:O10)</f>
        <v>0</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c r="G9" s="1221"/>
      <c r="H9" s="1303">
        <f>J6-H10</f>
        <v>400</v>
      </c>
      <c r="I9" s="1299">
        <f>H9*G9</f>
        <v>0</v>
      </c>
      <c r="J9" s="37"/>
      <c r="K9" s="1302">
        <f>M6-K10</f>
        <v>500</v>
      </c>
      <c r="L9" s="1301">
        <f>K9*G9</f>
        <v>0</v>
      </c>
      <c r="M9" s="1280"/>
      <c r="N9" s="1300">
        <f>P6-N10</f>
        <v>600</v>
      </c>
      <c r="O9" s="1299">
        <f>N9*G9</f>
        <v>0</v>
      </c>
      <c r="P9" s="37"/>
      <c r="Q9" s="28"/>
      <c r="R9" s="517"/>
      <c r="S9" s="208" t="s">
        <v>887</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customHeight="1">
      <c r="A11" s="309"/>
      <c r="B11" s="217"/>
      <c r="C11" s="39" t="s">
        <v>878</v>
      </c>
      <c r="D11" s="309"/>
      <c r="E11" s="1286">
        <v>0</v>
      </c>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37"/>
      <c r="Q11" s="34"/>
      <c r="W11" s="1268" t="s">
        <v>876</v>
      </c>
    </row>
    <row r="12" spans="1:41" s="1268" customFormat="1" ht="15"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t="str">
        <f>IF(OR(T3=TRUE,T4=TRUE),J6*$E$11,"0")</f>
        <v>0</v>
      </c>
      <c r="Y12" s="1265" t="str">
        <f>IF(OR(T3=TRUE,T4=TRUE),M6*$E$11,"0")</f>
        <v>0</v>
      </c>
      <c r="Z12" s="1264" t="str">
        <f>IF(OR(T3=TRUE,T4=TRUE),P6*$E$11,"0")</f>
        <v>0</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W13" s="36" t="s">
        <v>236</v>
      </c>
      <c r="X13" s="1260">
        <f>$X$12*F30</f>
        <v>0</v>
      </c>
      <c r="Y13" s="1260">
        <f>$Y$12*F30</f>
        <v>0</v>
      </c>
      <c r="Z13" s="1260">
        <f>$Z$12*F30</f>
        <v>0</v>
      </c>
    </row>
    <row r="14" spans="1:41" s="36" customFormat="1" ht="15" customHeight="1">
      <c r="A14" s="39"/>
      <c r="B14" s="1247"/>
      <c r="C14" s="4365" t="s">
        <v>1511</v>
      </c>
      <c r="D14" s="4365"/>
      <c r="E14" s="4365"/>
      <c r="F14" s="4365"/>
      <c r="G14" s="1263"/>
      <c r="H14" s="1391" t="s">
        <v>919</v>
      </c>
      <c r="I14" s="1243">
        <f>IF(H14="ja",Q14,0)</f>
        <v>240</v>
      </c>
      <c r="J14" s="39"/>
      <c r="K14" s="1262" t="s">
        <v>919</v>
      </c>
      <c r="L14" s="1098">
        <f>IF(K14="ja",Q14,0)</f>
        <v>240</v>
      </c>
      <c r="M14" s="1016"/>
      <c r="N14" s="1262" t="s">
        <v>919</v>
      </c>
      <c r="O14" s="1243">
        <f>IF(N14="ja",Q14,0)</f>
        <v>240</v>
      </c>
      <c r="P14" s="1013"/>
      <c r="Q14" s="1261">
        <f>IF(C14=0,0,VLOOKUP(C14,'SD2'!$C$11:$O$50,'SD2'!$O$1,FALSE))</f>
        <v>240</v>
      </c>
      <c r="R14" s="1350"/>
      <c r="S14" s="1349"/>
      <c r="T14" s="1348"/>
      <c r="W14" s="36" t="s">
        <v>685</v>
      </c>
      <c r="X14" s="1260">
        <f>$X$12*F31</f>
        <v>0</v>
      </c>
      <c r="Y14" s="1260">
        <f>$Y$12*F31</f>
        <v>0</v>
      </c>
      <c r="Z14" s="1260">
        <f>$Z$12*F31</f>
        <v>0</v>
      </c>
    </row>
    <row r="15" spans="1:41" s="36" customFormat="1" ht="15" customHeight="1">
      <c r="A15" s="39"/>
      <c r="B15" s="1247"/>
      <c r="C15" s="4365"/>
      <c r="D15" s="4365"/>
      <c r="E15" s="4365"/>
      <c r="F15" s="4365"/>
      <c r="G15" s="1263"/>
      <c r="H15" s="1262" t="s">
        <v>919</v>
      </c>
      <c r="I15" s="1243">
        <f>IF(H15="ja",Q15,0)</f>
        <v>0</v>
      </c>
      <c r="J15" s="39"/>
      <c r="K15" s="1262" t="s">
        <v>919</v>
      </c>
      <c r="L15" s="1098">
        <f>IF(K15="ja",Q15,0)</f>
        <v>0</v>
      </c>
      <c r="M15" s="1016"/>
      <c r="N15" s="1262" t="s">
        <v>919</v>
      </c>
      <c r="O15" s="1243">
        <f>IF(N15="ja",Q15,0)</f>
        <v>0</v>
      </c>
      <c r="P15" s="1013"/>
      <c r="Q15" s="1261">
        <f>IF(C15=0,0,VLOOKUP(C15,'SD2'!$C$11:$O$50,'SD2'!$O$1,FALSE))</f>
        <v>0</v>
      </c>
      <c r="R15" s="1347"/>
      <c r="S15" s="1343"/>
      <c r="T15" s="1346"/>
      <c r="W15" s="36" t="s">
        <v>684</v>
      </c>
      <c r="X15" s="1260">
        <f>$X$12*F32</f>
        <v>0</v>
      </c>
      <c r="Y15" s="1260">
        <f>$Y$12*F32</f>
        <v>0</v>
      </c>
      <c r="Z15" s="1260">
        <f>$Z$12*F32</f>
        <v>0</v>
      </c>
    </row>
    <row r="16" spans="1:41" s="36" customFormat="1" ht="15" customHeight="1">
      <c r="A16" s="39"/>
      <c r="B16" s="1247"/>
      <c r="C16" s="4365"/>
      <c r="D16" s="4365"/>
      <c r="E16" s="4365"/>
      <c r="F16" s="4365"/>
      <c r="G16" s="1263"/>
      <c r="H16" s="1262" t="s">
        <v>871</v>
      </c>
      <c r="I16" s="1243">
        <f>IF(H16="ja",Q16,0)</f>
        <v>0</v>
      </c>
      <c r="J16" s="39"/>
      <c r="K16" s="1262" t="s">
        <v>871</v>
      </c>
      <c r="L16" s="1098">
        <f>IF(K16="ja",Q16,0)</f>
        <v>0</v>
      </c>
      <c r="M16" s="1016"/>
      <c r="N16" s="1262" t="s">
        <v>871</v>
      </c>
      <c r="O16" s="1243">
        <f>IF(N16="ja",Q16,0)</f>
        <v>0</v>
      </c>
      <c r="P16" s="1013"/>
      <c r="Q16" s="1261">
        <f>IF(C16=0,0,VLOOKUP(C16,'SD2'!$C$11:$O$50,'SD2'!$O$1,FALSE))</f>
        <v>0</v>
      </c>
      <c r="R16" s="1347"/>
      <c r="S16" s="1343"/>
      <c r="T16" s="1346"/>
      <c r="W16" s="36" t="s">
        <v>230</v>
      </c>
      <c r="X16" s="1260">
        <f>$X$12*F33</f>
        <v>0</v>
      </c>
      <c r="Y16" s="1260">
        <f>$Y$12*F33</f>
        <v>0</v>
      </c>
      <c r="Z16" s="1260">
        <f>$Z$12*F33</f>
        <v>0</v>
      </c>
    </row>
    <row r="17" spans="1:20" s="511" customFormat="1" ht="15" customHeight="1">
      <c r="A17" s="40"/>
      <c r="B17" s="1247"/>
      <c r="C17" s="4365"/>
      <c r="D17" s="4365"/>
      <c r="E17" s="4365"/>
      <c r="F17" s="4365"/>
      <c r="G17" s="1263"/>
      <c r="H17" s="1262" t="s">
        <v>871</v>
      </c>
      <c r="I17" s="1243">
        <f>IF(H17="ja",Q17,0)</f>
        <v>0</v>
      </c>
      <c r="J17" s="39"/>
      <c r="K17" s="1262" t="s">
        <v>871</v>
      </c>
      <c r="L17" s="1098">
        <f>IF(K17="ja",Q17,0)</f>
        <v>0</v>
      </c>
      <c r="M17" s="1016"/>
      <c r="N17" s="1262" t="s">
        <v>871</v>
      </c>
      <c r="O17" s="1243">
        <f>IF(N17="ja",Q17,0)</f>
        <v>0</v>
      </c>
      <c r="P17" s="1013"/>
      <c r="Q17" s="1261">
        <f>IF(C17=0,0,VLOOKUP(C17,'SD2'!$C$11:$O$50,'SD2'!$O$1,FALSE))</f>
        <v>0</v>
      </c>
    </row>
    <row r="18" spans="1:20" s="36" customFormat="1" ht="18.75" customHeight="1">
      <c r="A18" s="39"/>
      <c r="B18" s="209" t="s">
        <v>1563</v>
      </c>
      <c r="C18" s="1672"/>
      <c r="D18" s="1672"/>
      <c r="E18" s="1672"/>
      <c r="F18" s="1672"/>
      <c r="G18" s="2464"/>
      <c r="H18" s="2249"/>
      <c r="I18" s="2465"/>
      <c r="J18" s="1041">
        <f>SUM(I19:I21)</f>
        <v>177</v>
      </c>
      <c r="K18" s="2250"/>
      <c r="L18" s="2466"/>
      <c r="M18" s="1044">
        <f>SUM(L19:L21)</f>
        <v>177</v>
      </c>
      <c r="N18" s="2249"/>
      <c r="O18" s="2465"/>
      <c r="P18" s="1041">
        <f>SUM(O19:O21)</f>
        <v>177</v>
      </c>
      <c r="Q18" s="28"/>
      <c r="R18" s="514" t="s">
        <v>870</v>
      </c>
      <c r="S18" s="308"/>
      <c r="T18" s="1248"/>
    </row>
    <row r="19" spans="1:20" ht="15.6" customHeight="1">
      <c r="A19" s="309"/>
      <c r="B19" s="1247"/>
      <c r="C19" s="4365" t="s">
        <v>1560</v>
      </c>
      <c r="D19" s="4365"/>
      <c r="E19" s="4365"/>
      <c r="F19" s="4365"/>
      <c r="G19" s="2914"/>
      <c r="H19" s="1244"/>
      <c r="I19" s="2839">
        <f>IF(OR($C19=0,$J$6=0),0,VLOOKUP($C19,'SD2'!C60:O78,12,FALSE))</f>
        <v>155</v>
      </c>
      <c r="J19" s="39"/>
      <c r="K19" s="1245"/>
      <c r="L19" s="1098">
        <f>IF(OR($C19=0,$M$6=0),0,VLOOKUP($C19,'SD2'!$C$60:$O$78,12,FALSE))</f>
        <v>155</v>
      </c>
      <c r="M19" s="1016"/>
      <c r="N19" s="1244"/>
      <c r="O19" s="1243">
        <f>IF(OR($C19=0,$P$6=0),0,VLOOKUP($C19,'SD2'!C60:O78,12,FALSE))</f>
        <v>155</v>
      </c>
      <c r="P19" s="1013"/>
      <c r="Q19" s="2189"/>
      <c r="R19" s="1242">
        <f>J13+J18</f>
        <v>417</v>
      </c>
      <c r="S19" s="1242">
        <f>M13+M18</f>
        <v>417</v>
      </c>
      <c r="T19" s="1242">
        <f>P13+P18</f>
        <v>417</v>
      </c>
    </row>
    <row r="20" spans="1:20" s="2894" customFormat="1" ht="15.6" customHeight="1">
      <c r="A20" s="2788"/>
      <c r="B20" s="1247"/>
      <c r="C20" s="4365" t="s">
        <v>1675</v>
      </c>
      <c r="D20" s="4365"/>
      <c r="E20" s="4365"/>
      <c r="F20" s="4365"/>
      <c r="G20" s="2914"/>
      <c r="H20" s="1244"/>
      <c r="I20" s="2839">
        <f>IF(OR($C20=0,$J$6=0),0,VLOOKUP($C20,'SD2'!C61:O79,12,FALSE))</f>
        <v>22</v>
      </c>
      <c r="J20" s="2783"/>
      <c r="K20" s="1245"/>
      <c r="L20" s="2829">
        <f>IF(OR($C20=0,$M$6=0),0,VLOOKUP($C20,'SD2'!$C$60:$O$78,12,FALSE))</f>
        <v>22</v>
      </c>
      <c r="M20" s="2795"/>
      <c r="N20" s="1244"/>
      <c r="O20" s="2839">
        <f>IF(OR($C20=0,$P$6=0),0,VLOOKUP($C20,'SD2'!C61:O79,12,FALSE))</f>
        <v>22</v>
      </c>
      <c r="P20" s="1013"/>
      <c r="Q20" s="2895"/>
      <c r="R20" s="2888"/>
      <c r="S20" s="2888"/>
      <c r="T20" s="2888"/>
    </row>
    <row r="21" spans="1:20" s="2894" customFormat="1" ht="15.6" customHeight="1">
      <c r="A21" s="2788"/>
      <c r="B21" s="1247"/>
      <c r="C21" s="4365"/>
      <c r="D21" s="4365"/>
      <c r="E21" s="4365"/>
      <c r="F21" s="4365"/>
      <c r="G21" s="1246"/>
      <c r="H21" s="1244"/>
      <c r="I21" s="2839">
        <f>IF(OR($C21=0,$J$6=0),0,VLOOKUP($C21,'SD2'!C62:O79,12,FALSE))</f>
        <v>0</v>
      </c>
      <c r="J21" s="2783"/>
      <c r="K21" s="1245"/>
      <c r="L21" s="2829">
        <f>IF(OR($C21=0,$M$6=0),0,VLOOKUP($C21,'SD2'!$C$60:$O$78,12,FALSE))</f>
        <v>0</v>
      </c>
      <c r="M21" s="2795"/>
      <c r="N21" s="1244"/>
      <c r="O21" s="2839">
        <f>IF(OR($C21=0,$P$6=0),0,VLOOKUP($C21,'SD2'!C62:O79,12,FALSE))</f>
        <v>0</v>
      </c>
      <c r="P21" s="1013"/>
      <c r="Q21" s="2895"/>
      <c r="R21" s="2888"/>
      <c r="S21" s="2888"/>
      <c r="T21" s="2888"/>
    </row>
    <row r="22" spans="1:20" ht="15.6" customHeight="1">
      <c r="A22" s="309"/>
      <c r="B22" s="245" t="s">
        <v>869</v>
      </c>
      <c r="C22" s="39"/>
      <c r="D22" s="1234"/>
      <c r="E22" s="4370" t="s">
        <v>868</v>
      </c>
      <c r="F22" s="4370"/>
      <c r="G22" s="4371"/>
      <c r="H22" s="1231"/>
      <c r="I22" s="1230"/>
      <c r="J22" s="1229"/>
      <c r="K22" s="1233"/>
      <c r="L22" s="1232"/>
      <c r="M22" s="1229"/>
      <c r="N22" s="1231"/>
      <c r="O22" s="1230"/>
      <c r="P22" s="1229"/>
    </row>
    <row r="23" spans="1:20" s="36" customFormat="1" ht="18.75" customHeight="1">
      <c r="A23" s="746"/>
      <c r="B23" s="209" t="s">
        <v>214</v>
      </c>
      <c r="C23" s="1228"/>
      <c r="D23" s="1228"/>
      <c r="E23" s="34"/>
      <c r="F23" s="4381"/>
      <c r="G23" s="4382" t="s">
        <v>163</v>
      </c>
      <c r="H23" s="1043"/>
      <c r="I23" s="1042"/>
      <c r="J23" s="1026">
        <f>SUM(I25:I26)</f>
        <v>244.5</v>
      </c>
      <c r="K23" s="1046"/>
      <c r="L23" s="1045"/>
      <c r="M23" s="1227">
        <f>SUM(L25:L26)</f>
        <v>244.5</v>
      </c>
      <c r="N23" s="1043"/>
      <c r="O23" s="1042"/>
      <c r="P23" s="1026">
        <f>SUM(O25:O26)</f>
        <v>244.5</v>
      </c>
      <c r="Q23" s="28"/>
    </row>
    <row r="24" spans="1:20"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20" s="511" customFormat="1" ht="18.75" customHeight="1">
      <c r="A25" s="711"/>
      <c r="B25" s="1223"/>
      <c r="C25" s="746" t="s">
        <v>866</v>
      </c>
      <c r="D25" s="4383"/>
      <c r="E25" s="4384"/>
      <c r="F25" s="1222">
        <f>SDÖ7!F28/100</f>
        <v>8.15</v>
      </c>
      <c r="G25" s="1221">
        <f>F25*(100+$D$24)/100</f>
        <v>8.15</v>
      </c>
      <c r="H25" s="1220">
        <v>30</v>
      </c>
      <c r="I25" s="1181">
        <f>H25*$G25</f>
        <v>244.5</v>
      </c>
      <c r="J25" s="39"/>
      <c r="K25" s="1220">
        <f>H25</f>
        <v>30</v>
      </c>
      <c r="L25" s="1023">
        <f>K25*$G25</f>
        <v>244.5</v>
      </c>
      <c r="M25" s="1016"/>
      <c r="N25" s="1220">
        <f>H25</f>
        <v>30</v>
      </c>
      <c r="O25" s="1181">
        <f>N25*$G25</f>
        <v>244.5</v>
      </c>
      <c r="P25" s="1145"/>
      <c r="Q25" s="28"/>
    </row>
    <row r="26" spans="1:20"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20" s="511" customFormat="1" ht="17.399999999999999" customHeight="1">
      <c r="A27" s="711"/>
      <c r="B27" s="1215" t="s">
        <v>213</v>
      </c>
      <c r="C27" s="711"/>
      <c r="D27" s="51"/>
      <c r="E27" s="34"/>
      <c r="F27" s="34"/>
      <c r="G27" s="1214" t="s">
        <v>163</v>
      </c>
      <c r="H27" s="1173"/>
      <c r="I27" s="1172"/>
      <c r="J27" s="1041">
        <f>SUM(I30:I32)</f>
        <v>-497.28</v>
      </c>
      <c r="K27" s="1175"/>
      <c r="L27" s="1174"/>
      <c r="M27" s="1044">
        <f>SUM(L30:L32)</f>
        <v>-647.5</v>
      </c>
      <c r="N27" s="1173"/>
      <c r="O27" s="1172"/>
      <c r="P27" s="1041">
        <f>SUM(O30:O32)</f>
        <v>-797.71999999999991</v>
      </c>
      <c r="Q27" s="28"/>
    </row>
    <row r="28" spans="1:20" s="36" customFormat="1" ht="15" customHeight="1">
      <c r="A28" s="746"/>
      <c r="B28" s="774"/>
      <c r="C28" s="2224"/>
      <c r="D28" s="1213" t="s">
        <v>706</v>
      </c>
      <c r="E28" s="1213" t="s">
        <v>864</v>
      </c>
      <c r="F28" s="1213" t="s">
        <v>864</v>
      </c>
      <c r="G28" s="1212" t="s">
        <v>863</v>
      </c>
      <c r="H28" s="1172"/>
      <c r="I28" s="1209"/>
      <c r="J28" s="2225"/>
      <c r="K28" s="1175"/>
      <c r="L28" s="1105"/>
      <c r="M28" s="1210"/>
      <c r="N28" s="1173"/>
      <c r="O28" s="1209"/>
      <c r="P28" s="1026"/>
      <c r="Q28" s="28"/>
    </row>
    <row r="29" spans="1:20" s="36" customFormat="1" ht="15" customHeight="1">
      <c r="A29" s="746"/>
      <c r="B29" s="1208"/>
      <c r="C29" s="747" t="s">
        <v>862</v>
      </c>
      <c r="D29" s="1034" t="s">
        <v>611</v>
      </c>
      <c r="E29" s="1034" t="s">
        <v>861</v>
      </c>
      <c r="F29" s="1034" t="s">
        <v>860</v>
      </c>
      <c r="G29" s="1034" t="s">
        <v>1128</v>
      </c>
      <c r="H29" s="1205" t="s">
        <v>612</v>
      </c>
      <c r="I29" s="1027" t="s">
        <v>163</v>
      </c>
      <c r="J29" s="2224"/>
      <c r="K29" s="1207" t="s">
        <v>612</v>
      </c>
      <c r="L29" s="1030" t="s">
        <v>163</v>
      </c>
      <c r="M29" s="1206"/>
      <c r="N29" s="1205" t="s">
        <v>612</v>
      </c>
      <c r="O29" s="1027" t="s">
        <v>163</v>
      </c>
      <c r="P29" s="1204"/>
      <c r="Q29" s="28"/>
    </row>
    <row r="30" spans="1:20" s="36" customFormat="1" ht="15" customHeight="1">
      <c r="A30" s="746"/>
      <c r="B30" s="1203"/>
      <c r="C30" s="1202" t="s">
        <v>236</v>
      </c>
      <c r="D30" s="1150">
        <f>SDÖ1!O56</f>
        <v>5.18</v>
      </c>
      <c r="E30" s="1201">
        <f>VLOOKUP($K$2,'SD8'!$B$9:$K$44,3,FALSE)</f>
        <v>-1.45</v>
      </c>
      <c r="F30" s="1201"/>
      <c r="G30" s="1200">
        <v>20</v>
      </c>
      <c r="H30" s="1198">
        <f>IF(J$6=0,0,(J$6*0.2*$E30+$G30+X13))</f>
        <v>-96</v>
      </c>
      <c r="I30" s="1181">
        <f>H30*$D30</f>
        <v>-497.28</v>
      </c>
      <c r="J30" s="39"/>
      <c r="K30" s="1199">
        <f>IF(M$6=0,0,(M$6*0.2*$E30+$G30+AA13))</f>
        <v>-125</v>
      </c>
      <c r="L30" s="1023">
        <f>K30*$D30</f>
        <v>-647.5</v>
      </c>
      <c r="M30" s="1016"/>
      <c r="N30" s="1198">
        <f>IF(P$6=0,0,(P$6*0.2*$E30+$G30+AD13))</f>
        <v>-154</v>
      </c>
      <c r="O30" s="1181">
        <f>N30*$D30</f>
        <v>-797.71999999999991</v>
      </c>
      <c r="P30" s="1145"/>
      <c r="Q30" s="28"/>
    </row>
    <row r="31" spans="1:20" s="36" customFormat="1" ht="15" customHeight="1">
      <c r="A31" s="746"/>
      <c r="B31" s="217"/>
      <c r="C31" s="746" t="s">
        <v>234</v>
      </c>
      <c r="D31" s="1150">
        <f>SDÖ1!O57</f>
        <v>1.42</v>
      </c>
      <c r="E31" s="1201">
        <v>0</v>
      </c>
      <c r="F31" s="1201"/>
      <c r="G31" s="1200"/>
      <c r="H31" s="1198">
        <f>IF(J$6=0,0,(J$6*0.2*$E31+$G31+X14))</f>
        <v>0</v>
      </c>
      <c r="I31" s="1181">
        <f>H31*$D31</f>
        <v>0</v>
      </c>
      <c r="J31" s="39"/>
      <c r="K31" s="1199">
        <f>IF(M$6=0,0,(M$6*0.2*$E31+$G31+AA14))</f>
        <v>0</v>
      </c>
      <c r="L31" s="1023">
        <f>K31*$D31</f>
        <v>0</v>
      </c>
      <c r="M31" s="1016"/>
      <c r="N31" s="1198">
        <f>IF(P$6=0,0,(P$6*0.2*$E31+$G31+AD14))</f>
        <v>0</v>
      </c>
      <c r="O31" s="1181">
        <f>N31*$D31</f>
        <v>0</v>
      </c>
      <c r="P31" s="1145"/>
      <c r="Q31" s="28"/>
    </row>
    <row r="32" spans="1:20" s="511" customFormat="1" ht="18.75" customHeight="1">
      <c r="A32" s="711"/>
      <c r="B32" s="185"/>
      <c r="C32" s="2791" t="s">
        <v>232</v>
      </c>
      <c r="D32" s="1133">
        <f>SDÖ1!O58</f>
        <v>1.78</v>
      </c>
      <c r="E32" s="1197">
        <v>0</v>
      </c>
      <c r="F32" s="2609"/>
      <c r="G32" s="1200"/>
      <c r="H32" s="1194">
        <f>IF(J$6=0,0,(J$6*0.2*$E32+$G32+X15))</f>
        <v>0</v>
      </c>
      <c r="I32" s="1177">
        <f>H32*$D32</f>
        <v>0</v>
      </c>
      <c r="J32" s="223"/>
      <c r="K32" s="1195">
        <f>IF(M$6=0,0,(M$6*0.2*$E32+$G32+AA15))</f>
        <v>0</v>
      </c>
      <c r="L32" s="1017">
        <f>K32*$D32</f>
        <v>0</v>
      </c>
      <c r="M32" s="1256"/>
      <c r="N32" s="1194">
        <f>IF(P$6=0,0,(P$6*0.2*$E32+$G32+AD15))</f>
        <v>0</v>
      </c>
      <c r="O32" s="1177">
        <f>N32*$D32</f>
        <v>0</v>
      </c>
      <c r="P32" s="1176"/>
      <c r="Q32" s="28"/>
    </row>
    <row r="33" spans="1:17" s="511" customFormat="1" ht="13.2" hidden="1" customHeight="1">
      <c r="A33" s="711"/>
      <c r="B33" s="185"/>
      <c r="C33" s="771" t="s">
        <v>230</v>
      </c>
      <c r="D33" s="1133">
        <f>SDÖ1!P59</f>
        <v>0.5</v>
      </c>
      <c r="E33" s="2609">
        <v>0</v>
      </c>
      <c r="F33" s="1197"/>
      <c r="G33" s="1196"/>
      <c r="H33" s="1198">
        <f>IF(J$6=0,0,(J$6*0.2*$E33+$G33+X16))</f>
        <v>0</v>
      </c>
      <c r="I33" s="1181">
        <f>H33*$D33</f>
        <v>0</v>
      </c>
      <c r="J33" s="39"/>
      <c r="K33" s="1195">
        <f>IF(M$6=0,0,(M$6*0.2*$E33+$G33+AA16))</f>
        <v>0</v>
      </c>
      <c r="L33" s="1023">
        <f>K33*$D33</f>
        <v>0</v>
      </c>
      <c r="M33" s="1016"/>
      <c r="N33" s="1194">
        <f>IF(P$6=0,0,(P$6*0.2*$E33+$G33+AD16))</f>
        <v>0</v>
      </c>
      <c r="O33" s="1181">
        <f>N33*$D33</f>
        <v>0</v>
      </c>
      <c r="P33" s="1145"/>
      <c r="Q33" s="28"/>
    </row>
    <row r="34" spans="1:17" s="36" customFormat="1" ht="15" customHeight="1">
      <c r="A34" s="746"/>
      <c r="B34" s="716" t="s">
        <v>212</v>
      </c>
      <c r="C34" s="711"/>
      <c r="D34" s="2224"/>
      <c r="E34" s="2224"/>
      <c r="F34" s="4381"/>
      <c r="G34" s="4382" t="s">
        <v>163</v>
      </c>
      <c r="H34" s="2251"/>
      <c r="I34" s="2252"/>
      <c r="J34" s="1041">
        <f>SUM(I36:I42)</f>
        <v>0</v>
      </c>
      <c r="K34" s="2253"/>
      <c r="L34" s="2254"/>
      <c r="M34" s="1044">
        <f>SUM(L36:L42)</f>
        <v>0</v>
      </c>
      <c r="N34" s="2251"/>
      <c r="O34" s="2252"/>
      <c r="P34" s="1041">
        <f>SUM(O36:O42)</f>
        <v>0</v>
      </c>
      <c r="Q34" s="34"/>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34"/>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1182"/>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136.19031709000001</v>
      </c>
      <c r="K43" s="1175"/>
      <c r="L43" s="1174"/>
      <c r="M43" s="1044">
        <f>SUM(M46:M57)</f>
        <v>136.19031709000001</v>
      </c>
      <c r="N43" s="1173"/>
      <c r="O43" s="1172"/>
      <c r="P43" s="1041">
        <f>SUM(P46:P57)</f>
        <v>136.19031709000001</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7"/>
      <c r="C46" s="4363" t="s">
        <v>1589</v>
      </c>
      <c r="D46" s="4364"/>
      <c r="E46" s="1152">
        <f>IF($C46=0,0,VLOOKUP($C46,'SD3'!$C$24:$O$71,4,FALSE))</f>
        <v>120</v>
      </c>
      <c r="F46" s="1151">
        <f>IF($C46=0,0,VLOOKUP($C46,'SD3'!$C$24:$O$71,12,FALSE))</f>
        <v>1.38</v>
      </c>
      <c r="G46" s="1150">
        <f>IF($C46=0,0,VLOOKUP($C46,'SD3'!$C$24:$O$71,13,FALSE))</f>
        <v>64.642445999999993</v>
      </c>
      <c r="H46" s="1155">
        <v>0.5</v>
      </c>
      <c r="I46" s="1154">
        <f t="shared" ref="I46:I57" si="4">$F46*H46</f>
        <v>0.69</v>
      </c>
      <c r="J46" s="1145">
        <f t="shared" ref="J46:J57" si="5">H46*$G46</f>
        <v>32.321222999999996</v>
      </c>
      <c r="K46" s="1155">
        <v>0.5</v>
      </c>
      <c r="L46" s="1156">
        <f t="shared" ref="L46:L57" si="6">$F46*K46</f>
        <v>0.69</v>
      </c>
      <c r="M46" s="1148">
        <f t="shared" ref="M46:M57" si="7">K46*$G46</f>
        <v>32.321222999999996</v>
      </c>
      <c r="N46" s="1155">
        <v>0.5</v>
      </c>
      <c r="O46" s="1154">
        <f t="shared" ref="O46:O57" si="8">$F46*N46</f>
        <v>0.69</v>
      </c>
      <c r="P46" s="1145">
        <f t="shared" ref="P46:P57" si="9">N46*$G46</f>
        <v>32.321222999999996</v>
      </c>
      <c r="Q46" s="34"/>
    </row>
    <row r="47" spans="1:17" s="36" customFormat="1" ht="15" customHeight="1">
      <c r="A47" s="746"/>
      <c r="B47" s="1153"/>
      <c r="C47" s="4387" t="s">
        <v>360</v>
      </c>
      <c r="D47" s="4388"/>
      <c r="E47" s="1152">
        <f>IF($C47=0,0,VLOOKUP($C47,'SD3'!$C$24:$O$71,4,FALSE))</f>
        <v>120</v>
      </c>
      <c r="F47" s="1151">
        <f>IF($C47=0,0,VLOOKUP($C47,'SD3'!$C$24:$O$71,12,FALSE))</f>
        <v>0.79</v>
      </c>
      <c r="G47" s="1150">
        <f>IF($C47=0,0,VLOOKUP($C47,'SD3'!$C$24:$O$71,13,FALSE))</f>
        <v>27.987262000000001</v>
      </c>
      <c r="H47" s="1147">
        <v>0.5</v>
      </c>
      <c r="I47" s="1146">
        <f t="shared" si="4"/>
        <v>0.39500000000000002</v>
      </c>
      <c r="J47" s="1145">
        <f t="shared" si="5"/>
        <v>13.993631000000001</v>
      </c>
      <c r="K47" s="1147">
        <v>0.5</v>
      </c>
      <c r="L47" s="1149">
        <f t="shared" si="6"/>
        <v>0.39500000000000002</v>
      </c>
      <c r="M47" s="1148">
        <f t="shared" si="7"/>
        <v>13.993631000000001</v>
      </c>
      <c r="N47" s="1147">
        <v>0.5</v>
      </c>
      <c r="O47" s="1146">
        <f t="shared" si="8"/>
        <v>0.39500000000000002</v>
      </c>
      <c r="P47" s="1145">
        <f t="shared" si="9"/>
        <v>13.993631000000001</v>
      </c>
      <c r="Q47" s="28"/>
    </row>
    <row r="48" spans="1:17" s="36" customFormat="1" ht="15" customHeight="1">
      <c r="A48" s="746"/>
      <c r="B48" s="1153"/>
      <c r="C48" s="4387" t="s">
        <v>354</v>
      </c>
      <c r="D48" s="4388"/>
      <c r="E48" s="1152">
        <f>IF($C48=0,0,VLOOKUP($C48,'SD3'!$C$24:$O$71,4,FALSE))</f>
        <v>120</v>
      </c>
      <c r="F48" s="1151">
        <f>IF($C48=0,0,VLOOKUP($C48,'SD3'!$C$24:$O$71,12,FALSE))</f>
        <v>0.71</v>
      </c>
      <c r="G48" s="1150">
        <f>IF($C48=0,0,VLOOKUP($C48,'SD3'!$C$24:$O$71,13,FALSE))</f>
        <v>30.659437999999998</v>
      </c>
      <c r="H48" s="1147">
        <v>0.5</v>
      </c>
      <c r="I48" s="1146">
        <f t="shared" si="4"/>
        <v>0.35499999999999998</v>
      </c>
      <c r="J48" s="1145">
        <f t="shared" si="5"/>
        <v>15.329718999999999</v>
      </c>
      <c r="K48" s="1147">
        <v>0.5</v>
      </c>
      <c r="L48" s="1149">
        <f t="shared" si="6"/>
        <v>0.35499999999999998</v>
      </c>
      <c r="M48" s="1148">
        <f t="shared" si="7"/>
        <v>15.329718999999999</v>
      </c>
      <c r="N48" s="1147">
        <v>0.5</v>
      </c>
      <c r="O48" s="1146">
        <f t="shared" si="8"/>
        <v>0.35499999999999998</v>
      </c>
      <c r="P48" s="1145">
        <f t="shared" si="9"/>
        <v>15.329718999999999</v>
      </c>
      <c r="Q48" s="28"/>
    </row>
    <row r="49" spans="1:17" s="36" customFormat="1" ht="15" customHeight="1">
      <c r="A49" s="746"/>
      <c r="B49" s="1153"/>
      <c r="C49" s="4387" t="s">
        <v>356</v>
      </c>
      <c r="D49" s="4388"/>
      <c r="E49" s="1152">
        <f>IF($C49=0,0,VLOOKUP($C49,'SD3'!$C$24:$O$71,4,FALSE))</f>
        <v>83</v>
      </c>
      <c r="F49" s="1151">
        <f>IF($C49=0,0,VLOOKUP($C49,'SD3'!$C$24:$O$71,12,FALSE))</f>
        <v>0.53</v>
      </c>
      <c r="G49" s="1150">
        <f>IF($C49=0,0,VLOOKUP($C49,'SD3'!$C$24:$O$71,13,FALSE))</f>
        <v>12.740039489999999</v>
      </c>
      <c r="H49" s="1147">
        <v>1</v>
      </c>
      <c r="I49" s="1146">
        <f t="shared" si="4"/>
        <v>0.53</v>
      </c>
      <c r="J49" s="1145">
        <f t="shared" si="5"/>
        <v>12.740039489999999</v>
      </c>
      <c r="K49" s="1147">
        <v>1</v>
      </c>
      <c r="L49" s="1149">
        <f t="shared" si="6"/>
        <v>0.53</v>
      </c>
      <c r="M49" s="1148">
        <f t="shared" si="7"/>
        <v>12.740039489999999</v>
      </c>
      <c r="N49" s="1147">
        <v>1</v>
      </c>
      <c r="O49" s="1146">
        <f t="shared" si="8"/>
        <v>0.53</v>
      </c>
      <c r="P49" s="1145">
        <f t="shared" si="9"/>
        <v>12.740039489999999</v>
      </c>
      <c r="Q49" s="28"/>
    </row>
    <row r="50" spans="1:17" s="36" customFormat="1" ht="15" customHeight="1">
      <c r="A50" s="746"/>
      <c r="B50" s="1153"/>
      <c r="C50" s="4387"/>
      <c r="D50" s="4388"/>
      <c r="E50" s="1152">
        <f>IF($C50=0,0,VLOOKUP($C50,'SD3'!$C$24:$O$71,4,FALSE))</f>
        <v>0</v>
      </c>
      <c r="F50" s="1151">
        <f>IF($C50=0,0,VLOOKUP($C50,'SD3'!$C$24:$O$71,12,FALSE))</f>
        <v>0</v>
      </c>
      <c r="G50" s="1150">
        <f>IF($C50=0,0,VLOOKUP($C50,'SD3'!$C$24:$O$71,13,FALSE))</f>
        <v>0</v>
      </c>
      <c r="H50" s="1147"/>
      <c r="I50" s="1146">
        <f t="shared" si="4"/>
        <v>0</v>
      </c>
      <c r="J50" s="1145">
        <f t="shared" si="5"/>
        <v>0</v>
      </c>
      <c r="K50" s="1147"/>
      <c r="L50" s="1149">
        <f t="shared" si="6"/>
        <v>0</v>
      </c>
      <c r="M50" s="1148">
        <f t="shared" si="7"/>
        <v>0</v>
      </c>
      <c r="N50" s="1147"/>
      <c r="O50" s="1146">
        <f t="shared" si="8"/>
        <v>0</v>
      </c>
      <c r="P50" s="1145">
        <f t="shared" si="9"/>
        <v>0</v>
      </c>
      <c r="Q50" s="28"/>
    </row>
    <row r="51" spans="1:17" s="36" customFormat="1" ht="15" customHeight="1">
      <c r="A51" s="746"/>
      <c r="B51" s="1153"/>
      <c r="C51" s="4387" t="s">
        <v>341</v>
      </c>
      <c r="D51" s="4388"/>
      <c r="E51" s="1152">
        <f>IF($C51=0,0,VLOOKUP($C51,'SD3'!$C$24:$O$71,4,FALSE))</f>
        <v>83</v>
      </c>
      <c r="F51" s="1151">
        <f>IF($C51=0,0,VLOOKUP($C51,'SD3'!$C$24:$O$71,12,FALSE))</f>
        <v>1.17</v>
      </c>
      <c r="G51" s="1150">
        <f>IF($C51=0,0,VLOOKUP($C51,'SD3'!$C$24:$O$71,13,FALSE))</f>
        <v>30.902852299999999</v>
      </c>
      <c r="H51" s="1147">
        <v>2</v>
      </c>
      <c r="I51" s="1146">
        <f t="shared" si="4"/>
        <v>2.34</v>
      </c>
      <c r="J51" s="1145">
        <f t="shared" si="5"/>
        <v>61.805704599999999</v>
      </c>
      <c r="K51" s="1147">
        <v>2</v>
      </c>
      <c r="L51" s="1149">
        <f t="shared" si="6"/>
        <v>2.34</v>
      </c>
      <c r="M51" s="1148">
        <f t="shared" si="7"/>
        <v>61.805704599999999</v>
      </c>
      <c r="N51" s="1147">
        <v>2</v>
      </c>
      <c r="O51" s="1146">
        <f t="shared" si="8"/>
        <v>2.34</v>
      </c>
      <c r="P51" s="1145">
        <f t="shared" si="9"/>
        <v>61.805704599999999</v>
      </c>
      <c r="Q51" s="28"/>
    </row>
    <row r="52" spans="1:17" s="36" customFormat="1" ht="15" customHeight="1">
      <c r="A52" s="746"/>
      <c r="B52" s="1153"/>
      <c r="C52" s="4387"/>
      <c r="D52" s="4388"/>
      <c r="E52" s="1152">
        <f>IF($C52=0,0,VLOOKUP($C52,'SD3'!$C$24:$O$71,4,FALSE))</f>
        <v>0</v>
      </c>
      <c r="F52" s="1151">
        <f>IF($C52=0,0,VLOOKUP($C52,'SD3'!$C$24:$O$71,12,FALSE))</f>
        <v>0</v>
      </c>
      <c r="G52" s="1150">
        <f>IF($C52=0,0,VLOOKUP($C52,'SD3'!$C$24:$O$71,13,FALSE))</f>
        <v>0</v>
      </c>
      <c r="H52" s="1147"/>
      <c r="I52" s="1146">
        <f t="shared" si="4"/>
        <v>0</v>
      </c>
      <c r="J52" s="1145">
        <f t="shared" si="5"/>
        <v>0</v>
      </c>
      <c r="K52" s="1147"/>
      <c r="L52" s="1149">
        <f t="shared" si="6"/>
        <v>0</v>
      </c>
      <c r="M52" s="1148">
        <f t="shared" si="7"/>
        <v>0</v>
      </c>
      <c r="N52" s="1147"/>
      <c r="O52" s="1146">
        <f t="shared" si="8"/>
        <v>0</v>
      </c>
      <c r="P52" s="1145">
        <f t="shared" si="9"/>
        <v>0</v>
      </c>
      <c r="Q52" s="28"/>
    </row>
    <row r="53" spans="1:17" s="36" customFormat="1" ht="15" customHeight="1">
      <c r="A53" s="746"/>
      <c r="B53" s="1153"/>
      <c r="C53" s="4387"/>
      <c r="D53" s="4388"/>
      <c r="E53" s="1152">
        <f>IF($C53=0,0,VLOOKUP($C53,'SD3'!$C$24:$O$71,4,FALSE))</f>
        <v>0</v>
      </c>
      <c r="F53" s="1151">
        <f>IF($C53=0,0,VLOOKUP($C53,'SD3'!$C$24:$O$71,12,FALSE))</f>
        <v>0</v>
      </c>
      <c r="G53" s="1150">
        <f>IF($C53=0,0,VLOOKUP($C53,'SD3'!$C$24:$O$71,13,FALSE))</f>
        <v>0</v>
      </c>
      <c r="H53" s="1147"/>
      <c r="I53" s="1146">
        <f t="shared" si="4"/>
        <v>0</v>
      </c>
      <c r="J53" s="1145">
        <f t="shared" si="5"/>
        <v>0</v>
      </c>
      <c r="K53" s="1147"/>
      <c r="L53" s="1149">
        <f t="shared" si="6"/>
        <v>0</v>
      </c>
      <c r="M53" s="1148">
        <f t="shared" si="7"/>
        <v>0</v>
      </c>
      <c r="N53" s="1147"/>
      <c r="O53" s="1146">
        <f t="shared" si="8"/>
        <v>0</v>
      </c>
      <c r="P53" s="1145">
        <f t="shared" si="9"/>
        <v>0</v>
      </c>
      <c r="Q53" s="28"/>
    </row>
    <row r="54" spans="1:17" s="36" customFormat="1" ht="15" customHeight="1">
      <c r="A54" s="746"/>
      <c r="B54" s="1153"/>
      <c r="C54" s="4387"/>
      <c r="D54" s="4388"/>
      <c r="E54" s="1152">
        <f>IF($C54=0,0,VLOOKUP($C54,'SD3'!$C$24:$O$71,4,FALSE))</f>
        <v>0</v>
      </c>
      <c r="F54" s="1151">
        <f>IF($C54=0,0,VLOOKUP($C54,'SD3'!$C$24:$O$71,12,FALSE))</f>
        <v>0</v>
      </c>
      <c r="G54" s="1150">
        <f>IF($C54=0,0,VLOOKUP($C54,'SD3'!$C$24:$O$71,13,FALSE))</f>
        <v>0</v>
      </c>
      <c r="H54" s="1147"/>
      <c r="I54" s="1146">
        <f t="shared" si="4"/>
        <v>0</v>
      </c>
      <c r="J54" s="1145">
        <f t="shared" si="5"/>
        <v>0</v>
      </c>
      <c r="K54" s="1147"/>
      <c r="L54" s="1149">
        <f t="shared" si="6"/>
        <v>0</v>
      </c>
      <c r="M54" s="1148">
        <f t="shared" si="7"/>
        <v>0</v>
      </c>
      <c r="N54" s="1147"/>
      <c r="O54" s="1146">
        <f t="shared" si="8"/>
        <v>0</v>
      </c>
      <c r="P54" s="1145">
        <f t="shared" si="9"/>
        <v>0</v>
      </c>
      <c r="Q54" s="28"/>
    </row>
    <row r="55" spans="1:17" s="36" customFormat="1" ht="15" customHeight="1">
      <c r="A55" s="746"/>
      <c r="B55" s="1153"/>
      <c r="C55" s="4387"/>
      <c r="D55" s="4388"/>
      <c r="E55" s="1152">
        <f>IF($C55=0,0,VLOOKUP($C55,'SD3'!$C$24:$O$71,4,FALSE))</f>
        <v>0</v>
      </c>
      <c r="F55" s="1151">
        <f>IF($C55=0,0,VLOOKUP($C55,'SD3'!$C$24:$O$71,12,FALSE))</f>
        <v>0</v>
      </c>
      <c r="G55" s="1150">
        <f>IF($C55=0,0,VLOOKUP($C55,'SD3'!$C$24:$O$71,13,FALSE))</f>
        <v>0</v>
      </c>
      <c r="H55" s="1147"/>
      <c r="I55" s="1146">
        <f t="shared" si="4"/>
        <v>0</v>
      </c>
      <c r="J55" s="1145">
        <f t="shared" si="5"/>
        <v>0</v>
      </c>
      <c r="K55" s="1147"/>
      <c r="L55" s="1149">
        <f t="shared" si="6"/>
        <v>0</v>
      </c>
      <c r="M55" s="1148">
        <f t="shared" si="7"/>
        <v>0</v>
      </c>
      <c r="N55" s="1147"/>
      <c r="O55" s="1146">
        <f t="shared" si="8"/>
        <v>0</v>
      </c>
      <c r="P55" s="1145">
        <f t="shared" si="9"/>
        <v>0</v>
      </c>
      <c r="Q55" s="28"/>
    </row>
    <row r="56" spans="1:17" s="36" customFormat="1" ht="13.8">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8"/>
    </row>
    <row r="57" spans="1:17" s="36" customFormat="1" ht="35.4" customHeight="1">
      <c r="A57" s="746"/>
      <c r="B57" s="1084"/>
      <c r="C57" s="4401"/>
      <c r="D57" s="4402"/>
      <c r="E57" s="2589">
        <f>IF($C57=0,0,VLOOKUP($C57,'SD3'!$C$24:$O$71,4,FALSE))</f>
        <v>0</v>
      </c>
      <c r="F57" s="2590">
        <f>IF($C57=0,0,VLOOKUP($C57,'SD3'!$C$24:$O$71,12,FALSE))</f>
        <v>0</v>
      </c>
      <c r="G57" s="2591">
        <f>IF($C57=0,0,VLOOKUP($C57,'SD3'!$C$24:$O$71,13,FALSE))</f>
        <v>0</v>
      </c>
      <c r="H57" s="1131"/>
      <c r="I57" s="1130">
        <f t="shared" si="4"/>
        <v>0</v>
      </c>
      <c r="J57" s="1129">
        <f t="shared" si="5"/>
        <v>0</v>
      </c>
      <c r="K57" s="1131"/>
      <c r="L57" s="1132">
        <f t="shared" si="6"/>
        <v>0</v>
      </c>
      <c r="M57" s="1079">
        <f t="shared" si="7"/>
        <v>0</v>
      </c>
      <c r="N57" s="1131"/>
      <c r="O57" s="1130">
        <f t="shared" si="8"/>
        <v>0</v>
      </c>
      <c r="P57" s="1129">
        <f t="shared" si="9"/>
        <v>0</v>
      </c>
      <c r="Q57" s="28"/>
    </row>
    <row r="58" spans="1:17" s="511" customFormat="1" ht="18.75" customHeight="1">
      <c r="A58" s="711"/>
      <c r="B58" s="716" t="s">
        <v>848</v>
      </c>
      <c r="C58" s="811"/>
      <c r="D58" s="811"/>
      <c r="E58" s="811"/>
      <c r="F58" s="34"/>
      <c r="G58" s="1047"/>
      <c r="H58" s="1124"/>
      <c r="I58" s="1123">
        <f>SUM($I$46:$I$57)</f>
        <v>4.3099999999999996</v>
      </c>
      <c r="J58" s="1128"/>
      <c r="K58" s="1127"/>
      <c r="L58" s="1126">
        <f>SUM($L$46:$L$57)</f>
        <v>4.3099999999999996</v>
      </c>
      <c r="M58" s="1125"/>
      <c r="N58" s="1124"/>
      <c r="O58" s="1123">
        <f>SUM($O$46:$O$57)</f>
        <v>4.3099999999999996</v>
      </c>
      <c r="P58" s="1122"/>
      <c r="Q58" s="28"/>
    </row>
    <row r="59" spans="1:17" s="511" customFormat="1" ht="15" customHeight="1">
      <c r="A59" s="711"/>
      <c r="B59" s="1121"/>
      <c r="C59" s="285"/>
      <c r="D59" s="222" t="s">
        <v>847</v>
      </c>
      <c r="E59" s="1120">
        <v>80</v>
      </c>
      <c r="F59" s="285" t="s">
        <v>846</v>
      </c>
      <c r="G59" s="1119"/>
      <c r="H59" s="1115"/>
      <c r="I59" s="1114">
        <f>IF(I58+SUM($I$46:$I$57)*$E$59%&gt;I58+10,I58+10,I58+SUM($I$46:$I$57)*$E$59%)</f>
        <v>7.7579999999999991</v>
      </c>
      <c r="J59" s="1113"/>
      <c r="K59" s="1118"/>
      <c r="L59" s="1117">
        <f>IF(L58+SUM($L$46:$L$57)*$E$59%&gt;L58+10,L58+10,L58+SUM($L$46:$L$57)*$E$59%)</f>
        <v>7.7579999999999991</v>
      </c>
      <c r="M59" s="1116"/>
      <c r="N59" s="1115"/>
      <c r="O59" s="1114">
        <f>IF(O58+SUM($O$46:$O$57)*$E$59%&gt;O58+10,O58+10,O58+SUM($O$46:$O$57)*$E$59%)</f>
        <v>7.7579999999999991</v>
      </c>
      <c r="P59" s="1113"/>
      <c r="Q59" s="28"/>
    </row>
    <row r="60" spans="1:17" s="46" customFormat="1" ht="18.75" customHeight="1">
      <c r="A60" s="811"/>
      <c r="B60" s="716" t="s">
        <v>845</v>
      </c>
      <c r="C60" s="811"/>
      <c r="D60" s="811"/>
      <c r="E60" s="39"/>
      <c r="F60" s="39"/>
      <c r="G60" s="1112"/>
      <c r="H60" s="1104"/>
      <c r="I60" s="1103"/>
      <c r="J60" s="1111">
        <f>IF(J6=0,0,SUM(I62:I64))</f>
        <v>0</v>
      </c>
      <c r="K60" s="1107"/>
      <c r="L60" s="1106"/>
      <c r="M60" s="1044">
        <f>IF(M6=0,0,SUM(L62:L64))</f>
        <v>0</v>
      </c>
      <c r="N60" s="1104"/>
      <c r="O60" s="1103"/>
      <c r="P60" s="1111">
        <f>IF(P6=0,0,SUM(O62:O64))</f>
        <v>0</v>
      </c>
      <c r="Q60" s="28"/>
    </row>
    <row r="61" spans="1:17"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c r="D62" s="4365"/>
      <c r="E62" s="4365"/>
      <c r="F62" s="1101">
        <f>IF($C62=0,0,VLOOKUP($C62,'SD3'!$C$90:$D$104,2,FALSE))</f>
        <v>0</v>
      </c>
      <c r="G62" s="1100">
        <f>(100+$D$61)/100*F62</f>
        <v>0</v>
      </c>
      <c r="H62" s="173"/>
      <c r="I62" s="1096">
        <f>$G$62</f>
        <v>0</v>
      </c>
      <c r="J62" s="173"/>
      <c r="K62" s="1099"/>
      <c r="L62" s="1098">
        <f>$G$62</f>
        <v>0</v>
      </c>
      <c r="M62" s="1016"/>
      <c r="N62" s="1097"/>
      <c r="O62" s="1096">
        <f>$G$62</f>
        <v>0</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4.4"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15.6" customHeight="1">
      <c r="A67" s="711"/>
      <c r="B67" s="716" t="s">
        <v>843</v>
      </c>
      <c r="C67" s="711"/>
      <c r="D67" s="711"/>
      <c r="E67" s="175"/>
      <c r="F67" s="1069"/>
      <c r="G67" s="1047"/>
      <c r="H67" s="1066" t="s">
        <v>842</v>
      </c>
      <c r="I67" s="1065" t="s">
        <v>841</v>
      </c>
      <c r="J67" s="1041">
        <f>R68*(H9+H10)*I68%+F68</f>
        <v>0</v>
      </c>
      <c r="K67" s="1068" t="s">
        <v>842</v>
      </c>
      <c r="L67" s="1067" t="s">
        <v>841</v>
      </c>
      <c r="M67" s="1044">
        <f>S68*(K9+K10)*L68%+F68</f>
        <v>0</v>
      </c>
      <c r="N67" s="1066" t="s">
        <v>842</v>
      </c>
      <c r="O67" s="1065" t="s">
        <v>841</v>
      </c>
      <c r="P67" s="1041">
        <f>T68*(N9+N10)*O68%+F68</f>
        <v>0</v>
      </c>
      <c r="Q67" s="28"/>
    </row>
    <row r="68" spans="1:20" s="511" customFormat="1" ht="15.6" customHeight="1">
      <c r="A68" s="711"/>
      <c r="B68" s="1064"/>
      <c r="C68" s="4393" t="s">
        <v>564</v>
      </c>
      <c r="D68" s="4393"/>
      <c r="E68" s="4393"/>
      <c r="F68" s="1063"/>
      <c r="G68" s="1054" t="s">
        <v>163</v>
      </c>
      <c r="H68" s="1061"/>
      <c r="I68" s="1060">
        <v>50</v>
      </c>
      <c r="J68" s="1059"/>
      <c r="K68" s="1061"/>
      <c r="L68" s="1060">
        <v>50</v>
      </c>
      <c r="M68" s="1062"/>
      <c r="N68" s="1061"/>
      <c r="O68" s="1060">
        <v>50</v>
      </c>
      <c r="P68" s="1059"/>
      <c r="Q68" s="28"/>
      <c r="R68" s="1369">
        <f>IF($H$68=0,0,VLOOKUP($H$68,'SD6'!B8:C101,'SD6'!C1,FALSE))*(1+'SDK1'!O11/100)</f>
        <v>0</v>
      </c>
      <c r="S68" s="1369">
        <f>IF($H$68=0,0,VLOOKUP($H$68,'SD6'!C8:D101,'SD6'!D1,FALSE))*(1+'SDK1'!Q11/100)</f>
        <v>0</v>
      </c>
      <c r="T68" s="1369">
        <f>IF($H$68=0,0,VLOOKUP($H$68,'SD6'!D8:E101,'SD6'!E1,FALSE))*(1+'SDK1'!R11/100)</f>
        <v>0</v>
      </c>
    </row>
    <row r="69" spans="1:20" s="511" customFormat="1" ht="15.75" customHeight="1">
      <c r="A69" s="711"/>
      <c r="B69" s="716" t="s">
        <v>839</v>
      </c>
      <c r="C69" s="711"/>
      <c r="D69" s="711"/>
      <c r="E69" s="34"/>
      <c r="F69" s="34"/>
      <c r="G69" s="1047"/>
      <c r="H69" s="38"/>
      <c r="I69" s="51"/>
      <c r="J69" s="1041">
        <f>H70*$F70/1000</f>
        <v>0</v>
      </c>
      <c r="K69" s="1057"/>
      <c r="L69" s="1056"/>
      <c r="M69" s="1044">
        <f>K70*$F70/1000</f>
        <v>0</v>
      </c>
      <c r="N69" s="38"/>
      <c r="O69" s="51"/>
      <c r="P69" s="1041">
        <f>N70*$F70/1000</f>
        <v>0</v>
      </c>
      <c r="Q69" s="28"/>
    </row>
    <row r="70" spans="1:20" s="511" customFormat="1" ht="15.75" customHeight="1">
      <c r="A70" s="711"/>
      <c r="B70" s="772"/>
      <c r="C70" s="771" t="s">
        <v>606</v>
      </c>
      <c r="D70" s="285"/>
      <c r="E70" s="222"/>
      <c r="F70" s="3742"/>
      <c r="G70" s="1054" t="s">
        <v>163</v>
      </c>
      <c r="H70" s="1050">
        <f>J7</f>
        <v>0</v>
      </c>
      <c r="I70" s="1049"/>
      <c r="J70" s="1048"/>
      <c r="K70" s="1053">
        <f>M7</f>
        <v>0</v>
      </c>
      <c r="L70" s="1052"/>
      <c r="M70" s="1051"/>
      <c r="N70" s="1050">
        <f>P7</f>
        <v>0</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7</v>
      </c>
      <c r="H75" s="1007"/>
      <c r="I75" s="1008"/>
      <c r="J75" s="1005">
        <f>(J23+J34+J43+J60+J65+J67+J69+J71)*('SDK1'!$O$59%*$G$75/12)</f>
        <v>4.4413870327166673</v>
      </c>
      <c r="K75" s="2223"/>
      <c r="L75" s="522"/>
      <c r="M75" s="1005">
        <f>(M23++M34+M43+M60+M65+M67+M69+M71)*('SDK1'!$O$59%*$G$75/12)</f>
        <v>4.4413870327166673</v>
      </c>
      <c r="N75" s="1007"/>
      <c r="O75" s="1006"/>
      <c r="P75" s="1005">
        <f>(P23+P34+P43+P60+P65+P67+P69+P71)*('SDK1'!$O$59%*$G$75/12)</f>
        <v>4.4413870327166673</v>
      </c>
      <c r="Q75" s="28"/>
    </row>
    <row r="77" spans="1:20">
      <c r="B77" s="3008"/>
      <c r="C77" s="3008"/>
      <c r="D77" s="3008"/>
      <c r="E77" s="3008"/>
      <c r="F77" s="3008"/>
      <c r="G77" s="3008"/>
    </row>
    <row r="78" spans="1:20">
      <c r="B78" s="3008"/>
      <c r="C78" s="3008"/>
      <c r="D78" s="3008"/>
      <c r="E78" s="3008"/>
      <c r="F78" s="3008"/>
      <c r="G78" s="3008"/>
      <c r="H78" s="2601"/>
      <c r="I78" s="2601"/>
      <c r="L78" s="29"/>
      <c r="M78" s="2601"/>
      <c r="N78" s="2601"/>
      <c r="O78" s="2601"/>
      <c r="P78" s="2601"/>
      <c r="Q78" s="2601"/>
    </row>
    <row r="79" spans="1:20">
      <c r="B79" s="3008"/>
      <c r="C79" s="3008"/>
      <c r="D79" s="3008"/>
      <c r="E79" s="3008"/>
      <c r="F79" s="3008"/>
      <c r="G79" s="3008"/>
      <c r="H79" s="2601"/>
      <c r="I79" s="2601"/>
      <c r="L79" s="29"/>
      <c r="M79" s="2601"/>
      <c r="N79" s="2601"/>
      <c r="O79" s="2601"/>
      <c r="P79" s="2601"/>
      <c r="Q79" s="2601"/>
    </row>
    <row r="80" spans="1:20">
      <c r="B80" s="3008"/>
      <c r="C80" s="3008"/>
      <c r="D80" s="3008"/>
      <c r="E80" s="3008"/>
      <c r="F80" s="3008"/>
      <c r="G80" s="3008"/>
      <c r="H80" s="2601"/>
      <c r="I80" s="2601"/>
      <c r="J80" s="2237"/>
      <c r="K80" s="2237"/>
      <c r="L80" s="29"/>
      <c r="M80" s="2601"/>
      <c r="N80" s="2601"/>
      <c r="O80" s="2601"/>
      <c r="P80" s="2601"/>
      <c r="Q80" s="2601"/>
    </row>
    <row r="81" spans="2:17">
      <c r="B81" s="3008"/>
      <c r="C81" s="3008"/>
      <c r="D81" s="3008"/>
      <c r="E81" s="3008"/>
      <c r="F81" s="3008"/>
      <c r="G81" s="3008"/>
      <c r="H81" s="29"/>
      <c r="I81" s="29"/>
      <c r="J81" s="2237"/>
      <c r="K81" s="2237"/>
      <c r="L81" s="29"/>
      <c r="M81" s="2601"/>
      <c r="N81" s="2601"/>
      <c r="O81" s="2601"/>
      <c r="P81" s="2601"/>
      <c r="Q81" s="2601"/>
    </row>
    <row r="82" spans="2:17">
      <c r="B82" s="3008"/>
      <c r="C82" s="3008"/>
      <c r="D82" s="3008"/>
      <c r="E82" s="3008"/>
      <c r="F82" s="3008"/>
      <c r="G82" s="3008"/>
      <c r="H82" s="29"/>
      <c r="I82" s="29"/>
      <c r="J82" s="2601"/>
      <c r="K82" s="2237"/>
      <c r="L82" s="29"/>
      <c r="M82" s="2601"/>
      <c r="N82" s="2601"/>
      <c r="O82" s="2601"/>
      <c r="P82" s="2601"/>
      <c r="Q82" s="2601"/>
    </row>
    <row r="83" spans="2:17">
      <c r="B83" s="3008"/>
      <c r="C83" s="3008"/>
      <c r="D83" s="3008"/>
      <c r="E83" s="3008"/>
      <c r="F83" s="3008"/>
      <c r="G83" s="3008"/>
      <c r="H83" s="29"/>
      <c r="I83" s="29"/>
      <c r="J83" s="2237"/>
      <c r="K83" s="2237"/>
      <c r="L83" s="29"/>
      <c r="M83" s="2601"/>
      <c r="N83" s="2601"/>
      <c r="O83" s="2601"/>
      <c r="P83" s="2601"/>
      <c r="Q83" s="2601"/>
    </row>
    <row r="84" spans="2:17">
      <c r="B84" s="3008"/>
      <c r="C84" s="3008"/>
      <c r="D84" s="3008"/>
      <c r="E84" s="3008"/>
      <c r="F84" s="3008"/>
      <c r="G84" s="3008"/>
      <c r="H84" s="29"/>
      <c r="I84" s="29"/>
      <c r="J84" s="2237"/>
      <c r="K84" s="2237"/>
      <c r="L84" s="29"/>
      <c r="M84" s="2601"/>
      <c r="N84" s="2601"/>
      <c r="O84" s="2601"/>
      <c r="P84" s="2601"/>
      <c r="Q84" s="2601"/>
    </row>
    <row r="85" spans="2:17">
      <c r="B85" s="3008"/>
      <c r="C85" s="3008"/>
      <c r="D85" s="3008"/>
      <c r="E85" s="3008"/>
      <c r="F85" s="3008"/>
      <c r="G85" s="3008"/>
      <c r="H85" s="29"/>
      <c r="I85" s="29"/>
      <c r="J85" s="2237"/>
      <c r="K85" s="2237"/>
      <c r="L85" s="29"/>
      <c r="M85" s="2601"/>
      <c r="N85" s="2601"/>
      <c r="O85" s="2601"/>
      <c r="P85" s="2601"/>
      <c r="Q85" s="2601"/>
    </row>
    <row r="86" spans="2:17">
      <c r="B86" s="3008"/>
      <c r="C86" s="3008"/>
      <c r="D86" s="3008"/>
      <c r="E86" s="3008"/>
      <c r="F86" s="3008"/>
      <c r="G86" s="3008"/>
      <c r="H86" s="29"/>
      <c r="I86" s="29"/>
      <c r="J86" s="2237"/>
      <c r="K86" s="2237"/>
      <c r="L86" s="29"/>
      <c r="M86" s="2601"/>
      <c r="N86" s="2601"/>
      <c r="O86" s="2601"/>
      <c r="P86" s="2601"/>
      <c r="Q86" s="2601"/>
    </row>
    <row r="87" spans="2:17">
      <c r="B87" s="3008"/>
      <c r="C87" s="3008"/>
      <c r="D87" s="3008"/>
      <c r="E87" s="3008"/>
      <c r="F87" s="3008"/>
      <c r="G87" s="3008"/>
      <c r="H87" s="29"/>
      <c r="I87" s="29"/>
      <c r="J87" s="2237"/>
      <c r="K87" s="2237"/>
      <c r="L87" s="29"/>
      <c r="M87" s="2601"/>
      <c r="N87" s="2601"/>
      <c r="O87" s="2601"/>
      <c r="P87" s="2601"/>
      <c r="Q87" s="2601"/>
    </row>
    <row r="88" spans="2:17" ht="13.2" customHeight="1">
      <c r="B88" s="3008"/>
      <c r="C88" s="3008"/>
      <c r="D88" s="3008"/>
      <c r="E88" s="3008"/>
      <c r="F88" s="3008"/>
      <c r="G88" s="3008"/>
      <c r="H88" s="29"/>
      <c r="I88" s="29"/>
      <c r="J88" s="2237"/>
      <c r="K88" s="2237"/>
      <c r="L88" s="29"/>
      <c r="M88" s="2601"/>
      <c r="N88" s="2601"/>
      <c r="O88" s="2601"/>
      <c r="P88" s="2601"/>
      <c r="Q88" s="2601"/>
    </row>
    <row r="89" spans="2:17">
      <c r="B89" s="3008"/>
      <c r="C89" s="3008"/>
      <c r="D89" s="3008"/>
      <c r="E89" s="3008"/>
      <c r="F89" s="3008"/>
      <c r="G89" s="3008"/>
      <c r="H89" s="29"/>
      <c r="I89" s="29"/>
      <c r="J89" s="2237"/>
      <c r="K89" s="2237"/>
      <c r="L89" s="29"/>
      <c r="M89" s="2601"/>
      <c r="N89" s="2601"/>
      <c r="O89" s="2601"/>
      <c r="P89" s="2601"/>
      <c r="Q89" s="2601"/>
    </row>
    <row r="90" spans="2:17" ht="13.95" customHeight="1">
      <c r="B90" s="3008"/>
      <c r="C90" s="3008"/>
      <c r="D90" s="3008"/>
      <c r="E90" s="3008"/>
      <c r="F90" s="3008"/>
      <c r="G90" s="3008"/>
      <c r="H90" s="2237"/>
      <c r="I90" s="2237"/>
      <c r="J90" s="2237"/>
      <c r="K90" s="2237"/>
      <c r="L90" s="29"/>
      <c r="M90" s="2601"/>
      <c r="N90" s="2601"/>
      <c r="O90" s="2601"/>
      <c r="P90" s="2601"/>
      <c r="Q90" s="2601"/>
    </row>
    <row r="91" spans="2:17">
      <c r="B91" s="3008"/>
      <c r="C91" s="3008"/>
      <c r="D91" s="3008"/>
      <c r="E91" s="3008"/>
      <c r="F91" s="3008"/>
      <c r="G91" s="3008"/>
      <c r="H91" s="2601"/>
      <c r="I91" s="2601"/>
      <c r="J91" s="2237"/>
      <c r="K91" s="2237"/>
      <c r="L91" s="29"/>
      <c r="M91" s="2601"/>
      <c r="N91" s="2601"/>
      <c r="O91" s="2601"/>
      <c r="P91" s="2601"/>
      <c r="Q91" s="2601"/>
    </row>
    <row r="92" spans="2:17" ht="13.2" customHeight="1">
      <c r="B92" s="3008"/>
      <c r="C92" s="3008"/>
      <c r="D92" s="3008"/>
      <c r="E92" s="3008"/>
      <c r="F92" s="3008"/>
      <c r="G92" s="3008"/>
      <c r="H92" s="2601"/>
      <c r="I92" s="2601"/>
      <c r="J92" s="2237"/>
      <c r="K92" s="2237"/>
      <c r="L92" s="29"/>
      <c r="M92" s="2601"/>
      <c r="N92" s="2601"/>
      <c r="O92" s="2601"/>
      <c r="P92" s="2601"/>
      <c r="Q92" s="2601"/>
    </row>
    <row r="93" spans="2:17">
      <c r="B93" s="3008"/>
      <c r="C93" s="3008"/>
      <c r="D93" s="3008"/>
      <c r="E93" s="3008"/>
      <c r="F93" s="3008"/>
      <c r="G93" s="3008"/>
      <c r="H93" s="2601"/>
      <c r="I93" s="2601"/>
      <c r="J93" s="2237"/>
      <c r="K93" s="2237"/>
      <c r="L93" s="29"/>
      <c r="M93" s="2601"/>
      <c r="N93" s="2601"/>
      <c r="O93" s="2601"/>
      <c r="P93" s="2601"/>
      <c r="Q93" s="2601"/>
    </row>
    <row r="94" spans="2:17">
      <c r="B94" s="3008"/>
      <c r="C94" s="3008"/>
      <c r="D94" s="3008"/>
      <c r="E94" s="3008"/>
      <c r="F94" s="3008"/>
      <c r="G94" s="3008"/>
      <c r="H94" s="2601"/>
      <c r="I94" s="2601"/>
      <c r="J94" s="2237"/>
      <c r="K94" s="2237"/>
      <c r="L94" s="29"/>
      <c r="M94" s="2601"/>
      <c r="N94" s="2601"/>
      <c r="O94" s="2601"/>
      <c r="P94" s="2601"/>
      <c r="Q94" s="2601"/>
    </row>
    <row r="95" spans="2:17">
      <c r="B95" s="2237"/>
      <c r="C95" s="29"/>
      <c r="D95" s="29"/>
      <c r="E95" s="29"/>
      <c r="F95" s="2237"/>
      <c r="G95" s="2601"/>
      <c r="H95" s="2601"/>
      <c r="I95" s="2601"/>
      <c r="J95" s="2237"/>
      <c r="K95" s="2237"/>
      <c r="L95" s="29"/>
      <c r="M95" s="2601"/>
      <c r="N95" s="2601"/>
      <c r="O95" s="2601"/>
      <c r="P95" s="2601"/>
      <c r="Q95" s="2601"/>
    </row>
    <row r="96" spans="2:17">
      <c r="B96" s="2237"/>
      <c r="C96" s="29"/>
      <c r="D96" s="29"/>
      <c r="E96" s="29"/>
      <c r="F96" s="2237"/>
      <c r="G96" s="2601"/>
      <c r="H96" s="2601"/>
      <c r="I96" s="2601"/>
      <c r="J96" s="2237"/>
      <c r="K96" s="2237"/>
      <c r="L96" s="29"/>
      <c r="M96" s="2601"/>
      <c r="N96" s="2601"/>
      <c r="O96" s="2601"/>
      <c r="P96" s="2601"/>
      <c r="Q96" s="2601"/>
    </row>
    <row r="97" spans="2:17">
      <c r="B97" s="2237"/>
      <c r="C97" s="29"/>
      <c r="D97" s="29"/>
      <c r="E97" s="29"/>
      <c r="F97" s="2237"/>
      <c r="G97" s="2601"/>
      <c r="H97" s="2601"/>
      <c r="I97" s="2601"/>
      <c r="J97" s="2237"/>
      <c r="K97" s="2237"/>
      <c r="L97" s="29"/>
      <c r="M97" s="2601"/>
      <c r="N97" s="2601"/>
      <c r="O97" s="2601"/>
      <c r="P97" s="2601"/>
      <c r="Q97" s="2601"/>
    </row>
    <row r="98" spans="2:17">
      <c r="B98" s="2237"/>
      <c r="C98" s="29"/>
      <c r="D98" s="29"/>
      <c r="E98" s="29"/>
      <c r="F98" s="2237"/>
      <c r="G98" s="2601"/>
      <c r="H98" s="2601"/>
      <c r="I98" s="2601"/>
      <c r="J98" s="2237"/>
      <c r="K98" s="2237"/>
      <c r="L98" s="29"/>
      <c r="M98" s="2601"/>
      <c r="N98" s="2601"/>
      <c r="O98" s="2601"/>
      <c r="P98" s="2601"/>
      <c r="Q98" s="2601"/>
    </row>
    <row r="99" spans="2:17">
      <c r="B99" s="2237"/>
      <c r="C99" s="29"/>
      <c r="D99" s="29"/>
      <c r="E99" s="29"/>
      <c r="F99" s="2237"/>
      <c r="G99" s="2601"/>
      <c r="H99" s="2601"/>
      <c r="I99" s="2601"/>
      <c r="J99" s="2237"/>
      <c r="K99" s="2237"/>
      <c r="L99" s="29"/>
      <c r="M99" s="2601"/>
      <c r="N99" s="2601"/>
      <c r="O99" s="2601"/>
      <c r="P99" s="2601"/>
      <c r="Q99" s="2601"/>
    </row>
    <row r="100" spans="2:17">
      <c r="B100" s="2237"/>
      <c r="C100" s="29"/>
      <c r="D100" s="29"/>
      <c r="E100" s="29"/>
      <c r="F100" s="2237"/>
      <c r="G100" s="2601"/>
      <c r="H100" s="2601"/>
      <c r="I100" s="2601"/>
      <c r="J100" s="2237"/>
      <c r="K100" s="2237"/>
      <c r="L100" s="29"/>
      <c r="M100" s="2601"/>
      <c r="N100" s="2601"/>
      <c r="O100" s="2601"/>
      <c r="P100" s="2601"/>
      <c r="Q100" s="2601"/>
    </row>
    <row r="101" spans="2:17">
      <c r="B101" s="29"/>
      <c r="C101" s="29"/>
      <c r="D101" s="29"/>
      <c r="E101" s="29"/>
      <c r="F101" s="2237"/>
      <c r="G101" s="2601"/>
      <c r="H101" s="2601"/>
      <c r="I101" s="2601"/>
      <c r="J101" s="2237"/>
      <c r="K101" s="2237"/>
      <c r="L101" s="29"/>
      <c r="M101" s="2601"/>
      <c r="N101" s="2601"/>
      <c r="O101" s="2601"/>
      <c r="P101" s="2601"/>
      <c r="Q101" s="2601"/>
    </row>
    <row r="102" spans="2:17">
      <c r="B102" s="29"/>
      <c r="C102" s="29"/>
      <c r="D102" s="29"/>
      <c r="E102" s="29"/>
      <c r="F102" s="2237"/>
      <c r="G102" s="2601"/>
      <c r="H102" s="2601"/>
      <c r="I102" s="2601"/>
      <c r="J102" s="2237"/>
      <c r="K102" s="2237"/>
      <c r="L102" s="29"/>
      <c r="M102" s="2601"/>
      <c r="N102" s="2601"/>
      <c r="O102" s="2601"/>
      <c r="P102" s="2601"/>
      <c r="Q102" s="2601"/>
    </row>
    <row r="103" spans="2:17">
      <c r="B103" s="29"/>
      <c r="C103" s="29"/>
      <c r="D103" s="29"/>
      <c r="E103" s="2237"/>
      <c r="F103" s="2237"/>
      <c r="G103" s="2601"/>
      <c r="H103" s="2601"/>
      <c r="I103" s="2601"/>
      <c r="J103" s="2237"/>
      <c r="K103" s="2237"/>
      <c r="L103" s="29"/>
      <c r="M103" s="2601"/>
      <c r="N103" s="2601"/>
      <c r="O103" s="2601"/>
      <c r="P103" s="2601"/>
      <c r="Q103" s="2601"/>
    </row>
    <row r="104" spans="2:17">
      <c r="B104" s="29"/>
      <c r="C104" s="29"/>
      <c r="D104" s="29"/>
      <c r="E104" s="2237"/>
      <c r="F104" s="2237"/>
      <c r="G104" s="2601"/>
      <c r="H104" s="2601"/>
      <c r="I104" s="2601"/>
      <c r="J104" s="2237"/>
      <c r="K104" s="2237"/>
      <c r="L104" s="29"/>
      <c r="M104" s="2601"/>
      <c r="N104" s="2601"/>
      <c r="O104" s="2601"/>
      <c r="P104" s="2601"/>
      <c r="Q104" s="2601"/>
    </row>
    <row r="105" spans="2:17">
      <c r="B105" s="29"/>
      <c r="C105" s="29"/>
      <c r="D105" s="29"/>
      <c r="E105" s="2237"/>
      <c r="F105" s="2237"/>
      <c r="G105" s="2601"/>
      <c r="H105" s="2601"/>
      <c r="I105" s="2601"/>
      <c r="J105" s="2237"/>
      <c r="K105" s="2237"/>
      <c r="L105" s="29"/>
      <c r="M105" s="2601"/>
      <c r="N105" s="2601"/>
      <c r="O105" s="2601"/>
      <c r="P105" s="2601"/>
      <c r="Q105" s="2601"/>
    </row>
    <row r="106" spans="2:17">
      <c r="B106" s="29"/>
      <c r="C106" s="29"/>
      <c r="D106" s="29"/>
      <c r="E106" s="2237"/>
      <c r="F106" s="2237"/>
      <c r="G106" s="2601"/>
      <c r="H106" s="2601"/>
      <c r="I106" s="2601"/>
      <c r="J106" s="2237"/>
      <c r="K106" s="2237"/>
      <c r="L106" s="29"/>
      <c r="M106" s="2601"/>
      <c r="N106" s="2601"/>
      <c r="O106" s="2601"/>
      <c r="P106" s="2601"/>
      <c r="Q106" s="2601"/>
    </row>
    <row r="107" spans="2:17">
      <c r="B107" s="29"/>
      <c r="C107" s="29"/>
      <c r="D107" s="29"/>
      <c r="E107" s="2237"/>
      <c r="F107" s="2237"/>
      <c r="G107" s="2601"/>
      <c r="H107" s="2601"/>
      <c r="I107" s="2601"/>
      <c r="J107" s="2237"/>
      <c r="K107" s="2237"/>
      <c r="L107" s="29"/>
      <c r="M107" s="2601"/>
      <c r="N107" s="2601"/>
      <c r="O107" s="2601"/>
      <c r="P107" s="2601"/>
      <c r="Q107" s="2601"/>
    </row>
    <row r="108" spans="2:17">
      <c r="B108" s="29"/>
      <c r="C108" s="29"/>
      <c r="D108" s="29"/>
      <c r="E108" s="2237"/>
      <c r="F108" s="2237"/>
      <c r="G108" s="2601"/>
      <c r="H108" s="2601"/>
      <c r="I108" s="2601"/>
      <c r="J108" s="2237"/>
      <c r="K108" s="2237"/>
      <c r="L108" s="29"/>
      <c r="M108" s="2601"/>
      <c r="N108" s="2601"/>
      <c r="O108" s="2601"/>
      <c r="P108" s="2601"/>
      <c r="Q108" s="2601"/>
    </row>
    <row r="109" spans="2:17">
      <c r="B109" s="29"/>
      <c r="C109" s="29"/>
      <c r="D109" s="29"/>
      <c r="E109" s="2237"/>
      <c r="F109" s="2237"/>
      <c r="G109" s="2601"/>
      <c r="H109" s="2601"/>
      <c r="I109" s="2601"/>
      <c r="J109" s="2237"/>
      <c r="K109" s="2237"/>
      <c r="L109" s="29"/>
      <c r="M109" s="2601"/>
      <c r="N109" s="2601"/>
      <c r="O109" s="2601"/>
      <c r="P109" s="2601"/>
      <c r="Q109" s="2601"/>
    </row>
    <row r="110" spans="2:17">
      <c r="B110" s="2237"/>
      <c r="C110" s="2237"/>
      <c r="D110" s="2237"/>
      <c r="E110" s="2237"/>
      <c r="F110" s="2237"/>
      <c r="G110" s="2601"/>
      <c r="H110" s="2601"/>
      <c r="I110" s="2601"/>
      <c r="J110" s="2237"/>
      <c r="K110" s="2237"/>
      <c r="L110" s="29"/>
      <c r="M110" s="2601"/>
      <c r="N110" s="2601"/>
      <c r="O110" s="2601"/>
      <c r="P110" s="2601"/>
      <c r="Q110" s="2601"/>
    </row>
    <row r="111" spans="2:17">
      <c r="B111" s="2237"/>
      <c r="C111" s="2237"/>
      <c r="D111" s="2237"/>
      <c r="E111" s="2237"/>
      <c r="F111" s="2237"/>
      <c r="G111" s="2601"/>
      <c r="H111" s="2601"/>
      <c r="I111" s="2601"/>
      <c r="J111" s="2237"/>
      <c r="K111" s="2237"/>
      <c r="L111" s="29"/>
      <c r="M111" s="2601"/>
      <c r="N111" s="2601"/>
      <c r="O111" s="2601"/>
      <c r="P111" s="2601"/>
      <c r="Q111" s="2601"/>
    </row>
    <row r="112" spans="2:17">
      <c r="B112" s="2237"/>
      <c r="C112" s="2237"/>
      <c r="D112" s="2237"/>
      <c r="E112" s="2237"/>
      <c r="F112" s="2237"/>
      <c r="G112" s="2601"/>
      <c r="H112" s="2601"/>
      <c r="I112" s="2601"/>
      <c r="J112" s="2237"/>
      <c r="K112" s="2237"/>
      <c r="L112" s="29"/>
      <c r="M112" s="2601"/>
      <c r="N112" s="2601"/>
      <c r="O112" s="2601"/>
      <c r="P112" s="2601"/>
      <c r="Q112" s="2601"/>
    </row>
    <row r="113" spans="2:17">
      <c r="B113" s="2237"/>
      <c r="C113" s="2237"/>
      <c r="D113" s="2237"/>
      <c r="E113" s="2237"/>
      <c r="F113" s="2237"/>
      <c r="G113" s="2601"/>
      <c r="H113" s="2601"/>
      <c r="I113" s="2601"/>
      <c r="J113" s="2237"/>
      <c r="K113" s="2237"/>
      <c r="L113" s="29"/>
      <c r="M113" s="2601"/>
      <c r="N113" s="2601"/>
      <c r="O113" s="2601"/>
      <c r="P113" s="2601"/>
      <c r="Q113" s="2601"/>
    </row>
    <row r="114" spans="2:17">
      <c r="B114" s="2237"/>
      <c r="C114" s="2237"/>
      <c r="D114" s="2237"/>
      <c r="E114" s="2237"/>
      <c r="F114" s="2237"/>
      <c r="G114" s="2601"/>
      <c r="H114" s="2601"/>
      <c r="I114" s="2601"/>
      <c r="J114" s="2237"/>
      <c r="K114" s="2237"/>
      <c r="L114" s="29"/>
      <c r="M114" s="2601"/>
      <c r="N114" s="2601"/>
      <c r="O114" s="2601"/>
      <c r="P114" s="2601"/>
      <c r="Q114" s="2601"/>
    </row>
    <row r="115" spans="2:17">
      <c r="B115" s="2237"/>
      <c r="C115" s="2237"/>
      <c r="D115" s="2237"/>
      <c r="E115" s="2237"/>
      <c r="F115" s="2237"/>
      <c r="G115" s="2601"/>
      <c r="H115" s="2601"/>
      <c r="I115" s="2601"/>
      <c r="J115" s="2237"/>
      <c r="K115" s="2237"/>
      <c r="L115" s="29"/>
      <c r="M115" s="2601"/>
      <c r="N115" s="2601"/>
      <c r="O115" s="2601"/>
      <c r="P115" s="2601"/>
      <c r="Q115" s="2601"/>
    </row>
    <row r="116" spans="2:17">
      <c r="B116" s="2237"/>
      <c r="C116" s="2237"/>
      <c r="D116" s="2237"/>
      <c r="E116" s="2237"/>
      <c r="F116" s="2237"/>
      <c r="G116" s="2601"/>
      <c r="H116" s="2601"/>
      <c r="I116" s="2601"/>
      <c r="J116" s="2237"/>
      <c r="K116" s="2237"/>
      <c r="L116" s="29"/>
      <c r="M116" s="2601"/>
      <c r="N116" s="2601"/>
      <c r="O116" s="2601"/>
      <c r="P116" s="2601"/>
      <c r="Q116" s="2601"/>
    </row>
    <row r="117" spans="2:17">
      <c r="B117" s="2237"/>
      <c r="C117" s="2237"/>
      <c r="D117" s="2237"/>
      <c r="E117" s="2237"/>
      <c r="F117" s="2237"/>
      <c r="G117" s="2601"/>
      <c r="H117" s="2601"/>
      <c r="I117" s="2601"/>
      <c r="J117" s="2237"/>
      <c r="K117" s="2237"/>
      <c r="L117" s="29"/>
      <c r="M117" s="2601"/>
      <c r="N117" s="2601"/>
      <c r="O117" s="2601"/>
      <c r="P117" s="2601"/>
      <c r="Q117" s="2601"/>
    </row>
    <row r="118" spans="2:17">
      <c r="B118" s="2237"/>
      <c r="C118" s="2237"/>
      <c r="D118" s="2237"/>
      <c r="E118" s="2237"/>
      <c r="F118" s="2237"/>
      <c r="G118" s="2601"/>
      <c r="H118" s="2601"/>
      <c r="I118" s="2601"/>
      <c r="J118" s="2237"/>
      <c r="K118" s="2237"/>
      <c r="L118" s="29"/>
      <c r="M118" s="2601"/>
      <c r="N118" s="2601"/>
      <c r="O118" s="2601"/>
      <c r="P118" s="2601"/>
      <c r="Q118" s="2601"/>
    </row>
    <row r="119" spans="2:17">
      <c r="B119" s="2237"/>
      <c r="C119" s="2237"/>
      <c r="D119" s="2237"/>
      <c r="E119" s="2237"/>
      <c r="F119" s="2237"/>
      <c r="H119" s="2237"/>
      <c r="I119" s="2237"/>
      <c r="J119" s="2237"/>
      <c r="K119" s="2237"/>
      <c r="L119" s="29"/>
      <c r="M119" s="2601"/>
      <c r="N119" s="2601"/>
      <c r="O119" s="2601"/>
      <c r="P119" s="2601"/>
      <c r="Q119" s="2601"/>
    </row>
    <row r="120" spans="2:17">
      <c r="B120" s="440"/>
      <c r="C120" s="29"/>
      <c r="D120" s="2237"/>
      <c r="E120" s="2237"/>
      <c r="F120" s="2237"/>
      <c r="H120" s="2237"/>
      <c r="I120" s="2237"/>
      <c r="J120" s="2237"/>
      <c r="K120" s="2237"/>
      <c r="L120" s="29"/>
      <c r="M120" s="2601"/>
      <c r="N120" s="2601"/>
      <c r="O120" s="2601"/>
      <c r="P120" s="2601"/>
      <c r="Q120" s="2601"/>
    </row>
    <row r="121" spans="2:17">
      <c r="B121" s="440"/>
      <c r="C121" s="29"/>
      <c r="D121" s="2237"/>
      <c r="E121" s="2237"/>
      <c r="F121" s="2237"/>
      <c r="H121" s="2237"/>
      <c r="I121" s="2237"/>
      <c r="J121" s="2237"/>
      <c r="K121" s="2237"/>
      <c r="L121" s="29"/>
      <c r="M121" s="2601"/>
      <c r="N121" s="2601"/>
      <c r="O121" s="2601"/>
      <c r="P121" s="2601"/>
      <c r="Q121" s="2601"/>
    </row>
    <row r="122" spans="2:17">
      <c r="B122" s="440"/>
      <c r="C122" s="29"/>
      <c r="D122" s="2237"/>
      <c r="E122" s="2237"/>
      <c r="F122" s="2237"/>
      <c r="H122" s="2237"/>
      <c r="I122" s="2237"/>
      <c r="J122" s="2237"/>
      <c r="K122" s="2237"/>
      <c r="L122" s="29"/>
      <c r="M122" s="2601"/>
      <c r="N122" s="2601"/>
      <c r="O122" s="2601"/>
      <c r="P122" s="2601"/>
      <c r="Q122" s="2601"/>
    </row>
    <row r="123" spans="2:17">
      <c r="B123" s="440"/>
      <c r="C123" s="29"/>
      <c r="D123" s="2237"/>
      <c r="E123" s="2237"/>
      <c r="F123" s="2237"/>
      <c r="H123" s="2237"/>
      <c r="I123" s="2237"/>
      <c r="J123" s="2237"/>
      <c r="K123" s="2237"/>
      <c r="L123" s="29"/>
      <c r="M123" s="2601"/>
      <c r="N123" s="2601"/>
      <c r="O123" s="2601"/>
      <c r="P123" s="2601"/>
      <c r="Q123" s="2601"/>
    </row>
    <row r="124" spans="2:17">
      <c r="B124" s="440"/>
      <c r="C124" s="29"/>
      <c r="D124" s="2237"/>
      <c r="E124" s="2237"/>
      <c r="F124" s="2237"/>
      <c r="H124" s="2237"/>
      <c r="I124" s="2237"/>
      <c r="J124" s="2237"/>
      <c r="K124" s="2237"/>
      <c r="L124" s="29"/>
      <c r="M124" s="2601"/>
      <c r="N124" s="2601"/>
      <c r="O124" s="2601"/>
      <c r="P124" s="2601"/>
      <c r="Q124" s="2601"/>
    </row>
    <row r="125" spans="2:17">
      <c r="B125" s="440"/>
      <c r="C125" s="29"/>
      <c r="D125" s="2237"/>
      <c r="E125" s="2237"/>
      <c r="F125" s="2237"/>
      <c r="H125" s="2237"/>
      <c r="I125" s="2237"/>
      <c r="J125" s="2237"/>
      <c r="K125" s="2237"/>
      <c r="L125" s="29"/>
      <c r="M125" s="2601"/>
      <c r="N125" s="2601"/>
      <c r="O125" s="2601"/>
      <c r="P125" s="2601"/>
      <c r="Q125" s="2601"/>
    </row>
    <row r="126" spans="2:17">
      <c r="B126" s="440"/>
      <c r="C126" s="29"/>
      <c r="D126" s="2237"/>
      <c r="E126" s="2237"/>
      <c r="F126" s="2237"/>
      <c r="H126" s="2237"/>
      <c r="I126" s="2237"/>
      <c r="J126" s="2237"/>
      <c r="K126" s="2237"/>
      <c r="L126" s="29"/>
      <c r="M126" s="2601"/>
      <c r="N126" s="2601"/>
      <c r="O126" s="2601"/>
      <c r="P126" s="2601"/>
      <c r="Q126" s="2601"/>
    </row>
    <row r="127" spans="2:17">
      <c r="B127" s="440"/>
      <c r="C127" s="29"/>
      <c r="D127" s="2237"/>
      <c r="E127" s="2237"/>
      <c r="F127" s="2237"/>
      <c r="H127" s="2237"/>
      <c r="I127" s="2237"/>
      <c r="J127" s="2237"/>
      <c r="K127" s="2237"/>
      <c r="L127" s="29"/>
      <c r="M127" s="2601"/>
      <c r="N127" s="2601"/>
      <c r="O127" s="2601"/>
      <c r="P127" s="2601"/>
      <c r="Q127" s="2601"/>
    </row>
    <row r="128" spans="2:17">
      <c r="B128" s="440"/>
      <c r="C128" s="29"/>
      <c r="D128" s="2237"/>
      <c r="E128" s="2237"/>
      <c r="F128" s="2237"/>
      <c r="H128" s="2237"/>
      <c r="I128" s="2237"/>
      <c r="J128" s="2237"/>
      <c r="K128" s="2237"/>
      <c r="L128" s="29"/>
      <c r="M128" s="2601"/>
      <c r="N128" s="2601"/>
      <c r="O128" s="2601"/>
      <c r="P128" s="2601"/>
      <c r="Q128" s="2601"/>
    </row>
    <row r="129" spans="2:17">
      <c r="B129" s="440"/>
      <c r="C129" s="29"/>
      <c r="D129" s="2237"/>
      <c r="E129" s="2237"/>
      <c r="F129" s="2237"/>
      <c r="H129" s="2237"/>
      <c r="I129" s="2237"/>
      <c r="J129" s="2237"/>
      <c r="K129" s="2237"/>
      <c r="L129" s="29"/>
      <c r="M129" s="2601"/>
      <c r="N129" s="2601"/>
      <c r="O129" s="2601"/>
      <c r="P129" s="2601"/>
      <c r="Q129" s="2601"/>
    </row>
    <row r="130" spans="2:17">
      <c r="B130" s="440"/>
      <c r="C130" s="29"/>
      <c r="D130" s="2237"/>
      <c r="E130" s="2237"/>
      <c r="F130" s="2237"/>
      <c r="H130" s="2237"/>
      <c r="I130" s="2237"/>
      <c r="J130" s="2237"/>
      <c r="K130" s="2237"/>
      <c r="L130" s="29"/>
      <c r="M130" s="2601"/>
      <c r="N130" s="2601"/>
      <c r="O130" s="2601"/>
      <c r="P130" s="2601"/>
      <c r="Q130" s="2601"/>
    </row>
    <row r="131" spans="2:17">
      <c r="B131" s="440"/>
      <c r="C131" s="29"/>
      <c r="D131" s="2237"/>
      <c r="E131" s="2237"/>
      <c r="F131" s="2237"/>
      <c r="H131" s="2237"/>
      <c r="I131" s="2237"/>
      <c r="J131" s="2237"/>
      <c r="K131" s="2237"/>
      <c r="L131" s="29"/>
      <c r="M131" s="2601"/>
      <c r="N131" s="2601"/>
      <c r="O131" s="2601"/>
      <c r="P131" s="2601"/>
      <c r="Q131" s="2601"/>
    </row>
    <row r="132" spans="2:17">
      <c r="B132" s="440"/>
      <c r="C132" s="29"/>
      <c r="D132" s="2237"/>
      <c r="E132" s="2237"/>
      <c r="F132" s="2237"/>
      <c r="H132" s="2237"/>
      <c r="I132" s="2237"/>
      <c r="J132" s="2237"/>
      <c r="K132" s="2237"/>
      <c r="L132" s="29"/>
      <c r="M132" s="2601"/>
      <c r="N132" s="2601"/>
      <c r="O132" s="2601"/>
      <c r="P132" s="2601"/>
      <c r="Q132" s="2601"/>
    </row>
    <row r="133" spans="2:17">
      <c r="B133" s="440"/>
      <c r="C133" s="29"/>
      <c r="D133" s="2237"/>
      <c r="E133" s="2237"/>
      <c r="F133" s="2237"/>
      <c r="H133" s="2237"/>
      <c r="I133" s="2237"/>
      <c r="J133" s="2237"/>
      <c r="K133" s="2237"/>
      <c r="L133" s="29"/>
      <c r="M133" s="2601"/>
      <c r="N133" s="2601"/>
      <c r="O133" s="2601"/>
      <c r="P133" s="2601"/>
      <c r="Q133" s="2601"/>
    </row>
    <row r="134" spans="2:17">
      <c r="B134" s="440"/>
      <c r="C134" s="29"/>
      <c r="D134" s="2237"/>
      <c r="E134" s="2237"/>
      <c r="F134" s="2237"/>
      <c r="H134" s="2237"/>
      <c r="I134" s="2237"/>
      <c r="J134" s="2237"/>
      <c r="K134" s="2237"/>
      <c r="L134" s="29"/>
      <c r="M134" s="2601"/>
      <c r="N134" s="2601"/>
      <c r="O134" s="2601"/>
      <c r="P134" s="2601"/>
      <c r="Q134" s="2601"/>
    </row>
    <row r="135" spans="2:17">
      <c r="B135" s="440"/>
      <c r="C135" s="29"/>
      <c r="D135" s="2237"/>
      <c r="E135" s="2237"/>
      <c r="F135" s="2237"/>
      <c r="H135" s="2237"/>
      <c r="I135" s="2237"/>
      <c r="J135" s="2237"/>
      <c r="K135" s="2237"/>
      <c r="L135" s="29"/>
      <c r="M135" s="2601"/>
      <c r="N135" s="2601"/>
      <c r="O135" s="2601"/>
      <c r="P135" s="2601"/>
      <c r="Q135" s="2601"/>
    </row>
    <row r="136" spans="2:17">
      <c r="B136" s="440"/>
      <c r="C136" s="29"/>
      <c r="D136" s="2237"/>
      <c r="E136" s="2237"/>
      <c r="F136" s="2237"/>
      <c r="H136" s="2237"/>
      <c r="I136" s="2237"/>
      <c r="J136" s="2237"/>
      <c r="K136" s="2237"/>
      <c r="L136" s="29"/>
      <c r="M136" s="2601"/>
      <c r="N136" s="2601"/>
      <c r="O136" s="2601"/>
      <c r="P136" s="2601"/>
      <c r="Q136" s="2601"/>
    </row>
    <row r="137" spans="2:17">
      <c r="B137" s="440"/>
      <c r="C137" s="29"/>
      <c r="D137" s="2237"/>
      <c r="E137" s="2237"/>
      <c r="F137" s="2237"/>
      <c r="H137" s="2237"/>
      <c r="I137" s="2237"/>
      <c r="J137" s="2237"/>
      <c r="K137" s="2237"/>
      <c r="L137" s="29"/>
      <c r="M137" s="2601"/>
      <c r="N137" s="2601"/>
      <c r="O137" s="2601"/>
      <c r="P137" s="2601"/>
      <c r="Q137" s="2601"/>
    </row>
    <row r="138" spans="2:17">
      <c r="B138" s="440"/>
      <c r="C138" s="29"/>
      <c r="D138" s="2237"/>
      <c r="E138" s="2237"/>
      <c r="F138" s="2237"/>
      <c r="H138" s="2237"/>
      <c r="I138" s="2237"/>
      <c r="J138" s="2237"/>
      <c r="K138" s="2237"/>
      <c r="L138" s="29"/>
      <c r="M138" s="2601"/>
      <c r="N138" s="2601"/>
      <c r="O138" s="2601"/>
      <c r="P138" s="2601"/>
    </row>
    <row r="139" spans="2:17">
      <c r="B139" s="440"/>
      <c r="C139" s="29"/>
      <c r="D139" s="2237"/>
      <c r="E139" s="2237"/>
      <c r="F139" s="2237"/>
      <c r="H139" s="2237"/>
      <c r="I139" s="2237"/>
      <c r="J139" s="2237"/>
      <c r="K139" s="2237"/>
      <c r="L139" s="29"/>
      <c r="M139" s="2601"/>
      <c r="N139" s="2601"/>
      <c r="O139" s="2601"/>
      <c r="P139" s="2601"/>
    </row>
    <row r="140" spans="2:17">
      <c r="B140" s="440"/>
      <c r="C140" s="29"/>
      <c r="D140" s="2237"/>
      <c r="E140" s="2237"/>
      <c r="F140" s="2237"/>
      <c r="H140" s="2237"/>
      <c r="I140" s="2237"/>
      <c r="J140" s="2237"/>
      <c r="K140" s="2237"/>
      <c r="L140" s="29"/>
      <c r="M140" s="2601"/>
      <c r="N140" s="2601"/>
      <c r="O140" s="2601"/>
      <c r="P140" s="2601"/>
    </row>
    <row r="141" spans="2:17">
      <c r="B141" s="440"/>
      <c r="C141" s="29"/>
      <c r="D141" s="2237"/>
      <c r="E141" s="2237"/>
      <c r="F141" s="2237"/>
      <c r="H141" s="2237"/>
      <c r="I141" s="2237"/>
      <c r="J141" s="2237"/>
      <c r="K141" s="2237"/>
      <c r="L141" s="29"/>
      <c r="M141" s="2601"/>
      <c r="N141" s="2601"/>
      <c r="O141" s="2601"/>
      <c r="P141" s="2601"/>
    </row>
    <row r="142" spans="2:17">
      <c r="B142" s="440"/>
      <c r="C142" s="29"/>
      <c r="D142" s="2237"/>
      <c r="E142" s="2237"/>
      <c r="F142" s="2237"/>
      <c r="H142" s="2237"/>
      <c r="I142" s="2237"/>
      <c r="J142" s="2237"/>
      <c r="K142" s="2237"/>
      <c r="L142" s="29"/>
      <c r="M142" s="2601"/>
      <c r="N142" s="2601"/>
      <c r="O142" s="2601"/>
      <c r="P142" s="2601"/>
    </row>
    <row r="143" spans="2:17">
      <c r="B143" s="440"/>
      <c r="C143" s="29"/>
      <c r="D143" s="2237"/>
      <c r="E143" s="2237"/>
      <c r="F143" s="2237"/>
      <c r="H143" s="2237"/>
      <c r="I143" s="2237"/>
      <c r="J143" s="2237"/>
      <c r="K143" s="2237"/>
      <c r="L143" s="29"/>
      <c r="M143" s="2237"/>
      <c r="N143" s="2237"/>
      <c r="O143" s="2237"/>
      <c r="P143" s="2237"/>
    </row>
    <row r="144" spans="2:17">
      <c r="B144" s="440"/>
      <c r="C144" s="29"/>
      <c r="D144" s="2237"/>
      <c r="E144" s="2237"/>
      <c r="F144" s="2237"/>
      <c r="H144" s="2237"/>
      <c r="I144" s="2237"/>
      <c r="J144" s="2237"/>
      <c r="K144" s="2237"/>
      <c r="L144" s="29"/>
      <c r="M144" s="2237"/>
      <c r="N144" s="2237"/>
      <c r="O144" s="2237"/>
      <c r="P144" s="2237"/>
    </row>
    <row r="145" spans="2:16">
      <c r="B145" s="440"/>
      <c r="C145" s="29"/>
      <c r="D145" s="2237"/>
      <c r="E145" s="2237"/>
      <c r="F145" s="2237"/>
      <c r="H145" s="2237"/>
      <c r="I145" s="2237"/>
      <c r="J145" s="2237"/>
      <c r="K145" s="2237"/>
      <c r="L145" s="29"/>
      <c r="M145" s="2237"/>
      <c r="N145" s="2237"/>
      <c r="O145" s="2237"/>
      <c r="P145" s="2237"/>
    </row>
    <row r="146" spans="2:16">
      <c r="B146" s="440"/>
      <c r="C146" s="29"/>
      <c r="D146" s="2237"/>
      <c r="E146" s="2237"/>
      <c r="F146" s="2237"/>
      <c r="H146" s="2237"/>
      <c r="I146" s="2237"/>
      <c r="J146" s="2237"/>
      <c r="K146" s="2237"/>
      <c r="L146" s="29"/>
      <c r="M146" s="2237"/>
      <c r="N146" s="2237"/>
      <c r="O146" s="2237"/>
      <c r="P146" s="2237"/>
    </row>
    <row r="147" spans="2:16">
      <c r="B147" s="440"/>
      <c r="C147" s="29"/>
      <c r="D147" s="2237"/>
      <c r="E147" s="2237"/>
      <c r="F147" s="2237"/>
      <c r="H147" s="2237"/>
      <c r="I147" s="2237"/>
      <c r="J147" s="2237"/>
      <c r="K147" s="2237"/>
      <c r="L147" s="29"/>
      <c r="M147" s="2237"/>
      <c r="N147" s="2237"/>
      <c r="O147" s="2237"/>
      <c r="P147" s="2237"/>
    </row>
    <row r="148" spans="2:16">
      <c r="B148" s="440"/>
      <c r="C148" s="29"/>
      <c r="D148" s="2237"/>
      <c r="E148" s="2237"/>
      <c r="F148" s="2237"/>
      <c r="H148" s="2237"/>
      <c r="I148" s="2237"/>
      <c r="J148" s="2237"/>
      <c r="K148" s="2237"/>
      <c r="L148" s="29"/>
      <c r="M148" s="2237"/>
      <c r="N148" s="2237"/>
      <c r="O148" s="2237"/>
      <c r="P148" s="2237"/>
    </row>
    <row r="149" spans="2:16">
      <c r="B149" s="440"/>
      <c r="C149" s="29"/>
      <c r="D149" s="2237"/>
      <c r="E149" s="2237"/>
      <c r="F149" s="2237"/>
      <c r="H149" s="2237"/>
      <c r="I149" s="2237"/>
      <c r="J149" s="2237"/>
      <c r="K149" s="2237"/>
      <c r="L149" s="2237"/>
      <c r="M149" s="2237"/>
      <c r="N149" s="2237"/>
      <c r="O149" s="2237"/>
      <c r="P149" s="2237"/>
    </row>
    <row r="150" spans="2:16">
      <c r="B150" s="440"/>
      <c r="C150" s="29"/>
      <c r="I150" s="1563"/>
    </row>
    <row r="151" spans="2:16">
      <c r="B151" s="440"/>
      <c r="C151" s="29"/>
      <c r="I151" s="1563"/>
    </row>
    <row r="152" spans="2:16">
      <c r="B152" s="440"/>
      <c r="C152" s="29"/>
      <c r="I152" s="1563"/>
    </row>
    <row r="153" spans="2:16">
      <c r="B153" s="440"/>
      <c r="C153" s="29"/>
      <c r="I153" s="1563"/>
    </row>
    <row r="154" spans="2:16">
      <c r="B154" s="440"/>
      <c r="C154" s="29"/>
      <c r="D154" s="29"/>
      <c r="F154" s="29"/>
      <c r="G154" s="29"/>
      <c r="H154" s="29"/>
      <c r="I154" s="29"/>
      <c r="J154" s="29"/>
      <c r="K154" s="29"/>
    </row>
    <row r="155" spans="2:16">
      <c r="B155" s="440"/>
      <c r="C155" s="29"/>
      <c r="D155" s="29"/>
      <c r="F155" s="29"/>
      <c r="G155" s="29"/>
      <c r="H155" s="29"/>
      <c r="I155" s="29"/>
      <c r="J155" s="29"/>
      <c r="K155" s="29"/>
    </row>
    <row r="156" spans="2:16">
      <c r="B156" s="440"/>
      <c r="C156" s="29"/>
      <c r="D156" s="29"/>
      <c r="F156" s="29"/>
      <c r="G156" s="29"/>
      <c r="H156" s="29"/>
      <c r="I156" s="29"/>
      <c r="J156" s="29"/>
      <c r="K156" s="29"/>
    </row>
    <row r="157" spans="2:16">
      <c r="B157" s="440"/>
      <c r="C157" s="29"/>
    </row>
    <row r="158" spans="2:16">
      <c r="B158" s="440"/>
      <c r="C158" s="29"/>
    </row>
    <row r="159" spans="2:16">
      <c r="B159" s="440"/>
      <c r="C159" s="29"/>
    </row>
    <row r="160" spans="2:16">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heet="1" selectLockedCells="1"/>
  <customSheetViews>
    <customSheetView guid="{8063F48F-80B5-4ECD-B18A-51CBF126E780}" fitToPage="1" printArea="1" hiddenRows="1" hiddenColumns="1">
      <selection activeCell="A11" sqref="A11:XFD13"/>
      <pageMargins left="0.59055118110236227" right="0.57999999999999996" top="0.59055118110236227" bottom="0.59055118110236227" header="0.39370078740157483" footer="0.39370078740157483"/>
      <printOptions horizontalCentered="1"/>
      <pageSetup paperSize="9" scale="70" firstPageNumber="80" orientation="portrait" r:id="rId1"/>
      <headerFooter alignWithMargins="0">
        <oddFooter>&amp;L&amp;11LEL Schwäbisch Gmünd&amp;C14&amp;R&amp;11&amp;F</oddFooter>
      </headerFooter>
    </customSheetView>
    <customSheetView guid="{5D5C9B61-9ABD-4513-AAEB-8333A9D6196C}" fitToPage="1" hiddenRows="1" hiddenColumns="1">
      <selection activeCell="AE33" sqref="AE33:AE34"/>
      <pageMargins left="0.59055118110236227" right="0.57999999999999996" top="0.59055118110236227" bottom="0.59055118110236227" header="0.39370078740157483" footer="0.39370078740157483"/>
      <printOptions horizontalCentered="1"/>
      <pageSetup paperSize="9" scale="70" firstPageNumber="80" orientation="portrait" r:id="rId2"/>
      <headerFooter alignWithMargins="0">
        <oddFooter>&amp;L&amp;11LEL Schwäbisch Gmünd&amp;C14&amp;R&amp;11&amp;F</oddFooter>
      </headerFooter>
    </customSheetView>
    <customSheetView guid="{22A73C4F-9004-4CEF-8499-B1F91BE1B569}" fitToPage="1" hiddenRows="1" hiddenColumns="1">
      <selection activeCell="A11" sqref="A11:XFD13"/>
      <pageMargins left="0.59055118110236227" right="0.57999999999999996" top="0.59055118110236227" bottom="0.59055118110236227" header="0.39370078740157483" footer="0.39370078740157483"/>
      <printOptions horizontalCentered="1"/>
      <pageSetup paperSize="9" scale="70" firstPageNumber="80" orientation="portrait" r:id="rId3"/>
      <headerFooter alignWithMargins="0">
        <oddFooter>&amp;L&amp;11LEL Schwäbisch Gmünd&amp;C14&amp;R&amp;11&amp;F</oddFooter>
      </headerFooter>
    </customSheetView>
  </customSheetViews>
  <mergeCells count="48">
    <mergeCell ref="E10:F10"/>
    <mergeCell ref="C14:F14"/>
    <mergeCell ref="C15:F15"/>
    <mergeCell ref="C16:F16"/>
    <mergeCell ref="C17:F17"/>
    <mergeCell ref="N1:O1"/>
    <mergeCell ref="K2:P2"/>
    <mergeCell ref="N3:O4"/>
    <mergeCell ref="E4:I4"/>
    <mergeCell ref="H6:I6"/>
    <mergeCell ref="K6:L6"/>
    <mergeCell ref="N6:O6"/>
    <mergeCell ref="K1:L1"/>
    <mergeCell ref="B3:H3"/>
    <mergeCell ref="C19:F19"/>
    <mergeCell ref="F23:G23"/>
    <mergeCell ref="D25:E25"/>
    <mergeCell ref="D26:E26"/>
    <mergeCell ref="E22:G22"/>
    <mergeCell ref="C20:F20"/>
    <mergeCell ref="C21:F21"/>
    <mergeCell ref="C73:E73"/>
    <mergeCell ref="C74:E74"/>
    <mergeCell ref="B75:C75"/>
    <mergeCell ref="F34:G34"/>
    <mergeCell ref="C42:E42"/>
    <mergeCell ref="C57:D57"/>
    <mergeCell ref="C53:D53"/>
    <mergeCell ref="C54:D54"/>
    <mergeCell ref="C56:D56"/>
    <mergeCell ref="C64:E64"/>
    <mergeCell ref="C51:D51"/>
    <mergeCell ref="C52:D52"/>
    <mergeCell ref="C40:E40"/>
    <mergeCell ref="C37:E37"/>
    <mergeCell ref="C38:E38"/>
    <mergeCell ref="C41:E41"/>
    <mergeCell ref="C36:E36"/>
    <mergeCell ref="C55:D55"/>
    <mergeCell ref="C62:E62"/>
    <mergeCell ref="C63:E63"/>
    <mergeCell ref="C68:E68"/>
    <mergeCell ref="C39:E39"/>
    <mergeCell ref="C48:D48"/>
    <mergeCell ref="C46:D46"/>
    <mergeCell ref="C49:D49"/>
    <mergeCell ref="C50:D50"/>
    <mergeCell ref="C47:D47"/>
  </mergeCells>
  <dataValidations count="7">
    <dataValidation type="whole" allowBlank="1" showInputMessage="1" showErrorMessage="1" errorTitle="Anteil Erntegut" error="Prozentwert darf nur zwischen 0 und 100 liegen." sqref="O68 L68 I68" xr:uid="{00000000-0002-0000-3D00-000000000000}">
      <formula1>0</formula1>
      <formula2>100</formula2>
    </dataValidation>
    <dataValidation type="decimal" allowBlank="1" showInputMessage="1" showErrorMessage="1" errorTitle="Wassergehalt Getreide" error="Zulässig sind nur Werte zwischen 14,1 und 22,0 % Wassergehalt." sqref="H68 K68 N68" xr:uid="{00000000-0002-0000-3D00-000001000000}">
      <formula1>14.1</formula1>
      <formula2>22</formula2>
    </dataValidation>
    <dataValidation type="list" allowBlank="1" showInputMessage="1" showErrorMessage="1" errorTitle="Organisationsabh. Ausgleichsl." error="Bitte aus Dropdownliste auswählen." sqref="C18:F18" xr:uid="{00000000-0002-0000-3D00-000002000000}">
      <formula1>$G$80:$G$81</formula1>
    </dataValidation>
    <dataValidation type="list" allowBlank="1" showInputMessage="1" showErrorMessage="1" errorTitle="Verfahrensabh. Ausgleichsleist." error="Bitte aus Dropdownliste auswählen." sqref="C16:F17" xr:uid="{00000000-0002-0000-3D00-000003000000}">
      <formula1>$C$77:$C$90</formula1>
    </dataValidation>
    <dataValidation type="list" allowBlank="1" showInputMessage="1" showErrorMessage="1" sqref="H15:H17 K15:K17 N15:N17" xr:uid="{00000000-0002-0000-3D00-000004000000}">
      <formula1>"ja,nein"</formula1>
    </dataValidation>
    <dataValidation type="list" showInputMessage="1" showErrorMessage="1" sqref="H14 K14 N14" xr:uid="{00000000-0002-0000-3D00-000005000000}">
      <formula1>"ja,nein"</formula1>
    </dataValidation>
    <dataValidation type="list" allowBlank="1" showInputMessage="1" showErrorMessage="1" errorTitle="Organisationsabh. Ausgleichsl." error="Bitte aus Dropdownliste auswählen." sqref="D19:F19" xr:uid="{00000000-0002-0000-3D00-000006000000}">
      <formula1>$C$60:$C$75</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4"/>
  <headerFooter alignWithMargins="0">
    <oddFooter>&amp;L&amp;11LEL Schwäbisch Gmünd&amp;C14&amp;R&amp;11&amp;F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3D00-000007000000}">
          <x14:formula1>
            <xm:f>'SD2'!$C$11:$C$50</xm:f>
          </x14:formula1>
          <xm:sqref>C14:F15</xm:sqref>
        </x14:dataValidation>
        <x14:dataValidation type="list" allowBlank="1" showInputMessage="1" showErrorMessage="1" errorTitle="Organisationsabh. Ausgleichsl." error="Bitte aus Dropdownliste auswählen." xr:uid="{00000000-0002-0000-3D00-000008000000}">
          <x14:formula1>
            <xm:f>'SD2'!$C$60:$C$77</xm:f>
          </x14:formula1>
          <xm:sqref>C19:C21</xm:sqref>
        </x14:dataValidation>
        <x14:dataValidation type="list" allowBlank="1" showInputMessage="1" showErrorMessage="1" errorTitle="Arbeitsgänge" error="Bitte aus Dropdownliste auswählen." xr:uid="{00000000-0002-0000-3D00-000009000000}">
          <x14:formula1>
            <xm:f>'SD3'!$C$23:$C$75</xm:f>
          </x14:formula1>
          <xm:sqref>C46:D57</xm:sqref>
        </x14:dataValidation>
        <x14:dataValidation type="list" allowBlank="1" showInputMessage="1" showErrorMessage="1" xr:uid="{00000000-0002-0000-3D00-00000A000000}">
          <x14:formula1>
            <xm:f>SDÖ5!$C$5:$C$16</xm:f>
          </x14:formula1>
          <xm:sqref>C36:E42</xm:sqref>
        </x14:dataValidation>
        <x14:dataValidation type="list" allowBlank="1" showInputMessage="1" showErrorMessage="1" errorTitle="Lohnmaschinen" error="Bitte aus Dropdownliste auswählen." xr:uid="{00000000-0002-0000-3D00-00000B000000}">
          <x14:formula1>
            <xm:f>'SD3'!$C$90:$C$104</xm:f>
          </x14:formula1>
          <xm:sqref>C62:E64</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Tabelle77">
    <tabColor rgb="FF00B050"/>
    <pageSetUpPr fitToPage="1"/>
  </sheetPr>
  <dimension ref="A1:AO206"/>
  <sheetViews>
    <sheetView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15" style="28" hidden="1" customWidth="1"/>
    <col min="18" max="35" width="15" style="27" hidden="1" customWidth="1"/>
    <col min="36" max="36" width="10.5" style="27" customWidth="1"/>
    <col min="37" max="16384" width="10.5" style="27"/>
  </cols>
  <sheetData>
    <row r="1" spans="1:41" s="219" customFormat="1" ht="30.15" customHeight="1">
      <c r="A1" s="1681"/>
      <c r="B1" s="258"/>
      <c r="C1" s="1333"/>
      <c r="D1" s="100"/>
      <c r="E1" s="255"/>
      <c r="F1" s="255"/>
      <c r="G1" s="3207"/>
      <c r="H1" s="3207"/>
      <c r="I1" s="3213" t="s">
        <v>1679</v>
      </c>
      <c r="J1" s="3210">
        <f>(J7+J13+J18+J22+I11+I12)-(J23+J27+J34+J43+J60+J65+J67+J69+J71+J75)</f>
        <v>530.29803619228335</v>
      </c>
      <c r="K1" s="4360">
        <f>M1-J1</f>
        <v>207.19999999999993</v>
      </c>
      <c r="L1" s="4360"/>
      <c r="M1" s="3210">
        <f>(M7+M13+M18+M22+L11+L12)-(M23+M27+M34+M43+M60+M65+M67+M69+M71+M75)</f>
        <v>737.49803619228328</v>
      </c>
      <c r="N1" s="4360">
        <f>P1-M1</f>
        <v>207.20000000000005</v>
      </c>
      <c r="O1" s="4360"/>
      <c r="P1" s="3210">
        <f>(P7+P13+P18+P22+O11+O12)-(P23+P27+P34+P43+P60+P65+P67+P69+P71+P75)</f>
        <v>944.69803619228333</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1753</v>
      </c>
      <c r="L2" s="4372"/>
      <c r="M2" s="4372"/>
      <c r="N2" s="4372"/>
      <c r="O2" s="4372"/>
      <c r="P2" s="4372"/>
      <c r="Q2" s="1681"/>
    </row>
    <row r="3" spans="1:41" s="219" customFormat="1" ht="32.4" customHeight="1">
      <c r="A3" s="1681"/>
      <c r="B3" s="4405" t="s">
        <v>1727</v>
      </c>
      <c r="C3" s="4405"/>
      <c r="D3" s="4405"/>
      <c r="E3" s="4405"/>
      <c r="F3" s="4405"/>
      <c r="G3" s="4405"/>
      <c r="H3" s="4405"/>
      <c r="J3" s="4368"/>
      <c r="K3" s="4447"/>
      <c r="L3" s="4447"/>
      <c r="M3" s="29"/>
      <c r="N3" s="4444"/>
      <c r="O3" s="4374"/>
      <c r="P3" s="1326"/>
      <c r="Q3" s="1681"/>
      <c r="T3" s="1343" t="b">
        <v>0</v>
      </c>
    </row>
    <row r="4" spans="1:41" s="219" customFormat="1" ht="20.25" customHeight="1">
      <c r="A4" s="1681"/>
      <c r="B4" s="309" t="s">
        <v>779</v>
      </c>
      <c r="C4" s="27"/>
      <c r="D4" s="27"/>
      <c r="E4" s="4406" t="s">
        <v>1467</v>
      </c>
      <c r="F4" s="4406"/>
      <c r="G4" s="4406"/>
      <c r="H4" s="4406"/>
      <c r="I4" s="4406"/>
      <c r="J4" s="4368"/>
      <c r="K4" s="4447"/>
      <c r="L4" s="4447"/>
      <c r="M4" s="29"/>
      <c r="N4" s="4374"/>
      <c r="O4" s="4374"/>
      <c r="P4" s="1322">
        <f>SDÖ1!O3</f>
        <v>2024</v>
      </c>
      <c r="Q4" s="1681"/>
      <c r="T4" s="1343" t="b">
        <v>1</v>
      </c>
    </row>
    <row r="5" spans="1:41" ht="6" customHeight="1"/>
    <row r="6" spans="1:41" s="1311" customFormat="1" ht="24" customHeight="1">
      <c r="A6" s="41"/>
      <c r="B6" s="1316" t="s">
        <v>832</v>
      </c>
      <c r="C6" s="1315"/>
      <c r="D6" s="1315"/>
      <c r="E6" s="1315" t="s">
        <v>1134</v>
      </c>
      <c r="F6" s="1315"/>
      <c r="G6" s="1314"/>
      <c r="H6" s="4366" t="s">
        <v>171</v>
      </c>
      <c r="I6" s="4367"/>
      <c r="J6" s="1313">
        <v>300</v>
      </c>
      <c r="K6" s="4379" t="s">
        <v>144</v>
      </c>
      <c r="L6" s="4380"/>
      <c r="M6" s="1313">
        <v>400</v>
      </c>
      <c r="N6" s="4366" t="s">
        <v>170</v>
      </c>
      <c r="O6" s="4367"/>
      <c r="P6" s="1312">
        <v>500</v>
      </c>
      <c r="Q6" s="49"/>
    </row>
    <row r="7" spans="1:41" s="196" customFormat="1" ht="18.75" customHeight="1">
      <c r="A7" s="40"/>
      <c r="B7" s="245" t="s">
        <v>1133</v>
      </c>
      <c r="C7" s="40"/>
      <c r="D7" s="40"/>
      <c r="E7" s="40"/>
      <c r="F7" s="40"/>
      <c r="G7" s="1310" t="s">
        <v>163</v>
      </c>
      <c r="H7" s="1307"/>
      <c r="I7" s="1306"/>
      <c r="J7" s="1041">
        <f>SUM(I9:I10)</f>
        <v>0</v>
      </c>
      <c r="K7" s="1309"/>
      <c r="L7" s="1308"/>
      <c r="M7" s="1044">
        <f>SUM(L9:L10)</f>
        <v>0</v>
      </c>
      <c r="N7" s="1307"/>
      <c r="O7" s="1306"/>
      <c r="P7" s="1041">
        <f>SUM(O9:O10)</f>
        <v>0</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c r="G9" s="1221"/>
      <c r="H9" s="1303">
        <f>J6-H10</f>
        <v>300</v>
      </c>
      <c r="I9" s="1299">
        <f>H9*G9</f>
        <v>0</v>
      </c>
      <c r="J9" s="37"/>
      <c r="K9" s="1302">
        <f>M6-K10</f>
        <v>400</v>
      </c>
      <c r="L9" s="1301">
        <f>K9*G9</f>
        <v>0</v>
      </c>
      <c r="M9" s="1280"/>
      <c r="N9" s="1300">
        <f>P6-N10</f>
        <v>500</v>
      </c>
      <c r="O9" s="1299">
        <f>N9*G9</f>
        <v>0</v>
      </c>
      <c r="P9" s="37"/>
      <c r="Q9" s="28"/>
      <c r="R9" s="517"/>
      <c r="S9" s="208" t="s">
        <v>887</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customHeight="1">
      <c r="A11" s="309"/>
      <c r="B11" s="217"/>
      <c r="C11" s="39" t="s">
        <v>878</v>
      </c>
      <c r="D11" s="309"/>
      <c r="E11" s="1286">
        <v>0</v>
      </c>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37"/>
      <c r="Q11" s="34"/>
      <c r="W11" s="1268" t="s">
        <v>876</v>
      </c>
    </row>
    <row r="12" spans="1:41" s="1268" customFormat="1" ht="15"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f>IF(OR(T3=TRUE,T4=TRUE),J6*$E$11,"0")</f>
        <v>0</v>
      </c>
      <c r="Y12" s="1265">
        <f>IF(OR(T3=TRUE,T4=TRUE),M6*$E$11,"0")</f>
        <v>0</v>
      </c>
      <c r="Z12" s="1264">
        <f>IF(OR(T3=TRUE,T4=TRUE),P6*$E$11,"0")</f>
        <v>0</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W13" s="36" t="s">
        <v>236</v>
      </c>
      <c r="X13" s="1260">
        <f>$X$12*F30</f>
        <v>0</v>
      </c>
      <c r="Y13" s="1260">
        <f>$Y$12*F30</f>
        <v>0</v>
      </c>
      <c r="Z13" s="1260">
        <f>$Z$12*F30</f>
        <v>0</v>
      </c>
    </row>
    <row r="14" spans="1:41" s="36" customFormat="1" ht="15" customHeight="1">
      <c r="A14" s="39"/>
      <c r="B14" s="1247"/>
      <c r="C14" s="4365" t="s">
        <v>1511</v>
      </c>
      <c r="D14" s="4365"/>
      <c r="E14" s="4365"/>
      <c r="F14" s="4365"/>
      <c r="G14" s="1263"/>
      <c r="H14" s="1391" t="s">
        <v>919</v>
      </c>
      <c r="I14" s="1243">
        <f>IF(H14="ja",Q14,0)</f>
        <v>240</v>
      </c>
      <c r="J14" s="39"/>
      <c r="K14" s="1262" t="s">
        <v>919</v>
      </c>
      <c r="L14" s="1098">
        <f>IF(K14="ja",Q14,0)</f>
        <v>240</v>
      </c>
      <c r="M14" s="1016"/>
      <c r="N14" s="1262" t="s">
        <v>919</v>
      </c>
      <c r="O14" s="1243">
        <f>IF(N14="ja",Q14,0)</f>
        <v>240</v>
      </c>
      <c r="P14" s="1013"/>
      <c r="Q14" s="1261">
        <f>IF(C14=0,0,VLOOKUP(C14,'SD2'!$C$11:$O$50,'SD2'!$O$1,FALSE))</f>
        <v>240</v>
      </c>
      <c r="R14" s="1350"/>
      <c r="S14" s="1349"/>
      <c r="T14" s="1348"/>
      <c r="W14" s="36" t="s">
        <v>685</v>
      </c>
      <c r="X14" s="1260">
        <f>$X$12*F31</f>
        <v>0</v>
      </c>
      <c r="Y14" s="1260">
        <f>$Y$12*F31</f>
        <v>0</v>
      </c>
      <c r="Z14" s="1260">
        <f>$Z$12*F31</f>
        <v>0</v>
      </c>
    </row>
    <row r="15" spans="1:41" s="36" customFormat="1" ht="15" customHeight="1">
      <c r="A15" s="39"/>
      <c r="B15" s="1247"/>
      <c r="C15" s="4365"/>
      <c r="D15" s="4365"/>
      <c r="E15" s="4365"/>
      <c r="F15" s="4365"/>
      <c r="G15" s="1263"/>
      <c r="H15" s="1262" t="s">
        <v>919</v>
      </c>
      <c r="I15" s="1243">
        <f>IF(H15="ja",Q15,0)</f>
        <v>0</v>
      </c>
      <c r="J15" s="39"/>
      <c r="K15" s="1262" t="s">
        <v>919</v>
      </c>
      <c r="L15" s="1098">
        <f>IF(K15="ja",Q15,0)</f>
        <v>0</v>
      </c>
      <c r="M15" s="1016"/>
      <c r="N15" s="1262" t="s">
        <v>919</v>
      </c>
      <c r="O15" s="1243">
        <f>IF(N15="ja",Q15,0)</f>
        <v>0</v>
      </c>
      <c r="P15" s="1013"/>
      <c r="Q15" s="1261">
        <f>IF(C15=0,0,VLOOKUP(C15,'SD2'!$C$11:$O$50,'SD2'!$O$1,FALSE))</f>
        <v>0</v>
      </c>
      <c r="R15" s="1347"/>
      <c r="S15" s="1343"/>
      <c r="T15" s="1346"/>
      <c r="W15" s="36" t="s">
        <v>684</v>
      </c>
      <c r="X15" s="1260">
        <f>$X$12*F32</f>
        <v>0</v>
      </c>
      <c r="Y15" s="1260">
        <f>$Y$12*F32</f>
        <v>0</v>
      </c>
      <c r="Z15" s="1260">
        <f>$Z$12*F32</f>
        <v>0</v>
      </c>
    </row>
    <row r="16" spans="1:41" s="36" customFormat="1" ht="15" customHeight="1">
      <c r="A16" s="39"/>
      <c r="B16" s="1247"/>
      <c r="C16" s="4365"/>
      <c r="D16" s="4365"/>
      <c r="E16" s="4365"/>
      <c r="F16" s="4365"/>
      <c r="G16" s="1263"/>
      <c r="H16" s="1262" t="s">
        <v>871</v>
      </c>
      <c r="I16" s="1243">
        <f>IF(H16="ja",Q16,0)</f>
        <v>0</v>
      </c>
      <c r="J16" s="39"/>
      <c r="K16" s="1262" t="s">
        <v>871</v>
      </c>
      <c r="L16" s="1098">
        <f>IF(K16="ja",Q16,0)</f>
        <v>0</v>
      </c>
      <c r="M16" s="1016"/>
      <c r="N16" s="1262" t="s">
        <v>871</v>
      </c>
      <c r="O16" s="1243">
        <f>IF(N16="ja",Q16,0)</f>
        <v>0</v>
      </c>
      <c r="P16" s="1013"/>
      <c r="Q16" s="1261">
        <f>IF(C16=0,0,VLOOKUP(C16,'SD2'!$C$11:$O$50,'SD2'!$O$1,FALSE))</f>
        <v>0</v>
      </c>
      <c r="R16" s="1347"/>
      <c r="S16" s="1343"/>
      <c r="T16" s="1346"/>
      <c r="W16" s="36" t="s">
        <v>230</v>
      </c>
      <c r="X16" s="1260">
        <f>$X$12*F33</f>
        <v>0</v>
      </c>
      <c r="Y16" s="1260">
        <f>$Y$12*F33</f>
        <v>0</v>
      </c>
      <c r="Z16" s="1260">
        <f>$Z$12*F33</f>
        <v>0</v>
      </c>
    </row>
    <row r="17" spans="1:20" s="511" customFormat="1" ht="15" customHeight="1">
      <c r="A17" s="40"/>
      <c r="B17" s="1247"/>
      <c r="C17" s="4365"/>
      <c r="D17" s="4365"/>
      <c r="E17" s="4365"/>
      <c r="F17" s="4365"/>
      <c r="G17" s="1263"/>
      <c r="H17" s="1262" t="s">
        <v>871</v>
      </c>
      <c r="I17" s="1243">
        <f>IF(H17="ja",Q17,0)</f>
        <v>0</v>
      </c>
      <c r="J17" s="39"/>
      <c r="K17" s="1262" t="s">
        <v>871</v>
      </c>
      <c r="L17" s="1098">
        <f>IF(K17="ja",Q17,0)</f>
        <v>0</v>
      </c>
      <c r="M17" s="1016"/>
      <c r="N17" s="1262" t="s">
        <v>871</v>
      </c>
      <c r="O17" s="1243">
        <f>IF(N17="ja",Q17,0)</f>
        <v>0</v>
      </c>
      <c r="P17" s="1013"/>
      <c r="Q17" s="1261">
        <f>IF(C17=0,0,VLOOKUP(C17,'SD2'!$C$11:$O$50,'SD2'!$O$1,FALSE))</f>
        <v>0</v>
      </c>
    </row>
    <row r="18" spans="1:20" s="36" customFormat="1" ht="18.75" customHeight="1">
      <c r="A18" s="39"/>
      <c r="B18" s="209" t="s">
        <v>1563</v>
      </c>
      <c r="C18" s="1672"/>
      <c r="D18" s="1672"/>
      <c r="E18" s="1672"/>
      <c r="F18" s="1672"/>
      <c r="G18" s="2464"/>
      <c r="H18" s="2249"/>
      <c r="I18" s="2465"/>
      <c r="J18" s="1041">
        <f>SUM(I19:I21)</f>
        <v>177</v>
      </c>
      <c r="K18" s="2250"/>
      <c r="L18" s="2466"/>
      <c r="M18" s="1044">
        <f>SUM(L19:L21)</f>
        <v>177</v>
      </c>
      <c r="N18" s="2249"/>
      <c r="O18" s="2465"/>
      <c r="P18" s="1041">
        <f>SUM(O19:O21)</f>
        <v>177</v>
      </c>
      <c r="Q18" s="28"/>
      <c r="R18" s="514" t="s">
        <v>870</v>
      </c>
      <c r="S18" s="308"/>
      <c r="T18" s="1248"/>
    </row>
    <row r="19" spans="1:20" ht="15.6" customHeight="1">
      <c r="A19" s="309"/>
      <c r="B19" s="1247"/>
      <c r="C19" s="4365" t="s">
        <v>1560</v>
      </c>
      <c r="D19" s="4365"/>
      <c r="E19" s="4365"/>
      <c r="F19" s="4365"/>
      <c r="G19" s="1246"/>
      <c r="H19" s="1244"/>
      <c r="I19" s="2839">
        <f>IF(OR($C19=0,$J$6=0),0,VLOOKUP($C19,'SD2'!C60:O78,12,FALSE))</f>
        <v>155</v>
      </c>
      <c r="J19" s="39"/>
      <c r="K19" s="1245"/>
      <c r="L19" s="1098">
        <f>IF(OR($C19=0,$M$6=0),0,VLOOKUP($C19,'SD2'!$C$60:$O$78,12,FALSE))</f>
        <v>155</v>
      </c>
      <c r="M19" s="1016"/>
      <c r="N19" s="1244"/>
      <c r="O19" s="1243">
        <f>IF(OR($C19=0,$P$6=0),0,VLOOKUP($C19,'SD2'!C60:O78,12,FALSE))</f>
        <v>155</v>
      </c>
      <c r="P19" s="1013"/>
      <c r="R19" s="1242">
        <f>J13+J18</f>
        <v>417</v>
      </c>
      <c r="S19" s="1242">
        <f>M13+M18</f>
        <v>417</v>
      </c>
      <c r="T19" s="1242">
        <f>P13+P18</f>
        <v>417</v>
      </c>
    </row>
    <row r="20" spans="1:20" s="2894" customFormat="1" ht="15.6" customHeight="1">
      <c r="A20" s="2788"/>
      <c r="B20" s="1247"/>
      <c r="C20" s="4365" t="s">
        <v>1675</v>
      </c>
      <c r="D20" s="4365"/>
      <c r="E20" s="4365"/>
      <c r="F20" s="4365"/>
      <c r="G20" s="2914"/>
      <c r="H20" s="1244"/>
      <c r="I20" s="2839">
        <f>IF(OR($C20=0,$J$6=0),0,VLOOKUP($C20,'SD2'!C61:O79,12,FALSE))</f>
        <v>22</v>
      </c>
      <c r="J20" s="2783"/>
      <c r="K20" s="1245"/>
      <c r="L20" s="2829">
        <f>IF(OR($C20=0,$M$6=0),0,VLOOKUP($C20,'SD2'!$C$60:$O$78,12,FALSE))</f>
        <v>22</v>
      </c>
      <c r="M20" s="2795"/>
      <c r="N20" s="1244"/>
      <c r="O20" s="2839">
        <f>IF(OR($C20=0,$P$6=0),0,VLOOKUP($C20,'SD2'!C61:O79,12,FALSE))</f>
        <v>22</v>
      </c>
      <c r="P20" s="1013"/>
      <c r="Q20" s="2895"/>
      <c r="R20" s="2888"/>
      <c r="S20" s="2888"/>
      <c r="T20" s="2888"/>
    </row>
    <row r="21" spans="1:20" s="2894" customFormat="1" ht="15.6" customHeight="1">
      <c r="A21" s="2788"/>
      <c r="B21" s="1247"/>
      <c r="C21" s="4365"/>
      <c r="D21" s="4365"/>
      <c r="E21" s="4365"/>
      <c r="F21" s="4365"/>
      <c r="G21" s="1246"/>
      <c r="H21" s="1244"/>
      <c r="I21" s="2839">
        <f>IF(OR($C21=0,$J$6=0),0,VLOOKUP($C21,'SD2'!C62:O79,12,FALSE))</f>
        <v>0</v>
      </c>
      <c r="J21" s="2783"/>
      <c r="K21" s="1245"/>
      <c r="L21" s="2829">
        <f>IF(OR($C21=0,$M$6=0),0,VLOOKUP($C21,'SD2'!$C$60:$O$78,12,FALSE))</f>
        <v>0</v>
      </c>
      <c r="M21" s="2795"/>
      <c r="N21" s="1244"/>
      <c r="O21" s="2839">
        <f>IF(OR($C21=0,$P$6=0),0,VLOOKUP($C21,'SD2'!C62:O79,12,FALSE))</f>
        <v>0</v>
      </c>
      <c r="P21" s="1013"/>
      <c r="Q21" s="2895"/>
      <c r="R21" s="2888"/>
      <c r="S21" s="2888"/>
      <c r="T21" s="2888"/>
    </row>
    <row r="22" spans="1:20" ht="15.6" customHeight="1">
      <c r="A22" s="309"/>
      <c r="B22" s="245" t="s">
        <v>869</v>
      </c>
      <c r="C22" s="39"/>
      <c r="D22" s="1234"/>
      <c r="E22" s="4370" t="s">
        <v>868</v>
      </c>
      <c r="F22" s="4370"/>
      <c r="G22" s="4371"/>
      <c r="H22" s="1231"/>
      <c r="I22" s="1230"/>
      <c r="J22" s="1229"/>
      <c r="K22" s="1233"/>
      <c r="L22" s="1232"/>
      <c r="M22" s="1229"/>
      <c r="N22" s="1231"/>
      <c r="O22" s="1230"/>
      <c r="P22" s="1229"/>
    </row>
    <row r="23" spans="1:20" s="36" customFormat="1" ht="18.75" customHeight="1">
      <c r="A23" s="746"/>
      <c r="B23" s="209" t="s">
        <v>214</v>
      </c>
      <c r="C23" s="1228"/>
      <c r="D23" s="1228"/>
      <c r="E23" s="34"/>
      <c r="F23" s="4381"/>
      <c r="G23" s="4382" t="s">
        <v>163</v>
      </c>
      <c r="H23" s="1043"/>
      <c r="I23" s="1042"/>
      <c r="J23" s="1026">
        <f>SUM(I25:I26)</f>
        <v>202.20000000000002</v>
      </c>
      <c r="K23" s="1046"/>
      <c r="L23" s="1045"/>
      <c r="M23" s="1227">
        <f>SUM(L25:L26)</f>
        <v>202.20000000000002</v>
      </c>
      <c r="N23" s="1043"/>
      <c r="O23" s="1042"/>
      <c r="P23" s="1026">
        <f>SUM(O25:O26)</f>
        <v>202.20000000000002</v>
      </c>
      <c r="Q23" s="28"/>
    </row>
    <row r="24" spans="1:20"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20" s="511" customFormat="1" ht="18.75" customHeight="1">
      <c r="A25" s="711"/>
      <c r="B25" s="1223"/>
      <c r="C25" s="746" t="s">
        <v>866</v>
      </c>
      <c r="D25" s="4383"/>
      <c r="E25" s="4384"/>
      <c r="F25" s="1222">
        <f>SDÖ7!F29/100</f>
        <v>6.74</v>
      </c>
      <c r="G25" s="1221">
        <f>F25*(100+$D$24)/100</f>
        <v>6.74</v>
      </c>
      <c r="H25" s="1220">
        <v>30</v>
      </c>
      <c r="I25" s="1181">
        <f>H25*$G25</f>
        <v>202.20000000000002</v>
      </c>
      <c r="J25" s="39"/>
      <c r="K25" s="1220">
        <f>H25</f>
        <v>30</v>
      </c>
      <c r="L25" s="1023">
        <f>K25*$G25</f>
        <v>202.20000000000002</v>
      </c>
      <c r="M25" s="1016"/>
      <c r="N25" s="1220">
        <f>H25</f>
        <v>30</v>
      </c>
      <c r="O25" s="1181">
        <f>N25*$G25</f>
        <v>202.20000000000002</v>
      </c>
      <c r="P25" s="1145"/>
      <c r="Q25" s="28"/>
    </row>
    <row r="26" spans="1:20"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20" s="511" customFormat="1" ht="17.399999999999999" customHeight="1">
      <c r="A27" s="711"/>
      <c r="B27" s="1215" t="s">
        <v>213</v>
      </c>
      <c r="C27" s="711"/>
      <c r="D27" s="51"/>
      <c r="E27" s="34"/>
      <c r="F27" s="34"/>
      <c r="G27" s="1214" t="s">
        <v>163</v>
      </c>
      <c r="H27" s="1173"/>
      <c r="I27" s="1172"/>
      <c r="J27" s="1041">
        <f>SUM(I30:I32)</f>
        <v>-518</v>
      </c>
      <c r="K27" s="1175"/>
      <c r="L27" s="1174"/>
      <c r="M27" s="1044">
        <f>SUM(L30:L32)</f>
        <v>-725.19999999999993</v>
      </c>
      <c r="N27" s="1173"/>
      <c r="O27" s="1172"/>
      <c r="P27" s="1041">
        <f>SUM(O30:O32)</f>
        <v>-932.4</v>
      </c>
      <c r="Q27" s="28"/>
    </row>
    <row r="28" spans="1:20" s="36" customFormat="1" ht="15" customHeight="1">
      <c r="A28" s="746"/>
      <c r="B28" s="774"/>
      <c r="C28" s="2224"/>
      <c r="D28" s="1213" t="s">
        <v>706</v>
      </c>
      <c r="E28" s="1213" t="s">
        <v>864</v>
      </c>
      <c r="F28" s="1213" t="s">
        <v>864</v>
      </c>
      <c r="G28" s="1212" t="s">
        <v>863</v>
      </c>
      <c r="H28" s="1172"/>
      <c r="I28" s="1209"/>
      <c r="J28" s="2225"/>
      <c r="K28" s="1175"/>
      <c r="L28" s="1105"/>
      <c r="M28" s="1210"/>
      <c r="N28" s="1173"/>
      <c r="O28" s="1209"/>
      <c r="P28" s="1026"/>
      <c r="Q28" s="28"/>
    </row>
    <row r="29" spans="1:20" s="36" customFormat="1" ht="15" customHeight="1">
      <c r="A29" s="746"/>
      <c r="B29" s="1208"/>
      <c r="C29" s="747" t="s">
        <v>862</v>
      </c>
      <c r="D29" s="1034" t="s">
        <v>611</v>
      </c>
      <c r="E29" s="1034" t="s">
        <v>861</v>
      </c>
      <c r="F29" s="1034" t="s">
        <v>860</v>
      </c>
      <c r="G29" s="1034" t="s">
        <v>1128</v>
      </c>
      <c r="H29" s="1205" t="s">
        <v>612</v>
      </c>
      <c r="I29" s="1027" t="s">
        <v>163</v>
      </c>
      <c r="J29" s="2224"/>
      <c r="K29" s="1207" t="s">
        <v>612</v>
      </c>
      <c r="L29" s="1030" t="s">
        <v>163</v>
      </c>
      <c r="M29" s="1206"/>
      <c r="N29" s="1205" t="s">
        <v>612</v>
      </c>
      <c r="O29" s="1027" t="s">
        <v>163</v>
      </c>
      <c r="P29" s="1204"/>
      <c r="Q29" s="28"/>
    </row>
    <row r="30" spans="1:20" s="36" customFormat="1" ht="15" customHeight="1">
      <c r="A30" s="746"/>
      <c r="B30" s="1203"/>
      <c r="C30" s="1202" t="s">
        <v>236</v>
      </c>
      <c r="D30" s="1150">
        <f>SDÖ1!O56</f>
        <v>5.18</v>
      </c>
      <c r="E30" s="1201">
        <f>VLOOKUP($K$2,'SD8'!$B$9:$K$44,3,FALSE)</f>
        <v>-2</v>
      </c>
      <c r="F30" s="1201"/>
      <c r="G30" s="1200">
        <v>20</v>
      </c>
      <c r="H30" s="1198">
        <f>IF(J$6=0,0,(J$6*0.2*$E30+$G30+X13))</f>
        <v>-100</v>
      </c>
      <c r="I30" s="1181">
        <f>H30*$D30</f>
        <v>-518</v>
      </c>
      <c r="J30" s="39"/>
      <c r="K30" s="1199">
        <f>IF(M$6=0,0,(M$6*0.2*$E30+$G30+AA13))</f>
        <v>-140</v>
      </c>
      <c r="L30" s="1023">
        <f>K30*$D30</f>
        <v>-725.19999999999993</v>
      </c>
      <c r="M30" s="1016"/>
      <c r="N30" s="1198">
        <f>IF(P$6=0,0,(P$6*0.2*$E30+$G30+AD13))</f>
        <v>-180</v>
      </c>
      <c r="O30" s="1181">
        <f>N30*$D30</f>
        <v>-932.4</v>
      </c>
      <c r="P30" s="1145"/>
      <c r="Q30" s="28"/>
    </row>
    <row r="31" spans="1:20" s="36" customFormat="1" ht="15" customHeight="1">
      <c r="A31" s="746"/>
      <c r="B31" s="217"/>
      <c r="C31" s="746" t="s">
        <v>234</v>
      </c>
      <c r="D31" s="1150">
        <f>SDÖ1!O57</f>
        <v>1.42</v>
      </c>
      <c r="E31" s="1201">
        <v>0</v>
      </c>
      <c r="F31" s="1201"/>
      <c r="G31" s="1200"/>
      <c r="H31" s="1198">
        <f>IF(J$6=0,0,(J$6*0.2*$E31+$G31+X14))</f>
        <v>0</v>
      </c>
      <c r="I31" s="1181">
        <f>H31*$D31</f>
        <v>0</v>
      </c>
      <c r="J31" s="39"/>
      <c r="K31" s="1199">
        <f>IF(M$6=0,0,(M$6*0.2*$E31+$G31+AA14))</f>
        <v>0</v>
      </c>
      <c r="L31" s="1023">
        <f>K31*$D31</f>
        <v>0</v>
      </c>
      <c r="M31" s="1016"/>
      <c r="N31" s="1198">
        <f>IF(P$6=0,0,(P$6*0.2*$E31+$G31+AD14))</f>
        <v>0</v>
      </c>
      <c r="O31" s="1181">
        <f>N31*$D31</f>
        <v>0</v>
      </c>
      <c r="P31" s="1145"/>
      <c r="Q31" s="28"/>
    </row>
    <row r="32" spans="1:20" s="511" customFormat="1" ht="18.75" customHeight="1">
      <c r="A32" s="711"/>
      <c r="B32" s="185"/>
      <c r="C32" s="2791" t="s">
        <v>232</v>
      </c>
      <c r="D32" s="1133">
        <f>SDÖ1!O58</f>
        <v>1.78</v>
      </c>
      <c r="E32" s="1197">
        <v>0</v>
      </c>
      <c r="F32" s="2609"/>
      <c r="G32" s="1200"/>
      <c r="H32" s="1194">
        <f>IF(J$6=0,0,(J$6*0.2*$E32+$G32+X15))</f>
        <v>0</v>
      </c>
      <c r="I32" s="1177">
        <f>H32*$D32</f>
        <v>0</v>
      </c>
      <c r="J32" s="223"/>
      <c r="K32" s="1195">
        <f>IF(M$6=0,0,(M$6*0.2*$E32+$G32+AA15))</f>
        <v>0</v>
      </c>
      <c r="L32" s="1017">
        <f>K32*$D32</f>
        <v>0</v>
      </c>
      <c r="M32" s="1256"/>
      <c r="N32" s="1194">
        <f>IF(P$6=0,0,(P$6*0.2*$E32+$G32+AD15))</f>
        <v>0</v>
      </c>
      <c r="O32" s="1177">
        <f>N32*$D32</f>
        <v>0</v>
      </c>
      <c r="P32" s="1176"/>
      <c r="Q32" s="28"/>
    </row>
    <row r="33" spans="1:17" s="511" customFormat="1" ht="13.2" hidden="1" customHeight="1">
      <c r="A33" s="711"/>
      <c r="B33" s="185"/>
      <c r="C33" s="771" t="s">
        <v>230</v>
      </c>
      <c r="D33" s="1133">
        <f>SDÖ1!P59</f>
        <v>0.5</v>
      </c>
      <c r="E33" s="2609">
        <v>0</v>
      </c>
      <c r="F33" s="1201"/>
      <c r="G33" s="1200"/>
      <c r="H33" s="1198">
        <f>IF(J$6=0,0,(J$6*0.2*$E33+$G33+X16))</f>
        <v>0</v>
      </c>
      <c r="I33" s="1181">
        <f>H33*$D33</f>
        <v>0</v>
      </c>
      <c r="J33" s="39"/>
      <c r="K33" s="1195">
        <f>IF(M$6=0,0,(M$6*0.2*$E33+$G33+AA16))</f>
        <v>0</v>
      </c>
      <c r="L33" s="1023">
        <f>K33*$D33</f>
        <v>0</v>
      </c>
      <c r="M33" s="1016"/>
      <c r="N33" s="1194">
        <f>IF(P$6=0,0,(P$6*0.2*$E33+$G33+AD16))</f>
        <v>0</v>
      </c>
      <c r="O33" s="1181">
        <f>N33*$D33</f>
        <v>0</v>
      </c>
      <c r="P33" s="1145"/>
      <c r="Q33" s="28"/>
    </row>
    <row r="34" spans="1:17" s="36" customFormat="1" ht="15" customHeight="1">
      <c r="A34" s="746"/>
      <c r="B34" s="716" t="s">
        <v>1127</v>
      </c>
      <c r="C34" s="711"/>
      <c r="D34" s="2224"/>
      <c r="E34" s="2224"/>
      <c r="F34" s="4381"/>
      <c r="G34" s="4382" t="s">
        <v>163</v>
      </c>
      <c r="H34" s="2251"/>
      <c r="I34" s="2252"/>
      <c r="J34" s="1041">
        <f>SUM(I36:I42)</f>
        <v>0</v>
      </c>
      <c r="K34" s="2253"/>
      <c r="L34" s="2254"/>
      <c r="M34" s="1044">
        <f>SUM(L36:L42)</f>
        <v>0</v>
      </c>
      <c r="N34" s="2251"/>
      <c r="O34" s="2252"/>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1182"/>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197.83489008999999</v>
      </c>
      <c r="K43" s="1175"/>
      <c r="L43" s="1174"/>
      <c r="M43" s="1044">
        <f>SUM(M46:M57)</f>
        <v>197.83489008999999</v>
      </c>
      <c r="N43" s="1173"/>
      <c r="O43" s="1172"/>
      <c r="P43" s="1041">
        <f>SUM(P46:P57)</f>
        <v>197.83489008999999</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c r="K45" s="1162" t="s">
        <v>849</v>
      </c>
      <c r="L45" s="1161" t="s">
        <v>113</v>
      </c>
      <c r="M45" s="1160"/>
      <c r="N45" s="1159" t="s">
        <v>849</v>
      </c>
      <c r="O45" s="1033" t="s">
        <v>113</v>
      </c>
      <c r="P45" s="1158"/>
      <c r="Q45" s="28"/>
    </row>
    <row r="46" spans="1:17" s="36" customFormat="1" ht="15" customHeight="1">
      <c r="A46" s="746"/>
      <c r="B46" s="1153"/>
      <c r="C46" s="4363" t="s">
        <v>1589</v>
      </c>
      <c r="D46" s="4364"/>
      <c r="E46" s="1152">
        <f>IF($C46=0,0,VLOOKUP($C46,'SD3'!$C$24:$O$71,4,FALSE))</f>
        <v>120</v>
      </c>
      <c r="F46" s="1151">
        <f>IF($C46=0,0,VLOOKUP($C46,'SD3'!$C$24:$O$71,12,FALSE))</f>
        <v>1.38</v>
      </c>
      <c r="G46" s="1150">
        <f>IF($C46=0,0,VLOOKUP($C46,'SD3'!$C$24:$O$71,13,FALSE))</f>
        <v>64.642445999999993</v>
      </c>
      <c r="H46" s="1147">
        <v>1</v>
      </c>
      <c r="I46" s="1146">
        <f t="shared" ref="I46:I56" si="4">$F46*H46</f>
        <v>1.38</v>
      </c>
      <c r="J46" s="1145">
        <f t="shared" ref="J46:J56" si="5">H46*$G46</f>
        <v>64.642445999999993</v>
      </c>
      <c r="K46" s="1147">
        <v>1</v>
      </c>
      <c r="L46" s="1149">
        <f t="shared" ref="L46:L56" si="6">$F46*K46</f>
        <v>1.38</v>
      </c>
      <c r="M46" s="1148">
        <f t="shared" ref="M46:M56" si="7">K46*$G46</f>
        <v>64.642445999999993</v>
      </c>
      <c r="N46" s="1147">
        <v>1</v>
      </c>
      <c r="O46" s="1146">
        <f t="shared" ref="O46:O56" si="8">$F46*N46</f>
        <v>1.38</v>
      </c>
      <c r="P46" s="1145">
        <f t="shared" ref="P46:P56" si="9">N46*$G46</f>
        <v>64.642445999999993</v>
      </c>
      <c r="Q46" s="28"/>
    </row>
    <row r="47" spans="1:17" s="36" customFormat="1" ht="15" customHeight="1">
      <c r="A47" s="746"/>
      <c r="B47" s="1153"/>
      <c r="C47" s="4387" t="s">
        <v>360</v>
      </c>
      <c r="D47" s="4388"/>
      <c r="E47" s="1152">
        <f>IF($C47=0,0,VLOOKUP($C47,'SD3'!$C$24:$O$71,4,FALSE))</f>
        <v>120</v>
      </c>
      <c r="F47" s="1151">
        <f>IF($C47=0,0,VLOOKUP($C47,'SD3'!$C$24:$O$71,12,FALSE))</f>
        <v>0.79</v>
      </c>
      <c r="G47" s="1150">
        <f>IF($C47=0,0,VLOOKUP($C47,'SD3'!$C$24:$O$71,13,FALSE))</f>
        <v>27.987262000000001</v>
      </c>
      <c r="H47" s="1147">
        <v>1</v>
      </c>
      <c r="I47" s="1146">
        <f t="shared" si="4"/>
        <v>0.79</v>
      </c>
      <c r="J47" s="1145">
        <f t="shared" si="5"/>
        <v>27.987262000000001</v>
      </c>
      <c r="K47" s="1147">
        <v>1</v>
      </c>
      <c r="L47" s="1149">
        <f t="shared" si="6"/>
        <v>0.79</v>
      </c>
      <c r="M47" s="1148">
        <f t="shared" si="7"/>
        <v>27.987262000000001</v>
      </c>
      <c r="N47" s="1147">
        <v>1</v>
      </c>
      <c r="O47" s="1146">
        <f t="shared" si="8"/>
        <v>0.79</v>
      </c>
      <c r="P47" s="1145">
        <f t="shared" si="9"/>
        <v>27.987262000000001</v>
      </c>
      <c r="Q47" s="28"/>
    </row>
    <row r="48" spans="1:17" s="36" customFormat="1" ht="15" customHeight="1">
      <c r="A48" s="746"/>
      <c r="B48" s="1153"/>
      <c r="C48" s="4387" t="s">
        <v>354</v>
      </c>
      <c r="D48" s="4388"/>
      <c r="E48" s="1152">
        <f>IF($C48=0,0,VLOOKUP($C48,'SD3'!$C$24:$O$71,4,FALSE))</f>
        <v>120</v>
      </c>
      <c r="F48" s="1151">
        <f>IF($C48=0,0,VLOOKUP($C48,'SD3'!$C$24:$O$71,12,FALSE))</f>
        <v>0.71</v>
      </c>
      <c r="G48" s="1150">
        <f>IF($C48=0,0,VLOOKUP($C48,'SD3'!$C$24:$O$71,13,FALSE))</f>
        <v>30.659437999999998</v>
      </c>
      <c r="H48" s="1147">
        <v>1</v>
      </c>
      <c r="I48" s="1146">
        <f t="shared" si="4"/>
        <v>0.71</v>
      </c>
      <c r="J48" s="1145">
        <f t="shared" si="5"/>
        <v>30.659437999999998</v>
      </c>
      <c r="K48" s="1147">
        <v>1</v>
      </c>
      <c r="L48" s="1149">
        <f t="shared" si="6"/>
        <v>0.71</v>
      </c>
      <c r="M48" s="1148">
        <f t="shared" si="7"/>
        <v>30.659437999999998</v>
      </c>
      <c r="N48" s="1147">
        <v>1</v>
      </c>
      <c r="O48" s="1146">
        <f t="shared" si="8"/>
        <v>0.71</v>
      </c>
      <c r="P48" s="1145">
        <f t="shared" si="9"/>
        <v>30.659437999999998</v>
      </c>
      <c r="Q48" s="28"/>
    </row>
    <row r="49" spans="1:17" s="36" customFormat="1" ht="15" customHeight="1">
      <c r="A49" s="746"/>
      <c r="B49" s="1153"/>
      <c r="C49" s="4387" t="s">
        <v>356</v>
      </c>
      <c r="D49" s="4388"/>
      <c r="E49" s="1152">
        <f>IF($C49=0,0,VLOOKUP($C49,'SD3'!$C$24:$O$71,4,FALSE))</f>
        <v>83</v>
      </c>
      <c r="F49" s="1151">
        <f>IF($C49=0,0,VLOOKUP($C49,'SD3'!$C$24:$O$71,12,FALSE))</f>
        <v>0.53</v>
      </c>
      <c r="G49" s="1150">
        <f>IF($C49=0,0,VLOOKUP($C49,'SD3'!$C$24:$O$71,13,FALSE))</f>
        <v>12.740039489999999</v>
      </c>
      <c r="H49" s="1147">
        <v>1</v>
      </c>
      <c r="I49" s="1146">
        <f t="shared" si="4"/>
        <v>0.53</v>
      </c>
      <c r="J49" s="1145">
        <f t="shared" si="5"/>
        <v>12.740039489999999</v>
      </c>
      <c r="K49" s="1147">
        <v>1</v>
      </c>
      <c r="L49" s="1149">
        <f t="shared" si="6"/>
        <v>0.53</v>
      </c>
      <c r="M49" s="1148">
        <f t="shared" si="7"/>
        <v>12.740039489999999</v>
      </c>
      <c r="N49" s="1147">
        <v>1</v>
      </c>
      <c r="O49" s="1146">
        <f t="shared" si="8"/>
        <v>0.53</v>
      </c>
      <c r="P49" s="1145">
        <f t="shared" si="9"/>
        <v>12.740039489999999</v>
      </c>
      <c r="Q49" s="28"/>
    </row>
    <row r="50" spans="1:17" s="36" customFormat="1" ht="15" customHeight="1">
      <c r="A50" s="746"/>
      <c r="B50" s="1153"/>
      <c r="C50" s="4387"/>
      <c r="D50" s="4388"/>
      <c r="E50" s="1152">
        <f>IF($C50=0,0,VLOOKUP($C50,'SD3'!$C$24:$O$71,4,FALSE))</f>
        <v>0</v>
      </c>
      <c r="F50" s="1151">
        <f>IF($C50=0,0,VLOOKUP($C50,'SD3'!$C$24:$O$71,12,FALSE))</f>
        <v>0</v>
      </c>
      <c r="G50" s="1150">
        <f>IF($C50=0,0,VLOOKUP($C50,'SD3'!$C$24:$O$71,13,FALSE))</f>
        <v>0</v>
      </c>
      <c r="H50" s="1147"/>
      <c r="I50" s="1146">
        <f t="shared" si="4"/>
        <v>0</v>
      </c>
      <c r="J50" s="1145">
        <f t="shared" si="5"/>
        <v>0</v>
      </c>
      <c r="K50" s="1147"/>
      <c r="L50" s="1149">
        <f t="shared" si="6"/>
        <v>0</v>
      </c>
      <c r="M50" s="1148">
        <f t="shared" si="7"/>
        <v>0</v>
      </c>
      <c r="N50" s="1147"/>
      <c r="O50" s="1146">
        <f t="shared" si="8"/>
        <v>0</v>
      </c>
      <c r="P50" s="1145">
        <f t="shared" si="9"/>
        <v>0</v>
      </c>
      <c r="Q50" s="28"/>
    </row>
    <row r="51" spans="1:17" s="36" customFormat="1" ht="15" customHeight="1">
      <c r="A51" s="746"/>
      <c r="B51" s="1153"/>
      <c r="C51" s="4387" t="s">
        <v>341</v>
      </c>
      <c r="D51" s="4388"/>
      <c r="E51" s="1152">
        <f>IF($C51=0,0,VLOOKUP($C51,'SD3'!$C$24:$O$71,4,FALSE))</f>
        <v>83</v>
      </c>
      <c r="F51" s="1151">
        <f>IF($C51=0,0,VLOOKUP($C51,'SD3'!$C$24:$O$71,12,FALSE))</f>
        <v>1.17</v>
      </c>
      <c r="G51" s="1150">
        <f>IF($C51=0,0,VLOOKUP($C51,'SD3'!$C$24:$O$71,13,FALSE))</f>
        <v>30.902852299999999</v>
      </c>
      <c r="H51" s="1147">
        <v>2</v>
      </c>
      <c r="I51" s="1146">
        <f t="shared" si="4"/>
        <v>2.34</v>
      </c>
      <c r="J51" s="1145">
        <f t="shared" si="5"/>
        <v>61.805704599999999</v>
      </c>
      <c r="K51" s="1147">
        <v>2</v>
      </c>
      <c r="L51" s="1149">
        <f t="shared" si="6"/>
        <v>2.34</v>
      </c>
      <c r="M51" s="1148">
        <f t="shared" si="7"/>
        <v>61.805704599999999</v>
      </c>
      <c r="N51" s="1147">
        <v>2</v>
      </c>
      <c r="O51" s="1146">
        <f t="shared" si="8"/>
        <v>2.34</v>
      </c>
      <c r="P51" s="1145">
        <f t="shared" si="9"/>
        <v>61.805704599999999</v>
      </c>
      <c r="Q51" s="28"/>
    </row>
    <row r="52" spans="1:17" s="36" customFormat="1" ht="15" customHeight="1">
      <c r="A52" s="746"/>
      <c r="B52" s="1153"/>
      <c r="C52" s="4387"/>
      <c r="D52" s="4388"/>
      <c r="E52" s="1152">
        <f>IF($C52=0,0,VLOOKUP($C52,'SD3'!$C$24:$O$71,4,FALSE))</f>
        <v>0</v>
      </c>
      <c r="F52" s="1151">
        <f>IF($C52=0,0,VLOOKUP($C52,'SD3'!$C$24:$O$71,12,FALSE))</f>
        <v>0</v>
      </c>
      <c r="G52" s="1150">
        <f>IF($C52=0,0,VLOOKUP($C52,'SD3'!$C$24:$O$71,13,FALSE))</f>
        <v>0</v>
      </c>
      <c r="H52" s="1147"/>
      <c r="I52" s="1146">
        <f t="shared" si="4"/>
        <v>0</v>
      </c>
      <c r="J52" s="1145">
        <f t="shared" si="5"/>
        <v>0</v>
      </c>
      <c r="K52" s="1147"/>
      <c r="L52" s="1149">
        <f t="shared" si="6"/>
        <v>0</v>
      </c>
      <c r="M52" s="1148">
        <f t="shared" si="7"/>
        <v>0</v>
      </c>
      <c r="N52" s="1147"/>
      <c r="O52" s="1146">
        <f t="shared" si="8"/>
        <v>0</v>
      </c>
      <c r="P52" s="1145">
        <f t="shared" si="9"/>
        <v>0</v>
      </c>
      <c r="Q52" s="28"/>
    </row>
    <row r="53" spans="1:17" s="36" customFormat="1" ht="15" customHeight="1">
      <c r="A53" s="746"/>
      <c r="B53" s="1153"/>
      <c r="C53" s="4387"/>
      <c r="D53" s="4388"/>
      <c r="E53" s="1152">
        <f>IF($C53=0,0,VLOOKUP($C53,'SD3'!$C$24:$O$71,4,FALSE))</f>
        <v>0</v>
      </c>
      <c r="F53" s="1151">
        <f>IF($C53=0,0,VLOOKUP($C53,'SD3'!$C$24:$O$71,12,FALSE))</f>
        <v>0</v>
      </c>
      <c r="G53" s="1150">
        <f>IF($C53=0,0,VLOOKUP($C53,'SD3'!$C$24:$O$71,13,FALSE))</f>
        <v>0</v>
      </c>
      <c r="H53" s="1147"/>
      <c r="I53" s="1146">
        <f t="shared" si="4"/>
        <v>0</v>
      </c>
      <c r="J53" s="1145">
        <f t="shared" si="5"/>
        <v>0</v>
      </c>
      <c r="K53" s="1147"/>
      <c r="L53" s="1149">
        <f t="shared" si="6"/>
        <v>0</v>
      </c>
      <c r="M53" s="1148">
        <f t="shared" si="7"/>
        <v>0</v>
      </c>
      <c r="N53" s="1147"/>
      <c r="O53" s="1146">
        <f t="shared" si="8"/>
        <v>0</v>
      </c>
      <c r="P53" s="1145">
        <f t="shared" si="9"/>
        <v>0</v>
      </c>
      <c r="Q53" s="28"/>
    </row>
    <row r="54" spans="1:17" s="36" customFormat="1" ht="15" customHeight="1">
      <c r="A54" s="746"/>
      <c r="B54" s="1153"/>
      <c r="C54" s="4387"/>
      <c r="D54" s="4388"/>
      <c r="E54" s="1152">
        <f>IF($C54=0,0,VLOOKUP($C54,'SD3'!$C$24:$O$71,4,FALSE))</f>
        <v>0</v>
      </c>
      <c r="F54" s="1151">
        <f>IF($C54=0,0,VLOOKUP($C54,'SD3'!$C$24:$O$71,12,FALSE))</f>
        <v>0</v>
      </c>
      <c r="G54" s="1150">
        <f>IF($C54=0,0,VLOOKUP($C54,'SD3'!$C$24:$O$71,13,FALSE))</f>
        <v>0</v>
      </c>
      <c r="H54" s="1147"/>
      <c r="I54" s="1146">
        <f t="shared" si="4"/>
        <v>0</v>
      </c>
      <c r="J54" s="1145">
        <f t="shared" si="5"/>
        <v>0</v>
      </c>
      <c r="K54" s="1147"/>
      <c r="L54" s="1149">
        <f t="shared" si="6"/>
        <v>0</v>
      </c>
      <c r="M54" s="1148">
        <f t="shared" si="7"/>
        <v>0</v>
      </c>
      <c r="N54" s="1147"/>
      <c r="O54" s="1146">
        <f t="shared" si="8"/>
        <v>0</v>
      </c>
      <c r="P54" s="1145">
        <f t="shared" si="9"/>
        <v>0</v>
      </c>
      <c r="Q54" s="28"/>
    </row>
    <row r="55" spans="1:17" s="36" customFormat="1" ht="15" customHeight="1">
      <c r="A55" s="746"/>
      <c r="B55" s="1153"/>
      <c r="C55" s="4445"/>
      <c r="D55" s="4446"/>
      <c r="E55" s="1152">
        <f>IF($C55=0,0,VLOOKUP($C55,'SD3'!$C$24:$O$71,4,FALSE))</f>
        <v>0</v>
      </c>
      <c r="F55" s="1151">
        <f>IF($C55=0,0,VLOOKUP($C55,'SD3'!$C$24:$O$71,12,FALSE))</f>
        <v>0</v>
      </c>
      <c r="G55" s="1150">
        <f>IF($C55=0,0,VLOOKUP($C55,'SD3'!$C$24:$O$71,13,FALSE))</f>
        <v>0</v>
      </c>
      <c r="H55" s="1147"/>
      <c r="I55" s="1146">
        <f t="shared" si="4"/>
        <v>0</v>
      </c>
      <c r="J55" s="1145">
        <f t="shared" si="5"/>
        <v>0</v>
      </c>
      <c r="K55" s="1147"/>
      <c r="L55" s="1149">
        <f t="shared" si="6"/>
        <v>0</v>
      </c>
      <c r="M55" s="1148">
        <f t="shared" si="7"/>
        <v>0</v>
      </c>
      <c r="N55" s="1147"/>
      <c r="O55" s="1146">
        <f t="shared" si="8"/>
        <v>0</v>
      </c>
      <c r="P55" s="1145">
        <f t="shared" si="9"/>
        <v>0</v>
      </c>
      <c r="Q55" s="28"/>
    </row>
    <row r="56" spans="1:17" s="36" customFormat="1" ht="13.8">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8"/>
    </row>
    <row r="57" spans="1:17" s="36" customFormat="1" ht="35.4" customHeight="1">
      <c r="A57" s="746"/>
      <c r="B57" s="1084"/>
      <c r="C57" s="4448"/>
      <c r="D57" s="4449"/>
      <c r="E57" s="2589">
        <f>IF($C57=0,0,VLOOKUP($C57,'SD3'!$C$24:$O$71,4,FALSE))</f>
        <v>0</v>
      </c>
      <c r="F57" s="2590">
        <f>IF($C57=0,0,VLOOKUP($C57,'SD3'!$C$24:$O$71,12,FALSE))</f>
        <v>0</v>
      </c>
      <c r="G57" s="2591">
        <f>IF($C57=0,0,VLOOKUP($C57,'SD3'!$C$24:$O$71,13,FALSE))</f>
        <v>0</v>
      </c>
      <c r="H57" s="2637"/>
      <c r="I57" s="2638">
        <f>$F57*H57</f>
        <v>0</v>
      </c>
      <c r="J57" s="2639">
        <f>H57*$G57</f>
        <v>0</v>
      </c>
      <c r="K57" s="2637"/>
      <c r="L57" s="2640">
        <f>$F57*K57</f>
        <v>0</v>
      </c>
      <c r="M57" s="2641">
        <f>K57*$G57</f>
        <v>0</v>
      </c>
      <c r="N57" s="2637"/>
      <c r="O57" s="2638">
        <f>$F57*N57</f>
        <v>0</v>
      </c>
      <c r="P57" s="2639">
        <f>N57*$G57</f>
        <v>0</v>
      </c>
      <c r="Q57" s="28"/>
    </row>
    <row r="58" spans="1:17" s="511" customFormat="1" ht="18.75" customHeight="1">
      <c r="A58" s="711"/>
      <c r="B58" s="716" t="s">
        <v>848</v>
      </c>
      <c r="C58" s="811"/>
      <c r="D58" s="811"/>
      <c r="E58" s="811"/>
      <c r="F58" s="34"/>
      <c r="G58" s="1047"/>
      <c r="H58" s="1124"/>
      <c r="I58" s="1123">
        <f>SUM($I$46:$I$57)</f>
        <v>5.75</v>
      </c>
      <c r="J58" s="1128"/>
      <c r="K58" s="1127"/>
      <c r="L58" s="1126">
        <f>SUM($L$46:$L$57)</f>
        <v>5.75</v>
      </c>
      <c r="M58" s="1125"/>
      <c r="N58" s="1124"/>
      <c r="O58" s="1123">
        <f>SUM($O$46:$O$57)</f>
        <v>5.75</v>
      </c>
      <c r="P58" s="1122"/>
      <c r="Q58" s="28"/>
    </row>
    <row r="59" spans="1:17" s="511" customFormat="1" ht="15" customHeight="1">
      <c r="A59" s="711"/>
      <c r="B59" s="1121"/>
      <c r="C59" s="285"/>
      <c r="D59" s="222" t="s">
        <v>847</v>
      </c>
      <c r="E59" s="1120">
        <v>80</v>
      </c>
      <c r="F59" s="285" t="s">
        <v>846</v>
      </c>
      <c r="G59" s="1119"/>
      <c r="H59" s="1115"/>
      <c r="I59" s="1114">
        <f>IF(I58+SUM($I$46:$I$57)*$E$59%&gt;I58+10,I58+10,I58+SUM($I$46:$I$57)*$E$59%)</f>
        <v>10.350000000000001</v>
      </c>
      <c r="J59" s="1113"/>
      <c r="K59" s="1118"/>
      <c r="L59" s="1117">
        <f>IF(L58+SUM($L$46:$L$57)*$E$59%&gt;L58+10,L58+10,L58+SUM($L$46:$L$57)*$E$59%)</f>
        <v>10.350000000000001</v>
      </c>
      <c r="M59" s="1116"/>
      <c r="N59" s="1115"/>
      <c r="O59" s="1114">
        <f>IF(O58+SUM($O$46:$O$57)*$E$59%&gt;O58+10,O58+10,O58+SUM($O$46:$O$57)*$E$59%)</f>
        <v>10.350000000000001</v>
      </c>
      <c r="P59" s="1113"/>
      <c r="Q59" s="28"/>
    </row>
    <row r="60" spans="1:17" s="46" customFormat="1" ht="18.75" customHeight="1">
      <c r="A60" s="811"/>
      <c r="B60" s="716" t="s">
        <v>845</v>
      </c>
      <c r="C60" s="811"/>
      <c r="D60" s="811"/>
      <c r="E60" s="39"/>
      <c r="F60" s="39"/>
      <c r="G60" s="1112"/>
      <c r="H60" s="1104"/>
      <c r="I60" s="1103"/>
      <c r="J60" s="1111">
        <f>IF(J6=0,0,SUM(I62:I64))</f>
        <v>0</v>
      </c>
      <c r="K60" s="1107"/>
      <c r="L60" s="1106"/>
      <c r="M60" s="1044">
        <f>IF(M6=0,0,SUM(L62:L64))</f>
        <v>0</v>
      </c>
      <c r="N60" s="1104"/>
      <c r="O60" s="1103"/>
      <c r="P60" s="1111">
        <f>IF(P6=0,0,SUM(O62:O64))</f>
        <v>0</v>
      </c>
      <c r="Q60" s="28"/>
    </row>
    <row r="61" spans="1:17"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c r="D62" s="4365"/>
      <c r="E62" s="4365"/>
      <c r="F62" s="1101">
        <f>IF($C62=0,0,VLOOKUP($C62,'SD3'!$C$90:$D$104,2,FALSE))</f>
        <v>0</v>
      </c>
      <c r="G62" s="1100">
        <f>(100+$D$61)/100*F62</f>
        <v>0</v>
      </c>
      <c r="H62" s="173"/>
      <c r="I62" s="1096">
        <f>$G$62</f>
        <v>0</v>
      </c>
      <c r="J62" s="173"/>
      <c r="K62" s="1099"/>
      <c r="L62" s="1098">
        <f>$G$62</f>
        <v>0</v>
      </c>
      <c r="M62" s="1016"/>
      <c r="N62" s="1097"/>
      <c r="O62" s="1096">
        <f>$G$62</f>
        <v>0</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4.4"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15.6" customHeight="1">
      <c r="A67" s="711"/>
      <c r="B67" s="716" t="s">
        <v>843</v>
      </c>
      <c r="C67" s="711"/>
      <c r="D67" s="711"/>
      <c r="E67" s="175"/>
      <c r="F67" s="1069"/>
      <c r="G67" s="1047"/>
      <c r="H67" s="1066" t="s">
        <v>842</v>
      </c>
      <c r="I67" s="1065" t="s">
        <v>841</v>
      </c>
      <c r="J67" s="1041">
        <f>R68*(H9+H10)*I68%+F68</f>
        <v>0</v>
      </c>
      <c r="K67" s="1068" t="s">
        <v>842</v>
      </c>
      <c r="L67" s="1067" t="s">
        <v>841</v>
      </c>
      <c r="M67" s="1044">
        <f>S68*(K9+K10)*L68%+F68</f>
        <v>0</v>
      </c>
      <c r="N67" s="1066" t="s">
        <v>842</v>
      </c>
      <c r="O67" s="1065" t="s">
        <v>841</v>
      </c>
      <c r="P67" s="1041">
        <f>T68*(N9+N10)*O68%+F68</f>
        <v>0</v>
      </c>
      <c r="Q67" s="28"/>
    </row>
    <row r="68" spans="1:20" s="511" customFormat="1" ht="18" customHeight="1">
      <c r="A68" s="711"/>
      <c r="B68" s="1064"/>
      <c r="C68" s="4393" t="s">
        <v>564</v>
      </c>
      <c r="D68" s="4393"/>
      <c r="E68" s="4393"/>
      <c r="F68" s="1063"/>
      <c r="G68" s="1054" t="s">
        <v>163</v>
      </c>
      <c r="H68" s="1061"/>
      <c r="I68" s="1060">
        <v>50</v>
      </c>
      <c r="J68" s="1059"/>
      <c r="K68" s="1061"/>
      <c r="L68" s="1060">
        <v>50</v>
      </c>
      <c r="M68" s="1062"/>
      <c r="N68" s="1061"/>
      <c r="O68" s="1060">
        <v>50</v>
      </c>
      <c r="P68" s="1059"/>
      <c r="Q68" s="28"/>
      <c r="R68" s="1369">
        <f>IF($H$68=0,0,VLOOKUP($H$68,'SD6'!B8:C101,'SD6'!C1,FALSE))*(1+'SDK1'!O11/100)</f>
        <v>0</v>
      </c>
      <c r="S68" s="1058">
        <f>IF($K$64=0,0,VLOOKUP($K$64,#REF!,2,FALSE))</f>
        <v>0</v>
      </c>
      <c r="T68" s="1369">
        <f>IF($N$64=0,0,VLOOKUP($N$64,#REF!,2,FALSE))</f>
        <v>0</v>
      </c>
    </row>
    <row r="69" spans="1:20" s="511" customFormat="1" ht="18" customHeight="1">
      <c r="A69" s="711"/>
      <c r="B69" s="716" t="s">
        <v>839</v>
      </c>
      <c r="C69" s="711"/>
      <c r="D69" s="711"/>
      <c r="E69" s="34"/>
      <c r="F69" s="34"/>
      <c r="G69" s="1047"/>
      <c r="H69" s="38"/>
      <c r="I69" s="51"/>
      <c r="J69" s="1041">
        <f>H70*$F70/1000</f>
        <v>0</v>
      </c>
      <c r="K69" s="1057"/>
      <c r="L69" s="1056"/>
      <c r="M69" s="1044">
        <f>K70*$F70/1000</f>
        <v>0</v>
      </c>
      <c r="N69" s="38"/>
      <c r="O69" s="51"/>
      <c r="P69" s="1041">
        <f>N70*$F70/1000</f>
        <v>0</v>
      </c>
      <c r="Q69" s="28"/>
    </row>
    <row r="70" spans="1:20" s="511" customFormat="1" ht="18" customHeight="1">
      <c r="A70" s="711"/>
      <c r="B70" s="772"/>
      <c r="C70" s="771" t="s">
        <v>606</v>
      </c>
      <c r="D70" s="285"/>
      <c r="E70" s="222"/>
      <c r="F70" s="3743"/>
      <c r="G70" s="1054" t="s">
        <v>163</v>
      </c>
      <c r="H70" s="1050">
        <f>J7</f>
        <v>0</v>
      </c>
      <c r="I70" s="1049"/>
      <c r="J70" s="1048"/>
      <c r="K70" s="1053">
        <f>M7</f>
        <v>0</v>
      </c>
      <c r="L70" s="1052"/>
      <c r="M70" s="1051"/>
      <c r="N70" s="1050">
        <f>P7</f>
        <v>0</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7</v>
      </c>
      <c r="H75" s="1007"/>
      <c r="I75" s="1008"/>
      <c r="J75" s="1005">
        <f>(J23+J34+J43+J60+J65+J67+J69+J71)*('SDK1'!$O$59%*$G$75/12)</f>
        <v>4.6670737177166668</v>
      </c>
      <c r="K75" s="2223"/>
      <c r="L75" s="522"/>
      <c r="M75" s="1005">
        <f>(M23++M34+M43+M60+M65+M67+M69+M71)*('SDK1'!$O$59%*$G$75/12)</f>
        <v>4.6670737177166668</v>
      </c>
      <c r="N75" s="1007"/>
      <c r="O75" s="1006"/>
      <c r="P75" s="1005">
        <f>(P23+P34+P43+P60+P65+P67+P69+P71)*('SDK1'!$O$59%*$G$75/12)</f>
        <v>4.6670737177166668</v>
      </c>
      <c r="Q75" s="28"/>
    </row>
    <row r="78" spans="1:20" ht="13.8" hidden="1">
      <c r="C78" s="4450" t="s">
        <v>1385</v>
      </c>
      <c r="D78" s="4451"/>
      <c r="E78" s="4451"/>
      <c r="F78" s="4452"/>
      <c r="G78" s="29"/>
      <c r="H78" s="29"/>
      <c r="I78" s="29"/>
      <c r="L78" s="29"/>
    </row>
    <row r="79" spans="1:20" hidden="1">
      <c r="C79" s="4453" t="s">
        <v>285</v>
      </c>
      <c r="D79" s="4454"/>
      <c r="E79" s="4454"/>
      <c r="F79" s="4455"/>
      <c r="G79" s="29"/>
      <c r="H79" s="29"/>
      <c r="I79" s="29"/>
      <c r="L79" s="29"/>
      <c r="N79" s="29"/>
      <c r="O79" s="29"/>
      <c r="P79" s="29"/>
    </row>
    <row r="80" spans="1:20" ht="13.8" hidden="1">
      <c r="B80" s="2237"/>
      <c r="C80" s="2234" t="s">
        <v>1381</v>
      </c>
      <c r="D80" s="2235"/>
      <c r="E80" s="2235"/>
      <c r="F80" s="2236"/>
      <c r="G80" s="29"/>
      <c r="H80" s="29"/>
      <c r="I80" s="29"/>
      <c r="J80" s="2237"/>
      <c r="K80" s="2237"/>
      <c r="L80" s="29"/>
      <c r="M80" s="2237"/>
      <c r="N80" s="29"/>
      <c r="O80" s="29"/>
      <c r="P80" s="29"/>
    </row>
    <row r="81" spans="2:16" ht="13.8" hidden="1">
      <c r="B81" s="2237"/>
      <c r="C81" s="2234" t="s">
        <v>1382</v>
      </c>
      <c r="D81" s="2235"/>
      <c r="E81" s="2235"/>
      <c r="F81" s="2236"/>
      <c r="G81" s="29"/>
      <c r="H81" s="29"/>
      <c r="I81" s="29"/>
      <c r="J81" s="2237"/>
      <c r="K81" s="2237"/>
      <c r="L81" s="29"/>
      <c r="M81" s="2237"/>
      <c r="N81" s="29"/>
      <c r="O81" s="29"/>
      <c r="P81" s="29"/>
    </row>
    <row r="82" spans="2:16" hidden="1">
      <c r="B82" s="2237"/>
      <c r="C82" s="2226" t="s">
        <v>284</v>
      </c>
      <c r="D82" s="2227"/>
      <c r="E82" s="2227"/>
      <c r="F82" s="2228"/>
      <c r="G82" s="29"/>
      <c r="H82" s="29"/>
      <c r="I82" s="29"/>
      <c r="J82" s="2237"/>
      <c r="K82" s="2237"/>
      <c r="L82" s="29"/>
      <c r="M82" s="2237"/>
      <c r="N82" s="29"/>
      <c r="O82" s="29"/>
      <c r="P82" s="29"/>
    </row>
    <row r="83" spans="2:16" ht="13.8" hidden="1">
      <c r="B83" s="2237"/>
      <c r="C83" s="2234" t="s">
        <v>1383</v>
      </c>
      <c r="D83" s="2235"/>
      <c r="E83" s="2235"/>
      <c r="F83" s="2236"/>
      <c r="G83" s="29"/>
      <c r="H83" s="29"/>
      <c r="I83" s="29"/>
      <c r="J83" s="2237"/>
      <c r="K83" s="2237"/>
      <c r="L83" s="29"/>
      <c r="M83" s="2237"/>
      <c r="N83" s="29"/>
      <c r="O83" s="29"/>
      <c r="P83" s="29"/>
    </row>
    <row r="84" spans="2:16" ht="13.8" hidden="1">
      <c r="B84" s="2237"/>
      <c r="C84" s="2234" t="s">
        <v>1384</v>
      </c>
      <c r="D84" s="2235"/>
      <c r="E84" s="2235"/>
      <c r="F84" s="2236"/>
      <c r="G84" s="29"/>
      <c r="H84" s="29"/>
      <c r="I84" s="29"/>
      <c r="J84" s="2237"/>
      <c r="K84" s="2237"/>
      <c r="L84" s="29"/>
      <c r="M84" s="2237"/>
      <c r="N84" s="29"/>
      <c r="O84" s="29"/>
      <c r="P84" s="29"/>
    </row>
    <row r="85" spans="2:16" hidden="1">
      <c r="B85" s="2237"/>
      <c r="C85" s="2226" t="s">
        <v>283</v>
      </c>
      <c r="D85" s="2227"/>
      <c r="E85" s="2227"/>
      <c r="F85" s="2228"/>
      <c r="G85" s="29"/>
      <c r="H85" s="29"/>
      <c r="I85" s="29"/>
      <c r="J85" s="2237"/>
      <c r="K85" s="2237"/>
      <c r="L85" s="29"/>
      <c r="M85" s="2237"/>
      <c r="N85" s="29"/>
      <c r="O85" s="29"/>
      <c r="P85" s="29"/>
    </row>
    <row r="86" spans="2:16" hidden="1">
      <c r="B86" s="2237"/>
      <c r="C86" s="2226" t="s">
        <v>282</v>
      </c>
      <c r="D86" s="2227"/>
      <c r="E86" s="2227"/>
      <c r="F86" s="2228"/>
      <c r="G86" s="29"/>
      <c r="H86" s="29"/>
      <c r="I86" s="29"/>
      <c r="J86" s="2237"/>
      <c r="K86" s="2237"/>
      <c r="L86" s="29"/>
      <c r="M86" s="2237"/>
      <c r="N86" s="29"/>
      <c r="O86" s="29"/>
      <c r="P86" s="29"/>
    </row>
    <row r="87" spans="2:16" ht="15.6" hidden="1">
      <c r="B87" s="2237"/>
      <c r="C87" s="2226" t="s">
        <v>281</v>
      </c>
      <c r="D87" s="2227"/>
      <c r="E87" s="2227"/>
      <c r="F87" s="2228"/>
      <c r="G87" s="29"/>
      <c r="H87" s="29"/>
      <c r="I87" s="29"/>
      <c r="J87" s="2237"/>
      <c r="K87" s="2237"/>
      <c r="L87" s="29"/>
      <c r="M87" s="2237"/>
      <c r="N87" s="29"/>
      <c r="O87" s="29"/>
      <c r="P87" s="29"/>
    </row>
    <row r="88" spans="2:16" ht="13.2" hidden="1" customHeight="1">
      <c r="B88" s="2237"/>
      <c r="C88" s="2226" t="s">
        <v>280</v>
      </c>
      <c r="D88" s="2229"/>
      <c r="E88" s="2229"/>
      <c r="F88" s="2230"/>
      <c r="G88" s="29"/>
      <c r="H88" s="29"/>
      <c r="I88" s="29"/>
      <c r="J88" s="2237"/>
      <c r="K88" s="2237"/>
      <c r="L88" s="29"/>
      <c r="M88" s="2237"/>
      <c r="N88" s="29"/>
      <c r="O88" s="29"/>
      <c r="P88" s="29"/>
    </row>
    <row r="89" spans="2:16" hidden="1">
      <c r="B89" s="2237"/>
      <c r="C89" s="2226" t="s">
        <v>279</v>
      </c>
      <c r="D89" s="2229"/>
      <c r="E89" s="2229"/>
      <c r="F89" s="2230"/>
      <c r="G89" s="29"/>
      <c r="H89" s="29"/>
      <c r="I89" s="29"/>
      <c r="J89" s="2237"/>
      <c r="K89" s="2237"/>
      <c r="L89" s="29"/>
      <c r="M89" s="2237"/>
      <c r="N89" s="29"/>
      <c r="O89" s="29"/>
      <c r="P89" s="29"/>
    </row>
    <row r="90" spans="2:16" ht="13.95" hidden="1" customHeight="1">
      <c r="B90" s="2237"/>
      <c r="C90" s="2247" t="s">
        <v>278</v>
      </c>
      <c r="D90" s="2232"/>
      <c r="E90" s="2232"/>
      <c r="F90" s="2233"/>
      <c r="H90" s="2237"/>
      <c r="I90" s="2237"/>
      <c r="J90" s="2237"/>
      <c r="K90" s="2237"/>
      <c r="L90" s="29"/>
      <c r="M90" s="2237"/>
      <c r="N90" s="29"/>
      <c r="O90" s="29"/>
      <c r="P90" s="29"/>
    </row>
    <row r="91" spans="2:16" hidden="1">
      <c r="B91" s="2237"/>
      <c r="C91" s="29"/>
      <c r="D91" s="29"/>
      <c r="E91" s="29"/>
      <c r="F91" s="2237"/>
      <c r="G91" s="29"/>
      <c r="H91" s="29"/>
      <c r="I91" s="29"/>
      <c r="J91" s="2237"/>
      <c r="K91" s="2237"/>
      <c r="L91" s="29"/>
      <c r="M91" s="2237"/>
      <c r="N91" s="29"/>
      <c r="O91" s="29"/>
      <c r="P91" s="29"/>
    </row>
    <row r="92" spans="2:16" ht="13.2" hidden="1" customHeight="1">
      <c r="B92" s="2237"/>
      <c r="C92" s="29"/>
      <c r="D92" s="29"/>
      <c r="E92" s="29"/>
      <c r="F92" s="2237"/>
      <c r="G92" s="29"/>
      <c r="H92" s="29"/>
      <c r="I92" s="29"/>
      <c r="J92" s="2237"/>
      <c r="K92" s="2237"/>
      <c r="L92" s="29"/>
      <c r="M92" s="2237"/>
      <c r="N92" s="29"/>
      <c r="O92" s="29"/>
      <c r="P92" s="29"/>
    </row>
    <row r="93" spans="2:16" hidden="1">
      <c r="B93" s="2237"/>
      <c r="C93" s="29"/>
      <c r="D93" s="29"/>
      <c r="E93" s="29"/>
      <c r="F93" s="2237"/>
      <c r="G93" s="29"/>
      <c r="H93" s="29"/>
      <c r="I93" s="29"/>
      <c r="J93" s="2237"/>
      <c r="K93" s="2237"/>
      <c r="L93" s="29"/>
      <c r="M93" s="2237"/>
      <c r="N93" s="29"/>
      <c r="O93" s="29"/>
      <c r="P93" s="29"/>
    </row>
    <row r="94" spans="2:16">
      <c r="B94" s="2237"/>
      <c r="C94" s="29"/>
      <c r="D94" s="29"/>
      <c r="E94" s="29"/>
      <c r="F94" s="2237"/>
      <c r="G94" s="29"/>
      <c r="H94" s="29"/>
      <c r="I94" s="29"/>
      <c r="J94" s="2237"/>
      <c r="K94" s="2237"/>
      <c r="L94" s="29"/>
      <c r="M94" s="2237"/>
      <c r="N94" s="29"/>
      <c r="O94" s="29"/>
      <c r="P94" s="29"/>
    </row>
    <row r="95" spans="2:16">
      <c r="B95" s="2237"/>
      <c r="C95" s="29"/>
      <c r="D95" s="29"/>
      <c r="E95" s="29"/>
      <c r="F95" s="2237"/>
      <c r="G95" s="29"/>
      <c r="H95" s="29"/>
      <c r="I95" s="29"/>
      <c r="J95" s="2237"/>
      <c r="K95" s="2237"/>
      <c r="L95" s="29"/>
      <c r="M95" s="2237"/>
      <c r="N95" s="29"/>
      <c r="O95" s="29"/>
      <c r="P95" s="29"/>
    </row>
    <row r="96" spans="2:16">
      <c r="B96" s="2237"/>
      <c r="C96" s="29"/>
      <c r="D96" s="29"/>
      <c r="E96" s="29"/>
      <c r="F96" s="2237"/>
      <c r="G96" s="29"/>
      <c r="H96" s="29"/>
      <c r="I96" s="29"/>
      <c r="J96" s="2237"/>
      <c r="K96" s="2237"/>
      <c r="L96" s="29"/>
      <c r="M96" s="2237"/>
      <c r="N96" s="29"/>
      <c r="O96" s="29"/>
      <c r="P96" s="29"/>
    </row>
    <row r="97" spans="2:16">
      <c r="B97" s="2237"/>
      <c r="C97" s="29"/>
      <c r="D97" s="29"/>
      <c r="E97" s="29"/>
      <c r="F97" s="2237"/>
      <c r="G97" s="29"/>
      <c r="H97" s="29"/>
      <c r="I97" s="29"/>
      <c r="J97" s="2237"/>
      <c r="K97" s="2237"/>
      <c r="L97" s="29"/>
      <c r="M97" s="2237"/>
      <c r="N97" s="29"/>
      <c r="O97" s="29"/>
      <c r="P97" s="29"/>
    </row>
    <row r="98" spans="2:16">
      <c r="B98" s="2237"/>
      <c r="C98" s="29"/>
      <c r="D98" s="29"/>
      <c r="E98" s="29"/>
      <c r="F98" s="2237"/>
      <c r="G98" s="29"/>
      <c r="H98" s="29"/>
      <c r="I98" s="29"/>
      <c r="J98" s="2237"/>
      <c r="K98" s="2237"/>
      <c r="L98" s="29"/>
      <c r="M98" s="2237"/>
      <c r="N98" s="29"/>
      <c r="O98" s="29"/>
      <c r="P98" s="29"/>
    </row>
    <row r="99" spans="2:16">
      <c r="B99" s="2237"/>
      <c r="C99" s="29"/>
      <c r="D99" s="29"/>
      <c r="E99" s="29"/>
      <c r="F99" s="2237"/>
      <c r="G99" s="29"/>
      <c r="H99" s="29"/>
      <c r="I99" s="29"/>
      <c r="J99" s="2237"/>
      <c r="K99" s="2237"/>
      <c r="L99" s="29"/>
      <c r="M99" s="2237"/>
      <c r="N99" s="29"/>
      <c r="O99" s="29"/>
      <c r="P99" s="29"/>
    </row>
    <row r="100" spans="2:16">
      <c r="B100" s="2237"/>
      <c r="C100" s="29"/>
      <c r="D100" s="29"/>
      <c r="E100" s="29"/>
      <c r="F100" s="2237"/>
      <c r="G100" s="29"/>
      <c r="H100" s="29"/>
      <c r="I100" s="29"/>
      <c r="J100" s="2237"/>
      <c r="K100" s="2237"/>
      <c r="L100" s="29"/>
      <c r="M100" s="2237"/>
      <c r="N100" s="29"/>
      <c r="O100" s="29"/>
      <c r="P100" s="29"/>
    </row>
    <row r="101" spans="2:16">
      <c r="B101" s="29"/>
      <c r="C101" s="29"/>
      <c r="D101" s="29"/>
      <c r="E101" s="29"/>
      <c r="F101" s="2237"/>
      <c r="G101" s="29"/>
      <c r="H101" s="29"/>
      <c r="I101" s="29"/>
      <c r="J101" s="2237"/>
      <c r="K101" s="2237"/>
      <c r="L101" s="29"/>
      <c r="M101" s="2237"/>
      <c r="N101" s="29"/>
      <c r="O101" s="29"/>
      <c r="P101" s="29"/>
    </row>
    <row r="102" spans="2:16">
      <c r="B102" s="29"/>
      <c r="C102" s="29"/>
      <c r="D102" s="29"/>
      <c r="E102" s="29"/>
      <c r="F102" s="2237"/>
      <c r="G102" s="29"/>
      <c r="H102" s="29"/>
      <c r="I102" s="29"/>
      <c r="J102" s="2237"/>
      <c r="K102" s="2237"/>
      <c r="L102" s="29"/>
      <c r="M102" s="2237"/>
      <c r="N102" s="29"/>
      <c r="O102" s="29"/>
      <c r="P102" s="29"/>
    </row>
    <row r="103" spans="2:16">
      <c r="B103" s="29"/>
      <c r="C103" s="29"/>
      <c r="D103" s="29"/>
      <c r="E103" s="29"/>
      <c r="F103" s="2237"/>
      <c r="G103" s="29"/>
      <c r="H103" s="29"/>
      <c r="I103" s="29"/>
      <c r="J103" s="2237"/>
      <c r="K103" s="2237"/>
      <c r="L103" s="29"/>
      <c r="M103" s="2237"/>
      <c r="N103" s="29"/>
      <c r="O103" s="29"/>
      <c r="P103" s="29"/>
    </row>
    <row r="104" spans="2:16">
      <c r="B104" s="29"/>
      <c r="C104" s="29"/>
      <c r="D104" s="29"/>
      <c r="E104" s="29"/>
      <c r="F104" s="2237"/>
      <c r="G104" s="29"/>
      <c r="H104" s="29"/>
      <c r="I104" s="29"/>
      <c r="J104" s="2237"/>
      <c r="K104" s="2237"/>
      <c r="L104" s="29"/>
      <c r="M104" s="2237"/>
      <c r="N104" s="29"/>
      <c r="O104" s="29"/>
      <c r="P104" s="29"/>
    </row>
    <row r="105" spans="2:16">
      <c r="B105" s="29"/>
      <c r="C105" s="29"/>
      <c r="D105" s="29"/>
      <c r="E105" s="2237"/>
      <c r="F105" s="2237"/>
      <c r="G105" s="29"/>
      <c r="H105" s="29"/>
      <c r="I105" s="29"/>
      <c r="J105" s="2237"/>
      <c r="K105" s="2237"/>
      <c r="L105" s="29"/>
      <c r="M105" s="2237"/>
      <c r="N105" s="29"/>
      <c r="O105" s="29"/>
      <c r="P105" s="29"/>
    </row>
    <row r="106" spans="2:16">
      <c r="B106" s="29"/>
      <c r="C106" s="29"/>
      <c r="D106" s="29"/>
      <c r="E106" s="2237"/>
      <c r="F106" s="2237"/>
      <c r="G106" s="29"/>
      <c r="H106" s="29"/>
      <c r="I106" s="29"/>
      <c r="J106" s="2237"/>
      <c r="K106" s="2237"/>
      <c r="L106" s="29"/>
      <c r="M106" s="2237"/>
      <c r="N106" s="29"/>
      <c r="O106" s="29"/>
      <c r="P106" s="29"/>
    </row>
    <row r="107" spans="2:16">
      <c r="B107" s="29"/>
      <c r="C107" s="29"/>
      <c r="D107" s="29"/>
      <c r="E107" s="2237"/>
      <c r="F107" s="2237"/>
      <c r="G107" s="29"/>
      <c r="H107" s="29"/>
      <c r="I107" s="29"/>
      <c r="J107" s="2237"/>
      <c r="K107" s="2237"/>
      <c r="L107" s="29"/>
      <c r="M107" s="2237"/>
      <c r="N107" s="29"/>
      <c r="O107" s="29"/>
      <c r="P107" s="29"/>
    </row>
    <row r="108" spans="2:16">
      <c r="B108" s="29"/>
      <c r="C108" s="29"/>
      <c r="D108" s="29"/>
      <c r="E108" s="2237"/>
      <c r="F108" s="2237"/>
      <c r="G108" s="29"/>
      <c r="H108" s="29"/>
      <c r="I108" s="29"/>
      <c r="J108" s="2237"/>
      <c r="K108" s="2237"/>
      <c r="L108" s="29"/>
      <c r="M108" s="2237"/>
      <c r="N108" s="29"/>
      <c r="O108" s="29"/>
      <c r="P108" s="29"/>
    </row>
    <row r="109" spans="2:16">
      <c r="B109" s="29"/>
      <c r="C109" s="29"/>
      <c r="D109" s="29"/>
      <c r="E109" s="2237"/>
      <c r="F109" s="2237"/>
      <c r="G109" s="29"/>
      <c r="H109" s="29"/>
      <c r="I109" s="29"/>
      <c r="J109" s="2237"/>
      <c r="K109" s="2237"/>
      <c r="L109" s="29"/>
      <c r="M109" s="2237"/>
      <c r="N109" s="29"/>
      <c r="O109" s="29"/>
      <c r="P109" s="29"/>
    </row>
    <row r="110" spans="2:16">
      <c r="B110" s="2237"/>
      <c r="C110" s="2237"/>
      <c r="D110" s="2237"/>
      <c r="E110" s="2237"/>
      <c r="F110" s="2237"/>
      <c r="G110" s="29"/>
      <c r="H110" s="29"/>
      <c r="I110" s="29"/>
      <c r="J110" s="2237"/>
      <c r="K110" s="2237"/>
      <c r="L110" s="29"/>
      <c r="M110" s="2237"/>
      <c r="N110" s="29"/>
      <c r="O110" s="29"/>
      <c r="P110" s="29"/>
    </row>
    <row r="111" spans="2:16">
      <c r="B111" s="2237"/>
      <c r="C111" s="2237"/>
      <c r="D111" s="2237"/>
      <c r="E111" s="2237"/>
      <c r="F111" s="2237"/>
      <c r="G111" s="29"/>
      <c r="H111" s="29"/>
      <c r="I111" s="29"/>
      <c r="J111" s="2237"/>
      <c r="K111" s="2237"/>
      <c r="L111" s="29"/>
      <c r="M111" s="2237"/>
      <c r="N111" s="29"/>
      <c r="O111" s="29"/>
      <c r="P111" s="29"/>
    </row>
    <row r="112" spans="2:16">
      <c r="B112" s="2237"/>
      <c r="C112" s="2237"/>
      <c r="D112" s="2237"/>
      <c r="E112" s="2237"/>
      <c r="F112" s="2237"/>
      <c r="G112" s="29"/>
      <c r="H112" s="29"/>
      <c r="I112" s="29"/>
      <c r="J112" s="2237"/>
      <c r="K112" s="2237"/>
      <c r="L112" s="29"/>
      <c r="M112" s="2237"/>
      <c r="N112" s="29"/>
      <c r="O112" s="29"/>
      <c r="P112" s="29"/>
    </row>
    <row r="113" spans="2:16">
      <c r="B113" s="2237"/>
      <c r="C113" s="2237"/>
      <c r="D113" s="2237"/>
      <c r="E113" s="2237"/>
      <c r="F113" s="2237"/>
      <c r="G113" s="29"/>
      <c r="H113" s="29"/>
      <c r="I113" s="29"/>
      <c r="J113" s="2237"/>
      <c r="K113" s="2237"/>
      <c r="L113" s="29"/>
      <c r="M113" s="2237"/>
      <c r="N113" s="29"/>
      <c r="O113" s="29"/>
      <c r="P113" s="29"/>
    </row>
    <row r="114" spans="2:16">
      <c r="B114" s="2237"/>
      <c r="C114" s="2237"/>
      <c r="D114" s="2237"/>
      <c r="E114" s="2237"/>
      <c r="F114" s="2237"/>
      <c r="G114" s="29"/>
      <c r="H114" s="29"/>
      <c r="I114" s="29"/>
      <c r="J114" s="2237"/>
      <c r="K114" s="2237"/>
      <c r="L114" s="29"/>
      <c r="M114" s="2237"/>
      <c r="N114" s="29"/>
      <c r="O114" s="29"/>
      <c r="P114" s="29"/>
    </row>
    <row r="115" spans="2:16">
      <c r="B115" s="2237"/>
      <c r="C115" s="2237"/>
      <c r="D115" s="2237"/>
      <c r="E115" s="2237"/>
      <c r="F115" s="2237"/>
      <c r="G115" s="29"/>
      <c r="H115" s="29"/>
      <c r="I115" s="29"/>
      <c r="J115" s="2237"/>
      <c r="K115" s="2237"/>
      <c r="L115" s="29"/>
      <c r="M115" s="2237"/>
      <c r="N115" s="29"/>
      <c r="O115" s="29"/>
      <c r="P115" s="29"/>
    </row>
    <row r="116" spans="2:16">
      <c r="B116" s="2237"/>
      <c r="C116" s="2237"/>
      <c r="D116" s="2237"/>
      <c r="E116" s="2237"/>
      <c r="F116" s="2237"/>
      <c r="G116" s="29"/>
      <c r="H116" s="29"/>
      <c r="I116" s="29"/>
      <c r="J116" s="2237"/>
      <c r="K116" s="2237"/>
      <c r="L116" s="29"/>
      <c r="M116" s="2237"/>
      <c r="N116" s="29"/>
      <c r="O116" s="29"/>
      <c r="P116" s="29"/>
    </row>
    <row r="117" spans="2:16">
      <c r="B117" s="2237"/>
      <c r="C117" s="2237"/>
      <c r="D117" s="2237"/>
      <c r="E117" s="2237"/>
      <c r="F117" s="2237"/>
      <c r="G117" s="29"/>
      <c r="H117" s="29"/>
      <c r="I117" s="29"/>
      <c r="J117" s="2237"/>
      <c r="K117" s="2237"/>
      <c r="L117" s="29"/>
      <c r="M117" s="2237"/>
      <c r="N117" s="29"/>
      <c r="O117" s="29"/>
      <c r="P117" s="29"/>
    </row>
    <row r="118" spans="2:16">
      <c r="B118" s="2237"/>
      <c r="C118" s="2237"/>
      <c r="D118" s="2237"/>
      <c r="E118" s="2237"/>
      <c r="F118" s="2237"/>
      <c r="G118" s="29"/>
      <c r="H118" s="29"/>
      <c r="I118" s="29"/>
      <c r="J118" s="2237"/>
      <c r="K118" s="2237"/>
      <c r="L118" s="29"/>
      <c r="M118" s="2237"/>
      <c r="N118" s="29"/>
      <c r="O118" s="29"/>
      <c r="P118" s="29"/>
    </row>
    <row r="119" spans="2:16">
      <c r="B119" s="2237"/>
      <c r="C119" s="2237"/>
      <c r="D119" s="2237"/>
      <c r="E119" s="2237"/>
      <c r="F119" s="2237"/>
      <c r="G119" s="29"/>
      <c r="H119" s="29"/>
      <c r="I119" s="29"/>
      <c r="J119" s="2237"/>
      <c r="K119" s="2237"/>
      <c r="L119" s="29"/>
      <c r="M119" s="2237"/>
      <c r="N119" s="29"/>
      <c r="O119" s="29"/>
      <c r="P119" s="29"/>
    </row>
    <row r="120" spans="2:16">
      <c r="B120" s="440"/>
      <c r="C120" s="29"/>
      <c r="D120" s="2237"/>
      <c r="E120" s="2237"/>
      <c r="F120" s="2237"/>
      <c r="G120" s="29"/>
      <c r="H120" s="29"/>
      <c r="I120" s="29"/>
      <c r="J120" s="2237"/>
      <c r="K120" s="2237"/>
      <c r="L120" s="29"/>
      <c r="M120" s="2237"/>
      <c r="N120" s="29"/>
      <c r="O120" s="29"/>
      <c r="P120" s="29"/>
    </row>
    <row r="121" spans="2:16">
      <c r="B121" s="440"/>
      <c r="C121" s="29"/>
      <c r="D121" s="2237"/>
      <c r="E121" s="2237"/>
      <c r="F121" s="2237"/>
      <c r="G121" s="29"/>
      <c r="H121" s="29"/>
      <c r="I121" s="29"/>
      <c r="J121" s="2237"/>
      <c r="K121" s="2237"/>
      <c r="L121" s="29"/>
      <c r="M121" s="2237"/>
      <c r="N121" s="29"/>
      <c r="O121" s="29"/>
      <c r="P121" s="29"/>
    </row>
    <row r="122" spans="2:16">
      <c r="B122" s="440"/>
      <c r="C122" s="29"/>
      <c r="D122" s="2237"/>
      <c r="E122" s="2237"/>
      <c r="F122" s="2237"/>
      <c r="G122" s="29"/>
      <c r="H122" s="29"/>
      <c r="I122" s="29"/>
      <c r="J122" s="2237"/>
      <c r="K122" s="2237"/>
      <c r="L122" s="29"/>
      <c r="M122" s="2237"/>
      <c r="N122" s="29"/>
      <c r="O122" s="29"/>
      <c r="P122" s="29"/>
    </row>
    <row r="123" spans="2:16">
      <c r="B123" s="440"/>
      <c r="C123" s="29"/>
      <c r="D123" s="2237"/>
      <c r="E123" s="2237"/>
      <c r="F123" s="2237"/>
      <c r="G123" s="29"/>
      <c r="H123" s="29"/>
      <c r="I123" s="29"/>
      <c r="J123" s="2237"/>
      <c r="K123" s="2237"/>
      <c r="L123" s="29"/>
      <c r="M123" s="2237"/>
      <c r="N123" s="29"/>
      <c r="O123" s="29"/>
      <c r="P123" s="29"/>
    </row>
    <row r="124" spans="2:16">
      <c r="B124" s="440"/>
      <c r="C124" s="29"/>
      <c r="D124" s="2237"/>
      <c r="E124" s="2237"/>
      <c r="F124" s="2237"/>
      <c r="G124" s="29"/>
      <c r="H124" s="29"/>
      <c r="I124" s="29"/>
      <c r="J124" s="2237"/>
      <c r="K124" s="2237"/>
      <c r="L124" s="29"/>
      <c r="M124" s="2237"/>
      <c r="N124" s="29"/>
      <c r="O124" s="29"/>
      <c r="P124" s="29"/>
    </row>
    <row r="125" spans="2:16">
      <c r="B125" s="440"/>
      <c r="C125" s="29"/>
      <c r="D125" s="2237"/>
      <c r="E125" s="2237"/>
      <c r="F125" s="2237"/>
      <c r="G125" s="29"/>
      <c r="H125" s="29"/>
      <c r="I125" s="29"/>
      <c r="J125" s="2237"/>
      <c r="K125" s="2237"/>
      <c r="L125" s="29"/>
      <c r="M125" s="2237"/>
      <c r="N125" s="29"/>
      <c r="O125" s="29"/>
      <c r="P125" s="29"/>
    </row>
    <row r="126" spans="2:16">
      <c r="B126" s="440"/>
      <c r="C126" s="29"/>
      <c r="D126" s="2237"/>
      <c r="E126" s="2237"/>
      <c r="F126" s="2237"/>
      <c r="G126" s="29"/>
      <c r="H126" s="29"/>
      <c r="I126" s="29"/>
      <c r="J126" s="2237"/>
      <c r="K126" s="2237"/>
      <c r="L126" s="29"/>
      <c r="M126" s="2237"/>
      <c r="N126" s="29"/>
      <c r="O126" s="29"/>
      <c r="P126" s="29"/>
    </row>
    <row r="127" spans="2:16">
      <c r="B127" s="440"/>
      <c r="C127" s="29"/>
      <c r="D127" s="2237"/>
      <c r="E127" s="2237"/>
      <c r="F127" s="2237"/>
      <c r="G127" s="29"/>
      <c r="H127" s="29"/>
      <c r="I127" s="29"/>
      <c r="J127" s="2237"/>
      <c r="K127" s="2237"/>
      <c r="L127" s="29"/>
      <c r="M127" s="2237"/>
      <c r="N127" s="29"/>
      <c r="O127" s="29"/>
      <c r="P127" s="29"/>
    </row>
    <row r="128" spans="2:16">
      <c r="B128" s="440"/>
      <c r="C128" s="29"/>
      <c r="D128" s="2237"/>
      <c r="E128" s="2237"/>
      <c r="F128" s="2237"/>
      <c r="G128" s="29"/>
      <c r="H128" s="29"/>
      <c r="I128" s="29"/>
      <c r="J128" s="2237"/>
      <c r="K128" s="2237"/>
      <c r="L128" s="29"/>
      <c r="M128" s="2237"/>
      <c r="N128" s="29"/>
      <c r="O128" s="29"/>
      <c r="P128" s="29"/>
    </row>
    <row r="129" spans="2:16">
      <c r="B129" s="440"/>
      <c r="C129" s="29"/>
      <c r="D129" s="2237"/>
      <c r="E129" s="2237"/>
      <c r="F129" s="2237"/>
      <c r="G129" s="29"/>
      <c r="H129" s="29"/>
      <c r="I129" s="29"/>
      <c r="J129" s="2237"/>
      <c r="K129" s="2237"/>
      <c r="L129" s="29"/>
      <c r="M129" s="2237"/>
      <c r="N129" s="29"/>
      <c r="O129" s="29"/>
      <c r="P129" s="29"/>
    </row>
    <row r="130" spans="2:16">
      <c r="B130" s="440"/>
      <c r="C130" s="29"/>
      <c r="D130" s="2237"/>
      <c r="E130" s="2237"/>
      <c r="F130" s="2237"/>
      <c r="G130" s="29"/>
      <c r="H130" s="29"/>
      <c r="I130" s="29"/>
      <c r="J130" s="2237"/>
      <c r="K130" s="2237"/>
      <c r="L130" s="29"/>
      <c r="M130" s="2237"/>
      <c r="N130" s="29"/>
      <c r="O130" s="29"/>
      <c r="P130" s="29"/>
    </row>
    <row r="131" spans="2:16">
      <c r="B131" s="440"/>
      <c r="C131" s="29"/>
      <c r="D131" s="2237"/>
      <c r="E131" s="2237"/>
      <c r="F131" s="2237"/>
      <c r="G131" s="29"/>
      <c r="H131" s="29"/>
      <c r="I131" s="29"/>
      <c r="J131" s="2237"/>
      <c r="K131" s="2237"/>
      <c r="L131" s="29"/>
      <c r="M131" s="2237"/>
      <c r="N131" s="29"/>
      <c r="O131" s="29"/>
      <c r="P131" s="29"/>
    </row>
    <row r="132" spans="2:16">
      <c r="B132" s="440"/>
      <c r="C132" s="29"/>
      <c r="D132" s="2237"/>
      <c r="E132" s="2237"/>
      <c r="F132" s="2237"/>
      <c r="G132" s="29"/>
      <c r="H132" s="29"/>
      <c r="I132" s="29"/>
      <c r="J132" s="2237"/>
      <c r="K132" s="2237"/>
      <c r="L132" s="29"/>
      <c r="M132" s="2237"/>
      <c r="N132" s="29"/>
      <c r="O132" s="29"/>
      <c r="P132" s="29"/>
    </row>
    <row r="133" spans="2:16">
      <c r="B133" s="440"/>
      <c r="C133" s="29"/>
      <c r="D133" s="2237"/>
      <c r="E133" s="2237"/>
      <c r="F133" s="2237"/>
      <c r="G133" s="29"/>
      <c r="H133" s="29"/>
      <c r="I133" s="29"/>
      <c r="J133" s="2237"/>
      <c r="K133" s="2237"/>
      <c r="L133" s="29"/>
      <c r="M133" s="2237"/>
      <c r="N133" s="29"/>
      <c r="O133" s="29"/>
      <c r="P133" s="29"/>
    </row>
    <row r="134" spans="2:16">
      <c r="B134" s="440"/>
      <c r="C134" s="29"/>
      <c r="D134" s="2237"/>
      <c r="E134" s="2237"/>
      <c r="F134" s="2237"/>
      <c r="G134" s="29"/>
      <c r="H134" s="29"/>
      <c r="I134" s="29"/>
      <c r="J134" s="2237"/>
      <c r="K134" s="2237"/>
      <c r="L134" s="29"/>
      <c r="M134" s="2237"/>
      <c r="N134" s="29"/>
      <c r="O134" s="29"/>
      <c r="P134" s="29"/>
    </row>
    <row r="135" spans="2:16">
      <c r="B135" s="440"/>
      <c r="C135" s="29"/>
      <c r="D135" s="2237"/>
      <c r="E135" s="2237"/>
      <c r="F135" s="2237"/>
      <c r="G135" s="29"/>
      <c r="H135" s="29"/>
      <c r="I135" s="29"/>
      <c r="J135" s="2237"/>
      <c r="K135" s="2237"/>
      <c r="L135" s="29"/>
      <c r="M135" s="2237"/>
      <c r="N135" s="29"/>
      <c r="O135" s="29"/>
      <c r="P135" s="29"/>
    </row>
    <row r="136" spans="2:16">
      <c r="B136" s="440"/>
      <c r="C136" s="29"/>
      <c r="D136" s="2237"/>
      <c r="E136" s="2237"/>
      <c r="F136" s="2237"/>
      <c r="G136" s="29"/>
      <c r="H136" s="29"/>
      <c r="I136" s="29"/>
      <c r="J136" s="2237"/>
      <c r="K136" s="2237"/>
      <c r="L136" s="29"/>
      <c r="M136" s="2237"/>
      <c r="N136" s="29"/>
      <c r="O136" s="29"/>
      <c r="P136" s="29"/>
    </row>
    <row r="137" spans="2:16">
      <c r="B137" s="440"/>
      <c r="C137" s="29"/>
      <c r="D137" s="2237"/>
      <c r="E137" s="2237"/>
      <c r="F137" s="2237"/>
      <c r="G137" s="29"/>
      <c r="H137" s="29"/>
      <c r="I137" s="29"/>
      <c r="J137" s="2237"/>
      <c r="K137" s="2237"/>
      <c r="L137" s="29"/>
      <c r="M137" s="2237"/>
      <c r="N137" s="29"/>
      <c r="O137" s="29"/>
      <c r="P137" s="29"/>
    </row>
    <row r="138" spans="2:16">
      <c r="B138" s="440"/>
      <c r="C138" s="29"/>
      <c r="D138" s="2237"/>
      <c r="E138" s="2237"/>
      <c r="F138" s="2237"/>
      <c r="G138" s="29"/>
      <c r="H138" s="29"/>
      <c r="I138" s="29"/>
      <c r="J138" s="2237"/>
      <c r="K138" s="2237"/>
      <c r="L138" s="29"/>
      <c r="M138" s="2237"/>
      <c r="N138" s="29"/>
      <c r="O138" s="29"/>
      <c r="P138" s="29"/>
    </row>
    <row r="139" spans="2:16">
      <c r="B139" s="440"/>
      <c r="C139" s="29"/>
      <c r="D139" s="2237"/>
      <c r="E139" s="2237"/>
      <c r="F139" s="2237"/>
      <c r="G139" s="29"/>
      <c r="H139" s="29"/>
      <c r="I139" s="29"/>
      <c r="J139" s="2237"/>
      <c r="K139" s="2237"/>
      <c r="L139" s="29"/>
      <c r="M139" s="2237"/>
      <c r="N139" s="29"/>
      <c r="O139" s="29"/>
      <c r="P139" s="29"/>
    </row>
    <row r="140" spans="2:16">
      <c r="B140" s="440"/>
      <c r="C140" s="29"/>
      <c r="D140" s="2237"/>
      <c r="E140" s="2237"/>
      <c r="F140" s="2237"/>
      <c r="G140" s="29"/>
      <c r="H140" s="29"/>
      <c r="I140" s="29"/>
      <c r="J140" s="2237"/>
      <c r="K140" s="2237"/>
      <c r="L140" s="29"/>
      <c r="M140" s="2237"/>
      <c r="N140" s="29"/>
      <c r="O140" s="29"/>
      <c r="P140" s="29"/>
    </row>
    <row r="141" spans="2:16">
      <c r="B141" s="440"/>
      <c r="C141" s="29"/>
      <c r="D141" s="2237"/>
      <c r="E141" s="2237"/>
      <c r="F141" s="2237"/>
      <c r="G141" s="29"/>
      <c r="H141" s="29"/>
      <c r="I141" s="29"/>
      <c r="J141" s="2237"/>
      <c r="K141" s="2237"/>
      <c r="L141" s="29"/>
      <c r="M141" s="2237"/>
      <c r="N141" s="29"/>
      <c r="O141" s="29"/>
      <c r="P141" s="29"/>
    </row>
    <row r="142" spans="2:16">
      <c r="B142" s="440"/>
      <c r="C142" s="29"/>
      <c r="D142" s="2237"/>
      <c r="E142" s="2237"/>
      <c r="F142" s="2237"/>
      <c r="G142" s="29"/>
      <c r="H142" s="29"/>
      <c r="I142" s="29"/>
      <c r="J142" s="2237"/>
      <c r="K142" s="2237"/>
      <c r="L142" s="29"/>
      <c r="M142" s="2237"/>
      <c r="N142" s="29"/>
      <c r="O142" s="29"/>
      <c r="P142" s="29"/>
    </row>
    <row r="143" spans="2:16">
      <c r="B143" s="440"/>
      <c r="C143" s="29"/>
      <c r="D143" s="2237"/>
      <c r="E143" s="2237"/>
      <c r="F143" s="2237"/>
      <c r="G143" s="29"/>
      <c r="H143" s="29"/>
      <c r="I143" s="29"/>
      <c r="J143" s="2237"/>
      <c r="K143" s="2237"/>
      <c r="L143" s="29"/>
      <c r="M143" s="2237"/>
      <c r="N143" s="29"/>
      <c r="O143" s="29"/>
      <c r="P143" s="29"/>
    </row>
    <row r="144" spans="2:16">
      <c r="B144" s="440"/>
      <c r="C144" s="29"/>
      <c r="D144" s="2237"/>
      <c r="E144" s="2237"/>
      <c r="F144" s="2237"/>
      <c r="G144" s="29"/>
      <c r="H144" s="29"/>
      <c r="I144" s="29"/>
      <c r="J144" s="2237"/>
      <c r="K144" s="2237"/>
      <c r="L144" s="29"/>
      <c r="M144" s="2237"/>
      <c r="N144" s="29"/>
      <c r="O144" s="29"/>
      <c r="P144" s="29"/>
    </row>
    <row r="145" spans="2:16">
      <c r="B145" s="440"/>
      <c r="C145" s="29"/>
      <c r="D145" s="2237"/>
      <c r="E145" s="2237"/>
      <c r="F145" s="2237"/>
      <c r="G145" s="29"/>
      <c r="H145" s="29"/>
      <c r="I145" s="29"/>
      <c r="J145" s="2237"/>
      <c r="K145" s="2237"/>
      <c r="L145" s="29"/>
      <c r="M145" s="2237"/>
      <c r="N145" s="29"/>
      <c r="O145" s="29"/>
      <c r="P145" s="29"/>
    </row>
    <row r="146" spans="2:16">
      <c r="B146" s="440"/>
      <c r="C146" s="29"/>
      <c r="D146" s="2237"/>
      <c r="E146" s="2237"/>
      <c r="F146" s="2237"/>
      <c r="G146" s="29"/>
      <c r="H146" s="29"/>
      <c r="I146" s="29"/>
      <c r="J146" s="2237"/>
      <c r="K146" s="2237"/>
      <c r="L146" s="29"/>
      <c r="M146" s="2237"/>
      <c r="N146" s="29"/>
      <c r="O146" s="29"/>
      <c r="P146" s="29"/>
    </row>
    <row r="147" spans="2:16">
      <c r="B147" s="440"/>
      <c r="C147" s="29"/>
      <c r="D147" s="2237"/>
      <c r="E147" s="2237"/>
      <c r="F147" s="2237"/>
      <c r="G147" s="29"/>
      <c r="H147" s="29"/>
      <c r="I147" s="29"/>
      <c r="J147" s="2237"/>
      <c r="K147" s="2237"/>
      <c r="L147" s="29"/>
      <c r="M147" s="2237"/>
      <c r="N147" s="29"/>
      <c r="O147" s="29"/>
      <c r="P147" s="29"/>
    </row>
    <row r="148" spans="2:16">
      <c r="B148" s="440"/>
      <c r="C148" s="29"/>
      <c r="D148" s="2237"/>
      <c r="E148" s="2237"/>
      <c r="F148" s="2237"/>
      <c r="G148" s="29"/>
      <c r="H148" s="29"/>
      <c r="I148" s="29"/>
      <c r="J148" s="2237"/>
      <c r="K148" s="2237"/>
      <c r="L148" s="29"/>
      <c r="M148" s="2237"/>
      <c r="N148" s="29"/>
      <c r="O148" s="29"/>
      <c r="P148" s="29"/>
    </row>
    <row r="149" spans="2:16">
      <c r="B149" s="440"/>
      <c r="C149" s="29"/>
      <c r="D149" s="2237"/>
      <c r="E149" s="2237"/>
      <c r="F149" s="2237"/>
      <c r="G149" s="29"/>
      <c r="H149" s="29"/>
      <c r="I149" s="29"/>
      <c r="J149" s="2237"/>
      <c r="K149" s="2237"/>
      <c r="L149" s="2237"/>
      <c r="M149" s="2237"/>
      <c r="N149" s="29"/>
      <c r="O149" s="29"/>
      <c r="P149" s="29"/>
    </row>
    <row r="150" spans="2:16">
      <c r="B150" s="440"/>
      <c r="C150" s="29"/>
      <c r="G150" s="29"/>
      <c r="H150" s="29"/>
      <c r="I150" s="29"/>
      <c r="N150" s="29"/>
      <c r="O150" s="29"/>
      <c r="P150" s="29"/>
    </row>
    <row r="151" spans="2:16">
      <c r="B151" s="440"/>
      <c r="C151" s="29"/>
      <c r="G151" s="29"/>
      <c r="H151" s="29"/>
      <c r="I151" s="29"/>
      <c r="N151" s="29"/>
      <c r="O151" s="29"/>
      <c r="P151" s="29"/>
    </row>
    <row r="152" spans="2:16">
      <c r="B152" s="440"/>
      <c r="C152" s="29"/>
      <c r="G152" s="29"/>
      <c r="H152" s="29"/>
      <c r="I152" s="29"/>
      <c r="N152" s="29"/>
      <c r="O152" s="29"/>
      <c r="P152" s="29"/>
    </row>
    <row r="153" spans="2:16">
      <c r="B153" s="440"/>
      <c r="C153" s="29"/>
      <c r="G153" s="29"/>
      <c r="H153" s="29"/>
      <c r="I153" s="29"/>
      <c r="N153" s="29"/>
      <c r="O153" s="29"/>
      <c r="P153" s="29"/>
    </row>
    <row r="154" spans="2:16">
      <c r="B154" s="440"/>
      <c r="C154" s="29"/>
      <c r="D154" s="29"/>
      <c r="F154" s="29"/>
      <c r="G154" s="29"/>
      <c r="H154" s="29"/>
      <c r="I154" s="29"/>
      <c r="J154" s="29"/>
      <c r="K154" s="29"/>
      <c r="N154" s="29"/>
      <c r="O154" s="29"/>
      <c r="P154" s="29"/>
    </row>
    <row r="155" spans="2:16">
      <c r="B155" s="440"/>
      <c r="C155" s="29"/>
      <c r="D155" s="29"/>
      <c r="F155" s="29"/>
      <c r="G155" s="29"/>
      <c r="H155" s="29"/>
      <c r="I155" s="29"/>
      <c r="J155" s="29"/>
      <c r="K155" s="29"/>
      <c r="N155" s="29"/>
      <c r="O155" s="29"/>
      <c r="P155" s="29"/>
    </row>
    <row r="156" spans="2:16">
      <c r="B156" s="440"/>
      <c r="C156" s="29"/>
      <c r="D156" s="29"/>
      <c r="F156" s="29"/>
      <c r="G156" s="29"/>
      <c r="H156" s="29"/>
      <c r="I156" s="29"/>
      <c r="J156" s="29"/>
      <c r="K156" s="29"/>
      <c r="N156" s="29"/>
      <c r="O156" s="29"/>
      <c r="P156" s="29"/>
    </row>
    <row r="157" spans="2:16">
      <c r="B157" s="440"/>
      <c r="C157" s="29"/>
      <c r="G157" s="29"/>
      <c r="H157" s="29"/>
      <c r="I157" s="29"/>
      <c r="N157" s="29"/>
      <c r="O157" s="29"/>
      <c r="P157" s="29"/>
    </row>
    <row r="158" spans="2:16">
      <c r="B158" s="440"/>
      <c r="C158" s="29"/>
      <c r="N158" s="29"/>
      <c r="O158" s="29"/>
      <c r="P158" s="29"/>
    </row>
    <row r="159" spans="2:16">
      <c r="B159" s="440"/>
      <c r="C159" s="29"/>
      <c r="N159" s="29"/>
      <c r="O159" s="29"/>
      <c r="P159" s="29"/>
    </row>
    <row r="160" spans="2:16">
      <c r="B160" s="440"/>
      <c r="C160" s="29"/>
      <c r="N160" s="29"/>
      <c r="O160" s="29"/>
      <c r="P160" s="29"/>
    </row>
    <row r="161" spans="2:16">
      <c r="B161" s="440"/>
      <c r="C161" s="29"/>
      <c r="N161" s="29"/>
      <c r="O161" s="29"/>
      <c r="P161" s="29"/>
    </row>
    <row r="162" spans="2:16">
      <c r="B162" s="440"/>
      <c r="C162" s="29"/>
    </row>
    <row r="163" spans="2:16">
      <c r="B163" s="440"/>
      <c r="C163" s="29"/>
    </row>
    <row r="164" spans="2:16">
      <c r="B164" s="440"/>
      <c r="C164" s="29"/>
    </row>
    <row r="165" spans="2:16">
      <c r="B165" s="440"/>
      <c r="C165" s="29"/>
    </row>
    <row r="166" spans="2:16">
      <c r="B166" s="440"/>
      <c r="C166" s="29"/>
    </row>
    <row r="167" spans="2:16">
      <c r="B167" s="440"/>
      <c r="C167" s="29"/>
    </row>
    <row r="168" spans="2:16">
      <c r="B168" s="440"/>
      <c r="C168" s="29"/>
    </row>
    <row r="169" spans="2:16">
      <c r="B169" s="440"/>
      <c r="C169" s="29"/>
    </row>
    <row r="170" spans="2:16">
      <c r="B170" s="440"/>
      <c r="C170" s="29"/>
    </row>
    <row r="171" spans="2:16">
      <c r="B171" s="440"/>
      <c r="C171" s="29"/>
    </row>
    <row r="172" spans="2:16">
      <c r="B172" s="440"/>
      <c r="C172" s="29"/>
    </row>
    <row r="173" spans="2:16">
      <c r="B173" s="440"/>
      <c r="C173" s="29"/>
    </row>
    <row r="174" spans="2:16">
      <c r="B174" s="440"/>
      <c r="C174" s="29"/>
    </row>
    <row r="175" spans="2:16">
      <c r="B175" s="440"/>
      <c r="C175" s="29"/>
    </row>
    <row r="176" spans="2:16">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heet="1" selectLockedCells="1"/>
  <customSheetViews>
    <customSheetView guid="{8063F48F-80B5-4ECD-B18A-51CBF126E780}" fitToPage="1" hiddenRows="1" hiddenColumns="1" state="hidden" topLeftCell="AT7">
      <selection activeCell="C20" sqref="C20:F20"/>
      <pageMargins left="0.59055118110236227" right="0.57999999999999996" top="0.59055118110236227" bottom="0.59055118110236227" header="0.39370078740157483" footer="0.39370078740157483"/>
      <printOptions horizontalCentered="1"/>
      <pageSetup paperSize="9" scale="70" firstPageNumber="80" orientation="portrait" r:id="rId1"/>
      <headerFooter alignWithMargins="0">
        <oddFooter>&amp;L&amp;11LEL Schwäbisch Gmünd&amp;C16&amp;R&amp;11&amp;F</oddFooter>
      </headerFooter>
    </customSheetView>
    <customSheetView guid="{5D5C9B61-9ABD-4513-AAEB-8333A9D6196C}" fitToPage="1" hiddenRows="1" hiddenColumns="1" state="hidden" topLeftCell="AT7">
      <selection activeCell="C20" sqref="C20:F20"/>
      <pageMargins left="0.59055118110236227" right="0.57999999999999996" top="0.59055118110236227" bottom="0.59055118110236227" header="0.39370078740157483" footer="0.39370078740157483"/>
      <printOptions horizontalCentered="1"/>
      <pageSetup paperSize="9" scale="70" firstPageNumber="80" orientation="portrait" r:id="rId2"/>
      <headerFooter alignWithMargins="0">
        <oddFooter>&amp;L&amp;11LEL Schwäbisch Gmünd&amp;C16&amp;R&amp;11&amp;F</oddFooter>
      </headerFooter>
    </customSheetView>
    <customSheetView guid="{22A73C4F-9004-4CEF-8499-B1F91BE1B569}" fitToPage="1" hiddenRows="1" hiddenColumns="1" state="hidden" topLeftCell="AT7">
      <selection activeCell="C20" sqref="C20:F20"/>
      <pageMargins left="0.59055118110236227" right="0.57999999999999996" top="0.59055118110236227" bottom="0.59055118110236227" header="0.39370078740157483" footer="0.39370078740157483"/>
      <printOptions horizontalCentered="1"/>
      <pageSetup paperSize="9" scale="70" firstPageNumber="80" orientation="portrait" r:id="rId3"/>
      <headerFooter alignWithMargins="0">
        <oddFooter>&amp;L&amp;11LEL Schwäbisch Gmünd&amp;C16&amp;R&amp;11&amp;F</oddFooter>
      </headerFooter>
    </customSheetView>
  </customSheetViews>
  <mergeCells count="52">
    <mergeCell ref="B3:H3"/>
    <mergeCell ref="C20:F20"/>
    <mergeCell ref="C21:F21"/>
    <mergeCell ref="C78:F78"/>
    <mergeCell ref="C79:F79"/>
    <mergeCell ref="H6:I6"/>
    <mergeCell ref="E4:I4"/>
    <mergeCell ref="E10:F10"/>
    <mergeCell ref="C14:F14"/>
    <mergeCell ref="C15:F15"/>
    <mergeCell ref="C16:F16"/>
    <mergeCell ref="C17:F17"/>
    <mergeCell ref="C19:F19"/>
    <mergeCell ref="F23:G23"/>
    <mergeCell ref="D25:E25"/>
    <mergeCell ref="D26:E26"/>
    <mergeCell ref="E22:G22"/>
    <mergeCell ref="C63:E63"/>
    <mergeCell ref="C68:E68"/>
    <mergeCell ref="C40:E40"/>
    <mergeCell ref="C41:E41"/>
    <mergeCell ref="C46:D46"/>
    <mergeCell ref="F34:G34"/>
    <mergeCell ref="C42:E42"/>
    <mergeCell ref="C57:D57"/>
    <mergeCell ref="C54:D54"/>
    <mergeCell ref="C56:D56"/>
    <mergeCell ref="C49:D49"/>
    <mergeCell ref="C50:D50"/>
    <mergeCell ref="C47:D47"/>
    <mergeCell ref="C53:D53"/>
    <mergeCell ref="C51:D51"/>
    <mergeCell ref="N6:O6"/>
    <mergeCell ref="N1:O1"/>
    <mergeCell ref="K2:P2"/>
    <mergeCell ref="J3:L3"/>
    <mergeCell ref="N3:O4"/>
    <mergeCell ref="J4:L4"/>
    <mergeCell ref="K6:L6"/>
    <mergeCell ref="K1:L1"/>
    <mergeCell ref="C36:E36"/>
    <mergeCell ref="C37:E37"/>
    <mergeCell ref="B75:C75"/>
    <mergeCell ref="C64:E64"/>
    <mergeCell ref="C62:E62"/>
    <mergeCell ref="C73:E73"/>
    <mergeCell ref="C74:E74"/>
    <mergeCell ref="C52:D52"/>
    <mergeCell ref="C39:E39"/>
    <mergeCell ref="C55:D55"/>
    <mergeCell ref="C48:D48"/>
    <mergeCell ref="C38:E38"/>
  </mergeCells>
  <dataValidations count="9">
    <dataValidation type="whole" allowBlank="1" showInputMessage="1" showErrorMessage="1" errorTitle="Anteil Erntegut" error="Prozentwert darf nur zwischen 0 und 100 liegen." sqref="O68 L68 I68" xr:uid="{00000000-0002-0000-3E00-000000000000}">
      <formula1>0</formula1>
      <formula2>100</formula2>
    </dataValidation>
    <dataValidation type="decimal" allowBlank="1" showInputMessage="1" showErrorMessage="1" errorTitle="Wassergehalt Getreide" error="Zulässig sind nur Werte zwischen 14,1 und 22,0 % Wassergehalt." sqref="H68 K68 N68" xr:uid="{00000000-0002-0000-3E00-000001000000}">
      <formula1>14.1</formula1>
      <formula2>22</formula2>
    </dataValidation>
    <dataValidation allowBlank="1" showInputMessage="1" showErrorMessage="1" errorTitle="Arbeitsgänge" error="Bitte aus Dropdownliste auswählen." sqref="D44:D45 C45" xr:uid="{00000000-0002-0000-3E00-000002000000}"/>
    <dataValidation type="list" allowBlank="1" showInputMessage="1" showErrorMessage="1" errorTitle="Organisationsabh. Ausgleichsl." error="Bitte aus Dropdownliste auswählen." sqref="C18:F18" xr:uid="{00000000-0002-0000-3E00-000003000000}">
      <formula1>$G$80:$G$81</formula1>
    </dataValidation>
    <dataValidation type="list" allowBlank="1" showInputMessage="1" showErrorMessage="1" errorTitle="Pflanzenschutzmittel" error="Bitte aus Dropdownliste auswählen." sqref="C38:E39" xr:uid="{00000000-0002-0000-3E00-000004000000}">
      <formula1>$C$122:$C$149</formula1>
    </dataValidation>
    <dataValidation type="list" allowBlank="1" showInputMessage="1" showErrorMessage="1" errorTitle="Pflanzenschutzmittel" error="Bitte aus Dropdownliste auswählen." sqref="C40:E41" xr:uid="{00000000-0002-0000-3E00-000005000000}">
      <formula1>$E$121:$E$201</formula1>
    </dataValidation>
    <dataValidation type="list" allowBlank="1" showInputMessage="1" showErrorMessage="1" sqref="H15:H17 K15:K17 N15:N17" xr:uid="{00000000-0002-0000-3E00-000006000000}">
      <formula1>"ja,nein"</formula1>
    </dataValidation>
    <dataValidation type="list" showInputMessage="1" showErrorMessage="1" sqref="H14 K14 N14" xr:uid="{00000000-0002-0000-3E00-000007000000}">
      <formula1>"ja,nein"</formula1>
    </dataValidation>
    <dataValidation type="list" allowBlank="1" showInputMessage="1" showErrorMessage="1" errorTitle="Organisationsabh. Ausgleichsl." error="Bitte aus Dropdownliste auswählen." sqref="D19:F19" xr:uid="{00000000-0002-0000-3E00-000008000000}">
      <formula1>$C$60:$C$75</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4"/>
  <headerFooter alignWithMargins="0">
    <oddFooter>&amp;L&amp;11LEL Schwäbisch Gmünd&amp;C16&amp;R&amp;11&amp;F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3E00-000009000000}">
          <x14:formula1>
            <xm:f>'SD2'!$C$11:$C$50</xm:f>
          </x14:formula1>
          <xm:sqref>C14:F17</xm:sqref>
        </x14:dataValidation>
        <x14:dataValidation type="list" allowBlank="1" showInputMessage="1" showErrorMessage="1" errorTitle="Organisationsabh. Ausgleichsl." error="Bitte aus Dropdownliste auswählen." xr:uid="{00000000-0002-0000-3E00-00000A000000}">
          <x14:formula1>
            <xm:f>'SD2'!$C$60:$C$77</xm:f>
          </x14:formula1>
          <xm:sqref>C19:C21</xm:sqref>
        </x14:dataValidation>
        <x14:dataValidation type="list" allowBlank="1" showInputMessage="1" showErrorMessage="1" errorTitle="Pflanzenschutzmittel" error="Bitte aus Dropdownliste auswählen." xr:uid="{00000000-0002-0000-3E00-00000B000000}">
          <x14:formula1>
            <xm:f>SDÖ5!$C$5:$C$16</xm:f>
          </x14:formula1>
          <xm:sqref>C36:E37 C5 C42:E42</xm:sqref>
        </x14:dataValidation>
        <x14:dataValidation type="list" allowBlank="1" showInputMessage="1" showErrorMessage="1" errorTitle="Arbeitsgänge" error="Bitte aus Dropdownliste auswählen." xr:uid="{00000000-0002-0000-3E00-00000E000000}">
          <x14:formula1>
            <xm:f>'SD3'!$C$23:$C$75</xm:f>
          </x14:formula1>
          <xm:sqref>C46:D57</xm:sqref>
        </x14:dataValidation>
        <x14:dataValidation type="list" allowBlank="1" showInputMessage="1" showErrorMessage="1" errorTitle="Lohnmaschinen" error="Bitte aus Dropdownliste auswählen." xr:uid="{00000000-0002-0000-3E00-00000F000000}">
          <x14:formula1>
            <xm:f>'SD3'!$C$90:$C$104</xm:f>
          </x14:formula1>
          <xm:sqref>C62:E64</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78">
    <tabColor rgb="FF00B050"/>
    <pageSetUpPr fitToPage="1"/>
  </sheetPr>
  <dimension ref="A1:AO206"/>
  <sheetViews>
    <sheetView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38.59765625" style="28" hidden="1" customWidth="1"/>
    <col min="18" max="28" width="10.5" style="27" hidden="1" customWidth="1"/>
    <col min="29" max="32" width="10.5" style="27" customWidth="1"/>
    <col min="33" max="16384" width="10.5" style="27"/>
  </cols>
  <sheetData>
    <row r="1" spans="1:41" s="219" customFormat="1" ht="30.15" customHeight="1">
      <c r="A1" s="1330">
        <f>IF(OR($C1=0,$J$6=0),0,VLOOKUP($C1,'SD2'!$C$60:$N$77,12,FALSE))</f>
        <v>0</v>
      </c>
      <c r="B1" s="258"/>
      <c r="C1" s="1333"/>
      <c r="D1" s="100"/>
      <c r="E1" s="255"/>
      <c r="F1" s="255"/>
      <c r="G1" s="3180"/>
      <c r="H1" s="3180"/>
      <c r="I1" s="3213" t="s">
        <v>1679</v>
      </c>
      <c r="J1" s="3210">
        <f>(J7+J13+J18+J22+I11+I12)-(J23+J27+J34+J43+J60+J65+J67+J69+J71+J75)</f>
        <v>647.05179587728321</v>
      </c>
      <c r="K1" s="4360">
        <f>M1-J1</f>
        <v>150.22000000000003</v>
      </c>
      <c r="L1" s="4360"/>
      <c r="M1" s="3210">
        <f>(M7+M13+M18+M22+L11+L12)-(M23+M27+M34+M43+M60+M65+M67+M69+M71+M75)</f>
        <v>797.27179587728324</v>
      </c>
      <c r="N1" s="4360">
        <f>P1-M1</f>
        <v>75.1099999999999</v>
      </c>
      <c r="O1" s="4360"/>
      <c r="P1" s="3210">
        <f>(P7+P13+P18+P22+O11+O12)-(P23+P27+P34+P43+P60+P65+P67+P69+P71+P75)</f>
        <v>872.38179587728314</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1754</v>
      </c>
      <c r="L2" s="4372"/>
      <c r="M2" s="4372"/>
      <c r="N2" s="4372"/>
      <c r="O2" s="4372"/>
      <c r="P2" s="4372"/>
      <c r="Q2" s="1681"/>
    </row>
    <row r="3" spans="1:41" s="219" customFormat="1" ht="32.4" customHeight="1">
      <c r="A3" s="1681"/>
      <c r="B3" s="4405" t="s">
        <v>1727</v>
      </c>
      <c r="C3" s="4405"/>
      <c r="D3" s="4405"/>
      <c r="E3" s="4405"/>
      <c r="F3" s="4405"/>
      <c r="G3" s="4405"/>
      <c r="H3" s="4405"/>
      <c r="J3" s="4368"/>
      <c r="K3" s="4447"/>
      <c r="L3" s="4447"/>
      <c r="M3" s="29"/>
      <c r="N3" s="4444" t="str">
        <f>IF(AND(T3=TRUE,T4=TRUE),"nur 1 Strohnutzung möglich","")</f>
        <v/>
      </c>
      <c r="O3" s="4374"/>
      <c r="P3" s="1326"/>
      <c r="Q3" s="1681"/>
      <c r="T3" s="1343" t="b">
        <v>0</v>
      </c>
    </row>
    <row r="4" spans="1:41" s="219" customFormat="1" ht="20.25" customHeight="1">
      <c r="A4" s="1681"/>
      <c r="B4" s="309" t="s">
        <v>779</v>
      </c>
      <c r="C4" s="27"/>
      <c r="D4" s="27"/>
      <c r="E4" s="4406" t="s">
        <v>1468</v>
      </c>
      <c r="F4" s="4406"/>
      <c r="G4" s="4406"/>
      <c r="H4" s="4406"/>
      <c r="I4" s="4406"/>
      <c r="J4" s="4368"/>
      <c r="K4" s="4447"/>
      <c r="L4" s="4447"/>
      <c r="M4" s="29"/>
      <c r="N4" s="4374"/>
      <c r="O4" s="4374"/>
      <c r="P4" s="1322">
        <f>SDÖ1!O3</f>
        <v>2024</v>
      </c>
      <c r="Q4" s="1681"/>
      <c r="T4" s="1343" t="b">
        <v>0</v>
      </c>
    </row>
    <row r="5" spans="1:41" ht="6" customHeight="1"/>
    <row r="6" spans="1:41" s="1311" customFormat="1" ht="24" customHeight="1">
      <c r="A6" s="41"/>
      <c r="B6" s="1316" t="s">
        <v>832</v>
      </c>
      <c r="C6" s="1315"/>
      <c r="D6" s="1315"/>
      <c r="E6" s="1315" t="s">
        <v>1134</v>
      </c>
      <c r="F6" s="1315"/>
      <c r="G6" s="1314"/>
      <c r="H6" s="4366" t="s">
        <v>171</v>
      </c>
      <c r="I6" s="4367"/>
      <c r="J6" s="1313">
        <v>450</v>
      </c>
      <c r="K6" s="4379" t="s">
        <v>144</v>
      </c>
      <c r="L6" s="4380"/>
      <c r="M6" s="1313">
        <v>550</v>
      </c>
      <c r="N6" s="4366" t="s">
        <v>170</v>
      </c>
      <c r="O6" s="4367"/>
      <c r="P6" s="1312">
        <v>600</v>
      </c>
      <c r="Q6" s="49"/>
    </row>
    <row r="7" spans="1:41" s="196" customFormat="1" ht="18.75" customHeight="1">
      <c r="A7" s="40"/>
      <c r="B7" s="245" t="s">
        <v>1133</v>
      </c>
      <c r="C7" s="40"/>
      <c r="D7" s="40"/>
      <c r="E7" s="40"/>
      <c r="F7" s="40"/>
      <c r="G7" s="1310" t="s">
        <v>163</v>
      </c>
      <c r="H7" s="1307"/>
      <c r="I7" s="1306"/>
      <c r="J7" s="1041">
        <f>SUM(I9:I10)</f>
        <v>0</v>
      </c>
      <c r="K7" s="1309"/>
      <c r="L7" s="1308"/>
      <c r="M7" s="1044">
        <f>SUM(L9:L10)</f>
        <v>0</v>
      </c>
      <c r="N7" s="1307"/>
      <c r="O7" s="1306"/>
      <c r="P7" s="1041">
        <f>SUM(O9:O10)</f>
        <v>0</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c r="G9" s="1221"/>
      <c r="H9" s="1303">
        <f>J6-H10</f>
        <v>450</v>
      </c>
      <c r="I9" s="1299">
        <f>H9*G9</f>
        <v>0</v>
      </c>
      <c r="J9" s="37"/>
      <c r="K9" s="1302">
        <f>M6-K10</f>
        <v>550</v>
      </c>
      <c r="L9" s="1301">
        <f>K9*G9</f>
        <v>0</v>
      </c>
      <c r="M9" s="1280"/>
      <c r="N9" s="1300">
        <f>P6-N10</f>
        <v>600</v>
      </c>
      <c r="O9" s="1299">
        <f>N9*G9</f>
        <v>0</v>
      </c>
      <c r="P9" s="37"/>
      <c r="Q9" s="28"/>
      <c r="R9" s="517"/>
      <c r="S9" s="208" t="s">
        <v>887</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customHeight="1">
      <c r="A11" s="309"/>
      <c r="B11" s="217"/>
      <c r="C11" s="39" t="s">
        <v>878</v>
      </c>
      <c r="D11" s="309"/>
      <c r="E11" s="1286">
        <v>0</v>
      </c>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37"/>
      <c r="Q11" s="34"/>
      <c r="W11" s="1268" t="s">
        <v>876</v>
      </c>
    </row>
    <row r="12" spans="1:41" s="1268" customFormat="1" ht="15"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t="str">
        <f>IF(OR(T3=TRUE,T4=TRUE),J6*$E$11,"0")</f>
        <v>0</v>
      </c>
      <c r="Y12" s="1265" t="str">
        <f>IF(OR(T3=TRUE,T4=TRUE),M6*$E$11,"0")</f>
        <v>0</v>
      </c>
      <c r="Z12" s="1264" t="str">
        <f>IF(OR(T3=TRUE,T4=TRUE),P6*$E$11,"0")</f>
        <v>0</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W13" s="36" t="s">
        <v>236</v>
      </c>
      <c r="X13" s="1260">
        <f>$X$12*F30</f>
        <v>0</v>
      </c>
      <c r="Y13" s="1260">
        <f>$Y$12*F30</f>
        <v>0</v>
      </c>
      <c r="Z13" s="1260">
        <f>$Z$12*F30</f>
        <v>0</v>
      </c>
    </row>
    <row r="14" spans="1:41" s="36" customFormat="1" ht="15" customHeight="1">
      <c r="A14" s="39"/>
      <c r="B14" s="1247"/>
      <c r="C14" s="4365" t="s">
        <v>1511</v>
      </c>
      <c r="D14" s="4365"/>
      <c r="E14" s="4365"/>
      <c r="F14" s="4365"/>
      <c r="G14" s="1263"/>
      <c r="H14" s="1391" t="s">
        <v>919</v>
      </c>
      <c r="I14" s="1243">
        <f>IF(H14="ja",Q14,0)</f>
        <v>240</v>
      </c>
      <c r="J14" s="39"/>
      <c r="K14" s="1262" t="s">
        <v>919</v>
      </c>
      <c r="L14" s="1098">
        <f>IF(K14="ja",Q14,0)</f>
        <v>240</v>
      </c>
      <c r="M14" s="1016"/>
      <c r="N14" s="1262" t="s">
        <v>919</v>
      </c>
      <c r="O14" s="1243">
        <f>IF(N14="ja",Q14,0)</f>
        <v>240</v>
      </c>
      <c r="P14" s="1013"/>
      <c r="Q14" s="1261">
        <f>IF(C14=0,0,VLOOKUP(C14,'SD2'!$C$11:$O$50,'SD2'!$O$1,FALSE))</f>
        <v>240</v>
      </c>
      <c r="R14" s="1350"/>
      <c r="S14" s="1349"/>
      <c r="T14" s="1348"/>
      <c r="W14" s="36" t="s">
        <v>685</v>
      </c>
      <c r="X14" s="1260">
        <f>$X$12*F31</f>
        <v>0</v>
      </c>
      <c r="Y14" s="1260">
        <f>$Y$12*F31</f>
        <v>0</v>
      </c>
      <c r="Z14" s="1260">
        <f>$Z$12*F31</f>
        <v>0</v>
      </c>
    </row>
    <row r="15" spans="1:41" s="36" customFormat="1" ht="15" customHeight="1">
      <c r="A15" s="39"/>
      <c r="B15" s="1247"/>
      <c r="C15" s="4365"/>
      <c r="D15" s="4365"/>
      <c r="E15" s="4365"/>
      <c r="F15" s="4365"/>
      <c r="G15" s="1263"/>
      <c r="H15" s="1262" t="s">
        <v>919</v>
      </c>
      <c r="I15" s="1243">
        <f>IF(H15="ja",Q15,0)</f>
        <v>0</v>
      </c>
      <c r="J15" s="39"/>
      <c r="K15" s="1262" t="s">
        <v>919</v>
      </c>
      <c r="L15" s="1098">
        <f>IF(K15="ja",Q15,0)</f>
        <v>0</v>
      </c>
      <c r="M15" s="1016"/>
      <c r="N15" s="1262" t="s">
        <v>919</v>
      </c>
      <c r="O15" s="1243">
        <f>IF(N15="ja",Q15,0)</f>
        <v>0</v>
      </c>
      <c r="P15" s="1013"/>
      <c r="Q15" s="1261">
        <f>IF(C15=0,0,VLOOKUP(C15,'SD2'!$C$11:$O$50,'SD2'!$O$1,FALSE))</f>
        <v>0</v>
      </c>
      <c r="R15" s="1347"/>
      <c r="S15" s="1343"/>
      <c r="T15" s="1346"/>
      <c r="W15" s="36" t="s">
        <v>684</v>
      </c>
      <c r="X15" s="1260">
        <f>$X$12*F32</f>
        <v>0</v>
      </c>
      <c r="Y15" s="1260">
        <f>$Y$12*F32</f>
        <v>0</v>
      </c>
      <c r="Z15" s="1260">
        <f>$Z$12*F32</f>
        <v>0</v>
      </c>
    </row>
    <row r="16" spans="1:41" s="36" customFormat="1" ht="15" customHeight="1">
      <c r="A16" s="39"/>
      <c r="B16" s="1247"/>
      <c r="C16" s="4365"/>
      <c r="D16" s="4365"/>
      <c r="E16" s="4365"/>
      <c r="F16" s="4365"/>
      <c r="G16" s="1263"/>
      <c r="H16" s="1262" t="s">
        <v>871</v>
      </c>
      <c r="I16" s="1243">
        <f>IF(H16="ja",Q16,0)</f>
        <v>0</v>
      </c>
      <c r="J16" s="39"/>
      <c r="K16" s="1262" t="s">
        <v>871</v>
      </c>
      <c r="L16" s="1098">
        <f>IF(K16="ja",Q16,0)</f>
        <v>0</v>
      </c>
      <c r="M16" s="1016"/>
      <c r="N16" s="1262" t="s">
        <v>871</v>
      </c>
      <c r="O16" s="1243">
        <f>IF(N16="ja",Q16,0)</f>
        <v>0</v>
      </c>
      <c r="P16" s="1013"/>
      <c r="Q16" s="1261">
        <f>IF(C16=0,0,VLOOKUP(C16,'SD2'!$C$11:$O$50,'SD2'!$O$1,FALSE))</f>
        <v>0</v>
      </c>
      <c r="R16" s="1347"/>
      <c r="S16" s="1343"/>
      <c r="T16" s="1346"/>
      <c r="W16" s="36" t="s">
        <v>230</v>
      </c>
      <c r="X16" s="1260">
        <f>$X$12*F33</f>
        <v>0</v>
      </c>
      <c r="Y16" s="1260">
        <f>$Y$12*F33</f>
        <v>0</v>
      </c>
      <c r="Z16" s="1260">
        <f>$Z$12*F33</f>
        <v>0</v>
      </c>
    </row>
    <row r="17" spans="1:20" s="511" customFormat="1" ht="15" customHeight="1">
      <c r="A17" s="40"/>
      <c r="B17" s="1247"/>
      <c r="C17" s="4365"/>
      <c r="D17" s="4365"/>
      <c r="E17" s="4365"/>
      <c r="F17" s="4365"/>
      <c r="G17" s="1263"/>
      <c r="H17" s="1262" t="s">
        <v>871</v>
      </c>
      <c r="I17" s="1243">
        <f>IF(H17="ja",Q17,0)</f>
        <v>0</v>
      </c>
      <c r="J17" s="39"/>
      <c r="K17" s="1262" t="s">
        <v>871</v>
      </c>
      <c r="L17" s="1098">
        <f>IF(K17="ja",Q17,0)</f>
        <v>0</v>
      </c>
      <c r="M17" s="1016"/>
      <c r="N17" s="1262" t="s">
        <v>871</v>
      </c>
      <c r="O17" s="1243">
        <f>IF(N17="ja",Q17,0)</f>
        <v>0</v>
      </c>
      <c r="P17" s="1013"/>
      <c r="Q17" s="1261">
        <f>IF(C17=0,0,VLOOKUP(C17,'SD2'!$C$11:$O$50,'SD2'!$O$1,FALSE))</f>
        <v>0</v>
      </c>
    </row>
    <row r="18" spans="1:20" s="36" customFormat="1" ht="18.75" customHeight="1">
      <c r="A18" s="39"/>
      <c r="B18" s="209" t="s">
        <v>1563</v>
      </c>
      <c r="C18" s="1672"/>
      <c r="D18" s="1672"/>
      <c r="E18" s="1672"/>
      <c r="F18" s="1672"/>
      <c r="G18" s="2464"/>
      <c r="H18" s="2249"/>
      <c r="I18" s="2465"/>
      <c r="J18" s="1041">
        <f>SUM(I19:I21)</f>
        <v>177</v>
      </c>
      <c r="K18" s="2250"/>
      <c r="L18" s="2466"/>
      <c r="M18" s="1044">
        <f>SUM(L19:L21)</f>
        <v>177</v>
      </c>
      <c r="N18" s="2249"/>
      <c r="O18" s="2465"/>
      <c r="P18" s="1041">
        <f>SUM(O19:O21)</f>
        <v>177</v>
      </c>
      <c r="Q18" s="28"/>
      <c r="R18" s="514" t="s">
        <v>870</v>
      </c>
      <c r="S18" s="308"/>
      <c r="T18" s="1248"/>
    </row>
    <row r="19" spans="1:20" ht="15.6" customHeight="1">
      <c r="A19" s="309"/>
      <c r="B19" s="1247"/>
      <c r="C19" s="4365" t="s">
        <v>1560</v>
      </c>
      <c r="D19" s="4365"/>
      <c r="E19" s="4365"/>
      <c r="F19" s="4365"/>
      <c r="G19" s="1246"/>
      <c r="H19" s="1244"/>
      <c r="I19" s="2839">
        <f>IF(OR($C19=0,$J$6=0),0,VLOOKUP($C19,'SD2'!C60:O78,12,FALSE))</f>
        <v>155</v>
      </c>
      <c r="J19" s="39"/>
      <c r="K19" s="1245"/>
      <c r="L19" s="1098">
        <f>IF(OR($C19=0,$M$6=0),0,VLOOKUP($C19,'SD2'!$C$60:$O$78,12,FALSE))</f>
        <v>155</v>
      </c>
      <c r="M19" s="1016"/>
      <c r="N19" s="1244"/>
      <c r="O19" s="1243">
        <f>IF(OR($C19=0,$P$6=0),0,VLOOKUP($C19,'SD2'!C60:O78,12,FALSE))</f>
        <v>155</v>
      </c>
      <c r="P19" s="1013"/>
      <c r="R19" s="1242">
        <f>J13+J18</f>
        <v>417</v>
      </c>
      <c r="S19" s="1242">
        <f>M13+M18</f>
        <v>417</v>
      </c>
      <c r="T19" s="1242">
        <f>P13+P18</f>
        <v>417</v>
      </c>
    </row>
    <row r="20" spans="1:20" s="2894" customFormat="1" ht="15.6" customHeight="1">
      <c r="A20" s="2788"/>
      <c r="B20" s="1247"/>
      <c r="C20" s="4365" t="s">
        <v>1675</v>
      </c>
      <c r="D20" s="4365"/>
      <c r="E20" s="4365"/>
      <c r="F20" s="4365"/>
      <c r="G20" s="2914"/>
      <c r="H20" s="1244"/>
      <c r="I20" s="2839">
        <f>IF(OR($C20=0,$J$6=0),0,VLOOKUP($C20,'SD2'!C61:O79,12,FALSE))</f>
        <v>22</v>
      </c>
      <c r="J20" s="2783"/>
      <c r="K20" s="1245"/>
      <c r="L20" s="2829">
        <f>IF(OR($C20=0,$M$6=0),0,VLOOKUP($C20,'SD2'!$C$60:$O$78,12,FALSE))</f>
        <v>22</v>
      </c>
      <c r="M20" s="2795"/>
      <c r="N20" s="1244"/>
      <c r="O20" s="2839">
        <f>IF(OR($C20=0,$P$6=0),0,VLOOKUP($C20,'SD2'!C61:O79,12,FALSE))</f>
        <v>22</v>
      </c>
      <c r="P20" s="1013"/>
      <c r="Q20" s="2895"/>
      <c r="R20" s="2888"/>
      <c r="S20" s="2888"/>
      <c r="T20" s="2888"/>
    </row>
    <row r="21" spans="1:20" s="2894" customFormat="1" ht="15.6" customHeight="1">
      <c r="A21" s="2788"/>
      <c r="B21" s="1247"/>
      <c r="C21" s="4365"/>
      <c r="D21" s="4365"/>
      <c r="E21" s="4365"/>
      <c r="F21" s="4365"/>
      <c r="G21" s="2914"/>
      <c r="H21" s="1244"/>
      <c r="I21" s="2839">
        <f>IF(OR($C21=0,$J$6=0),0,VLOOKUP($C21,'SD2'!C62:O79,12,FALSE))</f>
        <v>0</v>
      </c>
      <c r="J21" s="2783"/>
      <c r="K21" s="1245"/>
      <c r="L21" s="2829">
        <f>IF(OR($C21=0,$M$6=0),0,VLOOKUP($C21,'SD2'!$C$60:$O$78,12,FALSE))</f>
        <v>0</v>
      </c>
      <c r="M21" s="2795"/>
      <c r="N21" s="1244"/>
      <c r="O21" s="2839">
        <f>IF(OR($C21=0,$P$6=0),0,VLOOKUP($C21,'SD2'!C62:O79,12,FALSE))</f>
        <v>0</v>
      </c>
      <c r="P21" s="1013"/>
      <c r="Q21" s="2895"/>
      <c r="R21" s="2888"/>
      <c r="S21" s="2888"/>
      <c r="T21" s="2888"/>
    </row>
    <row r="22" spans="1:20" ht="15.75" customHeight="1">
      <c r="A22" s="309"/>
      <c r="B22" s="245" t="s">
        <v>869</v>
      </c>
      <c r="C22" s="39"/>
      <c r="D22" s="1234"/>
      <c r="E22" s="4370" t="s">
        <v>868</v>
      </c>
      <c r="F22" s="4370"/>
      <c r="G22" s="4371"/>
      <c r="H22" s="1231"/>
      <c r="I22" s="1230"/>
      <c r="J22" s="1229"/>
      <c r="K22" s="1233"/>
      <c r="L22" s="1232"/>
      <c r="M22" s="1229"/>
      <c r="N22" s="1231"/>
      <c r="O22" s="1230"/>
      <c r="P22" s="1229"/>
    </row>
    <row r="23" spans="1:20" s="36" customFormat="1" ht="18.75" customHeight="1">
      <c r="A23" s="746"/>
      <c r="B23" s="209" t="s">
        <v>214</v>
      </c>
      <c r="C23" s="1228"/>
      <c r="D23" s="1228"/>
      <c r="E23" s="34"/>
      <c r="F23" s="4381"/>
      <c r="G23" s="4382" t="s">
        <v>163</v>
      </c>
      <c r="H23" s="1043"/>
      <c r="I23" s="1042"/>
      <c r="J23" s="1026">
        <f>SUM(I25:I26)</f>
        <v>202.20000000000002</v>
      </c>
      <c r="K23" s="1046"/>
      <c r="L23" s="1045"/>
      <c r="M23" s="1227">
        <f>SUM(L25:L26)</f>
        <v>202.20000000000002</v>
      </c>
      <c r="N23" s="1043"/>
      <c r="O23" s="1042"/>
      <c r="P23" s="1026">
        <f>SUM(O25:O26)</f>
        <v>202.20000000000002</v>
      </c>
      <c r="Q23" s="28"/>
    </row>
    <row r="24" spans="1:20"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20" s="511" customFormat="1" ht="18.75" customHeight="1">
      <c r="A25" s="711"/>
      <c r="B25" s="1223"/>
      <c r="C25" s="746" t="s">
        <v>866</v>
      </c>
      <c r="D25" s="4383"/>
      <c r="E25" s="4384"/>
      <c r="F25" s="1222">
        <f>SDÖ7!F29/100</f>
        <v>6.74</v>
      </c>
      <c r="G25" s="1221">
        <f>F25*(100+$D$24)/100</f>
        <v>6.74</v>
      </c>
      <c r="H25" s="1220">
        <v>30</v>
      </c>
      <c r="I25" s="1181">
        <f>H25*$G25</f>
        <v>202.20000000000002</v>
      </c>
      <c r="J25" s="39"/>
      <c r="K25" s="1220">
        <f>H25</f>
        <v>30</v>
      </c>
      <c r="L25" s="1023">
        <f>K25*$G25</f>
        <v>202.20000000000002</v>
      </c>
      <c r="M25" s="1016"/>
      <c r="N25" s="1220">
        <f>H25</f>
        <v>30</v>
      </c>
      <c r="O25" s="1181">
        <f>N25*$G25</f>
        <v>202.20000000000002</v>
      </c>
      <c r="P25" s="1145"/>
      <c r="Q25" s="28"/>
    </row>
    <row r="26" spans="1:20"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20" s="511" customFormat="1" ht="17.399999999999999" customHeight="1">
      <c r="A27" s="711"/>
      <c r="B27" s="1215" t="s">
        <v>213</v>
      </c>
      <c r="C27" s="711"/>
      <c r="D27" s="51"/>
      <c r="E27" s="34"/>
      <c r="F27" s="34"/>
      <c r="G27" s="1214" t="s">
        <v>163</v>
      </c>
      <c r="H27" s="1173"/>
      <c r="I27" s="1172"/>
      <c r="J27" s="1041">
        <f>SUM(I30:I32)</f>
        <v>-572.39</v>
      </c>
      <c r="K27" s="1175"/>
      <c r="L27" s="1174"/>
      <c r="M27" s="1044">
        <f>SUM(L30:L32)</f>
        <v>-722.61</v>
      </c>
      <c r="N27" s="1173"/>
      <c r="O27" s="1172"/>
      <c r="P27" s="1041">
        <f>SUM(O30:O32)</f>
        <v>-797.71999999999991</v>
      </c>
      <c r="Q27" s="28"/>
    </row>
    <row r="28" spans="1:20" s="36" customFormat="1" ht="15" customHeight="1">
      <c r="A28" s="746"/>
      <c r="B28" s="774"/>
      <c r="C28" s="2238"/>
      <c r="D28" s="1213" t="s">
        <v>706</v>
      </c>
      <c r="E28" s="1213" t="s">
        <v>864</v>
      </c>
      <c r="F28" s="1213" t="s">
        <v>864</v>
      </c>
      <c r="G28" s="1212" t="s">
        <v>863</v>
      </c>
      <c r="H28" s="1172"/>
      <c r="I28" s="1209"/>
      <c r="J28" s="2239"/>
      <c r="K28" s="1175"/>
      <c r="L28" s="1105"/>
      <c r="M28" s="1210"/>
      <c r="N28" s="1173"/>
      <c r="O28" s="1209"/>
      <c r="P28" s="1026"/>
      <c r="Q28" s="28"/>
    </row>
    <row r="29" spans="1:20" s="36" customFormat="1" ht="15" customHeight="1">
      <c r="A29" s="746"/>
      <c r="B29" s="1208"/>
      <c r="C29" s="747" t="s">
        <v>862</v>
      </c>
      <c r="D29" s="1034" t="s">
        <v>611</v>
      </c>
      <c r="E29" s="1034" t="s">
        <v>861</v>
      </c>
      <c r="F29" s="1034" t="s">
        <v>860</v>
      </c>
      <c r="G29" s="1034" t="s">
        <v>1128</v>
      </c>
      <c r="H29" s="1205" t="s">
        <v>612</v>
      </c>
      <c r="I29" s="1027" t="s">
        <v>163</v>
      </c>
      <c r="J29" s="2238"/>
      <c r="K29" s="1207" t="s">
        <v>612</v>
      </c>
      <c r="L29" s="1030" t="s">
        <v>163</v>
      </c>
      <c r="M29" s="1206"/>
      <c r="N29" s="1205" t="s">
        <v>612</v>
      </c>
      <c r="O29" s="1027" t="s">
        <v>163</v>
      </c>
      <c r="P29" s="1204"/>
      <c r="Q29" s="28"/>
    </row>
    <row r="30" spans="1:20" s="36" customFormat="1" ht="15" customHeight="1">
      <c r="A30" s="746"/>
      <c r="B30" s="1203"/>
      <c r="C30" s="1202" t="s">
        <v>236</v>
      </c>
      <c r="D30" s="1150">
        <f>SDÖ1!O56</f>
        <v>5.18</v>
      </c>
      <c r="E30" s="1201">
        <f>VLOOKUP($K$2,'SD8'!$B$9:$K$44,3,FALSE)</f>
        <v>-1.45</v>
      </c>
      <c r="F30" s="1201"/>
      <c r="G30" s="1200">
        <v>20</v>
      </c>
      <c r="H30" s="1198">
        <f>IF(J$6=0,0,(J$6*0.2*$E30+$G30+X13))</f>
        <v>-110.5</v>
      </c>
      <c r="I30" s="1181">
        <f>H30*$D30</f>
        <v>-572.39</v>
      </c>
      <c r="J30" s="39"/>
      <c r="K30" s="1199">
        <f>IF(M$6=0,0,(M$6*0.2*$E30+$G30+AA13))</f>
        <v>-139.5</v>
      </c>
      <c r="L30" s="1023">
        <f>K30*$D30</f>
        <v>-722.61</v>
      </c>
      <c r="M30" s="1016"/>
      <c r="N30" s="1198">
        <f>IF(P$6=0,0,(P$6*0.2*$E30+$G30+AD13))</f>
        <v>-154</v>
      </c>
      <c r="O30" s="1181">
        <f>N30*$D30</f>
        <v>-797.71999999999991</v>
      </c>
      <c r="P30" s="1145"/>
      <c r="Q30" s="28"/>
    </row>
    <row r="31" spans="1:20" s="36" customFormat="1" ht="15" customHeight="1">
      <c r="A31" s="746"/>
      <c r="B31" s="217"/>
      <c r="C31" s="746" t="s">
        <v>234</v>
      </c>
      <c r="D31" s="1150">
        <f>SDÖ1!O57</f>
        <v>1.42</v>
      </c>
      <c r="E31" s="1201">
        <v>0</v>
      </c>
      <c r="F31" s="1201"/>
      <c r="G31" s="1200"/>
      <c r="H31" s="1198">
        <f>IF(J$6=0,0,(J$6*0.2*$E31+$G31+X14))</f>
        <v>0</v>
      </c>
      <c r="I31" s="1181">
        <f>H31*$D31</f>
        <v>0</v>
      </c>
      <c r="J31" s="39"/>
      <c r="K31" s="1199">
        <f>IF(M$6=0,0,(M$6*0.2*$E31+$G31+AA14))</f>
        <v>0</v>
      </c>
      <c r="L31" s="1023">
        <f>K31*$D31</f>
        <v>0</v>
      </c>
      <c r="M31" s="1016"/>
      <c r="N31" s="1198">
        <f>IF(P$6=0,0,(P$6*0.2*$E31+$G31+AD14))</f>
        <v>0</v>
      </c>
      <c r="O31" s="1181">
        <f>N31*$D31</f>
        <v>0</v>
      </c>
      <c r="P31" s="1145"/>
      <c r="Q31" s="28"/>
    </row>
    <row r="32" spans="1:20" s="511" customFormat="1" ht="18.75" customHeight="1">
      <c r="A32" s="711"/>
      <c r="B32" s="185"/>
      <c r="C32" s="2791" t="s">
        <v>232</v>
      </c>
      <c r="D32" s="1133">
        <f>SDÖ1!O58</f>
        <v>1.78</v>
      </c>
      <c r="E32" s="1197">
        <v>0</v>
      </c>
      <c r="F32" s="2609"/>
      <c r="G32" s="1200"/>
      <c r="H32" s="1194">
        <f>IF(J$6=0,0,(J$6*0.2*$E32+$G32+X15))</f>
        <v>0</v>
      </c>
      <c r="I32" s="1177">
        <f>H32*$D32</f>
        <v>0</v>
      </c>
      <c r="J32" s="223"/>
      <c r="K32" s="1195">
        <f>IF(M$6=0,0,(M$6*0.2*$E32+$G32+AA15))</f>
        <v>0</v>
      </c>
      <c r="L32" s="1017">
        <f>K32*$D32</f>
        <v>0</v>
      </c>
      <c r="M32" s="1256"/>
      <c r="N32" s="1194">
        <f>IF(P$6=0,0,(P$6*0.2*$E32+$G32+AD15))</f>
        <v>0</v>
      </c>
      <c r="O32" s="1177">
        <f>N32*$D32</f>
        <v>0</v>
      </c>
      <c r="P32" s="1176"/>
      <c r="Q32" s="28"/>
    </row>
    <row r="33" spans="1:17" s="511" customFormat="1" ht="13.2" hidden="1" customHeight="1">
      <c r="A33" s="711"/>
      <c r="B33" s="185"/>
      <c r="C33" s="771" t="s">
        <v>230</v>
      </c>
      <c r="D33" s="1133">
        <f>SDÖ1!P59</f>
        <v>0.5</v>
      </c>
      <c r="E33" s="2609">
        <v>0</v>
      </c>
      <c r="F33" s="1197"/>
      <c r="G33" s="1196"/>
      <c r="H33" s="1198">
        <f>IF(J$6=0,0,(J$6*0.2*$E33+$G33+X16))</f>
        <v>0</v>
      </c>
      <c r="I33" s="1177">
        <f>H33*$D33</f>
        <v>0</v>
      </c>
      <c r="J33" s="39"/>
      <c r="K33" s="1195">
        <f>IF(M$6=0,0,(M$6*0.2*$E33+$G33+AA16))</f>
        <v>0</v>
      </c>
      <c r="L33" s="1017">
        <f>K33*$D33</f>
        <v>0</v>
      </c>
      <c r="M33" s="1016"/>
      <c r="N33" s="1194">
        <f>IF(P$6=0,0,(P$6*0.2*$E33+$G33+AD16))</f>
        <v>0</v>
      </c>
      <c r="O33" s="1177">
        <f>N33*$D33</f>
        <v>0</v>
      </c>
      <c r="P33" s="1176"/>
      <c r="Q33" s="28"/>
    </row>
    <row r="34" spans="1:17" s="36" customFormat="1" ht="15" customHeight="1">
      <c r="A34" s="746"/>
      <c r="B34" s="716" t="s">
        <v>212</v>
      </c>
      <c r="C34" s="711"/>
      <c r="D34" s="2238"/>
      <c r="E34" s="2238"/>
      <c r="F34" s="4381"/>
      <c r="G34" s="4382" t="s">
        <v>163</v>
      </c>
      <c r="H34" s="1191"/>
      <c r="I34" s="1190"/>
      <c r="J34" s="1041">
        <f>SUM(I36:I42)</f>
        <v>0</v>
      </c>
      <c r="K34" s="1193"/>
      <c r="L34" s="1192"/>
      <c r="M34" s="1044">
        <f>SUM(L36:L42)</f>
        <v>0</v>
      </c>
      <c r="N34" s="1191"/>
      <c r="O34" s="1190"/>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v>0</v>
      </c>
      <c r="D37" s="4375"/>
      <c r="E37" s="4376"/>
      <c r="F37" s="1183">
        <f>IF(C37=0,0,VLOOKUP(C37,SDÖ5!$C$7:$D$16,2,FALSE))</f>
        <v>0</v>
      </c>
      <c r="G37" s="1183">
        <f t="shared" si="0"/>
        <v>0</v>
      </c>
      <c r="H37" s="1182"/>
      <c r="I37" s="1181">
        <f t="shared" si="1"/>
        <v>0</v>
      </c>
      <c r="J37" s="39"/>
      <c r="K37" s="1182"/>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136.19031709000001</v>
      </c>
      <c r="K43" s="1175"/>
      <c r="L43" s="1174"/>
      <c r="M43" s="1044">
        <f>SUM(M46:M57)</f>
        <v>136.19031709000001</v>
      </c>
      <c r="N43" s="1173"/>
      <c r="O43" s="1172"/>
      <c r="P43" s="1041">
        <f>SUM(P46:P57)</f>
        <v>136.19031709000001</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7"/>
      <c r="C46" s="4363" t="s">
        <v>1589</v>
      </c>
      <c r="D46" s="4364"/>
      <c r="E46" s="1152">
        <f>IF($C46=0,0,VLOOKUP($C46,'SD3'!$C$24:$O$71,4,FALSE))</f>
        <v>120</v>
      </c>
      <c r="F46" s="1151">
        <f>IF($C46=0,0,VLOOKUP($C46,'SD3'!$C$24:$O$71,12,FALSE))</f>
        <v>1.38</v>
      </c>
      <c r="G46" s="1150">
        <f>IF($C46=0,0,VLOOKUP($C46,'SD3'!$C$24:$O$71,13,FALSE))</f>
        <v>64.642445999999993</v>
      </c>
      <c r="H46" s="1155">
        <v>0.5</v>
      </c>
      <c r="I46" s="1154">
        <f t="shared" ref="I46:I57" si="4">$F46*H46</f>
        <v>0.69</v>
      </c>
      <c r="J46" s="1145">
        <f t="shared" ref="J46:J57" si="5">H46*$G46</f>
        <v>32.321222999999996</v>
      </c>
      <c r="K46" s="1155">
        <v>0.5</v>
      </c>
      <c r="L46" s="1156">
        <f t="shared" ref="L46:L57" si="6">$F46*K46</f>
        <v>0.69</v>
      </c>
      <c r="M46" s="1148">
        <f t="shared" ref="M46:M57" si="7">K46*$G46</f>
        <v>32.321222999999996</v>
      </c>
      <c r="N46" s="1155">
        <v>0.5</v>
      </c>
      <c r="O46" s="1154">
        <f t="shared" ref="O46:O57" si="8">$F46*N46</f>
        <v>0.69</v>
      </c>
      <c r="P46" s="1145">
        <f t="shared" ref="P46:P57" si="9">N46*$G46</f>
        <v>32.321222999999996</v>
      </c>
      <c r="Q46" s="28"/>
    </row>
    <row r="47" spans="1:17" s="36" customFormat="1" ht="15" customHeight="1">
      <c r="A47" s="746"/>
      <c r="B47" s="1153"/>
      <c r="C47" s="4387" t="s">
        <v>360</v>
      </c>
      <c r="D47" s="4388"/>
      <c r="E47" s="1152">
        <f>IF($C47=0,0,VLOOKUP($C47,'SD3'!$C$24:$O$71,4,FALSE))</f>
        <v>120</v>
      </c>
      <c r="F47" s="1151">
        <f>IF($C47=0,0,VLOOKUP($C47,'SD3'!$C$24:$O$71,12,FALSE))</f>
        <v>0.79</v>
      </c>
      <c r="G47" s="1150">
        <f>IF($C47=0,0,VLOOKUP($C47,'SD3'!$C$24:$O$71,13,FALSE))</f>
        <v>27.987262000000001</v>
      </c>
      <c r="H47" s="1147">
        <v>0.5</v>
      </c>
      <c r="I47" s="1146">
        <f t="shared" si="4"/>
        <v>0.39500000000000002</v>
      </c>
      <c r="J47" s="1145">
        <f t="shared" si="5"/>
        <v>13.993631000000001</v>
      </c>
      <c r="K47" s="1147">
        <v>0.5</v>
      </c>
      <c r="L47" s="1149">
        <f t="shared" si="6"/>
        <v>0.39500000000000002</v>
      </c>
      <c r="M47" s="1148">
        <f t="shared" si="7"/>
        <v>13.993631000000001</v>
      </c>
      <c r="N47" s="1147">
        <v>0.5</v>
      </c>
      <c r="O47" s="1146">
        <f t="shared" si="8"/>
        <v>0.39500000000000002</v>
      </c>
      <c r="P47" s="1145">
        <f t="shared" si="9"/>
        <v>13.993631000000001</v>
      </c>
      <c r="Q47" s="28"/>
    </row>
    <row r="48" spans="1:17" s="36" customFormat="1" ht="15" customHeight="1">
      <c r="A48" s="746"/>
      <c r="B48" s="1153"/>
      <c r="C48" s="4387" t="s">
        <v>354</v>
      </c>
      <c r="D48" s="4388"/>
      <c r="E48" s="1152">
        <f>IF($C48=0,0,VLOOKUP($C48,'SD3'!$C$24:$O$71,4,FALSE))</f>
        <v>120</v>
      </c>
      <c r="F48" s="1151">
        <f>IF($C48=0,0,VLOOKUP($C48,'SD3'!$C$24:$O$71,12,FALSE))</f>
        <v>0.71</v>
      </c>
      <c r="G48" s="1150">
        <f>IF($C48=0,0,VLOOKUP($C48,'SD3'!$C$24:$O$71,13,FALSE))</f>
        <v>30.659437999999998</v>
      </c>
      <c r="H48" s="1147">
        <v>0.5</v>
      </c>
      <c r="I48" s="1146">
        <f t="shared" si="4"/>
        <v>0.35499999999999998</v>
      </c>
      <c r="J48" s="1145">
        <f t="shared" si="5"/>
        <v>15.329718999999999</v>
      </c>
      <c r="K48" s="1147">
        <v>0.5</v>
      </c>
      <c r="L48" s="1149">
        <f t="shared" si="6"/>
        <v>0.35499999999999998</v>
      </c>
      <c r="M48" s="1148">
        <f t="shared" si="7"/>
        <v>15.329718999999999</v>
      </c>
      <c r="N48" s="1147">
        <v>0.5</v>
      </c>
      <c r="O48" s="1146">
        <f t="shared" si="8"/>
        <v>0.35499999999999998</v>
      </c>
      <c r="P48" s="1145">
        <f t="shared" si="9"/>
        <v>15.329718999999999</v>
      </c>
      <c r="Q48" s="28"/>
    </row>
    <row r="49" spans="1:17" s="36" customFormat="1" ht="15" customHeight="1">
      <c r="A49" s="746"/>
      <c r="B49" s="1153"/>
      <c r="C49" s="4387"/>
      <c r="D49" s="4388"/>
      <c r="E49" s="1152">
        <f>IF($C49=0,0,VLOOKUP($C49,'SD3'!$C$24:$O$71,4,FALSE))</f>
        <v>0</v>
      </c>
      <c r="F49" s="1151">
        <f>IF($C49=0,0,VLOOKUP($C49,'SD3'!$C$24:$O$71,12,FALSE))</f>
        <v>0</v>
      </c>
      <c r="G49" s="1150">
        <f>IF($C49=0,0,VLOOKUP($C49,'SD3'!$C$24:$O$71,13,FALSE))</f>
        <v>0</v>
      </c>
      <c r="H49" s="1147"/>
      <c r="I49" s="1146">
        <f t="shared" si="4"/>
        <v>0</v>
      </c>
      <c r="J49" s="1145">
        <f t="shared" si="5"/>
        <v>0</v>
      </c>
      <c r="K49" s="1147"/>
      <c r="L49" s="1149">
        <f t="shared" si="6"/>
        <v>0</v>
      </c>
      <c r="M49" s="1148">
        <f t="shared" si="7"/>
        <v>0</v>
      </c>
      <c r="N49" s="1147"/>
      <c r="O49" s="1146">
        <f t="shared" si="8"/>
        <v>0</v>
      </c>
      <c r="P49" s="1145">
        <f t="shared" si="9"/>
        <v>0</v>
      </c>
      <c r="Q49" s="28"/>
    </row>
    <row r="50" spans="1:17" s="36" customFormat="1" ht="15" customHeight="1">
      <c r="A50" s="746"/>
      <c r="B50" s="1153"/>
      <c r="C50" s="4387" t="s">
        <v>356</v>
      </c>
      <c r="D50" s="4388"/>
      <c r="E50" s="1152">
        <f>IF($C50=0,0,VLOOKUP($C50,'SD3'!$C$24:$O$71,4,FALSE))</f>
        <v>83</v>
      </c>
      <c r="F50" s="1151">
        <f>IF($C50=0,0,VLOOKUP($C50,'SD3'!$C$24:$O$71,12,FALSE))</f>
        <v>0.53</v>
      </c>
      <c r="G50" s="1150">
        <f>IF($C50=0,0,VLOOKUP($C50,'SD3'!$C$24:$O$71,13,FALSE))</f>
        <v>12.740039489999999</v>
      </c>
      <c r="H50" s="1147">
        <v>1</v>
      </c>
      <c r="I50" s="1146">
        <f t="shared" si="4"/>
        <v>0.53</v>
      </c>
      <c r="J50" s="1145">
        <f t="shared" si="5"/>
        <v>12.740039489999999</v>
      </c>
      <c r="K50" s="1147">
        <v>1</v>
      </c>
      <c r="L50" s="1149">
        <f t="shared" si="6"/>
        <v>0.53</v>
      </c>
      <c r="M50" s="1148">
        <f t="shared" si="7"/>
        <v>12.740039489999999</v>
      </c>
      <c r="N50" s="1147">
        <v>1</v>
      </c>
      <c r="O50" s="1146">
        <f t="shared" si="8"/>
        <v>0.53</v>
      </c>
      <c r="P50" s="1145">
        <f t="shared" si="9"/>
        <v>12.740039489999999</v>
      </c>
      <c r="Q50" s="28"/>
    </row>
    <row r="51" spans="1:17" s="36" customFormat="1" ht="15" customHeight="1">
      <c r="A51" s="746"/>
      <c r="B51" s="1153"/>
      <c r="C51" s="4387" t="s">
        <v>341</v>
      </c>
      <c r="D51" s="4388"/>
      <c r="E51" s="1152">
        <f>IF($C51=0,0,VLOOKUP($C51,'SD3'!$C$24:$O$71,4,FALSE))</f>
        <v>83</v>
      </c>
      <c r="F51" s="1151">
        <f>IF($C51=0,0,VLOOKUP($C51,'SD3'!$C$24:$O$71,12,FALSE))</f>
        <v>1.17</v>
      </c>
      <c r="G51" s="1150">
        <f>IF($C51=0,0,VLOOKUP($C51,'SD3'!$C$24:$O$71,13,FALSE))</f>
        <v>30.902852299999999</v>
      </c>
      <c r="H51" s="1147">
        <v>2</v>
      </c>
      <c r="I51" s="1146">
        <f t="shared" si="4"/>
        <v>2.34</v>
      </c>
      <c r="J51" s="1145">
        <f t="shared" si="5"/>
        <v>61.805704599999999</v>
      </c>
      <c r="K51" s="1147">
        <v>2</v>
      </c>
      <c r="L51" s="1149">
        <f t="shared" si="6"/>
        <v>2.34</v>
      </c>
      <c r="M51" s="1148">
        <f t="shared" si="7"/>
        <v>61.805704599999999</v>
      </c>
      <c r="N51" s="1147">
        <v>2</v>
      </c>
      <c r="O51" s="1146">
        <f t="shared" si="8"/>
        <v>2.34</v>
      </c>
      <c r="P51" s="1145">
        <f t="shared" si="9"/>
        <v>61.805704599999999</v>
      </c>
      <c r="Q51" s="28"/>
    </row>
    <row r="52" spans="1:17" s="36" customFormat="1" ht="15" customHeight="1">
      <c r="A52" s="746"/>
      <c r="B52" s="1153"/>
      <c r="C52" s="4387"/>
      <c r="D52" s="4388"/>
      <c r="E52" s="1152">
        <f>IF($C52=0,0,VLOOKUP($C52,'SD3'!$C$24:$O$71,4,FALSE))</f>
        <v>0</v>
      </c>
      <c r="F52" s="1151">
        <f>IF($C52=0,0,VLOOKUP($C52,'SD3'!$C$24:$O$71,12,FALSE))</f>
        <v>0</v>
      </c>
      <c r="G52" s="1150">
        <f>IF($C52=0,0,VLOOKUP($C52,'SD3'!$C$24:$O$71,13,FALSE))</f>
        <v>0</v>
      </c>
      <c r="H52" s="1147"/>
      <c r="I52" s="1146">
        <f t="shared" si="4"/>
        <v>0</v>
      </c>
      <c r="J52" s="1145">
        <f t="shared" si="5"/>
        <v>0</v>
      </c>
      <c r="K52" s="1147"/>
      <c r="L52" s="1149">
        <f t="shared" si="6"/>
        <v>0</v>
      </c>
      <c r="M52" s="1148">
        <f t="shared" si="7"/>
        <v>0</v>
      </c>
      <c r="N52" s="1147"/>
      <c r="O52" s="1146">
        <f t="shared" si="8"/>
        <v>0</v>
      </c>
      <c r="P52" s="1145">
        <f t="shared" si="9"/>
        <v>0</v>
      </c>
      <c r="Q52" s="28"/>
    </row>
    <row r="53" spans="1:17" s="36" customFormat="1" ht="15" customHeight="1">
      <c r="A53" s="746"/>
      <c r="B53" s="1153"/>
      <c r="C53" s="4387"/>
      <c r="D53" s="4388"/>
      <c r="E53" s="1152">
        <f>IF($C53=0,0,VLOOKUP($C53,'SD3'!$C$24:$O$71,4,FALSE))</f>
        <v>0</v>
      </c>
      <c r="F53" s="1151">
        <f>IF($C53=0,0,VLOOKUP($C53,'SD3'!$C$24:$O$71,12,FALSE))</f>
        <v>0</v>
      </c>
      <c r="G53" s="1150">
        <f>IF($C53=0,0,VLOOKUP($C53,'SD3'!$C$24:$O$71,13,FALSE))</f>
        <v>0</v>
      </c>
      <c r="H53" s="1147"/>
      <c r="I53" s="1146">
        <f t="shared" si="4"/>
        <v>0</v>
      </c>
      <c r="J53" s="1145">
        <f t="shared" si="5"/>
        <v>0</v>
      </c>
      <c r="K53" s="1147"/>
      <c r="L53" s="1149">
        <f t="shared" si="6"/>
        <v>0</v>
      </c>
      <c r="M53" s="1148">
        <f t="shared" si="7"/>
        <v>0</v>
      </c>
      <c r="N53" s="1147"/>
      <c r="O53" s="1146">
        <f t="shared" si="8"/>
        <v>0</v>
      </c>
      <c r="P53" s="1145">
        <f t="shared" si="9"/>
        <v>0</v>
      </c>
      <c r="Q53" s="28"/>
    </row>
    <row r="54" spans="1:17" s="36" customFormat="1" ht="15" customHeight="1">
      <c r="A54" s="746"/>
      <c r="B54" s="1153"/>
      <c r="C54" s="4387"/>
      <c r="D54" s="4388"/>
      <c r="E54" s="1152">
        <f>IF($C54=0,0,VLOOKUP($C54,'SD3'!$C$24:$O$71,4,FALSE))</f>
        <v>0</v>
      </c>
      <c r="F54" s="1151">
        <f>IF($C54=0,0,VLOOKUP($C54,'SD3'!$C$24:$O$71,12,FALSE))</f>
        <v>0</v>
      </c>
      <c r="G54" s="1150">
        <f>IF($C54=0,0,VLOOKUP($C54,'SD3'!$C$24:$O$71,13,FALSE))</f>
        <v>0</v>
      </c>
      <c r="H54" s="1147"/>
      <c r="I54" s="1146">
        <f t="shared" si="4"/>
        <v>0</v>
      </c>
      <c r="J54" s="1145">
        <f t="shared" si="5"/>
        <v>0</v>
      </c>
      <c r="K54" s="1147"/>
      <c r="L54" s="1149">
        <f t="shared" si="6"/>
        <v>0</v>
      </c>
      <c r="M54" s="1148">
        <f t="shared" si="7"/>
        <v>0</v>
      </c>
      <c r="N54" s="1147"/>
      <c r="O54" s="1146">
        <f t="shared" si="8"/>
        <v>0</v>
      </c>
      <c r="P54" s="1145">
        <f t="shared" si="9"/>
        <v>0</v>
      </c>
      <c r="Q54" s="28"/>
    </row>
    <row r="55" spans="1:17" s="36" customFormat="1" ht="15" customHeight="1">
      <c r="A55" s="746"/>
      <c r="B55" s="1153"/>
      <c r="C55" s="4387"/>
      <c r="D55" s="4388"/>
      <c r="E55" s="1152">
        <f>IF($C55=0,0,VLOOKUP($C55,'SD3'!$C$24:$O$71,4,FALSE))</f>
        <v>0</v>
      </c>
      <c r="F55" s="1151">
        <f>IF($C55=0,0,VLOOKUP($C55,'SD3'!$C$24:$O$71,12,FALSE))</f>
        <v>0</v>
      </c>
      <c r="G55" s="1150">
        <f>IF($C55=0,0,VLOOKUP($C55,'SD3'!$C$24:$O$71,13,FALSE))</f>
        <v>0</v>
      </c>
      <c r="H55" s="1147"/>
      <c r="I55" s="1146">
        <f t="shared" si="4"/>
        <v>0</v>
      </c>
      <c r="J55" s="1145">
        <f t="shared" si="5"/>
        <v>0</v>
      </c>
      <c r="K55" s="1147"/>
      <c r="L55" s="1149">
        <f t="shared" si="6"/>
        <v>0</v>
      </c>
      <c r="M55" s="1148">
        <f t="shared" si="7"/>
        <v>0</v>
      </c>
      <c r="N55" s="1147"/>
      <c r="O55" s="1146">
        <f t="shared" si="8"/>
        <v>0</v>
      </c>
      <c r="P55" s="1145">
        <f t="shared" si="9"/>
        <v>0</v>
      </c>
      <c r="Q55" s="28"/>
    </row>
    <row r="56" spans="1:17" s="36" customFormat="1" ht="13.8">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8"/>
    </row>
    <row r="57" spans="1:17" s="36" customFormat="1" ht="35.4" customHeight="1">
      <c r="A57" s="746"/>
      <c r="B57" s="1084"/>
      <c r="C57" s="4401"/>
      <c r="D57" s="4402"/>
      <c r="E57" s="2589">
        <f>IF($C57=0,0,VLOOKUP($C57,'SD3'!$C$24:$O$71,4,FALSE))</f>
        <v>0</v>
      </c>
      <c r="F57" s="2590">
        <f>IF($C57=0,0,VLOOKUP($C57,'SD3'!$C$24:$O$71,12,FALSE))</f>
        <v>0</v>
      </c>
      <c r="G57" s="2591">
        <f>IF($C57=0,0,VLOOKUP($C57,'SD3'!$C$24:$O$71,13,FALSE))</f>
        <v>0</v>
      </c>
      <c r="H57" s="1131"/>
      <c r="I57" s="1130">
        <f t="shared" si="4"/>
        <v>0</v>
      </c>
      <c r="J57" s="1129">
        <f t="shared" si="5"/>
        <v>0</v>
      </c>
      <c r="K57" s="1131"/>
      <c r="L57" s="1132">
        <f t="shared" si="6"/>
        <v>0</v>
      </c>
      <c r="M57" s="1079">
        <f t="shared" si="7"/>
        <v>0</v>
      </c>
      <c r="N57" s="1131"/>
      <c r="O57" s="1130">
        <f t="shared" si="8"/>
        <v>0</v>
      </c>
      <c r="P57" s="1129">
        <f t="shared" si="9"/>
        <v>0</v>
      </c>
      <c r="Q57" s="28"/>
    </row>
    <row r="58" spans="1:17" s="511" customFormat="1" ht="18.75" customHeight="1">
      <c r="A58" s="711"/>
      <c r="B58" s="716" t="s">
        <v>848</v>
      </c>
      <c r="C58" s="811"/>
      <c r="D58" s="811"/>
      <c r="E58" s="811"/>
      <c r="F58" s="34"/>
      <c r="G58" s="1047"/>
      <c r="H58" s="1124"/>
      <c r="I58" s="1123">
        <f>SUM($I$46:$I$57)</f>
        <v>4.3099999999999996</v>
      </c>
      <c r="J58" s="1128"/>
      <c r="K58" s="1127"/>
      <c r="L58" s="1126">
        <f>SUM($L$46:$L$57)</f>
        <v>4.3099999999999996</v>
      </c>
      <c r="M58" s="1125"/>
      <c r="N58" s="1124"/>
      <c r="O58" s="1123">
        <f>SUM($O$46:$O$57)</f>
        <v>4.3099999999999996</v>
      </c>
      <c r="P58" s="1122"/>
      <c r="Q58" s="28"/>
    </row>
    <row r="59" spans="1:17" s="511" customFormat="1" ht="15" customHeight="1">
      <c r="A59" s="711"/>
      <c r="B59" s="1121"/>
      <c r="C59" s="285"/>
      <c r="D59" s="222" t="s">
        <v>847</v>
      </c>
      <c r="E59" s="1120">
        <v>80</v>
      </c>
      <c r="F59" s="285" t="s">
        <v>846</v>
      </c>
      <c r="G59" s="1119"/>
      <c r="H59" s="1115"/>
      <c r="I59" s="1114">
        <f>IF(I58+SUM($I$46:$I$57)*$E$59%&gt;I58+10,I58+10,I58+SUM($I$46:$I$57)*$E$59%)</f>
        <v>7.7579999999999991</v>
      </c>
      <c r="J59" s="1113"/>
      <c r="K59" s="1118"/>
      <c r="L59" s="1117">
        <f>IF(L58+SUM($L$46:$L$57)*$E$59%&gt;L58+10,L58+10,L58+SUM($L$46:$L$57)*$E$59%)</f>
        <v>7.7579999999999991</v>
      </c>
      <c r="M59" s="1116"/>
      <c r="N59" s="1115"/>
      <c r="O59" s="1114">
        <f>IF(O58+SUM($O$46:$O$57)*$E$59%&gt;O58+10,O58+10,O58+SUM($O$46:$O$57)*$E$59%)</f>
        <v>7.7579999999999991</v>
      </c>
      <c r="P59" s="1113"/>
      <c r="Q59" s="28"/>
    </row>
    <row r="60" spans="1:17" s="46" customFormat="1" ht="18.75" customHeight="1">
      <c r="A60" s="811"/>
      <c r="B60" s="716" t="s">
        <v>845</v>
      </c>
      <c r="C60" s="811"/>
      <c r="D60" s="811"/>
      <c r="E60" s="39"/>
      <c r="F60" s="39"/>
      <c r="G60" s="1112"/>
      <c r="H60" s="1104"/>
      <c r="I60" s="1103"/>
      <c r="J60" s="1111">
        <f>IF(J6=0,0,SUM(I62:I64))</f>
        <v>0</v>
      </c>
      <c r="K60" s="1107"/>
      <c r="L60" s="1106"/>
      <c r="M60" s="1044">
        <f>IF(M6=0,0,SUM(L62:L64))</f>
        <v>0</v>
      </c>
      <c r="N60" s="1104"/>
      <c r="O60" s="1103"/>
      <c r="P60" s="1111">
        <f>IF(P6=0,0,SUM(O62:O64))</f>
        <v>0</v>
      </c>
      <c r="Q60" s="28"/>
    </row>
    <row r="61" spans="1:17"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c r="D62" s="4365"/>
      <c r="E62" s="4365"/>
      <c r="F62" s="1101">
        <f>IF($C62=0,0,VLOOKUP($C62,'SD3'!$C$90:$D$104,2,FALSE))</f>
        <v>0</v>
      </c>
      <c r="G62" s="1100">
        <f>(100+$D$61)/100*F62</f>
        <v>0</v>
      </c>
      <c r="H62" s="173"/>
      <c r="I62" s="1096">
        <f>$G$62</f>
        <v>0</v>
      </c>
      <c r="J62" s="173"/>
      <c r="K62" s="1099"/>
      <c r="L62" s="1098">
        <f>$G$62</f>
        <v>0</v>
      </c>
      <c r="M62" s="1016"/>
      <c r="N62" s="1097"/>
      <c r="O62" s="1096">
        <f>$G$62</f>
        <v>0</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4.4"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15.6" customHeight="1">
      <c r="A67" s="711"/>
      <c r="B67" s="716" t="s">
        <v>843</v>
      </c>
      <c r="C67" s="711"/>
      <c r="D67" s="711"/>
      <c r="E67" s="175"/>
      <c r="F67" s="1069"/>
      <c r="G67" s="1047"/>
      <c r="H67" s="1066" t="s">
        <v>842</v>
      </c>
      <c r="I67" s="1065" t="s">
        <v>841</v>
      </c>
      <c r="J67" s="1041">
        <f>R68*(H9+H10)*I68%+F68</f>
        <v>0</v>
      </c>
      <c r="K67" s="1068" t="s">
        <v>842</v>
      </c>
      <c r="L67" s="1067" t="s">
        <v>841</v>
      </c>
      <c r="M67" s="1044">
        <f>S68*(K9+K10)*L68%+F68</f>
        <v>0</v>
      </c>
      <c r="N67" s="1066" t="s">
        <v>842</v>
      </c>
      <c r="O67" s="1065" t="s">
        <v>841</v>
      </c>
      <c r="P67" s="1041">
        <f>T68*(N9+N10)*O68%+F68</f>
        <v>0</v>
      </c>
      <c r="Q67" s="28"/>
    </row>
    <row r="68" spans="1:20" s="511" customFormat="1" ht="18" customHeight="1">
      <c r="A68" s="711"/>
      <c r="B68" s="1064"/>
      <c r="C68" s="4393" t="s">
        <v>564</v>
      </c>
      <c r="D68" s="4393"/>
      <c r="E68" s="4393"/>
      <c r="F68" s="1063"/>
      <c r="G68" s="1054" t="s">
        <v>163</v>
      </c>
      <c r="H68" s="1061"/>
      <c r="I68" s="1060">
        <v>50</v>
      </c>
      <c r="J68" s="1059"/>
      <c r="K68" s="1061"/>
      <c r="L68" s="1060">
        <v>50</v>
      </c>
      <c r="M68" s="1062"/>
      <c r="N68" s="1061"/>
      <c r="O68" s="1060">
        <v>50</v>
      </c>
      <c r="P68" s="1059"/>
      <c r="Q68" s="28"/>
      <c r="R68" s="1369">
        <f>IF($H$68=0,0,VLOOKUP($H$68,'SD6'!B8:C101,'SD6'!C1,FALSE))*(1+'SDK1'!O11/100)</f>
        <v>0</v>
      </c>
      <c r="S68" s="1369">
        <f>IF($H$68=0,0,VLOOKUP($H$68,'SD6'!C8:D101,'SD6'!D1,FALSE))*(1+'SDK1'!Q11/100)</f>
        <v>0</v>
      </c>
      <c r="T68" s="1369">
        <f>IF($H$68=0,0,VLOOKUP($H$68,'SD6'!D8:E101,'SD6'!E1,FALSE))*(1+'SDK1'!R11/100)</f>
        <v>0</v>
      </c>
    </row>
    <row r="69" spans="1:20" s="511" customFormat="1" ht="18" customHeight="1">
      <c r="A69" s="711"/>
      <c r="B69" s="716" t="s">
        <v>839</v>
      </c>
      <c r="C69" s="711"/>
      <c r="D69" s="711"/>
      <c r="E69" s="34"/>
      <c r="F69" s="34"/>
      <c r="G69" s="1047"/>
      <c r="H69" s="38"/>
      <c r="I69" s="51"/>
      <c r="J69" s="1041">
        <f>H70*$F70/1000</f>
        <v>0</v>
      </c>
      <c r="K69" s="1057"/>
      <c r="L69" s="1056"/>
      <c r="M69" s="1044">
        <f>K70*$F70/1000</f>
        <v>0</v>
      </c>
      <c r="N69" s="38"/>
      <c r="O69" s="51"/>
      <c r="P69" s="1041">
        <f>N70*$F70/1000</f>
        <v>0</v>
      </c>
      <c r="Q69" s="28"/>
    </row>
    <row r="70" spans="1:20" s="511" customFormat="1" ht="18" customHeight="1">
      <c r="A70" s="711"/>
      <c r="B70" s="772"/>
      <c r="C70" s="771" t="s">
        <v>606</v>
      </c>
      <c r="D70" s="285"/>
      <c r="E70" s="222"/>
      <c r="F70" s="3742"/>
      <c r="G70" s="1054" t="s">
        <v>163</v>
      </c>
      <c r="H70" s="1050">
        <f>J7</f>
        <v>0</v>
      </c>
      <c r="I70" s="1049"/>
      <c r="J70" s="1048"/>
      <c r="K70" s="1053">
        <f>M7</f>
        <v>0</v>
      </c>
      <c r="L70" s="1052"/>
      <c r="M70" s="1051"/>
      <c r="N70" s="1050">
        <f>P7</f>
        <v>0</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7</v>
      </c>
      <c r="H75" s="1007"/>
      <c r="I75" s="1008"/>
      <c r="J75" s="1005">
        <f>(J23+J34+J43+J60+J65+J67+J69+J71)*('SDK1'!$O$59%*$G$75/12)</f>
        <v>3.9478870327166673</v>
      </c>
      <c r="K75" s="2223"/>
      <c r="L75" s="522"/>
      <c r="M75" s="1005">
        <f>(M23++M34+M43+M60+M65+M67+M69+M71)*('SDK1'!$O$59%*$G$75/12)</f>
        <v>3.9478870327166673</v>
      </c>
      <c r="N75" s="1007"/>
      <c r="O75" s="1006"/>
      <c r="P75" s="1005">
        <f>(P23+P34+P43+P60+P65+P67+P69+P71)*('SDK1'!$O$59%*$G$75/12)</f>
        <v>3.9478870327166673</v>
      </c>
      <c r="Q75" s="28"/>
    </row>
    <row r="77" spans="1:20">
      <c r="B77" s="3008"/>
      <c r="C77" s="3008"/>
      <c r="D77" s="3008"/>
      <c r="E77" s="3008"/>
      <c r="F77" s="3008"/>
      <c r="G77" s="3008"/>
    </row>
    <row r="78" spans="1:20">
      <c r="B78" s="3008"/>
      <c r="C78" s="3008"/>
      <c r="D78" s="3008"/>
      <c r="E78" s="3008"/>
      <c r="F78" s="3008"/>
      <c r="G78" s="3008"/>
      <c r="H78" s="2601"/>
      <c r="I78" s="2601"/>
      <c r="L78" s="29"/>
    </row>
    <row r="79" spans="1:20">
      <c r="B79" s="3008"/>
      <c r="C79" s="3008"/>
      <c r="D79" s="3008"/>
      <c r="E79" s="3008"/>
      <c r="F79" s="3008"/>
      <c r="G79" s="3008"/>
      <c r="H79" s="2601"/>
      <c r="I79" s="2601"/>
      <c r="L79" s="29"/>
      <c r="N79" s="2601"/>
      <c r="O79" s="2601"/>
      <c r="P79" s="2601"/>
    </row>
    <row r="80" spans="1:20">
      <c r="B80" s="3008"/>
      <c r="C80" s="3008"/>
      <c r="D80" s="3008"/>
      <c r="E80" s="3008"/>
      <c r="F80" s="3008"/>
      <c r="G80" s="3008"/>
      <c r="H80" s="2601"/>
      <c r="I80" s="2601"/>
      <c r="J80" s="2237"/>
      <c r="K80" s="2237"/>
      <c r="L80" s="29"/>
      <c r="M80" s="2237"/>
      <c r="N80" s="2601"/>
      <c r="O80" s="2601"/>
      <c r="P80" s="2601"/>
    </row>
    <row r="81" spans="2:16">
      <c r="B81" s="3008"/>
      <c r="C81" s="3008"/>
      <c r="D81" s="3008"/>
      <c r="E81" s="3008"/>
      <c r="F81" s="3008"/>
      <c r="G81" s="3008"/>
      <c r="H81" s="2601"/>
      <c r="I81" s="2601"/>
      <c r="J81" s="2237"/>
      <c r="K81" s="2237"/>
      <c r="L81" s="29"/>
      <c r="M81" s="2237"/>
      <c r="N81" s="2601"/>
      <c r="O81" s="2601"/>
      <c r="P81" s="2601"/>
    </row>
    <row r="82" spans="2:16">
      <c r="B82" s="3008"/>
      <c r="C82" s="3008"/>
      <c r="D82" s="3008"/>
      <c r="E82" s="3008"/>
      <c r="F82" s="3008"/>
      <c r="G82" s="3008"/>
      <c r="H82" s="2601"/>
      <c r="I82" s="2601"/>
      <c r="J82" s="2237"/>
      <c r="K82" s="2237"/>
      <c r="L82" s="29"/>
      <c r="M82" s="2237"/>
      <c r="N82" s="2601"/>
      <c r="O82" s="2601"/>
      <c r="P82" s="2601"/>
    </row>
    <row r="83" spans="2:16">
      <c r="B83" s="3008"/>
      <c r="C83" s="3008"/>
      <c r="D83" s="3008"/>
      <c r="E83" s="3008"/>
      <c r="F83" s="3008"/>
      <c r="G83" s="3008"/>
      <c r="H83" s="2601"/>
      <c r="I83" s="2601"/>
      <c r="J83" s="2237"/>
      <c r="K83" s="2237"/>
      <c r="L83" s="29"/>
      <c r="M83" s="2237"/>
      <c r="N83" s="2601"/>
      <c r="O83" s="2601"/>
      <c r="P83" s="2601"/>
    </row>
    <row r="84" spans="2:16">
      <c r="B84" s="3008"/>
      <c r="C84" s="3008"/>
      <c r="D84" s="3008"/>
      <c r="E84" s="3008"/>
      <c r="F84" s="3008"/>
      <c r="G84" s="3008"/>
      <c r="H84" s="2601"/>
      <c r="I84" s="2601"/>
      <c r="J84" s="2237"/>
      <c r="K84" s="2237"/>
      <c r="L84" s="29"/>
      <c r="M84" s="2237"/>
      <c r="N84" s="2601"/>
      <c r="O84" s="2601"/>
      <c r="P84" s="2601"/>
    </row>
    <row r="85" spans="2:16">
      <c r="B85" s="3008"/>
      <c r="C85" s="3008"/>
      <c r="D85" s="3008"/>
      <c r="E85" s="3008"/>
      <c r="F85" s="3008"/>
      <c r="G85" s="3008"/>
      <c r="H85" s="2601"/>
      <c r="I85" s="2601"/>
      <c r="J85" s="2237"/>
      <c r="K85" s="2237"/>
      <c r="L85" s="29"/>
      <c r="M85" s="2237"/>
      <c r="N85" s="2601"/>
      <c r="O85" s="2601"/>
      <c r="P85" s="2601"/>
    </row>
    <row r="86" spans="2:16">
      <c r="B86" s="3008"/>
      <c r="C86" s="3008"/>
      <c r="D86" s="3008"/>
      <c r="E86" s="3008"/>
      <c r="F86" s="3008"/>
      <c r="G86" s="3008"/>
      <c r="H86" s="2601"/>
      <c r="I86" s="2601"/>
      <c r="J86" s="2237"/>
      <c r="K86" s="2237"/>
      <c r="L86" s="29"/>
      <c r="M86" s="2237"/>
      <c r="N86" s="2601"/>
      <c r="O86" s="2601"/>
      <c r="P86" s="2601"/>
    </row>
    <row r="87" spans="2:16">
      <c r="B87" s="3008"/>
      <c r="C87" s="3008"/>
      <c r="D87" s="3008"/>
      <c r="E87" s="3008"/>
      <c r="F87" s="3008"/>
      <c r="G87" s="3008"/>
      <c r="H87" s="2601"/>
      <c r="I87" s="2601"/>
      <c r="J87" s="2237"/>
      <c r="K87" s="2237"/>
      <c r="L87" s="29"/>
      <c r="M87" s="2237"/>
      <c r="N87" s="2601"/>
      <c r="O87" s="2601"/>
      <c r="P87" s="2601"/>
    </row>
    <row r="88" spans="2:16" ht="13.2" customHeight="1">
      <c r="B88" s="3008"/>
      <c r="C88" s="3008"/>
      <c r="D88" s="3008"/>
      <c r="E88" s="3008"/>
      <c r="F88" s="3008"/>
      <c r="G88" s="3008"/>
      <c r="H88" s="2601"/>
      <c r="I88" s="2601"/>
      <c r="J88" s="2237"/>
      <c r="K88" s="2237"/>
      <c r="L88" s="29"/>
      <c r="M88" s="2237"/>
      <c r="N88" s="2601"/>
      <c r="O88" s="2601"/>
      <c r="P88" s="2601"/>
    </row>
    <row r="89" spans="2:16">
      <c r="B89" s="3008"/>
      <c r="C89" s="3008"/>
      <c r="D89" s="3008"/>
      <c r="E89" s="3008"/>
      <c r="F89" s="3008"/>
      <c r="G89" s="3008"/>
      <c r="H89" s="2601"/>
      <c r="I89" s="2601"/>
      <c r="J89" s="2237"/>
      <c r="K89" s="2237"/>
      <c r="L89" s="29"/>
      <c r="M89" s="2237"/>
      <c r="N89" s="2601"/>
      <c r="O89" s="2601"/>
      <c r="P89" s="2601"/>
    </row>
    <row r="90" spans="2:16" ht="13.95" customHeight="1">
      <c r="B90" s="3008"/>
      <c r="C90" s="3008"/>
      <c r="D90" s="3008"/>
      <c r="E90" s="3008"/>
      <c r="F90" s="3008"/>
      <c r="G90" s="3008"/>
      <c r="H90" s="2601"/>
      <c r="I90" s="2601"/>
      <c r="J90" s="2237"/>
      <c r="K90" s="2237"/>
      <c r="L90" s="29"/>
      <c r="M90" s="2237"/>
      <c r="N90" s="2601"/>
      <c r="O90" s="2601"/>
      <c r="P90" s="2601"/>
    </row>
    <row r="91" spans="2:16">
      <c r="B91" s="3008"/>
      <c r="C91" s="3008"/>
      <c r="D91" s="3008"/>
      <c r="E91" s="3008"/>
      <c r="F91" s="3008"/>
      <c r="G91" s="3008"/>
      <c r="H91" s="2601"/>
      <c r="I91" s="2601"/>
      <c r="J91" s="2237"/>
      <c r="K91" s="2237"/>
      <c r="L91" s="29"/>
      <c r="M91" s="2237"/>
      <c r="N91" s="2601"/>
      <c r="O91" s="2601"/>
      <c r="P91" s="2601"/>
    </row>
    <row r="92" spans="2:16">
      <c r="B92" s="3008"/>
      <c r="C92" s="3008"/>
      <c r="D92" s="3008"/>
      <c r="E92" s="3008"/>
      <c r="F92" s="3008"/>
      <c r="G92" s="3008"/>
      <c r="H92" s="2601"/>
      <c r="I92" s="2601"/>
      <c r="J92" s="2237"/>
      <c r="K92" s="2237"/>
      <c r="L92" s="29"/>
      <c r="M92" s="2237"/>
      <c r="N92" s="2601"/>
      <c r="O92" s="2601"/>
      <c r="P92" s="2601"/>
    </row>
    <row r="93" spans="2:16">
      <c r="B93" s="3008"/>
      <c r="C93" s="3008"/>
      <c r="D93" s="3008"/>
      <c r="E93" s="3008"/>
      <c r="F93" s="3008"/>
      <c r="G93" s="3008"/>
      <c r="H93" s="2601"/>
      <c r="I93" s="2601"/>
      <c r="J93" s="2237"/>
      <c r="K93" s="2237"/>
      <c r="L93" s="29"/>
      <c r="M93" s="2237"/>
      <c r="N93" s="2601"/>
      <c r="O93" s="2601"/>
      <c r="P93" s="2601"/>
    </row>
    <row r="94" spans="2:16">
      <c r="B94" s="3008"/>
      <c r="C94" s="3008"/>
      <c r="D94" s="3008"/>
      <c r="E94" s="3008"/>
      <c r="F94" s="3008"/>
      <c r="G94" s="3008"/>
      <c r="H94" s="2601"/>
      <c r="I94" s="2601"/>
      <c r="J94" s="2237"/>
      <c r="K94" s="2237"/>
      <c r="L94" s="29"/>
      <c r="M94" s="2237"/>
      <c r="N94" s="2601"/>
      <c r="O94" s="2601"/>
      <c r="P94" s="2601"/>
    </row>
    <row r="95" spans="2:16">
      <c r="B95" s="2237"/>
      <c r="C95" s="29"/>
      <c r="D95" s="29"/>
      <c r="E95" s="29"/>
      <c r="F95" s="2237"/>
      <c r="G95" s="2601"/>
      <c r="H95" s="2601"/>
      <c r="I95" s="2601"/>
      <c r="J95" s="2237"/>
      <c r="K95" s="2237"/>
      <c r="L95" s="29"/>
      <c r="M95" s="2237"/>
      <c r="N95" s="2601"/>
      <c r="O95" s="2601"/>
      <c r="P95" s="2601"/>
    </row>
    <row r="96" spans="2:16">
      <c r="B96" s="2237"/>
      <c r="C96" s="29"/>
      <c r="D96" s="29"/>
      <c r="E96" s="29"/>
      <c r="F96" s="2237"/>
      <c r="G96" s="2601"/>
      <c r="H96" s="2601"/>
      <c r="I96" s="2601"/>
      <c r="J96" s="2237"/>
      <c r="K96" s="2237"/>
      <c r="L96" s="29"/>
      <c r="M96" s="2237"/>
      <c r="N96" s="2601"/>
      <c r="O96" s="2601"/>
      <c r="P96" s="2601"/>
    </row>
    <row r="97" spans="2:16">
      <c r="B97" s="2237"/>
      <c r="C97" s="29"/>
      <c r="D97" s="29"/>
      <c r="E97" s="29"/>
      <c r="F97" s="2237"/>
      <c r="G97" s="2601"/>
      <c r="H97" s="2601"/>
      <c r="I97" s="2601"/>
      <c r="J97" s="2237"/>
      <c r="K97" s="2237"/>
      <c r="L97" s="29"/>
      <c r="M97" s="2237"/>
      <c r="N97" s="2601"/>
      <c r="O97" s="2601"/>
      <c r="P97" s="2601"/>
    </row>
    <row r="98" spans="2:16">
      <c r="B98" s="2237"/>
      <c r="C98" s="29"/>
      <c r="D98" s="29"/>
      <c r="E98" s="29"/>
      <c r="F98" s="2237"/>
      <c r="G98" s="2601"/>
      <c r="H98" s="2601"/>
      <c r="I98" s="2601"/>
      <c r="J98" s="2237"/>
      <c r="K98" s="2237"/>
      <c r="L98" s="29"/>
      <c r="M98" s="2237"/>
      <c r="N98" s="2601"/>
      <c r="O98" s="2601"/>
      <c r="P98" s="2601"/>
    </row>
    <row r="99" spans="2:16">
      <c r="B99" s="2237"/>
      <c r="C99" s="29"/>
      <c r="D99" s="29"/>
      <c r="E99" s="29"/>
      <c r="F99" s="2237"/>
      <c r="G99" s="2601"/>
      <c r="H99" s="2601"/>
      <c r="I99" s="2601"/>
      <c r="J99" s="2237"/>
      <c r="K99" s="2237"/>
      <c r="L99" s="29"/>
      <c r="M99" s="2237"/>
      <c r="N99" s="2601"/>
      <c r="O99" s="2601"/>
      <c r="P99" s="2601"/>
    </row>
    <row r="100" spans="2:16">
      <c r="B100" s="2237"/>
      <c r="C100" s="29"/>
      <c r="D100" s="29"/>
      <c r="E100" s="29"/>
      <c r="F100" s="2237"/>
      <c r="G100" s="2601"/>
      <c r="H100" s="2601"/>
      <c r="I100" s="2601"/>
      <c r="J100" s="2237"/>
      <c r="K100" s="2237"/>
      <c r="L100" s="29"/>
      <c r="M100" s="2237"/>
      <c r="N100" s="2601"/>
      <c r="O100" s="2601"/>
      <c r="P100" s="2601"/>
    </row>
    <row r="101" spans="2:16">
      <c r="B101" s="29"/>
      <c r="C101" s="29"/>
      <c r="D101" s="29"/>
      <c r="E101" s="29"/>
      <c r="F101" s="2237"/>
      <c r="G101" s="2601"/>
      <c r="H101" s="2601"/>
      <c r="I101" s="2601"/>
      <c r="J101" s="2237"/>
      <c r="K101" s="2237"/>
      <c r="L101" s="29"/>
      <c r="M101" s="2237"/>
      <c r="N101" s="2601"/>
      <c r="O101" s="2601"/>
      <c r="P101" s="2601"/>
    </row>
    <row r="102" spans="2:16">
      <c r="B102" s="29"/>
      <c r="C102" s="29"/>
      <c r="D102" s="29"/>
      <c r="E102" s="29"/>
      <c r="F102" s="2237"/>
      <c r="G102" s="2601"/>
      <c r="H102" s="2601"/>
      <c r="I102" s="2601"/>
      <c r="J102" s="2237"/>
      <c r="K102" s="2237"/>
      <c r="L102" s="29"/>
      <c r="M102" s="2237"/>
      <c r="N102" s="2601"/>
      <c r="O102" s="2601"/>
      <c r="P102" s="2601"/>
    </row>
    <row r="103" spans="2:16">
      <c r="B103" s="29"/>
      <c r="C103" s="29"/>
      <c r="D103" s="29"/>
      <c r="E103" s="2237"/>
      <c r="F103" s="2237"/>
      <c r="G103" s="2601"/>
      <c r="H103" s="2601"/>
      <c r="I103" s="2601"/>
      <c r="J103" s="2237"/>
      <c r="K103" s="2237"/>
      <c r="L103" s="29"/>
      <c r="M103" s="2237"/>
      <c r="N103" s="2601"/>
      <c r="O103" s="2601"/>
      <c r="P103" s="2601"/>
    </row>
    <row r="104" spans="2:16">
      <c r="B104" s="29"/>
      <c r="C104" s="29"/>
      <c r="D104" s="29"/>
      <c r="E104" s="2237"/>
      <c r="F104" s="2237"/>
      <c r="G104" s="2601"/>
      <c r="H104" s="2601"/>
      <c r="I104" s="2601"/>
      <c r="J104" s="2237"/>
      <c r="K104" s="2237"/>
      <c r="L104" s="29"/>
      <c r="M104" s="2237"/>
      <c r="N104" s="2601"/>
      <c r="O104" s="2601"/>
      <c r="P104" s="2601"/>
    </row>
    <row r="105" spans="2:16">
      <c r="B105" s="29"/>
      <c r="C105" s="29"/>
      <c r="D105" s="29"/>
      <c r="E105" s="2237"/>
      <c r="F105" s="2237"/>
      <c r="G105" s="2601"/>
      <c r="H105" s="2601"/>
      <c r="I105" s="2601"/>
      <c r="J105" s="2237"/>
      <c r="K105" s="2237"/>
      <c r="L105" s="29"/>
      <c r="M105" s="2237"/>
      <c r="N105" s="2601"/>
      <c r="O105" s="2601"/>
      <c r="P105" s="2601"/>
    </row>
    <row r="106" spans="2:16">
      <c r="B106" s="29"/>
      <c r="C106" s="29"/>
      <c r="D106" s="29"/>
      <c r="E106" s="2237"/>
      <c r="F106" s="2237"/>
      <c r="G106" s="2601"/>
      <c r="H106" s="2601"/>
      <c r="I106" s="2601"/>
      <c r="J106" s="2237"/>
      <c r="K106" s="2237"/>
      <c r="L106" s="29"/>
      <c r="M106" s="2237"/>
      <c r="N106" s="2601"/>
      <c r="O106" s="2601"/>
      <c r="P106" s="2601"/>
    </row>
    <row r="107" spans="2:16">
      <c r="B107" s="29"/>
      <c r="C107" s="29"/>
      <c r="D107" s="29"/>
      <c r="E107" s="2237"/>
      <c r="F107" s="2237"/>
      <c r="G107" s="2601"/>
      <c r="H107" s="2601"/>
      <c r="I107" s="2601"/>
      <c r="J107" s="2237"/>
      <c r="K107" s="2237"/>
      <c r="L107" s="29"/>
      <c r="M107" s="2237"/>
      <c r="N107" s="2601"/>
      <c r="O107" s="2601"/>
      <c r="P107" s="2601"/>
    </row>
    <row r="108" spans="2:16">
      <c r="B108" s="29"/>
      <c r="C108" s="29"/>
      <c r="D108" s="29"/>
      <c r="E108" s="2237"/>
      <c r="F108" s="2237"/>
      <c r="G108" s="2601"/>
      <c r="H108" s="2601"/>
      <c r="I108" s="2601"/>
      <c r="J108" s="2237"/>
      <c r="K108" s="2237"/>
      <c r="L108" s="29"/>
      <c r="M108" s="2237"/>
      <c r="N108" s="2601"/>
      <c r="O108" s="2601"/>
      <c r="P108" s="2601"/>
    </row>
    <row r="109" spans="2:16">
      <c r="B109" s="29"/>
      <c r="C109" s="29"/>
      <c r="D109" s="29"/>
      <c r="E109" s="2237"/>
      <c r="F109" s="2237"/>
      <c r="G109" s="2601"/>
      <c r="H109" s="2601"/>
      <c r="I109" s="2601"/>
      <c r="J109" s="2237"/>
      <c r="K109" s="2237"/>
      <c r="L109" s="29"/>
      <c r="M109" s="2237"/>
      <c r="N109" s="2601"/>
      <c r="O109" s="2601"/>
      <c r="P109" s="2601"/>
    </row>
    <row r="110" spans="2:16">
      <c r="B110" s="2237"/>
      <c r="C110" s="2237"/>
      <c r="D110" s="2237"/>
      <c r="E110" s="2237"/>
      <c r="F110" s="2237"/>
      <c r="G110" s="2601"/>
      <c r="H110" s="2601"/>
      <c r="I110" s="2601"/>
      <c r="J110" s="2237"/>
      <c r="K110" s="2237"/>
      <c r="L110" s="29"/>
      <c r="M110" s="2237"/>
      <c r="N110" s="2601"/>
      <c r="O110" s="2601"/>
      <c r="P110" s="2601"/>
    </row>
    <row r="111" spans="2:16">
      <c r="B111" s="2237"/>
      <c r="C111" s="2237"/>
      <c r="D111" s="2237"/>
      <c r="E111" s="2237"/>
      <c r="F111" s="2237"/>
      <c r="G111" s="2601"/>
      <c r="H111" s="2601"/>
      <c r="I111" s="2601"/>
      <c r="J111" s="2237"/>
      <c r="K111" s="2237"/>
      <c r="L111" s="29"/>
      <c r="M111" s="2237"/>
      <c r="N111" s="2601"/>
      <c r="O111" s="2601"/>
      <c r="P111" s="2601"/>
    </row>
    <row r="112" spans="2:16">
      <c r="B112" s="2237"/>
      <c r="C112" s="2237"/>
      <c r="D112" s="2237"/>
      <c r="E112" s="2237"/>
      <c r="F112" s="2237"/>
      <c r="G112" s="2601"/>
      <c r="H112" s="2601"/>
      <c r="I112" s="2601"/>
      <c r="J112" s="2237"/>
      <c r="K112" s="2237"/>
      <c r="L112" s="29"/>
      <c r="M112" s="2237"/>
      <c r="N112" s="2601"/>
      <c r="O112" s="2601"/>
      <c r="P112" s="2601"/>
    </row>
    <row r="113" spans="2:16">
      <c r="B113" s="2237"/>
      <c r="C113" s="2237"/>
      <c r="D113" s="2237"/>
      <c r="E113" s="2237"/>
      <c r="F113" s="2237"/>
      <c r="G113" s="2601"/>
      <c r="H113" s="2601"/>
      <c r="I113" s="2601"/>
      <c r="J113" s="2237"/>
      <c r="K113" s="2237"/>
      <c r="L113" s="29"/>
      <c r="M113" s="2237"/>
      <c r="N113" s="2601"/>
      <c r="O113" s="2601"/>
      <c r="P113" s="2601"/>
    </row>
    <row r="114" spans="2:16">
      <c r="B114" s="2237"/>
      <c r="C114" s="2237"/>
      <c r="D114" s="2237"/>
      <c r="E114" s="2237"/>
      <c r="F114" s="2237"/>
      <c r="G114" s="2601"/>
      <c r="H114" s="2601"/>
      <c r="I114" s="2601"/>
      <c r="J114" s="2237"/>
      <c r="K114" s="2237"/>
      <c r="L114" s="29"/>
      <c r="M114" s="2237"/>
      <c r="N114" s="2601"/>
      <c r="O114" s="2601"/>
      <c r="P114" s="2601"/>
    </row>
    <row r="115" spans="2:16">
      <c r="B115" s="2237"/>
      <c r="C115" s="2237"/>
      <c r="D115" s="2237"/>
      <c r="E115" s="2237"/>
      <c r="F115" s="2237"/>
      <c r="G115" s="2601"/>
      <c r="H115" s="2601"/>
      <c r="I115" s="2601"/>
      <c r="J115" s="2237"/>
      <c r="K115" s="2237"/>
      <c r="L115" s="29"/>
      <c r="M115" s="2237"/>
      <c r="N115" s="2601"/>
      <c r="O115" s="2601"/>
      <c r="P115" s="2601"/>
    </row>
    <row r="116" spans="2:16">
      <c r="B116" s="2237"/>
      <c r="C116" s="2237"/>
      <c r="D116" s="2237"/>
      <c r="E116" s="2237"/>
      <c r="F116" s="2237"/>
      <c r="G116" s="2601"/>
      <c r="H116" s="2601"/>
      <c r="I116" s="2601"/>
      <c r="J116" s="2237"/>
      <c r="K116" s="2237"/>
      <c r="L116" s="29"/>
      <c r="M116" s="2237"/>
      <c r="N116" s="2601"/>
      <c r="O116" s="2601"/>
      <c r="P116" s="2601"/>
    </row>
    <row r="117" spans="2:16">
      <c r="B117" s="2237"/>
      <c r="C117" s="2237"/>
      <c r="D117" s="2237"/>
      <c r="E117" s="2237"/>
      <c r="F117" s="2237"/>
      <c r="G117" s="2601"/>
      <c r="H117" s="2601"/>
      <c r="I117" s="2601"/>
      <c r="J117" s="2237"/>
      <c r="K117" s="2237"/>
      <c r="L117" s="29"/>
      <c r="M117" s="2237"/>
      <c r="N117" s="2601"/>
      <c r="O117" s="2601"/>
      <c r="P117" s="2601"/>
    </row>
    <row r="118" spans="2:16">
      <c r="B118" s="2237"/>
      <c r="C118" s="2237"/>
      <c r="D118" s="2237"/>
      <c r="E118" s="2237"/>
      <c r="F118" s="2237"/>
      <c r="G118" s="2601"/>
      <c r="H118" s="2601"/>
      <c r="I118" s="2601"/>
      <c r="J118" s="2237"/>
      <c r="K118" s="2237"/>
      <c r="L118" s="29"/>
      <c r="M118" s="2237"/>
      <c r="N118" s="2601"/>
      <c r="O118" s="2601"/>
      <c r="P118" s="2601"/>
    </row>
    <row r="119" spans="2:16">
      <c r="B119" s="2237"/>
      <c r="C119" s="2237"/>
      <c r="D119" s="2237"/>
      <c r="E119" s="2237"/>
      <c r="F119" s="2237"/>
      <c r="G119" s="2601"/>
      <c r="H119" s="2601"/>
      <c r="I119" s="2601"/>
      <c r="J119" s="2237"/>
      <c r="K119" s="2237"/>
      <c r="L119" s="29"/>
      <c r="M119" s="2237"/>
      <c r="N119" s="2601"/>
      <c r="O119" s="2601"/>
      <c r="P119" s="2601"/>
    </row>
    <row r="120" spans="2:16">
      <c r="B120" s="440"/>
      <c r="C120" s="29"/>
      <c r="D120" s="2237"/>
      <c r="E120" s="2237"/>
      <c r="F120" s="2237"/>
      <c r="H120" s="2237"/>
      <c r="I120" s="2237"/>
      <c r="J120" s="2237"/>
      <c r="K120" s="2237"/>
      <c r="L120" s="29"/>
      <c r="M120" s="2237"/>
      <c r="N120" s="2601"/>
      <c r="O120" s="2601"/>
      <c r="P120" s="2601"/>
    </row>
    <row r="121" spans="2:16">
      <c r="B121" s="440"/>
      <c r="C121" s="29"/>
      <c r="D121" s="2237"/>
      <c r="E121" s="2237"/>
      <c r="F121" s="2237"/>
      <c r="H121" s="2237"/>
      <c r="I121" s="2237"/>
      <c r="J121" s="2237"/>
      <c r="K121" s="2237"/>
      <c r="L121" s="29"/>
      <c r="M121" s="2237"/>
      <c r="N121" s="2601"/>
      <c r="O121" s="2601"/>
      <c r="P121" s="2601"/>
    </row>
    <row r="122" spans="2:16">
      <c r="B122" s="440"/>
      <c r="C122" s="29"/>
      <c r="D122" s="2237"/>
      <c r="E122" s="2237"/>
      <c r="F122" s="2237"/>
      <c r="H122" s="2237"/>
      <c r="I122" s="2237"/>
      <c r="J122" s="2237"/>
      <c r="K122" s="2237"/>
      <c r="L122" s="29"/>
      <c r="M122" s="2237"/>
      <c r="N122" s="2601"/>
      <c r="O122" s="2601"/>
      <c r="P122" s="2601"/>
    </row>
    <row r="123" spans="2:16">
      <c r="B123" s="440"/>
      <c r="C123" s="29"/>
      <c r="D123" s="2237"/>
      <c r="E123" s="2237"/>
      <c r="F123" s="2237"/>
      <c r="H123" s="2237"/>
      <c r="I123" s="2237"/>
      <c r="J123" s="2237"/>
      <c r="K123" s="2237"/>
      <c r="L123" s="29"/>
      <c r="M123" s="2237"/>
      <c r="N123" s="2601"/>
      <c r="O123" s="2601"/>
      <c r="P123" s="2601"/>
    </row>
    <row r="124" spans="2:16">
      <c r="B124" s="440"/>
      <c r="C124" s="29"/>
      <c r="D124" s="2237"/>
      <c r="E124" s="2237"/>
      <c r="F124" s="2237"/>
      <c r="H124" s="2237"/>
      <c r="I124" s="2237"/>
      <c r="J124" s="2237"/>
      <c r="K124" s="2237"/>
      <c r="L124" s="29"/>
      <c r="M124" s="2237"/>
      <c r="N124" s="2601"/>
      <c r="O124" s="2601"/>
      <c r="P124" s="2601"/>
    </row>
    <row r="125" spans="2:16">
      <c r="B125" s="440"/>
      <c r="C125" s="29"/>
      <c r="D125" s="2237"/>
      <c r="E125" s="2237"/>
      <c r="F125" s="2237"/>
      <c r="H125" s="2237"/>
      <c r="I125" s="2237"/>
      <c r="J125" s="2237"/>
      <c r="K125" s="2237"/>
      <c r="L125" s="29"/>
      <c r="M125" s="2237"/>
      <c r="N125" s="2601"/>
      <c r="O125" s="2601"/>
      <c r="P125" s="2601"/>
    </row>
    <row r="126" spans="2:16">
      <c r="B126" s="440"/>
      <c r="C126" s="29"/>
      <c r="D126" s="2237"/>
      <c r="E126" s="2237"/>
      <c r="F126" s="2237"/>
      <c r="H126" s="2237"/>
      <c r="I126" s="2237"/>
      <c r="J126" s="2237"/>
      <c r="K126" s="2237"/>
      <c r="L126" s="29"/>
      <c r="M126" s="2237"/>
      <c r="N126" s="2601"/>
      <c r="O126" s="2601"/>
      <c r="P126" s="2601"/>
    </row>
    <row r="127" spans="2:16">
      <c r="B127" s="440"/>
      <c r="C127" s="29"/>
      <c r="D127" s="2237"/>
      <c r="E127" s="2237"/>
      <c r="F127" s="2237"/>
      <c r="H127" s="2237"/>
      <c r="I127" s="2237"/>
      <c r="J127" s="2237"/>
      <c r="K127" s="2237"/>
      <c r="L127" s="29"/>
      <c r="M127" s="2237"/>
      <c r="N127" s="2601"/>
      <c r="O127" s="2601"/>
      <c r="P127" s="2601"/>
    </row>
    <row r="128" spans="2:16">
      <c r="B128" s="440"/>
      <c r="C128" s="29"/>
      <c r="D128" s="2237"/>
      <c r="E128" s="2237"/>
      <c r="F128" s="2237"/>
      <c r="H128" s="2237"/>
      <c r="I128" s="2237"/>
      <c r="J128" s="2237"/>
      <c r="K128" s="2237"/>
      <c r="L128" s="29"/>
      <c r="M128" s="2237"/>
      <c r="N128" s="2601"/>
      <c r="O128" s="2601"/>
      <c r="P128" s="2601"/>
    </row>
    <row r="129" spans="2:16">
      <c r="B129" s="440"/>
      <c r="C129" s="29"/>
      <c r="D129" s="2237"/>
      <c r="E129" s="2237"/>
      <c r="F129" s="2237"/>
      <c r="H129" s="2237"/>
      <c r="I129" s="2237"/>
      <c r="J129" s="2237"/>
      <c r="K129" s="2237"/>
      <c r="L129" s="29"/>
      <c r="M129" s="2237"/>
      <c r="N129" s="2601"/>
      <c r="O129" s="2601"/>
      <c r="P129" s="2601"/>
    </row>
    <row r="130" spans="2:16">
      <c r="B130" s="440"/>
      <c r="C130" s="29"/>
      <c r="D130" s="2237"/>
      <c r="E130" s="2237"/>
      <c r="F130" s="2237"/>
      <c r="H130" s="2237"/>
      <c r="I130" s="2237"/>
      <c r="J130" s="2237"/>
      <c r="K130" s="2237"/>
      <c r="L130" s="29"/>
      <c r="M130" s="2237"/>
      <c r="N130" s="2601"/>
      <c r="O130" s="2601"/>
      <c r="P130" s="2601"/>
    </row>
    <row r="131" spans="2:16">
      <c r="B131" s="440"/>
      <c r="C131" s="29"/>
      <c r="D131" s="2237"/>
      <c r="E131" s="2237"/>
      <c r="F131" s="2237"/>
      <c r="H131" s="2237"/>
      <c r="I131" s="2237"/>
      <c r="J131" s="2237"/>
      <c r="K131" s="2237"/>
      <c r="L131" s="29"/>
      <c r="M131" s="2237"/>
      <c r="N131" s="2601"/>
      <c r="O131" s="2601"/>
      <c r="P131" s="2601"/>
    </row>
    <row r="132" spans="2:16">
      <c r="B132" s="440"/>
      <c r="C132" s="29"/>
      <c r="D132" s="2237"/>
      <c r="E132" s="2237"/>
      <c r="F132" s="2237"/>
      <c r="H132" s="2237"/>
      <c r="I132" s="2237"/>
      <c r="J132" s="2237"/>
      <c r="K132" s="2237"/>
      <c r="L132" s="29"/>
      <c r="M132" s="2237"/>
      <c r="N132" s="2601"/>
      <c r="O132" s="2601"/>
      <c r="P132" s="2601"/>
    </row>
    <row r="133" spans="2:16">
      <c r="B133" s="440"/>
      <c r="C133" s="29"/>
      <c r="D133" s="2237"/>
      <c r="E133" s="2237"/>
      <c r="F133" s="2237"/>
      <c r="H133" s="2237"/>
      <c r="I133" s="2237"/>
      <c r="J133" s="2237"/>
      <c r="K133" s="2237"/>
      <c r="L133" s="29"/>
      <c r="M133" s="2237"/>
      <c r="N133" s="2601"/>
      <c r="O133" s="2601"/>
      <c r="P133" s="2601"/>
    </row>
    <row r="134" spans="2:16">
      <c r="B134" s="440"/>
      <c r="C134" s="29"/>
      <c r="D134" s="2237"/>
      <c r="E134" s="2237"/>
      <c r="F134" s="2237"/>
      <c r="H134" s="2237"/>
      <c r="I134" s="2237"/>
      <c r="J134" s="2237"/>
      <c r="K134" s="2237"/>
      <c r="L134" s="29"/>
      <c r="M134" s="2237"/>
      <c r="N134" s="2601"/>
      <c r="O134" s="2601"/>
      <c r="P134" s="2601"/>
    </row>
    <row r="135" spans="2:16">
      <c r="B135" s="440"/>
      <c r="C135" s="29"/>
      <c r="D135" s="2237"/>
      <c r="E135" s="2237"/>
      <c r="F135" s="2237"/>
      <c r="H135" s="2237"/>
      <c r="I135" s="2237"/>
      <c r="J135" s="2237"/>
      <c r="K135" s="2237"/>
      <c r="L135" s="29"/>
      <c r="M135" s="2237"/>
      <c r="N135" s="2601"/>
      <c r="O135" s="2601"/>
      <c r="P135" s="2601"/>
    </row>
    <row r="136" spans="2:16">
      <c r="B136" s="440"/>
      <c r="C136" s="29"/>
      <c r="D136" s="2237"/>
      <c r="E136" s="2237"/>
      <c r="F136" s="2237"/>
      <c r="H136" s="2237"/>
      <c r="I136" s="2237"/>
      <c r="J136" s="2237"/>
      <c r="K136" s="2237"/>
      <c r="L136" s="29"/>
      <c r="M136" s="2237"/>
      <c r="N136" s="2601"/>
      <c r="O136" s="2601"/>
      <c r="P136" s="2601"/>
    </row>
    <row r="137" spans="2:16">
      <c r="B137" s="440"/>
      <c r="C137" s="29"/>
      <c r="D137" s="2237"/>
      <c r="E137" s="2237"/>
      <c r="F137" s="2237"/>
      <c r="H137" s="2237"/>
      <c r="I137" s="2237"/>
      <c r="J137" s="2237"/>
      <c r="K137" s="2237"/>
      <c r="L137" s="29"/>
      <c r="M137" s="2237"/>
      <c r="N137" s="2601"/>
      <c r="O137" s="2601"/>
      <c r="P137" s="2601"/>
    </row>
    <row r="138" spans="2:16">
      <c r="B138" s="440"/>
      <c r="C138" s="29"/>
      <c r="D138" s="2237"/>
      <c r="E138" s="2237"/>
      <c r="F138" s="2237"/>
      <c r="H138" s="2237"/>
      <c r="I138" s="2237"/>
      <c r="J138" s="2237"/>
      <c r="K138" s="2237"/>
      <c r="L138" s="29"/>
      <c r="M138" s="2237"/>
      <c r="N138" s="2601"/>
      <c r="O138" s="2601"/>
      <c r="P138" s="2601"/>
    </row>
    <row r="139" spans="2:16">
      <c r="B139" s="440"/>
      <c r="C139" s="29"/>
      <c r="D139" s="2237"/>
      <c r="E139" s="2237"/>
      <c r="F139" s="2237"/>
      <c r="H139" s="2237"/>
      <c r="I139" s="2237"/>
      <c r="J139" s="2237"/>
      <c r="K139" s="2237"/>
      <c r="L139" s="29"/>
      <c r="M139" s="2237"/>
      <c r="N139" s="2601"/>
      <c r="O139" s="2601"/>
      <c r="P139" s="2601"/>
    </row>
    <row r="140" spans="2:16">
      <c r="B140" s="440"/>
      <c r="C140" s="29"/>
      <c r="D140" s="2237"/>
      <c r="E140" s="2237"/>
      <c r="F140" s="2237"/>
      <c r="H140" s="2237"/>
      <c r="I140" s="2237"/>
      <c r="J140" s="2237"/>
      <c r="K140" s="2237"/>
      <c r="L140" s="29"/>
      <c r="M140" s="2237"/>
      <c r="N140" s="2601"/>
      <c r="O140" s="2601"/>
      <c r="P140" s="2601"/>
    </row>
    <row r="141" spans="2:16">
      <c r="B141" s="440"/>
      <c r="C141" s="29"/>
      <c r="D141" s="2237"/>
      <c r="E141" s="2237"/>
      <c r="F141" s="2237"/>
      <c r="H141" s="2237"/>
      <c r="I141" s="2237"/>
      <c r="J141" s="2237"/>
      <c r="K141" s="2237"/>
      <c r="L141" s="29"/>
      <c r="M141" s="2237"/>
      <c r="N141" s="2601"/>
      <c r="O141" s="2601"/>
      <c r="P141" s="2601"/>
    </row>
    <row r="142" spans="2:16">
      <c r="B142" s="440"/>
      <c r="C142" s="29"/>
      <c r="D142" s="2237"/>
      <c r="E142" s="2237"/>
      <c r="F142" s="2237"/>
      <c r="H142" s="2237"/>
      <c r="I142" s="2237"/>
      <c r="J142" s="2237"/>
      <c r="K142" s="2237"/>
      <c r="L142" s="29"/>
      <c r="M142" s="2237"/>
      <c r="N142" s="2237"/>
      <c r="O142" s="2237"/>
      <c r="P142" s="2237"/>
    </row>
    <row r="143" spans="2:16">
      <c r="B143" s="440"/>
      <c r="C143" s="29"/>
      <c r="D143" s="2237"/>
      <c r="E143" s="2237"/>
      <c r="F143" s="2237"/>
      <c r="H143" s="2237"/>
      <c r="I143" s="2237"/>
      <c r="J143" s="2237"/>
      <c r="K143" s="2237"/>
      <c r="L143" s="29"/>
      <c r="M143" s="2237"/>
      <c r="N143" s="2237"/>
      <c r="O143" s="2237"/>
      <c r="P143" s="2237"/>
    </row>
    <row r="144" spans="2:16">
      <c r="B144" s="440"/>
      <c r="C144" s="29"/>
      <c r="D144" s="2237"/>
      <c r="E144" s="2237"/>
      <c r="F144" s="2237"/>
      <c r="H144" s="2237"/>
      <c r="I144" s="2237"/>
      <c r="J144" s="2237"/>
      <c r="K144" s="2237"/>
      <c r="L144" s="29"/>
      <c r="M144" s="2237"/>
      <c r="N144" s="2237"/>
      <c r="O144" s="2237"/>
      <c r="P144" s="2237"/>
    </row>
    <row r="145" spans="2:16">
      <c r="B145" s="440"/>
      <c r="C145" s="29"/>
      <c r="D145" s="2237"/>
      <c r="E145" s="2237"/>
      <c r="F145" s="2237"/>
      <c r="H145" s="2237"/>
      <c r="I145" s="2237"/>
      <c r="J145" s="2237"/>
      <c r="K145" s="2237"/>
      <c r="L145" s="29"/>
      <c r="M145" s="2237"/>
      <c r="N145" s="2237"/>
      <c r="O145" s="2237"/>
      <c r="P145" s="2237"/>
    </row>
    <row r="146" spans="2:16">
      <c r="B146" s="440"/>
      <c r="C146" s="29"/>
      <c r="D146" s="2237"/>
      <c r="E146" s="2237"/>
      <c r="F146" s="2237"/>
      <c r="H146" s="2237"/>
      <c r="I146" s="2237"/>
      <c r="J146" s="2237"/>
      <c r="K146" s="2237"/>
      <c r="L146" s="29"/>
      <c r="M146" s="2237"/>
      <c r="N146" s="2237"/>
      <c r="O146" s="2237"/>
      <c r="P146" s="2237"/>
    </row>
    <row r="147" spans="2:16">
      <c r="B147" s="440"/>
      <c r="C147" s="29"/>
      <c r="D147" s="2237"/>
      <c r="E147" s="2237"/>
      <c r="F147" s="2237"/>
      <c r="H147" s="2237"/>
      <c r="I147" s="2237"/>
      <c r="J147" s="2237"/>
      <c r="K147" s="2237"/>
      <c r="L147" s="29"/>
      <c r="M147" s="2237"/>
      <c r="N147" s="2237"/>
      <c r="O147" s="2237"/>
      <c r="P147" s="2237"/>
    </row>
    <row r="148" spans="2:16">
      <c r="B148" s="440"/>
      <c r="C148" s="29"/>
      <c r="D148" s="2237"/>
      <c r="E148" s="2237"/>
      <c r="F148" s="2237"/>
      <c r="H148" s="2237"/>
      <c r="I148" s="2237"/>
      <c r="J148" s="2237"/>
      <c r="K148" s="2237"/>
      <c r="L148" s="29"/>
      <c r="M148" s="2237"/>
      <c r="N148" s="2237"/>
      <c r="O148" s="2237"/>
      <c r="P148" s="2237"/>
    </row>
    <row r="149" spans="2:16">
      <c r="B149" s="440"/>
      <c r="C149" s="29"/>
      <c r="D149" s="2237"/>
      <c r="E149" s="2237"/>
      <c r="F149" s="2237"/>
      <c r="H149" s="2237"/>
      <c r="I149" s="2237"/>
      <c r="J149" s="2237"/>
      <c r="K149" s="2237"/>
      <c r="L149" s="2237"/>
      <c r="M149" s="2237"/>
      <c r="N149" s="2237"/>
      <c r="O149" s="2237"/>
      <c r="P149" s="2237"/>
    </row>
    <row r="150" spans="2:16">
      <c r="B150" s="440"/>
      <c r="C150" s="29"/>
      <c r="I150" s="1563"/>
    </row>
    <row r="151" spans="2:16">
      <c r="B151" s="440"/>
      <c r="C151" s="29"/>
      <c r="I151" s="1563"/>
    </row>
    <row r="152" spans="2:16">
      <c r="B152" s="440"/>
      <c r="C152" s="29"/>
      <c r="I152" s="1563"/>
    </row>
    <row r="153" spans="2:16">
      <c r="B153" s="440"/>
      <c r="C153" s="29"/>
      <c r="I153" s="1563"/>
    </row>
    <row r="154" spans="2:16">
      <c r="B154" s="440"/>
      <c r="C154" s="29"/>
      <c r="D154" s="29"/>
      <c r="F154" s="29"/>
      <c r="G154" s="29"/>
      <c r="H154" s="29"/>
      <c r="I154" s="29"/>
      <c r="J154" s="29"/>
      <c r="K154" s="29"/>
    </row>
    <row r="155" spans="2:16">
      <c r="B155" s="440"/>
      <c r="C155" s="29"/>
      <c r="D155" s="29"/>
      <c r="F155" s="29"/>
      <c r="G155" s="29"/>
      <c r="H155" s="29"/>
      <c r="I155" s="29"/>
      <c r="J155" s="29"/>
      <c r="K155" s="29"/>
    </row>
    <row r="156" spans="2:16">
      <c r="B156" s="440"/>
      <c r="C156" s="29"/>
      <c r="D156" s="29"/>
      <c r="F156" s="29"/>
      <c r="G156" s="29"/>
      <c r="H156" s="29"/>
      <c r="I156" s="29"/>
      <c r="J156" s="29"/>
      <c r="K156" s="29"/>
    </row>
    <row r="157" spans="2:16">
      <c r="B157" s="440"/>
      <c r="C157" s="29"/>
    </row>
    <row r="158" spans="2:16">
      <c r="B158" s="440"/>
      <c r="C158" s="29"/>
    </row>
    <row r="159" spans="2:16">
      <c r="B159" s="440"/>
      <c r="C159" s="29"/>
    </row>
    <row r="160" spans="2:16">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heet="1" selectLockedCells="1"/>
  <customSheetViews>
    <customSheetView guid="{8063F48F-80B5-4ECD-B18A-51CBF126E780}" fitToPage="1" hiddenRows="1" hiddenColumns="1">
      <selection activeCell="P6" sqref="P6"/>
      <pageMargins left="0.59055118110236227" right="0.57999999999999996" top="0.59055118110236227" bottom="0.59055118110236227" header="0.39370078740157483" footer="0.39370078740157483"/>
      <printOptions horizontalCentered="1"/>
      <pageSetup paperSize="9" scale="70" firstPageNumber="80" orientation="portrait" r:id="rId1"/>
      <headerFooter alignWithMargins="0">
        <oddFooter>&amp;L&amp;11LEL Schwäbisch Gmünd&amp;C18&amp;R&amp;11&amp;F</oddFooter>
      </headerFooter>
    </customSheetView>
    <customSheetView guid="{5D5C9B61-9ABD-4513-AAEB-8333A9D6196C}" fitToPage="1" hiddenRows="1" hiddenColumns="1">
      <selection activeCell="P6" sqref="P6"/>
      <pageMargins left="0.59055118110236227" right="0.57999999999999996" top="0.59055118110236227" bottom="0.59055118110236227" header="0.39370078740157483" footer="0.39370078740157483"/>
      <printOptions horizontalCentered="1"/>
      <pageSetup paperSize="9" scale="70" firstPageNumber="80" orientation="portrait" r:id="rId2"/>
      <headerFooter alignWithMargins="0">
        <oddFooter>&amp;L&amp;11LEL Schwäbisch Gmünd&amp;C18&amp;R&amp;11&amp;F</oddFooter>
      </headerFooter>
    </customSheetView>
    <customSheetView guid="{22A73C4F-9004-4CEF-8499-B1F91BE1B569}" fitToPage="1" hiddenRows="1" hiddenColumns="1">
      <selection activeCell="P6" sqref="P6"/>
      <pageMargins left="0.59055118110236227" right="0.57999999999999996" top="0.59055118110236227" bottom="0.59055118110236227" header="0.39370078740157483" footer="0.39370078740157483"/>
      <printOptions horizontalCentered="1"/>
      <pageSetup paperSize="9" scale="70" firstPageNumber="80" orientation="portrait" r:id="rId3"/>
      <headerFooter alignWithMargins="0">
        <oddFooter>&amp;L&amp;11LEL Schwäbisch Gmünd&amp;C18&amp;R&amp;11&amp;F</oddFooter>
      </headerFooter>
    </customSheetView>
  </customSheetViews>
  <mergeCells count="50">
    <mergeCell ref="C73:E73"/>
    <mergeCell ref="C17:F17"/>
    <mergeCell ref="C19:F19"/>
    <mergeCell ref="C46:D46"/>
    <mergeCell ref="C39:E39"/>
    <mergeCell ref="C42:E42"/>
    <mergeCell ref="F23:G23"/>
    <mergeCell ref="D25:E25"/>
    <mergeCell ref="C20:F20"/>
    <mergeCell ref="C54:D54"/>
    <mergeCell ref="C56:D56"/>
    <mergeCell ref="C64:E64"/>
    <mergeCell ref="C53:D53"/>
    <mergeCell ref="C49:D49"/>
    <mergeCell ref="C50:D50"/>
    <mergeCell ref="C51:D51"/>
    <mergeCell ref="C74:E74"/>
    <mergeCell ref="B75:C75"/>
    <mergeCell ref="E22:G22"/>
    <mergeCell ref="C55:D55"/>
    <mergeCell ref="C63:E63"/>
    <mergeCell ref="C68:E68"/>
    <mergeCell ref="C62:E62"/>
    <mergeCell ref="C48:D48"/>
    <mergeCell ref="C52:D52"/>
    <mergeCell ref="C57:D57"/>
    <mergeCell ref="C47:D47"/>
    <mergeCell ref="C36:E36"/>
    <mergeCell ref="C37:E37"/>
    <mergeCell ref="C38:E38"/>
    <mergeCell ref="C40:E40"/>
    <mergeCell ref="C41:E41"/>
    <mergeCell ref="N1:O1"/>
    <mergeCell ref="K2:P2"/>
    <mergeCell ref="J3:L3"/>
    <mergeCell ref="N3:O4"/>
    <mergeCell ref="E4:I4"/>
    <mergeCell ref="J4:L4"/>
    <mergeCell ref="K1:L1"/>
    <mergeCell ref="B3:H3"/>
    <mergeCell ref="C21:F21"/>
    <mergeCell ref="C16:F16"/>
    <mergeCell ref="D26:E26"/>
    <mergeCell ref="F34:G34"/>
    <mergeCell ref="N6:O6"/>
    <mergeCell ref="E10:F10"/>
    <mergeCell ref="C14:F14"/>
    <mergeCell ref="C15:F15"/>
    <mergeCell ref="K6:L6"/>
    <mergeCell ref="H6:I6"/>
  </mergeCells>
  <dataValidations count="6">
    <dataValidation type="whole" allowBlank="1" showInputMessage="1" showErrorMessage="1" errorTitle="Anteil Erntegut" error="Prozentwert darf nur zwischen 0 und 100 liegen." sqref="O68 L68 I68" xr:uid="{00000000-0002-0000-3C00-000000000000}">
      <formula1>0</formula1>
      <formula2>100</formula2>
    </dataValidation>
    <dataValidation type="decimal" allowBlank="1" showInputMessage="1" showErrorMessage="1" errorTitle="Wassergehalt Getreide" error="Zulässig sind nur Werte zwischen 14,1 und 22,0 % Wassergehalt." sqref="H68 K68 N68" xr:uid="{00000000-0002-0000-3C00-000001000000}">
      <formula1>14.1</formula1>
      <formula2>22</formula2>
    </dataValidation>
    <dataValidation type="list" allowBlank="1" showInputMessage="1" showErrorMessage="1" errorTitle="Organisationsabh. Ausgleichsl." error="Bitte aus Dropdownliste auswählen." sqref="C18:F18" xr:uid="{00000000-0002-0000-3C00-000002000000}">
      <formula1>$G$80:$G$81</formula1>
    </dataValidation>
    <dataValidation type="list" allowBlank="1" showInputMessage="1" showErrorMessage="1" sqref="H15:H17 K15:K17 N15:N17" xr:uid="{00000000-0002-0000-3C00-000003000000}">
      <formula1>"ja,nein"</formula1>
    </dataValidation>
    <dataValidation type="list" showInputMessage="1" showErrorMessage="1" sqref="H14 K14 N14" xr:uid="{00000000-0002-0000-3C00-000004000000}">
      <formula1>"ja,nein"</formula1>
    </dataValidation>
    <dataValidation type="list" allowBlank="1" showInputMessage="1" showErrorMessage="1" errorTitle="Organisationsabh. Ausgleichsl." error="Bitte aus Dropdownliste auswählen." sqref="D19:F19" xr:uid="{00000000-0002-0000-3C00-000005000000}">
      <formula1>$C$60:$C$75</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4"/>
  <headerFooter alignWithMargins="0">
    <oddFooter>&amp;L&amp;11LEL Schwäbisch Gmünd&amp;C18&amp;R&amp;11&amp;F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3C00-000006000000}">
          <x14:formula1>
            <xm:f>'SD2'!$C$11:$C$50</xm:f>
          </x14:formula1>
          <xm:sqref>C14:F17</xm:sqref>
        </x14:dataValidation>
        <x14:dataValidation type="list" allowBlank="1" showInputMessage="1" showErrorMessage="1" errorTitle="Organisationsabh. Ausgleichsl." error="Bitte aus Dropdownliste auswählen." xr:uid="{00000000-0002-0000-3C00-000007000000}">
          <x14:formula1>
            <xm:f>'SD2'!$C$60:$C$77</xm:f>
          </x14:formula1>
          <xm:sqref>C19:C21</xm:sqref>
        </x14:dataValidation>
        <x14:dataValidation type="list" allowBlank="1" showInputMessage="1" showErrorMessage="1" errorTitle="Arbeitsgänge" error="Bitte aus Dropdownliste auswählen." xr:uid="{00000000-0002-0000-3C00-000008000000}">
          <x14:formula1>
            <xm:f>'SD3'!$C$23:$C$75</xm:f>
          </x14:formula1>
          <xm:sqref>C46:D57</xm:sqref>
        </x14:dataValidation>
        <x14:dataValidation type="list" allowBlank="1" showInputMessage="1" showErrorMessage="1" xr:uid="{00000000-0002-0000-3C00-000009000000}">
          <x14:formula1>
            <xm:f>SDÖ5!$C$5:$C$16</xm:f>
          </x14:formula1>
          <xm:sqref>C36:E42</xm:sqref>
        </x14:dataValidation>
        <x14:dataValidation type="list" allowBlank="1" showInputMessage="1" showErrorMessage="1" errorTitle="Lohnmaschinen" error="Bitte aus Dropdownliste auswählen." xr:uid="{00000000-0002-0000-3C00-00000A000000}">
          <x14:formula1>
            <xm:f>'SD3'!$C$90:$C$104</xm:f>
          </x14:formula1>
          <xm:sqref>C62:E64</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80">
    <tabColor rgb="FFFFFF00"/>
    <pageSetUpPr fitToPage="1"/>
  </sheetPr>
  <dimension ref="A1:AO208"/>
  <sheetViews>
    <sheetView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11.69921875" style="35" customWidth="1"/>
    <col min="8" max="8" width="9.19921875" style="28" customWidth="1"/>
    <col min="9" max="16" width="7.19921875" style="28" customWidth="1"/>
    <col min="17" max="17" width="25.59765625" style="28" hidden="1" customWidth="1"/>
    <col min="18" max="26" width="10.5" style="27" hidden="1" customWidth="1"/>
    <col min="27" max="32" width="10.5" style="27" customWidth="1"/>
    <col min="33" max="16384" width="10.5" style="27"/>
  </cols>
  <sheetData>
    <row r="1" spans="1:41" s="219" customFormat="1" ht="30.15" customHeight="1">
      <c r="A1" s="1681"/>
      <c r="B1" s="258"/>
      <c r="C1" s="1333"/>
      <c r="D1" s="100"/>
      <c r="E1" s="255"/>
      <c r="F1" s="255"/>
      <c r="G1" s="3180"/>
      <c r="H1" s="3180"/>
      <c r="I1" s="3213" t="s">
        <v>1679</v>
      </c>
      <c r="J1" s="3210">
        <f>(J7+J13+J18+J22)-(J23+J27+J34+J43+J60+J65+J67+J69+J71+J75)</f>
        <v>738.59908769449999</v>
      </c>
      <c r="K1" s="4360">
        <f>M1-J1</f>
        <v>315.53995512635538</v>
      </c>
      <c r="L1" s="4360"/>
      <c r="M1" s="3210">
        <f>(M7+M13+M18+M22)-(M23+M27+M34+M43+M60+M65+M67+M69+M71+M75)</f>
        <v>1054.1390428208554</v>
      </c>
      <c r="N1" s="4360">
        <f>P1-M1</f>
        <v>631.07991025271167</v>
      </c>
      <c r="O1" s="4360"/>
      <c r="P1" s="3210">
        <f>(P7+P13+P18+P22)-(P23+P27+P34+P43+P60+P65+P67+P69+P71+P75)</f>
        <v>1685.218953073567</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1387</v>
      </c>
      <c r="L2" s="4372"/>
      <c r="M2" s="4372"/>
      <c r="N2" s="4372"/>
      <c r="O2" s="4372"/>
      <c r="P2" s="4372"/>
      <c r="Q2" s="1681"/>
    </row>
    <row r="3" spans="1:41" s="219" customFormat="1" ht="32.4" customHeight="1">
      <c r="A3" s="1681"/>
      <c r="B3" s="4405" t="s">
        <v>1727</v>
      </c>
      <c r="C3" s="4405"/>
      <c r="D3" s="4405"/>
      <c r="E3" s="4405"/>
      <c r="F3" s="4405"/>
      <c r="G3" s="4405"/>
      <c r="H3" s="4405"/>
      <c r="J3" s="4368" t="s">
        <v>886</v>
      </c>
      <c r="K3" s="4447"/>
      <c r="L3" s="4447"/>
      <c r="M3" s="1689"/>
      <c r="N3" s="4444" t="str">
        <f>IF(AND(T3=TRUE,T4=TRUE),"nur 1 Strohnutzung möglich","")</f>
        <v/>
      </c>
      <c r="O3" s="4374"/>
      <c r="P3" s="1326"/>
      <c r="Q3" s="1681"/>
      <c r="T3" s="1343" t="b">
        <v>0</v>
      </c>
    </row>
    <row r="4" spans="1:41" s="219" customFormat="1" ht="20.25" customHeight="1">
      <c r="A4" s="1681"/>
      <c r="B4" s="309" t="s">
        <v>779</v>
      </c>
      <c r="C4" s="27"/>
      <c r="D4" s="27"/>
      <c r="E4" s="4406" t="s">
        <v>890</v>
      </c>
      <c r="F4" s="4406"/>
      <c r="G4" s="4406"/>
      <c r="H4" s="4406"/>
      <c r="I4" s="4406"/>
      <c r="J4" s="4368" t="s">
        <v>875</v>
      </c>
      <c r="K4" s="4447"/>
      <c r="L4" s="4447"/>
      <c r="M4" s="1688"/>
      <c r="N4" s="4374"/>
      <c r="O4" s="4374"/>
      <c r="P4" s="1322">
        <f>SDÖ1!O3</f>
        <v>2024</v>
      </c>
      <c r="Q4" s="1681"/>
      <c r="T4" s="1343" t="b">
        <v>1</v>
      </c>
      <c r="U4" s="1690"/>
    </row>
    <row r="5" spans="1:41" ht="6" customHeight="1"/>
    <row r="6" spans="1:41" s="1311" customFormat="1" ht="24" customHeight="1">
      <c r="A6" s="41"/>
      <c r="B6" s="1316" t="s">
        <v>832</v>
      </c>
      <c r="C6" s="1315"/>
      <c r="D6" s="1315"/>
      <c r="E6" s="1315"/>
      <c r="F6" s="1315"/>
      <c r="G6" s="1314" t="s">
        <v>1141</v>
      </c>
      <c r="H6" s="4366" t="s">
        <v>171</v>
      </c>
      <c r="I6" s="4367"/>
      <c r="J6" s="1313">
        <f>M6*0.75</f>
        <v>30</v>
      </c>
      <c r="K6" s="4379" t="s">
        <v>144</v>
      </c>
      <c r="L6" s="4380"/>
      <c r="M6" s="1313">
        <v>40</v>
      </c>
      <c r="N6" s="4366" t="s">
        <v>170</v>
      </c>
      <c r="O6" s="4367"/>
      <c r="P6" s="1312">
        <v>60</v>
      </c>
      <c r="Q6" s="49"/>
    </row>
    <row r="7" spans="1:41" s="196" customFormat="1" ht="18.75" customHeight="1">
      <c r="A7" s="40"/>
      <c r="B7" s="245" t="s">
        <v>1133</v>
      </c>
      <c r="C7" s="40"/>
      <c r="D7" s="40"/>
      <c r="E7" s="40"/>
      <c r="F7" s="40"/>
      <c r="G7" s="1310" t="s">
        <v>163</v>
      </c>
      <c r="H7" s="1307"/>
      <c r="I7" s="1306"/>
      <c r="J7" s="1041">
        <f>SUM(I9:I12)</f>
        <v>1521.9</v>
      </c>
      <c r="K7" s="1309"/>
      <c r="L7" s="1308"/>
      <c r="M7" s="1044">
        <f>SUM(L9:L12)</f>
        <v>2029.2</v>
      </c>
      <c r="N7" s="1307"/>
      <c r="O7" s="1306"/>
      <c r="P7" s="1041">
        <f>SUM(O9:O12)</f>
        <v>3043.8</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t="s">
        <v>882</v>
      </c>
      <c r="G9" s="1221">
        <f>SDÖ1!O17</f>
        <v>41.13</v>
      </c>
      <c r="H9" s="1303">
        <f>J6-H10</f>
        <v>30</v>
      </c>
      <c r="I9" s="1299">
        <f>H9*G9</f>
        <v>1233.9000000000001</v>
      </c>
      <c r="J9" s="37"/>
      <c r="K9" s="1302">
        <f>M6-K10</f>
        <v>40</v>
      </c>
      <c r="L9" s="1301">
        <f>K9*G9</f>
        <v>1645.2</v>
      </c>
      <c r="M9" s="1280"/>
      <c r="N9" s="1300">
        <f>P6-N10</f>
        <v>60</v>
      </c>
      <c r="O9" s="1299">
        <f>N9*G9</f>
        <v>2467.8000000000002</v>
      </c>
      <c r="P9" s="37"/>
      <c r="Q9" s="28"/>
      <c r="R9" s="517"/>
      <c r="S9" s="208" t="s">
        <v>887</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288</v>
      </c>
      <c r="S10" s="1288">
        <f>L10+L11+L12</f>
        <v>384</v>
      </c>
      <c r="T10" s="1287">
        <f>O10+O11+O12</f>
        <v>576</v>
      </c>
      <c r="W10" s="196" t="s">
        <v>879</v>
      </c>
    </row>
    <row r="11" spans="1:41" s="1268" customFormat="1" ht="15" customHeight="1">
      <c r="A11" s="309"/>
      <c r="B11" s="3147"/>
      <c r="C11" s="1006" t="s">
        <v>878</v>
      </c>
      <c r="D11" s="3148"/>
      <c r="E11" s="3149">
        <v>0.8</v>
      </c>
      <c r="F11" s="1006" t="s">
        <v>877</v>
      </c>
      <c r="G11" s="3150">
        <f>SDÖ1!$O$52</f>
        <v>12</v>
      </c>
      <c r="H11" s="3151">
        <f>IF(OR($T$3,$T$4)=TRUE,J6*$E$11,0)</f>
        <v>24</v>
      </c>
      <c r="I11" s="3152">
        <f>H11*$G$11</f>
        <v>288</v>
      </c>
      <c r="J11" s="3153"/>
      <c r="K11" s="3154">
        <f>IF(OR($T$3,$T$4)=TRUE,M6*$E$11,0)</f>
        <v>32</v>
      </c>
      <c r="L11" s="3155">
        <f>K11*$G$11</f>
        <v>384</v>
      </c>
      <c r="M11" s="3156"/>
      <c r="N11" s="3157">
        <f>IF(OR($T$3,$T$4)=TRUE,P6*$E$11,0)</f>
        <v>48</v>
      </c>
      <c r="O11" s="3152">
        <f>N11*$G$11</f>
        <v>576</v>
      </c>
      <c r="P11" s="3158"/>
      <c r="Q11" s="2647"/>
      <c r="W11" s="1268" t="s">
        <v>876</v>
      </c>
    </row>
    <row r="12" spans="1:41" s="1268" customFormat="1" ht="0.6" customHeight="1">
      <c r="A12" s="309"/>
      <c r="B12" s="185"/>
      <c r="C12" s="223" t="s">
        <v>875</v>
      </c>
      <c r="D12" s="1277"/>
      <c r="E12" s="1276"/>
      <c r="F12" s="223" t="s">
        <v>874</v>
      </c>
      <c r="G12" s="1275"/>
      <c r="H12" s="1274" t="s">
        <v>892</v>
      </c>
      <c r="I12" s="1269">
        <f>IF(T4=TRUE,L12*(J6/M6),0)</f>
        <v>0</v>
      </c>
      <c r="J12" s="1273"/>
      <c r="K12" s="1270"/>
      <c r="L12" s="1272"/>
      <c r="M12" s="1271">
        <f>IF(AND(L12&gt;0,T4=FALSE),"keine Angabe bei M4 ?",0)</f>
        <v>0</v>
      </c>
      <c r="N12" s="1270"/>
      <c r="O12" s="1269">
        <f>IF(T4=TRUE,L12*(P6/M6),0)</f>
        <v>0</v>
      </c>
      <c r="P12" s="37"/>
      <c r="Q12" s="34"/>
      <c r="U12" s="196"/>
      <c r="V12" s="196"/>
      <c r="W12" s="1266" t="s">
        <v>872</v>
      </c>
      <c r="X12" s="1264">
        <f>IF(OR(T3=TRUE,T4=TRUE),J6*$E$11,"0")</f>
        <v>24</v>
      </c>
      <c r="Y12" s="1265">
        <f>IF(OR(T3=TRUE,T4=TRUE),M6*$E$11,"0")</f>
        <v>32</v>
      </c>
      <c r="Z12" s="1264">
        <f>IF(OR(T3=TRUE,T4=TRUE),P6*$E$11,"0")</f>
        <v>48</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W13" s="36" t="s">
        <v>236</v>
      </c>
      <c r="X13" s="1260">
        <f>$X$12*F30</f>
        <v>9.5999999999999979</v>
      </c>
      <c r="Y13" s="1260">
        <f>$Y$12*F30</f>
        <v>12.799999999999997</v>
      </c>
      <c r="Z13" s="1260">
        <f>$Z$12*F30</f>
        <v>19.199999999999996</v>
      </c>
    </row>
    <row r="14" spans="1:41" s="36" customFormat="1" ht="15" customHeight="1">
      <c r="A14" s="39"/>
      <c r="B14" s="1247"/>
      <c r="C14" s="4365" t="s">
        <v>1511</v>
      </c>
      <c r="D14" s="4365"/>
      <c r="E14" s="4365"/>
      <c r="F14" s="4365"/>
      <c r="G14" s="1263"/>
      <c r="H14" s="1391" t="s">
        <v>919</v>
      </c>
      <c r="I14" s="2827">
        <f>IF(H14="ja",Q14,0)</f>
        <v>240</v>
      </c>
      <c r="J14" s="39"/>
      <c r="K14" s="1262" t="s">
        <v>919</v>
      </c>
      <c r="L14" s="1098">
        <f>IF(K14="ja",Q14,0)</f>
        <v>240</v>
      </c>
      <c r="M14" s="1016"/>
      <c r="N14" s="1262" t="s">
        <v>919</v>
      </c>
      <c r="O14" s="2827">
        <f>IF(N14="ja",Q14,0)</f>
        <v>240</v>
      </c>
      <c r="P14" s="2826"/>
      <c r="Q14" s="1261">
        <f>IF(C14=0,0,VLOOKUP(C14,'SD2'!$C$11:$O$50,'SD2'!$O$1,FALSE))</f>
        <v>240</v>
      </c>
      <c r="R14" s="1350"/>
      <c r="S14" s="1349"/>
      <c r="T14" s="1348"/>
      <c r="W14" s="36" t="s">
        <v>685</v>
      </c>
      <c r="X14" s="1260">
        <f>$X$12*F31</f>
        <v>5.76</v>
      </c>
      <c r="Y14" s="1260">
        <f>$Y$12*F31</f>
        <v>7.68</v>
      </c>
      <c r="Z14" s="1260">
        <f>$Z$12*F31</f>
        <v>11.52</v>
      </c>
    </row>
    <row r="15" spans="1:41" s="36" customFormat="1" ht="15" customHeight="1">
      <c r="A15" s="39"/>
      <c r="B15" s="1247"/>
      <c r="C15" s="4365"/>
      <c r="D15" s="4365"/>
      <c r="E15" s="4365"/>
      <c r="F15" s="4365"/>
      <c r="G15" s="1263"/>
      <c r="H15" s="1391" t="s">
        <v>919</v>
      </c>
      <c r="I15" s="2827">
        <f>IF(H15="ja",Q15,0)</f>
        <v>0</v>
      </c>
      <c r="J15" s="39"/>
      <c r="K15" s="1391" t="s">
        <v>919</v>
      </c>
      <c r="L15" s="1098">
        <f>IF(K15="ja",Q15,0)</f>
        <v>0</v>
      </c>
      <c r="M15" s="1016"/>
      <c r="N15" s="1391" t="s">
        <v>919</v>
      </c>
      <c r="O15" s="2827">
        <f>IF(N15="ja",Q15,0)</f>
        <v>0</v>
      </c>
      <c r="P15" s="2826"/>
      <c r="Q15" s="1261">
        <f>IF(C15=0,0,VLOOKUP(C15,'SD2'!$C$11:$O$50,'SD2'!$O$1,FALSE))</f>
        <v>0</v>
      </c>
      <c r="R15" s="1347"/>
      <c r="S15" s="1343"/>
      <c r="T15" s="1346"/>
      <c r="W15" s="36" t="s">
        <v>684</v>
      </c>
      <c r="X15" s="1260">
        <f>$X$12*F32</f>
        <v>26.880000000000003</v>
      </c>
      <c r="Y15" s="1260">
        <f>$Y$12*F32</f>
        <v>35.840000000000003</v>
      </c>
      <c r="Z15" s="1260">
        <f>$Z$12*F32</f>
        <v>53.760000000000005</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347"/>
      <c r="S16" s="1343"/>
      <c r="T16" s="1346"/>
      <c r="W16" s="36" t="s">
        <v>230</v>
      </c>
      <c r="X16" s="1260">
        <f>$X$12*F33</f>
        <v>3.8399999999999994</v>
      </c>
      <c r="Y16" s="1260">
        <f>$Y$12*F33</f>
        <v>5.1199999999999992</v>
      </c>
      <c r="Z16" s="1260">
        <f>$Z$12*F33</f>
        <v>7.6799999999999988</v>
      </c>
    </row>
    <row r="17" spans="1:20" s="511" customFormat="1" ht="15" customHeight="1">
      <c r="A17" s="40"/>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row>
    <row r="18" spans="1:20" s="36" customFormat="1" ht="18.75" customHeight="1">
      <c r="A18" s="39"/>
      <c r="B18" s="209" t="s">
        <v>1563</v>
      </c>
      <c r="C18" s="1672"/>
      <c r="D18" s="1672"/>
      <c r="E18" s="1672"/>
      <c r="F18" s="1672"/>
      <c r="G18" s="2464"/>
      <c r="H18" s="2249"/>
      <c r="I18" s="3474"/>
      <c r="J18" s="1041">
        <f>SUM(I19:I21)</f>
        <v>177</v>
      </c>
      <c r="K18" s="2250"/>
      <c r="L18" s="2466"/>
      <c r="M18" s="1044">
        <f>SUM(L19:L21)</f>
        <v>177</v>
      </c>
      <c r="N18" s="2249"/>
      <c r="O18" s="3474"/>
      <c r="P18" s="1111">
        <f>SUM(O19:O21)</f>
        <v>177</v>
      </c>
      <c r="Q18" s="28"/>
      <c r="R18" s="514" t="s">
        <v>870</v>
      </c>
      <c r="S18" s="308"/>
      <c r="T18" s="1248"/>
    </row>
    <row r="19" spans="1:20" ht="15.6" customHeight="1">
      <c r="A19" s="309"/>
      <c r="B19" s="1247"/>
      <c r="C19" s="4365" t="s">
        <v>1560</v>
      </c>
      <c r="D19" s="4365"/>
      <c r="E19" s="4365"/>
      <c r="F19" s="4365"/>
      <c r="G19" s="2914"/>
      <c r="H19" s="1244"/>
      <c r="I19" s="2827">
        <f>IF(OR($C19=0,$J$6=0),0,VLOOKUP($C19,'SD2'!C60:O78,12,FALSE))</f>
        <v>155</v>
      </c>
      <c r="J19" s="39"/>
      <c r="K19" s="1245"/>
      <c r="L19" s="1098">
        <f>IF(OR($C19=0,$M$6=0),0,VLOOKUP($C19,'SD2'!$C$60:$O$78,12,FALSE))</f>
        <v>155</v>
      </c>
      <c r="M19" s="1016"/>
      <c r="N19" s="1244"/>
      <c r="O19" s="2827">
        <f>IF(OR($C19=0,$P$6=0),0,VLOOKUP($C19,'SD2'!C60:O78,12,FALSE))</f>
        <v>155</v>
      </c>
      <c r="P19" s="2826"/>
      <c r="R19" s="1242">
        <f>J13+J18</f>
        <v>417</v>
      </c>
      <c r="S19" s="1242">
        <f>M13+M18</f>
        <v>417</v>
      </c>
      <c r="T19" s="1242">
        <f>P13+P18</f>
        <v>417</v>
      </c>
    </row>
    <row r="20" spans="1:20" s="2894" customFormat="1" ht="15.6" customHeight="1">
      <c r="A20" s="2788"/>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2895"/>
      <c r="R20" s="2888"/>
      <c r="S20" s="2888"/>
      <c r="T20" s="2888"/>
    </row>
    <row r="21" spans="1:20" s="2894" customFormat="1" ht="15.6" customHeight="1">
      <c r="A21" s="2788"/>
      <c r="B21" s="1247"/>
      <c r="C21" s="4365"/>
      <c r="D21" s="4365"/>
      <c r="E21" s="4365"/>
      <c r="F21" s="4365"/>
      <c r="G21" s="2914"/>
      <c r="H21" s="1244"/>
      <c r="I21" s="2827">
        <f>IF(OR($C21=0,$J$6=0),0,VLOOKUP($C21,'SD2'!C62:O79,12,FALSE))</f>
        <v>0</v>
      </c>
      <c r="J21" s="2783"/>
      <c r="K21" s="1245"/>
      <c r="L21" s="2829">
        <f>IF(OR($C21=0,$M$6=0),0,VLOOKUP($C21,'SD2'!$C$60:$O$78,12,FALSE))</f>
        <v>0</v>
      </c>
      <c r="M21" s="2795"/>
      <c r="N21" s="1244"/>
      <c r="O21" s="2827">
        <f>IF(OR($C21=0,$P$6=0),0,VLOOKUP($C21,'SD2'!C62:O79,12,FALSE))</f>
        <v>0</v>
      </c>
      <c r="P21" s="2826"/>
      <c r="Q21" s="2895"/>
      <c r="R21" s="2888"/>
      <c r="S21" s="2888"/>
      <c r="T21" s="2888"/>
    </row>
    <row r="22" spans="1:20" ht="15.75" customHeight="1">
      <c r="A22" s="309"/>
      <c r="B22" s="245" t="s">
        <v>869</v>
      </c>
      <c r="C22" s="39"/>
      <c r="D22" s="1234"/>
      <c r="E22" s="4370" t="s">
        <v>868</v>
      </c>
      <c r="F22" s="4370"/>
      <c r="G22" s="4371"/>
      <c r="H22" s="1231"/>
      <c r="I22" s="1230"/>
      <c r="J22" s="1229"/>
      <c r="K22" s="1233"/>
      <c r="L22" s="1232"/>
      <c r="M22" s="1229"/>
      <c r="N22" s="1231"/>
      <c r="O22" s="1230"/>
      <c r="P22" s="1229"/>
    </row>
    <row r="23" spans="1:20" s="36" customFormat="1" ht="18.75" customHeight="1">
      <c r="A23" s="746"/>
      <c r="B23" s="209" t="s">
        <v>214</v>
      </c>
      <c r="C23" s="1228"/>
      <c r="D23" s="1228"/>
      <c r="E23" s="34"/>
      <c r="F23" s="4381"/>
      <c r="G23" s="4382" t="s">
        <v>163</v>
      </c>
      <c r="H23" s="1043"/>
      <c r="I23" s="1042"/>
      <c r="J23" s="1026">
        <f>SUM(I25:I26)</f>
        <v>220.00000000000003</v>
      </c>
      <c r="K23" s="1046"/>
      <c r="L23" s="1045"/>
      <c r="M23" s="1227">
        <f>SUM(L25:L26)</f>
        <v>220.00000000000003</v>
      </c>
      <c r="N23" s="1043"/>
      <c r="O23" s="1042"/>
      <c r="P23" s="1026">
        <f>SUM(O25:O26)</f>
        <v>220.00000000000003</v>
      </c>
      <c r="Q23" s="28"/>
    </row>
    <row r="24" spans="1:20"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20" s="511" customFormat="1" ht="18.75" customHeight="1">
      <c r="A25" s="711"/>
      <c r="B25" s="1223"/>
      <c r="C25" s="746" t="s">
        <v>866</v>
      </c>
      <c r="D25" s="4383"/>
      <c r="E25" s="4384"/>
      <c r="F25" s="1222">
        <f>SDÖ7!F12/100</f>
        <v>1.1000000000000001</v>
      </c>
      <c r="G25" s="1221">
        <f>F25*(100+$D$24)/100</f>
        <v>1.1000000000000001</v>
      </c>
      <c r="H25" s="1220">
        <v>200</v>
      </c>
      <c r="I25" s="1181">
        <f>H25*$G25</f>
        <v>220.00000000000003</v>
      </c>
      <c r="J25" s="39"/>
      <c r="K25" s="1220">
        <f>H25</f>
        <v>200</v>
      </c>
      <c r="L25" s="1023">
        <f>K25*$G25</f>
        <v>220.00000000000003</v>
      </c>
      <c r="M25" s="1016"/>
      <c r="N25" s="1220">
        <f>H25</f>
        <v>200</v>
      </c>
      <c r="O25" s="1181">
        <f>N25*$G25</f>
        <v>220.00000000000003</v>
      </c>
      <c r="P25" s="1145"/>
      <c r="Q25" s="28"/>
    </row>
    <row r="26" spans="1:20"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20" s="511" customFormat="1" ht="17.399999999999999" customHeight="1">
      <c r="A27" s="711"/>
      <c r="B27" s="1215" t="s">
        <v>213</v>
      </c>
      <c r="C27" s="711"/>
      <c r="D27" s="51"/>
      <c r="E27" s="34"/>
      <c r="F27" s="34"/>
      <c r="G27" s="1214" t="s">
        <v>163</v>
      </c>
      <c r="H27" s="1173"/>
      <c r="I27" s="1172"/>
      <c r="J27" s="1041">
        <f>SUM(I30:I32)</f>
        <v>603.36759999999992</v>
      </c>
      <c r="K27" s="1175"/>
      <c r="L27" s="1174"/>
      <c r="M27" s="1044">
        <f>SUM(L30:L32)</f>
        <v>769.95679999999993</v>
      </c>
      <c r="N27" s="1173"/>
      <c r="O27" s="1172"/>
      <c r="P27" s="1041">
        <f>SUM(O30:O32)</f>
        <v>1103.1351999999997</v>
      </c>
      <c r="Q27" s="28"/>
    </row>
    <row r="28" spans="1:20" s="36" customFormat="1" ht="15" customHeight="1">
      <c r="A28" s="746"/>
      <c r="B28" s="774"/>
      <c r="C28" s="2238"/>
      <c r="D28" s="1213" t="s">
        <v>706</v>
      </c>
      <c r="E28" s="1213" t="s">
        <v>864</v>
      </c>
      <c r="F28" s="1213" t="s">
        <v>864</v>
      </c>
      <c r="G28" s="1212" t="s">
        <v>863</v>
      </c>
      <c r="H28" s="1172"/>
      <c r="I28" s="1209"/>
      <c r="J28" s="2239"/>
      <c r="K28" s="1175"/>
      <c r="L28" s="1105"/>
      <c r="M28" s="1210"/>
      <c r="N28" s="1173"/>
      <c r="O28" s="1209"/>
      <c r="P28" s="1026"/>
      <c r="Q28" s="28"/>
    </row>
    <row r="29" spans="1:20" s="36" customFormat="1" ht="15" customHeight="1">
      <c r="A29" s="746"/>
      <c r="B29" s="1208"/>
      <c r="C29" s="747" t="s">
        <v>862</v>
      </c>
      <c r="D29" s="1034" t="s">
        <v>611</v>
      </c>
      <c r="E29" s="1034" t="s">
        <v>861</v>
      </c>
      <c r="F29" s="1034" t="s">
        <v>860</v>
      </c>
      <c r="G29" s="1034" t="s">
        <v>1128</v>
      </c>
      <c r="H29" s="1205" t="s">
        <v>612</v>
      </c>
      <c r="I29" s="1027" t="s">
        <v>163</v>
      </c>
      <c r="J29" s="2238"/>
      <c r="K29" s="1207" t="s">
        <v>612</v>
      </c>
      <c r="L29" s="1030" t="s">
        <v>163</v>
      </c>
      <c r="M29" s="1206"/>
      <c r="N29" s="1205" t="s">
        <v>612</v>
      </c>
      <c r="O29" s="1027" t="s">
        <v>163</v>
      </c>
      <c r="P29" s="1204"/>
      <c r="Q29" s="28"/>
    </row>
    <row r="30" spans="1:20" s="36" customFormat="1" ht="15" customHeight="1">
      <c r="A30" s="746"/>
      <c r="B30" s="1203"/>
      <c r="C30" s="1202" t="s">
        <v>236</v>
      </c>
      <c r="D30" s="1150">
        <f>SDÖ1!O56</f>
        <v>5.18</v>
      </c>
      <c r="E30" s="1201">
        <f>VLOOKUP('SD8'!B11,'SD8'!B9:K44,3,FALSE)</f>
        <v>2.11</v>
      </c>
      <c r="F30" s="1201">
        <f>VLOOKUP('SD8'!$B$11,'SD8'!B9:L42,7,FALSE)</f>
        <v>0.39999999999999991</v>
      </c>
      <c r="G30" s="1200">
        <v>20</v>
      </c>
      <c r="H30" s="1198">
        <f>IF(J$6=0,0,(J$6*$E30+$G30+X13))</f>
        <v>92.899999999999991</v>
      </c>
      <c r="I30" s="1181">
        <f>H30*$D30</f>
        <v>481.22199999999992</v>
      </c>
      <c r="J30" s="39"/>
      <c r="K30" s="1199">
        <f>IF(M$6=0,0,(M$6*$E30+$G30+Y13))</f>
        <v>117.19999999999999</v>
      </c>
      <c r="L30" s="1023">
        <f>K30*$D30</f>
        <v>607.09599999999989</v>
      </c>
      <c r="M30" s="1016"/>
      <c r="N30" s="1198">
        <f>IF(P$6=0,0,(P$6*$E30+$G30+Z13))</f>
        <v>165.79999999999998</v>
      </c>
      <c r="O30" s="1181">
        <f>N30*$D30</f>
        <v>858.84399999999982</v>
      </c>
      <c r="P30" s="1145"/>
      <c r="Q30" s="28"/>
    </row>
    <row r="31" spans="1:20" s="36" customFormat="1" ht="15" customHeight="1">
      <c r="A31" s="746"/>
      <c r="B31" s="217"/>
      <c r="C31" s="746" t="s">
        <v>234</v>
      </c>
      <c r="D31" s="1150">
        <f>SDÖ1!O57</f>
        <v>1.42</v>
      </c>
      <c r="E31" s="1201">
        <f>VLOOKUP('SD8'!B11,'SD8'!B9:K44,4,FALSE)</f>
        <v>0.8</v>
      </c>
      <c r="F31" s="1201">
        <f>VLOOKUP('SD8'!$B$11,'SD8'!$B$10:$L$43,8,FALSE)</f>
        <v>0.24</v>
      </c>
      <c r="G31" s="1200"/>
      <c r="H31" s="1198">
        <f>IF(J$6=0,0,(J$6*$E31+$G31+X14))</f>
        <v>29.759999999999998</v>
      </c>
      <c r="I31" s="1181">
        <f>H31*$D31</f>
        <v>42.259199999999993</v>
      </c>
      <c r="J31" s="39"/>
      <c r="K31" s="1199">
        <f>IF(M$6=0,0,(M$6*$E31+$G31+Y14))</f>
        <v>39.68</v>
      </c>
      <c r="L31" s="1023">
        <f>K31*$D31</f>
        <v>56.345599999999997</v>
      </c>
      <c r="M31" s="1016"/>
      <c r="N31" s="1198">
        <f>IF(P$6=0,0,(P$6*$E31+$G31+Z14))</f>
        <v>59.519999999999996</v>
      </c>
      <c r="O31" s="1181">
        <f>N31*$D31</f>
        <v>84.518399999999986</v>
      </c>
      <c r="P31" s="1145"/>
      <c r="Q31" s="28"/>
    </row>
    <row r="32" spans="1:20" s="511" customFormat="1" ht="18.75" customHeight="1">
      <c r="A32" s="711"/>
      <c r="B32" s="185"/>
      <c r="C32" s="2791" t="s">
        <v>232</v>
      </c>
      <c r="D32" s="1133">
        <f>SDÖ1!O58</f>
        <v>1.78</v>
      </c>
      <c r="E32" s="1197">
        <f>VLOOKUP('SD8'!B11,'SD8'!B9:K44,5,FALSE)</f>
        <v>0.6</v>
      </c>
      <c r="F32" s="1197">
        <f>VLOOKUP('SD8'!$B$11,'SD8'!$B$10:$L$43,9,FALSE)</f>
        <v>1.1200000000000001</v>
      </c>
      <c r="G32" s="1196"/>
      <c r="H32" s="1194">
        <f>IF(J$6=0,0,(J$6*$E32+$G32+X15))</f>
        <v>44.88</v>
      </c>
      <c r="I32" s="1177">
        <f>H32*$D32</f>
        <v>79.886400000000009</v>
      </c>
      <c r="J32" s="223"/>
      <c r="K32" s="1195">
        <f>IF(M$6=0,0,(M$6*$E32+$G32+Y15))</f>
        <v>59.84</v>
      </c>
      <c r="L32" s="1017">
        <f>K32*$D32</f>
        <v>106.51520000000001</v>
      </c>
      <c r="M32" s="1256"/>
      <c r="N32" s="1194">
        <f>IF(P$6=0,0,(P$6*$E32+$G32+Z15))</f>
        <v>89.76</v>
      </c>
      <c r="O32" s="1177">
        <f>N32*$D32</f>
        <v>159.77280000000002</v>
      </c>
      <c r="P32" s="1176"/>
      <c r="Q32" s="28"/>
    </row>
    <row r="33" spans="1:17" s="511" customFormat="1" ht="13.2" hidden="1" customHeight="1">
      <c r="A33" s="711"/>
      <c r="B33" s="185"/>
      <c r="C33" s="771" t="s">
        <v>230</v>
      </c>
      <c r="D33" s="1133">
        <f>SDÖ1!P59</f>
        <v>0.5</v>
      </c>
      <c r="E33" s="2609">
        <f>VLOOKUP('SD8'!B11,'SD8'!B9:K44,6,FALSE)</f>
        <v>0.2</v>
      </c>
      <c r="F33" s="1201">
        <f>VLOOKUP('SD8'!$B$11,'SD8'!$B$10:$L$43,10,FALSE)</f>
        <v>0.15999999999999998</v>
      </c>
      <c r="G33" s="1196"/>
      <c r="H33" s="1194">
        <f>IF(J$6=0,0,(J$6*$E33+$G33+X16))</f>
        <v>9.84</v>
      </c>
      <c r="I33" s="1177">
        <f>H33*$D33</f>
        <v>4.92</v>
      </c>
      <c r="J33" s="39"/>
      <c r="K33" s="1195">
        <f>IF(M$6=0,0,(M$6*$E33+$G33+Y16))</f>
        <v>13.12</v>
      </c>
      <c r="L33" s="1017">
        <f>K33*$D33</f>
        <v>6.56</v>
      </c>
      <c r="M33" s="1016"/>
      <c r="N33" s="1194">
        <f>IF(P$6=0,0,(P$6*$E33+$G33+Z16))</f>
        <v>19.68</v>
      </c>
      <c r="O33" s="1177">
        <f>N33*$D33</f>
        <v>9.84</v>
      </c>
      <c r="P33" s="1176"/>
      <c r="Q33" s="28"/>
    </row>
    <row r="34" spans="1:17" s="36" customFormat="1" ht="15" customHeight="1">
      <c r="A34" s="746"/>
      <c r="B34" s="716" t="s">
        <v>212</v>
      </c>
      <c r="C34" s="711"/>
      <c r="D34" s="2238"/>
      <c r="E34" s="2238"/>
      <c r="F34" s="4381"/>
      <c r="G34" s="4382" t="s">
        <v>163</v>
      </c>
      <c r="H34" s="1191"/>
      <c r="I34" s="1190"/>
      <c r="J34" s="1041">
        <f>SUM(I36:I42)</f>
        <v>0</v>
      </c>
      <c r="K34" s="1193"/>
      <c r="L34" s="1192"/>
      <c r="M34" s="1044">
        <f>SUM(L36:L42)</f>
        <v>0</v>
      </c>
      <c r="N34" s="1191"/>
      <c r="O34" s="1190"/>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v>2</v>
      </c>
      <c r="I36" s="1181">
        <f t="shared" ref="I36:I42" si="1">$G36*H36</f>
        <v>0</v>
      </c>
      <c r="J36" s="39"/>
      <c r="K36" s="1182">
        <v>2</v>
      </c>
      <c r="L36" s="1023">
        <f t="shared" ref="L36:L42" si="2">$G36*K36</f>
        <v>0</v>
      </c>
      <c r="M36" s="1016"/>
      <c r="N36" s="1182">
        <v>2</v>
      </c>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3744"/>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141.91589189999999</v>
      </c>
      <c r="K43" s="1175"/>
      <c r="L43" s="1174"/>
      <c r="M43" s="1044">
        <f>SUM(M46:M57)</f>
        <v>143.48353592666666</v>
      </c>
      <c r="N43" s="1173"/>
      <c r="O43" s="1172"/>
      <c r="P43" s="1041">
        <f>SUM(P46:P57)</f>
        <v>146.61882397999997</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7"/>
      <c r="C46" s="4363" t="s">
        <v>1589</v>
      </c>
      <c r="D46" s="4364"/>
      <c r="E46" s="1152">
        <f>IF($C46=0,0,VLOOKUP($C46,'SD3'!$C$24:$O$71,4,FALSE))</f>
        <v>120</v>
      </c>
      <c r="F46" s="1151">
        <f>IF($C46=0,0,VLOOKUP($C46,'SD3'!$C$24:$O$71,12,FALSE))</f>
        <v>1.38</v>
      </c>
      <c r="G46" s="1150">
        <f>IF($C46=0,0,VLOOKUP($C46,'SD3'!$C$24:$O$71,13,FALSE))</f>
        <v>64.642445999999993</v>
      </c>
      <c r="H46" s="1155">
        <v>1</v>
      </c>
      <c r="I46" s="1154">
        <f t="shared" ref="I46:I57" si="4">$F46*H46</f>
        <v>1.38</v>
      </c>
      <c r="J46" s="1145">
        <f t="shared" ref="J46:J57" si="5">H46*$G46</f>
        <v>64.642445999999993</v>
      </c>
      <c r="K46" s="1155">
        <v>1</v>
      </c>
      <c r="L46" s="1156">
        <f t="shared" ref="L46:L57" si="6">$F46*K46</f>
        <v>1.38</v>
      </c>
      <c r="M46" s="1148">
        <f t="shared" ref="M46:M57" si="7">K46*$G46</f>
        <v>64.642445999999993</v>
      </c>
      <c r="N46" s="1155">
        <v>1</v>
      </c>
      <c r="O46" s="1154">
        <f t="shared" ref="O46:O57" si="8">$F46*N46</f>
        <v>1.38</v>
      </c>
      <c r="P46" s="1145">
        <f t="shared" ref="P46:P57" si="9">N46*$G46</f>
        <v>64.642445999999993</v>
      </c>
      <c r="Q46" s="28"/>
    </row>
    <row r="47" spans="1:17" s="36" customFormat="1" ht="15" customHeight="1">
      <c r="A47" s="746"/>
      <c r="B47" s="1153"/>
      <c r="C47" s="4387"/>
      <c r="D47" s="4388"/>
      <c r="E47" s="1152">
        <f>IF($C47=0,0,VLOOKUP($C47,'SD3'!$C$24:$O$71,4,FALSE))</f>
        <v>0</v>
      </c>
      <c r="F47" s="1151">
        <f>IF($C47=0,0,VLOOKUP($C47,'SD3'!$C$24:$O$71,12,FALSE))</f>
        <v>0</v>
      </c>
      <c r="G47" s="1150">
        <f>IF($C47=0,0,VLOOKUP($C47,'SD3'!$C$24:$O$71,13,FALSE))</f>
        <v>0</v>
      </c>
      <c r="H47" s="1147"/>
      <c r="I47" s="1146">
        <f t="shared" si="4"/>
        <v>0</v>
      </c>
      <c r="J47" s="1145">
        <f t="shared" si="5"/>
        <v>0</v>
      </c>
      <c r="K47" s="1147"/>
      <c r="L47" s="1149">
        <f t="shared" si="6"/>
        <v>0</v>
      </c>
      <c r="M47" s="1148">
        <f t="shared" si="7"/>
        <v>0</v>
      </c>
      <c r="N47" s="1147"/>
      <c r="O47" s="1146">
        <f t="shared" si="8"/>
        <v>0</v>
      </c>
      <c r="P47" s="1145">
        <f t="shared" si="9"/>
        <v>0</v>
      </c>
      <c r="Q47" s="28"/>
    </row>
    <row r="48" spans="1:17" s="36" customFormat="1" ht="15" customHeight="1">
      <c r="A48" s="746"/>
      <c r="B48" s="1153"/>
      <c r="C48" s="4387" t="s">
        <v>354</v>
      </c>
      <c r="D48" s="4388"/>
      <c r="E48" s="1152">
        <f>IF($C48=0,0,VLOOKUP($C48,'SD3'!$C$24:$O$71,4,FALSE))</f>
        <v>120</v>
      </c>
      <c r="F48" s="1151">
        <f>IF($C48=0,0,VLOOKUP($C48,'SD3'!$C$24:$O$71,12,FALSE))</f>
        <v>0.71</v>
      </c>
      <c r="G48" s="1150">
        <f>IF($C48=0,0,VLOOKUP($C48,'SD3'!$C$24:$O$71,13,FALSE))</f>
        <v>30.659437999999998</v>
      </c>
      <c r="H48" s="1147">
        <v>1</v>
      </c>
      <c r="I48" s="1146">
        <f t="shared" si="4"/>
        <v>0.71</v>
      </c>
      <c r="J48" s="1145">
        <f t="shared" si="5"/>
        <v>30.659437999999998</v>
      </c>
      <c r="K48" s="1147">
        <v>1</v>
      </c>
      <c r="L48" s="1149">
        <f t="shared" si="6"/>
        <v>0.71</v>
      </c>
      <c r="M48" s="1148">
        <f t="shared" si="7"/>
        <v>30.659437999999998</v>
      </c>
      <c r="N48" s="1147">
        <v>1</v>
      </c>
      <c r="O48" s="1146">
        <f t="shared" si="8"/>
        <v>0.71</v>
      </c>
      <c r="P48" s="1145">
        <f t="shared" si="9"/>
        <v>30.659437999999998</v>
      </c>
      <c r="Q48" s="28"/>
    </row>
    <row r="49" spans="1:17" s="36" customFormat="1" ht="15" customHeight="1">
      <c r="A49" s="746"/>
      <c r="B49" s="1153"/>
      <c r="C49" s="4387" t="s">
        <v>339</v>
      </c>
      <c r="D49" s="4388"/>
      <c r="E49" s="1152">
        <f>IF($C49=0,0,VLOOKUP($C49,'SD3'!$C$24:$O$71,4,FALSE))</f>
        <v>83</v>
      </c>
      <c r="F49" s="1151">
        <f>IF($C49=0,0,VLOOKUP($C49,'SD3'!$C$24:$O$71,12,FALSE))</f>
        <v>0.27</v>
      </c>
      <c r="G49" s="1150">
        <f>IF($C49=0,0,VLOOKUP($C49,'SD3'!$C$24:$O$71,13,FALSE))</f>
        <v>6.9619069099999997</v>
      </c>
      <c r="H49" s="1147">
        <v>2</v>
      </c>
      <c r="I49" s="1146">
        <f t="shared" si="4"/>
        <v>0.54</v>
      </c>
      <c r="J49" s="1145">
        <f t="shared" si="5"/>
        <v>13.923813819999999</v>
      </c>
      <c r="K49" s="1147">
        <v>2</v>
      </c>
      <c r="L49" s="1149">
        <f t="shared" si="6"/>
        <v>0.54</v>
      </c>
      <c r="M49" s="1148">
        <f t="shared" si="7"/>
        <v>13.923813819999999</v>
      </c>
      <c r="N49" s="1147">
        <v>2</v>
      </c>
      <c r="O49" s="1146">
        <f t="shared" si="8"/>
        <v>0.54</v>
      </c>
      <c r="P49" s="1145">
        <f t="shared" si="9"/>
        <v>13.923813819999999</v>
      </c>
      <c r="Q49" s="28"/>
    </row>
    <row r="50" spans="1:17" s="36" customFormat="1" ht="15" customHeight="1">
      <c r="A50" s="746"/>
      <c r="B50" s="1153"/>
      <c r="C50" s="4387" t="s">
        <v>360</v>
      </c>
      <c r="D50" s="4388"/>
      <c r="E50" s="1152">
        <f>IF($C50=0,0,VLOOKUP($C50,'SD3'!$C$24:$O$71,4,FALSE))</f>
        <v>120</v>
      </c>
      <c r="F50" s="1151">
        <f>IF($C50=0,0,VLOOKUP($C50,'SD3'!$C$24:$O$71,12,FALSE))</f>
        <v>0.79</v>
      </c>
      <c r="G50" s="1150">
        <f>IF($C50=0,0,VLOOKUP($C50,'SD3'!$C$24:$O$71,13,FALSE))</f>
        <v>27.987262000000001</v>
      </c>
      <c r="H50" s="1147">
        <v>1</v>
      </c>
      <c r="I50" s="1146">
        <f t="shared" si="4"/>
        <v>0.79</v>
      </c>
      <c r="J50" s="1145">
        <f t="shared" si="5"/>
        <v>27.987262000000001</v>
      </c>
      <c r="K50" s="1147">
        <v>1</v>
      </c>
      <c r="L50" s="1149">
        <f t="shared" si="6"/>
        <v>0.79</v>
      </c>
      <c r="M50" s="1148">
        <f t="shared" si="7"/>
        <v>27.987262000000001</v>
      </c>
      <c r="N50" s="1147">
        <v>1</v>
      </c>
      <c r="O50" s="1146">
        <f t="shared" si="8"/>
        <v>0.79</v>
      </c>
      <c r="P50" s="1145">
        <f t="shared" si="9"/>
        <v>27.987262000000001</v>
      </c>
      <c r="Q50" s="28"/>
    </row>
    <row r="51" spans="1:17" s="36" customFormat="1" ht="15" customHeight="1">
      <c r="A51" s="746"/>
      <c r="B51" s="1153"/>
      <c r="C51" s="4387"/>
      <c r="D51" s="4388"/>
      <c r="E51" s="1152">
        <f>IF($C51=0,0,VLOOKUP($C51,'SD3'!$C$24:$O$71,4,FALSE))</f>
        <v>0</v>
      </c>
      <c r="F51" s="1151">
        <f>IF($C51=0,0,VLOOKUP($C51,'SD3'!$C$24:$O$71,12,FALSE))</f>
        <v>0</v>
      </c>
      <c r="G51" s="1150">
        <f>IF($C51=0,0,VLOOKUP($C51,'SD3'!$C$24:$O$71,13,FALSE))</f>
        <v>0</v>
      </c>
      <c r="H51" s="1147"/>
      <c r="I51" s="1146">
        <f t="shared" si="4"/>
        <v>0</v>
      </c>
      <c r="J51" s="1145">
        <f t="shared" si="5"/>
        <v>0</v>
      </c>
      <c r="K51" s="1147"/>
      <c r="L51" s="1149">
        <f t="shared" si="6"/>
        <v>0</v>
      </c>
      <c r="M51" s="1148">
        <f t="shared" si="7"/>
        <v>0</v>
      </c>
      <c r="N51" s="1147"/>
      <c r="O51" s="1146">
        <f t="shared" si="8"/>
        <v>0</v>
      </c>
      <c r="P51" s="1145">
        <f t="shared" si="9"/>
        <v>0</v>
      </c>
      <c r="Q51" s="28"/>
    </row>
    <row r="52" spans="1:17" s="36" customFormat="1" ht="15" customHeight="1">
      <c r="A52" s="746"/>
      <c r="B52" s="1153"/>
      <c r="C52" s="4387"/>
      <c r="D52" s="4388"/>
      <c r="E52" s="1152">
        <f>IF($C52=0,0,VLOOKUP($C52,'SD3'!$C$24:$O$71,4,FALSE))</f>
        <v>0</v>
      </c>
      <c r="F52" s="1151">
        <f>IF($C52=0,0,VLOOKUP($C52,'SD3'!$C$24:$O$71,12,FALSE))</f>
        <v>0</v>
      </c>
      <c r="G52" s="1150">
        <f>IF($C52=0,0,VLOOKUP($C52,'SD3'!$C$24:$O$71,13,FALSE))</f>
        <v>0</v>
      </c>
      <c r="H52" s="1147"/>
      <c r="I52" s="1146">
        <f t="shared" si="4"/>
        <v>0</v>
      </c>
      <c r="J52" s="1145">
        <f t="shared" si="5"/>
        <v>0</v>
      </c>
      <c r="K52" s="1147"/>
      <c r="L52" s="1149">
        <f t="shared" si="6"/>
        <v>0</v>
      </c>
      <c r="M52" s="1148">
        <f t="shared" si="7"/>
        <v>0</v>
      </c>
      <c r="N52" s="1147"/>
      <c r="O52" s="1146">
        <f t="shared" si="8"/>
        <v>0</v>
      </c>
      <c r="P52" s="1145">
        <f t="shared" si="9"/>
        <v>0</v>
      </c>
      <c r="Q52" s="28"/>
    </row>
    <row r="53" spans="1:17" s="36" customFormat="1" ht="15" customHeight="1">
      <c r="A53" s="746"/>
      <c r="B53" s="1153"/>
      <c r="C53" s="4403" t="s">
        <v>1748</v>
      </c>
      <c r="D53" s="4404"/>
      <c r="E53" s="1152">
        <f>IF($C53=0,0,VLOOKUP($C53,'SD3'!$C$24:$O$71,4,FALSE))</f>
        <v>120</v>
      </c>
      <c r="F53" s="1151">
        <f>IF($C53=0,0,VLOOKUP($C53,'SD3'!$C$24:$O$71,12,FALSE))</f>
        <v>0.37</v>
      </c>
      <c r="G53" s="1150">
        <f>IF($C53=0,0,VLOOKUP($C53,'SD3'!$C$24:$O$71,13,FALSE))</f>
        <v>11.7573302</v>
      </c>
      <c r="H53" s="3654">
        <f>J6/75</f>
        <v>0.4</v>
      </c>
      <c r="I53" s="1146">
        <f t="shared" si="4"/>
        <v>0.14799999999999999</v>
      </c>
      <c r="J53" s="1145">
        <f t="shared" si="5"/>
        <v>4.7029320800000001</v>
      </c>
      <c r="K53" s="3654">
        <f>M6/75</f>
        <v>0.53333333333333333</v>
      </c>
      <c r="L53" s="1149">
        <f t="shared" si="6"/>
        <v>0.19733333333333333</v>
      </c>
      <c r="M53" s="1148">
        <f t="shared" si="7"/>
        <v>6.2705761066666668</v>
      </c>
      <c r="N53" s="3654">
        <f>P6/75</f>
        <v>0.8</v>
      </c>
      <c r="O53" s="1146">
        <f t="shared" si="8"/>
        <v>0.29599999999999999</v>
      </c>
      <c r="P53" s="1145">
        <f t="shared" si="9"/>
        <v>9.4058641600000001</v>
      </c>
      <c r="Q53" s="28"/>
    </row>
    <row r="54" spans="1:17" s="36" customFormat="1" ht="15" customHeight="1">
      <c r="A54" s="746"/>
      <c r="B54" s="1153"/>
      <c r="C54" s="4387"/>
      <c r="D54" s="4388"/>
      <c r="E54" s="1152">
        <f>IF($C54=0,0,VLOOKUP($C54,'SD3'!$C$24:$O$71,4,FALSE))</f>
        <v>0</v>
      </c>
      <c r="F54" s="1151">
        <f>IF($C54=0,0,VLOOKUP($C54,'SD3'!$C$24:$O$71,12,FALSE))</f>
        <v>0</v>
      </c>
      <c r="G54" s="1150">
        <f>IF($C54=0,0,VLOOKUP($C54,'SD3'!$C$24:$O$71,13,FALSE))</f>
        <v>0</v>
      </c>
      <c r="H54" s="1147"/>
      <c r="I54" s="1146">
        <f t="shared" si="4"/>
        <v>0</v>
      </c>
      <c r="J54" s="1145">
        <f t="shared" si="5"/>
        <v>0</v>
      </c>
      <c r="K54" s="1147"/>
      <c r="L54" s="1149">
        <f t="shared" si="6"/>
        <v>0</v>
      </c>
      <c r="M54" s="1148">
        <f t="shared" si="7"/>
        <v>0</v>
      </c>
      <c r="N54" s="1147"/>
      <c r="O54" s="1146">
        <f t="shared" si="8"/>
        <v>0</v>
      </c>
      <c r="P54" s="1145">
        <f t="shared" si="9"/>
        <v>0</v>
      </c>
      <c r="Q54" s="28"/>
    </row>
    <row r="55" spans="1:17" s="36" customFormat="1" ht="15" customHeight="1">
      <c r="A55" s="746"/>
      <c r="B55" s="1153"/>
      <c r="C55" s="4387"/>
      <c r="D55" s="4388"/>
      <c r="E55" s="1152">
        <f>IF($C55=0,0,VLOOKUP($C55,'SD3'!$C$24:$O$71,4,FALSE))</f>
        <v>0</v>
      </c>
      <c r="F55" s="1151">
        <f>IF($C55=0,0,VLOOKUP($C55,'SD3'!$C$24:$O$71,12,FALSE))</f>
        <v>0</v>
      </c>
      <c r="G55" s="1150">
        <f>IF($C55=0,0,VLOOKUP($C55,'SD3'!$C$24:$O$71,13,FALSE))</f>
        <v>0</v>
      </c>
      <c r="H55" s="1147"/>
      <c r="I55" s="1146">
        <f t="shared" si="4"/>
        <v>0</v>
      </c>
      <c r="J55" s="1145">
        <f t="shared" si="5"/>
        <v>0</v>
      </c>
      <c r="K55" s="1147"/>
      <c r="L55" s="1149">
        <f t="shared" si="6"/>
        <v>0</v>
      </c>
      <c r="M55" s="1148">
        <f t="shared" si="7"/>
        <v>0</v>
      </c>
      <c r="N55" s="1147"/>
      <c r="O55" s="1146">
        <f t="shared" si="8"/>
        <v>0</v>
      </c>
      <c r="P55" s="1145">
        <f t="shared" si="9"/>
        <v>0</v>
      </c>
      <c r="Q55" s="28"/>
    </row>
    <row r="56" spans="1:17" s="36" customFormat="1" ht="24.75" customHeight="1">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8"/>
    </row>
    <row r="57" spans="1:17" s="36" customFormat="1" ht="24.75" customHeight="1">
      <c r="A57" s="746"/>
      <c r="B57" s="1084"/>
      <c r="C57" s="4461" t="s">
        <v>332</v>
      </c>
      <c r="D57" s="4462"/>
      <c r="E57" s="2589">
        <f>IF($C57=0,0,VLOOKUP($C57,'SD3'!$C$24:$O$71,4,FALSE))</f>
        <v>83</v>
      </c>
      <c r="F57" s="2590">
        <f>IF($C57=0,0,VLOOKUP($C57,'SD3'!$C$24:$O$71,12,FALSE))</f>
        <v>1.3</v>
      </c>
      <c r="G57" s="2591">
        <f>IF($C57=0,0,VLOOKUP($C57,'SD3'!$C$24:$O$71,13,FALSE))</f>
        <v>25.970662899999994</v>
      </c>
      <c r="H57" s="3745">
        <f>IF($T$4=TRUE,0,H11/35)</f>
        <v>0</v>
      </c>
      <c r="I57" s="1130">
        <f t="shared" si="4"/>
        <v>0</v>
      </c>
      <c r="J57" s="1129">
        <f t="shared" si="5"/>
        <v>0</v>
      </c>
      <c r="K57" s="3746">
        <f>IF($T$4=TRUE,0,H11/40)</f>
        <v>0</v>
      </c>
      <c r="L57" s="1132">
        <f t="shared" si="6"/>
        <v>0</v>
      </c>
      <c r="M57" s="1079">
        <f t="shared" si="7"/>
        <v>0</v>
      </c>
      <c r="N57" s="3745">
        <f>IF($T$4=TRUE,0,H11/40)</f>
        <v>0</v>
      </c>
      <c r="O57" s="1130">
        <f t="shared" si="8"/>
        <v>0</v>
      </c>
      <c r="P57" s="1129">
        <f t="shared" si="9"/>
        <v>0</v>
      </c>
      <c r="Q57" s="2636"/>
    </row>
    <row r="58" spans="1:17" s="511" customFormat="1" ht="18.75" customHeight="1">
      <c r="A58" s="711"/>
      <c r="B58" s="716" t="s">
        <v>848</v>
      </c>
      <c r="C58" s="811"/>
      <c r="D58" s="811"/>
      <c r="E58" s="811"/>
      <c r="F58" s="34"/>
      <c r="G58" s="1047"/>
      <c r="H58" s="1124"/>
      <c r="I58" s="1123">
        <f>SUM($I$46:$I$57)</f>
        <v>3.5680000000000001</v>
      </c>
      <c r="J58" s="1128"/>
      <c r="K58" s="1127"/>
      <c r="L58" s="1126">
        <f>SUM($L$46:$L$57)</f>
        <v>3.6173333333333333</v>
      </c>
      <c r="M58" s="1125"/>
      <c r="N58" s="1124"/>
      <c r="O58" s="1123">
        <f>SUM($O$46:$O$57)</f>
        <v>3.7159999999999997</v>
      </c>
      <c r="P58" s="1122"/>
      <c r="Q58" s="28"/>
    </row>
    <row r="59" spans="1:17" s="511" customFormat="1" ht="15" customHeight="1">
      <c r="A59" s="711"/>
      <c r="B59" s="1121"/>
      <c r="C59" s="285"/>
      <c r="D59" s="222" t="s">
        <v>847</v>
      </c>
      <c r="E59" s="1120">
        <v>80</v>
      </c>
      <c r="F59" s="285" t="s">
        <v>846</v>
      </c>
      <c r="G59" s="1119"/>
      <c r="H59" s="1115"/>
      <c r="I59" s="1114">
        <f>IF(I58+SUM($I$46:$I$57)*$E$59%&gt;I58+10,I58+10,I58+SUM($I$46:$I$57)*$E$59%)</f>
        <v>6.4223999999999997</v>
      </c>
      <c r="J59" s="1113"/>
      <c r="K59" s="1118"/>
      <c r="L59" s="1117">
        <f>IF(L58+SUM($L$46:$L$57)*$E$59%&gt;L58+10,L58+10,L58+SUM($L$46:$L$57)*$E$59%)</f>
        <v>6.5112000000000005</v>
      </c>
      <c r="M59" s="1116"/>
      <c r="N59" s="1115"/>
      <c r="O59" s="1114">
        <f>IF(O58+SUM($O$46:$O$57)*$E$59%&gt;O58+10,O58+10,O58+SUM($O$46:$O$57)*$E$59%)</f>
        <v>6.6887999999999996</v>
      </c>
      <c r="P59" s="1113"/>
      <c r="Q59" s="28"/>
    </row>
    <row r="60" spans="1:17" s="46" customFormat="1" ht="18.75" customHeight="1">
      <c r="A60" s="811"/>
      <c r="B60" s="2790" t="s">
        <v>845</v>
      </c>
      <c r="C60" s="2793"/>
      <c r="D60" s="2793"/>
      <c r="E60" s="2783"/>
      <c r="F60" s="2783"/>
      <c r="G60" s="2838"/>
      <c r="H60" s="2834"/>
      <c r="I60" s="2833"/>
      <c r="J60" s="1111">
        <f>IF(J6=0,0,SUM(I62:I64))</f>
        <v>157</v>
      </c>
      <c r="K60" s="2836"/>
      <c r="L60" s="2835"/>
      <c r="M60" s="1044">
        <f>IF(M6=0,0,SUM(L62:L64))</f>
        <v>157</v>
      </c>
      <c r="N60" s="2834"/>
      <c r="O60" s="2833"/>
      <c r="P60" s="1111">
        <f>IF(P6=0,0,SUM(O62:O64))</f>
        <v>157</v>
      </c>
      <c r="Q60" s="28"/>
    </row>
    <row r="61" spans="1:17" s="46" customFormat="1" ht="15" customHeight="1">
      <c r="A61" s="811"/>
      <c r="B61" s="2802"/>
      <c r="C61" s="2801" t="s">
        <v>837</v>
      </c>
      <c r="D61" s="2837">
        <f>SDÖ1!$O$11</f>
        <v>0</v>
      </c>
      <c r="E61" s="1037"/>
      <c r="F61" s="1033" t="s">
        <v>239</v>
      </c>
      <c r="G61" s="1109" t="s">
        <v>836</v>
      </c>
      <c r="H61" s="2834"/>
      <c r="I61" s="2833"/>
      <c r="J61" s="1108"/>
      <c r="K61" s="2836"/>
      <c r="L61" s="2835"/>
      <c r="M61" s="1105"/>
      <c r="N61" s="2834"/>
      <c r="O61" s="2833"/>
      <c r="P61" s="1102"/>
      <c r="Q61" s="28"/>
    </row>
    <row r="62" spans="1:17" s="36" customFormat="1" ht="18.75" customHeight="1">
      <c r="A62" s="746"/>
      <c r="B62" s="2797"/>
      <c r="C62" s="4429" t="s">
        <v>300</v>
      </c>
      <c r="D62" s="4429"/>
      <c r="E62" s="4430"/>
      <c r="F62" s="2832">
        <f>IF($C62=0,0,VLOOKUP($C62,'SD3'!$C$90:$D$104,2,FALSE))</f>
        <v>157</v>
      </c>
      <c r="G62" s="2831">
        <f>(100+$D$61)/100*F62</f>
        <v>157</v>
      </c>
      <c r="H62" s="2784"/>
      <c r="I62" s="2827">
        <f>$G$62</f>
        <v>157</v>
      </c>
      <c r="J62" s="2784"/>
      <c r="K62" s="2830"/>
      <c r="L62" s="2829">
        <f>$G$62</f>
        <v>157</v>
      </c>
      <c r="M62" s="2795"/>
      <c r="N62" s="2828"/>
      <c r="O62" s="2827">
        <f>$G$62</f>
        <v>157</v>
      </c>
      <c r="P62" s="2826"/>
      <c r="Q62" s="28"/>
    </row>
    <row r="63" spans="1:17" s="36" customFormat="1" ht="13.2" customHeight="1">
      <c r="A63" s="746"/>
      <c r="B63" s="2825"/>
      <c r="C63" s="4397"/>
      <c r="D63" s="4397"/>
      <c r="E63" s="4398"/>
      <c r="F63" s="2824">
        <f>IF($C63=0,0,VLOOKUP($C63,'SD3'!$C$90:$D$104,2,FALSE))</f>
        <v>0</v>
      </c>
      <c r="G63" s="2823">
        <f>(100+$D$61)/100*F63</f>
        <v>0</v>
      </c>
      <c r="H63" s="2822"/>
      <c r="I63" s="2817">
        <f>$G$63</f>
        <v>0</v>
      </c>
      <c r="J63" s="2822"/>
      <c r="K63" s="2821"/>
      <c r="L63" s="2820">
        <f>$G$63</f>
        <v>0</v>
      </c>
      <c r="M63" s="2819"/>
      <c r="N63" s="2818"/>
      <c r="O63" s="2817">
        <f>$G$63</f>
        <v>0</v>
      </c>
      <c r="P63" s="2816"/>
      <c r="Q63" s="28"/>
    </row>
    <row r="64" spans="1:17" s="36" customFormat="1" ht="15" customHeight="1">
      <c r="A64" s="746"/>
      <c r="B64" s="2815"/>
      <c r="C64" s="4458" t="s">
        <v>289</v>
      </c>
      <c r="D64" s="4458"/>
      <c r="E64" s="4459"/>
      <c r="F64" s="2814">
        <f>IF($T$3=FALSE,0,VLOOKUP($C64,'SD3'!$C$90:$D$104,2,FALSE))</f>
        <v>0</v>
      </c>
      <c r="G64" s="2813">
        <f>(100+$D$61)/100*F64</f>
        <v>0</v>
      </c>
      <c r="H64" s="2810"/>
      <c r="I64" s="2809">
        <f>H11*$G$64</f>
        <v>0</v>
      </c>
      <c r="J64" s="2784"/>
      <c r="K64" s="2812"/>
      <c r="L64" s="2811">
        <f>K11*$G$64</f>
        <v>0</v>
      </c>
      <c r="M64" s="1079"/>
      <c r="N64" s="2810"/>
      <c r="O64" s="2809">
        <f>N11*$G$64</f>
        <v>0</v>
      </c>
      <c r="P64" s="2808"/>
      <c r="Q64" s="28"/>
    </row>
    <row r="65" spans="1:20" s="36" customFormat="1" ht="15" customHeight="1">
      <c r="A65" s="746"/>
      <c r="B65" s="2790" t="s">
        <v>844</v>
      </c>
      <c r="C65" s="2789"/>
      <c r="D65" s="2789"/>
      <c r="E65" s="2789"/>
      <c r="F65" s="34"/>
      <c r="G65" s="1047"/>
      <c r="H65" s="51"/>
      <c r="I65" s="51"/>
      <c r="J65" s="1041">
        <f>H66*$E66</f>
        <v>0</v>
      </c>
      <c r="K65" s="1056"/>
      <c r="L65" s="1056"/>
      <c r="M65" s="1044">
        <f>K66*$E66</f>
        <v>0</v>
      </c>
      <c r="N65" s="51"/>
      <c r="O65" s="51"/>
      <c r="P65" s="1041">
        <f>N66*$E66</f>
        <v>0</v>
      </c>
      <c r="Q65" s="28"/>
    </row>
    <row r="66" spans="1:20" s="36" customFormat="1" ht="15" customHeight="1">
      <c r="A66" s="746"/>
      <c r="B66" s="2807"/>
      <c r="C66" s="2794"/>
      <c r="D66" s="2786" t="s">
        <v>691</v>
      </c>
      <c r="E66" s="2806"/>
      <c r="F66" s="2803"/>
      <c r="G66" s="1073" t="s">
        <v>362</v>
      </c>
      <c r="H66" s="1071"/>
      <c r="I66" s="1070"/>
      <c r="J66" s="1059"/>
      <c r="K66" s="1071"/>
      <c r="L66" s="1072"/>
      <c r="M66" s="1062"/>
      <c r="N66" s="1071"/>
      <c r="O66" s="1070"/>
      <c r="P66" s="1059"/>
      <c r="Q66" s="28"/>
    </row>
    <row r="67" spans="1:20" s="511" customFormat="1" ht="22.95" customHeight="1">
      <c r="A67" s="711"/>
      <c r="B67" s="2790" t="s">
        <v>843</v>
      </c>
      <c r="C67" s="2789"/>
      <c r="D67" s="2789"/>
      <c r="E67" s="2785"/>
      <c r="F67" s="2805"/>
      <c r="G67" s="1047"/>
      <c r="H67" s="1066" t="s">
        <v>842</v>
      </c>
      <c r="I67" s="1065" t="s">
        <v>841</v>
      </c>
      <c r="J67" s="1041">
        <f>R68*(H9+H10)*I68%+F68</f>
        <v>39.824999999999989</v>
      </c>
      <c r="K67" s="1068" t="s">
        <v>842</v>
      </c>
      <c r="L67" s="1067" t="s">
        <v>841</v>
      </c>
      <c r="M67" s="1044">
        <f>S68*(K9+K10)*L68%+F68</f>
        <v>53.099999999999987</v>
      </c>
      <c r="N67" s="1066" t="s">
        <v>842</v>
      </c>
      <c r="O67" s="1065" t="s">
        <v>841</v>
      </c>
      <c r="P67" s="1041">
        <f>T68*(N9+N10)*O68%+F68</f>
        <v>79.649999999999977</v>
      </c>
      <c r="Q67" s="28"/>
    </row>
    <row r="68" spans="1:20" s="511" customFormat="1" ht="15" customHeight="1">
      <c r="A68" s="711"/>
      <c r="B68" s="1064"/>
      <c r="C68" s="4393" t="s">
        <v>564</v>
      </c>
      <c r="D68" s="4393"/>
      <c r="E68" s="4433"/>
      <c r="F68" s="2804"/>
      <c r="G68" s="1054" t="s">
        <v>163</v>
      </c>
      <c r="H68" s="1061">
        <v>16</v>
      </c>
      <c r="I68" s="1060">
        <v>50</v>
      </c>
      <c r="J68" s="1059"/>
      <c r="K68" s="1061">
        <v>16</v>
      </c>
      <c r="L68" s="1060">
        <v>50</v>
      </c>
      <c r="M68" s="1062"/>
      <c r="N68" s="1061">
        <v>16</v>
      </c>
      <c r="O68" s="1060">
        <v>50</v>
      </c>
      <c r="P68" s="1059"/>
      <c r="Q68" s="28"/>
      <c r="R68" s="1058">
        <f>IF($H$68=0,0,VLOOKUP($H$68,'SD6'!B8:C151,'SD6'!C1,FALSE))*(1+'SDK1'!O11/100)</f>
        <v>2.6549999999999994</v>
      </c>
      <c r="S68" s="1058">
        <f>IF($K$68=0,0,VLOOKUP($K$68,'SD6'!B8:C151,'SD6'!C1,FALSE))*(1+'SDK1'!O11/100)</f>
        <v>2.6549999999999994</v>
      </c>
      <c r="T68" s="1058">
        <f>IF($N$68=0,0,VLOOKUP($N$68,'SD6'!B8:C151,'SD6'!C1,FALSE))*(1+'SDK1'!O11/100)</f>
        <v>2.6549999999999994</v>
      </c>
    </row>
    <row r="69" spans="1:20" s="511" customFormat="1" ht="18.75" customHeight="1">
      <c r="A69" s="711"/>
      <c r="B69" s="2790" t="s">
        <v>839</v>
      </c>
      <c r="C69" s="2789"/>
      <c r="D69" s="2789"/>
      <c r="E69" s="34"/>
      <c r="F69" s="34"/>
      <c r="G69" s="1047"/>
      <c r="H69" s="38"/>
      <c r="I69" s="51"/>
      <c r="J69" s="1041">
        <f>H70*$F70/1000</f>
        <v>24.3504</v>
      </c>
      <c r="K69" s="1057"/>
      <c r="L69" s="1056"/>
      <c r="M69" s="1044">
        <f>K70*$F70/1000</f>
        <v>32.467199999999998</v>
      </c>
      <c r="N69" s="38"/>
      <c r="O69" s="51"/>
      <c r="P69" s="1041">
        <f>N70*$F70/1000</f>
        <v>48.700800000000001</v>
      </c>
      <c r="Q69" s="28"/>
    </row>
    <row r="70" spans="1:20" s="511" customFormat="1" ht="15" customHeight="1">
      <c r="A70" s="711"/>
      <c r="B70" s="2792"/>
      <c r="C70" s="2791" t="s">
        <v>606</v>
      </c>
      <c r="D70" s="285"/>
      <c r="E70" s="2786"/>
      <c r="F70" s="3742">
        <f>SDÖ7!F62</f>
        <v>16</v>
      </c>
      <c r="G70" s="1054" t="s">
        <v>163</v>
      </c>
      <c r="H70" s="1357">
        <f>J7</f>
        <v>1521.9</v>
      </c>
      <c r="I70" s="1049"/>
      <c r="J70" s="1048"/>
      <c r="K70" s="1053">
        <f>M7</f>
        <v>2029.2</v>
      </c>
      <c r="L70" s="1052"/>
      <c r="M70" s="1051"/>
      <c r="N70" s="1357">
        <f>P7</f>
        <v>3043.8</v>
      </c>
      <c r="O70" s="1049"/>
      <c r="P70" s="1048"/>
      <c r="Q70" s="28"/>
    </row>
    <row r="71" spans="1:20" ht="18.75" customHeight="1">
      <c r="A71" s="309"/>
      <c r="B71" s="2787" t="s">
        <v>838</v>
      </c>
      <c r="C71" s="2788"/>
      <c r="D71" s="2788"/>
      <c r="E71" s="2785"/>
      <c r="F71" s="34"/>
      <c r="G71" s="1047"/>
      <c r="H71" s="1043"/>
      <c r="I71" s="1042"/>
      <c r="J71" s="1041">
        <f>SUM(I73:I74)</f>
        <v>0</v>
      </c>
      <c r="K71" s="1046"/>
      <c r="L71" s="1045"/>
      <c r="M71" s="1044">
        <f>SUM(L73:L74)</f>
        <v>0</v>
      </c>
      <c r="N71" s="1043"/>
      <c r="O71" s="1042"/>
      <c r="P71" s="1041">
        <f>SUM(O73:O74)</f>
        <v>0</v>
      </c>
    </row>
    <row r="72" spans="1:20" ht="13.2" customHeight="1">
      <c r="A72" s="309"/>
      <c r="B72" s="2802"/>
      <c r="C72" s="2801" t="s">
        <v>837</v>
      </c>
      <c r="D72" s="2800">
        <f>'SDK1'!$O$12</f>
        <v>0</v>
      </c>
      <c r="E72" s="1037"/>
      <c r="F72" s="2799"/>
      <c r="G72" s="1035"/>
      <c r="H72" s="1034" t="s">
        <v>239</v>
      </c>
      <c r="I72" s="1033" t="s">
        <v>836</v>
      </c>
      <c r="J72" s="1032"/>
      <c r="K72" s="1031" t="s">
        <v>239</v>
      </c>
      <c r="L72" s="1030" t="s">
        <v>836</v>
      </c>
      <c r="M72" s="1029"/>
      <c r="N72" s="1028" t="s">
        <v>239</v>
      </c>
      <c r="O72" s="1027" t="s">
        <v>836</v>
      </c>
      <c r="P72" s="1026"/>
    </row>
    <row r="73" spans="1:20" s="36" customFormat="1" ht="15" customHeight="1">
      <c r="A73" s="746"/>
      <c r="B73" s="2797"/>
      <c r="C73" s="4456"/>
      <c r="D73" s="4456"/>
      <c r="E73" s="4457"/>
      <c r="F73" s="2798"/>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2797"/>
      <c r="C74" s="4399"/>
      <c r="D74" s="4399"/>
      <c r="E74" s="4460"/>
      <c r="F74" s="2796"/>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7</v>
      </c>
      <c r="H75" s="1007"/>
      <c r="I75" s="1008"/>
      <c r="J75" s="1005">
        <f>(J23+J27+J34+J43+J60+J65+J67+J69+J71)*('SDK1'!$O$59%*$G$75/12)</f>
        <v>13.842020405500001</v>
      </c>
      <c r="K75" s="2223"/>
      <c r="L75" s="522"/>
      <c r="M75" s="1005">
        <f>(M23+M27+M34+M43+M60+M65+M67+M69+M71)*('SDK1'!$O$59%*$G$75/12)</f>
        <v>16.053421252477779</v>
      </c>
      <c r="N75" s="1007"/>
      <c r="O75" s="1006"/>
      <c r="P75" s="1005">
        <f>(P23+P27+P34+P43+P60+P65+P67+P69+P71)*('SDK1'!$O$59%*$G$75/12)</f>
        <v>20.476222946433332</v>
      </c>
      <c r="Q75" s="28"/>
    </row>
    <row r="76" spans="1:20">
      <c r="L76" s="29"/>
    </row>
    <row r="77" spans="1:20">
      <c r="B77" s="29"/>
      <c r="C77" s="29"/>
      <c r="D77" s="29"/>
      <c r="E77" s="29"/>
      <c r="F77" s="29"/>
      <c r="G77" s="29"/>
      <c r="L77" s="29"/>
      <c r="M77" s="29"/>
      <c r="N77" s="29"/>
      <c r="O77" s="29"/>
      <c r="P77" s="29"/>
    </row>
    <row r="78" spans="1:20">
      <c r="B78" s="29"/>
      <c r="C78" s="29"/>
      <c r="D78" s="29"/>
      <c r="E78" s="29"/>
      <c r="F78" s="29"/>
      <c r="G78" s="29"/>
      <c r="H78" s="29"/>
      <c r="I78" s="29"/>
      <c r="J78" s="29"/>
      <c r="K78" s="29"/>
      <c r="L78" s="29"/>
      <c r="M78" s="29"/>
      <c r="N78" s="29"/>
      <c r="O78" s="29"/>
      <c r="P78" s="29"/>
    </row>
    <row r="79" spans="1:20">
      <c r="B79" s="29"/>
      <c r="C79" s="29"/>
      <c r="D79" s="29"/>
      <c r="E79" s="29"/>
      <c r="F79" s="29"/>
      <c r="G79" s="29"/>
      <c r="H79" s="29"/>
      <c r="I79" s="29"/>
      <c r="J79" s="29"/>
      <c r="K79" s="29"/>
      <c r="L79" s="29"/>
      <c r="M79" s="29"/>
      <c r="N79" s="29"/>
      <c r="O79" s="29"/>
      <c r="P79" s="29"/>
    </row>
    <row r="80" spans="1:20">
      <c r="B80" s="29"/>
      <c r="C80" s="29"/>
      <c r="D80" s="29"/>
      <c r="E80" s="29"/>
      <c r="F80" s="29"/>
      <c r="G80" s="29"/>
      <c r="H80" s="29"/>
      <c r="I80" s="29"/>
      <c r="J80" s="29"/>
      <c r="K80" s="29"/>
      <c r="L80" s="29"/>
      <c r="M80" s="29"/>
      <c r="N80" s="29"/>
      <c r="O80" s="29"/>
      <c r="P80" s="29"/>
    </row>
    <row r="81" spans="2:16">
      <c r="B81" s="29"/>
      <c r="C81" s="29"/>
      <c r="D81" s="29"/>
      <c r="E81" s="29"/>
      <c r="F81" s="29"/>
      <c r="G81" s="29"/>
      <c r="H81" s="29"/>
      <c r="I81" s="29"/>
      <c r="J81" s="29"/>
      <c r="K81" s="29"/>
      <c r="L81" s="29"/>
      <c r="M81" s="29"/>
      <c r="N81" s="29"/>
      <c r="O81" s="29"/>
      <c r="P81" s="29"/>
    </row>
    <row r="82" spans="2:16">
      <c r="B82" s="29"/>
      <c r="C82" s="29"/>
      <c r="D82" s="29"/>
      <c r="E82" s="29"/>
      <c r="F82" s="29"/>
      <c r="G82" s="29"/>
      <c r="H82" s="29"/>
      <c r="I82" s="29"/>
      <c r="J82" s="29"/>
      <c r="K82" s="29"/>
      <c r="L82" s="29"/>
      <c r="M82" s="29"/>
      <c r="N82" s="29"/>
      <c r="O82" s="29"/>
      <c r="P82" s="29"/>
    </row>
    <row r="83" spans="2:16">
      <c r="B83" s="29"/>
      <c r="C83" s="29"/>
      <c r="D83" s="29"/>
      <c r="E83" s="29"/>
      <c r="F83" s="29"/>
      <c r="G83" s="29"/>
      <c r="H83" s="29"/>
      <c r="I83" s="29"/>
      <c r="J83" s="29"/>
      <c r="K83" s="29"/>
      <c r="L83" s="29"/>
      <c r="M83" s="29"/>
      <c r="N83" s="29"/>
      <c r="O83" s="29"/>
      <c r="P83" s="29"/>
    </row>
    <row r="84" spans="2:16">
      <c r="B84" s="29"/>
      <c r="C84" s="29"/>
      <c r="D84" s="29"/>
      <c r="E84" s="29"/>
      <c r="F84" s="29"/>
      <c r="G84" s="29"/>
      <c r="H84" s="29"/>
      <c r="I84" s="29"/>
      <c r="J84" s="29"/>
      <c r="K84" s="29"/>
      <c r="L84" s="29"/>
      <c r="M84" s="29"/>
      <c r="N84" s="29"/>
      <c r="O84" s="29"/>
      <c r="P84" s="29"/>
    </row>
    <row r="85" spans="2:16">
      <c r="B85" s="29"/>
      <c r="C85" s="29"/>
      <c r="D85" s="29"/>
      <c r="E85" s="29"/>
      <c r="F85" s="29"/>
      <c r="G85" s="29"/>
      <c r="H85" s="29"/>
      <c r="I85" s="29"/>
      <c r="J85" s="29"/>
      <c r="K85" s="29"/>
      <c r="L85" s="29"/>
      <c r="M85" s="29"/>
      <c r="N85" s="29"/>
      <c r="O85" s="29"/>
      <c r="P85" s="29"/>
    </row>
    <row r="86" spans="2:16">
      <c r="B86" s="29"/>
      <c r="C86" s="29"/>
      <c r="D86" s="29"/>
      <c r="E86" s="29"/>
      <c r="F86" s="29"/>
      <c r="G86" s="29"/>
      <c r="H86" s="29"/>
      <c r="I86" s="29"/>
      <c r="J86" s="29"/>
      <c r="K86" s="29"/>
      <c r="L86" s="29"/>
      <c r="M86" s="29"/>
      <c r="N86" s="29"/>
      <c r="O86" s="29"/>
      <c r="P86" s="29"/>
    </row>
    <row r="87" spans="2:16">
      <c r="B87" s="29"/>
      <c r="C87" s="29"/>
      <c r="D87" s="29"/>
      <c r="E87" s="29"/>
      <c r="F87" s="29"/>
      <c r="G87" s="29"/>
      <c r="H87" s="29"/>
      <c r="I87" s="29"/>
      <c r="J87" s="29"/>
      <c r="K87" s="29"/>
      <c r="L87" s="29"/>
      <c r="M87" s="29"/>
      <c r="N87" s="29"/>
      <c r="O87" s="29"/>
      <c r="P87" s="29"/>
    </row>
    <row r="88" spans="2:16" ht="13.2" customHeight="1">
      <c r="B88" s="29"/>
      <c r="C88" s="29"/>
      <c r="D88" s="29"/>
      <c r="E88" s="29"/>
      <c r="F88" s="29"/>
      <c r="G88" s="29"/>
      <c r="H88" s="29"/>
      <c r="I88" s="29"/>
      <c r="J88" s="29"/>
      <c r="K88" s="29"/>
      <c r="L88" s="29"/>
      <c r="M88" s="29"/>
      <c r="N88" s="29"/>
      <c r="O88" s="29"/>
      <c r="P88" s="29"/>
    </row>
    <row r="89" spans="2:16">
      <c r="B89" s="29"/>
      <c r="C89" s="29"/>
      <c r="D89" s="29"/>
      <c r="E89" s="29"/>
      <c r="F89" s="29"/>
      <c r="G89" s="29"/>
      <c r="H89" s="29"/>
      <c r="I89" s="29"/>
      <c r="J89" s="29"/>
      <c r="K89" s="29"/>
      <c r="L89" s="29"/>
      <c r="M89" s="29"/>
      <c r="N89" s="29"/>
      <c r="O89" s="29"/>
      <c r="P89" s="29"/>
    </row>
    <row r="90" spans="2:16">
      <c r="B90" s="29"/>
      <c r="C90" s="29"/>
      <c r="D90" s="29"/>
      <c r="E90" s="29"/>
      <c r="F90" s="29"/>
      <c r="G90" s="29"/>
      <c r="H90" s="29"/>
      <c r="I90" s="29"/>
      <c r="J90" s="29"/>
      <c r="K90" s="29"/>
      <c r="L90" s="29"/>
      <c r="M90" s="29"/>
      <c r="N90" s="29"/>
      <c r="O90" s="29"/>
      <c r="P90" s="29"/>
    </row>
    <row r="91" spans="2:16">
      <c r="B91" s="29"/>
      <c r="C91" s="29"/>
      <c r="D91" s="29"/>
      <c r="E91" s="29"/>
      <c r="F91" s="29"/>
      <c r="G91" s="29"/>
      <c r="H91" s="29"/>
      <c r="I91" s="29"/>
      <c r="J91" s="29"/>
      <c r="K91" s="29"/>
      <c r="L91" s="29"/>
      <c r="M91" s="29"/>
      <c r="N91" s="29"/>
      <c r="O91" s="29"/>
      <c r="P91" s="29"/>
    </row>
    <row r="92" spans="2:16" ht="13.2" customHeight="1">
      <c r="B92" s="29"/>
      <c r="C92" s="29"/>
      <c r="D92" s="29"/>
      <c r="E92" s="29"/>
      <c r="F92" s="29"/>
      <c r="G92" s="29"/>
      <c r="H92" s="29"/>
      <c r="I92" s="29"/>
      <c r="J92" s="29"/>
      <c r="K92" s="29"/>
      <c r="L92" s="29"/>
      <c r="M92" s="29"/>
      <c r="N92" s="29"/>
      <c r="O92" s="29"/>
      <c r="P92" s="29"/>
    </row>
    <row r="93" spans="2:16">
      <c r="B93" s="29"/>
      <c r="C93" s="29"/>
      <c r="D93" s="29"/>
      <c r="E93" s="29"/>
      <c r="F93" s="29"/>
      <c r="G93" s="29"/>
      <c r="H93" s="29"/>
      <c r="I93" s="29"/>
      <c r="J93" s="29"/>
      <c r="K93" s="29"/>
      <c r="L93" s="29"/>
      <c r="M93" s="29"/>
      <c r="N93" s="29"/>
      <c r="O93" s="29"/>
      <c r="P93" s="29"/>
    </row>
    <row r="94" spans="2:16">
      <c r="B94" s="29"/>
      <c r="C94" s="29"/>
      <c r="D94" s="29"/>
      <c r="E94" s="29"/>
      <c r="F94" s="29"/>
      <c r="G94" s="29"/>
      <c r="H94" s="29"/>
      <c r="I94" s="29"/>
      <c r="J94" s="29"/>
      <c r="K94" s="29"/>
      <c r="L94" s="29"/>
      <c r="M94" s="29"/>
      <c r="N94" s="29"/>
      <c r="O94" s="29"/>
      <c r="P94" s="29"/>
    </row>
    <row r="95" spans="2:16">
      <c r="C95" s="29"/>
      <c r="D95" s="29"/>
      <c r="E95" s="29"/>
      <c r="F95" s="29"/>
      <c r="G95" s="29"/>
      <c r="H95" s="29"/>
      <c r="I95" s="29"/>
      <c r="J95" s="29"/>
      <c r="K95" s="29"/>
      <c r="L95" s="29"/>
      <c r="M95" s="29"/>
      <c r="N95" s="29"/>
      <c r="O95" s="29"/>
      <c r="P95" s="29"/>
    </row>
    <row r="96" spans="2:16">
      <c r="C96" s="29"/>
      <c r="D96" s="29"/>
      <c r="E96" s="29"/>
      <c r="F96" s="29"/>
      <c r="G96" s="29"/>
      <c r="H96" s="29"/>
      <c r="I96" s="29"/>
      <c r="J96" s="29"/>
      <c r="K96" s="29"/>
      <c r="L96" s="29"/>
      <c r="M96" s="29"/>
      <c r="N96" s="29"/>
      <c r="O96" s="29"/>
      <c r="P96" s="29"/>
    </row>
    <row r="97" spans="2:16">
      <c r="C97" s="29"/>
      <c r="D97" s="29"/>
      <c r="E97" s="29"/>
      <c r="F97" s="29"/>
      <c r="G97" s="29"/>
      <c r="H97" s="29"/>
      <c r="I97" s="29"/>
      <c r="J97" s="29"/>
      <c r="K97" s="29"/>
      <c r="L97" s="29"/>
      <c r="M97" s="29"/>
      <c r="N97" s="29"/>
      <c r="O97" s="29"/>
      <c r="P97" s="29"/>
    </row>
    <row r="98" spans="2:16">
      <c r="C98" s="29"/>
      <c r="D98" s="29"/>
      <c r="E98" s="29"/>
      <c r="F98" s="29"/>
      <c r="G98" s="29"/>
      <c r="H98" s="29"/>
      <c r="I98" s="29"/>
      <c r="J98" s="29"/>
      <c r="K98" s="29"/>
      <c r="L98" s="29"/>
      <c r="M98" s="29"/>
      <c r="N98" s="29"/>
      <c r="O98" s="29"/>
      <c r="P98" s="29"/>
    </row>
    <row r="99" spans="2:16">
      <c r="B99" s="29"/>
      <c r="C99" s="29"/>
      <c r="D99" s="29"/>
      <c r="G99" s="29"/>
      <c r="H99" s="29"/>
      <c r="I99" s="29"/>
      <c r="J99" s="29"/>
      <c r="K99" s="29"/>
      <c r="L99" s="29"/>
      <c r="M99" s="29"/>
      <c r="N99" s="29"/>
      <c r="O99" s="29"/>
      <c r="P99" s="29"/>
    </row>
    <row r="100" spans="2:16">
      <c r="B100" s="29"/>
      <c r="C100" s="29"/>
      <c r="D100" s="29"/>
      <c r="G100" s="29"/>
      <c r="H100" s="29"/>
      <c r="I100" s="29"/>
      <c r="J100" s="29"/>
      <c r="K100" s="29"/>
      <c r="L100" s="29"/>
      <c r="M100" s="29"/>
      <c r="N100" s="29"/>
      <c r="O100" s="29"/>
      <c r="P100" s="29"/>
    </row>
    <row r="101" spans="2:16">
      <c r="B101" s="29"/>
      <c r="C101" s="29"/>
      <c r="D101" s="29"/>
      <c r="G101" s="29"/>
      <c r="H101" s="29"/>
      <c r="I101" s="29"/>
      <c r="J101" s="29"/>
      <c r="K101" s="29"/>
      <c r="L101" s="29"/>
      <c r="M101" s="29"/>
      <c r="N101" s="29"/>
      <c r="O101" s="29"/>
      <c r="P101" s="29"/>
    </row>
    <row r="102" spans="2:16">
      <c r="B102" s="29"/>
      <c r="C102" s="29"/>
      <c r="D102" s="29"/>
      <c r="G102" s="29"/>
      <c r="H102" s="29"/>
      <c r="I102" s="29"/>
      <c r="J102" s="29"/>
      <c r="K102" s="29"/>
      <c r="L102" s="29"/>
      <c r="M102" s="29"/>
      <c r="N102" s="29"/>
      <c r="O102" s="29"/>
      <c r="P102" s="29"/>
    </row>
    <row r="103" spans="2:16">
      <c r="B103" s="29"/>
      <c r="C103" s="29"/>
      <c r="D103" s="29"/>
      <c r="G103" s="29"/>
      <c r="H103" s="29"/>
      <c r="I103" s="29"/>
      <c r="J103" s="29"/>
      <c r="K103" s="29"/>
      <c r="L103" s="29"/>
      <c r="M103" s="29"/>
      <c r="N103" s="29"/>
      <c r="O103" s="29"/>
      <c r="P103" s="29"/>
    </row>
    <row r="104" spans="2:16">
      <c r="B104" s="29"/>
      <c r="C104" s="29"/>
      <c r="D104" s="29"/>
      <c r="G104" s="29"/>
      <c r="H104" s="29"/>
      <c r="I104" s="29"/>
      <c r="J104" s="29"/>
      <c r="K104" s="29"/>
      <c r="L104" s="29"/>
      <c r="M104" s="29"/>
      <c r="N104" s="29"/>
      <c r="O104" s="29"/>
      <c r="P104" s="29"/>
    </row>
    <row r="105" spans="2:16">
      <c r="B105" s="29"/>
      <c r="C105" s="29"/>
      <c r="D105" s="29"/>
      <c r="G105" s="29"/>
      <c r="H105" s="29"/>
      <c r="I105" s="29"/>
      <c r="J105" s="29"/>
      <c r="K105" s="29"/>
      <c r="L105" s="29"/>
      <c r="M105" s="29"/>
      <c r="N105" s="29"/>
      <c r="O105" s="29"/>
      <c r="P105" s="29"/>
    </row>
    <row r="106" spans="2:16">
      <c r="B106" s="29"/>
      <c r="C106" s="29"/>
      <c r="D106" s="29"/>
      <c r="G106" s="29"/>
      <c r="H106" s="29"/>
      <c r="I106" s="29"/>
      <c r="J106" s="29"/>
      <c r="K106" s="29"/>
      <c r="L106" s="29"/>
      <c r="M106" s="29"/>
      <c r="N106" s="29"/>
      <c r="O106" s="29"/>
      <c r="P106" s="29"/>
    </row>
    <row r="107" spans="2:16">
      <c r="B107" s="29"/>
      <c r="C107" s="29"/>
      <c r="D107" s="29"/>
      <c r="G107" s="29"/>
      <c r="H107" s="29"/>
      <c r="I107" s="29"/>
      <c r="J107" s="29"/>
      <c r="K107" s="29"/>
      <c r="L107" s="29"/>
      <c r="M107" s="29"/>
      <c r="N107" s="29"/>
      <c r="O107" s="29"/>
      <c r="P107" s="29"/>
    </row>
    <row r="108" spans="2:16">
      <c r="G108" s="29"/>
      <c r="H108" s="29"/>
      <c r="I108" s="29"/>
      <c r="J108" s="29"/>
      <c r="K108" s="29"/>
      <c r="L108" s="29"/>
      <c r="M108" s="29"/>
      <c r="N108" s="29"/>
      <c r="O108" s="29"/>
      <c r="P108" s="29"/>
    </row>
    <row r="109" spans="2:16">
      <c r="G109" s="29"/>
      <c r="H109" s="29"/>
      <c r="I109" s="29"/>
      <c r="J109" s="29"/>
      <c r="K109" s="29"/>
      <c r="L109" s="29"/>
      <c r="M109" s="29"/>
      <c r="N109" s="29"/>
      <c r="O109" s="29"/>
      <c r="P109" s="29"/>
    </row>
    <row r="110" spans="2:16">
      <c r="G110" s="29"/>
      <c r="H110" s="29"/>
      <c r="I110" s="29"/>
      <c r="J110" s="29"/>
      <c r="K110" s="29"/>
      <c r="L110" s="29"/>
      <c r="M110" s="29"/>
      <c r="N110" s="29"/>
      <c r="O110" s="29"/>
      <c r="P110" s="29"/>
    </row>
    <row r="111" spans="2:16">
      <c r="G111" s="29"/>
      <c r="H111" s="29"/>
      <c r="I111" s="29"/>
      <c r="J111" s="29"/>
      <c r="K111" s="29"/>
      <c r="L111" s="29"/>
      <c r="M111" s="29"/>
      <c r="N111" s="29"/>
      <c r="O111" s="29"/>
      <c r="P111" s="29"/>
    </row>
    <row r="112" spans="2:16">
      <c r="G112" s="29"/>
      <c r="H112" s="29"/>
      <c r="I112" s="29"/>
      <c r="J112" s="29"/>
      <c r="K112" s="29"/>
      <c r="L112" s="29"/>
      <c r="M112" s="29"/>
      <c r="N112" s="29"/>
      <c r="O112" s="29"/>
      <c r="P112" s="29"/>
    </row>
    <row r="113" spans="2:16">
      <c r="G113" s="29"/>
      <c r="H113" s="29"/>
      <c r="I113" s="29"/>
      <c r="J113" s="29"/>
      <c r="K113" s="29"/>
      <c r="L113" s="29"/>
      <c r="M113" s="29"/>
      <c r="N113" s="29"/>
      <c r="O113" s="29"/>
      <c r="P113" s="29"/>
    </row>
    <row r="114" spans="2:16">
      <c r="G114" s="29"/>
      <c r="H114" s="29"/>
      <c r="I114" s="29"/>
      <c r="J114" s="29"/>
      <c r="K114" s="29"/>
      <c r="L114" s="29"/>
      <c r="M114" s="29"/>
      <c r="N114" s="29"/>
      <c r="O114" s="29"/>
      <c r="P114" s="29"/>
    </row>
    <row r="115" spans="2:16">
      <c r="G115" s="29"/>
      <c r="H115" s="29"/>
      <c r="I115" s="29"/>
      <c r="J115" s="29"/>
      <c r="K115" s="29"/>
      <c r="L115" s="29"/>
      <c r="M115" s="29"/>
      <c r="N115" s="29"/>
      <c r="O115" s="29"/>
      <c r="P115" s="29"/>
    </row>
    <row r="116" spans="2:16">
      <c r="G116" s="29"/>
      <c r="H116" s="29"/>
      <c r="I116" s="29"/>
      <c r="J116" s="29"/>
      <c r="K116" s="29"/>
      <c r="L116" s="29"/>
      <c r="M116" s="29"/>
      <c r="N116" s="29"/>
      <c r="O116" s="29"/>
      <c r="P116" s="29"/>
    </row>
    <row r="117" spans="2:16">
      <c r="G117" s="29"/>
      <c r="H117" s="29"/>
      <c r="I117" s="29"/>
      <c r="J117" s="29"/>
      <c r="K117" s="29"/>
      <c r="L117" s="29"/>
      <c r="M117" s="29"/>
      <c r="N117" s="29"/>
      <c r="O117" s="29"/>
      <c r="P117" s="29"/>
    </row>
    <row r="118" spans="2:16">
      <c r="B118" s="440"/>
      <c r="C118" s="29"/>
      <c r="G118" s="29"/>
      <c r="H118" s="29"/>
      <c r="I118" s="29"/>
      <c r="J118" s="29"/>
      <c r="K118" s="29"/>
      <c r="L118" s="29"/>
      <c r="M118" s="29"/>
      <c r="N118" s="29"/>
      <c r="O118" s="29"/>
      <c r="P118" s="29"/>
    </row>
    <row r="119" spans="2:16">
      <c r="B119" s="440"/>
      <c r="C119" s="29"/>
      <c r="G119" s="29"/>
      <c r="H119" s="29"/>
      <c r="I119" s="29"/>
      <c r="J119" s="29"/>
      <c r="K119" s="29"/>
      <c r="L119" s="29"/>
      <c r="M119" s="29"/>
      <c r="N119" s="29"/>
      <c r="O119" s="29"/>
      <c r="P119" s="29"/>
    </row>
    <row r="120" spans="2:16">
      <c r="B120" s="440"/>
      <c r="C120" s="29"/>
      <c r="G120" s="29"/>
      <c r="H120" s="29"/>
      <c r="I120" s="29"/>
      <c r="J120" s="29"/>
      <c r="K120" s="29"/>
      <c r="L120" s="29"/>
      <c r="M120" s="29"/>
      <c r="N120" s="29"/>
      <c r="O120" s="29"/>
      <c r="P120" s="29"/>
    </row>
    <row r="121" spans="2:16">
      <c r="B121" s="440"/>
      <c r="C121" s="29"/>
      <c r="G121" s="29"/>
      <c r="H121" s="29"/>
      <c r="I121" s="29"/>
      <c r="J121" s="29"/>
      <c r="K121" s="29"/>
      <c r="L121" s="29"/>
      <c r="M121" s="29"/>
      <c r="N121" s="29"/>
      <c r="O121" s="29"/>
      <c r="P121" s="29"/>
    </row>
    <row r="122" spans="2:16">
      <c r="B122" s="440"/>
      <c r="C122" s="29"/>
      <c r="G122" s="29"/>
      <c r="H122" s="29"/>
      <c r="I122" s="29"/>
      <c r="J122" s="29"/>
      <c r="K122" s="29"/>
      <c r="L122" s="29"/>
      <c r="M122" s="29"/>
      <c r="N122" s="29"/>
      <c r="O122" s="29"/>
      <c r="P122" s="29"/>
    </row>
    <row r="123" spans="2:16">
      <c r="B123" s="440"/>
      <c r="C123" s="29"/>
      <c r="G123" s="29"/>
      <c r="H123" s="29"/>
      <c r="I123" s="29"/>
      <c r="J123" s="29"/>
      <c r="K123" s="29"/>
      <c r="L123" s="29"/>
      <c r="M123" s="29"/>
      <c r="N123" s="29"/>
      <c r="O123" s="29"/>
      <c r="P123" s="29"/>
    </row>
    <row r="124" spans="2:16">
      <c r="B124" s="440"/>
      <c r="C124" s="29"/>
      <c r="G124" s="29"/>
      <c r="H124" s="29"/>
      <c r="I124" s="29"/>
      <c r="J124" s="29"/>
      <c r="K124" s="29"/>
      <c r="L124" s="29"/>
      <c r="M124" s="29"/>
      <c r="N124" s="29"/>
      <c r="O124" s="29"/>
      <c r="P124" s="29"/>
    </row>
    <row r="125" spans="2:16">
      <c r="B125" s="440"/>
      <c r="C125" s="29"/>
      <c r="G125" s="29"/>
      <c r="H125" s="29"/>
      <c r="I125" s="29"/>
      <c r="J125" s="29"/>
      <c r="K125" s="29"/>
      <c r="L125" s="29"/>
      <c r="M125" s="29"/>
      <c r="N125" s="29"/>
      <c r="O125" s="29"/>
      <c r="P125" s="29"/>
    </row>
    <row r="126" spans="2:16">
      <c r="B126" s="440"/>
      <c r="C126" s="29"/>
      <c r="G126" s="29"/>
      <c r="H126" s="29"/>
      <c r="I126" s="29"/>
      <c r="J126" s="29"/>
      <c r="K126" s="29"/>
      <c r="L126" s="29"/>
      <c r="M126" s="29"/>
      <c r="N126" s="29"/>
      <c r="O126" s="29"/>
      <c r="P126" s="29"/>
    </row>
    <row r="127" spans="2:16">
      <c r="B127" s="440"/>
      <c r="C127" s="29"/>
      <c r="G127" s="29"/>
      <c r="H127" s="29"/>
      <c r="I127" s="29"/>
      <c r="J127" s="29"/>
      <c r="K127" s="29"/>
      <c r="L127" s="29"/>
      <c r="M127" s="29"/>
      <c r="N127" s="29"/>
      <c r="O127" s="29"/>
      <c r="P127" s="29"/>
    </row>
    <row r="128" spans="2:16">
      <c r="B128" s="440"/>
      <c r="C128" s="29"/>
      <c r="G128" s="29"/>
      <c r="H128" s="29"/>
      <c r="I128" s="29"/>
      <c r="J128" s="29"/>
      <c r="K128" s="29"/>
      <c r="L128" s="29"/>
      <c r="M128" s="29"/>
      <c r="N128" s="29"/>
      <c r="O128" s="29"/>
      <c r="P128" s="29"/>
    </row>
    <row r="129" spans="2:16">
      <c r="B129" s="440"/>
      <c r="C129" s="29"/>
      <c r="G129" s="29"/>
      <c r="H129" s="29"/>
      <c r="I129" s="29"/>
      <c r="J129" s="29"/>
      <c r="K129" s="29"/>
      <c r="L129" s="29"/>
      <c r="M129" s="29"/>
      <c r="N129" s="29"/>
      <c r="O129" s="29"/>
      <c r="P129" s="29"/>
    </row>
    <row r="130" spans="2:16">
      <c r="B130" s="440"/>
      <c r="C130" s="29"/>
      <c r="G130" s="29"/>
      <c r="H130" s="29"/>
      <c r="I130" s="29"/>
      <c r="J130" s="29"/>
      <c r="K130" s="29"/>
      <c r="L130" s="29"/>
      <c r="M130" s="29"/>
      <c r="N130" s="29"/>
      <c r="O130" s="29"/>
      <c r="P130" s="29"/>
    </row>
    <row r="131" spans="2:16">
      <c r="B131" s="440"/>
      <c r="C131" s="29"/>
      <c r="G131" s="29"/>
      <c r="H131" s="29"/>
      <c r="I131" s="29"/>
      <c r="J131" s="29"/>
      <c r="K131" s="29"/>
      <c r="L131" s="29"/>
      <c r="M131" s="29"/>
      <c r="N131" s="29"/>
      <c r="O131" s="29"/>
      <c r="P131" s="29"/>
    </row>
    <row r="132" spans="2:16">
      <c r="B132" s="440"/>
      <c r="C132" s="29"/>
      <c r="G132" s="29"/>
      <c r="H132" s="29"/>
      <c r="I132" s="29"/>
      <c r="J132" s="29"/>
      <c r="K132" s="29"/>
      <c r="L132" s="29"/>
      <c r="M132" s="29"/>
      <c r="N132" s="29"/>
      <c r="O132" s="29"/>
      <c r="P132" s="29"/>
    </row>
    <row r="133" spans="2:16">
      <c r="B133" s="440"/>
      <c r="C133" s="29"/>
      <c r="G133" s="29"/>
      <c r="H133" s="29"/>
      <c r="I133" s="29"/>
      <c r="J133" s="29"/>
      <c r="K133" s="29"/>
      <c r="L133" s="29"/>
      <c r="M133" s="29"/>
      <c r="N133" s="29"/>
      <c r="O133" s="29"/>
      <c r="P133" s="29"/>
    </row>
    <row r="134" spans="2:16">
      <c r="B134" s="440"/>
      <c r="C134" s="29"/>
      <c r="G134" s="29"/>
      <c r="H134" s="29"/>
      <c r="I134" s="29"/>
      <c r="J134" s="29"/>
      <c r="K134" s="29"/>
      <c r="L134" s="29"/>
      <c r="M134" s="29"/>
      <c r="N134" s="29"/>
      <c r="O134" s="29"/>
      <c r="P134" s="29"/>
    </row>
    <row r="135" spans="2:16">
      <c r="B135" s="440"/>
      <c r="C135" s="29"/>
      <c r="G135" s="29"/>
      <c r="H135" s="29"/>
      <c r="I135" s="29"/>
      <c r="J135" s="29"/>
      <c r="K135" s="29"/>
      <c r="L135" s="29"/>
      <c r="M135" s="29"/>
      <c r="N135" s="29"/>
      <c r="O135" s="29"/>
      <c r="P135" s="29"/>
    </row>
    <row r="136" spans="2:16">
      <c r="B136" s="440"/>
      <c r="C136" s="29"/>
      <c r="G136" s="29"/>
      <c r="H136" s="29"/>
      <c r="I136" s="29"/>
      <c r="J136" s="29"/>
      <c r="K136" s="29"/>
      <c r="L136" s="29"/>
      <c r="M136" s="29"/>
      <c r="N136" s="29"/>
      <c r="O136" s="29"/>
      <c r="P136" s="29"/>
    </row>
    <row r="137" spans="2:16">
      <c r="B137" s="440"/>
      <c r="C137" s="29"/>
      <c r="G137" s="29"/>
      <c r="H137" s="29"/>
      <c r="I137" s="29"/>
      <c r="J137" s="29"/>
      <c r="K137" s="29"/>
      <c r="L137" s="29"/>
      <c r="M137" s="29"/>
      <c r="N137" s="29"/>
      <c r="O137" s="29"/>
      <c r="P137" s="29"/>
    </row>
    <row r="138" spans="2:16">
      <c r="B138" s="440"/>
      <c r="C138" s="29"/>
      <c r="G138" s="29"/>
      <c r="H138" s="29"/>
      <c r="I138" s="29"/>
      <c r="J138" s="29"/>
      <c r="K138" s="29"/>
      <c r="L138" s="29"/>
      <c r="M138" s="29"/>
      <c r="N138" s="29"/>
      <c r="O138" s="29"/>
      <c r="P138" s="29"/>
    </row>
    <row r="139" spans="2:16">
      <c r="B139" s="440"/>
      <c r="C139" s="29"/>
      <c r="G139" s="29"/>
      <c r="H139" s="29"/>
      <c r="I139" s="29"/>
      <c r="J139" s="29"/>
      <c r="K139" s="29"/>
      <c r="L139" s="29"/>
      <c r="M139" s="29"/>
      <c r="N139" s="29"/>
      <c r="O139" s="29"/>
      <c r="P139" s="29"/>
    </row>
    <row r="140" spans="2:16">
      <c r="B140" s="440"/>
      <c r="C140" s="29"/>
      <c r="G140" s="29"/>
      <c r="H140" s="29"/>
      <c r="I140" s="29"/>
      <c r="J140" s="29"/>
      <c r="K140" s="29"/>
      <c r="L140" s="29"/>
      <c r="M140" s="29"/>
      <c r="N140" s="29"/>
      <c r="O140" s="29"/>
      <c r="P140" s="29"/>
    </row>
    <row r="141" spans="2:16">
      <c r="B141" s="440"/>
      <c r="C141" s="29"/>
      <c r="G141" s="29"/>
      <c r="H141" s="29"/>
      <c r="I141" s="29"/>
      <c r="J141" s="29"/>
      <c r="K141" s="29"/>
      <c r="L141" s="29"/>
      <c r="M141" s="29"/>
      <c r="N141" s="29"/>
      <c r="O141" s="29"/>
      <c r="P141" s="29"/>
    </row>
    <row r="142" spans="2:16">
      <c r="B142" s="440"/>
      <c r="C142" s="29"/>
      <c r="G142" s="29"/>
      <c r="H142" s="29"/>
      <c r="I142" s="29"/>
      <c r="J142" s="29"/>
      <c r="K142" s="29"/>
      <c r="L142" s="29"/>
      <c r="M142" s="29"/>
      <c r="N142" s="29"/>
      <c r="O142" s="29"/>
      <c r="P142" s="29"/>
    </row>
    <row r="143" spans="2:16">
      <c r="B143" s="440"/>
      <c r="C143" s="29"/>
      <c r="G143" s="29"/>
      <c r="H143" s="29"/>
      <c r="I143" s="29"/>
      <c r="J143" s="29"/>
      <c r="K143" s="29"/>
      <c r="L143" s="29"/>
      <c r="M143" s="29"/>
      <c r="N143" s="29"/>
      <c r="O143" s="29"/>
      <c r="P143" s="29"/>
    </row>
    <row r="144" spans="2:16">
      <c r="B144" s="440"/>
      <c r="C144" s="29"/>
      <c r="G144" s="29"/>
      <c r="H144" s="29"/>
      <c r="I144" s="29"/>
      <c r="J144" s="29"/>
      <c r="K144" s="29"/>
      <c r="L144" s="29"/>
      <c r="M144" s="29"/>
      <c r="N144" s="29"/>
      <c r="O144" s="29"/>
      <c r="P144" s="29"/>
    </row>
    <row r="145" spans="2:16">
      <c r="B145" s="440"/>
      <c r="C145" s="29"/>
      <c r="G145" s="29"/>
      <c r="H145" s="29"/>
      <c r="I145" s="29"/>
      <c r="J145" s="29"/>
      <c r="K145" s="29"/>
      <c r="L145" s="29"/>
      <c r="M145" s="29"/>
      <c r="N145" s="29"/>
      <c r="O145" s="29"/>
      <c r="P145" s="29"/>
    </row>
    <row r="146" spans="2:16">
      <c r="B146" s="440"/>
      <c r="C146" s="29"/>
      <c r="G146" s="29"/>
      <c r="H146" s="29"/>
      <c r="I146" s="29"/>
      <c r="J146" s="29"/>
      <c r="K146" s="29"/>
      <c r="L146" s="29"/>
      <c r="M146" s="29"/>
      <c r="N146" s="29"/>
      <c r="O146" s="29"/>
      <c r="P146" s="29"/>
    </row>
    <row r="147" spans="2:16">
      <c r="B147" s="440"/>
      <c r="C147" s="29"/>
      <c r="F147" s="29"/>
      <c r="G147" s="29"/>
      <c r="H147" s="29"/>
      <c r="I147" s="29"/>
      <c r="J147" s="29"/>
      <c r="K147" s="29"/>
      <c r="L147" s="29"/>
      <c r="M147" s="29"/>
      <c r="N147" s="29"/>
      <c r="O147" s="29"/>
      <c r="P147" s="29"/>
    </row>
    <row r="148" spans="2:16">
      <c r="B148" s="440"/>
      <c r="C148" s="29"/>
      <c r="D148" s="29"/>
      <c r="F148" s="29"/>
      <c r="G148" s="29"/>
      <c r="H148" s="29"/>
      <c r="I148" s="29"/>
      <c r="J148" s="29"/>
      <c r="K148" s="29"/>
      <c r="L148" s="29"/>
      <c r="M148" s="29"/>
      <c r="N148" s="29"/>
      <c r="O148" s="29"/>
      <c r="P148" s="29"/>
    </row>
    <row r="149" spans="2:16">
      <c r="B149" s="440"/>
      <c r="C149" s="29"/>
      <c r="D149" s="29"/>
      <c r="F149" s="29"/>
      <c r="G149" s="29"/>
      <c r="H149" s="29"/>
      <c r="I149" s="29"/>
      <c r="J149" s="29"/>
      <c r="K149" s="29"/>
      <c r="L149" s="29"/>
      <c r="M149" s="29"/>
      <c r="N149" s="29"/>
      <c r="O149" s="29"/>
      <c r="P149" s="29"/>
    </row>
    <row r="150" spans="2:16">
      <c r="B150" s="440"/>
      <c r="C150" s="29"/>
      <c r="D150" s="29"/>
      <c r="F150" s="29"/>
      <c r="G150" s="29"/>
      <c r="H150" s="29"/>
      <c r="I150" s="29"/>
      <c r="J150" s="29"/>
      <c r="K150" s="29"/>
      <c r="L150" s="29"/>
      <c r="M150" s="29"/>
      <c r="N150" s="29"/>
      <c r="O150" s="29"/>
      <c r="P150" s="29"/>
    </row>
    <row r="151" spans="2:16">
      <c r="B151" s="440"/>
      <c r="C151" s="29"/>
      <c r="D151" s="29"/>
      <c r="F151" s="29"/>
      <c r="G151" s="29"/>
      <c r="H151" s="29"/>
      <c r="I151" s="29"/>
      <c r="J151" s="29"/>
      <c r="K151" s="29"/>
      <c r="L151" s="29"/>
      <c r="M151" s="29"/>
      <c r="N151" s="29"/>
      <c r="O151" s="29"/>
      <c r="P151" s="29"/>
    </row>
    <row r="152" spans="2:16">
      <c r="B152" s="440"/>
      <c r="C152" s="29"/>
      <c r="D152" s="29"/>
      <c r="F152" s="29"/>
      <c r="G152" s="29"/>
      <c r="H152" s="29"/>
      <c r="I152" s="29"/>
      <c r="J152" s="29"/>
      <c r="K152" s="29"/>
      <c r="L152" s="29"/>
      <c r="M152" s="29"/>
      <c r="N152" s="29"/>
      <c r="O152" s="29"/>
      <c r="P152" s="29"/>
    </row>
    <row r="153" spans="2:16">
      <c r="B153" s="440"/>
      <c r="C153" s="29"/>
      <c r="D153" s="29"/>
      <c r="F153" s="29"/>
      <c r="G153" s="29"/>
      <c r="H153" s="29"/>
      <c r="I153" s="29"/>
      <c r="J153" s="29"/>
      <c r="K153" s="29"/>
      <c r="L153" s="29"/>
      <c r="M153" s="29"/>
      <c r="N153" s="29"/>
      <c r="O153" s="29"/>
      <c r="P153" s="29"/>
    </row>
    <row r="154" spans="2:16">
      <c r="B154" s="440"/>
      <c r="C154" s="29"/>
      <c r="D154" s="29"/>
      <c r="F154" s="29"/>
      <c r="G154" s="29"/>
      <c r="H154" s="29"/>
      <c r="I154" s="29"/>
      <c r="J154" s="29"/>
      <c r="K154" s="29"/>
      <c r="L154" s="29"/>
      <c r="M154" s="29"/>
      <c r="N154" s="29"/>
      <c r="O154" s="29"/>
      <c r="P154" s="29"/>
    </row>
    <row r="155" spans="2:16">
      <c r="B155" s="440"/>
      <c r="C155" s="29"/>
      <c r="D155" s="29"/>
      <c r="F155" s="29"/>
      <c r="G155" s="29"/>
      <c r="H155" s="29"/>
      <c r="I155" s="29"/>
      <c r="J155" s="29"/>
      <c r="K155" s="29"/>
      <c r="L155" s="29"/>
      <c r="M155" s="29"/>
      <c r="N155" s="29"/>
      <c r="O155" s="29"/>
      <c r="P155" s="29"/>
    </row>
    <row r="156" spans="2:16">
      <c r="B156" s="440"/>
      <c r="C156" s="29"/>
      <c r="G156" s="29"/>
      <c r="H156" s="29"/>
      <c r="I156" s="29"/>
      <c r="J156" s="29"/>
      <c r="K156" s="29"/>
      <c r="L156" s="29"/>
      <c r="M156" s="29"/>
      <c r="N156" s="29"/>
      <c r="O156" s="29"/>
      <c r="P156" s="29"/>
    </row>
    <row r="157" spans="2:16">
      <c r="B157" s="440"/>
      <c r="C157" s="29"/>
      <c r="G157" s="29"/>
      <c r="H157" s="29"/>
      <c r="I157" s="29"/>
      <c r="J157" s="29"/>
      <c r="K157" s="29"/>
      <c r="L157" s="29"/>
      <c r="M157" s="29"/>
      <c r="N157" s="29"/>
      <c r="O157" s="29"/>
      <c r="P157" s="29"/>
    </row>
    <row r="158" spans="2:16">
      <c r="B158" s="440"/>
      <c r="C158" s="29"/>
      <c r="G158" s="29"/>
      <c r="H158" s="29"/>
      <c r="I158" s="29"/>
      <c r="J158" s="29"/>
      <c r="K158" s="29"/>
      <c r="L158" s="29"/>
      <c r="M158" s="29"/>
      <c r="N158" s="29"/>
      <c r="O158" s="29"/>
      <c r="P158" s="29"/>
    </row>
    <row r="159" spans="2:16">
      <c r="B159" s="440"/>
      <c r="C159" s="29"/>
    </row>
    <row r="160" spans="2:16">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row r="207" spans="2:3">
      <c r="B207" s="440"/>
    </row>
    <row r="208" spans="2:3">
      <c r="B208" s="440"/>
    </row>
  </sheetData>
  <sheetProtection sheet="1" objects="1" scenarios="1"/>
  <customSheetViews>
    <customSheetView guid="{8063F48F-80B5-4ECD-B18A-51CBF126E780}" fitToPage="1" printArea="1" hiddenRows="1" hiddenColumns="1">
      <selection activeCell="AH26" sqref="AH26"/>
      <pageMargins left="0.59055118110236227" right="0.57999999999999996" top="0.59055118110236227" bottom="0.59055118110236227" header="0.39370078740157483" footer="0.39370078740157483"/>
      <printOptions horizontalCentered="1"/>
      <pageSetup paperSize="9" scale="70" firstPageNumber="18" orientation="portrait" r:id="rId1"/>
      <headerFooter alignWithMargins="0">
        <oddFooter>&amp;L&amp;11LEL Schwäbisch Gmünd&amp;C22&amp;R&amp;11&amp;F</oddFooter>
      </headerFooter>
    </customSheetView>
    <customSheetView guid="{5D5C9B61-9ABD-4513-AAEB-8333A9D6196C}" fitToPage="1" hiddenRows="1" hiddenColumns="1" topLeftCell="H1">
      <selection activeCell="AE33" sqref="AE33:AE34"/>
      <pageMargins left="0.59055118110236227" right="0.57999999999999996" top="0.59055118110236227" bottom="0.59055118110236227" header="0.39370078740157483" footer="0.39370078740157483"/>
      <printOptions horizontalCentered="1"/>
      <pageSetup paperSize="9" scale="70" firstPageNumber="18" orientation="portrait" r:id="rId2"/>
      <headerFooter alignWithMargins="0">
        <oddFooter>&amp;L&amp;11LEL Schwäbisch Gmünd&amp;C22&amp;R&amp;11&amp;F</oddFooter>
      </headerFooter>
    </customSheetView>
    <customSheetView guid="{22A73C4F-9004-4CEF-8499-B1F91BE1B569}" fitToPage="1" hiddenRows="1" hiddenColumns="1">
      <selection activeCell="AH26" sqref="AH26"/>
      <pageMargins left="0.59055118110236227" right="0.57999999999999996" top="0.59055118110236227" bottom="0.59055118110236227" header="0.39370078740157483" footer="0.39370078740157483"/>
      <printOptions horizontalCentered="1"/>
      <pageSetup paperSize="9" scale="70" firstPageNumber="18" orientation="portrait" r:id="rId3"/>
      <headerFooter alignWithMargins="0">
        <oddFooter>&amp;L&amp;11LEL Schwäbisch Gmünd&amp;C22&amp;R&amp;11&amp;F</oddFooter>
      </headerFooter>
    </customSheetView>
  </customSheetViews>
  <mergeCells count="50">
    <mergeCell ref="C74:E74"/>
    <mergeCell ref="B75:C75"/>
    <mergeCell ref="D26:E26"/>
    <mergeCell ref="F34:G34"/>
    <mergeCell ref="C42:E42"/>
    <mergeCell ref="C57:D57"/>
    <mergeCell ref="C47:D47"/>
    <mergeCell ref="C37:E37"/>
    <mergeCell ref="C46:D46"/>
    <mergeCell ref="C38:E38"/>
    <mergeCell ref="C39:E39"/>
    <mergeCell ref="C40:E40"/>
    <mergeCell ref="C49:D49"/>
    <mergeCell ref="C56:D56"/>
    <mergeCell ref="C55:D55"/>
    <mergeCell ref="C63:E63"/>
    <mergeCell ref="K1:L1"/>
    <mergeCell ref="N1:O1"/>
    <mergeCell ref="C41:E41"/>
    <mergeCell ref="H6:I6"/>
    <mergeCell ref="N6:O6"/>
    <mergeCell ref="C16:F16"/>
    <mergeCell ref="K6:L6"/>
    <mergeCell ref="C17:F17"/>
    <mergeCell ref="C19:F19"/>
    <mergeCell ref="E22:G22"/>
    <mergeCell ref="C36:E36"/>
    <mergeCell ref="F23:G23"/>
    <mergeCell ref="D25:E25"/>
    <mergeCell ref="E10:F10"/>
    <mergeCell ref="K2:P2"/>
    <mergeCell ref="C14:F14"/>
    <mergeCell ref="C15:F15"/>
    <mergeCell ref="C51:D51"/>
    <mergeCell ref="E4:I4"/>
    <mergeCell ref="N3:O4"/>
    <mergeCell ref="J3:L3"/>
    <mergeCell ref="J4:L4"/>
    <mergeCell ref="C20:F20"/>
    <mergeCell ref="C21:F21"/>
    <mergeCell ref="C48:D48"/>
    <mergeCell ref="B3:H3"/>
    <mergeCell ref="C68:E68"/>
    <mergeCell ref="C73:E73"/>
    <mergeCell ref="C50:D50"/>
    <mergeCell ref="C53:D53"/>
    <mergeCell ref="C64:E64"/>
    <mergeCell ref="C62:E62"/>
    <mergeCell ref="C52:D52"/>
    <mergeCell ref="C54:D54"/>
  </mergeCells>
  <dataValidations count="5">
    <dataValidation type="whole" allowBlank="1" showInputMessage="1" showErrorMessage="1" errorTitle="Anteil Erntegut" error="Prozentwert darf nur zwischen 0 und 100 liegen." sqref="O68 L68 I68" xr:uid="{00000000-0002-0000-3F00-000000000000}">
      <formula1>0</formula1>
      <formula2>100</formula2>
    </dataValidation>
    <dataValidation type="decimal" allowBlank="1" showInputMessage="1" showErrorMessage="1" errorTitle="Wassergehalt Getreide" error="Zulässig sind nur Werte zwischen 15,1 und 29,9 % Wassergehalt." sqref="H68 K68 N68" xr:uid="{00000000-0002-0000-3F00-000001000000}">
      <formula1>15.1</formula1>
      <formula2>29.9</formula2>
    </dataValidation>
    <dataValidation type="list" showInputMessage="1" showErrorMessage="1" sqref="H14:H15 K14:K15 N14:N15" xr:uid="{00000000-0002-0000-3F00-000002000000}">
      <formula1>"ja,nein"</formula1>
    </dataValidation>
    <dataValidation type="list" allowBlank="1" showInputMessage="1" showErrorMessage="1" sqref="K16:K17 H16:H17 N16:N17" xr:uid="{00000000-0002-0000-3F00-000003000000}">
      <formula1>"ja,nein"</formula1>
    </dataValidation>
    <dataValidation type="list" allowBlank="1" showInputMessage="1" showErrorMessage="1" sqref="D19:F19" xr:uid="{00000000-0002-0000-3F00-000004000000}">
      <formula1>$C$60:$C$75</formula1>
    </dataValidation>
  </dataValidations>
  <hyperlinks>
    <hyperlink ref="F9" location="SDÖ1!A1" display="Preis ändern" xr:uid="{00000000-0004-0000-3F00-000000000000}"/>
  </hyperlinks>
  <printOptions horizontalCentered="1"/>
  <pageMargins left="0.59055118110236227" right="0.57999999999999996" top="0.59055118110236227" bottom="0.59055118110236227" header="0.39370078740157483" footer="0.39370078740157483"/>
  <pageSetup paperSize="9" scale="70" firstPageNumber="18" orientation="portrait" r:id="rId4"/>
  <headerFooter alignWithMargins="0">
    <oddFooter>&amp;L&amp;11LEL Schwäbisch Gmünd&amp;C22&amp;R&amp;11&amp;F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70671" r:id="rId7" name="Check Box 15">
              <controlPr defaultSize="0" autoFill="0" autoLine="0" autoPict="0">
                <anchor moveWithCells="1">
                  <from>
                    <xdr:col>12</xdr:col>
                    <xdr:colOff>137160</xdr:colOff>
                    <xdr:row>3</xdr:row>
                    <xdr:rowOff>7620</xdr:rowOff>
                  </from>
                  <to>
                    <xdr:col>12</xdr:col>
                    <xdr:colOff>403860</xdr:colOff>
                    <xdr:row>3</xdr:row>
                    <xdr:rowOff>236220</xdr:rowOff>
                  </to>
                </anchor>
              </controlPr>
            </control>
          </mc:Choice>
        </mc:AlternateContent>
        <mc:AlternateContent xmlns:mc="http://schemas.openxmlformats.org/markup-compatibility/2006">
          <mc:Choice Requires="x14">
            <control shapeId="70672" r:id="rId8" name="Check Box 16">
              <controlPr defaultSize="0" autoFill="0" autoLine="0" autoPict="0">
                <anchor moveWithCells="1">
                  <from>
                    <xdr:col>12</xdr:col>
                    <xdr:colOff>144780</xdr:colOff>
                    <xdr:row>2</xdr:row>
                    <xdr:rowOff>45720</xdr:rowOff>
                  </from>
                  <to>
                    <xdr:col>12</xdr:col>
                    <xdr:colOff>426720</xdr:colOff>
                    <xdr:row>2</xdr:row>
                    <xdr:rowOff>289560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errorTitle="Verfahrensabh. Ausgleichsleist." error="Bitte aus Dropdownliste auswählen." xr:uid="{00000000-0002-0000-3F00-000005000000}">
          <x14:formula1>
            <xm:f>'SD2'!$C$11:$C$50</xm:f>
          </x14:formula1>
          <xm:sqref>C14:F17</xm:sqref>
        </x14:dataValidation>
        <x14:dataValidation type="list" allowBlank="1" showInputMessage="1" showErrorMessage="1" xr:uid="{00000000-0002-0000-3F00-000006000000}">
          <x14:formula1>
            <xm:f>'SD2'!$C$60:$C$77</xm:f>
          </x14:formula1>
          <xm:sqref>C19:C21</xm:sqref>
        </x14:dataValidation>
        <x14:dataValidation type="list" allowBlank="1" showInputMessage="1" showErrorMessage="1" errorTitle="Arbeitsgänge" error="Bitte aus Dropdownliste auswählen." xr:uid="{00000000-0002-0000-3F00-000007000000}">
          <x14:formula1>
            <xm:f>'SD3'!$C$23:$C$75</xm:f>
          </x14:formula1>
          <xm:sqref>C46:D57</xm:sqref>
        </x14:dataValidation>
        <x14:dataValidation type="list" allowBlank="1" showInputMessage="1" showErrorMessage="1" xr:uid="{00000000-0002-0000-3F00-000008000000}">
          <x14:formula1>
            <xm:f>SDÖ5!$C$5:$C$16</xm:f>
          </x14:formula1>
          <xm:sqref>C37:E42</xm:sqref>
        </x14:dataValidation>
        <x14:dataValidation type="list" allowBlank="1" showInputMessage="1" showErrorMessage="1" xr:uid="{00000000-0002-0000-3F00-000009000000}">
          <x14:formula1>
            <xm:f>SDÖ5!$C$6:$C$16</xm:f>
          </x14:formula1>
          <xm:sqref>C36:E36</xm:sqref>
        </x14:dataValidation>
        <x14:dataValidation type="list" allowBlank="1" showInputMessage="1" showErrorMessage="1" errorTitle="Lohnmaschinen" error="Bitte aus Dropdownliste auswählen." xr:uid="{00000000-0002-0000-3F00-00000A000000}">
          <x14:formula1>
            <xm:f>'SD3'!$C$90:$C$104</xm:f>
          </x14:formula1>
          <xm:sqref>C62:E64</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abelle79">
    <tabColor rgb="FFFFFF00"/>
    <pageSetUpPr fitToPage="1"/>
  </sheetPr>
  <dimension ref="A1:AO212"/>
  <sheetViews>
    <sheetView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35.8984375" style="28" hidden="1" customWidth="1"/>
    <col min="18" max="18" width="12" style="27" hidden="1" customWidth="1"/>
    <col min="19" max="21" width="10.5" style="27" hidden="1" customWidth="1"/>
    <col min="22" max="22" width="12.8984375" style="27" hidden="1" customWidth="1"/>
    <col min="23" max="26" width="10.5" style="27" hidden="1" customWidth="1"/>
    <col min="27" max="31" width="10.5" style="27" customWidth="1"/>
    <col min="32" max="32" width="14.3984375" style="27" customWidth="1"/>
    <col min="33" max="16384" width="10.5" style="27"/>
  </cols>
  <sheetData>
    <row r="1" spans="1:41" s="219" customFormat="1" ht="30.15" customHeight="1">
      <c r="A1" s="1681"/>
      <c r="B1" s="258"/>
      <c r="C1" s="1333"/>
      <c r="D1" s="100"/>
      <c r="E1" s="255"/>
      <c r="F1" s="255"/>
      <c r="G1" s="3207"/>
      <c r="H1" s="3207"/>
      <c r="I1" s="3208" t="s">
        <v>1679</v>
      </c>
      <c r="J1" s="3210">
        <f>(J7+J13+J18+J22)-(J23+J27+J34+J43+J60+J65+J67+J69+J71+J75)</f>
        <v>390.9845384979667</v>
      </c>
      <c r="K1" s="4360">
        <f>M1-J1</f>
        <v>206.57698394258887</v>
      </c>
      <c r="L1" s="4360"/>
      <c r="M1" s="3210">
        <f>(M7+M13+M18+M22)-(M23+M27+M34+M43+M60+M65+M67+M69+M71+M75)</f>
        <v>597.56152244055556</v>
      </c>
      <c r="N1" s="4360">
        <f>P1-M1</f>
        <v>592.5423737330982</v>
      </c>
      <c r="O1" s="4360"/>
      <c r="P1" s="3210">
        <f>(P7+P13+P18+P22)-(P23+P27+P34+P43+P60+P65+P67+P69+P71+P75)</f>
        <v>1190.1038961736538</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1386</v>
      </c>
      <c r="L2" s="4372"/>
      <c r="M2" s="4372"/>
      <c r="N2" s="4372"/>
      <c r="O2" s="4372"/>
      <c r="P2" s="4372"/>
      <c r="Q2" s="1681"/>
    </row>
    <row r="3" spans="1:41" s="219" customFormat="1" ht="32.4" customHeight="1">
      <c r="A3" s="1681"/>
      <c r="B3" s="4405" t="s">
        <v>1727</v>
      </c>
      <c r="C3" s="4405"/>
      <c r="D3" s="4405"/>
      <c r="E3" s="4405"/>
      <c r="F3" s="4405"/>
      <c r="G3" s="4405"/>
      <c r="H3" s="4405"/>
      <c r="J3" s="4465" t="s">
        <v>886</v>
      </c>
      <c r="K3" s="4466"/>
      <c r="L3" s="4466"/>
      <c r="M3" s="1689"/>
      <c r="N3" s="4444" t="str">
        <f>IF(AND(T3=TRUE,T4=TRUE),"nur 1 Strohnutzung möglich !","")</f>
        <v/>
      </c>
      <c r="O3" s="4374"/>
      <c r="P3" s="1326"/>
      <c r="R3" s="1325"/>
      <c r="S3" s="225" t="s">
        <v>885</v>
      </c>
      <c r="T3" s="1324" t="b">
        <v>1</v>
      </c>
    </row>
    <row r="4" spans="1:41" s="219" customFormat="1" ht="20.25" customHeight="1">
      <c r="A4" s="1681"/>
      <c r="B4" s="309" t="s">
        <v>779</v>
      </c>
      <c r="C4" s="27"/>
      <c r="D4" s="27"/>
      <c r="E4" s="4463" t="s">
        <v>890</v>
      </c>
      <c r="F4" s="4464"/>
      <c r="G4" s="4464"/>
      <c r="H4" s="4464"/>
      <c r="I4" s="4464"/>
      <c r="J4" s="4465" t="s">
        <v>875</v>
      </c>
      <c r="K4" s="4466"/>
      <c r="L4" s="4466"/>
      <c r="M4" s="1688"/>
      <c r="N4" s="4374"/>
      <c r="O4" s="4374"/>
      <c r="P4" s="1322">
        <f>SDÖ1!O3</f>
        <v>2024</v>
      </c>
      <c r="R4" s="1320"/>
      <c r="S4" s="222" t="s">
        <v>884</v>
      </c>
      <c r="T4" s="1319" t="b">
        <v>0</v>
      </c>
    </row>
    <row r="5" spans="1:41" ht="6" customHeight="1"/>
    <row r="6" spans="1:41" s="1311" customFormat="1" ht="24" customHeight="1">
      <c r="A6" s="41"/>
      <c r="B6" s="1316" t="s">
        <v>832</v>
      </c>
      <c r="C6" s="1315"/>
      <c r="D6" s="1315"/>
      <c r="E6" s="1315"/>
      <c r="F6" s="1315"/>
      <c r="G6" s="1314" t="s">
        <v>1141</v>
      </c>
      <c r="H6" s="4366" t="s">
        <v>171</v>
      </c>
      <c r="I6" s="4367"/>
      <c r="J6" s="1313">
        <v>30</v>
      </c>
      <c r="K6" s="4379" t="s">
        <v>144</v>
      </c>
      <c r="L6" s="4380"/>
      <c r="M6" s="1313">
        <v>40</v>
      </c>
      <c r="N6" s="4366" t="s">
        <v>170</v>
      </c>
      <c r="O6" s="4367"/>
      <c r="P6" s="1312">
        <v>69</v>
      </c>
    </row>
    <row r="7" spans="1:41" s="196" customFormat="1" ht="18.75" customHeight="1">
      <c r="A7" s="40"/>
      <c r="B7" s="245" t="s">
        <v>1133</v>
      </c>
      <c r="C7" s="40"/>
      <c r="D7" s="40"/>
      <c r="E7" s="40"/>
      <c r="F7" s="40"/>
      <c r="G7" s="1310" t="s">
        <v>163</v>
      </c>
      <c r="H7" s="1307"/>
      <c r="I7" s="1306"/>
      <c r="J7" s="1041">
        <f>SUM(I9:I12)</f>
        <v>1190.7</v>
      </c>
      <c r="K7" s="1309"/>
      <c r="L7" s="1308"/>
      <c r="M7" s="1044">
        <f>SUM(L9:L12)</f>
        <v>1587.6</v>
      </c>
      <c r="N7" s="1307"/>
      <c r="O7" s="1306"/>
      <c r="P7" s="1041">
        <f>SUM(O9:O12)</f>
        <v>2738.61</v>
      </c>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t="s">
        <v>882</v>
      </c>
      <c r="G9" s="1221">
        <f>SDÖ1!O16</f>
        <v>30.09</v>
      </c>
      <c r="H9" s="1303">
        <f>J6-H10</f>
        <v>30</v>
      </c>
      <c r="I9" s="1299">
        <f>H9*G9</f>
        <v>902.7</v>
      </c>
      <c r="J9" s="37"/>
      <c r="K9" s="1302">
        <f>M6-K10</f>
        <v>40</v>
      </c>
      <c r="L9" s="1301">
        <f>K9*G9</f>
        <v>1203.5999999999999</v>
      </c>
      <c r="M9" s="1280"/>
      <c r="N9" s="1300">
        <f>P6-N10</f>
        <v>69</v>
      </c>
      <c r="O9" s="1299">
        <f>N9*G9</f>
        <v>2076.21</v>
      </c>
      <c r="P9" s="37"/>
      <c r="Q9" s="28"/>
      <c r="R9" s="517"/>
      <c r="S9" s="1306" t="s">
        <v>881</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686">
        <f>I10+I11+I12</f>
        <v>288</v>
      </c>
      <c r="S10" s="1685">
        <f>L10+L11+L12</f>
        <v>384</v>
      </c>
      <c r="T10" s="1684">
        <f>O10+O11+O12</f>
        <v>662.40000000000009</v>
      </c>
      <c r="W10" s="196" t="s">
        <v>879</v>
      </c>
    </row>
    <row r="11" spans="1:41" s="1268" customFormat="1" ht="15" customHeight="1">
      <c r="A11" s="309"/>
      <c r="B11" s="3147"/>
      <c r="C11" s="1006" t="s">
        <v>878</v>
      </c>
      <c r="D11" s="3148"/>
      <c r="E11" s="3149">
        <v>0.8</v>
      </c>
      <c r="F11" s="1006" t="s">
        <v>877</v>
      </c>
      <c r="G11" s="3150">
        <f>SDÖ1!$O$52</f>
        <v>12</v>
      </c>
      <c r="H11" s="3151">
        <f>IF(OR($T$3,$T$4)=TRUE,J6*$E$11,0)</f>
        <v>24</v>
      </c>
      <c r="I11" s="3152">
        <f>H11*$G$11</f>
        <v>288</v>
      </c>
      <c r="J11" s="3153"/>
      <c r="K11" s="3154">
        <f>IF(OR($T$3,$T$4)=TRUE,M6*$E$11,0)</f>
        <v>32</v>
      </c>
      <c r="L11" s="3155">
        <f>K11*$G$11</f>
        <v>384</v>
      </c>
      <c r="M11" s="3156"/>
      <c r="N11" s="3157">
        <f>IF(OR($T$3,$T$4)=TRUE,P6*$E$11,0)</f>
        <v>55.2</v>
      </c>
      <c r="O11" s="3152">
        <f>N11*$G$11</f>
        <v>662.40000000000009</v>
      </c>
      <c r="P11" s="3158"/>
      <c r="Q11" s="34"/>
      <c r="U11" s="1268">
        <f>O6*$E$11</f>
        <v>0</v>
      </c>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f>IF(OR(T3=TRUE,T4=TRUE),J6*$E$11,"0")</f>
        <v>24</v>
      </c>
      <c r="Y12" s="1265">
        <f>IF(OR(T3=TRUE,T4=TRUE),M6*$E$11,"0")</f>
        <v>32</v>
      </c>
      <c r="Z12" s="1264">
        <f>IF(OR(T3=TRUE,T4=TRUE),P6*$E$11,"0")</f>
        <v>55.2</v>
      </c>
    </row>
    <row r="13" spans="1:41" s="196" customFormat="1" ht="18.600000000000001"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W13" s="36" t="s">
        <v>236</v>
      </c>
      <c r="X13" s="1260">
        <f>$X$12*F30</f>
        <v>9.5999999999999979</v>
      </c>
      <c r="Y13" s="1260">
        <f>$Y$12*F30</f>
        <v>12.799999999999997</v>
      </c>
      <c r="Z13" s="1260">
        <f>$Z$12*F30</f>
        <v>22.079999999999995</v>
      </c>
    </row>
    <row r="14" spans="1:41" s="36" customFormat="1" ht="15" customHeight="1">
      <c r="A14" s="39"/>
      <c r="B14" s="1247"/>
      <c r="C14" s="4365" t="s">
        <v>1511</v>
      </c>
      <c r="D14" s="4365"/>
      <c r="E14" s="4365"/>
      <c r="F14" s="4365"/>
      <c r="G14" s="1263"/>
      <c r="H14" s="1391" t="s">
        <v>919</v>
      </c>
      <c r="I14" s="2827">
        <f>IF(H14="ja",Q14,0)</f>
        <v>240</v>
      </c>
      <c r="J14" s="39"/>
      <c r="K14" s="1262" t="s">
        <v>919</v>
      </c>
      <c r="L14" s="1098">
        <f>IF(K14="ja",Q14,0)</f>
        <v>240</v>
      </c>
      <c r="M14" s="1016"/>
      <c r="N14" s="1262" t="s">
        <v>919</v>
      </c>
      <c r="O14" s="2827">
        <f>IF(N14="ja",Q14,0)</f>
        <v>240</v>
      </c>
      <c r="P14" s="2826"/>
      <c r="Q14" s="1261">
        <f>IF(C14=0,0,VLOOKUP(C14,'SD2'!$C$11:$O$50,'SD2'!$O$1,FALSE))</f>
        <v>240</v>
      </c>
      <c r="R14" s="1350"/>
      <c r="S14" s="1349"/>
      <c r="T14" s="1348"/>
      <c r="W14" s="36" t="s">
        <v>685</v>
      </c>
      <c r="X14" s="1260">
        <f>$X$12*F31</f>
        <v>5.76</v>
      </c>
      <c r="Y14" s="1260">
        <f>$Y$12*F31</f>
        <v>7.68</v>
      </c>
      <c r="Z14" s="1260">
        <f>$Z$12*F31</f>
        <v>13.247999999999999</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347"/>
      <c r="S15" s="1343"/>
      <c r="T15" s="1346"/>
      <c r="W15" s="36" t="s">
        <v>684</v>
      </c>
      <c r="X15" s="1260">
        <f>$X$12*F32</f>
        <v>26.880000000000003</v>
      </c>
      <c r="Y15" s="1260">
        <f>$Y$12*F32</f>
        <v>35.840000000000003</v>
      </c>
      <c r="Z15" s="1260">
        <f>$Z$12*F32</f>
        <v>61.824000000000012</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347"/>
      <c r="S16" s="1343"/>
      <c r="T16" s="1346"/>
      <c r="W16" s="36" t="s">
        <v>230</v>
      </c>
      <c r="X16" s="1260">
        <f>$X$12*F33</f>
        <v>3.8399999999999994</v>
      </c>
      <c r="Y16" s="1260">
        <f>$Y$12*F33</f>
        <v>5.1199999999999992</v>
      </c>
      <c r="Z16" s="1260">
        <f>$Z$12*F33</f>
        <v>8.831999999999999</v>
      </c>
    </row>
    <row r="17" spans="1:33" s="511" customFormat="1" ht="15" customHeight="1">
      <c r="A17" s="40"/>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row>
    <row r="18" spans="1:33" s="36" customFormat="1" ht="18.75" customHeight="1">
      <c r="A18" s="39"/>
      <c r="B18" s="209" t="s">
        <v>1563</v>
      </c>
      <c r="C18" s="1672"/>
      <c r="D18" s="1672"/>
      <c r="E18" s="1672"/>
      <c r="F18" s="1672"/>
      <c r="G18" s="2464"/>
      <c r="H18" s="2249"/>
      <c r="I18" s="3474"/>
      <c r="J18" s="1041">
        <f>SUM(I19:I21)</f>
        <v>177</v>
      </c>
      <c r="K18" s="2250"/>
      <c r="L18" s="2466"/>
      <c r="M18" s="1044">
        <f>SUM(L19:L21)</f>
        <v>177</v>
      </c>
      <c r="N18" s="2249"/>
      <c r="O18" s="3474"/>
      <c r="P18" s="1111">
        <f>SUM(O19:O21)</f>
        <v>177</v>
      </c>
      <c r="Q18" s="28">
        <v>0</v>
      </c>
      <c r="R18" s="514" t="s">
        <v>870</v>
      </c>
      <c r="S18" s="308"/>
      <c r="T18" s="1248"/>
    </row>
    <row r="19" spans="1:33" ht="15.6" customHeight="1">
      <c r="A19" s="309"/>
      <c r="B19" s="1247"/>
      <c r="C19" s="4365" t="s">
        <v>1560</v>
      </c>
      <c r="D19" s="4365"/>
      <c r="E19" s="4365"/>
      <c r="F19" s="4365"/>
      <c r="G19" s="2914" t="s">
        <v>163</v>
      </c>
      <c r="H19" s="1244"/>
      <c r="I19" s="2827">
        <f>IF(OR($C19=0,$J$6=0),0,VLOOKUP($C19,'SD2'!C60:O78,12,FALSE))</f>
        <v>155</v>
      </c>
      <c r="J19" s="39"/>
      <c r="K19" s="1245"/>
      <c r="L19" s="1098">
        <f>IF(OR($C19=0,$M$6=0),0,VLOOKUP($C19,'SD2'!$C$60:$O$78,12,FALSE))</f>
        <v>155</v>
      </c>
      <c r="M19" s="1016"/>
      <c r="N19" s="1244"/>
      <c r="O19" s="2827">
        <f>IF(OR($C19=0,$P$6=0),0,VLOOKUP($C19,'SD2'!C60:O78,12,FALSE))</f>
        <v>155</v>
      </c>
      <c r="P19" s="3374"/>
      <c r="R19" s="1242">
        <f>J13+J18</f>
        <v>417</v>
      </c>
      <c r="S19" s="1242">
        <f>M13+M18</f>
        <v>417</v>
      </c>
      <c r="T19" s="1242">
        <f>P13+P18</f>
        <v>417</v>
      </c>
      <c r="AF19" s="36"/>
      <c r="AG19" s="36"/>
    </row>
    <row r="20" spans="1:33" s="2894" customFormat="1" ht="15.6" customHeight="1">
      <c r="A20" s="2788"/>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3374"/>
      <c r="Q20" s="2895"/>
      <c r="R20" s="2888"/>
      <c r="S20" s="2888"/>
      <c r="T20" s="2888"/>
      <c r="AF20" s="36"/>
      <c r="AG20" s="36"/>
    </row>
    <row r="21" spans="1:33" s="2894" customFormat="1" ht="15.6" customHeight="1">
      <c r="A21" s="2788"/>
      <c r="B21" s="1247"/>
      <c r="C21" s="4365"/>
      <c r="D21" s="4365"/>
      <c r="E21" s="4365"/>
      <c r="F21" s="4365"/>
      <c r="G21" s="2914"/>
      <c r="H21" s="1244"/>
      <c r="I21" s="2827">
        <f>IF(OR($C21=0,$J$6=0),0,VLOOKUP($C21,'SD2'!C62:O79,12,FALSE))</f>
        <v>0</v>
      </c>
      <c r="J21" s="2783"/>
      <c r="K21" s="1245"/>
      <c r="L21" s="2829">
        <f>IF(OR($C21=0,$M$6=0),0,VLOOKUP($C21,'SD2'!$C$60:$O$78,12,FALSE))</f>
        <v>0</v>
      </c>
      <c r="M21" s="2795"/>
      <c r="N21" s="1244"/>
      <c r="O21" s="2827">
        <f>IF(OR($C21=0,$P$6=0),0,VLOOKUP($C21,'SD2'!C62:O79,12,FALSE))</f>
        <v>0</v>
      </c>
      <c r="P21" s="3475"/>
      <c r="Q21" s="2895"/>
      <c r="R21" s="2888"/>
      <c r="S21" s="2888"/>
      <c r="T21" s="2888"/>
      <c r="AF21" s="36"/>
      <c r="AG21" s="36"/>
    </row>
    <row r="22" spans="1:33" ht="15.6" customHeight="1">
      <c r="A22" s="309"/>
      <c r="B22" s="245" t="s">
        <v>869</v>
      </c>
      <c r="C22" s="39"/>
      <c r="D22" s="1234"/>
      <c r="E22" s="4370" t="s">
        <v>868</v>
      </c>
      <c r="F22" s="4370"/>
      <c r="G22" s="4371"/>
      <c r="H22" s="1231"/>
      <c r="I22" s="1230"/>
      <c r="J22" s="1229"/>
      <c r="K22" s="1233"/>
      <c r="L22" s="1232"/>
      <c r="M22" s="1229"/>
      <c r="N22" s="1231"/>
      <c r="O22" s="1230"/>
      <c r="P22" s="1229"/>
    </row>
    <row r="23" spans="1:33" s="36" customFormat="1" ht="18.75" customHeight="1">
      <c r="A23" s="746"/>
      <c r="B23" s="209" t="s">
        <v>214</v>
      </c>
      <c r="C23" s="1228"/>
      <c r="D23" s="1228"/>
      <c r="E23" s="34"/>
      <c r="F23" s="4381"/>
      <c r="G23" s="4382" t="s">
        <v>163</v>
      </c>
      <c r="H23" s="1043"/>
      <c r="I23" s="1042"/>
      <c r="J23" s="1026">
        <f>SUM(I25:I26)</f>
        <v>216</v>
      </c>
      <c r="K23" s="1046"/>
      <c r="L23" s="1045"/>
      <c r="M23" s="1227">
        <f>SUM(L25:L26)</f>
        <v>216</v>
      </c>
      <c r="N23" s="1043"/>
      <c r="O23" s="1042"/>
      <c r="P23" s="1026">
        <f>SUM(O25:O26)</f>
        <v>216</v>
      </c>
      <c r="Q23" s="28"/>
      <c r="R23" s="36" t="s">
        <v>1140</v>
      </c>
    </row>
    <row r="24" spans="1:33"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33" s="511" customFormat="1" ht="18.75" customHeight="1">
      <c r="A25" s="711"/>
      <c r="B25" s="1223"/>
      <c r="C25" s="746" t="s">
        <v>866</v>
      </c>
      <c r="D25" s="4383"/>
      <c r="E25" s="4384"/>
      <c r="F25" s="1222">
        <f>SDÖ7!F11/100</f>
        <v>1.08</v>
      </c>
      <c r="G25" s="1221">
        <f>F25*(100+$D$24)/100</f>
        <v>1.08</v>
      </c>
      <c r="H25" s="1220">
        <v>200</v>
      </c>
      <c r="I25" s="1181">
        <f>H25*$G25</f>
        <v>216</v>
      </c>
      <c r="J25" s="39"/>
      <c r="K25" s="1220">
        <f>H25</f>
        <v>200</v>
      </c>
      <c r="L25" s="1023">
        <f>K25*$G25</f>
        <v>216</v>
      </c>
      <c r="M25" s="1016"/>
      <c r="N25" s="1220">
        <f>H25</f>
        <v>200</v>
      </c>
      <c r="O25" s="1181">
        <f>N25*$G25</f>
        <v>216</v>
      </c>
      <c r="P25" s="1145"/>
      <c r="Q25" s="28"/>
    </row>
    <row r="26" spans="1:33"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33" s="511" customFormat="1" ht="17.399999999999999" customHeight="1">
      <c r="A27" s="711"/>
      <c r="B27" s="1215" t="s">
        <v>213</v>
      </c>
      <c r="C27" s="711"/>
      <c r="D27" s="51"/>
      <c r="E27" s="34"/>
      <c r="F27" s="34"/>
      <c r="G27" s="1214" t="s">
        <v>163</v>
      </c>
      <c r="H27" s="1173"/>
      <c r="I27" s="1172"/>
      <c r="J27" s="1041">
        <f>SUM(I30:I32)</f>
        <v>531.88359999999989</v>
      </c>
      <c r="K27" s="1175"/>
      <c r="L27" s="1174"/>
      <c r="M27" s="1044">
        <f>SUM(L30:L32)</f>
        <v>674.64480000000003</v>
      </c>
      <c r="N27" s="1173"/>
      <c r="O27" s="1172"/>
      <c r="P27" s="1041">
        <f>SUM(O30:O32)</f>
        <v>1088.6522799999998</v>
      </c>
      <c r="Q27" s="28"/>
    </row>
    <row r="28" spans="1:33" s="36" customFormat="1" ht="15" customHeight="1">
      <c r="A28" s="746"/>
      <c r="B28" s="774"/>
      <c r="C28" s="2238"/>
      <c r="D28" s="1213" t="s">
        <v>706</v>
      </c>
      <c r="E28" s="1213" t="s">
        <v>864</v>
      </c>
      <c r="F28" s="1213" t="s">
        <v>864</v>
      </c>
      <c r="G28" s="1212" t="s">
        <v>863</v>
      </c>
      <c r="H28" s="1172"/>
      <c r="I28" s="1209"/>
      <c r="J28" s="2239"/>
      <c r="K28" s="1175"/>
      <c r="L28" s="1105"/>
      <c r="M28" s="1210"/>
      <c r="N28" s="1173"/>
      <c r="O28" s="1209"/>
      <c r="P28" s="1026"/>
      <c r="Q28" s="28"/>
    </row>
    <row r="29" spans="1:33" s="36" customFormat="1" ht="15" customHeight="1">
      <c r="A29" s="746"/>
      <c r="B29" s="1208"/>
      <c r="C29" s="747" t="s">
        <v>862</v>
      </c>
      <c r="D29" s="1034" t="s">
        <v>611</v>
      </c>
      <c r="E29" s="1034" t="s">
        <v>861</v>
      </c>
      <c r="F29" s="1034" t="s">
        <v>860</v>
      </c>
      <c r="G29" s="1034" t="s">
        <v>1128</v>
      </c>
      <c r="H29" s="1205" t="s">
        <v>612</v>
      </c>
      <c r="I29" s="1027" t="s">
        <v>163</v>
      </c>
      <c r="J29" s="2238"/>
      <c r="K29" s="1207" t="s">
        <v>612</v>
      </c>
      <c r="L29" s="1030" t="s">
        <v>163</v>
      </c>
      <c r="M29" s="1206"/>
      <c r="N29" s="1205" t="s">
        <v>612</v>
      </c>
      <c r="O29" s="1027" t="s">
        <v>163</v>
      </c>
      <c r="P29" s="1204"/>
      <c r="Q29" s="28"/>
    </row>
    <row r="30" spans="1:33" s="36" customFormat="1" ht="15" customHeight="1">
      <c r="A30" s="746"/>
      <c r="B30" s="1203"/>
      <c r="C30" s="1202" t="s">
        <v>236</v>
      </c>
      <c r="D30" s="1150">
        <f>SDÖ1!O56</f>
        <v>5.18</v>
      </c>
      <c r="E30" s="1201">
        <v>1.65</v>
      </c>
      <c r="F30" s="1201">
        <f>VLOOKUP('SD8'!$B$10,'SD8'!$B$9:$L$42,7,FALSE)</f>
        <v>0.39999999999999991</v>
      </c>
      <c r="G30" s="1200">
        <v>20</v>
      </c>
      <c r="H30" s="1198">
        <f>IF(J$6=0,0,(J$6*$E30+$G30+X13))</f>
        <v>79.099999999999994</v>
      </c>
      <c r="I30" s="1181">
        <f>H30*$D30</f>
        <v>409.73799999999994</v>
      </c>
      <c r="J30" s="39"/>
      <c r="K30" s="1199">
        <f>IF(M$6=0,0,(M$6*$E30+$G30+Y13))</f>
        <v>98.8</v>
      </c>
      <c r="L30" s="1023">
        <f>K30*$D30</f>
        <v>511.78399999999993</v>
      </c>
      <c r="M30" s="1016"/>
      <c r="N30" s="1198">
        <f>IF(P$6=0,0,(P$6*$E30+$G30+Z13))</f>
        <v>155.92999999999998</v>
      </c>
      <c r="O30" s="1181">
        <f>N30*$D30</f>
        <v>807.71739999999988</v>
      </c>
      <c r="P30" s="1145"/>
      <c r="Q30" s="28"/>
    </row>
    <row r="31" spans="1:33" s="36" customFormat="1" ht="15" customHeight="1">
      <c r="A31" s="746"/>
      <c r="B31" s="217"/>
      <c r="C31" s="746" t="s">
        <v>234</v>
      </c>
      <c r="D31" s="1150">
        <f>SDÖ1!O57</f>
        <v>1.42</v>
      </c>
      <c r="E31" s="1201">
        <f>VLOOKUP('SD8'!B10,'SD8'!$B$9:$K$44,4,FALSE)</f>
        <v>0.8</v>
      </c>
      <c r="F31" s="1201">
        <f>VLOOKUP('SD8'!$B$10,'SD8'!$B$9:$L$42,8,FALSE)</f>
        <v>0.24</v>
      </c>
      <c r="G31" s="1200"/>
      <c r="H31" s="1198">
        <f>IF(J$6=0,0,(J$6*$E31+$G31+X14))</f>
        <v>29.759999999999998</v>
      </c>
      <c r="I31" s="1181">
        <f>H31*$D31</f>
        <v>42.259199999999993</v>
      </c>
      <c r="J31" s="39"/>
      <c r="K31" s="1199">
        <f>IF(M$6=0,0,(M$6*$E31+$G31+Y14))</f>
        <v>39.68</v>
      </c>
      <c r="L31" s="1023">
        <f>K31*$D31</f>
        <v>56.345599999999997</v>
      </c>
      <c r="M31" s="1016"/>
      <c r="N31" s="1198">
        <f>IF(P$6=0,0,(P$6*$E31+$G31+Z14))</f>
        <v>68.448000000000008</v>
      </c>
      <c r="O31" s="1181">
        <f>N31*$D31</f>
        <v>97.196160000000006</v>
      </c>
      <c r="P31" s="1145"/>
      <c r="Q31" s="28"/>
    </row>
    <row r="32" spans="1:33" s="511" customFormat="1" ht="18.75" customHeight="1">
      <c r="A32" s="711"/>
      <c r="B32" s="185"/>
      <c r="C32" s="2791" t="s">
        <v>232</v>
      </c>
      <c r="D32" s="1133">
        <f>SDÖ1!O58</f>
        <v>1.78</v>
      </c>
      <c r="E32" s="1197">
        <f>VLOOKUP('SD8'!B10,'SD8'!$B$9:$K$44,5,FALSE)</f>
        <v>0.6</v>
      </c>
      <c r="F32" s="1197">
        <f>VLOOKUP('SD8'!$B$10,'SD8'!$B$9:$L$42,9,FALSE)</f>
        <v>1.1200000000000001</v>
      </c>
      <c r="G32" s="1196"/>
      <c r="H32" s="1194">
        <f>IF(J$6=0,0,(J$6*$E32+$G32+X15))</f>
        <v>44.88</v>
      </c>
      <c r="I32" s="1177">
        <f>H32*$D32</f>
        <v>79.886400000000009</v>
      </c>
      <c r="J32" s="223"/>
      <c r="K32" s="1195">
        <f>IF(M$6=0,0,(M$6*$E32+$G32+Y15))</f>
        <v>59.84</v>
      </c>
      <c r="L32" s="1017">
        <f>K32*$D32</f>
        <v>106.51520000000001</v>
      </c>
      <c r="M32" s="1256"/>
      <c r="N32" s="1194">
        <f>IF(P$6=0,0,(P$6*$E32+$G32+Z15))</f>
        <v>103.22400000000002</v>
      </c>
      <c r="O32" s="1177">
        <f>N32*$D32</f>
        <v>183.73872000000003</v>
      </c>
      <c r="P32" s="1176"/>
      <c r="Q32" s="28"/>
    </row>
    <row r="33" spans="1:17" s="511" customFormat="1" ht="13.2" hidden="1" customHeight="1">
      <c r="A33" s="711"/>
      <c r="B33" s="185"/>
      <c r="C33" s="771" t="s">
        <v>230</v>
      </c>
      <c r="D33" s="1133">
        <f>SDÖ1!P59</f>
        <v>0.5</v>
      </c>
      <c r="E33" s="2609">
        <f>VLOOKUP('SD8'!B10,'SD8'!$B$9:$K$44,6,FALSE)</f>
        <v>0.2</v>
      </c>
      <c r="F33" s="1201">
        <f>VLOOKUP('SD8'!$B$10,'SD8'!$B$9:$L$42,10,FALSE)</f>
        <v>0.15999999999999998</v>
      </c>
      <c r="G33" s="1196"/>
      <c r="H33" s="1194">
        <f>IF(J$6=0,0,(J$6*$E33+$G33+X16))</f>
        <v>9.84</v>
      </c>
      <c r="I33" s="1177">
        <f>H33*$D33</f>
        <v>4.92</v>
      </c>
      <c r="J33" s="39"/>
      <c r="K33" s="1195">
        <f>IF(M$6=0,0,(M$6*$E33+$G33+Y16))</f>
        <v>13.12</v>
      </c>
      <c r="L33" s="1017">
        <f>K33*$D33</f>
        <v>6.56</v>
      </c>
      <c r="M33" s="1016"/>
      <c r="N33" s="1194">
        <f>IF(P$6=0,0,(P$6*$E33+$G33+Z16))</f>
        <v>22.631999999999998</v>
      </c>
      <c r="O33" s="1177">
        <f>N33*$D33</f>
        <v>11.315999999999999</v>
      </c>
      <c r="P33" s="1176"/>
      <c r="Q33" s="28"/>
    </row>
    <row r="34" spans="1:17" s="36" customFormat="1" ht="15" customHeight="1">
      <c r="A34" s="746"/>
      <c r="B34" s="716" t="s">
        <v>212</v>
      </c>
      <c r="C34" s="711"/>
      <c r="D34" s="2238"/>
      <c r="E34" s="2238"/>
      <c r="F34" s="4381"/>
      <c r="G34" s="4382" t="s">
        <v>163</v>
      </c>
      <c r="H34" s="1191"/>
      <c r="I34" s="1190"/>
      <c r="J34" s="1041">
        <f>SUM(I36:I42)</f>
        <v>0</v>
      </c>
      <c r="K34" s="1193"/>
      <c r="L34" s="1192"/>
      <c r="M34" s="1044">
        <f>SUM(L36:L42)</f>
        <v>0</v>
      </c>
      <c r="N34" s="1191"/>
      <c r="O34" s="1190"/>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3744"/>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159.72434645999999</v>
      </c>
      <c r="K43" s="1175"/>
      <c r="L43" s="1174"/>
      <c r="M43" s="1044">
        <f>SUM(M46:M57)</f>
        <v>159.06593366666667</v>
      </c>
      <c r="N43" s="1173"/>
      <c r="O43" s="1172"/>
      <c r="P43" s="1041">
        <f>SUM(P46:P57)</f>
        <v>163.612101344</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7"/>
      <c r="C46" s="4363" t="s">
        <v>1589</v>
      </c>
      <c r="D46" s="4364"/>
      <c r="E46" s="1152">
        <f>IF($C46=0,0,VLOOKUP($C46,'SD3'!$C$24:$O$71,4,FALSE))</f>
        <v>120</v>
      </c>
      <c r="F46" s="1151">
        <f>IF($C46=0,0,VLOOKUP($C46,'SD3'!$C$24:$O$71,12,FALSE))</f>
        <v>1.38</v>
      </c>
      <c r="G46" s="1150">
        <f>IF($C46=0,0,VLOOKUP($C46,'SD3'!$C$24:$O$71,13,FALSE))</f>
        <v>64.642445999999993</v>
      </c>
      <c r="H46" s="1155">
        <v>1</v>
      </c>
      <c r="I46" s="1154">
        <f t="shared" ref="I46:I57" si="4">$F46*H46</f>
        <v>1.38</v>
      </c>
      <c r="J46" s="1145">
        <f t="shared" ref="J46:J57" si="5">H46*$G46</f>
        <v>64.642445999999993</v>
      </c>
      <c r="K46" s="1155">
        <v>1</v>
      </c>
      <c r="L46" s="1156">
        <f t="shared" ref="L46:L57" si="6">$F46*K46</f>
        <v>1.38</v>
      </c>
      <c r="M46" s="1148">
        <f t="shared" ref="M46:M57" si="7">K46*$G46</f>
        <v>64.642445999999993</v>
      </c>
      <c r="N46" s="1155">
        <v>1</v>
      </c>
      <c r="O46" s="1154">
        <f t="shared" ref="O46:O57" si="8">$F46*N46</f>
        <v>1.38</v>
      </c>
      <c r="P46" s="1145">
        <f t="shared" ref="P46:P57" si="9">N46*$G46</f>
        <v>64.642445999999993</v>
      </c>
      <c r="Q46" s="28"/>
    </row>
    <row r="47" spans="1:17" s="36" customFormat="1" ht="15" customHeight="1">
      <c r="A47" s="746"/>
      <c r="B47" s="1153"/>
      <c r="C47" s="4387"/>
      <c r="D47" s="4388"/>
      <c r="E47" s="1152">
        <f>IF($C47=0,0,VLOOKUP($C47,'SD3'!$C$24:$O$71,4,FALSE))</f>
        <v>0</v>
      </c>
      <c r="F47" s="1151">
        <f>IF($C47=0,0,VLOOKUP($C47,'SD3'!$C$24:$O$71,12,FALSE))</f>
        <v>0</v>
      </c>
      <c r="G47" s="1150">
        <f>IF($C47=0,0,VLOOKUP($C47,'SD3'!$C$24:$O$71,13,FALSE))</f>
        <v>0</v>
      </c>
      <c r="H47" s="1147"/>
      <c r="I47" s="1146">
        <f t="shared" si="4"/>
        <v>0</v>
      </c>
      <c r="J47" s="1145">
        <f t="shared" si="5"/>
        <v>0</v>
      </c>
      <c r="K47" s="1147"/>
      <c r="L47" s="1149">
        <f t="shared" si="6"/>
        <v>0</v>
      </c>
      <c r="M47" s="1148">
        <f t="shared" si="7"/>
        <v>0</v>
      </c>
      <c r="N47" s="1147"/>
      <c r="O47" s="1146">
        <f t="shared" si="8"/>
        <v>0</v>
      </c>
      <c r="P47" s="1145">
        <f t="shared" si="9"/>
        <v>0</v>
      </c>
      <c r="Q47" s="28"/>
    </row>
    <row r="48" spans="1:17" s="36" customFormat="1" ht="15" customHeight="1">
      <c r="A48" s="746"/>
      <c r="B48" s="1153"/>
      <c r="C48" s="4387" t="s">
        <v>354</v>
      </c>
      <c r="D48" s="4388"/>
      <c r="E48" s="1152">
        <f>IF($C48=0,0,VLOOKUP($C48,'SD3'!$C$24:$O$71,4,FALSE))</f>
        <v>120</v>
      </c>
      <c r="F48" s="1151">
        <f>IF($C48=0,0,VLOOKUP($C48,'SD3'!$C$24:$O$71,12,FALSE))</f>
        <v>0.71</v>
      </c>
      <c r="G48" s="1150">
        <f>IF($C48=0,0,VLOOKUP($C48,'SD3'!$C$24:$O$71,13,FALSE))</f>
        <v>30.659437999999998</v>
      </c>
      <c r="H48" s="1147">
        <v>1</v>
      </c>
      <c r="I48" s="1146">
        <f t="shared" si="4"/>
        <v>0.71</v>
      </c>
      <c r="J48" s="1145">
        <f t="shared" si="5"/>
        <v>30.659437999999998</v>
      </c>
      <c r="K48" s="1147">
        <v>1</v>
      </c>
      <c r="L48" s="1149">
        <f t="shared" si="6"/>
        <v>0.71</v>
      </c>
      <c r="M48" s="1148">
        <f t="shared" si="7"/>
        <v>30.659437999999998</v>
      </c>
      <c r="N48" s="1147">
        <v>1</v>
      </c>
      <c r="O48" s="1146">
        <f t="shared" si="8"/>
        <v>0.71</v>
      </c>
      <c r="P48" s="1145">
        <f t="shared" si="9"/>
        <v>30.659437999999998</v>
      </c>
      <c r="Q48" s="28"/>
    </row>
    <row r="49" spans="1:17" s="36" customFormat="1" ht="15" customHeight="1">
      <c r="A49" s="746"/>
      <c r="B49" s="1153"/>
      <c r="C49" s="4387" t="s">
        <v>339</v>
      </c>
      <c r="D49" s="4388"/>
      <c r="E49" s="1152">
        <f>IF($C49=0,0,VLOOKUP($C49,'SD3'!$C$24:$O$71,4,FALSE))</f>
        <v>83</v>
      </c>
      <c r="F49" s="1151">
        <f>IF($C49=0,0,VLOOKUP($C49,'SD3'!$C$24:$O$71,12,FALSE))</f>
        <v>0.27</v>
      </c>
      <c r="G49" s="1150">
        <f>IF($C49=0,0,VLOOKUP($C49,'SD3'!$C$24:$O$71,13,FALSE))</f>
        <v>6.9619069099999997</v>
      </c>
      <c r="H49" s="1147">
        <v>2</v>
      </c>
      <c r="I49" s="1146">
        <f t="shared" si="4"/>
        <v>0.54</v>
      </c>
      <c r="J49" s="1145">
        <f t="shared" si="5"/>
        <v>13.923813819999999</v>
      </c>
      <c r="K49" s="1147">
        <v>2</v>
      </c>
      <c r="L49" s="1149">
        <f t="shared" si="6"/>
        <v>0.54</v>
      </c>
      <c r="M49" s="1148">
        <f t="shared" si="7"/>
        <v>13.923813819999999</v>
      </c>
      <c r="N49" s="1147">
        <v>2</v>
      </c>
      <c r="O49" s="1146">
        <f t="shared" si="8"/>
        <v>0.54</v>
      </c>
      <c r="P49" s="1145">
        <f t="shared" si="9"/>
        <v>13.923813819999999</v>
      </c>
      <c r="Q49" s="28"/>
    </row>
    <row r="50" spans="1:17" s="36" customFormat="1" ht="15" customHeight="1">
      <c r="A50" s="746"/>
      <c r="B50" s="1153"/>
      <c r="C50" s="4387" t="s">
        <v>360</v>
      </c>
      <c r="D50" s="4388"/>
      <c r="E50" s="1152">
        <f>IF($C50=0,0,VLOOKUP($C50,'SD3'!$C$24:$O$71,4,FALSE))</f>
        <v>120</v>
      </c>
      <c r="F50" s="1151">
        <f>IF($C50=0,0,VLOOKUP($C50,'SD3'!$C$24:$O$71,12,FALSE))</f>
        <v>0.79</v>
      </c>
      <c r="G50" s="1150">
        <f>IF($C50=0,0,VLOOKUP($C50,'SD3'!$C$24:$O$71,13,FALSE))</f>
        <v>27.987262000000001</v>
      </c>
      <c r="H50" s="1147">
        <v>1</v>
      </c>
      <c r="I50" s="1146">
        <f t="shared" si="4"/>
        <v>0.79</v>
      </c>
      <c r="J50" s="1145">
        <f t="shared" si="5"/>
        <v>27.987262000000001</v>
      </c>
      <c r="K50" s="1147">
        <v>1</v>
      </c>
      <c r="L50" s="1149">
        <f t="shared" si="6"/>
        <v>0.79</v>
      </c>
      <c r="M50" s="1148">
        <f t="shared" si="7"/>
        <v>27.987262000000001</v>
      </c>
      <c r="N50" s="1147">
        <v>1</v>
      </c>
      <c r="O50" s="1146">
        <f t="shared" si="8"/>
        <v>0.79</v>
      </c>
      <c r="P50" s="1145">
        <f t="shared" si="9"/>
        <v>27.987262000000001</v>
      </c>
      <c r="Q50" s="28"/>
    </row>
    <row r="51" spans="1:17" s="36" customFormat="1" ht="15" customHeight="1">
      <c r="A51" s="746"/>
      <c r="B51" s="1153"/>
      <c r="C51" s="4387"/>
      <c r="D51" s="4388"/>
      <c r="E51" s="1152">
        <f>IF($C51=0,0,VLOOKUP($C51,'SD3'!$C$24:$O$71,4,FALSE))</f>
        <v>0</v>
      </c>
      <c r="F51" s="1151">
        <f>IF($C51=0,0,VLOOKUP($C51,'SD3'!$C$24:$O$71,12,FALSE))</f>
        <v>0</v>
      </c>
      <c r="G51" s="1150">
        <f>IF($C51=0,0,VLOOKUP($C51,'SD3'!$C$24:$O$71,13,FALSE))</f>
        <v>0</v>
      </c>
      <c r="H51" s="1147"/>
      <c r="I51" s="1146">
        <f t="shared" si="4"/>
        <v>0</v>
      </c>
      <c r="J51" s="1145">
        <f t="shared" si="5"/>
        <v>0</v>
      </c>
      <c r="K51" s="1147"/>
      <c r="L51" s="1149">
        <f t="shared" si="6"/>
        <v>0</v>
      </c>
      <c r="M51" s="1148">
        <f t="shared" si="7"/>
        <v>0</v>
      </c>
      <c r="N51" s="1147"/>
      <c r="O51" s="1146">
        <f t="shared" si="8"/>
        <v>0</v>
      </c>
      <c r="P51" s="1145">
        <f t="shared" si="9"/>
        <v>0</v>
      </c>
      <c r="Q51" s="28"/>
    </row>
    <row r="52" spans="1:17" s="36" customFormat="1" ht="15" customHeight="1">
      <c r="A52" s="746"/>
      <c r="B52" s="1153"/>
      <c r="C52" s="4403" t="s">
        <v>1748</v>
      </c>
      <c r="D52" s="4404"/>
      <c r="E52" s="1152">
        <f>IF($C52=0,0,VLOOKUP($C52,'SD3'!$C$24:$O$71,4,FALSE))</f>
        <v>120</v>
      </c>
      <c r="F52" s="1151">
        <f>IF($C52=0,0,VLOOKUP($C52,'SD3'!$C$24:$O$71,12,FALSE))</f>
        <v>0.37</v>
      </c>
      <c r="G52" s="1150">
        <f>IF($C52=0,0,VLOOKUP($C52,'SD3'!$C$24:$O$71,13,FALSE))</f>
        <v>11.7573302</v>
      </c>
      <c r="H52" s="3654">
        <f>J6/75</f>
        <v>0.4</v>
      </c>
      <c r="I52" s="1146">
        <f t="shared" si="4"/>
        <v>0.14799999999999999</v>
      </c>
      <c r="J52" s="1145">
        <f t="shared" si="5"/>
        <v>4.7029320800000001</v>
      </c>
      <c r="K52" s="3654">
        <f>M6/75</f>
        <v>0.53333333333333333</v>
      </c>
      <c r="L52" s="1149">
        <f t="shared" si="6"/>
        <v>0.19733333333333333</v>
      </c>
      <c r="M52" s="1148">
        <f t="shared" si="7"/>
        <v>6.2705761066666668</v>
      </c>
      <c r="N52" s="3654">
        <f>P6/75</f>
        <v>0.92</v>
      </c>
      <c r="O52" s="1146">
        <f t="shared" si="8"/>
        <v>0.34040000000000004</v>
      </c>
      <c r="P52" s="1145">
        <f t="shared" si="9"/>
        <v>10.816743784</v>
      </c>
      <c r="Q52" s="28"/>
    </row>
    <row r="53" spans="1:17" s="36" customFormat="1" ht="15" customHeight="1">
      <c r="A53" s="746"/>
      <c r="B53" s="1153"/>
      <c r="C53" s="4387"/>
      <c r="D53" s="4388"/>
      <c r="E53" s="1152">
        <f>IF($C53=0,0,VLOOKUP($C53,'SD3'!$C$24:$O$71,4,FALSE))</f>
        <v>0</v>
      </c>
      <c r="F53" s="1151">
        <f>IF($C53=0,0,VLOOKUP($C53,'SD3'!$C$24:$O$71,12,FALSE))</f>
        <v>0</v>
      </c>
      <c r="G53" s="1150">
        <f>IF($C53=0,0,VLOOKUP($C53,'SD3'!$C$24:$O$71,13,FALSE))</f>
        <v>0</v>
      </c>
      <c r="H53" s="1147"/>
      <c r="I53" s="1146">
        <f t="shared" si="4"/>
        <v>0</v>
      </c>
      <c r="J53" s="1145">
        <f t="shared" si="5"/>
        <v>0</v>
      </c>
      <c r="K53" s="1147"/>
      <c r="L53" s="1149">
        <f t="shared" si="6"/>
        <v>0</v>
      </c>
      <c r="M53" s="1148">
        <f t="shared" si="7"/>
        <v>0</v>
      </c>
      <c r="N53" s="1147"/>
      <c r="O53" s="1146">
        <f t="shared" si="8"/>
        <v>0</v>
      </c>
      <c r="P53" s="1145">
        <f t="shared" si="9"/>
        <v>0</v>
      </c>
      <c r="Q53" s="28"/>
    </row>
    <row r="54" spans="1:17" s="36" customFormat="1" ht="15" customHeight="1">
      <c r="A54" s="746"/>
      <c r="B54" s="1153"/>
      <c r="C54" s="4387"/>
      <c r="D54" s="4388"/>
      <c r="E54" s="1152">
        <f>IF($C54=0,0,VLOOKUP($C54,'SD3'!$C$24:$O$71,4,FALSE))</f>
        <v>0</v>
      </c>
      <c r="F54" s="1151">
        <f>IF($C54=0,0,VLOOKUP($C54,'SD3'!$C$24:$O$71,12,FALSE))</f>
        <v>0</v>
      </c>
      <c r="G54" s="1150">
        <f>IF($C54=0,0,VLOOKUP($C54,'SD3'!$C$24:$O$71,13,FALSE))</f>
        <v>0</v>
      </c>
      <c r="H54" s="1147"/>
      <c r="I54" s="1146">
        <f t="shared" si="4"/>
        <v>0</v>
      </c>
      <c r="J54" s="1145">
        <f t="shared" si="5"/>
        <v>0</v>
      </c>
      <c r="K54" s="1147"/>
      <c r="L54" s="1149">
        <f t="shared" si="6"/>
        <v>0</v>
      </c>
      <c r="M54" s="1148">
        <f t="shared" si="7"/>
        <v>0</v>
      </c>
      <c r="N54" s="1147"/>
      <c r="O54" s="1146">
        <f t="shared" si="8"/>
        <v>0</v>
      </c>
      <c r="P54" s="1145">
        <f t="shared" si="9"/>
        <v>0</v>
      </c>
      <c r="Q54" s="28"/>
    </row>
    <row r="55" spans="1:17" s="36" customFormat="1" ht="15" customHeight="1">
      <c r="A55" s="746"/>
      <c r="B55" s="1153"/>
      <c r="C55" s="4387"/>
      <c r="D55" s="4388"/>
      <c r="E55" s="1152">
        <f>IF($C55=0,0,VLOOKUP($C55,'SD3'!$C$24:$O$71,4,FALSE))</f>
        <v>0</v>
      </c>
      <c r="F55" s="1151">
        <f>IF($C55=0,0,VLOOKUP($C55,'SD3'!$C$24:$O$71,12,FALSE))</f>
        <v>0</v>
      </c>
      <c r="G55" s="1150">
        <f>IF($C55=0,0,VLOOKUP($C55,'SD3'!$C$24:$O$71,13,FALSE))</f>
        <v>0</v>
      </c>
      <c r="H55" s="1147"/>
      <c r="I55" s="1146">
        <f t="shared" si="4"/>
        <v>0</v>
      </c>
      <c r="J55" s="1145">
        <f t="shared" si="5"/>
        <v>0</v>
      </c>
      <c r="K55" s="1147"/>
      <c r="L55" s="1149">
        <f t="shared" si="6"/>
        <v>0</v>
      </c>
      <c r="M55" s="1148">
        <f t="shared" si="7"/>
        <v>0</v>
      </c>
      <c r="N55" s="1147"/>
      <c r="O55" s="1146">
        <f t="shared" si="8"/>
        <v>0</v>
      </c>
      <c r="P55" s="1145">
        <f t="shared" si="9"/>
        <v>0</v>
      </c>
      <c r="Q55" s="28"/>
    </row>
    <row r="56" spans="1:17" s="36" customFormat="1" ht="24.75" customHeight="1">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8"/>
    </row>
    <row r="57" spans="1:17" s="36" customFormat="1" ht="24.75" customHeight="1">
      <c r="A57" s="746"/>
      <c r="B57" s="1084"/>
      <c r="C57" s="4461" t="s">
        <v>332</v>
      </c>
      <c r="D57" s="4462"/>
      <c r="E57" s="2589">
        <f>IF($C57=0,0,VLOOKUP($C57,'SD3'!$C$24:$O$71,4,FALSE))</f>
        <v>83</v>
      </c>
      <c r="F57" s="2590">
        <f>IF($C57=0,0,VLOOKUP($C57,'SD3'!$C$24:$O$71,12,FALSE))</f>
        <v>1.3</v>
      </c>
      <c r="G57" s="2591">
        <f>IF($C57=0,0,VLOOKUP($C57,'SD3'!$C$24:$O$71,13,FALSE))</f>
        <v>25.970662899999994</v>
      </c>
      <c r="H57" s="3745">
        <f>IF($T$4=TRUE,0,H11/35)</f>
        <v>0.68571428571428572</v>
      </c>
      <c r="I57" s="1130">
        <f t="shared" si="4"/>
        <v>0.89142857142857146</v>
      </c>
      <c r="J57" s="1129">
        <f t="shared" si="5"/>
        <v>17.808454559999994</v>
      </c>
      <c r="K57" s="3746">
        <f>IF($T$4=TRUE,0,H11/40)</f>
        <v>0.6</v>
      </c>
      <c r="L57" s="1132">
        <f t="shared" si="6"/>
        <v>0.78</v>
      </c>
      <c r="M57" s="1079">
        <f t="shared" si="7"/>
        <v>15.582397739999996</v>
      </c>
      <c r="N57" s="3745">
        <f>IF($T$4=TRUE,0,H11/40)</f>
        <v>0.6</v>
      </c>
      <c r="O57" s="1130">
        <f t="shared" si="8"/>
        <v>0.78</v>
      </c>
      <c r="P57" s="1129">
        <f t="shared" si="9"/>
        <v>15.582397739999996</v>
      </c>
      <c r="Q57" s="2636"/>
    </row>
    <row r="58" spans="1:17" s="511" customFormat="1" ht="18.75" customHeight="1">
      <c r="A58" s="711"/>
      <c r="B58" s="716" t="s">
        <v>848</v>
      </c>
      <c r="C58" s="811"/>
      <c r="D58" s="811"/>
      <c r="E58" s="811"/>
      <c r="F58" s="34"/>
      <c r="G58" s="1047"/>
      <c r="H58" s="1124"/>
      <c r="I58" s="1123">
        <f>SUM($I$46:$I$57)</f>
        <v>4.4594285714285711</v>
      </c>
      <c r="J58" s="1128"/>
      <c r="K58" s="1127"/>
      <c r="L58" s="1126">
        <f>SUM($L$46:$L$57)</f>
        <v>4.3973333333333331</v>
      </c>
      <c r="M58" s="1125"/>
      <c r="N58" s="1124"/>
      <c r="O58" s="1123">
        <f>SUM($O$46:$O$57)</f>
        <v>4.5404</v>
      </c>
      <c r="P58" s="1122"/>
      <c r="Q58" s="28"/>
    </row>
    <row r="59" spans="1:17" s="511" customFormat="1" ht="15" customHeight="1">
      <c r="A59" s="711"/>
      <c r="B59" s="1121"/>
      <c r="C59" s="285"/>
      <c r="D59" s="222" t="s">
        <v>847</v>
      </c>
      <c r="E59" s="1120">
        <v>80</v>
      </c>
      <c r="F59" s="285" t="s">
        <v>846</v>
      </c>
      <c r="G59" s="1119"/>
      <c r="H59" s="1115"/>
      <c r="I59" s="1114">
        <f>IF(I58+SUM($I$46:$I$57)*$E$59%&gt;I58+10,I58+10,I58+SUM($I$46:$I$57)*$E$59%)</f>
        <v>8.0269714285714286</v>
      </c>
      <c r="J59" s="1113"/>
      <c r="K59" s="1118"/>
      <c r="L59" s="1117">
        <f>IF(L58+SUM($L$46:$L$57)*$E$59%&gt;L58+10,L58+10,L58+SUM($L$46:$L$57)*$E$59%)</f>
        <v>7.9151999999999996</v>
      </c>
      <c r="M59" s="1116"/>
      <c r="N59" s="1115"/>
      <c r="O59" s="1114">
        <f>IF(O58+SUM($O$46:$O$57)*$E$59%&gt;O58+10,O58+10,O58+SUM($O$46:$O$57)*$E$59%)</f>
        <v>8.17272</v>
      </c>
      <c r="P59" s="1113"/>
      <c r="Q59" s="28"/>
    </row>
    <row r="60" spans="1:17" s="46" customFormat="1" ht="18.75" customHeight="1">
      <c r="A60" s="811"/>
      <c r="B60" s="716" t="s">
        <v>845</v>
      </c>
      <c r="C60" s="811"/>
      <c r="D60" s="811"/>
      <c r="E60" s="39"/>
      <c r="F60" s="39"/>
      <c r="G60" s="1112"/>
      <c r="H60" s="2834"/>
      <c r="I60" s="2833"/>
      <c r="J60" s="1111">
        <f>IF(J6=0,0,SUM(I62:I64))</f>
        <v>236.2</v>
      </c>
      <c r="K60" s="2836"/>
      <c r="L60" s="2835"/>
      <c r="M60" s="1044">
        <f>IF(M6=0,0,SUM(L62:L64))</f>
        <v>262.60000000000002</v>
      </c>
      <c r="N60" s="2834"/>
      <c r="O60" s="2833"/>
      <c r="P60" s="1111">
        <f>IF(P6=0,0,SUM(O62:O64))</f>
        <v>339.15999999999997</v>
      </c>
      <c r="Q60" s="28"/>
    </row>
    <row r="61" spans="1:17"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t="s">
        <v>300</v>
      </c>
      <c r="D62" s="4365"/>
      <c r="E62" s="4365"/>
      <c r="F62" s="1101">
        <f>IF($C62=0,0,VLOOKUP($C62,'SD3'!$C$90:$D$104,2,FALSE))</f>
        <v>157</v>
      </c>
      <c r="G62" s="1100">
        <f>(100+$D$61)/100*F62</f>
        <v>157</v>
      </c>
      <c r="H62" s="173"/>
      <c r="I62" s="1096">
        <f>$G$62</f>
        <v>157</v>
      </c>
      <c r="J62" s="173"/>
      <c r="K62" s="1099"/>
      <c r="L62" s="1098">
        <f>$G$62</f>
        <v>157</v>
      </c>
      <c r="M62" s="1016"/>
      <c r="N62" s="1097"/>
      <c r="O62" s="1096">
        <f>$G$62</f>
        <v>157</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t="s">
        <v>289</v>
      </c>
      <c r="D64" s="4396"/>
      <c r="E64" s="4396"/>
      <c r="F64" s="1083">
        <f>IF($T$3=FALSE,0,VLOOKUP($C64,'SD3'!$C$90:$D$104,2,FALSE))</f>
        <v>3.3</v>
      </c>
      <c r="G64" s="1082">
        <f>(100+$D$61)/100*F64</f>
        <v>3.3</v>
      </c>
      <c r="H64" s="1078"/>
      <c r="I64" s="1077">
        <f>H11*$G$64</f>
        <v>79.199999999999989</v>
      </c>
      <c r="J64" s="173"/>
      <c r="K64" s="1081"/>
      <c r="L64" s="1080">
        <f>K11*$G$64</f>
        <v>105.6</v>
      </c>
      <c r="M64" s="1079"/>
      <c r="N64" s="1078"/>
      <c r="O64" s="1077">
        <f>N11*$G$64</f>
        <v>182.16</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5"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22.95" customHeight="1">
      <c r="A67" s="711"/>
      <c r="B67" s="716" t="s">
        <v>843</v>
      </c>
      <c r="C67" s="711"/>
      <c r="D67" s="711"/>
      <c r="E67" s="175"/>
      <c r="F67" s="1069"/>
      <c r="G67" s="1047"/>
      <c r="H67" s="1066" t="s">
        <v>842</v>
      </c>
      <c r="I67" s="1065" t="s">
        <v>841</v>
      </c>
      <c r="J67" s="1041">
        <f>R68*(H9+H10)*I68%+F68</f>
        <v>39.824999999999989</v>
      </c>
      <c r="K67" s="1068" t="s">
        <v>842</v>
      </c>
      <c r="L67" s="1067" t="s">
        <v>841</v>
      </c>
      <c r="M67" s="1044">
        <f>S68*(K9+K10)*L68%+F68</f>
        <v>53.099999999999987</v>
      </c>
      <c r="N67" s="1066" t="s">
        <v>842</v>
      </c>
      <c r="O67" s="1065" t="s">
        <v>841</v>
      </c>
      <c r="P67" s="1041">
        <f>T68*(N9+N10)*O68%+F68</f>
        <v>91.597499999999982</v>
      </c>
      <c r="Q67" s="28"/>
    </row>
    <row r="68" spans="1:20" s="511" customFormat="1" ht="15" customHeight="1">
      <c r="A68" s="711"/>
      <c r="B68" s="1064"/>
      <c r="C68" s="4393" t="s">
        <v>564</v>
      </c>
      <c r="D68" s="4393"/>
      <c r="E68" s="4393"/>
      <c r="F68" s="1063"/>
      <c r="G68" s="1054" t="s">
        <v>163</v>
      </c>
      <c r="H68" s="1061">
        <v>16</v>
      </c>
      <c r="I68" s="1060">
        <v>50</v>
      </c>
      <c r="J68" s="1059"/>
      <c r="K68" s="1061">
        <v>16</v>
      </c>
      <c r="L68" s="1060">
        <v>50</v>
      </c>
      <c r="M68" s="1062"/>
      <c r="N68" s="1061">
        <v>16</v>
      </c>
      <c r="O68" s="1060">
        <v>50</v>
      </c>
      <c r="P68" s="1059"/>
      <c r="Q68" s="28"/>
      <c r="R68" s="1058">
        <f>IF($H$68=0,0,VLOOKUP($H$68,'SD6'!B8:C151,'SD6'!C1,FALSE))*(1+'SDK1'!O11/100)</f>
        <v>2.6549999999999994</v>
      </c>
      <c r="S68" s="1058">
        <f>IF($K$68=0,0,VLOOKUP($K$68,'SD6'!B8:C151,'SD6'!C1,FALSE))*(1+'SDK1'!O11/100)</f>
        <v>2.6549999999999994</v>
      </c>
      <c r="T68" s="1058">
        <f>IF($N$68=0,0,VLOOKUP($N$68,'SD6'!B8:C151,'SD6'!C1,FALSE))*(1+'SDK1'!O11/100)</f>
        <v>2.6549999999999994</v>
      </c>
    </row>
    <row r="69" spans="1:20" s="511" customFormat="1" ht="18.75" customHeight="1">
      <c r="A69" s="711"/>
      <c r="B69" s="716" t="s">
        <v>839</v>
      </c>
      <c r="C69" s="711"/>
      <c r="D69" s="711"/>
      <c r="E69" s="34"/>
      <c r="F69" s="34"/>
      <c r="G69" s="1047"/>
      <c r="H69" s="38"/>
      <c r="I69" s="51"/>
      <c r="J69" s="1041">
        <f>H70*$F70/1000</f>
        <v>19.051200000000001</v>
      </c>
      <c r="K69" s="1057"/>
      <c r="L69" s="1056"/>
      <c r="M69" s="1044">
        <f>K70*$F70/1000</f>
        <v>25.401599999999998</v>
      </c>
      <c r="N69" s="38"/>
      <c r="O69" s="51"/>
      <c r="P69" s="1041">
        <f>N70*$F70/1000</f>
        <v>43.81776</v>
      </c>
      <c r="Q69" s="28"/>
    </row>
    <row r="70" spans="1:20" s="511" customFormat="1" ht="15" customHeight="1">
      <c r="A70" s="711"/>
      <c r="B70" s="772"/>
      <c r="C70" s="771" t="s">
        <v>606</v>
      </c>
      <c r="D70" s="285"/>
      <c r="E70" s="222"/>
      <c r="F70" s="3742">
        <f>SDÖ7!F62</f>
        <v>16</v>
      </c>
      <c r="G70" s="1054" t="s">
        <v>163</v>
      </c>
      <c r="H70" s="1357">
        <f>J7</f>
        <v>1190.7</v>
      </c>
      <c r="I70" s="1049"/>
      <c r="J70" s="1048"/>
      <c r="K70" s="1053">
        <f>M7</f>
        <v>1587.6</v>
      </c>
      <c r="L70" s="1052"/>
      <c r="M70" s="1051"/>
      <c r="N70" s="1357">
        <f>P7</f>
        <v>2738.61</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1.65" customHeight="1">
      <c r="A75" s="711"/>
      <c r="B75" s="4391" t="s">
        <v>835</v>
      </c>
      <c r="C75" s="4392"/>
      <c r="D75" s="1012" t="s">
        <v>834</v>
      </c>
      <c r="E75" s="1011">
        <f>'SDK1'!$O$59/100</f>
        <v>0.02</v>
      </c>
      <c r="F75" s="1010" t="s">
        <v>833</v>
      </c>
      <c r="G75" s="1009">
        <v>7</v>
      </c>
      <c r="H75" s="1007"/>
      <c r="I75" s="1008"/>
      <c r="J75" s="1005">
        <f>(J23+J27+J34+J43+J60+J65+J67+J69+J71)*('SDK1'!$O$59%*$G$75/12)</f>
        <v>14.031315042033334</v>
      </c>
      <c r="K75" s="2223"/>
      <c r="L75" s="522"/>
      <c r="M75" s="1005">
        <f>(M23+M27+M34+M43+M60+M65+M67+M69+M71)*('SDK1'!$O$59%*$G$75/12)</f>
        <v>16.226143892777777</v>
      </c>
      <c r="N75" s="1007"/>
      <c r="O75" s="1006"/>
      <c r="P75" s="1005">
        <f>(P23+P27+P34+P43+P60+P65+P67+P69+P71)*('SDK1'!$O$59%*$G$75/12)</f>
        <v>22.666462482346667</v>
      </c>
      <c r="Q75" s="28"/>
    </row>
    <row r="76" spans="1:20">
      <c r="L76" s="29"/>
    </row>
    <row r="77" spans="1:20">
      <c r="B77" s="2919"/>
      <c r="C77" s="2919"/>
      <c r="D77" s="2919"/>
      <c r="E77" s="2919"/>
      <c r="F77" s="2919"/>
      <c r="G77" s="2919"/>
      <c r="L77" s="29"/>
      <c r="N77" s="2602"/>
      <c r="O77" s="2602"/>
      <c r="P77" s="2602"/>
    </row>
    <row r="78" spans="1:20">
      <c r="B78" s="2919"/>
      <c r="C78" s="2919"/>
      <c r="D78" s="2919"/>
      <c r="E78" s="2919"/>
      <c r="F78" s="2919"/>
      <c r="G78" s="2919"/>
      <c r="H78" s="2602"/>
      <c r="I78" s="2602"/>
      <c r="J78" s="2602"/>
      <c r="K78" s="2602"/>
      <c r="L78" s="2602"/>
      <c r="M78" s="2602"/>
      <c r="N78" s="2602"/>
      <c r="O78" s="2602"/>
      <c r="P78" s="2602"/>
    </row>
    <row r="79" spans="1:20">
      <c r="B79" s="2919"/>
      <c r="C79" s="2919"/>
      <c r="D79" s="2919"/>
      <c r="E79" s="2919"/>
      <c r="F79" s="2919"/>
      <c r="G79" s="2919"/>
      <c r="H79" s="2602"/>
      <c r="I79" s="2602"/>
      <c r="J79" s="2602"/>
      <c r="K79" s="2602"/>
      <c r="L79" s="2602"/>
      <c r="M79" s="2602"/>
      <c r="N79" s="2602"/>
      <c r="O79" s="2602"/>
      <c r="P79" s="2602"/>
    </row>
    <row r="80" spans="1:20">
      <c r="B80" s="2919"/>
      <c r="C80" s="2919"/>
      <c r="D80" s="2919"/>
      <c r="E80" s="2919"/>
      <c r="F80" s="2919"/>
      <c r="G80" s="2919"/>
      <c r="H80" s="2602"/>
      <c r="I80" s="2602"/>
      <c r="J80" s="2602"/>
      <c r="K80" s="2602"/>
      <c r="L80" s="2602"/>
      <c r="M80" s="2602"/>
      <c r="N80" s="2602"/>
      <c r="O80" s="2602"/>
      <c r="P80" s="2602"/>
    </row>
    <row r="81" spans="2:17">
      <c r="B81" s="2919"/>
      <c r="C81" s="2919"/>
      <c r="D81" s="2919"/>
      <c r="E81" s="2919"/>
      <c r="F81" s="2919"/>
      <c r="G81" s="2919"/>
      <c r="H81" s="2602"/>
      <c r="I81" s="2602"/>
      <c r="J81" s="2602"/>
      <c r="K81" s="2602"/>
      <c r="L81" s="2602"/>
      <c r="M81" s="2602"/>
      <c r="N81" s="2602"/>
      <c r="O81" s="2602"/>
      <c r="P81" s="2602"/>
    </row>
    <row r="82" spans="2:17">
      <c r="B82" s="2919"/>
      <c r="C82" s="2919"/>
      <c r="D82" s="2919"/>
      <c r="E82" s="2919"/>
      <c r="F82" s="2919"/>
      <c r="G82" s="2919"/>
      <c r="H82" s="2602"/>
      <c r="I82" s="2602"/>
      <c r="J82" s="2602"/>
      <c r="K82" s="2602"/>
      <c r="L82" s="2602"/>
      <c r="M82" s="2602"/>
      <c r="N82" s="2602"/>
      <c r="O82" s="2602"/>
      <c r="P82" s="2602"/>
    </row>
    <row r="83" spans="2:17">
      <c r="B83" s="2919"/>
      <c r="C83" s="2919"/>
      <c r="D83" s="2919"/>
      <c r="E83" s="2919"/>
      <c r="F83" s="2919"/>
      <c r="G83" s="2919"/>
      <c r="H83" s="2602"/>
      <c r="I83" s="2602"/>
      <c r="J83" s="2602"/>
      <c r="K83" s="2602"/>
      <c r="L83" s="2602"/>
      <c r="M83" s="2602"/>
      <c r="N83" s="2602"/>
      <c r="O83" s="2602"/>
      <c r="P83" s="2602"/>
    </row>
    <row r="84" spans="2:17">
      <c r="B84" s="2919"/>
      <c r="C84" s="2919"/>
      <c r="D84" s="2919"/>
      <c r="E84" s="2919"/>
      <c r="F84" s="2919"/>
      <c r="G84" s="2919"/>
      <c r="H84" s="2602"/>
      <c r="I84" s="2602"/>
      <c r="J84" s="2602"/>
      <c r="L84" s="2602"/>
      <c r="M84" s="2602"/>
      <c r="N84" s="2602"/>
      <c r="O84" s="2602"/>
      <c r="P84" s="2602"/>
    </row>
    <row r="85" spans="2:17">
      <c r="B85" s="2919"/>
      <c r="C85" s="2919"/>
      <c r="D85" s="2919"/>
      <c r="E85" s="2919"/>
      <c r="F85" s="2919"/>
      <c r="G85" s="2919"/>
      <c r="H85" s="2602"/>
      <c r="I85" s="2602"/>
      <c r="J85" s="2602"/>
      <c r="K85" s="2602"/>
      <c r="L85" s="2602"/>
      <c r="M85" s="2602"/>
      <c r="N85" s="2602"/>
      <c r="O85" s="2602"/>
      <c r="P85" s="2602"/>
    </row>
    <row r="86" spans="2:17">
      <c r="B86" s="2919"/>
      <c r="C86" s="2919"/>
      <c r="D86" s="2919"/>
      <c r="E86" s="2919"/>
      <c r="F86" s="2919"/>
      <c r="G86" s="2919"/>
      <c r="H86" s="2602"/>
      <c r="I86" s="2602"/>
      <c r="J86" s="2602"/>
      <c r="K86" s="2602"/>
      <c r="L86" s="2602"/>
      <c r="M86" s="2602"/>
      <c r="N86" s="2602"/>
      <c r="O86" s="2602"/>
      <c r="P86" s="2602"/>
      <c r="Q86" s="2602"/>
    </row>
    <row r="87" spans="2:17">
      <c r="B87" s="2919"/>
      <c r="C87" s="2919"/>
      <c r="D87" s="2919"/>
      <c r="E87" s="2919"/>
      <c r="F87" s="2919"/>
      <c r="G87" s="2919"/>
      <c r="H87" s="2602"/>
      <c r="I87" s="2602"/>
      <c r="J87" s="2602"/>
      <c r="K87" s="2602"/>
      <c r="L87" s="2602"/>
      <c r="M87" s="2602"/>
      <c r="N87" s="2602"/>
      <c r="O87" s="2602"/>
      <c r="P87" s="2602"/>
    </row>
    <row r="88" spans="2:17" ht="13.2" customHeight="1">
      <c r="B88" s="2919"/>
      <c r="C88" s="2919"/>
      <c r="D88" s="2919"/>
      <c r="E88" s="2919"/>
      <c r="F88" s="2919"/>
      <c r="G88" s="2919"/>
      <c r="H88" s="2602"/>
      <c r="I88" s="2602"/>
      <c r="J88" s="2602"/>
      <c r="K88" s="2602"/>
      <c r="L88" s="2602"/>
      <c r="M88" s="2602"/>
      <c r="N88" s="2602"/>
      <c r="O88" s="2602"/>
      <c r="P88" s="2602"/>
    </row>
    <row r="89" spans="2:17">
      <c r="B89" s="2919"/>
      <c r="C89" s="2919"/>
      <c r="D89" s="2919"/>
      <c r="E89" s="2919"/>
      <c r="F89" s="2919"/>
      <c r="G89" s="2919"/>
      <c r="H89" s="2602"/>
      <c r="I89" s="2602"/>
      <c r="J89" s="2602"/>
      <c r="K89" s="2602"/>
      <c r="L89" s="2602"/>
      <c r="M89" s="2602"/>
      <c r="N89" s="2602"/>
      <c r="O89" s="2602"/>
      <c r="P89" s="2602"/>
    </row>
    <row r="90" spans="2:17">
      <c r="B90" s="2919"/>
      <c r="C90" s="2919"/>
      <c r="D90" s="2919"/>
      <c r="E90" s="2919"/>
      <c r="F90" s="2919"/>
      <c r="G90" s="2919"/>
      <c r="H90" s="2602"/>
      <c r="I90" s="2602"/>
      <c r="J90" s="2602"/>
      <c r="K90" s="2602"/>
      <c r="L90" s="2602"/>
      <c r="M90" s="2602"/>
      <c r="N90" s="2602"/>
      <c r="O90" s="2602"/>
      <c r="P90" s="2602"/>
    </row>
    <row r="91" spans="2:17">
      <c r="B91" s="2919"/>
      <c r="C91" s="2919"/>
      <c r="D91" s="2919"/>
      <c r="E91" s="2919"/>
      <c r="F91" s="2919"/>
      <c r="G91" s="2919"/>
      <c r="H91" s="2602"/>
      <c r="I91" s="2602"/>
      <c r="J91" s="2602"/>
      <c r="K91" s="2602"/>
      <c r="L91" s="2602"/>
      <c r="M91" s="2602"/>
      <c r="N91" s="2602"/>
      <c r="O91" s="2602"/>
      <c r="P91" s="2602"/>
    </row>
    <row r="92" spans="2:17">
      <c r="B92" s="2919"/>
      <c r="C92" s="2919"/>
      <c r="D92" s="2919"/>
      <c r="E92" s="2919"/>
      <c r="F92" s="2919"/>
      <c r="G92" s="2919"/>
      <c r="H92" s="2602"/>
      <c r="I92" s="2602"/>
      <c r="J92" s="2602"/>
      <c r="K92" s="2602"/>
      <c r="L92" s="2602"/>
      <c r="M92" s="2602"/>
      <c r="N92" s="2602"/>
      <c r="O92" s="2602"/>
      <c r="P92" s="2602"/>
    </row>
    <row r="93" spans="2:17">
      <c r="B93" s="2919"/>
      <c r="C93" s="2919"/>
      <c r="D93" s="2919"/>
      <c r="E93" s="2919"/>
      <c r="F93" s="2919"/>
      <c r="G93" s="2919"/>
      <c r="H93" s="2602"/>
      <c r="I93" s="2602"/>
      <c r="J93" s="2602"/>
      <c r="K93" s="2602"/>
      <c r="L93" s="2602"/>
      <c r="M93" s="2602"/>
      <c r="N93" s="2602"/>
      <c r="O93" s="2602"/>
      <c r="P93" s="2602"/>
    </row>
    <row r="94" spans="2:17">
      <c r="B94" s="2919"/>
      <c r="C94" s="2919"/>
      <c r="D94" s="2919"/>
      <c r="E94" s="2919"/>
      <c r="F94" s="2919"/>
      <c r="G94" s="2919"/>
      <c r="H94" s="2602"/>
      <c r="I94" s="2602"/>
      <c r="J94" s="2602"/>
      <c r="K94" s="2602"/>
      <c r="L94" s="2602"/>
      <c r="M94" s="2602"/>
      <c r="N94" s="2602"/>
      <c r="O94" s="2602"/>
      <c r="P94" s="2602"/>
    </row>
    <row r="95" spans="2:17">
      <c r="C95" s="1712"/>
      <c r="D95" s="1712"/>
      <c r="E95" s="1712"/>
      <c r="G95" s="2602"/>
      <c r="H95" s="2602"/>
      <c r="I95" s="2602"/>
      <c r="J95" s="2602"/>
      <c r="K95" s="2602"/>
      <c r="L95" s="2602"/>
      <c r="M95" s="2602"/>
      <c r="N95" s="2602"/>
      <c r="O95" s="2602"/>
      <c r="P95" s="2602"/>
    </row>
    <row r="96" spans="2:17">
      <c r="C96" s="1712"/>
      <c r="D96" s="1712"/>
      <c r="E96" s="1712"/>
      <c r="G96" s="2602"/>
      <c r="H96" s="2602"/>
      <c r="I96" s="2602"/>
      <c r="J96" s="2602"/>
      <c r="K96" s="2602"/>
      <c r="L96" s="2602"/>
      <c r="M96" s="2602"/>
      <c r="N96" s="2602"/>
      <c r="O96" s="2602"/>
      <c r="P96" s="2602"/>
    </row>
    <row r="97" spans="2:16">
      <c r="C97" s="1712"/>
      <c r="D97" s="1712"/>
      <c r="E97" s="1712"/>
      <c r="G97" s="2602"/>
      <c r="H97" s="2602"/>
      <c r="I97" s="2602"/>
      <c r="J97" s="2602"/>
      <c r="K97" s="2602"/>
      <c r="L97" s="2602"/>
      <c r="M97" s="2602"/>
      <c r="N97" s="2602"/>
      <c r="O97" s="2602"/>
      <c r="P97" s="2602"/>
    </row>
    <row r="98" spans="2:16">
      <c r="C98" s="1712"/>
      <c r="D98" s="1712"/>
      <c r="E98" s="1712"/>
      <c r="G98" s="2602"/>
      <c r="H98" s="2602"/>
      <c r="I98" s="2602"/>
      <c r="J98" s="2602"/>
      <c r="K98" s="2602"/>
      <c r="L98" s="2602"/>
      <c r="M98" s="2602"/>
      <c r="N98" s="2602"/>
      <c r="O98" s="2602"/>
      <c r="P98" s="2602"/>
    </row>
    <row r="99" spans="2:16">
      <c r="B99" s="29"/>
      <c r="C99" s="1712"/>
      <c r="D99" s="1712"/>
      <c r="E99" s="1712"/>
      <c r="G99" s="2602"/>
      <c r="H99" s="2602"/>
      <c r="I99" s="2602"/>
      <c r="J99" s="2602"/>
      <c r="K99" s="2602"/>
      <c r="L99" s="2602"/>
      <c r="M99" s="2602"/>
      <c r="N99" s="2602"/>
      <c r="O99" s="2602"/>
      <c r="P99" s="2602"/>
    </row>
    <row r="100" spans="2:16">
      <c r="B100" s="29"/>
      <c r="C100" s="29"/>
      <c r="D100" s="29"/>
      <c r="G100" s="2602"/>
      <c r="H100" s="2602"/>
      <c r="I100" s="2602"/>
      <c r="J100" s="2602"/>
      <c r="K100" s="2602"/>
      <c r="L100" s="2602"/>
      <c r="M100" s="2602"/>
      <c r="N100" s="2602"/>
      <c r="O100" s="2602"/>
      <c r="P100" s="2602"/>
    </row>
    <row r="101" spans="2:16">
      <c r="B101" s="29"/>
      <c r="C101" s="29"/>
      <c r="D101" s="29"/>
      <c r="G101" s="2602"/>
      <c r="H101" s="2602"/>
      <c r="I101" s="2602"/>
      <c r="J101" s="2602"/>
      <c r="K101" s="2602"/>
      <c r="L101" s="2602"/>
      <c r="M101" s="2602"/>
      <c r="N101" s="2602"/>
      <c r="O101" s="2602"/>
      <c r="P101" s="2602"/>
    </row>
    <row r="102" spans="2:16">
      <c r="B102" s="29"/>
      <c r="C102" s="29"/>
      <c r="D102" s="29"/>
      <c r="G102" s="2602"/>
      <c r="H102" s="2602"/>
      <c r="I102" s="2602"/>
      <c r="J102" s="2602"/>
      <c r="K102" s="2602"/>
      <c r="L102" s="2602"/>
      <c r="M102" s="2602"/>
      <c r="N102" s="2602"/>
      <c r="O102" s="2602"/>
      <c r="P102" s="2602"/>
    </row>
    <row r="103" spans="2:16">
      <c r="B103" s="29"/>
      <c r="C103" s="29"/>
      <c r="D103" s="29"/>
      <c r="G103" s="2602"/>
      <c r="H103" s="2602"/>
      <c r="I103" s="2602"/>
      <c r="J103" s="2602"/>
      <c r="K103" s="2602"/>
      <c r="L103" s="2602"/>
      <c r="M103" s="2602"/>
      <c r="N103" s="2602"/>
      <c r="O103" s="2602"/>
      <c r="P103" s="2602"/>
    </row>
    <row r="104" spans="2:16">
      <c r="B104" s="29"/>
      <c r="C104" s="29"/>
      <c r="D104" s="29"/>
      <c r="G104" s="2602"/>
      <c r="H104" s="2602"/>
      <c r="I104" s="2602"/>
      <c r="J104" s="2602"/>
      <c r="K104" s="2602"/>
      <c r="L104" s="2602"/>
      <c r="M104" s="2602"/>
      <c r="N104" s="2602"/>
      <c r="O104" s="2602"/>
      <c r="P104" s="2602"/>
    </row>
    <row r="105" spans="2:16">
      <c r="B105" s="29"/>
      <c r="C105" s="29"/>
      <c r="D105" s="29"/>
      <c r="G105" s="2602"/>
      <c r="H105" s="2602"/>
      <c r="I105" s="2602"/>
      <c r="J105" s="2602"/>
      <c r="K105" s="2602"/>
      <c r="L105" s="2602"/>
      <c r="M105" s="2602"/>
      <c r="N105" s="2602"/>
      <c r="O105" s="2602"/>
      <c r="P105" s="2602"/>
    </row>
    <row r="106" spans="2:16">
      <c r="B106" s="29"/>
      <c r="C106" s="29"/>
      <c r="D106" s="29"/>
      <c r="G106" s="2602"/>
      <c r="H106" s="2602"/>
      <c r="I106" s="2602"/>
      <c r="J106" s="2602"/>
      <c r="K106" s="2602"/>
      <c r="L106" s="2602"/>
      <c r="M106" s="2602"/>
      <c r="N106" s="2602"/>
      <c r="O106" s="2602"/>
      <c r="P106" s="2602"/>
    </row>
    <row r="107" spans="2:16">
      <c r="B107" s="29"/>
      <c r="C107" s="29"/>
      <c r="D107" s="29"/>
      <c r="G107" s="2602"/>
      <c r="H107" s="2602"/>
      <c r="I107" s="2602"/>
      <c r="J107" s="2602"/>
      <c r="K107" s="2602"/>
      <c r="L107" s="2602"/>
      <c r="M107" s="2602"/>
      <c r="N107" s="2602"/>
      <c r="O107" s="2602"/>
      <c r="P107" s="2602"/>
    </row>
    <row r="108" spans="2:16">
      <c r="G108" s="2602"/>
      <c r="H108" s="2602"/>
      <c r="I108" s="2602"/>
      <c r="J108" s="2602"/>
      <c r="K108" s="2602"/>
      <c r="L108" s="2602"/>
      <c r="M108" s="2602"/>
      <c r="N108" s="2602"/>
      <c r="O108" s="2602"/>
      <c r="P108" s="2602"/>
    </row>
    <row r="109" spans="2:16">
      <c r="G109" s="2602"/>
      <c r="H109" s="2602"/>
      <c r="I109" s="2602"/>
      <c r="J109" s="2602"/>
      <c r="K109" s="2602"/>
      <c r="L109" s="2602"/>
      <c r="M109" s="2602"/>
      <c r="N109" s="2602"/>
      <c r="O109" s="2602"/>
      <c r="P109" s="2602"/>
    </row>
    <row r="110" spans="2:16">
      <c r="G110" s="2602"/>
      <c r="H110" s="2602"/>
      <c r="I110" s="2602"/>
      <c r="J110" s="2602"/>
      <c r="K110" s="2602"/>
      <c r="L110" s="2602"/>
      <c r="M110" s="2602"/>
      <c r="N110" s="2602"/>
      <c r="O110" s="2602"/>
      <c r="P110" s="2602"/>
    </row>
    <row r="111" spans="2:16">
      <c r="G111" s="2602"/>
      <c r="H111" s="2602"/>
      <c r="I111" s="2602"/>
      <c r="J111" s="2602"/>
      <c r="K111" s="2602"/>
      <c r="L111" s="2602"/>
      <c r="M111" s="2602"/>
      <c r="N111" s="2602"/>
      <c r="O111" s="2602"/>
      <c r="P111" s="2602"/>
    </row>
    <row r="112" spans="2:16">
      <c r="G112" s="2602"/>
      <c r="H112" s="2602"/>
      <c r="I112" s="2602"/>
      <c r="J112" s="2602"/>
      <c r="K112" s="2602"/>
      <c r="L112" s="2602"/>
      <c r="M112" s="2602"/>
      <c r="N112" s="2602"/>
      <c r="O112" s="2602"/>
      <c r="P112" s="2602"/>
    </row>
    <row r="113" spans="2:17">
      <c r="G113" s="2602"/>
      <c r="H113" s="2602"/>
      <c r="I113" s="2602"/>
      <c r="J113" s="2602"/>
      <c r="K113" s="2602"/>
      <c r="L113" s="2602"/>
      <c r="M113" s="2602"/>
      <c r="N113" s="2602"/>
      <c r="O113" s="2602"/>
      <c r="P113" s="2602"/>
    </row>
    <row r="114" spans="2:17">
      <c r="G114" s="2602"/>
      <c r="H114" s="2602"/>
      <c r="I114" s="2602"/>
      <c r="J114" s="2602"/>
      <c r="K114" s="2602"/>
      <c r="L114" s="2602"/>
      <c r="M114" s="2602"/>
      <c r="N114" s="2602"/>
      <c r="O114" s="2602"/>
      <c r="P114" s="2602"/>
    </row>
    <row r="115" spans="2:17">
      <c r="G115" s="2602"/>
      <c r="H115" s="2602"/>
      <c r="I115" s="2602"/>
      <c r="J115" s="2602"/>
      <c r="K115" s="2602"/>
      <c r="L115" s="2602"/>
      <c r="M115" s="2602"/>
      <c r="N115" s="2602"/>
      <c r="O115" s="2602"/>
      <c r="P115" s="2602"/>
    </row>
    <row r="116" spans="2:17">
      <c r="G116" s="2602"/>
      <c r="H116" s="2602"/>
      <c r="I116" s="2602"/>
      <c r="J116" s="2602"/>
      <c r="K116" s="2602"/>
      <c r="L116" s="2602"/>
      <c r="M116" s="2602"/>
      <c r="N116" s="2602"/>
      <c r="O116" s="2602"/>
      <c r="P116" s="2602"/>
    </row>
    <row r="117" spans="2:17">
      <c r="G117" s="2602"/>
      <c r="H117" s="2602"/>
      <c r="I117" s="2602"/>
      <c r="J117" s="2602"/>
      <c r="K117" s="2602"/>
      <c r="L117" s="2602"/>
      <c r="M117" s="2602"/>
      <c r="N117" s="2602"/>
      <c r="O117" s="2602"/>
      <c r="P117" s="2602"/>
    </row>
    <row r="118" spans="2:17">
      <c r="B118" s="440"/>
      <c r="C118" s="29"/>
      <c r="G118" s="2602"/>
      <c r="H118" s="2602"/>
      <c r="I118" s="2602"/>
      <c r="J118" s="2602"/>
      <c r="K118" s="2602"/>
      <c r="L118" s="2602"/>
      <c r="M118" s="2602"/>
      <c r="N118" s="2602"/>
      <c r="O118" s="2602"/>
      <c r="P118" s="2602"/>
    </row>
    <row r="119" spans="2:17">
      <c r="B119" s="440"/>
      <c r="C119" s="29"/>
      <c r="G119" s="2602"/>
      <c r="H119" s="2602"/>
      <c r="I119" s="2602"/>
      <c r="J119" s="2602"/>
      <c r="K119" s="2602"/>
      <c r="L119" s="2602"/>
      <c r="M119" s="2602"/>
      <c r="N119" s="2602"/>
      <c r="O119" s="2602"/>
      <c r="P119" s="2602"/>
    </row>
    <row r="120" spans="2:17">
      <c r="B120" s="440"/>
      <c r="C120" s="29"/>
      <c r="G120" s="2602"/>
      <c r="H120" s="2602"/>
      <c r="I120" s="2602"/>
      <c r="J120" s="2602"/>
      <c r="K120" s="2602"/>
      <c r="L120" s="2602"/>
      <c r="M120" s="2602"/>
      <c r="N120" s="2602"/>
      <c r="O120" s="2602"/>
      <c r="P120" s="2602"/>
    </row>
    <row r="121" spans="2:17">
      <c r="B121" s="440"/>
      <c r="C121" s="29"/>
      <c r="G121" s="2602"/>
      <c r="H121" s="2602"/>
      <c r="I121" s="2602"/>
      <c r="J121" s="2602"/>
      <c r="K121" s="2602"/>
      <c r="L121" s="2602"/>
      <c r="M121" s="2602"/>
      <c r="N121" s="2602"/>
      <c r="O121" s="2602"/>
      <c r="P121" s="2602"/>
    </row>
    <row r="122" spans="2:17">
      <c r="B122" s="440"/>
      <c r="C122" s="29"/>
      <c r="G122" s="2602"/>
      <c r="H122" s="2602"/>
      <c r="I122" s="2602"/>
      <c r="J122" s="2602"/>
      <c r="K122" s="2602"/>
      <c r="L122" s="2602"/>
      <c r="M122" s="2602"/>
      <c r="N122" s="2602"/>
      <c r="O122" s="2602"/>
      <c r="P122" s="2602"/>
    </row>
    <row r="123" spans="2:17">
      <c r="B123" s="440"/>
      <c r="C123" s="29"/>
      <c r="G123" s="2602"/>
      <c r="H123" s="2602"/>
      <c r="I123" s="2602"/>
      <c r="J123" s="2602"/>
      <c r="K123" s="2602"/>
      <c r="L123" s="2602"/>
      <c r="M123" s="2602"/>
      <c r="N123" s="2602"/>
      <c r="O123" s="2602"/>
      <c r="P123" s="2602"/>
    </row>
    <row r="124" spans="2:17">
      <c r="B124" s="440"/>
      <c r="C124" s="29"/>
      <c r="G124" s="2602"/>
      <c r="H124" s="2602"/>
      <c r="I124" s="2602"/>
      <c r="J124" s="2602"/>
      <c r="K124" s="2602"/>
      <c r="L124" s="2602"/>
      <c r="M124" s="2602"/>
      <c r="N124" s="2602"/>
      <c r="O124" s="2602"/>
      <c r="P124" s="2602"/>
      <c r="Q124" s="2602"/>
    </row>
    <row r="125" spans="2:17">
      <c r="B125" s="440"/>
      <c r="C125" s="29"/>
      <c r="G125" s="2602"/>
      <c r="H125" s="2602"/>
      <c r="I125" s="2602"/>
      <c r="J125" s="2602"/>
      <c r="K125" s="2602"/>
      <c r="L125" s="2602"/>
      <c r="M125" s="2602"/>
      <c r="N125" s="2602"/>
      <c r="O125" s="2602"/>
      <c r="P125" s="2602"/>
      <c r="Q125" s="2602"/>
    </row>
    <row r="126" spans="2:17">
      <c r="B126" s="440"/>
      <c r="C126" s="29"/>
      <c r="G126" s="2602"/>
      <c r="H126" s="2602"/>
      <c r="I126" s="2602"/>
      <c r="J126" s="2602"/>
      <c r="K126" s="2602"/>
      <c r="L126" s="2602"/>
      <c r="M126" s="2602"/>
      <c r="N126" s="2602"/>
      <c r="O126" s="2602"/>
      <c r="P126" s="2602"/>
      <c r="Q126" s="2602"/>
    </row>
    <row r="127" spans="2:17">
      <c r="B127" s="440"/>
      <c r="C127" s="29"/>
      <c r="G127" s="2602"/>
      <c r="H127" s="2602"/>
      <c r="I127" s="2602"/>
      <c r="J127" s="2602"/>
      <c r="K127" s="2602"/>
      <c r="L127" s="2602"/>
      <c r="M127" s="2602"/>
      <c r="N127" s="2602"/>
      <c r="O127" s="2602"/>
      <c r="P127" s="2602"/>
      <c r="Q127" s="2602"/>
    </row>
    <row r="128" spans="2:17">
      <c r="B128" s="440"/>
      <c r="C128" s="29"/>
      <c r="G128" s="2602"/>
      <c r="H128" s="2602"/>
      <c r="I128" s="2602"/>
      <c r="J128" s="2602"/>
      <c r="K128" s="2602"/>
      <c r="L128" s="2602"/>
      <c r="M128" s="2602"/>
      <c r="N128" s="2602"/>
      <c r="O128" s="2602"/>
      <c r="P128" s="2602"/>
      <c r="Q128" s="2602"/>
    </row>
    <row r="129" spans="2:17">
      <c r="B129" s="440"/>
      <c r="C129" s="29"/>
      <c r="G129" s="2602"/>
      <c r="H129" s="2602"/>
      <c r="I129" s="2602"/>
      <c r="J129" s="2602"/>
      <c r="K129" s="2602"/>
      <c r="L129" s="2602"/>
      <c r="M129" s="2602"/>
      <c r="N129" s="2602"/>
      <c r="O129" s="2602"/>
      <c r="P129" s="2602"/>
      <c r="Q129" s="2602"/>
    </row>
    <row r="130" spans="2:17">
      <c r="B130" s="440"/>
      <c r="C130" s="29"/>
      <c r="G130" s="2602"/>
      <c r="H130" s="2602"/>
      <c r="I130" s="2602"/>
      <c r="J130" s="2602"/>
      <c r="K130" s="2602"/>
      <c r="L130" s="2602"/>
      <c r="M130" s="2602"/>
      <c r="N130" s="2602"/>
      <c r="O130" s="2602"/>
      <c r="P130" s="2602"/>
      <c r="Q130" s="2602"/>
    </row>
    <row r="131" spans="2:17">
      <c r="B131" s="440"/>
      <c r="C131" s="29"/>
      <c r="G131" s="2602"/>
      <c r="H131" s="2602"/>
      <c r="I131" s="2602"/>
      <c r="J131" s="2602"/>
      <c r="K131" s="2602"/>
      <c r="L131" s="2602"/>
      <c r="M131" s="2602"/>
      <c r="N131" s="2602"/>
      <c r="O131" s="2602"/>
      <c r="P131" s="2602"/>
      <c r="Q131" s="2602"/>
    </row>
    <row r="132" spans="2:17">
      <c r="B132" s="440"/>
      <c r="C132" s="29"/>
      <c r="G132" s="2602"/>
      <c r="H132" s="2602"/>
      <c r="I132" s="2602"/>
      <c r="J132" s="2602"/>
      <c r="K132" s="2602"/>
      <c r="L132" s="2602"/>
      <c r="M132" s="2602"/>
      <c r="N132" s="2602"/>
      <c r="O132" s="2602"/>
      <c r="P132" s="2602"/>
      <c r="Q132" s="2602"/>
    </row>
    <row r="133" spans="2:17">
      <c r="B133" s="440"/>
      <c r="C133" s="29"/>
      <c r="G133" s="2602"/>
      <c r="H133" s="2602"/>
      <c r="I133" s="2602"/>
      <c r="J133" s="2602"/>
      <c r="K133" s="2602"/>
      <c r="L133" s="2602"/>
      <c r="M133" s="2602"/>
      <c r="N133" s="2602"/>
      <c r="O133" s="2602"/>
      <c r="P133" s="2602"/>
      <c r="Q133" s="2602"/>
    </row>
    <row r="134" spans="2:17">
      <c r="B134" s="440"/>
      <c r="C134" s="29"/>
      <c r="G134" s="2602"/>
      <c r="H134" s="2602"/>
      <c r="I134" s="2602"/>
      <c r="J134" s="2602"/>
      <c r="K134" s="2602"/>
      <c r="L134" s="2602"/>
      <c r="M134" s="2602"/>
      <c r="N134" s="2602"/>
      <c r="O134" s="2602"/>
      <c r="P134" s="2602"/>
      <c r="Q134" s="2602"/>
    </row>
    <row r="135" spans="2:17">
      <c r="B135" s="440"/>
      <c r="C135" s="29"/>
      <c r="G135" s="2602"/>
      <c r="H135" s="2602"/>
      <c r="I135" s="2602"/>
      <c r="J135" s="2602"/>
      <c r="K135" s="2602"/>
      <c r="L135" s="2602"/>
      <c r="M135" s="2602"/>
      <c r="N135" s="2602"/>
      <c r="O135" s="2602"/>
      <c r="P135" s="2602"/>
      <c r="Q135" s="2602"/>
    </row>
    <row r="136" spans="2:17">
      <c r="B136" s="440"/>
      <c r="C136" s="29"/>
      <c r="K136" s="2602"/>
      <c r="L136" s="2602"/>
      <c r="M136" s="2602"/>
      <c r="N136" s="2602"/>
      <c r="O136" s="2602"/>
      <c r="P136" s="2602"/>
      <c r="Q136" s="2602"/>
    </row>
    <row r="137" spans="2:17">
      <c r="B137" s="440"/>
      <c r="C137" s="29"/>
      <c r="K137" s="2602"/>
      <c r="L137" s="2602"/>
      <c r="M137" s="2602"/>
      <c r="N137" s="2602"/>
      <c r="O137" s="2602"/>
      <c r="P137" s="2602"/>
      <c r="Q137" s="2602"/>
    </row>
    <row r="138" spans="2:17">
      <c r="B138" s="440"/>
      <c r="C138" s="29"/>
      <c r="K138" s="2602"/>
      <c r="L138" s="2602"/>
      <c r="M138" s="2602"/>
      <c r="N138" s="2602"/>
      <c r="O138" s="2602"/>
      <c r="P138" s="2602"/>
      <c r="Q138" s="2602"/>
    </row>
    <row r="139" spans="2:17">
      <c r="B139" s="440"/>
      <c r="C139" s="29"/>
      <c r="K139" s="2602"/>
      <c r="L139" s="2602"/>
      <c r="M139" s="2602"/>
      <c r="N139" s="2602"/>
      <c r="O139" s="2602"/>
      <c r="P139" s="2602"/>
      <c r="Q139" s="2602"/>
    </row>
    <row r="140" spans="2:17">
      <c r="B140" s="440"/>
      <c r="C140" s="29"/>
      <c r="K140" s="2602"/>
      <c r="L140" s="2602"/>
      <c r="M140" s="2602"/>
      <c r="N140" s="2602"/>
      <c r="O140" s="2602"/>
      <c r="P140" s="2602"/>
      <c r="Q140" s="2602"/>
    </row>
    <row r="141" spans="2:17">
      <c r="B141" s="440"/>
      <c r="C141" s="29"/>
      <c r="K141" s="2602"/>
      <c r="L141" s="2602"/>
      <c r="M141" s="2602"/>
      <c r="N141" s="2602"/>
      <c r="O141" s="2602"/>
      <c r="P141" s="2602"/>
      <c r="Q141" s="2602"/>
    </row>
    <row r="142" spans="2:17">
      <c r="B142" s="440"/>
      <c r="C142" s="29"/>
      <c r="K142" s="2602"/>
      <c r="L142" s="2602"/>
      <c r="M142" s="2602"/>
      <c r="N142" s="2602"/>
      <c r="O142" s="2602"/>
      <c r="P142" s="2602"/>
      <c r="Q142" s="2602"/>
    </row>
    <row r="143" spans="2:17">
      <c r="B143" s="440"/>
      <c r="C143" s="29"/>
      <c r="K143" s="2602"/>
      <c r="L143" s="2602"/>
      <c r="M143" s="2602"/>
      <c r="N143" s="2602"/>
      <c r="O143" s="2602"/>
      <c r="P143" s="2602"/>
      <c r="Q143" s="2602"/>
    </row>
    <row r="144" spans="2:17">
      <c r="B144" s="440"/>
      <c r="C144" s="29"/>
      <c r="K144" s="2602"/>
      <c r="L144" s="2602"/>
      <c r="M144" s="2602"/>
      <c r="N144" s="2602"/>
      <c r="O144" s="2602"/>
      <c r="P144" s="2602"/>
      <c r="Q144" s="2602"/>
    </row>
    <row r="145" spans="2:17">
      <c r="B145" s="440"/>
      <c r="C145" s="29"/>
      <c r="K145" s="2602"/>
      <c r="L145" s="2602"/>
      <c r="M145" s="2602"/>
      <c r="N145" s="2602"/>
      <c r="O145" s="2602"/>
      <c r="P145" s="2602"/>
      <c r="Q145" s="2602"/>
    </row>
    <row r="146" spans="2:17">
      <c r="B146" s="440"/>
      <c r="C146" s="29"/>
      <c r="K146" s="2602"/>
      <c r="L146" s="2602"/>
      <c r="M146" s="2602"/>
      <c r="N146" s="2602"/>
      <c r="O146" s="2602"/>
      <c r="P146" s="2602"/>
      <c r="Q146" s="2602"/>
    </row>
    <row r="147" spans="2:17">
      <c r="B147" s="440"/>
      <c r="C147" s="29"/>
    </row>
    <row r="148" spans="2:17">
      <c r="B148" s="440"/>
      <c r="C148" s="29"/>
      <c r="H148" s="1354"/>
      <c r="J148" s="1563"/>
    </row>
    <row r="149" spans="2:17">
      <c r="B149" s="440"/>
      <c r="C149" s="29"/>
      <c r="H149" s="1354"/>
      <c r="J149" s="1563"/>
    </row>
    <row r="150" spans="2:17">
      <c r="B150" s="440"/>
      <c r="C150" s="29"/>
      <c r="H150" s="1354"/>
      <c r="J150" s="1563"/>
    </row>
    <row r="151" spans="2:17">
      <c r="B151" s="440"/>
      <c r="C151" s="29"/>
      <c r="D151" s="29"/>
      <c r="F151" s="29"/>
      <c r="H151" s="29"/>
      <c r="I151" s="29"/>
      <c r="J151" s="29"/>
      <c r="L151" s="29"/>
    </row>
    <row r="152" spans="2:17">
      <c r="B152" s="440"/>
      <c r="C152" s="29"/>
      <c r="D152" s="29"/>
      <c r="F152" s="29"/>
      <c r="H152" s="29"/>
      <c r="I152" s="29"/>
      <c r="J152" s="29"/>
      <c r="L152" s="29"/>
    </row>
    <row r="153" spans="2:17">
      <c r="B153" s="440"/>
      <c r="C153" s="29"/>
      <c r="D153" s="29"/>
      <c r="F153" s="29"/>
      <c r="H153" s="29"/>
      <c r="I153" s="29"/>
      <c r="J153" s="29"/>
      <c r="L153" s="29"/>
    </row>
    <row r="154" spans="2:17">
      <c r="B154" s="440"/>
      <c r="C154" s="29"/>
      <c r="D154" s="29"/>
      <c r="F154" s="29"/>
      <c r="G154" s="29"/>
      <c r="H154" s="29"/>
      <c r="I154" s="29"/>
      <c r="J154" s="29"/>
      <c r="L154" s="29"/>
    </row>
    <row r="155" spans="2:17">
      <c r="B155" s="440"/>
      <c r="C155" s="29"/>
      <c r="D155" s="29"/>
      <c r="F155" s="29"/>
      <c r="G155" s="29"/>
      <c r="H155" s="29"/>
      <c r="I155" s="29"/>
      <c r="J155" s="29"/>
      <c r="L155" s="29"/>
    </row>
    <row r="156" spans="2:17">
      <c r="B156" s="440"/>
      <c r="C156" s="29"/>
      <c r="D156" s="29"/>
      <c r="F156" s="29"/>
      <c r="G156" s="29"/>
      <c r="H156" s="29"/>
      <c r="I156" s="29"/>
      <c r="J156" s="29"/>
      <c r="L156" s="29"/>
    </row>
    <row r="157" spans="2:17">
      <c r="B157" s="440"/>
      <c r="C157" s="29"/>
    </row>
    <row r="158" spans="2:17">
      <c r="B158" s="440"/>
      <c r="C158" s="29"/>
    </row>
    <row r="159" spans="2:17">
      <c r="B159" s="440"/>
      <c r="C159" s="29"/>
    </row>
    <row r="160" spans="2:17">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row r="207" spans="2:3">
      <c r="B207" s="440"/>
      <c r="C207" s="29"/>
    </row>
    <row r="208" spans="2:3">
      <c r="B208" s="440"/>
      <c r="C208" s="29"/>
    </row>
    <row r="209" spans="2:3">
      <c r="B209" s="440"/>
      <c r="C209" s="29"/>
    </row>
    <row r="210" spans="2:3">
      <c r="B210" s="440"/>
      <c r="C210" s="29" t="e">
        <f>SDÖ5!#REF!</f>
        <v>#REF!</v>
      </c>
    </row>
    <row r="211" spans="2:3">
      <c r="B211" s="440"/>
      <c r="C211" s="29" t="e">
        <f>SDÖ5!#REF!</f>
        <v>#REF!</v>
      </c>
    </row>
    <row r="212" spans="2:3">
      <c r="B212" s="440"/>
    </row>
  </sheetData>
  <sheetProtection sheet="1" selectLockedCells="1"/>
  <dataConsolidate/>
  <customSheetViews>
    <customSheetView guid="{8063F48F-80B5-4ECD-B18A-51CBF126E780}" fitToPage="1" printArea="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68" firstPageNumber="16" orientation="portrait" r:id="rId1"/>
      <headerFooter alignWithMargins="0">
        <oddFooter>&amp;L&amp;11LEL Schwäbisch Gmünd&amp;R&amp;11&amp;F</oddFooter>
      </headerFooter>
    </customSheetView>
    <customSheetView guid="{5D5C9B61-9ABD-4513-AAEB-8333A9D6196C}" fitToPage="1" hiddenRows="1" hiddenColumns="1" topLeftCell="C1">
      <selection activeCell="AE33" sqref="AE33:AE34"/>
      <pageMargins left="0.59055118110236227" right="0.57999999999999996" top="0.59055118110236227" bottom="0.59055118110236227" header="0.39370078740157483" footer="0.39370078740157483"/>
      <printOptions horizontalCentered="1"/>
      <pageSetup paperSize="9" scale="68" firstPageNumber="16" orientation="portrait" r:id="rId2"/>
      <headerFooter alignWithMargins="0">
        <oddFooter>&amp;L&amp;11LEL Schwäbisch Gmünd&amp;R&amp;11&amp;F</oddFooter>
      </headerFooter>
    </customSheetView>
    <customSheetView guid="{22A73C4F-9004-4CEF-8499-B1F91BE1B569}"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68" firstPageNumber="16" orientation="portrait" r:id="rId3"/>
      <headerFooter alignWithMargins="0">
        <oddFooter>&amp;L&amp;11LEL Schwäbisch Gmünd&amp;R&amp;11&amp;F</oddFooter>
      </headerFooter>
    </customSheetView>
  </customSheetViews>
  <mergeCells count="50">
    <mergeCell ref="B3:H3"/>
    <mergeCell ref="E10:F10"/>
    <mergeCell ref="C14:F14"/>
    <mergeCell ref="C47:D47"/>
    <mergeCell ref="C42:E42"/>
    <mergeCell ref="C36:E36"/>
    <mergeCell ref="C74:E74"/>
    <mergeCell ref="B75:C75"/>
    <mergeCell ref="C53:D53"/>
    <mergeCell ref="C56:D56"/>
    <mergeCell ref="C62:E62"/>
    <mergeCell ref="C55:D55"/>
    <mergeCell ref="C63:E63"/>
    <mergeCell ref="C68:E68"/>
    <mergeCell ref="C73:E73"/>
    <mergeCell ref="C57:D57"/>
    <mergeCell ref="C64:E64"/>
    <mergeCell ref="C54:D54"/>
    <mergeCell ref="N1:O1"/>
    <mergeCell ref="C41:E41"/>
    <mergeCell ref="C16:F16"/>
    <mergeCell ref="H6:I6"/>
    <mergeCell ref="J3:L3"/>
    <mergeCell ref="N6:O6"/>
    <mergeCell ref="K2:P2"/>
    <mergeCell ref="N3:O4"/>
    <mergeCell ref="C40:E40"/>
    <mergeCell ref="C37:E37"/>
    <mergeCell ref="K6:L6"/>
    <mergeCell ref="E22:G22"/>
    <mergeCell ref="D26:E26"/>
    <mergeCell ref="F34:G34"/>
    <mergeCell ref="J4:L4"/>
    <mergeCell ref="C38:E38"/>
    <mergeCell ref="C49:D49"/>
    <mergeCell ref="C50:D50"/>
    <mergeCell ref="C51:D51"/>
    <mergeCell ref="C52:D52"/>
    <mergeCell ref="K1:L1"/>
    <mergeCell ref="C48:D48"/>
    <mergeCell ref="C46:D46"/>
    <mergeCell ref="C39:E39"/>
    <mergeCell ref="E4:I4"/>
    <mergeCell ref="C15:F15"/>
    <mergeCell ref="C17:F17"/>
    <mergeCell ref="C19:F19"/>
    <mergeCell ref="F23:G23"/>
    <mergeCell ref="D25:E25"/>
    <mergeCell ref="C20:F20"/>
    <mergeCell ref="C21:F21"/>
  </mergeCells>
  <dataValidations count="5">
    <dataValidation type="whole" allowBlank="1" showInputMessage="1" showErrorMessage="1" errorTitle="Anteil Erntegut" error="Prozentwert darf nur zwischen 0 und 100 liegen." sqref="O68 L68 I68" xr:uid="{00000000-0002-0000-4000-000000000000}">
      <formula1>0</formula1>
      <formula2>100</formula2>
    </dataValidation>
    <dataValidation type="decimal" allowBlank="1" showInputMessage="1" showErrorMessage="1" errorTitle="Wassergehalt Getreide" error="Zulässig sind nur Werte zwischen 14,1 und 29,9 % Wassergehalt." sqref="H68 K68 N68" xr:uid="{00000000-0002-0000-4000-000001000000}">
      <formula1>15.1</formula1>
      <formula2>29.9</formula2>
    </dataValidation>
    <dataValidation type="list" showInputMessage="1" showErrorMessage="1" sqref="H14 K14 N14" xr:uid="{00000000-0002-0000-4000-000002000000}">
      <formula1>"ja,nein"</formula1>
    </dataValidation>
    <dataValidation type="list" allowBlank="1" showInputMessage="1" showErrorMessage="1" sqref="H15:H17 K15:K17 N15:N17" xr:uid="{00000000-0002-0000-4000-000003000000}">
      <formula1>"ja,nein"</formula1>
    </dataValidation>
    <dataValidation type="list" allowBlank="1" showInputMessage="1" showErrorMessage="1" sqref="D19:F19" xr:uid="{00000000-0002-0000-4000-000004000000}">
      <formula1>$C$60:$C$75</formula1>
    </dataValidation>
  </dataValidations>
  <hyperlinks>
    <hyperlink ref="F9" location="SDÖ1!A1" display="Preis ändern" xr:uid="{00000000-0004-0000-4000-000000000000}"/>
  </hyperlinks>
  <printOptions horizontalCentered="1"/>
  <pageMargins left="0.59055118110236227" right="0.57999999999999996" top="0.59055118110236227" bottom="0.59055118110236227" header="0.39370078740157483" footer="0.39370078740157483"/>
  <pageSetup paperSize="9" scale="68" firstPageNumber="16" orientation="portrait" r:id="rId4"/>
  <headerFooter alignWithMargins="0">
    <oddFooter>&amp;L&amp;11LEL Schwäbisch Gmünd&amp;R&amp;11&amp;F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69648" r:id="rId7" name="Check Box 16">
              <controlPr defaultSize="0" autoFill="0" autoLine="0" autoPict="0">
                <anchor moveWithCells="1">
                  <from>
                    <xdr:col>12</xdr:col>
                    <xdr:colOff>114300</xdr:colOff>
                    <xdr:row>2</xdr:row>
                    <xdr:rowOff>259080</xdr:rowOff>
                  </from>
                  <to>
                    <xdr:col>12</xdr:col>
                    <xdr:colOff>373380</xdr:colOff>
                    <xdr:row>3</xdr:row>
                    <xdr:rowOff>76200</xdr:rowOff>
                  </to>
                </anchor>
              </controlPr>
            </control>
          </mc:Choice>
        </mc:AlternateContent>
        <mc:AlternateContent xmlns:mc="http://schemas.openxmlformats.org/markup-compatibility/2006">
          <mc:Choice Requires="x14">
            <control shapeId="69649" r:id="rId8" name="Check Box 17">
              <controlPr defaultSize="0" autoFill="0" autoLine="0" autoPict="0">
                <anchor moveWithCells="1">
                  <from>
                    <xdr:col>12</xdr:col>
                    <xdr:colOff>114300</xdr:colOff>
                    <xdr:row>2</xdr:row>
                    <xdr:rowOff>7620</xdr:rowOff>
                  </from>
                  <to>
                    <xdr:col>12</xdr:col>
                    <xdr:colOff>381000</xdr:colOff>
                    <xdr:row>2</xdr:row>
                    <xdr:rowOff>251460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errorTitle="Verfahrensabh. Ausgleichsleist." error="Bitte aus Dropdownliste auswählen." xr:uid="{00000000-0002-0000-4000-000005000000}">
          <x14:formula1>
            <xm:f>'SD2'!$C$11:$C$50</xm:f>
          </x14:formula1>
          <xm:sqref>C14:F17</xm:sqref>
        </x14:dataValidation>
        <x14:dataValidation type="list" allowBlank="1" showInputMessage="1" showErrorMessage="1" xr:uid="{00000000-0002-0000-4000-000006000000}">
          <x14:formula1>
            <xm:f>'SD2'!$C$60:$C$77</xm:f>
          </x14:formula1>
          <xm:sqref>C19:C21</xm:sqref>
        </x14:dataValidation>
        <x14:dataValidation type="list" allowBlank="1" showInputMessage="1" showErrorMessage="1" errorTitle="Arbeitsgänge" error="Bitte aus Dropdownliste auswählen." xr:uid="{00000000-0002-0000-4000-000007000000}">
          <x14:formula1>
            <xm:f>'SD3'!$C$23:$C$75</xm:f>
          </x14:formula1>
          <xm:sqref>C46:D57</xm:sqref>
        </x14:dataValidation>
        <x14:dataValidation type="list" allowBlank="1" showInputMessage="1" showErrorMessage="1" xr:uid="{00000000-0002-0000-4000-000008000000}">
          <x14:formula1>
            <xm:f>SDÖ5!$C$6:$C$11</xm:f>
          </x14:formula1>
          <xm:sqref>C36:E36</xm:sqref>
        </x14:dataValidation>
        <x14:dataValidation type="list" allowBlank="1" showInputMessage="1" showErrorMessage="1" xr:uid="{00000000-0002-0000-4000-000009000000}">
          <x14:formula1>
            <xm:f>SDÖ5!$C$5:$C$16</xm:f>
          </x14:formula1>
          <xm:sqref>C37:E42</xm:sqref>
        </x14:dataValidation>
        <x14:dataValidation type="list" allowBlank="1" showInputMessage="1" showErrorMessage="1" errorTitle="Lohnmaschinen" error="Bitte aus Dropdownliste auswählen." xr:uid="{00000000-0002-0000-4000-00000A000000}">
          <x14:formula1>
            <xm:f>'SD3'!$C$90:$C$104</xm:f>
          </x14:formula1>
          <xm:sqref>C62:E64</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abelle81">
    <tabColor rgb="FFFFFF00"/>
    <pageSetUpPr fitToPage="1"/>
  </sheetPr>
  <dimension ref="A1:AO206"/>
  <sheetViews>
    <sheetView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25.59765625" style="28" hidden="1" customWidth="1"/>
    <col min="18" max="26" width="10.5" style="27" hidden="1" customWidth="1"/>
    <col min="27" max="28" width="10.5" style="27" customWidth="1"/>
    <col min="29" max="16384" width="10.5" style="27"/>
  </cols>
  <sheetData>
    <row r="1" spans="1:41" s="219" customFormat="1" ht="30.15" customHeight="1">
      <c r="A1" s="1681"/>
      <c r="B1" s="258"/>
      <c r="C1" s="1333"/>
      <c r="D1" s="100"/>
      <c r="E1" s="255"/>
      <c r="F1" s="255"/>
      <c r="G1" s="3207"/>
      <c r="H1" s="3207"/>
      <c r="I1" s="3208" t="s">
        <v>1679</v>
      </c>
      <c r="J1" s="3210">
        <f>(J7+J13+J18+J22)-(J23+J27+J34+J43+J60+J65+J67+J69+J71+J75)</f>
        <v>822.9636136944996</v>
      </c>
      <c r="K1" s="4360">
        <f>M1-J1</f>
        <v>351.75479712635592</v>
      </c>
      <c r="L1" s="4360"/>
      <c r="M1" s="3210">
        <f>(M7+M13+M18+M22)-(M23+M27+M34+M43+M60+M65+M67+M69+M71+M75)</f>
        <v>1174.7184108208555</v>
      </c>
      <c r="N1" s="4360">
        <f>P1-M1</f>
        <v>175.87739856317808</v>
      </c>
      <c r="O1" s="4360"/>
      <c r="P1" s="3210">
        <f>(P7+P13+P18+P22)-(P23+P27+P34+P43+P60+P65+P67+P69+P71+P75)</f>
        <v>1350.5958093840336</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1388</v>
      </c>
      <c r="L2" s="4372"/>
      <c r="M2" s="4372"/>
      <c r="N2" s="4372"/>
      <c r="O2" s="4372"/>
      <c r="P2" s="4372"/>
      <c r="Q2" s="1321"/>
    </row>
    <row r="3" spans="1:41" s="219" customFormat="1" ht="32.4" customHeight="1">
      <c r="A3" s="1681"/>
      <c r="B3" s="4405" t="s">
        <v>1727</v>
      </c>
      <c r="C3" s="4405"/>
      <c r="D3" s="4405"/>
      <c r="E3" s="4405"/>
      <c r="F3" s="4405"/>
      <c r="G3" s="4405"/>
      <c r="H3" s="4405"/>
      <c r="J3" s="4368" t="s">
        <v>886</v>
      </c>
      <c r="K3" s="4447"/>
      <c r="L3" s="4447"/>
      <c r="M3" s="1689"/>
      <c r="N3" s="4444" t="str">
        <f>IF(AND(T3=TRUE,T4=TRUE),"nur 1 Strohnutzung möglich","")</f>
        <v/>
      </c>
      <c r="O3" s="4374"/>
      <c r="P3" s="1326"/>
      <c r="Q3" s="1681"/>
      <c r="T3" s="1343" t="b">
        <v>0</v>
      </c>
    </row>
    <row r="4" spans="1:41" s="219" customFormat="1" ht="20.25" customHeight="1">
      <c r="A4" s="1681"/>
      <c r="B4" s="309" t="s">
        <v>779</v>
      </c>
      <c r="C4" s="27"/>
      <c r="D4" s="27"/>
      <c r="E4" s="4406" t="s">
        <v>890</v>
      </c>
      <c r="F4" s="4406"/>
      <c r="G4" s="4406"/>
      <c r="H4" s="4406"/>
      <c r="I4" s="4406"/>
      <c r="J4" s="4368" t="s">
        <v>875</v>
      </c>
      <c r="K4" s="4447"/>
      <c r="L4" s="4447"/>
      <c r="M4" s="1688"/>
      <c r="N4" s="4374"/>
      <c r="O4" s="4374"/>
      <c r="P4" s="1322">
        <f>SDÖ1!O3</f>
        <v>2024</v>
      </c>
      <c r="Q4" s="1681"/>
      <c r="T4" s="1343" t="b">
        <v>1</v>
      </c>
      <c r="U4" s="1690"/>
    </row>
    <row r="5" spans="1:41" ht="6" customHeight="1"/>
    <row r="6" spans="1:41" s="1311" customFormat="1" ht="24" customHeight="1">
      <c r="A6" s="41"/>
      <c r="B6" s="1316" t="s">
        <v>832</v>
      </c>
      <c r="C6" s="1315"/>
      <c r="D6" s="1315"/>
      <c r="E6" s="1315"/>
      <c r="F6" s="1315"/>
      <c r="G6" s="1314" t="s">
        <v>1141</v>
      </c>
      <c r="H6" s="4366" t="s">
        <v>171</v>
      </c>
      <c r="I6" s="4367"/>
      <c r="J6" s="1313">
        <f>M6*0.75</f>
        <v>30</v>
      </c>
      <c r="K6" s="4379" t="s">
        <v>144</v>
      </c>
      <c r="L6" s="4380"/>
      <c r="M6" s="1313">
        <v>40</v>
      </c>
      <c r="N6" s="4366" t="s">
        <v>170</v>
      </c>
      <c r="O6" s="4367"/>
      <c r="P6" s="1312">
        <v>45</v>
      </c>
      <c r="Q6" s="49"/>
    </row>
    <row r="7" spans="1:41" s="196" customFormat="1" ht="18.75" customHeight="1">
      <c r="A7" s="40"/>
      <c r="B7" s="245" t="s">
        <v>1133</v>
      </c>
      <c r="C7" s="40"/>
      <c r="D7" s="40"/>
      <c r="E7" s="40"/>
      <c r="F7" s="40"/>
      <c r="G7" s="1310" t="s">
        <v>163</v>
      </c>
      <c r="H7" s="1307"/>
      <c r="I7" s="1306"/>
      <c r="J7" s="1041">
        <f>SUM(I9:I12)</f>
        <v>1591.1999999999998</v>
      </c>
      <c r="K7" s="1309"/>
      <c r="L7" s="1308"/>
      <c r="M7" s="1044">
        <f>SUM(L9:L12)</f>
        <v>2121.6</v>
      </c>
      <c r="N7" s="1307"/>
      <c r="O7" s="1306"/>
      <c r="P7" s="1041">
        <f>SUM(O9:O12)</f>
        <v>2386.8000000000002</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t="s">
        <v>882</v>
      </c>
      <c r="G9" s="1221">
        <f>SDÖ1!O18</f>
        <v>43.44</v>
      </c>
      <c r="H9" s="1303">
        <f>J6-H10</f>
        <v>30</v>
      </c>
      <c r="I9" s="1299">
        <f>H9*G9</f>
        <v>1303.1999999999998</v>
      </c>
      <c r="J9" s="37"/>
      <c r="K9" s="1302">
        <f>M6-K10</f>
        <v>40</v>
      </c>
      <c r="L9" s="1301">
        <f>K9*G9</f>
        <v>1737.6</v>
      </c>
      <c r="M9" s="1280"/>
      <c r="N9" s="1300">
        <f>P6-N10</f>
        <v>45</v>
      </c>
      <c r="O9" s="1299">
        <f>N9*G9</f>
        <v>1954.8</v>
      </c>
      <c r="P9" s="37"/>
      <c r="Q9" s="28"/>
      <c r="R9" s="517"/>
      <c r="S9" s="208" t="s">
        <v>887</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288</v>
      </c>
      <c r="S10" s="1288">
        <f>L10+L11+L12</f>
        <v>384</v>
      </c>
      <c r="T10" s="1287">
        <f>O10+O11+O12</f>
        <v>432</v>
      </c>
      <c r="W10" s="196" t="s">
        <v>879</v>
      </c>
    </row>
    <row r="11" spans="1:41" s="1268" customFormat="1" ht="15" customHeight="1">
      <c r="A11" s="309"/>
      <c r="B11" s="3147"/>
      <c r="C11" s="1006" t="s">
        <v>878</v>
      </c>
      <c r="D11" s="3148"/>
      <c r="E11" s="3149">
        <v>0.8</v>
      </c>
      <c r="F11" s="1006" t="s">
        <v>877</v>
      </c>
      <c r="G11" s="3150">
        <f>SDÖ1!$O$52</f>
        <v>12</v>
      </c>
      <c r="H11" s="3151">
        <f>IF(OR($T$3,$T$4)=TRUE,J6*$E$11,0)</f>
        <v>24</v>
      </c>
      <c r="I11" s="3152">
        <f>H11*$G$11</f>
        <v>288</v>
      </c>
      <c r="J11" s="3153"/>
      <c r="K11" s="3154">
        <f>IF(OR($T$3,$T$4)=TRUE,M6*$E$11,0)</f>
        <v>32</v>
      </c>
      <c r="L11" s="3155">
        <f>K11*$G$11</f>
        <v>384</v>
      </c>
      <c r="M11" s="3156"/>
      <c r="N11" s="3157">
        <f>IF(OR($T$3,$T$4)=TRUE,P6*$E$11,0)</f>
        <v>36</v>
      </c>
      <c r="O11" s="3152">
        <f>N11*$G$11</f>
        <v>432</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2643">
        <f>IF(AND(L12&gt;0,T4=FALSE),"keine Angabe bei M4 ?",0)</f>
        <v>0</v>
      </c>
      <c r="N12" s="1270"/>
      <c r="O12" s="1269">
        <f>IF(T4=TRUE,L12*(P6/M6),0)</f>
        <v>0</v>
      </c>
      <c r="P12" s="37"/>
      <c r="Q12" s="34"/>
      <c r="U12" s="196"/>
      <c r="V12" s="196"/>
      <c r="W12" s="1266" t="s">
        <v>872</v>
      </c>
      <c r="X12" s="1264">
        <f>IF(OR(T3=TRUE,T4=TRUE),J6*$E$11,"0")</f>
        <v>24</v>
      </c>
      <c r="Y12" s="1265">
        <f>IF(OR(T3=TRUE,T4=TRUE),M6*$E$11,"0")</f>
        <v>32</v>
      </c>
      <c r="Z12" s="1264">
        <f>IF(OR(T3=TRUE,T4=TRUE),P6*$E$11,"0")</f>
        <v>36</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W13" s="36" t="s">
        <v>236</v>
      </c>
      <c r="X13" s="1260">
        <f>$X$12*F30</f>
        <v>12</v>
      </c>
      <c r="Y13" s="1260">
        <f>$Y$12*F30</f>
        <v>16</v>
      </c>
      <c r="Z13" s="1260">
        <f>$Z$12*F30</f>
        <v>18</v>
      </c>
    </row>
    <row r="14" spans="1:41" s="36" customFormat="1" ht="15" customHeight="1">
      <c r="A14" s="39"/>
      <c r="B14" s="1247"/>
      <c r="C14" s="4365" t="s">
        <v>1511</v>
      </c>
      <c r="D14" s="4365"/>
      <c r="E14" s="4365"/>
      <c r="F14" s="4365"/>
      <c r="G14" s="1263"/>
      <c r="H14" s="1391" t="s">
        <v>919</v>
      </c>
      <c r="I14" s="2827">
        <f>IF(H14="ja",Q14,0)</f>
        <v>240</v>
      </c>
      <c r="J14" s="39"/>
      <c r="K14" s="1262" t="s">
        <v>919</v>
      </c>
      <c r="L14" s="1098">
        <f>IF(K14="ja",Q14,0)</f>
        <v>240</v>
      </c>
      <c r="M14" s="1016"/>
      <c r="N14" s="1262" t="s">
        <v>919</v>
      </c>
      <c r="O14" s="2827">
        <f>IF(N14="ja",Q14,0)</f>
        <v>240</v>
      </c>
      <c r="P14" s="2826"/>
      <c r="Q14" s="1261">
        <f>IF(C14=0,0,VLOOKUP(C14,'SD2'!$C$11:$O$50,'SD2'!$O$1,FALSE))</f>
        <v>240</v>
      </c>
      <c r="R14" s="1350"/>
      <c r="S14" s="1349"/>
      <c r="T14" s="1348"/>
      <c r="W14" s="36" t="s">
        <v>685</v>
      </c>
      <c r="X14" s="1260">
        <f>$X$12*F31</f>
        <v>7.2000000000000011</v>
      </c>
      <c r="Y14" s="1260">
        <f>$Y$12*F31</f>
        <v>9.6000000000000014</v>
      </c>
      <c r="Z14" s="1260">
        <f>$Z$12*F31</f>
        <v>10.8</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347"/>
      <c r="S15" s="1343"/>
      <c r="T15" s="1346"/>
      <c r="W15" s="36" t="s">
        <v>684</v>
      </c>
      <c r="X15" s="1260">
        <f>$X$12*F32</f>
        <v>40.799999999999997</v>
      </c>
      <c r="Y15" s="1260">
        <f>$Y$12*F32</f>
        <v>54.4</v>
      </c>
      <c r="Z15" s="1260">
        <f>$Z$12*F32</f>
        <v>61.199999999999996</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347"/>
      <c r="S16" s="1343"/>
      <c r="T16" s="1346"/>
      <c r="W16" s="36" t="s">
        <v>230</v>
      </c>
      <c r="X16" s="1260">
        <f>$X$12*F33</f>
        <v>3.8399999999999994</v>
      </c>
      <c r="Y16" s="1260">
        <f>$Y$12*F33</f>
        <v>5.1199999999999992</v>
      </c>
      <c r="Z16" s="1260">
        <f>$Z$12*F33</f>
        <v>5.7599999999999989</v>
      </c>
    </row>
    <row r="17" spans="1:33" s="511" customFormat="1" ht="15" customHeight="1">
      <c r="A17" s="40"/>
      <c r="B17" s="1247"/>
      <c r="C17" s="4365"/>
      <c r="D17" s="4365"/>
      <c r="E17" s="4365"/>
      <c r="F17" s="4365"/>
      <c r="G17" s="1670"/>
      <c r="H17" s="2642" t="s">
        <v>871</v>
      </c>
      <c r="I17" s="2809">
        <f>IF(H17="ja",Q17,0)</f>
        <v>0</v>
      </c>
      <c r="J17" s="223"/>
      <c r="K17" s="2642" t="s">
        <v>871</v>
      </c>
      <c r="L17" s="1080">
        <f>IF(K17="ja",Q17,0)</f>
        <v>0</v>
      </c>
      <c r="M17" s="1256"/>
      <c r="N17" s="2642" t="s">
        <v>871</v>
      </c>
      <c r="O17" s="2809">
        <f>IF(N17="ja",Q17,0)</f>
        <v>0</v>
      </c>
      <c r="P17" s="2808"/>
      <c r="Q17" s="1261">
        <f>IF(C17=0,0,VLOOKUP(C17,'SD2'!$C$11:$O$50,'SD2'!$O$1,FALSE))</f>
        <v>0</v>
      </c>
    </row>
    <row r="18" spans="1:33" s="36" customFormat="1" ht="18.75" customHeight="1">
      <c r="A18" s="39"/>
      <c r="B18" s="209" t="s">
        <v>1563</v>
      </c>
      <c r="C18" s="1672"/>
      <c r="D18" s="1672"/>
      <c r="E18" s="1672"/>
      <c r="F18" s="1672"/>
      <c r="G18" s="1246"/>
      <c r="H18" s="1244"/>
      <c r="I18" s="2827"/>
      <c r="J18" s="1041">
        <f>SUM(I19:I21)</f>
        <v>177</v>
      </c>
      <c r="K18" s="1245"/>
      <c r="L18" s="1098"/>
      <c r="M18" s="1044">
        <f>SUM(L19:L21)</f>
        <v>177</v>
      </c>
      <c r="N18" s="1244"/>
      <c r="O18" s="2827"/>
      <c r="P18" s="1111">
        <f>SUM(O19:O21)</f>
        <v>177</v>
      </c>
      <c r="Q18" s="28"/>
      <c r="R18" s="514" t="s">
        <v>870</v>
      </c>
      <c r="S18" s="308"/>
      <c r="T18" s="1248"/>
    </row>
    <row r="19" spans="1:33" ht="15.6" customHeight="1">
      <c r="A19" s="309"/>
      <c r="B19" s="1247"/>
      <c r="C19" s="4365" t="s">
        <v>1560</v>
      </c>
      <c r="D19" s="4365"/>
      <c r="E19" s="4365"/>
      <c r="F19" s="4365"/>
      <c r="G19" s="2914" t="s">
        <v>163</v>
      </c>
      <c r="H19" s="1244"/>
      <c r="I19" s="2827">
        <f>IF(OR($C19=0,$J$6=0),0,VLOOKUP($C19,'SD2'!C60:O78,12,FALSE))</f>
        <v>155</v>
      </c>
      <c r="J19" s="39"/>
      <c r="K19" s="1245"/>
      <c r="L19" s="1098">
        <f>IF(OR($C19=0,$M$6=0),0,VLOOKUP($C19,'SD2'!$C$60:$O$78,12,FALSE))</f>
        <v>155</v>
      </c>
      <c r="M19" s="1016"/>
      <c r="N19" s="1244"/>
      <c r="O19" s="2827">
        <f>IF(OR($C19=0,$P$6=0),0,VLOOKUP($C19,'SD2'!C60:O78,12,FALSE))</f>
        <v>155</v>
      </c>
      <c r="P19" s="2826"/>
      <c r="R19" s="1242">
        <f>J13+J18</f>
        <v>417</v>
      </c>
      <c r="S19" s="1242">
        <f>M13+M18</f>
        <v>417</v>
      </c>
      <c r="T19" s="1242">
        <f>P13+P18</f>
        <v>417</v>
      </c>
      <c r="AF19" s="36"/>
      <c r="AG19" s="36"/>
    </row>
    <row r="20" spans="1:33" s="2894" customFormat="1" ht="15.6" customHeight="1">
      <c r="A20" s="2788"/>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2895"/>
      <c r="R20" s="2888"/>
      <c r="S20" s="2888"/>
      <c r="T20" s="2888"/>
      <c r="AF20" s="36"/>
      <c r="AG20" s="36"/>
    </row>
    <row r="21" spans="1:33" s="2894" customFormat="1" ht="15.6" customHeight="1">
      <c r="A21" s="2788"/>
      <c r="B21" s="1247"/>
      <c r="C21" s="4365"/>
      <c r="D21" s="4365"/>
      <c r="E21" s="4365"/>
      <c r="F21" s="4365"/>
      <c r="G21" s="2914"/>
      <c r="H21" s="1244"/>
      <c r="I21" s="2827">
        <f>IF(OR($C21=0,$J$6=0),0,VLOOKUP($C21,'SD2'!C62:O79,12,FALSE))</f>
        <v>0</v>
      </c>
      <c r="J21" s="2783"/>
      <c r="K21" s="1245"/>
      <c r="L21" s="2829">
        <f>IF(OR($C21=0,$M$6=0),0,VLOOKUP($C21,'SD2'!$C$60:$O$78,12,FALSE))</f>
        <v>0</v>
      </c>
      <c r="M21" s="2795"/>
      <c r="N21" s="1244"/>
      <c r="O21" s="2827">
        <f>IF(OR($C21=0,$P$6=0),0,VLOOKUP($C21,'SD2'!C62:O79,12,FALSE))</f>
        <v>0</v>
      </c>
      <c r="P21" s="2808"/>
      <c r="Q21" s="2895"/>
      <c r="R21" s="2888"/>
      <c r="S21" s="2888"/>
      <c r="T21" s="2888"/>
      <c r="AF21" s="36"/>
      <c r="AG21" s="36"/>
    </row>
    <row r="22" spans="1:33" ht="15.6" customHeight="1">
      <c r="A22" s="309"/>
      <c r="B22" s="245" t="s">
        <v>869</v>
      </c>
      <c r="C22" s="39"/>
      <c r="D22" s="1234"/>
      <c r="E22" s="4370" t="s">
        <v>868</v>
      </c>
      <c r="F22" s="4370"/>
      <c r="G22" s="4371"/>
      <c r="H22" s="1231"/>
      <c r="I22" s="1230"/>
      <c r="J22" s="1229"/>
      <c r="K22" s="1233"/>
      <c r="L22" s="1232"/>
      <c r="M22" s="1229"/>
      <c r="N22" s="1231"/>
      <c r="O22" s="1230"/>
      <c r="P22" s="1229"/>
    </row>
    <row r="23" spans="1:33" s="36" customFormat="1" ht="18.75" customHeight="1">
      <c r="A23" s="746"/>
      <c r="B23" s="209" t="s">
        <v>214</v>
      </c>
      <c r="C23" s="1228"/>
      <c r="D23" s="1228"/>
      <c r="E23" s="34"/>
      <c r="F23" s="4381"/>
      <c r="G23" s="4382" t="s">
        <v>163</v>
      </c>
      <c r="H23" s="1043"/>
      <c r="I23" s="1042"/>
      <c r="J23" s="1026">
        <f>SUM(I25:I26)</f>
        <v>244</v>
      </c>
      <c r="K23" s="1046"/>
      <c r="L23" s="1045"/>
      <c r="M23" s="1227">
        <f>SUM(L25:L26)</f>
        <v>244</v>
      </c>
      <c r="N23" s="1043"/>
      <c r="O23" s="1042"/>
      <c r="P23" s="1026">
        <f>SUM(O25:O26)</f>
        <v>244</v>
      </c>
      <c r="Q23" s="28"/>
    </row>
    <row r="24" spans="1:33"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33" s="511" customFormat="1" ht="18.75" customHeight="1">
      <c r="A25" s="711"/>
      <c r="B25" s="1223"/>
      <c r="C25" s="746" t="s">
        <v>866</v>
      </c>
      <c r="D25" s="4383"/>
      <c r="E25" s="4384"/>
      <c r="F25" s="1222">
        <f>SDÖ7!F14/100</f>
        <v>1.22</v>
      </c>
      <c r="G25" s="1221">
        <f>F25*(100+$D$24)/100</f>
        <v>1.22</v>
      </c>
      <c r="H25" s="1220">
        <v>200</v>
      </c>
      <c r="I25" s="1181">
        <f>H25*$G25</f>
        <v>244</v>
      </c>
      <c r="J25" s="39"/>
      <c r="K25" s="1220">
        <f>H25</f>
        <v>200</v>
      </c>
      <c r="L25" s="1023">
        <f>K25*$G25</f>
        <v>244</v>
      </c>
      <c r="M25" s="1016"/>
      <c r="N25" s="1220">
        <f>H25</f>
        <v>200</v>
      </c>
      <c r="O25" s="1181">
        <f>N25*$G25</f>
        <v>244</v>
      </c>
      <c r="P25" s="1145"/>
      <c r="Q25" s="28"/>
    </row>
    <row r="26" spans="1:33"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33" s="511" customFormat="1" ht="17.399999999999999" customHeight="1">
      <c r="A27" s="711"/>
      <c r="B27" s="1215" t="s">
        <v>213</v>
      </c>
      <c r="C27" s="711"/>
      <c r="D27" s="51"/>
      <c r="E27" s="34"/>
      <c r="F27" s="34"/>
      <c r="G27" s="1214" t="s">
        <v>163</v>
      </c>
      <c r="H27" s="1173"/>
      <c r="I27" s="1172"/>
      <c r="J27" s="1041">
        <f>SUM(I30:I32)</f>
        <v>563.36799999999994</v>
      </c>
      <c r="K27" s="1175"/>
      <c r="L27" s="1174"/>
      <c r="M27" s="1044">
        <f>SUM(L30:L32)</f>
        <v>716.62400000000002</v>
      </c>
      <c r="N27" s="1173"/>
      <c r="O27" s="1172"/>
      <c r="P27" s="1041">
        <f>SUM(O30:O32)</f>
        <v>793.25199999999995</v>
      </c>
      <c r="Q27" s="28"/>
    </row>
    <row r="28" spans="1:33" s="36" customFormat="1" ht="15" customHeight="1">
      <c r="A28" s="746"/>
      <c r="B28" s="774"/>
      <c r="C28" s="2238"/>
      <c r="D28" s="1213" t="s">
        <v>706</v>
      </c>
      <c r="E28" s="1213" t="s">
        <v>864</v>
      </c>
      <c r="F28" s="1213" t="s">
        <v>864</v>
      </c>
      <c r="G28" s="1212" t="s">
        <v>863</v>
      </c>
      <c r="H28" s="1172"/>
      <c r="I28" s="1209"/>
      <c r="J28" s="2239"/>
      <c r="K28" s="1175"/>
      <c r="L28" s="1105"/>
      <c r="M28" s="1210"/>
      <c r="N28" s="1173"/>
      <c r="O28" s="1209"/>
      <c r="P28" s="1026"/>
      <c r="Q28" s="28"/>
    </row>
    <row r="29" spans="1:33" s="36" customFormat="1" ht="15" customHeight="1">
      <c r="A29" s="746"/>
      <c r="B29" s="1208"/>
      <c r="C29" s="747" t="s">
        <v>862</v>
      </c>
      <c r="D29" s="1034" t="s">
        <v>611</v>
      </c>
      <c r="E29" s="1034" t="s">
        <v>861</v>
      </c>
      <c r="F29" s="1034" t="s">
        <v>860</v>
      </c>
      <c r="G29" s="1034" t="s">
        <v>1128</v>
      </c>
      <c r="H29" s="1205" t="s">
        <v>612</v>
      </c>
      <c r="I29" s="1027" t="s">
        <v>163</v>
      </c>
      <c r="J29" s="2238"/>
      <c r="K29" s="1207" t="s">
        <v>612</v>
      </c>
      <c r="L29" s="1030" t="s">
        <v>163</v>
      </c>
      <c r="M29" s="1206"/>
      <c r="N29" s="1205" t="s">
        <v>612</v>
      </c>
      <c r="O29" s="1027" t="s">
        <v>163</v>
      </c>
      <c r="P29" s="1204"/>
      <c r="Q29" s="28"/>
    </row>
    <row r="30" spans="1:33" s="36" customFormat="1" ht="15" customHeight="1">
      <c r="A30" s="746"/>
      <c r="B30" s="1203"/>
      <c r="C30" s="1202" t="s">
        <v>236</v>
      </c>
      <c r="D30" s="1150">
        <f>SDÖ1!O56</f>
        <v>5.18</v>
      </c>
      <c r="E30" s="1201">
        <f>VLOOKUP('SD8'!B17,'SD8'!B9:K44,3,FALSE)</f>
        <v>1.6</v>
      </c>
      <c r="F30" s="1201">
        <f>VLOOKUP('SD8'!$B$17,'SD8'!$B$9:$L$42,7,FALSE)</f>
        <v>0.5</v>
      </c>
      <c r="G30" s="1200">
        <v>20</v>
      </c>
      <c r="H30" s="1198">
        <f>IF(J$6=0,0,(J$6*$E30+$G30+X13))</f>
        <v>80</v>
      </c>
      <c r="I30" s="1181">
        <f>H30*$D30</f>
        <v>414.4</v>
      </c>
      <c r="J30" s="39"/>
      <c r="K30" s="1199">
        <f>IF(M$6=0,0,(M$6*$E30+$G30+Y13))</f>
        <v>100</v>
      </c>
      <c r="L30" s="1023">
        <f>K30*$D30</f>
        <v>518</v>
      </c>
      <c r="M30" s="1016"/>
      <c r="N30" s="1198">
        <f>IF(P$6=0,0,(P$6*$E30+$G30+Z13))</f>
        <v>110</v>
      </c>
      <c r="O30" s="1181">
        <f>N30*$D30</f>
        <v>569.79999999999995</v>
      </c>
      <c r="P30" s="1145"/>
      <c r="Q30" s="28"/>
    </row>
    <row r="31" spans="1:33" s="36" customFormat="1" ht="15" customHeight="1">
      <c r="A31" s="746"/>
      <c r="B31" s="217"/>
      <c r="C31" s="746" t="s">
        <v>234</v>
      </c>
      <c r="D31" s="1150">
        <f>SDÖ1!O57</f>
        <v>1.42</v>
      </c>
      <c r="E31" s="1201">
        <f>VLOOKUP('SD8'!B17,'SD8'!B9:K44,4,FALSE)</f>
        <v>0.8</v>
      </c>
      <c r="F31" s="1201">
        <f>VLOOKUP('SD8'!$B$17,'SD8'!$B$9:$L$42,8,FALSE)</f>
        <v>0.30000000000000004</v>
      </c>
      <c r="G31" s="1200"/>
      <c r="H31" s="1198">
        <f>IF(J$6=0,0,(J$6*$E31+$G31+X14))</f>
        <v>31.200000000000003</v>
      </c>
      <c r="I31" s="1181">
        <f>H31*$D31</f>
        <v>44.304000000000002</v>
      </c>
      <c r="J31" s="39"/>
      <c r="K31" s="1199">
        <f>IF(M$6=0,0,(M$6*$E31+$G31+Y14))</f>
        <v>41.6</v>
      </c>
      <c r="L31" s="1023">
        <f>K31*$D31</f>
        <v>59.071999999999996</v>
      </c>
      <c r="M31" s="1016"/>
      <c r="N31" s="1198">
        <f>IF(P$6=0,0,(P$6*$E31+$G31+Z14))</f>
        <v>46.8</v>
      </c>
      <c r="O31" s="1181">
        <f>N31*$D31</f>
        <v>66.455999999999989</v>
      </c>
      <c r="P31" s="1145"/>
      <c r="Q31" s="28"/>
    </row>
    <row r="32" spans="1:33" s="511" customFormat="1" ht="18.75" customHeight="1">
      <c r="A32" s="711"/>
      <c r="B32" s="185"/>
      <c r="C32" s="2791" t="s">
        <v>232</v>
      </c>
      <c r="D32" s="1133">
        <f>SDÖ1!O58</f>
        <v>1.78</v>
      </c>
      <c r="E32" s="1197">
        <v>0.6</v>
      </c>
      <c r="F32" s="1197">
        <f>VLOOKUP('SD8'!$B$17,'SD8'!$B$9:$L$42,9,FALSE)</f>
        <v>1.7</v>
      </c>
      <c r="G32" s="1196"/>
      <c r="H32" s="1194">
        <f>IF(J$6=0,0,(J$6*$E32+$G32+X15))</f>
        <v>58.8</v>
      </c>
      <c r="I32" s="1177">
        <f>H32*$D32</f>
        <v>104.664</v>
      </c>
      <c r="J32" s="223"/>
      <c r="K32" s="1195">
        <f>IF(M$6=0,0,(M$6*$E32+$G32+Y15))</f>
        <v>78.400000000000006</v>
      </c>
      <c r="L32" s="1017">
        <f>K32*$D32</f>
        <v>139.55200000000002</v>
      </c>
      <c r="M32" s="1256"/>
      <c r="N32" s="1194">
        <f>IF(P$6=0,0,(P$6*$E32+$G32+Z15))</f>
        <v>88.199999999999989</v>
      </c>
      <c r="O32" s="1177">
        <f>N32*$D32</f>
        <v>156.99599999999998</v>
      </c>
      <c r="P32" s="1176"/>
      <c r="Q32" s="28"/>
    </row>
    <row r="33" spans="1:17" s="511" customFormat="1" ht="13.2" hidden="1" customHeight="1">
      <c r="A33" s="711"/>
      <c r="B33" s="185"/>
      <c r="C33" s="771" t="s">
        <v>230</v>
      </c>
      <c r="D33" s="1133">
        <f>SDÖ1!P59</f>
        <v>0.5</v>
      </c>
      <c r="E33" s="1197">
        <f>VLOOKUP('SD8'!B17,'SD8'!B9:K44,6,FALSE)</f>
        <v>0.2</v>
      </c>
      <c r="F33" s="1201">
        <f>VLOOKUP('SD8'!$B$17,'SD8'!$B$9:$L$42,10,FALSE)</f>
        <v>0.15999999999999998</v>
      </c>
      <c r="G33" s="1196"/>
      <c r="H33" s="1194">
        <f>IF(J$6=0,0,(J$6*$E33+$G33+X16))</f>
        <v>9.84</v>
      </c>
      <c r="I33" s="1177">
        <f>H33*$D33</f>
        <v>4.92</v>
      </c>
      <c r="J33" s="39"/>
      <c r="K33" s="1195">
        <f>IF(M$6=0,0,(M$6*$E33+$G33+Y16))</f>
        <v>13.12</v>
      </c>
      <c r="L33" s="1017">
        <f>K33*$D33</f>
        <v>6.56</v>
      </c>
      <c r="M33" s="1016"/>
      <c r="N33" s="1194">
        <f>IF(P$6=0,0,(P$6*$E33+$G33+Z16))</f>
        <v>14.759999999999998</v>
      </c>
      <c r="O33" s="1177">
        <f>N33*$D33</f>
        <v>7.379999999999999</v>
      </c>
      <c r="P33" s="1176"/>
      <c r="Q33" s="28"/>
    </row>
    <row r="34" spans="1:17" s="36" customFormat="1" ht="15" customHeight="1">
      <c r="A34" s="746"/>
      <c r="B34" s="716" t="s">
        <v>212</v>
      </c>
      <c r="C34" s="711"/>
      <c r="D34" s="2238"/>
      <c r="E34" s="2238"/>
      <c r="F34" s="4381"/>
      <c r="G34" s="4382" t="s">
        <v>163</v>
      </c>
      <c r="H34" s="1191"/>
      <c r="I34" s="1190"/>
      <c r="J34" s="1041">
        <f>SUM(I36:I42)</f>
        <v>0</v>
      </c>
      <c r="K34" s="1193"/>
      <c r="L34" s="1192"/>
      <c r="M34" s="1044">
        <f>SUM(L36:L42)</f>
        <v>0</v>
      </c>
      <c r="N34" s="1191"/>
      <c r="O34" s="1190"/>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3744"/>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141.91589189999999</v>
      </c>
      <c r="K43" s="1175"/>
      <c r="L43" s="1174"/>
      <c r="M43" s="1044">
        <f>SUM(M46:M57)</f>
        <v>143.48353592666666</v>
      </c>
      <c r="N43" s="1173"/>
      <c r="O43" s="1172"/>
      <c r="P43" s="1041">
        <f>SUM(P46:P57)</f>
        <v>144.26735793999998</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7"/>
      <c r="C46" s="4363"/>
      <c r="D46" s="4364"/>
      <c r="E46" s="1152">
        <f>IF($C46=0,0,VLOOKUP($C46,'SD3'!$C$24:$O$71,4,FALSE))</f>
        <v>0</v>
      </c>
      <c r="F46" s="1151">
        <f>IF($C46=0,0,VLOOKUP($C46,'SD3'!$C$24:$O$71,12,FALSE))</f>
        <v>0</v>
      </c>
      <c r="G46" s="1150">
        <f>IF($C46=0,0,VLOOKUP($C46,'SD3'!$C$24:$O$71,13,FALSE))</f>
        <v>0</v>
      </c>
      <c r="H46" s="1155"/>
      <c r="I46" s="1154">
        <f t="shared" ref="I46:I57" si="4">$F46*H46</f>
        <v>0</v>
      </c>
      <c r="J46" s="1145">
        <f t="shared" ref="J46:J57" si="5">H46*$G46</f>
        <v>0</v>
      </c>
      <c r="K46" s="1155"/>
      <c r="L46" s="1156">
        <f t="shared" ref="L46:L57" si="6">$F46*K46</f>
        <v>0</v>
      </c>
      <c r="M46" s="1148">
        <f t="shared" ref="M46:M57" si="7">K46*$G46</f>
        <v>0</v>
      </c>
      <c r="N46" s="1155"/>
      <c r="O46" s="1154">
        <f t="shared" ref="O46:O57" si="8">$F46*N46</f>
        <v>0</v>
      </c>
      <c r="P46" s="1145">
        <f t="shared" ref="P46:P57" si="9">N46*$G46</f>
        <v>0</v>
      </c>
      <c r="Q46" s="28"/>
    </row>
    <row r="47" spans="1:17" s="36" customFormat="1" ht="15" customHeight="1">
      <c r="A47" s="746"/>
      <c r="B47" s="1153"/>
      <c r="C47" s="4387" t="s">
        <v>1589</v>
      </c>
      <c r="D47" s="4388"/>
      <c r="E47" s="1152">
        <f>IF($C47=0,0,VLOOKUP($C47,'SD3'!$C$24:$O$71,4,FALSE))</f>
        <v>120</v>
      </c>
      <c r="F47" s="1151">
        <f>IF($C47=0,0,VLOOKUP($C47,'SD3'!$C$24:$O$71,12,FALSE))</f>
        <v>1.38</v>
      </c>
      <c r="G47" s="1150">
        <f>IF($C47=0,0,VLOOKUP($C47,'SD3'!$C$24:$O$71,13,FALSE))</f>
        <v>64.642445999999993</v>
      </c>
      <c r="H47" s="1147">
        <v>1</v>
      </c>
      <c r="I47" s="1146">
        <f t="shared" si="4"/>
        <v>1.38</v>
      </c>
      <c r="J47" s="1145">
        <f t="shared" si="5"/>
        <v>64.642445999999993</v>
      </c>
      <c r="K47" s="1147">
        <v>1</v>
      </c>
      <c r="L47" s="1149">
        <f t="shared" si="6"/>
        <v>1.38</v>
      </c>
      <c r="M47" s="1148">
        <f t="shared" si="7"/>
        <v>64.642445999999993</v>
      </c>
      <c r="N47" s="1147">
        <v>1</v>
      </c>
      <c r="O47" s="1146">
        <f t="shared" si="8"/>
        <v>1.38</v>
      </c>
      <c r="P47" s="1145">
        <f t="shared" si="9"/>
        <v>64.642445999999993</v>
      </c>
      <c r="Q47" s="28"/>
    </row>
    <row r="48" spans="1:17" s="36" customFormat="1" ht="15" customHeight="1">
      <c r="A48" s="746"/>
      <c r="B48" s="1153"/>
      <c r="C48" s="4387"/>
      <c r="D48" s="4388"/>
      <c r="E48" s="1152">
        <f>IF($C48=0,0,VLOOKUP($C48,'SD3'!$C$24:$O$71,4,FALSE))</f>
        <v>0</v>
      </c>
      <c r="F48" s="1151">
        <f>IF($C48=0,0,VLOOKUP($C48,'SD3'!$C$24:$O$71,12,FALSE))</f>
        <v>0</v>
      </c>
      <c r="G48" s="1150">
        <f>IF($C48=0,0,VLOOKUP($C48,'SD3'!$C$24:$O$71,13,FALSE))</f>
        <v>0</v>
      </c>
      <c r="H48" s="1147"/>
      <c r="I48" s="1146">
        <f t="shared" si="4"/>
        <v>0</v>
      </c>
      <c r="J48" s="1145">
        <f t="shared" si="5"/>
        <v>0</v>
      </c>
      <c r="K48" s="1147"/>
      <c r="L48" s="1149">
        <f t="shared" si="6"/>
        <v>0</v>
      </c>
      <c r="M48" s="1148">
        <f t="shared" si="7"/>
        <v>0</v>
      </c>
      <c r="N48" s="1147"/>
      <c r="O48" s="1146">
        <f t="shared" si="8"/>
        <v>0</v>
      </c>
      <c r="P48" s="1145">
        <f t="shared" si="9"/>
        <v>0</v>
      </c>
      <c r="Q48" s="28"/>
    </row>
    <row r="49" spans="1:17" s="36" customFormat="1" ht="15" customHeight="1">
      <c r="A49" s="746"/>
      <c r="B49" s="1153"/>
      <c r="C49" s="4387" t="s">
        <v>354</v>
      </c>
      <c r="D49" s="4388"/>
      <c r="E49" s="1152">
        <f>IF($C49=0,0,VLOOKUP($C49,'SD3'!$C$24:$O$71,4,FALSE))</f>
        <v>120</v>
      </c>
      <c r="F49" s="1151">
        <f>IF($C49=0,0,VLOOKUP($C49,'SD3'!$C$24:$O$71,12,FALSE))</f>
        <v>0.71</v>
      </c>
      <c r="G49" s="1150">
        <f>IF($C49=0,0,VLOOKUP($C49,'SD3'!$C$24:$O$71,13,FALSE))</f>
        <v>30.659437999999998</v>
      </c>
      <c r="H49" s="1147">
        <v>1</v>
      </c>
      <c r="I49" s="1146">
        <f t="shared" si="4"/>
        <v>0.71</v>
      </c>
      <c r="J49" s="1145">
        <f t="shared" si="5"/>
        <v>30.659437999999998</v>
      </c>
      <c r="K49" s="1147">
        <v>1</v>
      </c>
      <c r="L49" s="1149">
        <f t="shared" si="6"/>
        <v>0.71</v>
      </c>
      <c r="M49" s="1148">
        <f t="shared" si="7"/>
        <v>30.659437999999998</v>
      </c>
      <c r="N49" s="1147">
        <v>1</v>
      </c>
      <c r="O49" s="1146">
        <f t="shared" si="8"/>
        <v>0.71</v>
      </c>
      <c r="P49" s="1145">
        <f t="shared" si="9"/>
        <v>30.659437999999998</v>
      </c>
      <c r="Q49" s="28"/>
    </row>
    <row r="50" spans="1:17" s="36" customFormat="1" ht="15" customHeight="1">
      <c r="A50" s="746"/>
      <c r="B50" s="1153"/>
      <c r="C50" s="4387" t="s">
        <v>339</v>
      </c>
      <c r="D50" s="4388"/>
      <c r="E50" s="1152">
        <f>IF($C50=0,0,VLOOKUP($C50,'SD3'!$C$24:$O$71,4,FALSE))</f>
        <v>83</v>
      </c>
      <c r="F50" s="1151">
        <f>IF($C50=0,0,VLOOKUP($C50,'SD3'!$C$24:$O$71,12,FALSE))</f>
        <v>0.27</v>
      </c>
      <c r="G50" s="1150">
        <f>IF($C50=0,0,VLOOKUP($C50,'SD3'!$C$24:$O$71,13,FALSE))</f>
        <v>6.9619069099999997</v>
      </c>
      <c r="H50" s="1147">
        <v>2</v>
      </c>
      <c r="I50" s="1146">
        <f t="shared" si="4"/>
        <v>0.54</v>
      </c>
      <c r="J50" s="1145">
        <f t="shared" si="5"/>
        <v>13.923813819999999</v>
      </c>
      <c r="K50" s="1147">
        <v>2</v>
      </c>
      <c r="L50" s="1149">
        <f t="shared" si="6"/>
        <v>0.54</v>
      </c>
      <c r="M50" s="1148">
        <f t="shared" si="7"/>
        <v>13.923813819999999</v>
      </c>
      <c r="N50" s="1147">
        <v>2</v>
      </c>
      <c r="O50" s="1146">
        <f t="shared" si="8"/>
        <v>0.54</v>
      </c>
      <c r="P50" s="1145">
        <f t="shared" si="9"/>
        <v>13.923813819999999</v>
      </c>
      <c r="Q50" s="28"/>
    </row>
    <row r="51" spans="1:17" s="36" customFormat="1" ht="15" customHeight="1">
      <c r="A51" s="746"/>
      <c r="B51" s="1153"/>
      <c r="C51" s="4387" t="s">
        <v>360</v>
      </c>
      <c r="D51" s="4388"/>
      <c r="E51" s="1152">
        <f>IF($C51=0,0,VLOOKUP($C51,'SD3'!$C$24:$O$71,4,FALSE))</f>
        <v>120</v>
      </c>
      <c r="F51" s="1151">
        <f>IF($C51=0,0,VLOOKUP($C51,'SD3'!$C$24:$O$71,12,FALSE))</f>
        <v>0.79</v>
      </c>
      <c r="G51" s="1150">
        <f>IF($C51=0,0,VLOOKUP($C51,'SD3'!$C$24:$O$71,13,FALSE))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28"/>
    </row>
    <row r="52" spans="1:17" s="36" customFormat="1" ht="15" customHeight="1">
      <c r="A52" s="746"/>
      <c r="B52" s="1153"/>
      <c r="C52" s="4387"/>
      <c r="D52" s="4388"/>
      <c r="E52" s="1152">
        <f>IF($C52=0,0,VLOOKUP($C52,'SD3'!$C$24:$O$71,4,FALSE))</f>
        <v>0</v>
      </c>
      <c r="F52" s="1151">
        <f>IF($C52=0,0,VLOOKUP($C52,'SD3'!$C$24:$O$71,12,FALSE))</f>
        <v>0</v>
      </c>
      <c r="G52" s="1150">
        <f>IF($C52=0,0,VLOOKUP($C52,'SD3'!$C$24:$O$71,13,FALSE))</f>
        <v>0</v>
      </c>
      <c r="H52" s="1147"/>
      <c r="I52" s="1146">
        <f t="shared" si="4"/>
        <v>0</v>
      </c>
      <c r="J52" s="1145">
        <f t="shared" si="5"/>
        <v>0</v>
      </c>
      <c r="K52" s="1147"/>
      <c r="L52" s="1149">
        <f t="shared" si="6"/>
        <v>0</v>
      </c>
      <c r="M52" s="1148">
        <f t="shared" si="7"/>
        <v>0</v>
      </c>
      <c r="N52" s="1147"/>
      <c r="O52" s="1146">
        <f t="shared" si="8"/>
        <v>0</v>
      </c>
      <c r="P52" s="1145">
        <f t="shared" si="9"/>
        <v>0</v>
      </c>
      <c r="Q52" s="28"/>
    </row>
    <row r="53" spans="1:17" s="36" customFormat="1" ht="15" customHeight="1">
      <c r="A53" s="746"/>
      <c r="B53" s="1153"/>
      <c r="C53" s="4403" t="s">
        <v>1748</v>
      </c>
      <c r="D53" s="4404"/>
      <c r="E53" s="1152">
        <f>IF($C53=0,0,VLOOKUP($C53,'SD3'!$C$24:$O$71,4,FALSE))</f>
        <v>120</v>
      </c>
      <c r="F53" s="1151">
        <f>IF($C53=0,0,VLOOKUP($C53,'SD3'!$C$24:$O$71,12,FALSE))</f>
        <v>0.37</v>
      </c>
      <c r="G53" s="1150">
        <f>IF($C53=0,0,VLOOKUP($C53,'SD3'!$C$24:$O$71,13,FALSE))</f>
        <v>11.7573302</v>
      </c>
      <c r="H53" s="3654">
        <f>J6/75</f>
        <v>0.4</v>
      </c>
      <c r="I53" s="1146">
        <f t="shared" si="4"/>
        <v>0.14799999999999999</v>
      </c>
      <c r="J53" s="1145">
        <f t="shared" si="5"/>
        <v>4.7029320800000001</v>
      </c>
      <c r="K53" s="3654">
        <f>M6/75</f>
        <v>0.53333333333333333</v>
      </c>
      <c r="L53" s="1149">
        <f t="shared" si="6"/>
        <v>0.19733333333333333</v>
      </c>
      <c r="M53" s="1148">
        <f t="shared" si="7"/>
        <v>6.2705761066666668</v>
      </c>
      <c r="N53" s="3654">
        <f>P6/75</f>
        <v>0.6</v>
      </c>
      <c r="O53" s="1146">
        <f t="shared" si="8"/>
        <v>0.222</v>
      </c>
      <c r="P53" s="1145">
        <f t="shared" si="9"/>
        <v>7.0543981200000001</v>
      </c>
      <c r="Q53" s="28"/>
    </row>
    <row r="54" spans="1:17" s="36" customFormat="1" ht="15" customHeight="1">
      <c r="A54" s="746"/>
      <c r="B54" s="1153"/>
      <c r="C54" s="4387"/>
      <c r="D54" s="4388"/>
      <c r="E54" s="1152">
        <f>IF($C54=0,0,VLOOKUP($C54,'SD3'!$C$24:$O$71,4,FALSE))</f>
        <v>0</v>
      </c>
      <c r="F54" s="1151">
        <f>IF($C54=0,0,VLOOKUP($C54,'SD3'!$C$24:$O$71,12,FALSE))</f>
        <v>0</v>
      </c>
      <c r="G54" s="1150">
        <f>IF($C54=0,0,VLOOKUP($C54,'SD3'!$C$24:$O$71,13,FALSE))</f>
        <v>0</v>
      </c>
      <c r="H54" s="1147"/>
      <c r="I54" s="1146">
        <f t="shared" si="4"/>
        <v>0</v>
      </c>
      <c r="J54" s="1145">
        <f t="shared" si="5"/>
        <v>0</v>
      </c>
      <c r="K54" s="1147"/>
      <c r="L54" s="1149">
        <f t="shared" si="6"/>
        <v>0</v>
      </c>
      <c r="M54" s="1148">
        <f t="shared" si="7"/>
        <v>0</v>
      </c>
      <c r="N54" s="1147"/>
      <c r="O54" s="1146">
        <f t="shared" si="8"/>
        <v>0</v>
      </c>
      <c r="P54" s="1145">
        <f t="shared" si="9"/>
        <v>0</v>
      </c>
      <c r="Q54" s="28"/>
    </row>
    <row r="55" spans="1:17" s="36" customFormat="1" ht="15" customHeight="1">
      <c r="A55" s="746"/>
      <c r="B55" s="1153"/>
      <c r="C55" s="4387"/>
      <c r="D55" s="4388"/>
      <c r="E55" s="1152">
        <f>IF($C55=0,0,VLOOKUP($C55,'SD3'!$C$24:$O$71,4,FALSE))</f>
        <v>0</v>
      </c>
      <c r="F55" s="1151">
        <f>IF($C55=0,0,VLOOKUP($C55,'SD3'!$C$24:$O$71,12,FALSE))</f>
        <v>0</v>
      </c>
      <c r="G55" s="1150">
        <f>IF($C55=0,0,VLOOKUP($C55,'SD3'!$C$24:$O$71,13,FALSE))</f>
        <v>0</v>
      </c>
      <c r="H55" s="1147"/>
      <c r="I55" s="1146">
        <f t="shared" si="4"/>
        <v>0</v>
      </c>
      <c r="J55" s="1145">
        <f t="shared" si="5"/>
        <v>0</v>
      </c>
      <c r="K55" s="1147"/>
      <c r="L55" s="1149">
        <f t="shared" si="6"/>
        <v>0</v>
      </c>
      <c r="M55" s="1148">
        <f t="shared" si="7"/>
        <v>0</v>
      </c>
      <c r="N55" s="1147"/>
      <c r="O55" s="1146">
        <f t="shared" si="8"/>
        <v>0</v>
      </c>
      <c r="P55" s="1145">
        <f t="shared" si="9"/>
        <v>0</v>
      </c>
      <c r="Q55" s="28"/>
    </row>
    <row r="56" spans="1:17" s="36" customFormat="1" ht="24.75" customHeight="1">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8"/>
    </row>
    <row r="57" spans="1:17" s="36" customFormat="1" ht="24.75" customHeight="1">
      <c r="A57" s="746"/>
      <c r="B57" s="1084"/>
      <c r="C57" s="4461" t="s">
        <v>332</v>
      </c>
      <c r="D57" s="4462"/>
      <c r="E57" s="2589">
        <f>IF($C57=0,0,VLOOKUP($C57,'SD3'!$C$24:$O$71,4,FALSE))</f>
        <v>83</v>
      </c>
      <c r="F57" s="2590">
        <f>IF($C57=0,0,VLOOKUP($C57,'SD3'!$C$24:$O$71,12,FALSE))</f>
        <v>1.3</v>
      </c>
      <c r="G57" s="2591">
        <f>IF($C57=0,0,VLOOKUP($C57,'SD3'!$C$24:$O$71,13,FALSE))</f>
        <v>25.970662899999994</v>
      </c>
      <c r="H57" s="3745">
        <f>IF($T$4=TRUE,0,H11/35)</f>
        <v>0</v>
      </c>
      <c r="I57" s="1130">
        <f t="shared" si="4"/>
        <v>0</v>
      </c>
      <c r="J57" s="1129">
        <f t="shared" si="5"/>
        <v>0</v>
      </c>
      <c r="K57" s="3746">
        <f>IF($T$4=TRUE,0,H11/40)</f>
        <v>0</v>
      </c>
      <c r="L57" s="1132">
        <f t="shared" si="6"/>
        <v>0</v>
      </c>
      <c r="M57" s="1079">
        <f t="shared" si="7"/>
        <v>0</v>
      </c>
      <c r="N57" s="3745">
        <f>IF($T$4=TRUE,0,H11/40)</f>
        <v>0</v>
      </c>
      <c r="O57" s="1130">
        <f t="shared" si="8"/>
        <v>0</v>
      </c>
      <c r="P57" s="1129">
        <f t="shared" si="9"/>
        <v>0</v>
      </c>
      <c r="Q57" s="2636"/>
    </row>
    <row r="58" spans="1:17" s="511" customFormat="1" ht="18.75" customHeight="1">
      <c r="A58" s="711"/>
      <c r="B58" s="716" t="s">
        <v>848</v>
      </c>
      <c r="C58" s="811"/>
      <c r="D58" s="811"/>
      <c r="E58" s="811"/>
      <c r="F58" s="34"/>
      <c r="G58" s="1047"/>
      <c r="H58" s="1124"/>
      <c r="I58" s="1123">
        <f>SUM($I$46:$I$57)</f>
        <v>3.5680000000000001</v>
      </c>
      <c r="J58" s="1128"/>
      <c r="K58" s="1127"/>
      <c r="L58" s="1126">
        <f>SUM($L$46:$L$57)</f>
        <v>3.6173333333333333</v>
      </c>
      <c r="M58" s="1125"/>
      <c r="N58" s="1124"/>
      <c r="O58" s="1123">
        <f>SUM($O$46:$O$57)</f>
        <v>3.6419999999999999</v>
      </c>
      <c r="P58" s="1122"/>
      <c r="Q58" s="28"/>
    </row>
    <row r="59" spans="1:17" s="511" customFormat="1" ht="15" customHeight="1">
      <c r="A59" s="711"/>
      <c r="B59" s="1121"/>
      <c r="C59" s="285"/>
      <c r="D59" s="222" t="s">
        <v>847</v>
      </c>
      <c r="E59" s="1120">
        <v>80</v>
      </c>
      <c r="F59" s="285" t="s">
        <v>846</v>
      </c>
      <c r="G59" s="1119"/>
      <c r="H59" s="1115"/>
      <c r="I59" s="1114">
        <f>IF(I58+SUM($I$46:$I$57)*$E$59%&gt;I58+10,I58+10,I58+SUM($I$46:$I$57)*$E$59%)</f>
        <v>6.4223999999999997</v>
      </c>
      <c r="J59" s="1113"/>
      <c r="K59" s="1118"/>
      <c r="L59" s="1117">
        <f>IF(L58+SUM($L$46:$L$57)*$E$59%&gt;L58+10,L58+10,L58+SUM($L$46:$L$57)*$E$59%)</f>
        <v>6.5112000000000005</v>
      </c>
      <c r="M59" s="1116"/>
      <c r="N59" s="1115"/>
      <c r="O59" s="1114">
        <f>IF(O58+SUM($O$46:$O$57)*$E$59%&gt;O58+10,O58+10,O58+SUM($O$46:$O$57)*$E$59%)</f>
        <v>6.5556000000000001</v>
      </c>
      <c r="P59" s="1113"/>
      <c r="Q59" s="28"/>
    </row>
    <row r="60" spans="1:17" s="46" customFormat="1" ht="18.75" customHeight="1">
      <c r="A60" s="811"/>
      <c r="B60" s="716" t="s">
        <v>845</v>
      </c>
      <c r="C60" s="811"/>
      <c r="D60" s="811"/>
      <c r="E60" s="39"/>
      <c r="F60" s="39"/>
      <c r="G60" s="1112"/>
      <c r="H60" s="2834"/>
      <c r="I60" s="2833"/>
      <c r="J60" s="1111">
        <f>IF(J6=0,0,SUM(I62:I64))</f>
        <v>157</v>
      </c>
      <c r="K60" s="2836"/>
      <c r="L60" s="2835"/>
      <c r="M60" s="1044">
        <f>IF(M6=0,0,SUM(L62:L64))</f>
        <v>157</v>
      </c>
      <c r="N60" s="2834"/>
      <c r="O60" s="2833"/>
      <c r="P60" s="1111">
        <f>IF(P6=0,0,SUM(O62:O64))</f>
        <v>157</v>
      </c>
      <c r="Q60" s="28"/>
    </row>
    <row r="61" spans="1:17"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t="s">
        <v>300</v>
      </c>
      <c r="D62" s="4365"/>
      <c r="E62" s="4365"/>
      <c r="F62" s="1101">
        <f>IF($C62=0,0,VLOOKUP($C62,'SD3'!$C$90:$D$104,2,FALSE))</f>
        <v>157</v>
      </c>
      <c r="G62" s="1100">
        <f>(100+$D$61)/100*F62</f>
        <v>157</v>
      </c>
      <c r="H62" s="173"/>
      <c r="I62" s="1096">
        <f>$G$62</f>
        <v>157</v>
      </c>
      <c r="J62" s="173"/>
      <c r="K62" s="1099"/>
      <c r="L62" s="1098">
        <f>$G$62</f>
        <v>157</v>
      </c>
      <c r="M62" s="1016"/>
      <c r="N62" s="1097"/>
      <c r="O62" s="1096">
        <f>$G$62</f>
        <v>157</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t="s">
        <v>289</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5"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22.95" customHeight="1">
      <c r="A67" s="711"/>
      <c r="B67" s="2790" t="s">
        <v>843</v>
      </c>
      <c r="C67" s="2789"/>
      <c r="D67" s="2789"/>
      <c r="E67" s="2785"/>
      <c r="F67" s="2805"/>
      <c r="G67" s="1047"/>
      <c r="H67" s="1066" t="s">
        <v>842</v>
      </c>
      <c r="I67" s="1065" t="s">
        <v>841</v>
      </c>
      <c r="J67" s="1041">
        <f>R68*(H9+H10)*I68%+F68</f>
        <v>39.824999999999989</v>
      </c>
      <c r="K67" s="1068" t="s">
        <v>842</v>
      </c>
      <c r="L67" s="1067" t="s">
        <v>841</v>
      </c>
      <c r="M67" s="1044">
        <f>S68*(K9+K10)*L68%+F68</f>
        <v>53.099999999999987</v>
      </c>
      <c r="N67" s="1066" t="s">
        <v>842</v>
      </c>
      <c r="O67" s="1065" t="s">
        <v>841</v>
      </c>
      <c r="P67" s="1041">
        <f>T68*(N9+N10)*O68%+F68</f>
        <v>59.737499999999983</v>
      </c>
      <c r="Q67" s="28"/>
    </row>
    <row r="68" spans="1:20" s="511" customFormat="1" ht="15" customHeight="1">
      <c r="A68" s="711"/>
      <c r="B68" s="1064"/>
      <c r="C68" s="4393" t="s">
        <v>564</v>
      </c>
      <c r="D68" s="4393"/>
      <c r="E68" s="4433"/>
      <c r="F68" s="2804"/>
      <c r="G68" s="1054" t="s">
        <v>163</v>
      </c>
      <c r="H68" s="1061">
        <v>16</v>
      </c>
      <c r="I68" s="1060">
        <v>50</v>
      </c>
      <c r="J68" s="1059"/>
      <c r="K68" s="1061">
        <v>16</v>
      </c>
      <c r="L68" s="1060">
        <v>50</v>
      </c>
      <c r="M68" s="1062"/>
      <c r="N68" s="1061">
        <v>16</v>
      </c>
      <c r="O68" s="1060">
        <v>50</v>
      </c>
      <c r="P68" s="1059"/>
      <c r="Q68" s="28"/>
      <c r="R68" s="1058">
        <f>IF($H$68=0,0,VLOOKUP($H$68,'SD6'!B8:C151,'SD6'!C1,FALSE))*(1+'SDK1'!O11/100)</f>
        <v>2.6549999999999994</v>
      </c>
      <c r="S68" s="1058">
        <f>IF($K$68=0,0,VLOOKUP($K$68,'SD6'!B8:C151,'SD6'!C1,FALSE))*(1+'SDK1'!O11/100)</f>
        <v>2.6549999999999994</v>
      </c>
      <c r="T68" s="1058">
        <f>IF($N$68=0,0,VLOOKUP($N$68,'SD6'!B8:C151,'SD6'!C1,FALSE))*(1+'SDK1'!O11/100)</f>
        <v>2.6549999999999994</v>
      </c>
    </row>
    <row r="69" spans="1:20" s="511" customFormat="1" ht="18.75" customHeight="1">
      <c r="A69" s="711"/>
      <c r="B69" s="716" t="s">
        <v>839</v>
      </c>
      <c r="C69" s="711"/>
      <c r="D69" s="711"/>
      <c r="E69" s="34"/>
      <c r="F69" s="34"/>
      <c r="G69" s="1047"/>
      <c r="H69" s="38"/>
      <c r="I69" s="51"/>
      <c r="J69" s="1041">
        <f>H70*$F70/1000</f>
        <v>25.459199999999996</v>
      </c>
      <c r="K69" s="1057"/>
      <c r="L69" s="1056"/>
      <c r="M69" s="1044">
        <f>K70*$F70/1000</f>
        <v>33.945599999999999</v>
      </c>
      <c r="N69" s="38"/>
      <c r="O69" s="51"/>
      <c r="P69" s="1041">
        <f>N70*$F70/1000</f>
        <v>38.188800000000001</v>
      </c>
      <c r="Q69" s="28"/>
    </row>
    <row r="70" spans="1:20" s="511" customFormat="1" ht="15" customHeight="1">
      <c r="A70" s="711"/>
      <c r="B70" s="772"/>
      <c r="C70" s="771" t="s">
        <v>606</v>
      </c>
      <c r="D70" s="285"/>
      <c r="E70" s="222"/>
      <c r="F70" s="3742">
        <f>SDÖ7!F62</f>
        <v>16</v>
      </c>
      <c r="G70" s="1054" t="s">
        <v>163</v>
      </c>
      <c r="H70" s="1357">
        <f>J7</f>
        <v>1591.1999999999998</v>
      </c>
      <c r="I70" s="1049"/>
      <c r="J70" s="1048"/>
      <c r="K70" s="1053">
        <f>M7</f>
        <v>2121.6</v>
      </c>
      <c r="L70" s="1052"/>
      <c r="M70" s="1051"/>
      <c r="N70" s="1357">
        <f>P7</f>
        <v>2386.8000000000002</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7</v>
      </c>
      <c r="H75" s="1007"/>
      <c r="I75" s="1008"/>
      <c r="J75" s="1005">
        <f>(J23+J27+J34+J43+J60+J65+J67+J69+J71)*('SDK1'!$O$59%*$G$75/12)</f>
        <v>13.668294405500003</v>
      </c>
      <c r="K75" s="2223"/>
      <c r="L75" s="522"/>
      <c r="M75" s="1005">
        <f>(M23+M27+M34+M43+M60+M65+M67+M69+M71)*('SDK1'!$O$59%*$G$75/12)</f>
        <v>15.728453252477779</v>
      </c>
      <c r="N75" s="1007"/>
      <c r="O75" s="1006"/>
      <c r="P75" s="1005">
        <f>(P23+P27+P34+P43+P60+P65+P67+P69+P71)*('SDK1'!$O$59%*$G$75/12)</f>
        <v>16.758532675966666</v>
      </c>
      <c r="Q75" s="28"/>
    </row>
    <row r="76" spans="1:20">
      <c r="L76" s="29"/>
    </row>
    <row r="77" spans="1:20">
      <c r="B77" s="3008"/>
      <c r="C77" s="3008"/>
      <c r="D77" s="3008"/>
      <c r="E77" s="3008"/>
      <c r="F77" s="3008"/>
      <c r="G77" s="3008"/>
      <c r="L77" s="29"/>
      <c r="M77" s="2604"/>
      <c r="N77" s="2604"/>
      <c r="O77" s="2604"/>
      <c r="P77" s="2604"/>
      <c r="Q77" s="2604"/>
    </row>
    <row r="78" spans="1:20">
      <c r="B78" s="3008"/>
      <c r="C78" s="3008"/>
      <c r="D78" s="3008"/>
      <c r="E78" s="3008"/>
      <c r="F78" s="3008"/>
      <c r="G78" s="3008"/>
      <c r="H78" s="2604"/>
      <c r="I78" s="2604"/>
      <c r="J78" s="2604"/>
      <c r="K78" s="2604"/>
      <c r="L78" s="2604"/>
      <c r="M78" s="2604"/>
      <c r="N78" s="2604"/>
      <c r="O78" s="2604"/>
      <c r="P78" s="2604"/>
      <c r="Q78" s="2604"/>
    </row>
    <row r="79" spans="1:20">
      <c r="B79" s="3008"/>
      <c r="C79" s="3008"/>
      <c r="D79" s="3008"/>
      <c r="E79" s="3008"/>
      <c r="F79" s="3008"/>
      <c r="G79" s="3008"/>
      <c r="H79" s="2604"/>
      <c r="I79" s="2604"/>
      <c r="J79" s="2604"/>
      <c r="K79" s="2604"/>
      <c r="L79" s="2604"/>
      <c r="M79" s="2604"/>
      <c r="N79" s="2604"/>
      <c r="O79" s="2604"/>
      <c r="P79" s="2604"/>
      <c r="Q79" s="2604"/>
    </row>
    <row r="80" spans="1:20">
      <c r="B80" s="3008"/>
      <c r="C80" s="3008"/>
      <c r="D80" s="3008"/>
      <c r="E80" s="3008"/>
      <c r="F80" s="3008"/>
      <c r="G80" s="3008"/>
      <c r="H80" s="2604"/>
      <c r="I80" s="2604"/>
      <c r="J80" s="2604"/>
      <c r="K80" s="2604"/>
      <c r="L80" s="2604"/>
      <c r="M80" s="2604"/>
      <c r="N80" s="2604"/>
      <c r="O80" s="2604"/>
      <c r="P80" s="2604"/>
      <c r="Q80" s="2604"/>
    </row>
    <row r="81" spans="2:17">
      <c r="B81" s="3008"/>
      <c r="C81" s="3008"/>
      <c r="D81" s="3008"/>
      <c r="E81" s="3008"/>
      <c r="F81" s="3008"/>
      <c r="G81" s="3008"/>
      <c r="H81" s="2604"/>
      <c r="I81" s="2604"/>
      <c r="J81" s="2604"/>
      <c r="K81" s="2604"/>
      <c r="L81" s="2604"/>
      <c r="M81" s="2604"/>
      <c r="N81" s="2604"/>
      <c r="O81" s="2604"/>
      <c r="P81" s="2604"/>
      <c r="Q81" s="2604"/>
    </row>
    <row r="82" spans="2:17">
      <c r="B82" s="3008"/>
      <c r="C82" s="3008"/>
      <c r="D82" s="3008"/>
      <c r="E82" s="3008"/>
      <c r="F82" s="3008"/>
      <c r="G82" s="3008"/>
      <c r="H82" s="2604"/>
      <c r="I82" s="2604"/>
      <c r="J82" s="2604"/>
      <c r="K82" s="2604"/>
      <c r="L82" s="2604"/>
      <c r="M82" s="2604"/>
      <c r="N82" s="2604"/>
      <c r="O82" s="2604"/>
      <c r="P82" s="2604"/>
      <c r="Q82" s="2604"/>
    </row>
    <row r="83" spans="2:17">
      <c r="B83" s="3008"/>
      <c r="C83" s="3008"/>
      <c r="D83" s="3008"/>
      <c r="E83" s="3008"/>
      <c r="F83" s="3008"/>
      <c r="G83" s="3008"/>
      <c r="H83" s="2604"/>
      <c r="I83" s="2604"/>
      <c r="J83" s="2604"/>
      <c r="K83" s="2604"/>
      <c r="L83" s="2604"/>
      <c r="M83" s="2604"/>
      <c r="N83" s="2604"/>
      <c r="O83" s="2604"/>
      <c r="P83" s="2604"/>
      <c r="Q83" s="2604"/>
    </row>
    <row r="84" spans="2:17">
      <c r="B84" s="3008"/>
      <c r="C84" s="3008"/>
      <c r="D84" s="3008"/>
      <c r="E84" s="3008"/>
      <c r="F84" s="3008"/>
      <c r="G84" s="3008"/>
      <c r="H84" s="2604"/>
      <c r="I84" s="2604"/>
      <c r="J84" s="2604"/>
      <c r="K84" s="2604"/>
      <c r="L84" s="2604"/>
      <c r="M84" s="2604"/>
      <c r="N84" s="2604"/>
      <c r="O84" s="2604"/>
      <c r="P84" s="2604"/>
      <c r="Q84" s="2604"/>
    </row>
    <row r="85" spans="2:17">
      <c r="B85" s="3008"/>
      <c r="C85" s="3008"/>
      <c r="D85" s="3008"/>
      <c r="E85" s="3008"/>
      <c r="F85" s="3008"/>
      <c r="G85" s="3008"/>
      <c r="H85" s="2604"/>
      <c r="I85" s="2604"/>
      <c r="J85" s="2604"/>
      <c r="K85" s="2604"/>
      <c r="L85" s="2604"/>
      <c r="M85" s="2604"/>
      <c r="N85" s="2604"/>
      <c r="O85" s="2604"/>
      <c r="P85" s="2604"/>
      <c r="Q85" s="2604"/>
    </row>
    <row r="86" spans="2:17">
      <c r="B86" s="3008"/>
      <c r="C86" s="3008"/>
      <c r="D86" s="3008"/>
      <c r="E86" s="3008"/>
      <c r="F86" s="3008"/>
      <c r="G86" s="3008"/>
      <c r="H86" s="2604"/>
      <c r="I86" s="2604"/>
      <c r="J86" s="2604"/>
      <c r="K86" s="2604"/>
      <c r="L86" s="2604"/>
      <c r="M86" s="2604"/>
      <c r="N86" s="2604"/>
      <c r="O86" s="2604"/>
      <c r="P86" s="2604"/>
      <c r="Q86" s="2604"/>
    </row>
    <row r="87" spans="2:17">
      <c r="B87" s="3008"/>
      <c r="C87" s="3008"/>
      <c r="D87" s="3008"/>
      <c r="E87" s="3008"/>
      <c r="F87" s="3008"/>
      <c r="G87" s="3008"/>
      <c r="H87" s="2604"/>
      <c r="I87" s="2604"/>
      <c r="J87" s="2604"/>
      <c r="K87" s="2604"/>
      <c r="L87" s="2604"/>
      <c r="M87" s="2604"/>
      <c r="N87" s="2604"/>
      <c r="O87" s="2604"/>
      <c r="P87" s="2604"/>
      <c r="Q87" s="2604"/>
    </row>
    <row r="88" spans="2:17" ht="13.2" customHeight="1">
      <c r="B88" s="3008"/>
      <c r="C88" s="3008"/>
      <c r="D88" s="3008"/>
      <c r="E88" s="3008"/>
      <c r="F88" s="3008"/>
      <c r="G88" s="3008"/>
      <c r="H88" s="2604"/>
      <c r="I88" s="2604"/>
      <c r="J88" s="2604"/>
      <c r="K88" s="2604"/>
      <c r="L88" s="2604"/>
      <c r="M88" s="2604"/>
      <c r="N88" s="2604"/>
      <c r="O88" s="2604"/>
      <c r="P88" s="2604"/>
      <c r="Q88" s="2604"/>
    </row>
    <row r="89" spans="2:17">
      <c r="B89" s="3008"/>
      <c r="C89" s="3008"/>
      <c r="D89" s="3008"/>
      <c r="E89" s="3008"/>
      <c r="F89" s="3008"/>
      <c r="G89" s="3008"/>
      <c r="H89" s="2604"/>
      <c r="I89" s="2604"/>
      <c r="J89" s="2604"/>
      <c r="K89" s="2604"/>
      <c r="L89" s="2604"/>
      <c r="M89" s="2604"/>
      <c r="N89" s="2604"/>
      <c r="O89" s="2604"/>
      <c r="P89" s="2604"/>
      <c r="Q89" s="2604"/>
    </row>
    <row r="90" spans="2:17">
      <c r="B90" s="3008"/>
      <c r="C90" s="3008"/>
      <c r="D90" s="3008"/>
      <c r="E90" s="3008"/>
      <c r="F90" s="3008"/>
      <c r="G90" s="3008"/>
      <c r="H90" s="2604"/>
      <c r="I90" s="2604"/>
      <c r="J90" s="2604"/>
      <c r="K90" s="2604"/>
      <c r="L90" s="2604"/>
      <c r="M90" s="2604"/>
      <c r="N90" s="2604"/>
      <c r="O90" s="2604"/>
      <c r="P90" s="2604"/>
      <c r="Q90" s="2604"/>
    </row>
    <row r="91" spans="2:17">
      <c r="B91" s="3008"/>
      <c r="C91" s="3008"/>
      <c r="D91" s="3008"/>
      <c r="E91" s="3008"/>
      <c r="F91" s="3008"/>
      <c r="G91" s="3008"/>
      <c r="H91" s="2604"/>
      <c r="I91" s="2604"/>
      <c r="J91" s="2604"/>
      <c r="K91" s="2604"/>
      <c r="L91" s="2604"/>
      <c r="M91" s="2604"/>
      <c r="N91" s="2604"/>
      <c r="O91" s="2604"/>
      <c r="P91" s="2604"/>
      <c r="Q91" s="2604"/>
    </row>
    <row r="92" spans="2:17" ht="13.2" customHeight="1">
      <c r="B92" s="3008"/>
      <c r="C92" s="3008"/>
      <c r="D92" s="3008"/>
      <c r="E92" s="3008"/>
      <c r="F92" s="3008"/>
      <c r="G92" s="3008"/>
      <c r="H92" s="2604"/>
      <c r="I92" s="2604"/>
      <c r="J92" s="2604"/>
      <c r="K92" s="2604"/>
      <c r="L92" s="2604"/>
      <c r="M92" s="2604"/>
      <c r="N92" s="2604"/>
      <c r="O92" s="2604"/>
      <c r="P92" s="2604"/>
      <c r="Q92" s="2604"/>
    </row>
    <row r="93" spans="2:17">
      <c r="C93" s="29"/>
      <c r="D93" s="29"/>
      <c r="E93" s="29"/>
      <c r="F93" s="29"/>
      <c r="G93" s="2604"/>
      <c r="H93" s="2604"/>
      <c r="I93" s="2604"/>
      <c r="J93" s="2604"/>
      <c r="K93" s="2604"/>
      <c r="L93" s="2604"/>
      <c r="M93" s="2604"/>
      <c r="N93" s="2604"/>
      <c r="O93" s="2604"/>
      <c r="P93" s="2604"/>
      <c r="Q93" s="2604"/>
    </row>
    <row r="94" spans="2:17">
      <c r="C94" s="29"/>
      <c r="D94" s="29"/>
      <c r="E94" s="29"/>
      <c r="F94" s="29"/>
      <c r="G94" s="2604"/>
      <c r="H94" s="2604"/>
      <c r="I94" s="2604"/>
      <c r="J94" s="2604"/>
      <c r="K94" s="2604"/>
      <c r="L94" s="2604"/>
      <c r="M94" s="2604"/>
      <c r="N94" s="2604"/>
      <c r="O94" s="2604"/>
      <c r="P94" s="2604"/>
      <c r="Q94" s="2604"/>
    </row>
    <row r="95" spans="2:17">
      <c r="C95" s="29"/>
      <c r="D95" s="29"/>
      <c r="E95" s="29"/>
      <c r="F95" s="29"/>
      <c r="G95" s="2604"/>
      <c r="H95" s="2604"/>
      <c r="I95" s="2604"/>
      <c r="J95" s="2604"/>
      <c r="K95" s="2604"/>
      <c r="L95" s="2604"/>
      <c r="M95" s="2604"/>
      <c r="N95" s="2604"/>
      <c r="O95" s="2604"/>
      <c r="P95" s="2604"/>
      <c r="Q95" s="2604"/>
    </row>
    <row r="96" spans="2:17">
      <c r="C96" s="29"/>
      <c r="D96" s="29"/>
      <c r="E96" s="29"/>
      <c r="F96" s="29"/>
      <c r="G96" s="2604"/>
      <c r="H96" s="2604"/>
      <c r="I96" s="2604"/>
      <c r="J96" s="2604"/>
      <c r="K96" s="2604"/>
      <c r="L96" s="2604"/>
      <c r="M96" s="2604"/>
      <c r="N96" s="2604"/>
      <c r="O96" s="2604"/>
      <c r="P96" s="2604"/>
      <c r="Q96" s="2604"/>
    </row>
    <row r="97" spans="2:17">
      <c r="C97" s="29"/>
      <c r="D97" s="29"/>
      <c r="E97" s="29"/>
      <c r="F97" s="29"/>
      <c r="G97" s="2604"/>
      <c r="H97" s="2604"/>
      <c r="I97" s="2604"/>
      <c r="J97" s="2604"/>
      <c r="K97" s="2604"/>
      <c r="L97" s="2604"/>
      <c r="M97" s="2604"/>
      <c r="N97" s="2604"/>
      <c r="O97" s="2604"/>
      <c r="P97" s="2604"/>
      <c r="Q97" s="2604"/>
    </row>
    <row r="98" spans="2:17">
      <c r="C98" s="29"/>
      <c r="D98" s="29"/>
      <c r="E98" s="29"/>
      <c r="F98" s="29"/>
      <c r="G98" s="2604"/>
      <c r="H98" s="2604"/>
      <c r="I98" s="2604"/>
      <c r="J98" s="2604"/>
      <c r="K98" s="2604"/>
      <c r="L98" s="2604"/>
      <c r="M98" s="2604"/>
      <c r="N98" s="2604"/>
      <c r="O98" s="2604"/>
      <c r="P98" s="2604"/>
      <c r="Q98" s="2604"/>
    </row>
    <row r="99" spans="2:17">
      <c r="B99" s="29"/>
      <c r="C99" s="29"/>
      <c r="D99" s="29"/>
      <c r="E99" s="29"/>
      <c r="F99" s="29"/>
      <c r="G99" s="2604"/>
      <c r="H99" s="2604"/>
      <c r="I99" s="2604"/>
      <c r="J99" s="2604"/>
      <c r="K99" s="2604"/>
      <c r="L99" s="2604"/>
      <c r="M99" s="2604"/>
      <c r="N99" s="2604"/>
      <c r="O99" s="2604"/>
      <c r="P99" s="2604"/>
      <c r="Q99" s="2604"/>
    </row>
    <row r="100" spans="2:17">
      <c r="B100" s="29"/>
      <c r="C100" s="29"/>
      <c r="D100" s="29"/>
      <c r="G100" s="2604"/>
      <c r="H100" s="2604"/>
      <c r="I100" s="2604"/>
      <c r="J100" s="2604"/>
      <c r="K100" s="2604"/>
      <c r="L100" s="2604"/>
      <c r="M100" s="2604"/>
      <c r="N100" s="2604"/>
      <c r="O100" s="2604"/>
      <c r="P100" s="2604"/>
      <c r="Q100" s="2604"/>
    </row>
    <row r="101" spans="2:17">
      <c r="B101" s="29"/>
      <c r="C101" s="29"/>
      <c r="D101" s="29"/>
      <c r="G101" s="2604"/>
      <c r="H101" s="2604"/>
      <c r="I101" s="2604"/>
      <c r="J101" s="2604"/>
      <c r="K101" s="2604"/>
      <c r="L101" s="2604"/>
      <c r="M101" s="2604"/>
      <c r="N101" s="2604"/>
      <c r="O101" s="2604"/>
      <c r="P101" s="2604"/>
      <c r="Q101" s="2604"/>
    </row>
    <row r="102" spans="2:17">
      <c r="B102" s="29"/>
      <c r="C102" s="29"/>
      <c r="D102" s="29"/>
      <c r="G102" s="2604"/>
      <c r="H102" s="2604"/>
      <c r="I102" s="2604"/>
      <c r="J102" s="2604"/>
      <c r="K102" s="2604"/>
      <c r="L102" s="2604"/>
      <c r="M102" s="2604"/>
      <c r="N102" s="2604"/>
      <c r="O102" s="2604"/>
      <c r="P102" s="2604"/>
      <c r="Q102" s="2604"/>
    </row>
    <row r="103" spans="2:17">
      <c r="B103" s="29"/>
      <c r="C103" s="29"/>
      <c r="D103" s="29"/>
      <c r="G103" s="2604"/>
      <c r="H103" s="2604"/>
      <c r="I103" s="2604"/>
      <c r="J103" s="2604"/>
      <c r="K103" s="2604"/>
      <c r="L103" s="2604"/>
      <c r="M103" s="2604"/>
      <c r="N103" s="2604"/>
      <c r="O103" s="2604"/>
      <c r="P103" s="2604"/>
      <c r="Q103" s="2604"/>
    </row>
    <row r="104" spans="2:17">
      <c r="B104" s="29"/>
      <c r="C104" s="29"/>
      <c r="D104" s="29"/>
      <c r="G104" s="2604"/>
      <c r="H104" s="2604"/>
      <c r="I104" s="2604"/>
      <c r="J104" s="2604"/>
      <c r="K104" s="2604"/>
      <c r="L104" s="2604"/>
      <c r="M104" s="2604"/>
      <c r="N104" s="2604"/>
      <c r="O104" s="2604"/>
      <c r="P104" s="2604"/>
      <c r="Q104" s="2604"/>
    </row>
    <row r="105" spans="2:17">
      <c r="B105" s="29"/>
      <c r="C105" s="29"/>
      <c r="D105" s="29"/>
      <c r="G105" s="2604"/>
      <c r="H105" s="2604"/>
      <c r="I105" s="2604"/>
      <c r="J105" s="2604"/>
      <c r="K105" s="2604"/>
      <c r="L105" s="2604"/>
      <c r="M105" s="2604"/>
      <c r="N105" s="2604"/>
      <c r="O105" s="2604"/>
      <c r="P105" s="2604"/>
      <c r="Q105" s="2604"/>
    </row>
    <row r="106" spans="2:17">
      <c r="B106" s="29"/>
      <c r="C106" s="29"/>
      <c r="D106" s="29"/>
      <c r="G106" s="2604"/>
      <c r="H106" s="2604"/>
      <c r="I106" s="2604"/>
      <c r="J106" s="2604"/>
      <c r="K106" s="2604"/>
      <c r="L106" s="2604"/>
      <c r="M106" s="2604"/>
      <c r="N106" s="2604"/>
      <c r="O106" s="2604"/>
      <c r="P106" s="2604"/>
      <c r="Q106" s="2604"/>
    </row>
    <row r="107" spans="2:17">
      <c r="B107" s="29"/>
      <c r="C107" s="29"/>
      <c r="D107" s="29"/>
      <c r="G107" s="2604"/>
      <c r="H107" s="2604"/>
      <c r="I107" s="2604"/>
      <c r="J107" s="2604"/>
      <c r="K107" s="2604"/>
      <c r="L107" s="2604"/>
      <c r="M107" s="2604"/>
      <c r="N107" s="2604"/>
      <c r="O107" s="2604"/>
      <c r="P107" s="2604"/>
      <c r="Q107" s="2604"/>
    </row>
    <row r="108" spans="2:17">
      <c r="G108" s="2604"/>
      <c r="H108" s="2604"/>
      <c r="I108" s="2604"/>
      <c r="J108" s="2604"/>
      <c r="K108" s="2604"/>
      <c r="L108" s="2604"/>
      <c r="M108" s="2604"/>
      <c r="N108" s="2604"/>
      <c r="O108" s="2604"/>
      <c r="P108" s="2604"/>
      <c r="Q108" s="2604"/>
    </row>
    <row r="109" spans="2:17">
      <c r="G109" s="2604"/>
      <c r="H109" s="2604"/>
      <c r="I109" s="2604"/>
      <c r="J109" s="2604"/>
      <c r="K109" s="2604"/>
      <c r="L109" s="2604"/>
      <c r="M109" s="2604"/>
      <c r="N109" s="2604"/>
      <c r="O109" s="2604"/>
      <c r="P109" s="2604"/>
      <c r="Q109" s="2604"/>
    </row>
    <row r="110" spans="2:17">
      <c r="G110" s="2604"/>
      <c r="H110" s="2604"/>
      <c r="I110" s="2604"/>
      <c r="J110" s="2604"/>
      <c r="K110" s="2604"/>
      <c r="L110" s="2604"/>
      <c r="M110" s="2604"/>
      <c r="N110" s="2604"/>
      <c r="O110" s="2604"/>
      <c r="P110" s="2604"/>
      <c r="Q110" s="2604"/>
    </row>
    <row r="111" spans="2:17">
      <c r="G111" s="2604"/>
      <c r="H111" s="2604"/>
      <c r="I111" s="2604"/>
      <c r="J111" s="2604"/>
      <c r="K111" s="2604"/>
      <c r="L111" s="2604"/>
      <c r="M111" s="2604"/>
      <c r="N111" s="2604"/>
      <c r="O111" s="2604"/>
      <c r="P111" s="2604"/>
      <c r="Q111" s="2604"/>
    </row>
    <row r="112" spans="2:17">
      <c r="G112" s="2604"/>
      <c r="H112" s="2604"/>
      <c r="I112" s="2604"/>
      <c r="J112" s="2604"/>
      <c r="K112" s="2604"/>
      <c r="L112" s="2604"/>
      <c r="M112" s="2604"/>
      <c r="N112" s="2604"/>
      <c r="O112" s="2604"/>
      <c r="P112" s="2604"/>
      <c r="Q112" s="2604"/>
    </row>
    <row r="113" spans="2:17">
      <c r="G113" s="2604"/>
      <c r="H113" s="2604"/>
      <c r="I113" s="2604"/>
      <c r="J113" s="2604"/>
      <c r="K113" s="2604"/>
      <c r="L113" s="2604"/>
      <c r="M113" s="2604"/>
      <c r="N113" s="2604"/>
      <c r="O113" s="2604"/>
      <c r="P113" s="2604"/>
      <c r="Q113" s="2604"/>
    </row>
    <row r="114" spans="2:17">
      <c r="G114" s="2604"/>
      <c r="H114" s="2604"/>
      <c r="I114" s="2604"/>
      <c r="J114" s="2604"/>
      <c r="K114" s="2604"/>
      <c r="L114" s="2604"/>
      <c r="M114" s="2604"/>
      <c r="N114" s="2604"/>
      <c r="O114" s="2604"/>
      <c r="P114" s="2604"/>
      <c r="Q114" s="2604"/>
    </row>
    <row r="115" spans="2:17">
      <c r="L115" s="2604"/>
      <c r="M115" s="2604"/>
      <c r="N115" s="2604"/>
      <c r="O115" s="2604"/>
      <c r="P115" s="2604"/>
      <c r="Q115" s="2604"/>
    </row>
    <row r="116" spans="2:17">
      <c r="L116" s="2604"/>
      <c r="M116" s="2604"/>
      <c r="N116" s="2604"/>
      <c r="O116" s="2604"/>
      <c r="P116" s="2604"/>
      <c r="Q116" s="2604"/>
    </row>
    <row r="117" spans="2:17">
      <c r="L117" s="2604"/>
      <c r="M117" s="2604"/>
      <c r="N117" s="2604"/>
      <c r="O117" s="2604"/>
      <c r="P117" s="2604"/>
      <c r="Q117" s="2604"/>
    </row>
    <row r="118" spans="2:17">
      <c r="B118" s="440"/>
      <c r="C118" s="29"/>
      <c r="L118" s="2604"/>
      <c r="M118" s="2604"/>
      <c r="N118" s="2604"/>
      <c r="O118" s="2604"/>
      <c r="P118" s="2604"/>
      <c r="Q118" s="2604"/>
    </row>
    <row r="119" spans="2:17">
      <c r="B119" s="440"/>
      <c r="C119" s="29"/>
      <c r="L119" s="2604"/>
      <c r="M119" s="2604"/>
      <c r="N119" s="2604"/>
      <c r="O119" s="2604"/>
      <c r="P119" s="2604"/>
      <c r="Q119" s="2604"/>
    </row>
    <row r="120" spans="2:17">
      <c r="B120" s="440"/>
      <c r="C120" s="29"/>
      <c r="L120" s="2604"/>
      <c r="M120" s="2604"/>
      <c r="N120" s="2604"/>
      <c r="O120" s="2604"/>
      <c r="P120" s="2604"/>
      <c r="Q120" s="2604"/>
    </row>
    <row r="121" spans="2:17">
      <c r="B121" s="440"/>
      <c r="C121" s="29"/>
      <c r="L121" s="2604"/>
      <c r="M121" s="2604"/>
      <c r="N121" s="2604"/>
      <c r="O121" s="2604"/>
      <c r="P121" s="2604"/>
      <c r="Q121" s="2604"/>
    </row>
    <row r="122" spans="2:17">
      <c r="B122" s="440"/>
      <c r="C122" s="29"/>
      <c r="L122" s="2604"/>
      <c r="M122" s="2604"/>
      <c r="N122" s="2604"/>
      <c r="O122" s="2604"/>
      <c r="P122" s="2604"/>
      <c r="Q122" s="2604"/>
    </row>
    <row r="123" spans="2:17">
      <c r="B123" s="440"/>
      <c r="C123" s="29"/>
      <c r="L123" s="2604"/>
      <c r="M123" s="2604"/>
      <c r="N123" s="2604"/>
      <c r="O123" s="2604"/>
      <c r="P123" s="2604"/>
      <c r="Q123" s="2604"/>
    </row>
    <row r="124" spans="2:17">
      <c r="B124" s="440"/>
      <c r="C124" s="29"/>
      <c r="L124" s="2604"/>
      <c r="M124" s="2604"/>
      <c r="N124" s="2604"/>
      <c r="O124" s="2604"/>
      <c r="P124" s="2604"/>
      <c r="Q124" s="2604"/>
    </row>
    <row r="125" spans="2:17">
      <c r="B125" s="440"/>
      <c r="C125" s="29"/>
      <c r="L125" s="2604"/>
      <c r="M125" s="2604"/>
      <c r="N125" s="2604"/>
      <c r="O125" s="2604"/>
      <c r="P125" s="2604"/>
      <c r="Q125" s="2604"/>
    </row>
    <row r="126" spans="2:17">
      <c r="B126" s="440"/>
      <c r="C126" s="29"/>
      <c r="L126" s="2604"/>
      <c r="M126" s="2604"/>
      <c r="N126" s="2604"/>
      <c r="O126" s="2604"/>
      <c r="P126" s="2604"/>
      <c r="Q126" s="2604"/>
    </row>
    <row r="127" spans="2:17">
      <c r="B127" s="440"/>
      <c r="C127" s="29"/>
      <c r="L127" s="2604"/>
      <c r="M127" s="2604"/>
      <c r="N127" s="2604"/>
      <c r="O127" s="2604"/>
      <c r="P127" s="2604"/>
      <c r="Q127" s="2604"/>
    </row>
    <row r="128" spans="2:17">
      <c r="B128" s="440"/>
      <c r="C128" s="29"/>
      <c r="L128" s="2604"/>
      <c r="M128" s="2604"/>
      <c r="N128" s="2604"/>
      <c r="O128" s="2604"/>
      <c r="P128" s="2604"/>
      <c r="Q128" s="2604"/>
    </row>
    <row r="129" spans="2:17">
      <c r="B129" s="440"/>
      <c r="C129" s="29"/>
      <c r="L129" s="2604"/>
      <c r="M129" s="2604"/>
      <c r="N129" s="2604"/>
      <c r="O129" s="2604"/>
      <c r="P129" s="2604"/>
      <c r="Q129" s="2604"/>
    </row>
    <row r="130" spans="2:17">
      <c r="B130" s="440"/>
      <c r="C130" s="29"/>
      <c r="L130" s="2604"/>
      <c r="M130" s="2604"/>
      <c r="N130" s="2604"/>
      <c r="O130" s="2604"/>
      <c r="P130" s="2604"/>
      <c r="Q130" s="2604"/>
    </row>
    <row r="131" spans="2:17">
      <c r="B131" s="440"/>
      <c r="C131" s="29"/>
      <c r="L131" s="2604"/>
      <c r="M131" s="2604"/>
      <c r="N131" s="2604"/>
      <c r="O131" s="2604"/>
      <c r="P131" s="2604"/>
      <c r="Q131" s="2604"/>
    </row>
    <row r="132" spans="2:17">
      <c r="B132" s="440"/>
      <c r="C132" s="29"/>
      <c r="L132" s="2604"/>
      <c r="M132" s="2604"/>
      <c r="N132" s="2604"/>
      <c r="O132" s="2604"/>
      <c r="P132" s="2604"/>
      <c r="Q132" s="2604"/>
    </row>
    <row r="133" spans="2:17">
      <c r="B133" s="440"/>
      <c r="C133" s="29"/>
      <c r="L133" s="2604"/>
      <c r="M133" s="2604"/>
      <c r="N133" s="2604"/>
      <c r="O133" s="2604"/>
      <c r="P133" s="2604"/>
      <c r="Q133" s="2604"/>
    </row>
    <row r="134" spans="2:17">
      <c r="B134" s="440"/>
      <c r="C134" s="29"/>
      <c r="L134" s="2604"/>
      <c r="M134" s="2604"/>
      <c r="N134" s="2604"/>
      <c r="O134" s="2604"/>
      <c r="P134" s="2604"/>
      <c r="Q134" s="2604"/>
    </row>
    <row r="135" spans="2:17">
      <c r="B135" s="440"/>
      <c r="C135" s="29"/>
      <c r="L135" s="2604"/>
      <c r="M135" s="2604"/>
      <c r="N135" s="2604"/>
      <c r="O135" s="2604"/>
      <c r="P135" s="2604"/>
      <c r="Q135" s="2604"/>
    </row>
    <row r="136" spans="2:17">
      <c r="B136" s="440"/>
      <c r="C136" s="29"/>
      <c r="L136" s="2604"/>
      <c r="M136" s="2604"/>
      <c r="N136" s="2604"/>
      <c r="O136" s="2604"/>
      <c r="P136" s="2604"/>
      <c r="Q136" s="2604"/>
    </row>
    <row r="137" spans="2:17">
      <c r="B137" s="440"/>
      <c r="C137" s="29"/>
      <c r="L137" s="2604"/>
      <c r="M137" s="2604"/>
      <c r="N137" s="2604"/>
      <c r="O137" s="2604"/>
      <c r="P137" s="2604"/>
      <c r="Q137" s="2604"/>
    </row>
    <row r="138" spans="2:17">
      <c r="B138" s="440"/>
      <c r="C138" s="29"/>
      <c r="L138" s="2604"/>
      <c r="M138" s="2604"/>
      <c r="N138" s="2604"/>
      <c r="O138" s="2604"/>
      <c r="P138" s="2604"/>
      <c r="Q138" s="2604"/>
    </row>
    <row r="139" spans="2:17">
      <c r="B139" s="440"/>
      <c r="C139" s="29"/>
      <c r="L139" s="2604"/>
      <c r="M139" s="2604"/>
      <c r="N139" s="2604"/>
      <c r="O139" s="2604"/>
      <c r="P139" s="2604"/>
      <c r="Q139" s="2604"/>
    </row>
    <row r="140" spans="2:17">
      <c r="B140" s="440"/>
      <c r="C140" s="29"/>
      <c r="L140" s="2604"/>
      <c r="M140" s="2604"/>
      <c r="N140" s="2604"/>
      <c r="O140" s="2604"/>
      <c r="P140" s="2604"/>
      <c r="Q140" s="2604"/>
    </row>
    <row r="141" spans="2:17">
      <c r="B141" s="440"/>
      <c r="C141" s="29"/>
      <c r="L141" s="2604"/>
      <c r="M141" s="2604"/>
      <c r="N141" s="2604"/>
      <c r="O141" s="2604"/>
      <c r="P141" s="2604"/>
      <c r="Q141" s="2604"/>
    </row>
    <row r="142" spans="2:17">
      <c r="B142" s="440"/>
      <c r="C142" s="29"/>
      <c r="L142" s="2604"/>
      <c r="M142" s="2604"/>
      <c r="N142" s="2604"/>
      <c r="O142" s="2604"/>
      <c r="P142" s="2604"/>
      <c r="Q142" s="2604"/>
    </row>
    <row r="143" spans="2:17">
      <c r="B143" s="440"/>
      <c r="C143" s="29"/>
      <c r="L143" s="29"/>
    </row>
    <row r="144" spans="2:17">
      <c r="B144" s="440"/>
      <c r="C144" s="29"/>
      <c r="L144" s="29"/>
    </row>
    <row r="145" spans="2:12">
      <c r="B145" s="440"/>
      <c r="C145" s="29"/>
      <c r="L145" s="29"/>
    </row>
    <row r="146" spans="2:12">
      <c r="B146" s="440"/>
      <c r="C146" s="29"/>
      <c r="L146" s="29"/>
    </row>
    <row r="147" spans="2:12">
      <c r="B147" s="440"/>
      <c r="C147" s="29"/>
    </row>
    <row r="148" spans="2:12">
      <c r="B148" s="440"/>
      <c r="C148" s="29"/>
    </row>
    <row r="149" spans="2:12">
      <c r="B149" s="440"/>
      <c r="C149" s="29"/>
    </row>
    <row r="150" spans="2:12">
      <c r="B150" s="440"/>
      <c r="C150" s="29"/>
      <c r="H150" s="1354"/>
      <c r="J150" s="1563"/>
    </row>
    <row r="151" spans="2:12">
      <c r="B151" s="440"/>
      <c r="C151" s="29"/>
      <c r="H151" s="1354"/>
      <c r="J151" s="1563"/>
    </row>
    <row r="152" spans="2:12">
      <c r="B152" s="440"/>
      <c r="C152" s="29"/>
      <c r="H152" s="1354"/>
      <c r="J152" s="1563"/>
    </row>
    <row r="153" spans="2:12">
      <c r="B153" s="440"/>
      <c r="C153" s="29"/>
      <c r="H153" s="1354"/>
      <c r="J153" s="1563"/>
    </row>
    <row r="154" spans="2:12">
      <c r="B154" s="440"/>
      <c r="C154" s="29"/>
      <c r="D154" s="29"/>
      <c r="F154" s="29"/>
      <c r="G154" s="29"/>
      <c r="H154" s="29"/>
      <c r="I154" s="29"/>
      <c r="J154" s="29"/>
      <c r="K154" s="29"/>
    </row>
    <row r="155" spans="2:12">
      <c r="B155" s="440"/>
      <c r="C155" s="29"/>
      <c r="D155" s="29"/>
      <c r="F155" s="29"/>
      <c r="G155" s="29"/>
      <c r="H155" s="29"/>
      <c r="I155" s="29"/>
      <c r="J155" s="29"/>
      <c r="K155" s="29"/>
    </row>
    <row r="156" spans="2:12">
      <c r="B156" s="440"/>
      <c r="C156" s="29"/>
      <c r="D156" s="29"/>
      <c r="F156" s="29"/>
      <c r="G156" s="29"/>
      <c r="H156" s="29"/>
      <c r="I156" s="29"/>
      <c r="J156" s="29"/>
      <c r="K156" s="29"/>
    </row>
    <row r="157" spans="2:12">
      <c r="B157" s="440"/>
      <c r="C157" s="29"/>
    </row>
    <row r="158" spans="2:12">
      <c r="B158" s="440"/>
      <c r="C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heet="1" selectLockedCells="1"/>
  <customSheetViews>
    <customSheetView guid="{8063F48F-80B5-4ECD-B18A-51CBF126E780}" fitToPage="1" printArea="1" hiddenRows="1" hiddenColumns="1" topLeftCell="G1">
      <selection activeCell="C20" sqref="C20:F20"/>
      <pageMargins left="0.59055118110236227" right="0.57999999999999996" top="0.59055118110236227" bottom="0.59055118110236227" header="0.39370078740157483" footer="0.39370078740157483"/>
      <printOptions horizontalCentered="1"/>
      <pageSetup paperSize="9" scale="70" firstPageNumber="30" orientation="portrait" r:id="rId1"/>
      <headerFooter alignWithMargins="0">
        <oddFooter>&amp;L&amp;11LEL Schwäbisch Gmünd&amp;R&amp;11&amp;F</oddFooter>
      </headerFooter>
    </customSheetView>
    <customSheetView guid="{5D5C9B61-9ABD-4513-AAEB-8333A9D6196C}" fitToPage="1" hiddenRows="1" hiddenColumns="1">
      <selection activeCell="AK19" sqref="AK19"/>
      <pageMargins left="0.59055118110236227" right="0.57999999999999996" top="0.59055118110236227" bottom="0.59055118110236227" header="0.39370078740157483" footer="0.39370078740157483"/>
      <printOptions horizontalCentered="1"/>
      <pageSetup paperSize="9" scale="70" firstPageNumber="30" orientation="portrait" r:id="rId2"/>
      <headerFooter alignWithMargins="0">
        <oddFooter>&amp;L&amp;11LEL Schwäbisch Gmünd&amp;R&amp;11&amp;F</oddFooter>
      </headerFooter>
    </customSheetView>
    <customSheetView guid="{22A73C4F-9004-4CEF-8499-B1F91BE1B569}" fitToPage="1" hiddenRows="1" hiddenColumns="1" topLeftCell="G1">
      <selection activeCell="C20" sqref="C20:F20"/>
      <pageMargins left="0.59055118110236227" right="0.57999999999999996" top="0.59055118110236227" bottom="0.59055118110236227" header="0.39370078740157483" footer="0.39370078740157483"/>
      <printOptions horizontalCentered="1"/>
      <pageSetup paperSize="9" scale="70" firstPageNumber="30" orientation="portrait" r:id="rId3"/>
      <headerFooter alignWithMargins="0">
        <oddFooter>&amp;L&amp;11LEL Schwäbisch Gmünd&amp;R&amp;11&amp;F</oddFooter>
      </headerFooter>
    </customSheetView>
  </customSheetViews>
  <mergeCells count="50">
    <mergeCell ref="N3:O4"/>
    <mergeCell ref="J3:L3"/>
    <mergeCell ref="F23:G23"/>
    <mergeCell ref="D25:E25"/>
    <mergeCell ref="D26:E26"/>
    <mergeCell ref="K6:L6"/>
    <mergeCell ref="B3:H3"/>
    <mergeCell ref="C74:E74"/>
    <mergeCell ref="B75:C75"/>
    <mergeCell ref="N1:O1"/>
    <mergeCell ref="C41:E41"/>
    <mergeCell ref="H6:I6"/>
    <mergeCell ref="C38:E38"/>
    <mergeCell ref="C39:E39"/>
    <mergeCell ref="C37:E37"/>
    <mergeCell ref="K2:P2"/>
    <mergeCell ref="C14:F14"/>
    <mergeCell ref="C15:F15"/>
    <mergeCell ref="E4:I4"/>
    <mergeCell ref="N6:O6"/>
    <mergeCell ref="C16:F16"/>
    <mergeCell ref="C20:F20"/>
    <mergeCell ref="C73:E73"/>
    <mergeCell ref="C62:E62"/>
    <mergeCell ref="C63:E63"/>
    <mergeCell ref="C68:E68"/>
    <mergeCell ref="F34:G34"/>
    <mergeCell ref="C42:E42"/>
    <mergeCell ref="C57:D57"/>
    <mergeCell ref="C53:D53"/>
    <mergeCell ref="C64:E64"/>
    <mergeCell ref="C54:D54"/>
    <mergeCell ref="C56:D56"/>
    <mergeCell ref="C51:D51"/>
    <mergeCell ref="C46:D46"/>
    <mergeCell ref="C48:D48"/>
    <mergeCell ref="C36:E36"/>
    <mergeCell ref="C40:E40"/>
    <mergeCell ref="C52:D52"/>
    <mergeCell ref="C50:D50"/>
    <mergeCell ref="C49:D49"/>
    <mergeCell ref="C55:D55"/>
    <mergeCell ref="K1:L1"/>
    <mergeCell ref="J4:L4"/>
    <mergeCell ref="E10:F10"/>
    <mergeCell ref="E22:G22"/>
    <mergeCell ref="C17:F17"/>
    <mergeCell ref="C19:F19"/>
    <mergeCell ref="C21:F21"/>
    <mergeCell ref="C47:D47"/>
  </mergeCells>
  <dataValidations count="5">
    <dataValidation type="whole" allowBlank="1" showInputMessage="1" showErrorMessage="1" errorTitle="Anteil Erntegut" error="Prozentwert darf nur zwischen 0 und 100 liegen." sqref="O68 L68 I68" xr:uid="{00000000-0002-0000-4100-000000000000}">
      <formula1>0</formula1>
      <formula2>100</formula2>
    </dataValidation>
    <dataValidation type="decimal" allowBlank="1" showInputMessage="1" showErrorMessage="1" errorTitle="Wassergehalt Getreide" error="Zulässig sind nur Werte zwischen 15,1 und 29,9,0 % Wassergehalt." sqref="H68 K68 N68" xr:uid="{00000000-0002-0000-4100-000001000000}">
      <formula1>15.1</formula1>
      <formula2>29.9</formula2>
    </dataValidation>
    <dataValidation type="list" showInputMessage="1" showErrorMessage="1" sqref="H14 K14 N14" xr:uid="{00000000-0002-0000-4100-000002000000}">
      <formula1>"ja,nein"</formula1>
    </dataValidation>
    <dataValidation type="list" allowBlank="1" showInputMessage="1" showErrorMessage="1" sqref="H15:H17 K15:K17 N15:N17" xr:uid="{00000000-0002-0000-4100-000003000000}">
      <formula1>"ja,nein"</formula1>
    </dataValidation>
    <dataValidation type="list" allowBlank="1" showInputMessage="1" showErrorMessage="1" sqref="D19:F19" xr:uid="{00000000-0002-0000-4100-000004000000}">
      <formula1>$C$60:$C$75</formula1>
    </dataValidation>
  </dataValidations>
  <hyperlinks>
    <hyperlink ref="F9" location="SDÖ1!A1" display="Preis ändern" xr:uid="{00000000-0004-0000-4100-000000000000}"/>
  </hyperlinks>
  <printOptions horizontalCentered="1"/>
  <pageMargins left="0.59055118110236227" right="0.57999999999999996" top="0.59055118110236227" bottom="0.59055118110236227" header="0.39370078740157483" footer="0.39370078740157483"/>
  <pageSetup paperSize="9" scale="70" firstPageNumber="30" orientation="portrait" r:id="rId4"/>
  <headerFooter alignWithMargins="0">
    <oddFooter>&amp;L&amp;11LEL Schwäbisch Gmünd&amp;R&amp;11&amp;F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71695" r:id="rId7" name="Check Box 15">
              <controlPr defaultSize="0" autoFill="0" autoLine="0" autoPict="0">
                <anchor moveWithCells="1">
                  <from>
                    <xdr:col>12</xdr:col>
                    <xdr:colOff>114300</xdr:colOff>
                    <xdr:row>2</xdr:row>
                    <xdr:rowOff>259080</xdr:rowOff>
                  </from>
                  <to>
                    <xdr:col>12</xdr:col>
                    <xdr:colOff>381000</xdr:colOff>
                    <xdr:row>3</xdr:row>
                    <xdr:rowOff>76200</xdr:rowOff>
                  </to>
                </anchor>
              </controlPr>
            </control>
          </mc:Choice>
        </mc:AlternateContent>
        <mc:AlternateContent xmlns:mc="http://schemas.openxmlformats.org/markup-compatibility/2006">
          <mc:Choice Requires="x14">
            <control shapeId="71696" r:id="rId8" name="Check Box 16">
              <controlPr defaultSize="0" autoFill="0" autoLine="0" autoPict="0">
                <anchor moveWithCells="1">
                  <from>
                    <xdr:col>12</xdr:col>
                    <xdr:colOff>137160</xdr:colOff>
                    <xdr:row>2</xdr:row>
                    <xdr:rowOff>38100</xdr:rowOff>
                  </from>
                  <to>
                    <xdr:col>12</xdr:col>
                    <xdr:colOff>419100</xdr:colOff>
                    <xdr:row>2</xdr:row>
                    <xdr:rowOff>289560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100-000005000000}">
          <x14:formula1>
            <xm:f>'SD2'!$C$11:$C$50</xm:f>
          </x14:formula1>
          <xm:sqref>C14:F17</xm:sqref>
        </x14:dataValidation>
        <x14:dataValidation type="list" allowBlank="1" showInputMessage="1" showErrorMessage="1" xr:uid="{00000000-0002-0000-4100-000006000000}">
          <x14:formula1>
            <xm:f>'SD2'!$C$60:$C$77</xm:f>
          </x14:formula1>
          <xm:sqref>C19:C21</xm:sqref>
        </x14:dataValidation>
        <x14:dataValidation type="list" allowBlank="1" showInputMessage="1" showErrorMessage="1" errorTitle="Arbeitsgänge" error="Bitte aus Dropdownliste auswählen." xr:uid="{00000000-0002-0000-4100-000007000000}">
          <x14:formula1>
            <xm:f>'SD3'!$C$23:$C$75</xm:f>
          </x14:formula1>
          <xm:sqref>C46:D57</xm:sqref>
        </x14:dataValidation>
        <x14:dataValidation type="list" allowBlank="1" showInputMessage="1" showErrorMessage="1" xr:uid="{00000000-0002-0000-4100-000008000000}">
          <x14:formula1>
            <xm:f>SDÖ5!$C$5:$C$16</xm:f>
          </x14:formula1>
          <xm:sqref>C36:E42</xm:sqref>
        </x14:dataValidation>
        <x14:dataValidation type="list" allowBlank="1" showInputMessage="1" showErrorMessage="1" errorTitle="Lohnmaschinen" error="Bitte aus Dropdownliste auswählen." xr:uid="{00000000-0002-0000-4100-000009000000}">
          <x14:formula1>
            <xm:f>'SD3'!$C$90:$C$104</xm:f>
          </x14:formula1>
          <xm:sqref>C62:E64</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83">
    <tabColor rgb="FFFFFF00"/>
    <pageSetUpPr fitToPage="1"/>
  </sheetPr>
  <dimension ref="A1:AO206"/>
  <sheetViews>
    <sheetView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25.59765625" style="28" hidden="1" customWidth="1"/>
    <col min="18" max="26" width="10.5" style="27" hidden="1" customWidth="1"/>
    <col min="27" max="33" width="10.5" style="27" customWidth="1"/>
    <col min="34" max="16384" width="10.5" style="27"/>
  </cols>
  <sheetData>
    <row r="1" spans="1:41" s="219" customFormat="1" ht="30.15" customHeight="1">
      <c r="A1" s="1681"/>
      <c r="B1" s="258"/>
      <c r="C1" s="1333"/>
      <c r="D1" s="100"/>
      <c r="E1" s="255"/>
      <c r="F1" s="255"/>
      <c r="G1" s="3207"/>
      <c r="H1" s="3207"/>
      <c r="I1" s="3208" t="s">
        <v>1679</v>
      </c>
      <c r="J1" s="3210">
        <f>(J7+J13+J18+J22)-(J23+J27+J34+J43+J60+J65+J67+J69+J71+J75)</f>
        <v>461.84896968173371</v>
      </c>
      <c r="K1" s="4360">
        <f>M1-J1</f>
        <v>195.48508471128457</v>
      </c>
      <c r="L1" s="4360"/>
      <c r="M1" s="3210">
        <f>(M7+M13+M18+M22)-(M23+M27+M34+M43+M60+M65+M67+M69+M71+M75)</f>
        <v>657.33405439301828</v>
      </c>
      <c r="N1" s="4360">
        <f>P1-M1</f>
        <v>192.95155379302219</v>
      </c>
      <c r="O1" s="4360"/>
      <c r="P1" s="3210">
        <f>(P7+P13+P18+P22)-(P23+P27+P34+P43+P60+P65+P67+P69+P71+P75)</f>
        <v>850.28560818604046</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1390</v>
      </c>
      <c r="L2" s="4372"/>
      <c r="M2" s="4372"/>
      <c r="N2" s="4372"/>
      <c r="O2" s="4372"/>
      <c r="P2" s="4372"/>
      <c r="Q2" s="1681"/>
    </row>
    <row r="3" spans="1:41" s="219" customFormat="1" ht="32.4" customHeight="1">
      <c r="A3" s="1681"/>
      <c r="B3" s="4405" t="s">
        <v>1727</v>
      </c>
      <c r="C3" s="4405"/>
      <c r="D3" s="4405"/>
      <c r="E3" s="4405"/>
      <c r="F3" s="4405"/>
      <c r="G3" s="4405"/>
      <c r="H3" s="4405"/>
      <c r="J3" s="4368" t="s">
        <v>886</v>
      </c>
      <c r="K3" s="4447"/>
      <c r="L3" s="4447"/>
      <c r="M3" s="1689"/>
      <c r="N3" s="4444" t="str">
        <f>IF(AND(T3=TRUE,T4=TRUE),"nur 1 Strohnutzung möglich","")</f>
        <v/>
      </c>
      <c r="O3" s="4374"/>
      <c r="P3" s="1326"/>
      <c r="Q3" s="1681"/>
      <c r="T3" s="1343" t="b">
        <v>1</v>
      </c>
    </row>
    <row r="4" spans="1:41" s="219" customFormat="1" ht="20.25" customHeight="1">
      <c r="A4" s="1681"/>
      <c r="B4" s="309" t="s">
        <v>779</v>
      </c>
      <c r="C4" s="27"/>
      <c r="D4" s="27"/>
      <c r="E4" s="4406" t="s">
        <v>890</v>
      </c>
      <c r="F4" s="4406"/>
      <c r="G4" s="4406"/>
      <c r="H4" s="4406"/>
      <c r="I4" s="4406"/>
      <c r="J4" s="4368" t="s">
        <v>875</v>
      </c>
      <c r="K4" s="4447"/>
      <c r="L4" s="4447"/>
      <c r="M4" s="1688"/>
      <c r="N4" s="4374"/>
      <c r="O4" s="4374"/>
      <c r="P4" s="1322">
        <f>SDÖ1!O3</f>
        <v>2024</v>
      </c>
      <c r="Q4" s="1681"/>
      <c r="T4" s="1343" t="b">
        <v>0</v>
      </c>
      <c r="U4" s="1690"/>
    </row>
    <row r="5" spans="1:41" ht="6" customHeight="1"/>
    <row r="6" spans="1:41" s="1311" customFormat="1" ht="24" customHeight="1">
      <c r="A6" s="41"/>
      <c r="B6" s="1316" t="s">
        <v>832</v>
      </c>
      <c r="C6" s="1315"/>
      <c r="D6" s="1315"/>
      <c r="E6" s="1315"/>
      <c r="F6" s="1315"/>
      <c r="G6" s="1314" t="s">
        <v>1141</v>
      </c>
      <c r="H6" s="4366" t="s">
        <v>171</v>
      </c>
      <c r="I6" s="4367"/>
      <c r="J6" s="1313">
        <f>M6*0.75</f>
        <v>30</v>
      </c>
      <c r="K6" s="4379" t="s">
        <v>144</v>
      </c>
      <c r="L6" s="4380"/>
      <c r="M6" s="1313">
        <v>40</v>
      </c>
      <c r="N6" s="4366" t="s">
        <v>170</v>
      </c>
      <c r="O6" s="4367"/>
      <c r="P6" s="1312">
        <f>M6*1.25</f>
        <v>50</v>
      </c>
      <c r="Q6" s="49"/>
    </row>
    <row r="7" spans="1:41" s="196" customFormat="1" ht="18.75" customHeight="1">
      <c r="A7" s="40"/>
      <c r="B7" s="245" t="s">
        <v>1133</v>
      </c>
      <c r="C7" s="40"/>
      <c r="D7" s="40"/>
      <c r="E7" s="40"/>
      <c r="F7" s="40"/>
      <c r="G7" s="1310" t="s">
        <v>163</v>
      </c>
      <c r="H7" s="1307"/>
      <c r="I7" s="1306"/>
      <c r="J7" s="1041">
        <f>SUM(I9:I12)</f>
        <v>1199.4000000000001</v>
      </c>
      <c r="K7" s="1309"/>
      <c r="L7" s="1308"/>
      <c r="M7" s="1044">
        <f>SUM(L9:L12)</f>
        <v>1599.2</v>
      </c>
      <c r="N7" s="1307"/>
      <c r="O7" s="1306"/>
      <c r="P7" s="1041">
        <f>SUM(O9:O12)</f>
        <v>1999</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t="s">
        <v>882</v>
      </c>
      <c r="G9" s="1221">
        <f>SDÖ1!O19</f>
        <v>29.18</v>
      </c>
      <c r="H9" s="1303">
        <f>J6-H10</f>
        <v>30</v>
      </c>
      <c r="I9" s="1299">
        <f>H9*G9</f>
        <v>875.4</v>
      </c>
      <c r="J9" s="37"/>
      <c r="K9" s="1302">
        <f>M6-K10</f>
        <v>40</v>
      </c>
      <c r="L9" s="1301">
        <f>K9*G9</f>
        <v>1167.2</v>
      </c>
      <c r="M9" s="1280"/>
      <c r="N9" s="1300">
        <f>P6-N10</f>
        <v>50</v>
      </c>
      <c r="O9" s="1299">
        <f>N9*G9</f>
        <v>1459</v>
      </c>
      <c r="P9" s="37"/>
      <c r="Q9" s="28"/>
      <c r="R9" s="517"/>
      <c r="S9" s="208" t="s">
        <v>887</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324</v>
      </c>
      <c r="S10" s="1288">
        <f>L10+L11+L12</f>
        <v>432</v>
      </c>
      <c r="T10" s="1287">
        <f>O10+O11+O12</f>
        <v>540</v>
      </c>
      <c r="W10" s="196" t="s">
        <v>879</v>
      </c>
    </row>
    <row r="11" spans="1:41" s="1268" customFormat="1" ht="15" customHeight="1">
      <c r="A11" s="309"/>
      <c r="B11" s="3147"/>
      <c r="C11" s="1006" t="s">
        <v>878</v>
      </c>
      <c r="D11" s="3148"/>
      <c r="E11" s="3149">
        <v>0.9</v>
      </c>
      <c r="F11" s="1006" t="s">
        <v>877</v>
      </c>
      <c r="G11" s="3150">
        <f>SDÖ1!$O$52</f>
        <v>12</v>
      </c>
      <c r="H11" s="3151">
        <f>IF(OR($T$3,$T$4)=TRUE,J6*$E$11,0)</f>
        <v>27</v>
      </c>
      <c r="I11" s="3152">
        <f>H11*$G$11</f>
        <v>324</v>
      </c>
      <c r="J11" s="3153"/>
      <c r="K11" s="3154">
        <f>IF(OR($T$3,$T$4)=TRUE,M6*$E$11,0)</f>
        <v>36</v>
      </c>
      <c r="L11" s="3155">
        <f>K11*$G$11</f>
        <v>432</v>
      </c>
      <c r="M11" s="3156"/>
      <c r="N11" s="3157">
        <f>IF(OR($T$3,$T$4)=TRUE,P6*$E$11,0)</f>
        <v>45</v>
      </c>
      <c r="O11" s="3152">
        <f>N11*$G$11</f>
        <v>540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f>IF(OR(T3=TRUE,T4=TRUE),J6*$E$11,"0")</f>
        <v>27</v>
      </c>
      <c r="Y12" s="1265">
        <f>IF(OR(T3=TRUE,T4=TRUE),M6*$E$11,"0")</f>
        <v>36</v>
      </c>
      <c r="Z12" s="1264">
        <f>IF(OR(T3=TRUE,T4=TRUE),P6*$E$11,"0")</f>
        <v>45</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W13" s="36" t="s">
        <v>236</v>
      </c>
      <c r="X13" s="1260">
        <f>$X$12*F30</f>
        <v>12.149999999999999</v>
      </c>
      <c r="Y13" s="1260">
        <f>$Y$12*F30</f>
        <v>16.2</v>
      </c>
      <c r="Z13" s="1260">
        <f>$Z$12*F30</f>
        <v>20.249999999999996</v>
      </c>
    </row>
    <row r="14" spans="1:41" s="36" customFormat="1" ht="15" customHeight="1">
      <c r="A14" s="39"/>
      <c r="B14" s="1247"/>
      <c r="C14" s="4365" t="s">
        <v>1511</v>
      </c>
      <c r="D14" s="4365"/>
      <c r="E14" s="4365"/>
      <c r="F14" s="4365"/>
      <c r="G14" s="1263"/>
      <c r="H14" s="1391" t="s">
        <v>919</v>
      </c>
      <c r="I14" s="2827">
        <f>IF(H14="ja",Q14,0)</f>
        <v>240</v>
      </c>
      <c r="J14" s="39"/>
      <c r="K14" s="1262" t="s">
        <v>919</v>
      </c>
      <c r="L14" s="1098">
        <f>IF(K14="ja",Q14,0)</f>
        <v>240</v>
      </c>
      <c r="M14" s="1016"/>
      <c r="N14" s="1262" t="s">
        <v>919</v>
      </c>
      <c r="O14" s="2827">
        <f>IF(N14="ja",Q14,0)</f>
        <v>240</v>
      </c>
      <c r="P14" s="2826"/>
      <c r="Q14" s="1261">
        <f>IF(C14=0,0,VLOOKUP(C14,'SD2'!$C$11:$O$50,'SD2'!$O$1,FALSE))</f>
        <v>240</v>
      </c>
      <c r="R14" s="1350"/>
      <c r="S14" s="1349"/>
      <c r="T14" s="1348"/>
      <c r="W14" s="36" t="s">
        <v>685</v>
      </c>
      <c r="X14" s="1260">
        <f>$X$12*F31</f>
        <v>7.2900000000000009</v>
      </c>
      <c r="Y14" s="1260">
        <f>$Y$12*F31</f>
        <v>9.7200000000000006</v>
      </c>
      <c r="Z14" s="1260">
        <f>$Z$12*F31</f>
        <v>12.15</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347"/>
      <c r="S15" s="1343"/>
      <c r="T15" s="1346"/>
      <c r="W15" s="36" t="s">
        <v>684</v>
      </c>
      <c r="X15" s="1260">
        <f>$X$12*F32</f>
        <v>48.599999999999994</v>
      </c>
      <c r="Y15" s="1260">
        <f>$Y$12*F32</f>
        <v>64.8</v>
      </c>
      <c r="Z15" s="1260">
        <f>$Z$12*F32</f>
        <v>80.999999999999986</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347"/>
      <c r="S16" s="1343"/>
      <c r="T16" s="1346"/>
      <c r="W16" s="36" t="s">
        <v>230</v>
      </c>
      <c r="X16" s="1260">
        <f>$X$12*F33</f>
        <v>4.8599999999999994</v>
      </c>
      <c r="Y16" s="1260">
        <f>$Y$12*F33</f>
        <v>6.4799999999999995</v>
      </c>
      <c r="Z16" s="1260">
        <f>$Z$12*F33</f>
        <v>8.1</v>
      </c>
    </row>
    <row r="17" spans="1:33" s="511" customFormat="1" ht="15" customHeight="1">
      <c r="A17" s="40"/>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row>
    <row r="18" spans="1:33" s="36" customFormat="1" ht="18.75" customHeight="1">
      <c r="A18" s="39"/>
      <c r="B18" s="209" t="s">
        <v>1563</v>
      </c>
      <c r="C18" s="1672"/>
      <c r="D18" s="1672"/>
      <c r="E18" s="1672"/>
      <c r="F18" s="1672"/>
      <c r="G18" s="2464"/>
      <c r="H18" s="2249"/>
      <c r="I18" s="3474"/>
      <c r="J18" s="1041">
        <f>SUM(I19:I21)</f>
        <v>177</v>
      </c>
      <c r="K18" s="2250"/>
      <c r="L18" s="2466"/>
      <c r="M18" s="1044">
        <f>SUM(L19:L21)</f>
        <v>177</v>
      </c>
      <c r="N18" s="2249"/>
      <c r="O18" s="3474"/>
      <c r="P18" s="1111">
        <f>SUM(O19:O21)</f>
        <v>177</v>
      </c>
      <c r="Q18" s="28"/>
      <c r="R18" s="514" t="s">
        <v>870</v>
      </c>
      <c r="S18" s="308"/>
      <c r="T18" s="1248"/>
    </row>
    <row r="19" spans="1:33" ht="15.6" customHeight="1">
      <c r="A19" s="309"/>
      <c r="B19" s="1247"/>
      <c r="C19" s="4365" t="s">
        <v>1560</v>
      </c>
      <c r="D19" s="4365"/>
      <c r="E19" s="4365"/>
      <c r="F19" s="4365"/>
      <c r="G19" s="1246" t="s">
        <v>163</v>
      </c>
      <c r="H19" s="1244"/>
      <c r="I19" s="2827">
        <f>IF(OR($C19=0,$J$6=0),0,VLOOKUP($C19,'SD2'!C60:O78,12,FALSE))</f>
        <v>155</v>
      </c>
      <c r="J19" s="39"/>
      <c r="K19" s="1245"/>
      <c r="L19" s="1098">
        <f>IF(OR($C19=0,$M$6=0),0,VLOOKUP($C19,'SD2'!$C$60:$O$78,12,FALSE))</f>
        <v>155</v>
      </c>
      <c r="M19" s="1016"/>
      <c r="N19" s="1244"/>
      <c r="O19" s="2827">
        <f>IF(OR($C19=0,$P$6=0),0,VLOOKUP($C19,'SD2'!C60:O78,12,FALSE))</f>
        <v>155</v>
      </c>
      <c r="P19" s="2826"/>
      <c r="R19" s="1242">
        <f>J13+J18</f>
        <v>417</v>
      </c>
      <c r="S19" s="1242">
        <f>M13+M18</f>
        <v>417</v>
      </c>
      <c r="T19" s="1242">
        <f>P13+P18</f>
        <v>417</v>
      </c>
      <c r="AF19" s="36"/>
      <c r="AG19" s="36"/>
    </row>
    <row r="20" spans="1:33" s="2894" customFormat="1" ht="15.6" customHeight="1">
      <c r="A20" s="2788"/>
      <c r="B20" s="1247"/>
      <c r="C20" s="4365" t="s">
        <v>1675</v>
      </c>
      <c r="D20" s="4365"/>
      <c r="E20" s="4365"/>
      <c r="F20" s="4365"/>
      <c r="G20" s="2914"/>
      <c r="H20" s="1244"/>
      <c r="I20" s="2827">
        <f>IF(OR($C20=0,$J$6=0),0,VLOOKUP($C20,'SD2'!C61:O79,12,FALSE))</f>
        <v>22</v>
      </c>
      <c r="J20" s="2783"/>
      <c r="K20" s="1245"/>
      <c r="L20" s="2829">
        <f>IF(OR($C20=0,$M$6=0),0,VLOOKUP($C20,'SD2'!$C$60:$O$78,12,FALSE))</f>
        <v>22</v>
      </c>
      <c r="M20" s="2795"/>
      <c r="N20" s="1244"/>
      <c r="O20" s="2827">
        <f>IF(OR($C20=0,$P$6=0),0,VLOOKUP($C20,'SD2'!C61:O79,12,FALSE))</f>
        <v>22</v>
      </c>
      <c r="P20" s="2826"/>
      <c r="Q20" s="2895"/>
      <c r="R20" s="2888"/>
      <c r="S20" s="2888"/>
      <c r="T20" s="2888"/>
      <c r="AF20" s="36"/>
      <c r="AG20" s="36"/>
    </row>
    <row r="21" spans="1:33" s="2894" customFormat="1" ht="15.6" customHeight="1">
      <c r="A21" s="2788"/>
      <c r="B21" s="1247"/>
      <c r="C21" s="4365"/>
      <c r="D21" s="4365"/>
      <c r="E21" s="4365"/>
      <c r="F21" s="4365"/>
      <c r="G21" s="2914"/>
      <c r="H21" s="1244"/>
      <c r="I21" s="2827">
        <f>IF(OR($C21=0,$J$6=0),0,VLOOKUP($C21,'SD2'!C62:O79,12,FALSE))</f>
        <v>0</v>
      </c>
      <c r="J21" s="2783"/>
      <c r="K21" s="1245"/>
      <c r="L21" s="2829">
        <f>IF(OR($C21=0,$M$6=0),0,VLOOKUP($C21,'SD2'!$C$60:$O$78,12,FALSE))</f>
        <v>0</v>
      </c>
      <c r="M21" s="2795"/>
      <c r="N21" s="1244"/>
      <c r="O21" s="2827">
        <f>IF(OR($C21=0,$P$6=0),0,VLOOKUP($C21,'SD2'!C62:O79,12,FALSE))</f>
        <v>0</v>
      </c>
      <c r="P21" s="2808"/>
      <c r="Q21" s="2895"/>
      <c r="R21" s="2888"/>
      <c r="S21" s="2888"/>
      <c r="T21" s="2888"/>
      <c r="AF21" s="36"/>
      <c r="AG21" s="36"/>
    </row>
    <row r="22" spans="1:33" ht="15.6" customHeight="1">
      <c r="A22" s="309"/>
      <c r="B22" s="245" t="s">
        <v>869</v>
      </c>
      <c r="C22" s="39"/>
      <c r="D22" s="1234"/>
      <c r="E22" s="4370" t="s">
        <v>868</v>
      </c>
      <c r="F22" s="4370"/>
      <c r="G22" s="4371"/>
      <c r="H22" s="1231"/>
      <c r="I22" s="1230"/>
      <c r="J22" s="1229"/>
      <c r="K22" s="1233"/>
      <c r="L22" s="1232"/>
      <c r="M22" s="1229"/>
      <c r="N22" s="1231"/>
      <c r="O22" s="1230"/>
      <c r="P22" s="1229"/>
    </row>
    <row r="23" spans="1:33" s="36" customFormat="1" ht="18.75" customHeight="1">
      <c r="A23" s="746"/>
      <c r="B23" s="209" t="s">
        <v>214</v>
      </c>
      <c r="C23" s="1228"/>
      <c r="D23" s="1228"/>
      <c r="E23" s="34"/>
      <c r="F23" s="4381"/>
      <c r="G23" s="4382" t="s">
        <v>163</v>
      </c>
      <c r="H23" s="1043"/>
      <c r="I23" s="1042"/>
      <c r="J23" s="1026">
        <f>SUM(I25:I26)</f>
        <v>110</v>
      </c>
      <c r="K23" s="1046"/>
      <c r="L23" s="1045"/>
      <c r="M23" s="1227">
        <f>SUM(L25:L26)</f>
        <v>110</v>
      </c>
      <c r="N23" s="1043"/>
      <c r="O23" s="1042"/>
      <c r="P23" s="1026">
        <f>SUM(O25:O26)</f>
        <v>110</v>
      </c>
      <c r="Q23" s="28"/>
    </row>
    <row r="24" spans="1:33"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33" s="511" customFormat="1" ht="18.75" customHeight="1">
      <c r="A25" s="711"/>
      <c r="B25" s="1223"/>
      <c r="C25" s="746" t="s">
        <v>866</v>
      </c>
      <c r="D25" s="4383"/>
      <c r="E25" s="4384"/>
      <c r="F25" s="1222">
        <f>SDÖ7!F13/100</f>
        <v>1</v>
      </c>
      <c r="G25" s="1221">
        <f>F25*(100+$D$24)/100</f>
        <v>1</v>
      </c>
      <c r="H25" s="1220">
        <v>110</v>
      </c>
      <c r="I25" s="1181">
        <f>H25*$G25</f>
        <v>110</v>
      </c>
      <c r="J25" s="39"/>
      <c r="K25" s="1220">
        <f>H25</f>
        <v>110</v>
      </c>
      <c r="L25" s="1023">
        <f>K25*$G25</f>
        <v>110</v>
      </c>
      <c r="M25" s="1016"/>
      <c r="N25" s="1220">
        <f>H25</f>
        <v>110</v>
      </c>
      <c r="O25" s="1181">
        <f>N25*$G25</f>
        <v>110</v>
      </c>
      <c r="P25" s="1145"/>
      <c r="Q25" s="28"/>
    </row>
    <row r="26" spans="1:33" s="511" customFormat="1" ht="13.95" customHeight="1">
      <c r="A26" s="711"/>
      <c r="B26" s="772"/>
      <c r="C26" s="1219" t="s">
        <v>183</v>
      </c>
      <c r="D26" s="4385"/>
      <c r="E26" s="4386"/>
      <c r="F26" s="1218"/>
      <c r="G26" s="1217">
        <f>F26*(100+$D$24)/100</f>
        <v>0</v>
      </c>
      <c r="H26" s="1216"/>
      <c r="I26" s="1177">
        <f>H26*$G26</f>
        <v>0</v>
      </c>
      <c r="J26" s="39"/>
      <c r="K26" s="1216">
        <f>H26</f>
        <v>0</v>
      </c>
      <c r="L26" s="1017">
        <f>K26*$G26</f>
        <v>0</v>
      </c>
      <c r="M26" s="1016"/>
      <c r="N26" s="1216">
        <v>90</v>
      </c>
      <c r="O26" s="1177">
        <f>N26*$G26</f>
        <v>0</v>
      </c>
      <c r="P26" s="1176"/>
      <c r="Q26" s="28"/>
    </row>
    <row r="27" spans="1:33" s="511" customFormat="1" ht="17.399999999999999" customHeight="1">
      <c r="A27" s="711"/>
      <c r="B27" s="1215" t="s">
        <v>213</v>
      </c>
      <c r="C27" s="711"/>
      <c r="D27" s="51"/>
      <c r="E27" s="34"/>
      <c r="F27" s="34"/>
      <c r="G27" s="1214" t="s">
        <v>163</v>
      </c>
      <c r="H27" s="1173"/>
      <c r="I27" s="1172"/>
      <c r="J27" s="1041">
        <f>SUM(I30:I32)</f>
        <v>564.17079999999987</v>
      </c>
      <c r="K27" s="1175"/>
      <c r="L27" s="1174"/>
      <c r="M27" s="1044">
        <f>SUM(L30:L32)</f>
        <v>717.69439999999997</v>
      </c>
      <c r="N27" s="1173"/>
      <c r="O27" s="1172"/>
      <c r="P27" s="1041">
        <f>SUM(O30:O32)</f>
        <v>871.21799999999985</v>
      </c>
      <c r="Q27" s="28"/>
    </row>
    <row r="28" spans="1:33" s="36" customFormat="1" ht="15" customHeight="1">
      <c r="A28" s="746"/>
      <c r="B28" s="774"/>
      <c r="C28" s="2238"/>
      <c r="D28" s="1213" t="s">
        <v>706</v>
      </c>
      <c r="E28" s="1213" t="s">
        <v>864</v>
      </c>
      <c r="F28" s="1213" t="s">
        <v>864</v>
      </c>
      <c r="G28" s="1212" t="s">
        <v>863</v>
      </c>
      <c r="H28" s="1172"/>
      <c r="I28" s="1209"/>
      <c r="J28" s="2239"/>
      <c r="K28" s="1175"/>
      <c r="L28" s="1105"/>
      <c r="M28" s="1210"/>
      <c r="N28" s="1173"/>
      <c r="O28" s="1209"/>
      <c r="P28" s="1026"/>
      <c r="Q28" s="28"/>
    </row>
    <row r="29" spans="1:33" s="36" customFormat="1" ht="15" customHeight="1">
      <c r="A29" s="746"/>
      <c r="B29" s="1208"/>
      <c r="C29" s="747" t="s">
        <v>862</v>
      </c>
      <c r="D29" s="1034" t="s">
        <v>611</v>
      </c>
      <c r="E29" s="1034" t="s">
        <v>861</v>
      </c>
      <c r="F29" s="1034" t="s">
        <v>860</v>
      </c>
      <c r="G29" s="1034" t="s">
        <v>1128</v>
      </c>
      <c r="H29" s="1205" t="s">
        <v>612</v>
      </c>
      <c r="I29" s="1027" t="s">
        <v>163</v>
      </c>
      <c r="J29" s="2238"/>
      <c r="K29" s="1207" t="s">
        <v>612</v>
      </c>
      <c r="L29" s="1030" t="s">
        <v>163</v>
      </c>
      <c r="M29" s="1206"/>
      <c r="N29" s="1205" t="s">
        <v>612</v>
      </c>
      <c r="O29" s="1027" t="s">
        <v>163</v>
      </c>
      <c r="P29" s="1204"/>
      <c r="Q29" s="28"/>
    </row>
    <row r="30" spans="1:33" s="36" customFormat="1" ht="15" customHeight="1">
      <c r="A30" s="746"/>
      <c r="B30" s="1203"/>
      <c r="C30" s="1202" t="s">
        <v>236</v>
      </c>
      <c r="D30" s="1150">
        <f>SDÖ1!O56</f>
        <v>5.18</v>
      </c>
      <c r="E30" s="1201">
        <f>VLOOKUP('SD8'!B14,'SD8'!B9:K44,3,FALSE)</f>
        <v>1.51</v>
      </c>
      <c r="F30" s="1201">
        <f>VLOOKUP('SD8'!$B$14,'SD8'!$B$9:$L$42,7,FALSE)</f>
        <v>0.44999999999999996</v>
      </c>
      <c r="G30" s="1200">
        <v>20</v>
      </c>
      <c r="H30" s="1198">
        <f>IF(J$6=0,0,(J$6*$E30+$G30+X13))</f>
        <v>77.449999999999989</v>
      </c>
      <c r="I30" s="1181">
        <f>H30*$D30</f>
        <v>401.19099999999992</v>
      </c>
      <c r="J30" s="39"/>
      <c r="K30" s="1199">
        <f>IF(M$6=0,0,(M$6*$E30+$G30+Y13))</f>
        <v>96.600000000000009</v>
      </c>
      <c r="L30" s="1023">
        <f>K30*$D30</f>
        <v>500.38800000000003</v>
      </c>
      <c r="M30" s="1016"/>
      <c r="N30" s="1198">
        <f>IF(P$6=0,0,(P$6*$E30+$G30+Z13))</f>
        <v>115.75</v>
      </c>
      <c r="O30" s="1181">
        <f>N30*$D30</f>
        <v>599.58499999999992</v>
      </c>
      <c r="P30" s="1145"/>
      <c r="Q30" s="28"/>
    </row>
    <row r="31" spans="1:33" s="36" customFormat="1" ht="15" customHeight="1">
      <c r="A31" s="746"/>
      <c r="B31" s="217"/>
      <c r="C31" s="746" t="s">
        <v>234</v>
      </c>
      <c r="D31" s="1150">
        <f>SDÖ1!O57</f>
        <v>1.42</v>
      </c>
      <c r="E31" s="1201">
        <f>VLOOKUP('SD8'!B14,'SD8'!B9:K44,4,FALSE)</f>
        <v>0.8</v>
      </c>
      <c r="F31" s="1201">
        <f>VLOOKUP('SD8'!$B$14,'SD8'!$B$9:$L$42,8,FALSE)</f>
        <v>0.27</v>
      </c>
      <c r="G31" s="1200"/>
      <c r="H31" s="1198">
        <f>IF(J$6=0,0,(J$6*$E31+$G31+X14))</f>
        <v>31.29</v>
      </c>
      <c r="I31" s="1181">
        <f>H31*$D31</f>
        <v>44.431799999999996</v>
      </c>
      <c r="J31" s="39"/>
      <c r="K31" s="1199">
        <f>IF(M$6=0,0,(M$6*$E31+$G31+Y14))</f>
        <v>41.72</v>
      </c>
      <c r="L31" s="1023">
        <f>K31*$D31</f>
        <v>59.242399999999996</v>
      </c>
      <c r="M31" s="1016"/>
      <c r="N31" s="1198">
        <f>IF(P$6=0,0,(P$6*$E31+$G31+Z14))</f>
        <v>52.15</v>
      </c>
      <c r="O31" s="1181">
        <f>N31*$D31</f>
        <v>74.052999999999997</v>
      </c>
      <c r="P31" s="1145"/>
      <c r="Q31" s="28"/>
    </row>
    <row r="32" spans="1:33" s="511" customFormat="1" ht="18.75" customHeight="1">
      <c r="A32" s="711"/>
      <c r="B32" s="185"/>
      <c r="C32" s="2791" t="s">
        <v>232</v>
      </c>
      <c r="D32" s="1133">
        <f>SDÖ1!O58</f>
        <v>1.78</v>
      </c>
      <c r="E32" s="1197">
        <f>VLOOKUP('SD8'!B14,'SD8'!B9:K44,5,FALSE)</f>
        <v>0.6</v>
      </c>
      <c r="F32" s="1197">
        <f>VLOOKUP('SD8'!$B$14,'SD8'!$B$9:$L$42,9,FALSE)</f>
        <v>1.7999999999999998</v>
      </c>
      <c r="G32" s="1196"/>
      <c r="H32" s="1194">
        <f>IF(J$6=0,0,(J$6*$E32+$G32+X15))</f>
        <v>66.599999999999994</v>
      </c>
      <c r="I32" s="1177">
        <f>H32*$D32</f>
        <v>118.54799999999999</v>
      </c>
      <c r="J32" s="223"/>
      <c r="K32" s="1195">
        <f>IF(M$6=0,0,(M$6*$E32+$G32+Y15))</f>
        <v>88.8</v>
      </c>
      <c r="L32" s="1017">
        <f>K32*$D32</f>
        <v>158.06399999999999</v>
      </c>
      <c r="M32" s="1256"/>
      <c r="N32" s="1194">
        <f>IF(P$6=0,0,(P$6*$E32+$G32+Z15))</f>
        <v>110.99999999999999</v>
      </c>
      <c r="O32" s="1177">
        <f>N32*$D32</f>
        <v>197.57999999999998</v>
      </c>
      <c r="P32" s="1176"/>
      <c r="Q32" s="28"/>
    </row>
    <row r="33" spans="1:17" s="511" customFormat="1" ht="13.2" hidden="1" customHeight="1">
      <c r="A33" s="711"/>
      <c r="B33" s="185"/>
      <c r="C33" s="771" t="s">
        <v>230</v>
      </c>
      <c r="D33" s="1133">
        <f>SDÖ1!P59</f>
        <v>0.5</v>
      </c>
      <c r="E33" s="1197">
        <f>VLOOKUP('SD8'!B14,'SD8'!B9:K44,6,FALSE)</f>
        <v>0.2</v>
      </c>
      <c r="F33" s="1201">
        <f>VLOOKUP('SD8'!$B$14,'SD8'!$B$9:$L$42,10,FALSE)</f>
        <v>0.18</v>
      </c>
      <c r="G33" s="1196"/>
      <c r="H33" s="1194">
        <f>IF(J$6=0,0,(J$6*$E33+$G33+X16))</f>
        <v>10.86</v>
      </c>
      <c r="I33" s="1177">
        <f>H33*$D33</f>
        <v>5.43</v>
      </c>
      <c r="J33" s="39"/>
      <c r="K33" s="1195">
        <f>IF(M$6=0,0,(M$6*$E33+$G33+Y16))</f>
        <v>14.48</v>
      </c>
      <c r="L33" s="1017">
        <f>K33*$D33</f>
        <v>7.24</v>
      </c>
      <c r="M33" s="1016"/>
      <c r="N33" s="1194">
        <f>IF(P$6=0,0,(P$6*$E33+$G33+Z16))</f>
        <v>18.100000000000001</v>
      </c>
      <c r="O33" s="1177">
        <f>N33*$D33</f>
        <v>9.0500000000000007</v>
      </c>
      <c r="P33" s="1176"/>
      <c r="Q33" s="28"/>
    </row>
    <row r="34" spans="1:17" s="36" customFormat="1" ht="15" customHeight="1">
      <c r="A34" s="746"/>
      <c r="B34" s="716" t="s">
        <v>212</v>
      </c>
      <c r="C34" s="711"/>
      <c r="D34" s="2238"/>
      <c r="E34" s="2238"/>
      <c r="F34" s="4381"/>
      <c r="G34" s="4382" t="s">
        <v>163</v>
      </c>
      <c r="H34" s="1191"/>
      <c r="I34" s="1190"/>
      <c r="J34" s="1041">
        <f>SUM(I36:I42)</f>
        <v>0</v>
      </c>
      <c r="K34" s="1193"/>
      <c r="L34" s="1192"/>
      <c r="M34" s="1044">
        <f>SUM(L36:L42)</f>
        <v>0</v>
      </c>
      <c r="N34" s="1191"/>
      <c r="O34" s="1190"/>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3744"/>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161.95040327999999</v>
      </c>
      <c r="K43" s="1175"/>
      <c r="L43" s="1174"/>
      <c r="M43" s="1044">
        <f>SUM(M46:M57)</f>
        <v>161.01373338416667</v>
      </c>
      <c r="N43" s="1173"/>
      <c r="O43" s="1172"/>
      <c r="P43" s="1041">
        <f>SUM(P46:P57)</f>
        <v>162.58137741083331</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7"/>
      <c r="C46" s="4363"/>
      <c r="D46" s="4364"/>
      <c r="E46" s="1152">
        <f>IF($C46=0,0,VLOOKUP($C46,'SD3'!$C$24:$O$71,4,FALSE))</f>
        <v>0</v>
      </c>
      <c r="F46" s="1151">
        <f>IF($C46=0,0,VLOOKUP($C46,'SD3'!$C$24:$O$71,12,FALSE))</f>
        <v>0</v>
      </c>
      <c r="G46" s="1150">
        <f>IF($C46=0,0,VLOOKUP($C46,'SD3'!$C$24:$O$71,13,FALSE))</f>
        <v>0</v>
      </c>
      <c r="H46" s="1155"/>
      <c r="I46" s="1154">
        <f t="shared" ref="I46:I57" si="4">$F46*H46</f>
        <v>0</v>
      </c>
      <c r="J46" s="1145">
        <f t="shared" ref="J46:J57" si="5">H46*$G46</f>
        <v>0</v>
      </c>
      <c r="K46" s="1155"/>
      <c r="L46" s="1156">
        <f t="shared" ref="L46:L57" si="6">$F46*K46</f>
        <v>0</v>
      </c>
      <c r="M46" s="1148">
        <f t="shared" ref="M46:M57" si="7">K46*$G46</f>
        <v>0</v>
      </c>
      <c r="N46" s="1155"/>
      <c r="O46" s="1154">
        <f t="shared" ref="O46:O57" si="8">$F46*N46</f>
        <v>0</v>
      </c>
      <c r="P46" s="1145">
        <f t="shared" ref="P46:P57" si="9">N46*$G46</f>
        <v>0</v>
      </c>
      <c r="Q46" s="28"/>
    </row>
    <row r="47" spans="1:17" s="36" customFormat="1" ht="15" customHeight="1">
      <c r="A47" s="746"/>
      <c r="B47" s="1153"/>
      <c r="C47" s="4387" t="s">
        <v>1589</v>
      </c>
      <c r="D47" s="4388"/>
      <c r="E47" s="1152">
        <f>IF($C47=0,0,VLOOKUP($C47,'SD3'!$C$24:$O$71,4,FALSE))</f>
        <v>120</v>
      </c>
      <c r="F47" s="1151">
        <f>IF($C47=0,0,VLOOKUP($C47,'SD3'!$C$24:$O$71,12,FALSE))</f>
        <v>1.38</v>
      </c>
      <c r="G47" s="1150">
        <f>IF($C47=0,0,VLOOKUP($C47,'SD3'!$C$24:$O$71,13,FALSE))</f>
        <v>64.642445999999993</v>
      </c>
      <c r="H47" s="1147">
        <v>1</v>
      </c>
      <c r="I47" s="1146">
        <f t="shared" si="4"/>
        <v>1.38</v>
      </c>
      <c r="J47" s="1145">
        <f t="shared" si="5"/>
        <v>64.642445999999993</v>
      </c>
      <c r="K47" s="1147">
        <v>1</v>
      </c>
      <c r="L47" s="1149">
        <f t="shared" si="6"/>
        <v>1.38</v>
      </c>
      <c r="M47" s="1148">
        <f t="shared" si="7"/>
        <v>64.642445999999993</v>
      </c>
      <c r="N47" s="1147">
        <v>1</v>
      </c>
      <c r="O47" s="1146">
        <f t="shared" si="8"/>
        <v>1.38</v>
      </c>
      <c r="P47" s="1145">
        <f t="shared" si="9"/>
        <v>64.642445999999993</v>
      </c>
      <c r="Q47" s="28"/>
    </row>
    <row r="48" spans="1:17" s="36" customFormat="1" ht="15" customHeight="1">
      <c r="A48" s="746"/>
      <c r="B48" s="1153"/>
      <c r="C48" s="4387"/>
      <c r="D48" s="4388"/>
      <c r="E48" s="1152">
        <f>IF($C48=0,0,VLOOKUP($C48,'SD3'!$C$24:$O$71,4,FALSE))</f>
        <v>0</v>
      </c>
      <c r="F48" s="1151">
        <f>IF($C48=0,0,VLOOKUP($C48,'SD3'!$C$24:$O$71,12,FALSE))</f>
        <v>0</v>
      </c>
      <c r="G48" s="1150">
        <f>IF($C48=0,0,VLOOKUP($C48,'SD3'!$C$24:$O$71,13,FALSE))</f>
        <v>0</v>
      </c>
      <c r="H48" s="1147"/>
      <c r="I48" s="1146">
        <f t="shared" si="4"/>
        <v>0</v>
      </c>
      <c r="J48" s="1145">
        <f t="shared" si="5"/>
        <v>0</v>
      </c>
      <c r="K48" s="1147"/>
      <c r="L48" s="1149">
        <f t="shared" si="6"/>
        <v>0</v>
      </c>
      <c r="M48" s="1148">
        <f t="shared" si="7"/>
        <v>0</v>
      </c>
      <c r="N48" s="1147"/>
      <c r="O48" s="1146">
        <f t="shared" si="8"/>
        <v>0</v>
      </c>
      <c r="P48" s="1145">
        <f t="shared" si="9"/>
        <v>0</v>
      </c>
      <c r="Q48" s="28"/>
    </row>
    <row r="49" spans="1:17" s="36" customFormat="1" ht="15" customHeight="1">
      <c r="A49" s="746"/>
      <c r="B49" s="1153"/>
      <c r="C49" s="4387" t="s">
        <v>354</v>
      </c>
      <c r="D49" s="4388"/>
      <c r="E49" s="1152">
        <f>IF($C49=0,0,VLOOKUP($C49,'SD3'!$C$24:$O$71,4,FALSE))</f>
        <v>120</v>
      </c>
      <c r="F49" s="1151">
        <f>IF($C49=0,0,VLOOKUP($C49,'SD3'!$C$24:$O$71,12,FALSE))</f>
        <v>0.71</v>
      </c>
      <c r="G49" s="1150">
        <f>IF($C49=0,0,VLOOKUP($C49,'SD3'!$C$24:$O$71,13,FALSE))</f>
        <v>30.659437999999998</v>
      </c>
      <c r="H49" s="1147">
        <v>1</v>
      </c>
      <c r="I49" s="1146">
        <f t="shared" si="4"/>
        <v>0.71</v>
      </c>
      <c r="J49" s="1145">
        <f t="shared" si="5"/>
        <v>30.659437999999998</v>
      </c>
      <c r="K49" s="1147">
        <v>1</v>
      </c>
      <c r="L49" s="1149">
        <f t="shared" si="6"/>
        <v>0.71</v>
      </c>
      <c r="M49" s="1148">
        <f t="shared" si="7"/>
        <v>30.659437999999998</v>
      </c>
      <c r="N49" s="1147">
        <v>1</v>
      </c>
      <c r="O49" s="1146">
        <f t="shared" si="8"/>
        <v>0.71</v>
      </c>
      <c r="P49" s="1145">
        <f t="shared" si="9"/>
        <v>30.659437999999998</v>
      </c>
      <c r="Q49" s="28"/>
    </row>
    <row r="50" spans="1:17" s="36" customFormat="1" ht="15" customHeight="1">
      <c r="A50" s="746"/>
      <c r="B50" s="1153"/>
      <c r="C50" s="4387"/>
      <c r="D50" s="4388"/>
      <c r="E50" s="1152">
        <f>IF($C50=0,0,VLOOKUP($C50,'SD3'!$C$24:$O$71,4,FALSE))</f>
        <v>0</v>
      </c>
      <c r="F50" s="1151">
        <f>IF($C50=0,0,VLOOKUP($C50,'SD3'!$C$24:$O$71,12,FALSE))</f>
        <v>0</v>
      </c>
      <c r="G50" s="1150">
        <f>IF($C50=0,0,VLOOKUP($C50,'SD3'!$C$24:$O$71,13,FALSE))</f>
        <v>0</v>
      </c>
      <c r="H50" s="1147"/>
      <c r="I50" s="1146">
        <f t="shared" si="4"/>
        <v>0</v>
      </c>
      <c r="J50" s="1145">
        <f t="shared" si="5"/>
        <v>0</v>
      </c>
      <c r="K50" s="1147"/>
      <c r="L50" s="1149">
        <f t="shared" si="6"/>
        <v>0</v>
      </c>
      <c r="M50" s="1148">
        <f t="shared" si="7"/>
        <v>0</v>
      </c>
      <c r="N50" s="1147"/>
      <c r="O50" s="1146">
        <f t="shared" si="8"/>
        <v>0</v>
      </c>
      <c r="P50" s="1145">
        <f t="shared" si="9"/>
        <v>0</v>
      </c>
      <c r="Q50" s="28"/>
    </row>
    <row r="51" spans="1:17" s="36" customFormat="1" ht="15" customHeight="1">
      <c r="A51" s="746"/>
      <c r="B51" s="1153"/>
      <c r="C51" s="4387" t="s">
        <v>339</v>
      </c>
      <c r="D51" s="4388"/>
      <c r="E51" s="1152">
        <f>IF($C51=0,0,VLOOKUP($C51,'SD3'!$C$24:$O$71,4,FALSE))</f>
        <v>83</v>
      </c>
      <c r="F51" s="1151">
        <f>IF($C51=0,0,VLOOKUP($C51,'SD3'!$C$24:$O$71,12,FALSE))</f>
        <v>0.27</v>
      </c>
      <c r="G51" s="1150">
        <f>IF($C51=0,0,VLOOKUP($C51,'SD3'!$C$24:$O$71,13,FALSE))</f>
        <v>6.9619069099999997</v>
      </c>
      <c r="H51" s="1147">
        <v>2</v>
      </c>
      <c r="I51" s="1146">
        <f t="shared" si="4"/>
        <v>0.54</v>
      </c>
      <c r="J51" s="1145">
        <f t="shared" si="5"/>
        <v>13.923813819999999</v>
      </c>
      <c r="K51" s="1147">
        <v>2</v>
      </c>
      <c r="L51" s="1149">
        <f t="shared" si="6"/>
        <v>0.54</v>
      </c>
      <c r="M51" s="1148">
        <f t="shared" si="7"/>
        <v>13.923813819999999</v>
      </c>
      <c r="N51" s="1147">
        <v>2</v>
      </c>
      <c r="O51" s="1146">
        <f t="shared" si="8"/>
        <v>0.54</v>
      </c>
      <c r="P51" s="1145">
        <f t="shared" si="9"/>
        <v>13.923813819999999</v>
      </c>
      <c r="Q51" s="28"/>
    </row>
    <row r="52" spans="1:17" s="36" customFormat="1" ht="15" customHeight="1">
      <c r="A52" s="746"/>
      <c r="B52" s="1153"/>
      <c r="C52" s="4387" t="s">
        <v>360</v>
      </c>
      <c r="D52" s="4388"/>
      <c r="E52" s="1152">
        <f>IF($C52=0,0,VLOOKUP($C52,'SD3'!$C$24:$O$71,4,FALSE))</f>
        <v>120</v>
      </c>
      <c r="F52" s="1151">
        <f>IF($C52=0,0,VLOOKUP($C52,'SD3'!$C$24:$O$71,12,FALSE))</f>
        <v>0.79</v>
      </c>
      <c r="G52" s="1150">
        <f>IF($C52=0,0,VLOOKUP($C52,'SD3'!$C$24:$O$71,13,FALSE))</f>
        <v>27.987262000000001</v>
      </c>
      <c r="H52" s="1147">
        <v>1</v>
      </c>
      <c r="I52" s="1146">
        <f t="shared" si="4"/>
        <v>0.79</v>
      </c>
      <c r="J52" s="1145">
        <f t="shared" si="5"/>
        <v>27.987262000000001</v>
      </c>
      <c r="K52" s="1147">
        <v>1</v>
      </c>
      <c r="L52" s="1149">
        <f t="shared" si="6"/>
        <v>0.79</v>
      </c>
      <c r="M52" s="1148">
        <f t="shared" si="7"/>
        <v>27.987262000000001</v>
      </c>
      <c r="N52" s="1147">
        <v>1</v>
      </c>
      <c r="O52" s="1146">
        <f t="shared" si="8"/>
        <v>0.79</v>
      </c>
      <c r="P52" s="1145">
        <f t="shared" si="9"/>
        <v>27.987262000000001</v>
      </c>
      <c r="Q52" s="28"/>
    </row>
    <row r="53" spans="1:17" s="36" customFormat="1" ht="15" customHeight="1">
      <c r="A53" s="746"/>
      <c r="B53" s="1153"/>
      <c r="C53" s="4387"/>
      <c r="D53" s="4388"/>
      <c r="E53" s="1152">
        <f>IF($C53=0,0,VLOOKUP($C53,'SD3'!$C$24:$O$71,4,FALSE))</f>
        <v>0</v>
      </c>
      <c r="F53" s="1151">
        <f>IF($C53=0,0,VLOOKUP($C53,'SD3'!$C$24:$O$71,12,FALSE))</f>
        <v>0</v>
      </c>
      <c r="G53" s="1150">
        <f>IF($C53=0,0,VLOOKUP($C53,'SD3'!$C$24:$O$71,13,FALSE))</f>
        <v>0</v>
      </c>
      <c r="H53" s="1147"/>
      <c r="I53" s="1146">
        <f t="shared" si="4"/>
        <v>0</v>
      </c>
      <c r="J53" s="1145">
        <f t="shared" si="5"/>
        <v>0</v>
      </c>
      <c r="K53" s="1147"/>
      <c r="L53" s="1149">
        <f t="shared" si="6"/>
        <v>0</v>
      </c>
      <c r="M53" s="1148">
        <f t="shared" si="7"/>
        <v>0</v>
      </c>
      <c r="N53" s="1147"/>
      <c r="O53" s="1146">
        <f t="shared" si="8"/>
        <v>0</v>
      </c>
      <c r="P53" s="1145">
        <f t="shared" si="9"/>
        <v>0</v>
      </c>
      <c r="Q53" s="28"/>
    </row>
    <row r="54" spans="1:17" s="36" customFormat="1" ht="15" customHeight="1">
      <c r="A54" s="746"/>
      <c r="B54" s="1153"/>
      <c r="C54" s="4403" t="s">
        <v>1748</v>
      </c>
      <c r="D54" s="4404"/>
      <c r="E54" s="1152">
        <f>IF($C54=0,0,VLOOKUP($C54,'SD3'!$C$24:$O$71,4,FALSE))</f>
        <v>120</v>
      </c>
      <c r="F54" s="1151">
        <f>IF($C54=0,0,VLOOKUP($C54,'SD3'!$C$24:$O$71,12,FALSE))</f>
        <v>0.37</v>
      </c>
      <c r="G54" s="1150">
        <f>IF($C54=0,0,VLOOKUP($C54,'SD3'!$C$24:$O$71,13,FALSE))</f>
        <v>11.7573302</v>
      </c>
      <c r="H54" s="3654">
        <f>J6/75</f>
        <v>0.4</v>
      </c>
      <c r="I54" s="1146">
        <f t="shared" si="4"/>
        <v>0.14799999999999999</v>
      </c>
      <c r="J54" s="1145">
        <f t="shared" si="5"/>
        <v>4.7029320800000001</v>
      </c>
      <c r="K54" s="3654">
        <f>M6/75</f>
        <v>0.53333333333333333</v>
      </c>
      <c r="L54" s="1149">
        <f t="shared" si="6"/>
        <v>0.19733333333333333</v>
      </c>
      <c r="M54" s="1148">
        <f t="shared" si="7"/>
        <v>6.2705761066666668</v>
      </c>
      <c r="N54" s="3654">
        <f>P6/75</f>
        <v>0.66666666666666663</v>
      </c>
      <c r="O54" s="1146">
        <f t="shared" si="8"/>
        <v>0.24666666666666665</v>
      </c>
      <c r="P54" s="1145">
        <f t="shared" si="9"/>
        <v>7.8382201333333335</v>
      </c>
      <c r="Q54" s="28"/>
    </row>
    <row r="55" spans="1:17" s="36" customFormat="1" ht="15" customHeight="1">
      <c r="A55" s="746"/>
      <c r="B55" s="1153"/>
      <c r="C55" s="4387"/>
      <c r="D55" s="4388"/>
      <c r="E55" s="1152">
        <f>IF($C55=0,0,VLOOKUP($C55,'SD3'!$C$24:$O$71,4,FALSE))</f>
        <v>0</v>
      </c>
      <c r="F55" s="1151">
        <f>IF($C55=0,0,VLOOKUP($C55,'SD3'!$C$24:$O$71,12,FALSE))</f>
        <v>0</v>
      </c>
      <c r="G55" s="1150">
        <f>IF($C55=0,0,VLOOKUP($C55,'SD3'!$C$24:$O$71,13,FALSE))</f>
        <v>0</v>
      </c>
      <c r="H55" s="1147"/>
      <c r="I55" s="1146">
        <f t="shared" si="4"/>
        <v>0</v>
      </c>
      <c r="J55" s="1145">
        <f t="shared" si="5"/>
        <v>0</v>
      </c>
      <c r="K55" s="1147"/>
      <c r="L55" s="1149">
        <f t="shared" si="6"/>
        <v>0</v>
      </c>
      <c r="M55" s="1148">
        <f t="shared" si="7"/>
        <v>0</v>
      </c>
      <c r="N55" s="1147"/>
      <c r="O55" s="1146">
        <f t="shared" si="8"/>
        <v>0</v>
      </c>
      <c r="P55" s="1145">
        <f t="shared" si="9"/>
        <v>0</v>
      </c>
      <c r="Q55" s="28"/>
    </row>
    <row r="56" spans="1:17" s="36" customFormat="1" ht="24.75" customHeight="1">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8"/>
    </row>
    <row r="57" spans="1:17" s="36" customFormat="1" ht="24.75" customHeight="1">
      <c r="A57" s="746"/>
      <c r="B57" s="1084"/>
      <c r="C57" s="4461" t="s">
        <v>332</v>
      </c>
      <c r="D57" s="4462"/>
      <c r="E57" s="2589">
        <f>IF($C57=0,0,VLOOKUP($C57,'SD3'!$C$24:$O$71,4,FALSE))</f>
        <v>83</v>
      </c>
      <c r="F57" s="2590">
        <f>IF($C57=0,0,VLOOKUP($C57,'SD3'!$C$24:$O$71,12,FALSE))</f>
        <v>1.3</v>
      </c>
      <c r="G57" s="2591">
        <f>IF($C57=0,0,VLOOKUP($C57,'SD3'!$C$24:$O$71,13,FALSE))</f>
        <v>25.970662899999994</v>
      </c>
      <c r="H57" s="3745">
        <f>IF($T$4=TRUE,0,H11/35)</f>
        <v>0.77142857142857146</v>
      </c>
      <c r="I57" s="1130">
        <f t="shared" si="4"/>
        <v>1.0028571428571429</v>
      </c>
      <c r="J57" s="1129">
        <f t="shared" si="5"/>
        <v>20.034511379999994</v>
      </c>
      <c r="K57" s="3746">
        <f>IF($T$4=TRUE,0,H11/40)</f>
        <v>0.67500000000000004</v>
      </c>
      <c r="L57" s="1132">
        <f t="shared" si="6"/>
        <v>0.87750000000000006</v>
      </c>
      <c r="M57" s="1079">
        <f t="shared" si="7"/>
        <v>17.530197457499998</v>
      </c>
      <c r="N57" s="3745">
        <f>IF($T$4=TRUE,0,H11/40)</f>
        <v>0.67500000000000004</v>
      </c>
      <c r="O57" s="1130">
        <f t="shared" si="8"/>
        <v>0.87750000000000006</v>
      </c>
      <c r="P57" s="1129">
        <f t="shared" si="9"/>
        <v>17.530197457499998</v>
      </c>
      <c r="Q57" s="2636"/>
    </row>
    <row r="58" spans="1:17" s="511" customFormat="1" ht="18.75" customHeight="1">
      <c r="A58" s="711"/>
      <c r="B58" s="716" t="s">
        <v>848</v>
      </c>
      <c r="C58" s="811"/>
      <c r="D58" s="811"/>
      <c r="E58" s="811"/>
      <c r="F58" s="34"/>
      <c r="G58" s="1047"/>
      <c r="H58" s="1124"/>
      <c r="I58" s="1123">
        <f>SUM($I$46:$I$57)</f>
        <v>4.5708571428571432</v>
      </c>
      <c r="J58" s="1128"/>
      <c r="K58" s="1127"/>
      <c r="L58" s="1126">
        <f>SUM($L$46:$L$57)</f>
        <v>4.4948333333333332</v>
      </c>
      <c r="M58" s="1125"/>
      <c r="N58" s="1124"/>
      <c r="O58" s="1123">
        <f>SUM($O$46:$O$57)</f>
        <v>4.5441666666666665</v>
      </c>
      <c r="P58" s="1122"/>
      <c r="Q58" s="28"/>
    </row>
    <row r="59" spans="1:17" s="511" customFormat="1" ht="15" customHeight="1">
      <c r="A59" s="711"/>
      <c r="B59" s="1121"/>
      <c r="C59" s="285"/>
      <c r="D59" s="222" t="s">
        <v>847</v>
      </c>
      <c r="E59" s="1120">
        <v>80</v>
      </c>
      <c r="F59" s="285" t="s">
        <v>846</v>
      </c>
      <c r="G59" s="1119"/>
      <c r="H59" s="1115"/>
      <c r="I59" s="1114">
        <f>IF(I58+SUM($I$46:$I$57)*$E$59%&gt;I58+10,I58+10,I58+SUM($I$46:$I$57)*$E$59%)</f>
        <v>8.2275428571428577</v>
      </c>
      <c r="J59" s="1113"/>
      <c r="K59" s="1118"/>
      <c r="L59" s="1117">
        <f>IF(L58+SUM($L$46:$L$57)*$E$59%&gt;L58+10,L58+10,L58+SUM($L$46:$L$57)*$E$59%)</f>
        <v>8.0907</v>
      </c>
      <c r="M59" s="1116"/>
      <c r="N59" s="1115"/>
      <c r="O59" s="1114">
        <f>IF(O58+SUM($O$46:$O$57)*$E$59%&gt;O58+10,O58+10,O58+SUM($O$46:$O$57)*$E$59%)</f>
        <v>8.1795000000000009</v>
      </c>
      <c r="P59" s="1113"/>
      <c r="Q59" s="28"/>
    </row>
    <row r="60" spans="1:17" s="46" customFormat="1" ht="18.75" customHeight="1">
      <c r="A60" s="811"/>
      <c r="B60" s="716" t="s">
        <v>845</v>
      </c>
      <c r="C60" s="811"/>
      <c r="D60" s="811"/>
      <c r="E60" s="39"/>
      <c r="F60" s="39"/>
      <c r="G60" s="1112"/>
      <c r="H60" s="1104"/>
      <c r="I60" s="1103"/>
      <c r="J60" s="1111">
        <f>IF(J6=0,0,SUM(I62:I64))</f>
        <v>246.1</v>
      </c>
      <c r="K60" s="1107"/>
      <c r="L60" s="1106"/>
      <c r="M60" s="1044">
        <f>IF(M6=0,0,SUM(L62:L64))</f>
        <v>275.8</v>
      </c>
      <c r="N60" s="1104"/>
      <c r="O60" s="1103"/>
      <c r="P60" s="1111">
        <f>IF(P6=0,0,SUM(O62:O64))</f>
        <v>305.5</v>
      </c>
      <c r="Q60" s="28"/>
    </row>
    <row r="61" spans="1:17"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t="s">
        <v>300</v>
      </c>
      <c r="D62" s="4365"/>
      <c r="E62" s="4365"/>
      <c r="F62" s="1101">
        <f>IF($C62=0,0,VLOOKUP($C62,'SD3'!$C$90:$D$104,2,FALSE))</f>
        <v>157</v>
      </c>
      <c r="G62" s="1100">
        <f>(100+$D$61)/100*F62</f>
        <v>157</v>
      </c>
      <c r="H62" s="173"/>
      <c r="I62" s="1096">
        <f>$G$62</f>
        <v>157</v>
      </c>
      <c r="J62" s="173"/>
      <c r="K62" s="1099"/>
      <c r="L62" s="1098">
        <f>$G$62</f>
        <v>157</v>
      </c>
      <c r="M62" s="1016"/>
      <c r="N62" s="1097"/>
      <c r="O62" s="1096">
        <f>$G$62</f>
        <v>157</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t="s">
        <v>289</v>
      </c>
      <c r="D64" s="4396"/>
      <c r="E64" s="4396"/>
      <c r="F64" s="1083">
        <f>IF($T$3=FALSE,0,VLOOKUP($C64,'SD3'!$C$90:$D$104,2,FALSE))</f>
        <v>3.3</v>
      </c>
      <c r="G64" s="1082">
        <f>(100+$D$61)/100*F64</f>
        <v>3.3</v>
      </c>
      <c r="H64" s="1078"/>
      <c r="I64" s="1077">
        <f>H11*$G$64</f>
        <v>89.1</v>
      </c>
      <c r="J64" s="173"/>
      <c r="K64" s="1081"/>
      <c r="L64" s="1080">
        <f>K11*$G$64</f>
        <v>118.8</v>
      </c>
      <c r="M64" s="1079"/>
      <c r="N64" s="1078"/>
      <c r="O64" s="1077">
        <f>N11*$G$64</f>
        <v>148.5</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5"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22.95" customHeight="1">
      <c r="A67" s="711"/>
      <c r="B67" s="716" t="s">
        <v>843</v>
      </c>
      <c r="C67" s="711"/>
      <c r="D67" s="711"/>
      <c r="E67" s="175"/>
      <c r="F67" s="1069"/>
      <c r="G67" s="1047"/>
      <c r="H67" s="1066" t="s">
        <v>842</v>
      </c>
      <c r="I67" s="1065" t="s">
        <v>841</v>
      </c>
      <c r="J67" s="1041">
        <f>R68*(H9+H10)*I68%+F68</f>
        <v>39.824999999999989</v>
      </c>
      <c r="K67" s="1068" t="s">
        <v>842</v>
      </c>
      <c r="L67" s="1067" t="s">
        <v>841</v>
      </c>
      <c r="M67" s="1044">
        <f>S68*(K9+K10)*L68%+F68</f>
        <v>53.099999999999987</v>
      </c>
      <c r="N67" s="1066" t="s">
        <v>842</v>
      </c>
      <c r="O67" s="1065" t="s">
        <v>841</v>
      </c>
      <c r="P67" s="1041">
        <f>T68*(N9+N10)*O68%+F68</f>
        <v>66.374999999999986</v>
      </c>
      <c r="Q67" s="28"/>
    </row>
    <row r="68" spans="1:20" s="511" customFormat="1" ht="15" customHeight="1">
      <c r="A68" s="711"/>
      <c r="B68" s="1064"/>
      <c r="C68" s="4393" t="s">
        <v>564</v>
      </c>
      <c r="D68" s="4393"/>
      <c r="E68" s="4393"/>
      <c r="F68" s="1063"/>
      <c r="G68" s="1054" t="s">
        <v>163</v>
      </c>
      <c r="H68" s="1061">
        <v>16</v>
      </c>
      <c r="I68" s="1060">
        <v>50</v>
      </c>
      <c r="J68" s="1059"/>
      <c r="K68" s="1061">
        <v>16</v>
      </c>
      <c r="L68" s="1060">
        <v>50</v>
      </c>
      <c r="M68" s="1062"/>
      <c r="N68" s="1061">
        <v>16</v>
      </c>
      <c r="O68" s="1060">
        <v>50</v>
      </c>
      <c r="P68" s="1059"/>
      <c r="Q68" s="28"/>
      <c r="R68" s="1058">
        <f>IF($H$68=0,0,VLOOKUP($H$68,'SD6'!B8:C151,'SD6'!C1,FALSE))*(1+'SDK1'!O11/100)</f>
        <v>2.6549999999999994</v>
      </c>
      <c r="S68" s="1058">
        <f>IF($K$68=0,0,VLOOKUP($K$68,'SD6'!B8:C151,'SD6'!C1,FALSE))*(1+'SDK1'!O11/100)</f>
        <v>2.6549999999999994</v>
      </c>
      <c r="T68" s="1058">
        <f>IF($N$68=0,0,VLOOKUP($N$68,'SD6'!B8:C151,'SD6'!C1,FALSE))*(1+'SDK1'!O11/100)</f>
        <v>2.6549999999999994</v>
      </c>
    </row>
    <row r="69" spans="1:20" s="511" customFormat="1" ht="18.75" customHeight="1">
      <c r="A69" s="711"/>
      <c r="B69" s="716" t="s">
        <v>839</v>
      </c>
      <c r="C69" s="711"/>
      <c r="D69" s="711"/>
      <c r="E69" s="34"/>
      <c r="F69" s="34"/>
      <c r="G69" s="1047"/>
      <c r="H69" s="38"/>
      <c r="I69" s="51"/>
      <c r="J69" s="1041">
        <f>H70*$F70/1000</f>
        <v>19.1904</v>
      </c>
      <c r="K69" s="1057"/>
      <c r="L69" s="1056"/>
      <c r="M69" s="1044">
        <f>K70*$F70/1000</f>
        <v>25.587199999999999</v>
      </c>
      <c r="N69" s="38"/>
      <c r="O69" s="51"/>
      <c r="P69" s="1041">
        <f>N70*$F70/1000</f>
        <v>31.984000000000002</v>
      </c>
      <c r="Q69" s="28"/>
    </row>
    <row r="70" spans="1:20" s="511" customFormat="1" ht="15" customHeight="1">
      <c r="A70" s="711"/>
      <c r="B70" s="772"/>
      <c r="C70" s="771" t="s">
        <v>606</v>
      </c>
      <c r="D70" s="285"/>
      <c r="E70" s="222"/>
      <c r="F70" s="3742">
        <f>SDÖ7!F62</f>
        <v>16</v>
      </c>
      <c r="G70" s="1054" t="s">
        <v>163</v>
      </c>
      <c r="H70" s="1357">
        <f>J7</f>
        <v>1199.4000000000001</v>
      </c>
      <c r="I70" s="1049"/>
      <c r="J70" s="1048"/>
      <c r="K70" s="1053">
        <f>M7</f>
        <v>1599.2</v>
      </c>
      <c r="L70" s="1052"/>
      <c r="M70" s="1051"/>
      <c r="N70" s="1357">
        <f>P7</f>
        <v>1999</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7</v>
      </c>
      <c r="H75" s="1007"/>
      <c r="I75" s="1008"/>
      <c r="J75" s="1005">
        <f>(J23+J27+J34+J43+J60+J65+J67+J69+J71)*('SDK1'!$O$59%*$G$75/12)</f>
        <v>13.314427038266665</v>
      </c>
      <c r="K75" s="2223"/>
      <c r="L75" s="522"/>
      <c r="M75" s="1005">
        <f>(M23+M27+M34+M43+M60+M65+M67+M69+M71)*('SDK1'!$O$59%*$G$75/12)</f>
        <v>15.670612222815278</v>
      </c>
      <c r="N75" s="1007"/>
      <c r="O75" s="1006"/>
      <c r="P75" s="1005">
        <f>(P23+P27+P34+P43+P60+P65+P67+P69+P71)*('SDK1'!$O$59%*$G$75/12)</f>
        <v>18.056014403126387</v>
      </c>
      <c r="Q75" s="28"/>
    </row>
    <row r="76" spans="1:20">
      <c r="L76" s="29"/>
    </row>
    <row r="77" spans="1:20">
      <c r="B77" s="2919"/>
      <c r="C77" s="2919"/>
      <c r="D77" s="2919"/>
      <c r="E77" s="2919"/>
      <c r="F77" s="2919"/>
      <c r="G77" s="2919"/>
      <c r="L77" s="29"/>
      <c r="N77" s="2603"/>
      <c r="O77" s="2603"/>
      <c r="P77" s="2603"/>
    </row>
    <row r="78" spans="1:20">
      <c r="B78" s="2919"/>
      <c r="C78" s="2919"/>
      <c r="D78" s="2919"/>
      <c r="E78" s="2919"/>
      <c r="F78" s="2919"/>
      <c r="G78" s="2919"/>
      <c r="H78" s="2603"/>
      <c r="I78" s="2603"/>
      <c r="J78" s="2603"/>
      <c r="K78" s="2603"/>
      <c r="L78" s="2603"/>
      <c r="M78" s="2603"/>
      <c r="N78" s="2603"/>
      <c r="O78" s="2603"/>
      <c r="P78" s="2603"/>
    </row>
    <row r="79" spans="1:20">
      <c r="B79" s="2919"/>
      <c r="C79" s="2919"/>
      <c r="D79" s="2919"/>
      <c r="E79" s="2919"/>
      <c r="F79" s="2919"/>
      <c r="G79" s="2919"/>
      <c r="H79" s="2603"/>
      <c r="I79" s="2603"/>
      <c r="J79" s="2603"/>
      <c r="K79" s="2603"/>
      <c r="L79" s="2603"/>
      <c r="M79" s="2603"/>
      <c r="N79" s="2603"/>
      <c r="O79" s="2603"/>
      <c r="P79" s="2603"/>
    </row>
    <row r="80" spans="1:20">
      <c r="B80" s="2919"/>
      <c r="C80" s="2919"/>
      <c r="D80" s="2919"/>
      <c r="E80" s="2919"/>
      <c r="F80" s="2919"/>
      <c r="G80" s="2919"/>
      <c r="H80" s="2603"/>
      <c r="I80" s="2603"/>
      <c r="J80" s="2603"/>
      <c r="K80" s="2603"/>
      <c r="L80" s="2603"/>
      <c r="M80" s="2603"/>
      <c r="N80" s="2603"/>
      <c r="O80" s="2603"/>
      <c r="P80" s="2603"/>
    </row>
    <row r="81" spans="2:17">
      <c r="B81" s="2919"/>
      <c r="C81" s="2919"/>
      <c r="D81" s="2919"/>
      <c r="E81" s="2919"/>
      <c r="F81" s="2919"/>
      <c r="G81" s="2919"/>
      <c r="H81" s="2603"/>
      <c r="I81" s="2603"/>
      <c r="J81" s="2603"/>
      <c r="K81" s="2603"/>
      <c r="L81" s="2603"/>
      <c r="M81" s="2603"/>
      <c r="N81" s="2603"/>
      <c r="O81" s="2603"/>
      <c r="P81" s="2603"/>
    </row>
    <row r="82" spans="2:17">
      <c r="B82" s="2919"/>
      <c r="C82" s="2919"/>
      <c r="D82" s="2919"/>
      <c r="E82" s="2919"/>
      <c r="F82" s="2919"/>
      <c r="G82" s="2919"/>
      <c r="H82" s="2603"/>
      <c r="I82" s="2603"/>
      <c r="J82" s="2603"/>
      <c r="K82" s="2603"/>
      <c r="L82" s="2603"/>
      <c r="M82" s="2603"/>
      <c r="N82" s="2603"/>
      <c r="O82" s="2603"/>
      <c r="P82" s="2603"/>
      <c r="Q82" s="2603"/>
    </row>
    <row r="83" spans="2:17">
      <c r="B83" s="2919"/>
      <c r="C83" s="2919"/>
      <c r="D83" s="2919"/>
      <c r="E83" s="2919"/>
      <c r="F83" s="2919"/>
      <c r="G83" s="2919"/>
      <c r="H83" s="2603"/>
      <c r="I83" s="2603"/>
      <c r="J83" s="2603"/>
      <c r="K83" s="2603"/>
      <c r="L83" s="2603"/>
      <c r="M83" s="2603"/>
      <c r="N83" s="2603"/>
      <c r="O83" s="2603"/>
      <c r="P83" s="2603"/>
    </row>
    <row r="84" spans="2:17">
      <c r="B84" s="2919"/>
      <c r="C84" s="2919"/>
      <c r="D84" s="2919"/>
      <c r="E84" s="2919"/>
      <c r="F84" s="2919"/>
      <c r="G84" s="2919"/>
      <c r="H84" s="2603"/>
      <c r="I84" s="2603"/>
      <c r="J84" s="2603"/>
      <c r="K84" s="2603"/>
      <c r="L84" s="2603"/>
      <c r="M84" s="2603"/>
      <c r="N84" s="2603"/>
      <c r="O84" s="2603"/>
      <c r="P84" s="2603"/>
    </row>
    <row r="85" spans="2:17">
      <c r="B85" s="2919"/>
      <c r="C85" s="2919"/>
      <c r="D85" s="2919"/>
      <c r="E85" s="2919"/>
      <c r="F85" s="2919"/>
      <c r="G85" s="2919"/>
      <c r="H85" s="2603"/>
      <c r="I85" s="2603"/>
      <c r="J85" s="2603"/>
      <c r="K85" s="2603"/>
      <c r="L85" s="2603"/>
      <c r="M85" s="2603"/>
      <c r="N85" s="2603"/>
      <c r="O85" s="2603"/>
      <c r="P85" s="2603"/>
    </row>
    <row r="86" spans="2:17">
      <c r="B86" s="2919"/>
      <c r="C86" s="2919"/>
      <c r="D86" s="2919"/>
      <c r="E86" s="2919"/>
      <c r="F86" s="2919"/>
      <c r="G86" s="2919"/>
      <c r="H86" s="2603"/>
      <c r="I86" s="2603"/>
      <c r="J86" s="2603"/>
      <c r="K86" s="2603"/>
      <c r="L86" s="2603"/>
      <c r="M86" s="2603"/>
      <c r="N86" s="2603"/>
      <c r="O86" s="2603"/>
      <c r="P86" s="2603"/>
    </row>
    <row r="87" spans="2:17">
      <c r="B87" s="2919"/>
      <c r="C87" s="2919"/>
      <c r="D87" s="2919"/>
      <c r="E87" s="2919"/>
      <c r="F87" s="2919"/>
      <c r="G87" s="2919"/>
      <c r="H87" s="2603"/>
      <c r="I87" s="2603"/>
      <c r="J87" s="2603"/>
      <c r="K87" s="2603"/>
      <c r="L87" s="2603"/>
      <c r="M87" s="2603"/>
      <c r="N87" s="2603"/>
      <c r="O87" s="2603"/>
      <c r="P87" s="2603"/>
    </row>
    <row r="88" spans="2:17" ht="13.2" customHeight="1">
      <c r="B88" s="2919"/>
      <c r="C88" s="2919"/>
      <c r="D88" s="2919"/>
      <c r="E88" s="2919"/>
      <c r="F88" s="2919"/>
      <c r="G88" s="2919"/>
      <c r="H88" s="2603"/>
      <c r="I88" s="2603"/>
      <c r="J88" s="2603"/>
      <c r="K88" s="2603"/>
      <c r="L88" s="2603"/>
      <c r="M88" s="2603"/>
      <c r="N88" s="2603"/>
      <c r="O88" s="2603"/>
      <c r="P88" s="2603"/>
    </row>
    <row r="89" spans="2:17">
      <c r="B89" s="2919"/>
      <c r="C89" s="2919"/>
      <c r="D89" s="2919"/>
      <c r="E89" s="2919"/>
      <c r="F89" s="2919"/>
      <c r="G89" s="2919"/>
      <c r="H89" s="2603"/>
      <c r="I89" s="2603"/>
      <c r="J89" s="2603"/>
      <c r="K89" s="2603"/>
      <c r="L89" s="2603"/>
      <c r="M89" s="2603"/>
      <c r="N89" s="2603"/>
      <c r="O89" s="2603"/>
      <c r="P89" s="2603"/>
    </row>
    <row r="90" spans="2:17">
      <c r="B90" s="2919"/>
      <c r="C90" s="2919"/>
      <c r="D90" s="2919"/>
      <c r="E90" s="2919"/>
      <c r="F90" s="2919"/>
      <c r="G90" s="2919"/>
      <c r="H90" s="2603"/>
      <c r="I90" s="2603"/>
      <c r="J90" s="2603"/>
      <c r="K90" s="2603"/>
      <c r="L90" s="2603"/>
      <c r="M90" s="2603"/>
      <c r="N90" s="2603"/>
      <c r="O90" s="2603"/>
      <c r="P90" s="2603"/>
    </row>
    <row r="91" spans="2:17">
      <c r="B91" s="2919"/>
      <c r="C91" s="2919"/>
      <c r="D91" s="2919"/>
      <c r="E91" s="2919"/>
      <c r="F91" s="2919"/>
      <c r="G91" s="2919"/>
      <c r="H91" s="2603"/>
      <c r="I91" s="2603"/>
      <c r="J91" s="2603"/>
      <c r="K91" s="2603"/>
      <c r="L91" s="2603"/>
      <c r="M91" s="2603"/>
      <c r="N91" s="2603"/>
      <c r="O91" s="2603"/>
      <c r="P91" s="2603"/>
    </row>
    <row r="92" spans="2:17">
      <c r="B92" s="2919"/>
      <c r="C92" s="2919"/>
      <c r="D92" s="2919"/>
      <c r="E92" s="2919"/>
      <c r="F92" s="2919"/>
      <c r="G92" s="2919"/>
      <c r="H92" s="2603"/>
      <c r="I92" s="2603"/>
      <c r="J92" s="2603"/>
      <c r="K92" s="2603"/>
      <c r="L92" s="2603"/>
      <c r="M92" s="2603"/>
      <c r="N92" s="2603"/>
      <c r="O92" s="2603"/>
      <c r="P92" s="2603"/>
    </row>
    <row r="93" spans="2:17">
      <c r="C93" s="1712"/>
      <c r="D93" s="1712"/>
      <c r="E93" s="1712"/>
      <c r="F93" s="1712"/>
      <c r="G93" s="2603"/>
      <c r="H93" s="2603"/>
      <c r="I93" s="2603"/>
      <c r="J93" s="2603"/>
      <c r="K93" s="2603"/>
      <c r="L93" s="2603"/>
      <c r="M93" s="2603"/>
      <c r="N93" s="2603"/>
      <c r="O93" s="2603"/>
      <c r="P93" s="2603"/>
    </row>
    <row r="94" spans="2:17">
      <c r="C94" s="1712"/>
      <c r="D94" s="1712"/>
      <c r="E94" s="1712"/>
      <c r="F94" s="1712"/>
      <c r="G94" s="2603"/>
      <c r="H94" s="2603"/>
      <c r="I94" s="2603"/>
      <c r="J94" s="2603"/>
      <c r="K94" s="2603"/>
      <c r="L94" s="2603"/>
      <c r="M94" s="2603"/>
      <c r="N94" s="2603"/>
      <c r="O94" s="2603"/>
      <c r="P94" s="2603"/>
    </row>
    <row r="95" spans="2:17">
      <c r="C95" s="1712"/>
      <c r="D95" s="1712"/>
      <c r="E95" s="1712"/>
      <c r="F95" s="1712"/>
      <c r="G95" s="2603"/>
      <c r="H95" s="2603"/>
      <c r="I95" s="2603"/>
      <c r="J95" s="2603"/>
      <c r="K95" s="2603"/>
      <c r="L95" s="2603"/>
      <c r="M95" s="2603"/>
      <c r="N95" s="2603"/>
      <c r="O95" s="2603"/>
      <c r="P95" s="2603"/>
    </row>
    <row r="96" spans="2:17">
      <c r="C96" s="1712"/>
      <c r="D96" s="1712"/>
      <c r="E96" s="1712"/>
      <c r="F96" s="1712"/>
      <c r="G96" s="2603"/>
      <c r="H96" s="2603"/>
      <c r="I96" s="2603"/>
      <c r="J96" s="2603"/>
      <c r="K96" s="2603"/>
      <c r="L96" s="2603"/>
      <c r="M96" s="2603"/>
      <c r="N96" s="2603"/>
      <c r="O96" s="2603"/>
      <c r="P96" s="2603"/>
    </row>
    <row r="97" spans="2:17">
      <c r="C97" s="1712"/>
      <c r="E97" s="1712"/>
      <c r="G97" s="2603"/>
      <c r="H97" s="2603"/>
      <c r="I97" s="2603"/>
      <c r="J97" s="2603"/>
      <c r="K97" s="2603"/>
      <c r="L97" s="2603"/>
      <c r="M97" s="2603"/>
      <c r="N97" s="2603"/>
      <c r="O97" s="2603"/>
      <c r="P97" s="2603"/>
    </row>
    <row r="98" spans="2:17">
      <c r="C98" s="1712"/>
      <c r="D98" s="1712"/>
      <c r="E98" s="1712"/>
      <c r="G98" s="2603"/>
      <c r="H98" s="2603"/>
      <c r="I98" s="2603"/>
      <c r="J98" s="2603"/>
      <c r="K98" s="2603"/>
      <c r="L98" s="2603"/>
      <c r="M98" s="2603"/>
      <c r="N98" s="2603"/>
      <c r="O98" s="2603"/>
      <c r="P98" s="2603"/>
    </row>
    <row r="99" spans="2:17">
      <c r="B99" s="29"/>
      <c r="C99" s="1712"/>
      <c r="D99" s="1712"/>
      <c r="E99" s="1712"/>
      <c r="G99" s="2603"/>
      <c r="H99" s="2603"/>
      <c r="I99" s="2603"/>
      <c r="J99" s="2603"/>
      <c r="K99" s="2603"/>
      <c r="L99" s="2603"/>
      <c r="M99" s="2603"/>
      <c r="N99" s="2603"/>
      <c r="O99" s="2603"/>
      <c r="P99" s="2603"/>
    </row>
    <row r="100" spans="2:17">
      <c r="B100" s="29"/>
      <c r="C100" s="1712"/>
      <c r="D100" s="1712"/>
      <c r="E100" s="1712"/>
      <c r="G100" s="2603"/>
      <c r="H100" s="2603"/>
      <c r="I100" s="2603"/>
      <c r="J100" s="2603"/>
      <c r="K100" s="2603"/>
      <c r="L100" s="2603"/>
      <c r="M100" s="2603"/>
      <c r="N100" s="2603"/>
      <c r="O100" s="2603"/>
      <c r="P100" s="2603"/>
    </row>
    <row r="101" spans="2:17">
      <c r="B101" s="29"/>
      <c r="C101" s="29"/>
      <c r="D101" s="29"/>
      <c r="G101" s="2603"/>
      <c r="H101" s="2603"/>
      <c r="I101" s="2603"/>
      <c r="J101" s="2603"/>
      <c r="K101" s="2603"/>
      <c r="L101" s="2603"/>
      <c r="M101" s="2603"/>
      <c r="N101" s="2603"/>
      <c r="O101" s="2603"/>
      <c r="P101" s="2603"/>
    </row>
    <row r="102" spans="2:17">
      <c r="B102" s="29"/>
      <c r="C102" s="29"/>
      <c r="D102" s="29"/>
      <c r="G102" s="2603"/>
      <c r="H102" s="2603"/>
      <c r="I102" s="2603"/>
      <c r="J102" s="2603"/>
      <c r="K102" s="2603"/>
      <c r="L102" s="2603"/>
      <c r="M102" s="2603"/>
      <c r="N102" s="2603"/>
      <c r="O102" s="2603"/>
      <c r="P102" s="2603"/>
    </row>
    <row r="103" spans="2:17">
      <c r="B103" s="29"/>
      <c r="C103" s="29"/>
      <c r="D103" s="29"/>
      <c r="G103" s="2603"/>
      <c r="H103" s="2603"/>
      <c r="I103" s="2603"/>
      <c r="J103" s="2603"/>
      <c r="K103" s="2603"/>
      <c r="L103" s="2603"/>
      <c r="M103" s="2603"/>
      <c r="N103" s="2603"/>
      <c r="O103" s="2603"/>
      <c r="P103" s="2603"/>
    </row>
    <row r="104" spans="2:17">
      <c r="B104" s="29"/>
      <c r="C104" s="29"/>
      <c r="D104" s="29"/>
      <c r="G104" s="2603"/>
      <c r="H104" s="2603"/>
      <c r="I104" s="2603"/>
      <c r="J104" s="2603"/>
      <c r="K104" s="2603"/>
      <c r="L104" s="2603"/>
      <c r="M104" s="2603"/>
      <c r="N104" s="2603"/>
      <c r="O104" s="2603"/>
      <c r="P104" s="2603"/>
    </row>
    <row r="105" spans="2:17">
      <c r="B105" s="29"/>
      <c r="C105" s="29"/>
      <c r="D105" s="29"/>
      <c r="G105" s="2603"/>
      <c r="H105" s="2603"/>
      <c r="I105" s="2603"/>
      <c r="J105" s="2603"/>
      <c r="K105" s="2603"/>
      <c r="L105" s="2603"/>
      <c r="M105" s="2603"/>
      <c r="N105" s="2603"/>
      <c r="O105" s="2603"/>
      <c r="P105" s="2603"/>
    </row>
    <row r="106" spans="2:17">
      <c r="B106" s="29"/>
      <c r="C106" s="29"/>
      <c r="D106" s="29"/>
      <c r="G106" s="2603"/>
      <c r="H106" s="2603"/>
      <c r="I106" s="2603"/>
      <c r="J106" s="2603"/>
      <c r="K106" s="2603"/>
      <c r="L106" s="2603"/>
      <c r="M106" s="2603"/>
      <c r="N106" s="2603"/>
      <c r="O106" s="2603"/>
      <c r="P106" s="2603"/>
    </row>
    <row r="107" spans="2:17">
      <c r="B107" s="29"/>
      <c r="C107" s="29"/>
      <c r="D107" s="29"/>
      <c r="G107" s="2603"/>
      <c r="H107" s="2603"/>
      <c r="I107" s="2603"/>
      <c r="J107" s="2603"/>
      <c r="K107" s="2603"/>
      <c r="L107" s="2603"/>
      <c r="M107" s="2603"/>
      <c r="N107" s="2603"/>
      <c r="O107" s="2603"/>
      <c r="P107" s="2603"/>
    </row>
    <row r="108" spans="2:17">
      <c r="G108" s="2603"/>
      <c r="H108" s="2603"/>
      <c r="I108" s="2603"/>
      <c r="J108" s="2603"/>
      <c r="K108" s="2603"/>
      <c r="L108" s="2603"/>
      <c r="M108" s="2603"/>
      <c r="N108" s="2603"/>
      <c r="O108" s="2603"/>
      <c r="P108" s="2603"/>
    </row>
    <row r="109" spans="2:17">
      <c r="G109" s="2603"/>
      <c r="H109" s="2603"/>
      <c r="I109" s="2603"/>
      <c r="J109" s="2603"/>
      <c r="K109" s="2603"/>
      <c r="L109" s="2603"/>
      <c r="M109" s="2603"/>
      <c r="N109" s="2603"/>
      <c r="O109" s="2603"/>
      <c r="P109" s="2603"/>
    </row>
    <row r="110" spans="2:17">
      <c r="G110" s="2603"/>
      <c r="H110" s="2603"/>
      <c r="I110" s="2603"/>
      <c r="J110" s="2603"/>
      <c r="K110" s="2603"/>
      <c r="L110" s="2603"/>
      <c r="M110" s="2603"/>
      <c r="N110" s="2603"/>
      <c r="O110" s="2603"/>
      <c r="P110" s="2603"/>
    </row>
    <row r="111" spans="2:17">
      <c r="F111" s="2603"/>
      <c r="G111" s="2603"/>
      <c r="H111" s="2603"/>
      <c r="I111" s="2603"/>
      <c r="J111" s="2603"/>
      <c r="K111" s="2603"/>
      <c r="L111" s="2603"/>
      <c r="M111" s="2603"/>
      <c r="N111" s="2603"/>
      <c r="O111" s="2603"/>
      <c r="P111" s="2603"/>
      <c r="Q111" s="2603"/>
    </row>
    <row r="112" spans="2:17">
      <c r="F112" s="2603"/>
      <c r="G112" s="2603"/>
      <c r="H112" s="2603"/>
      <c r="I112" s="2603"/>
      <c r="J112" s="2603"/>
      <c r="K112" s="2603"/>
      <c r="L112" s="2603"/>
      <c r="M112" s="2603"/>
      <c r="N112" s="2603"/>
      <c r="O112" s="2603"/>
      <c r="P112" s="2603"/>
      <c r="Q112" s="2603"/>
    </row>
    <row r="113" spans="2:17">
      <c r="F113" s="2603"/>
      <c r="G113" s="2603"/>
      <c r="H113" s="2603"/>
      <c r="I113" s="2603"/>
      <c r="J113" s="2603"/>
      <c r="K113" s="2603"/>
      <c r="L113" s="2603"/>
      <c r="M113" s="2603"/>
      <c r="N113" s="2603"/>
      <c r="O113" s="2603"/>
      <c r="P113" s="2603"/>
      <c r="Q113" s="2603"/>
    </row>
    <row r="114" spans="2:17">
      <c r="F114" s="2603"/>
      <c r="G114" s="2603"/>
      <c r="H114" s="2603"/>
      <c r="I114" s="2603"/>
      <c r="J114" s="2603"/>
      <c r="K114" s="2603"/>
      <c r="L114" s="2603"/>
      <c r="M114" s="2603"/>
      <c r="N114" s="2603"/>
      <c r="O114" s="2603"/>
      <c r="P114" s="2603"/>
      <c r="Q114" s="2603"/>
    </row>
    <row r="115" spans="2:17">
      <c r="F115" s="2603"/>
      <c r="G115" s="2603"/>
      <c r="H115" s="2603"/>
      <c r="I115" s="2603"/>
      <c r="J115" s="2603"/>
      <c r="K115" s="2603"/>
      <c r="L115" s="2603"/>
      <c r="M115" s="2603"/>
      <c r="N115" s="2603"/>
      <c r="O115" s="2603"/>
      <c r="P115" s="2603"/>
      <c r="Q115" s="2603"/>
    </row>
    <row r="116" spans="2:17">
      <c r="F116" s="2603"/>
      <c r="G116" s="2603"/>
      <c r="H116" s="2603"/>
      <c r="I116" s="2603"/>
      <c r="J116" s="2603"/>
      <c r="K116" s="2603"/>
      <c r="L116" s="2603"/>
      <c r="M116" s="2603"/>
      <c r="N116" s="2603"/>
      <c r="O116" s="2603"/>
      <c r="P116" s="2603"/>
      <c r="Q116" s="2603"/>
    </row>
    <row r="117" spans="2:17">
      <c r="F117" s="2603"/>
      <c r="G117" s="2603"/>
      <c r="H117" s="2603"/>
      <c r="I117" s="2603"/>
      <c r="J117" s="2603"/>
      <c r="K117" s="2603"/>
      <c r="L117" s="2603"/>
      <c r="M117" s="2603"/>
      <c r="N117" s="2603"/>
      <c r="O117" s="2603"/>
      <c r="P117" s="2603"/>
      <c r="Q117" s="2603"/>
    </row>
    <row r="118" spans="2:17">
      <c r="B118" s="440"/>
      <c r="C118" s="29"/>
      <c r="F118" s="2603"/>
      <c r="G118" s="2603"/>
      <c r="H118" s="2603"/>
      <c r="I118" s="2603"/>
      <c r="J118" s="2603"/>
      <c r="K118" s="2603"/>
      <c r="L118" s="2603"/>
      <c r="M118" s="2603"/>
      <c r="N118" s="2603"/>
      <c r="O118" s="2603"/>
      <c r="P118" s="2603"/>
      <c r="Q118" s="2603"/>
    </row>
    <row r="119" spans="2:17">
      <c r="B119" s="440"/>
      <c r="C119" s="29"/>
      <c r="F119" s="2603"/>
      <c r="G119" s="2603"/>
      <c r="H119" s="2603"/>
      <c r="I119" s="2603"/>
      <c r="J119" s="2603"/>
      <c r="K119" s="2603"/>
      <c r="L119" s="2603"/>
      <c r="M119" s="2603"/>
      <c r="N119" s="2603"/>
      <c r="O119" s="2603"/>
      <c r="P119" s="2603"/>
      <c r="Q119" s="2603"/>
    </row>
    <row r="120" spans="2:17">
      <c r="B120" s="440"/>
      <c r="C120" s="29"/>
      <c r="F120" s="2603"/>
      <c r="G120" s="2603"/>
      <c r="H120" s="2603"/>
      <c r="I120" s="2603"/>
      <c r="J120" s="2603"/>
      <c r="K120" s="2603"/>
      <c r="L120" s="2603"/>
      <c r="M120" s="2603"/>
      <c r="N120" s="2603"/>
      <c r="O120" s="2603"/>
      <c r="P120" s="2603"/>
      <c r="Q120" s="2603"/>
    </row>
    <row r="121" spans="2:17">
      <c r="B121" s="440"/>
      <c r="C121" s="29"/>
      <c r="F121" s="2603"/>
      <c r="G121" s="2603"/>
      <c r="H121" s="2603"/>
      <c r="I121" s="2603"/>
      <c r="J121" s="2603"/>
      <c r="K121" s="2603"/>
      <c r="L121" s="2603"/>
      <c r="M121" s="2603"/>
      <c r="N121" s="2603"/>
      <c r="O121" s="2603"/>
      <c r="P121" s="2603"/>
      <c r="Q121" s="2603"/>
    </row>
    <row r="122" spans="2:17">
      <c r="B122" s="440"/>
      <c r="C122" s="29"/>
      <c r="F122" s="2603"/>
      <c r="G122" s="2603"/>
      <c r="H122" s="2603"/>
      <c r="I122" s="2603"/>
      <c r="J122" s="2603"/>
      <c r="K122" s="2603"/>
      <c r="L122" s="2603"/>
      <c r="M122" s="2603"/>
      <c r="N122" s="2603"/>
      <c r="O122" s="2603"/>
      <c r="P122" s="2603"/>
      <c r="Q122" s="2603"/>
    </row>
    <row r="123" spans="2:17">
      <c r="B123" s="440"/>
      <c r="C123" s="29"/>
      <c r="F123" s="2603"/>
      <c r="G123" s="2603"/>
      <c r="H123" s="2603"/>
      <c r="I123" s="2603"/>
      <c r="J123" s="2603"/>
      <c r="K123" s="2603"/>
      <c r="L123" s="2603"/>
      <c r="M123" s="2603"/>
      <c r="N123" s="2603"/>
      <c r="O123" s="2603"/>
      <c r="P123" s="2603"/>
      <c r="Q123" s="2603"/>
    </row>
    <row r="124" spans="2:17">
      <c r="B124" s="440"/>
      <c r="C124" s="29"/>
      <c r="F124" s="2603"/>
      <c r="G124" s="2603"/>
      <c r="H124" s="2603"/>
      <c r="I124" s="2603"/>
      <c r="J124" s="2603"/>
      <c r="K124" s="2603"/>
      <c r="L124" s="2603"/>
      <c r="M124" s="2603"/>
      <c r="N124" s="2603"/>
      <c r="O124" s="2603"/>
      <c r="P124" s="2603"/>
      <c r="Q124" s="2603"/>
    </row>
    <row r="125" spans="2:17">
      <c r="B125" s="440"/>
      <c r="C125" s="29"/>
      <c r="F125" s="2603"/>
      <c r="G125" s="2603"/>
      <c r="H125" s="2603"/>
      <c r="I125" s="2603"/>
      <c r="J125" s="2603"/>
      <c r="K125" s="2603"/>
      <c r="L125" s="2603"/>
      <c r="M125" s="2603"/>
      <c r="N125" s="2603"/>
      <c r="O125" s="2603"/>
      <c r="P125" s="2603"/>
      <c r="Q125" s="2603"/>
    </row>
    <row r="126" spans="2:17">
      <c r="B126" s="440"/>
      <c r="C126" s="29"/>
      <c r="F126" s="2603"/>
      <c r="G126" s="2603"/>
      <c r="H126" s="2603"/>
      <c r="I126" s="2603"/>
      <c r="J126" s="2603"/>
      <c r="K126" s="2603"/>
      <c r="L126" s="2603"/>
      <c r="M126" s="2603"/>
      <c r="N126" s="2603"/>
      <c r="O126" s="2603"/>
      <c r="P126" s="2603"/>
      <c r="Q126" s="2603"/>
    </row>
    <row r="127" spans="2:17">
      <c r="B127" s="440"/>
      <c r="C127" s="29"/>
      <c r="F127" s="2603"/>
      <c r="G127" s="2603"/>
      <c r="H127" s="2603"/>
      <c r="I127" s="2603"/>
      <c r="J127" s="2603"/>
      <c r="K127" s="2603"/>
      <c r="L127" s="2603"/>
      <c r="M127" s="2603"/>
      <c r="N127" s="2603"/>
      <c r="O127" s="2603"/>
      <c r="P127" s="2603"/>
      <c r="Q127" s="2603"/>
    </row>
    <row r="128" spans="2:17">
      <c r="B128" s="440"/>
      <c r="C128" s="29"/>
      <c r="F128" s="2603"/>
      <c r="G128" s="2603"/>
      <c r="H128" s="2603"/>
      <c r="I128" s="2603"/>
      <c r="J128" s="2603"/>
      <c r="K128" s="2603"/>
      <c r="L128" s="2603"/>
      <c r="M128" s="2603"/>
      <c r="N128" s="2603"/>
      <c r="O128" s="2603"/>
      <c r="P128" s="2603"/>
      <c r="Q128" s="2603"/>
    </row>
    <row r="129" spans="2:17">
      <c r="B129" s="440"/>
      <c r="C129" s="29"/>
      <c r="F129" s="2603"/>
      <c r="G129" s="2603"/>
      <c r="H129" s="2603"/>
      <c r="I129" s="2603"/>
      <c r="J129" s="2603"/>
      <c r="K129" s="2603"/>
      <c r="L129" s="2603"/>
      <c r="M129" s="2603"/>
      <c r="N129" s="2603"/>
      <c r="O129" s="2603"/>
      <c r="P129" s="2603"/>
      <c r="Q129" s="2603"/>
    </row>
    <row r="130" spans="2:17">
      <c r="B130" s="440"/>
      <c r="C130" s="29"/>
      <c r="F130" s="2603"/>
      <c r="G130" s="2603"/>
      <c r="H130" s="2603"/>
      <c r="I130" s="2603"/>
      <c r="J130" s="2603"/>
      <c r="K130" s="2603"/>
      <c r="L130" s="2603"/>
      <c r="M130" s="2603"/>
      <c r="N130" s="2603"/>
      <c r="O130" s="2603"/>
      <c r="P130" s="2603"/>
      <c r="Q130" s="2603"/>
    </row>
    <row r="131" spans="2:17">
      <c r="B131" s="440"/>
      <c r="C131" s="29"/>
      <c r="F131" s="2603"/>
      <c r="G131" s="2603"/>
      <c r="H131" s="2603"/>
      <c r="I131" s="2603"/>
      <c r="J131" s="2603"/>
      <c r="K131" s="2603"/>
      <c r="L131" s="2603"/>
      <c r="M131" s="2603"/>
      <c r="N131" s="2603"/>
      <c r="O131" s="2603"/>
      <c r="P131" s="2603"/>
      <c r="Q131" s="2603"/>
    </row>
    <row r="132" spans="2:17">
      <c r="B132" s="440"/>
      <c r="C132" s="29"/>
      <c r="F132" s="2603"/>
      <c r="G132" s="2603"/>
      <c r="H132" s="2603"/>
      <c r="I132" s="2603"/>
      <c r="J132" s="2603"/>
      <c r="K132" s="2603"/>
      <c r="L132" s="2603"/>
      <c r="M132" s="2603"/>
      <c r="N132" s="2603"/>
      <c r="O132" s="2603"/>
      <c r="P132" s="2603"/>
      <c r="Q132" s="2603"/>
    </row>
    <row r="133" spans="2:17">
      <c r="B133" s="440"/>
      <c r="C133" s="29"/>
      <c r="F133" s="2603"/>
      <c r="G133" s="2603"/>
      <c r="H133" s="2603"/>
      <c r="I133" s="2603"/>
      <c r="J133" s="2603"/>
      <c r="K133" s="2603"/>
      <c r="L133" s="2603"/>
      <c r="M133" s="2603"/>
      <c r="N133" s="2603"/>
      <c r="O133" s="2603"/>
      <c r="P133" s="2603"/>
      <c r="Q133" s="2603"/>
    </row>
    <row r="134" spans="2:17">
      <c r="B134" s="440"/>
      <c r="C134" s="29"/>
      <c r="F134" s="2603"/>
      <c r="G134" s="2603"/>
      <c r="H134" s="2603"/>
      <c r="I134" s="2603"/>
      <c r="J134" s="2603"/>
      <c r="K134" s="2603"/>
      <c r="L134" s="2603"/>
      <c r="M134" s="2603"/>
      <c r="N134" s="2603"/>
      <c r="O134" s="2603"/>
      <c r="P134" s="2603"/>
      <c r="Q134" s="2603"/>
    </row>
    <row r="135" spans="2:17">
      <c r="B135" s="440"/>
      <c r="C135" s="29"/>
      <c r="F135" s="2603"/>
      <c r="G135" s="2603"/>
      <c r="H135" s="2603"/>
      <c r="I135" s="2603"/>
      <c r="J135" s="2603"/>
      <c r="K135" s="2603"/>
      <c r="L135" s="2603"/>
      <c r="M135" s="2603"/>
      <c r="N135" s="2603"/>
      <c r="O135" s="2603"/>
      <c r="P135" s="2603"/>
      <c r="Q135" s="2603"/>
    </row>
    <row r="136" spans="2:17">
      <c r="B136" s="440"/>
      <c r="C136" s="29"/>
      <c r="F136" s="2603"/>
      <c r="G136" s="2603"/>
      <c r="H136" s="2603"/>
      <c r="I136" s="2603"/>
      <c r="J136" s="2603"/>
      <c r="K136" s="2603"/>
      <c r="L136" s="2603"/>
      <c r="M136" s="2603"/>
      <c r="N136" s="2603"/>
      <c r="O136" s="2603"/>
      <c r="P136" s="2603"/>
      <c r="Q136" s="2603"/>
    </row>
    <row r="137" spans="2:17">
      <c r="B137" s="440"/>
      <c r="C137" s="29"/>
      <c r="F137" s="2603"/>
      <c r="G137" s="2603"/>
      <c r="H137" s="2603"/>
      <c r="I137" s="2603"/>
      <c r="J137" s="2603"/>
      <c r="K137" s="2603"/>
      <c r="L137" s="2603"/>
      <c r="M137" s="2603"/>
      <c r="N137" s="2603"/>
      <c r="O137" s="2603"/>
      <c r="P137" s="2603"/>
      <c r="Q137" s="2603"/>
    </row>
    <row r="138" spans="2:17">
      <c r="B138" s="440"/>
      <c r="C138" s="29"/>
      <c r="F138" s="2603"/>
      <c r="G138" s="2603"/>
      <c r="H138" s="2603"/>
      <c r="I138" s="2603"/>
      <c r="J138" s="2603"/>
      <c r="K138" s="2603"/>
      <c r="L138" s="2603"/>
      <c r="M138" s="2603"/>
      <c r="N138" s="2603"/>
      <c r="O138" s="2603"/>
      <c r="P138" s="2603"/>
      <c r="Q138" s="2603"/>
    </row>
    <row r="139" spans="2:17">
      <c r="B139" s="440"/>
      <c r="C139" s="29"/>
      <c r="F139" s="2603"/>
      <c r="G139" s="2603"/>
      <c r="H139" s="2603"/>
      <c r="I139" s="2603"/>
      <c r="J139" s="2603"/>
      <c r="K139" s="2603"/>
      <c r="L139" s="2603"/>
      <c r="M139" s="2603"/>
      <c r="N139" s="2603"/>
      <c r="O139" s="2603"/>
      <c r="P139" s="2603"/>
      <c r="Q139" s="2603"/>
    </row>
    <row r="140" spans="2:17">
      <c r="B140" s="440"/>
      <c r="C140" s="29"/>
      <c r="L140" s="29"/>
    </row>
    <row r="141" spans="2:17">
      <c r="B141" s="440"/>
      <c r="C141" s="29"/>
      <c r="L141" s="29"/>
    </row>
    <row r="142" spans="2:17">
      <c r="B142" s="440"/>
      <c r="C142" s="29"/>
      <c r="L142" s="29"/>
    </row>
    <row r="143" spans="2:17">
      <c r="B143" s="440"/>
      <c r="C143" s="29"/>
      <c r="L143" s="29"/>
    </row>
    <row r="144" spans="2:17">
      <c r="B144" s="440"/>
      <c r="C144" s="29"/>
      <c r="L144" s="29"/>
    </row>
    <row r="145" spans="2:12">
      <c r="B145" s="440"/>
      <c r="C145" s="29"/>
      <c r="L145" s="29"/>
    </row>
    <row r="146" spans="2:12">
      <c r="B146" s="440"/>
      <c r="C146" s="29"/>
      <c r="L146" s="29"/>
    </row>
    <row r="147" spans="2:12">
      <c r="B147" s="440"/>
      <c r="C147" s="29"/>
      <c r="F147" s="29"/>
      <c r="G147" s="29"/>
      <c r="H147" s="29"/>
      <c r="I147" s="29"/>
      <c r="J147" s="29"/>
    </row>
    <row r="148" spans="2:12">
      <c r="B148" s="440"/>
      <c r="C148" s="29"/>
      <c r="D148" s="29"/>
      <c r="F148" s="29"/>
      <c r="G148" s="29"/>
      <c r="H148" s="29"/>
      <c r="I148" s="29"/>
      <c r="J148" s="29"/>
    </row>
    <row r="149" spans="2:12">
      <c r="B149" s="440"/>
      <c r="C149" s="29"/>
      <c r="D149" s="29"/>
      <c r="F149" s="29"/>
      <c r="G149" s="29"/>
      <c r="H149" s="29"/>
      <c r="I149" s="29"/>
      <c r="J149" s="29"/>
    </row>
    <row r="150" spans="2:12">
      <c r="B150" s="440"/>
      <c r="C150" s="29"/>
      <c r="D150" s="29"/>
      <c r="F150" s="29"/>
      <c r="G150" s="29"/>
      <c r="H150" s="29"/>
      <c r="I150" s="29"/>
      <c r="J150" s="29"/>
    </row>
    <row r="151" spans="2:12">
      <c r="B151" s="440"/>
      <c r="C151" s="29"/>
      <c r="D151" s="29"/>
      <c r="F151" s="29"/>
      <c r="G151" s="29"/>
      <c r="H151" s="29"/>
      <c r="I151" s="29"/>
      <c r="J151" s="29"/>
    </row>
    <row r="152" spans="2:12">
      <c r="B152" s="440"/>
      <c r="C152" s="29"/>
      <c r="D152" s="29"/>
      <c r="F152" s="29"/>
      <c r="G152" s="29"/>
      <c r="H152" s="29"/>
      <c r="I152" s="29"/>
      <c r="J152" s="29"/>
    </row>
    <row r="153" spans="2:12">
      <c r="B153" s="440"/>
      <c r="C153" s="29"/>
      <c r="D153" s="29"/>
      <c r="F153" s="29"/>
      <c r="G153" s="29"/>
      <c r="H153" s="29"/>
      <c r="I153" s="29"/>
      <c r="J153" s="29"/>
    </row>
    <row r="154" spans="2:12">
      <c r="B154" s="440"/>
      <c r="C154" s="29"/>
      <c r="D154" s="29"/>
      <c r="F154" s="29"/>
      <c r="G154" s="29"/>
      <c r="H154" s="29"/>
      <c r="I154" s="29"/>
      <c r="J154" s="29"/>
    </row>
    <row r="155" spans="2:12">
      <c r="B155" s="440"/>
      <c r="C155" s="29"/>
      <c r="D155" s="29"/>
      <c r="F155" s="29"/>
      <c r="G155" s="29"/>
      <c r="H155" s="29"/>
      <c r="I155" s="29"/>
      <c r="J155" s="29"/>
    </row>
    <row r="156" spans="2:12">
      <c r="B156" s="440"/>
      <c r="C156" s="29"/>
      <c r="D156" s="29"/>
      <c r="F156" s="29"/>
      <c r="G156" s="29"/>
      <c r="H156" s="29"/>
      <c r="I156" s="29"/>
      <c r="J156" s="29"/>
    </row>
    <row r="157" spans="2:12">
      <c r="B157" s="440"/>
      <c r="C157" s="29"/>
    </row>
    <row r="158" spans="2:12">
      <c r="B158" s="440"/>
      <c r="C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heet="1" selectLockedCells="1"/>
  <customSheetViews>
    <customSheetView guid="{8063F48F-80B5-4ECD-B18A-51CBF126E780}" fitToPage="1" printArea="1" hiddenRows="1" hiddenColumns="1" topLeftCell="D1">
      <selection activeCell="C20" sqref="C20:F20"/>
      <pageMargins left="0.59055118110236227" right="0.57999999999999996" top="0.59055118110236227" bottom="0.59055118110236227" header="0.39370078740157483" footer="0.39370078740157483"/>
      <printOptions horizontalCentered="1"/>
      <pageSetup paperSize="9" scale="70" firstPageNumber="24" orientation="portrait" r:id="rId1"/>
      <headerFooter alignWithMargins="0">
        <oddFooter>&amp;L&amp;11LEL Schwäbisch Gmünd&amp;R&amp;11&amp;F</oddFooter>
      </headerFooter>
    </customSheetView>
    <customSheetView guid="{5D5C9B61-9ABD-4513-AAEB-8333A9D6196C}" fitToPage="1" hiddenRows="1" hiddenColumns="1">
      <selection activeCell="AK19" sqref="AK19"/>
      <pageMargins left="0.59055118110236227" right="0.57999999999999996" top="0.59055118110236227" bottom="0.59055118110236227" header="0.39370078740157483" footer="0.39370078740157483"/>
      <printOptions horizontalCentered="1"/>
      <pageSetup paperSize="9" scale="70" firstPageNumber="24" orientation="portrait" r:id="rId2"/>
      <headerFooter alignWithMargins="0">
        <oddFooter>&amp;L&amp;11LEL Schwäbisch Gmünd&amp;R&amp;11&amp;F</oddFooter>
      </headerFooter>
    </customSheetView>
    <customSheetView guid="{22A73C4F-9004-4CEF-8499-B1F91BE1B569}" fitToPage="1" hiddenRows="1" hiddenColumns="1" topLeftCell="D1">
      <selection activeCell="C20" sqref="C20:F20"/>
      <pageMargins left="0.59055118110236227" right="0.57999999999999996" top="0.59055118110236227" bottom="0.59055118110236227" header="0.39370078740157483" footer="0.39370078740157483"/>
      <printOptions horizontalCentered="1"/>
      <pageSetup paperSize="9" scale="70" firstPageNumber="24" orientation="portrait" r:id="rId3"/>
      <headerFooter alignWithMargins="0">
        <oddFooter>&amp;L&amp;11LEL Schwäbisch Gmünd&amp;R&amp;11&amp;F</oddFooter>
      </headerFooter>
    </customSheetView>
  </customSheetViews>
  <mergeCells count="50">
    <mergeCell ref="B3:H3"/>
    <mergeCell ref="C37:E37"/>
    <mergeCell ref="C38:E38"/>
    <mergeCell ref="C39:E39"/>
    <mergeCell ref="C40:E40"/>
    <mergeCell ref="C17:F17"/>
    <mergeCell ref="C20:F20"/>
    <mergeCell ref="C21:F21"/>
    <mergeCell ref="F23:G23"/>
    <mergeCell ref="D25:E25"/>
    <mergeCell ref="E22:G22"/>
    <mergeCell ref="C64:E64"/>
    <mergeCell ref="C49:D49"/>
    <mergeCell ref="C53:D53"/>
    <mergeCell ref="C48:D48"/>
    <mergeCell ref="C46:D46"/>
    <mergeCell ref="C56:D56"/>
    <mergeCell ref="C54:D54"/>
    <mergeCell ref="K1:L1"/>
    <mergeCell ref="N1:O1"/>
    <mergeCell ref="C16:F16"/>
    <mergeCell ref="C50:D50"/>
    <mergeCell ref="K2:P2"/>
    <mergeCell ref="C14:F14"/>
    <mergeCell ref="C15:F15"/>
    <mergeCell ref="N6:O6"/>
    <mergeCell ref="E10:F10"/>
    <mergeCell ref="K6:L6"/>
    <mergeCell ref="E4:I4"/>
    <mergeCell ref="N3:O4"/>
    <mergeCell ref="J3:L3"/>
    <mergeCell ref="J4:L4"/>
    <mergeCell ref="H6:I6"/>
    <mergeCell ref="C19:F19"/>
    <mergeCell ref="B75:C75"/>
    <mergeCell ref="D26:E26"/>
    <mergeCell ref="F34:G34"/>
    <mergeCell ref="C42:E42"/>
    <mergeCell ref="C57:D57"/>
    <mergeCell ref="C55:D55"/>
    <mergeCell ref="C62:E62"/>
    <mergeCell ref="C63:E63"/>
    <mergeCell ref="C68:E68"/>
    <mergeCell ref="C73:E73"/>
    <mergeCell ref="C74:E74"/>
    <mergeCell ref="C41:E41"/>
    <mergeCell ref="C47:D47"/>
    <mergeCell ref="C36:E36"/>
    <mergeCell ref="C51:D51"/>
    <mergeCell ref="C52:D52"/>
  </mergeCells>
  <dataValidations count="5">
    <dataValidation type="whole" allowBlank="1" showInputMessage="1" showErrorMessage="1" errorTitle="Anteil Erntegut" error="Prozentwert darf nur zwischen 0 und 100 liegen." sqref="O68 L68 I68" xr:uid="{00000000-0002-0000-4300-000000000000}">
      <formula1>0</formula1>
      <formula2>100</formula2>
    </dataValidation>
    <dataValidation type="decimal" allowBlank="1" showInputMessage="1" showErrorMessage="1" errorTitle="Wassergehalt Getreide" error="Zulässig sind nur Werte zwischen 15,1 und 29,9 % Wassergehalt." sqref="H68 K68 N68" xr:uid="{00000000-0002-0000-4300-000001000000}">
      <formula1>15.1</formula1>
      <formula2>29.9</formula2>
    </dataValidation>
    <dataValidation type="list" showInputMessage="1" showErrorMessage="1" sqref="H14 K14 N14" xr:uid="{00000000-0002-0000-4300-000002000000}">
      <formula1>"ja,nein"</formula1>
    </dataValidation>
    <dataValidation type="list" allowBlank="1" showInputMessage="1" showErrorMessage="1" sqref="H15:H17 K15:K17 N15:N17" xr:uid="{00000000-0002-0000-4300-000003000000}">
      <formula1>"ja,nein"</formula1>
    </dataValidation>
    <dataValidation type="list" allowBlank="1" showInputMessage="1" showErrorMessage="1" sqref="D19:F19" xr:uid="{00000000-0002-0000-4300-000004000000}">
      <formula1>$C$60:$C$75</formula1>
    </dataValidation>
  </dataValidations>
  <hyperlinks>
    <hyperlink ref="F9" location="SDÖ1!A1" display="Preis ändern" xr:uid="{00000000-0004-0000-4300-000000000000}"/>
  </hyperlinks>
  <printOptions horizontalCentered="1"/>
  <pageMargins left="0.59055118110236227" right="0.57999999999999996" top="0.59055118110236227" bottom="0.59055118110236227" header="0.39370078740157483" footer="0.39370078740157483"/>
  <pageSetup paperSize="9" scale="70" firstPageNumber="24" orientation="portrait" r:id="rId4"/>
  <headerFooter alignWithMargins="0">
    <oddFooter>&amp;L&amp;11LEL Schwäbisch Gmünd&amp;R&amp;11&amp;F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73743" r:id="rId7" name="Check Box 15">
              <controlPr defaultSize="0" autoFill="0" autoLine="0" autoPict="0">
                <anchor moveWithCells="1">
                  <from>
                    <xdr:col>12</xdr:col>
                    <xdr:colOff>137160</xdr:colOff>
                    <xdr:row>2</xdr:row>
                    <xdr:rowOff>259080</xdr:rowOff>
                  </from>
                  <to>
                    <xdr:col>12</xdr:col>
                    <xdr:colOff>289560</xdr:colOff>
                    <xdr:row>3</xdr:row>
                    <xdr:rowOff>76200</xdr:rowOff>
                  </to>
                </anchor>
              </controlPr>
            </control>
          </mc:Choice>
        </mc:AlternateContent>
        <mc:AlternateContent xmlns:mc="http://schemas.openxmlformats.org/markup-compatibility/2006">
          <mc:Choice Requires="x14">
            <control shapeId="73744" r:id="rId8" name="Check Box 16">
              <controlPr defaultSize="0" autoFill="0" autoLine="0" autoPict="0">
                <anchor moveWithCells="1">
                  <from>
                    <xdr:col>12</xdr:col>
                    <xdr:colOff>137160</xdr:colOff>
                    <xdr:row>2</xdr:row>
                    <xdr:rowOff>60960</xdr:rowOff>
                  </from>
                  <to>
                    <xdr:col>12</xdr:col>
                    <xdr:colOff>419100</xdr:colOff>
                    <xdr:row>2</xdr:row>
                    <xdr:rowOff>297180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300-000005000000}">
          <x14:formula1>
            <xm:f>'SD2'!$C$11:$C$50</xm:f>
          </x14:formula1>
          <xm:sqref>C14:F17</xm:sqref>
        </x14:dataValidation>
        <x14:dataValidation type="list" allowBlank="1" showInputMessage="1" showErrorMessage="1" xr:uid="{00000000-0002-0000-4300-000006000000}">
          <x14:formula1>
            <xm:f>'SD2'!$C$60:$C$77</xm:f>
          </x14:formula1>
          <xm:sqref>C19:C21</xm:sqref>
        </x14:dataValidation>
        <x14:dataValidation type="list" allowBlank="1" showInputMessage="1" showErrorMessage="1" errorTitle="Arbeitsgänge" error="Bitte aus Dropdownliste auswählen." xr:uid="{00000000-0002-0000-4300-000007000000}">
          <x14:formula1>
            <xm:f>'SD3'!$C$23:$C$75</xm:f>
          </x14:formula1>
          <xm:sqref>C46:D57</xm:sqref>
        </x14:dataValidation>
        <x14:dataValidation type="list" allowBlank="1" showInputMessage="1" showErrorMessage="1" xr:uid="{00000000-0002-0000-4300-000008000000}">
          <x14:formula1>
            <xm:f>SDÖ5!$C$5:$C$16</xm:f>
          </x14:formula1>
          <xm:sqref>C36:E42</xm:sqref>
        </x14:dataValidation>
        <x14:dataValidation type="list" allowBlank="1" showInputMessage="1" showErrorMessage="1" errorTitle="Lohnmaschinen" error="Bitte aus Dropdownliste auswählen." xr:uid="{00000000-0002-0000-4300-000009000000}">
          <x14:formula1>
            <xm:f>'SD3'!$C$90:$C$104</xm:f>
          </x14:formula1>
          <xm:sqref>C62:E64</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abelle84">
    <tabColor rgb="FFFFFF00"/>
    <pageSetUpPr fitToPage="1"/>
  </sheetPr>
  <dimension ref="A1:AO206"/>
  <sheetViews>
    <sheetView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25.59765625" style="28" hidden="1" customWidth="1"/>
    <col min="18" max="26" width="10.5" style="27" hidden="1" customWidth="1"/>
    <col min="27" max="28" width="10.5" style="27" customWidth="1"/>
    <col min="29" max="16384" width="10.5" style="27"/>
  </cols>
  <sheetData>
    <row r="1" spans="1:41" s="219" customFormat="1" ht="30.15" customHeight="1">
      <c r="A1" s="1681"/>
      <c r="B1" s="258"/>
      <c r="C1" s="1333"/>
      <c r="D1" s="100"/>
      <c r="E1" s="255"/>
      <c r="F1" s="255"/>
      <c r="G1" s="3207"/>
      <c r="H1" s="3207"/>
      <c r="I1" s="3208" t="s">
        <v>1679</v>
      </c>
      <c r="J1" s="3210">
        <f>(J7+J13+J18+J22)-(J23+J27+J34+J43+J60+J65+J67+J69+J71+J75)</f>
        <v>725.68913669266658</v>
      </c>
      <c r="K1" s="4360">
        <f>M1-J1</f>
        <v>306.63362881163221</v>
      </c>
      <c r="L1" s="4360"/>
      <c r="M1" s="3210">
        <f>(M7+M13+M18+M22)-(M23+M27+M34+M43+M60+M65+M67+M69+M71+M75)</f>
        <v>1032.3227655042988</v>
      </c>
      <c r="N1" s="4360">
        <f>P1-M1</f>
        <v>304.10844560644432</v>
      </c>
      <c r="O1" s="4360"/>
      <c r="P1" s="3210">
        <f>(P7+P13+P18+P22)-(P23+P27+P34+P43+P60+P65+P67+P69+P71+P75)</f>
        <v>1336.4312111107431</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1391</v>
      </c>
      <c r="L2" s="4372"/>
      <c r="M2" s="4372"/>
      <c r="N2" s="4372"/>
      <c r="O2" s="4372"/>
      <c r="P2" s="4372"/>
      <c r="Q2" s="1681"/>
    </row>
    <row r="3" spans="1:41" s="219" customFormat="1" ht="32.4" customHeight="1">
      <c r="A3" s="1681"/>
      <c r="B3" s="4405" t="s">
        <v>1727</v>
      </c>
      <c r="C3" s="4405"/>
      <c r="D3" s="4405"/>
      <c r="E3" s="4405"/>
      <c r="F3" s="4405"/>
      <c r="G3" s="4405"/>
      <c r="H3" s="4405"/>
      <c r="J3" s="4368" t="s">
        <v>886</v>
      </c>
      <c r="K3" s="4447"/>
      <c r="L3" s="4447"/>
      <c r="M3" s="1689"/>
      <c r="N3" s="4444" t="str">
        <f>IF(AND(T3=TRUE,T4=TRUE),"nur 1 Strohnutzung möglich","")</f>
        <v/>
      </c>
      <c r="O3" s="4374"/>
      <c r="P3" s="1326"/>
      <c r="Q3" s="1681"/>
      <c r="T3" s="1343" t="b">
        <v>1</v>
      </c>
    </row>
    <row r="4" spans="1:41" s="219" customFormat="1" ht="20.25" customHeight="1">
      <c r="A4" s="1681"/>
      <c r="B4" s="309" t="s">
        <v>779</v>
      </c>
      <c r="C4" s="27"/>
      <c r="D4" s="27"/>
      <c r="E4" s="4406" t="s">
        <v>890</v>
      </c>
      <c r="F4" s="4406"/>
      <c r="G4" s="4406"/>
      <c r="H4" s="4406"/>
      <c r="I4" s="4406"/>
      <c r="J4" s="4368" t="s">
        <v>875</v>
      </c>
      <c r="K4" s="4447"/>
      <c r="L4" s="4447"/>
      <c r="M4" s="1688"/>
      <c r="N4" s="4374"/>
      <c r="O4" s="4374"/>
      <c r="P4" s="1322">
        <f>SDÖ1!O3</f>
        <v>2024</v>
      </c>
      <c r="Q4" s="1681"/>
      <c r="T4" s="1343" t="b">
        <v>0</v>
      </c>
      <c r="U4" s="1690"/>
    </row>
    <row r="5" spans="1:41" ht="6" customHeight="1"/>
    <row r="6" spans="1:41" s="1311" customFormat="1" ht="24" customHeight="1">
      <c r="A6" s="41"/>
      <c r="B6" s="1316" t="s">
        <v>832</v>
      </c>
      <c r="C6" s="1315"/>
      <c r="D6" s="1315"/>
      <c r="E6" s="1315"/>
      <c r="F6" s="1315"/>
      <c r="G6" s="1314" t="s">
        <v>1141</v>
      </c>
      <c r="H6" s="4366" t="s">
        <v>171</v>
      </c>
      <c r="I6" s="4367"/>
      <c r="J6" s="1313">
        <f>M6*0.75</f>
        <v>30</v>
      </c>
      <c r="K6" s="4379" t="s">
        <v>144</v>
      </c>
      <c r="L6" s="4380"/>
      <c r="M6" s="1313">
        <v>40</v>
      </c>
      <c r="N6" s="4366" t="s">
        <v>170</v>
      </c>
      <c r="O6" s="4367"/>
      <c r="P6" s="1312">
        <f>M6*1.25</f>
        <v>50</v>
      </c>
      <c r="Q6" s="49"/>
    </row>
    <row r="7" spans="1:41" s="196" customFormat="1" ht="18.75" customHeight="1">
      <c r="A7" s="40"/>
      <c r="B7" s="245" t="s">
        <v>1133</v>
      </c>
      <c r="C7" s="40"/>
      <c r="D7" s="40"/>
      <c r="E7" s="40"/>
      <c r="F7" s="40"/>
      <c r="G7" s="1310" t="s">
        <v>163</v>
      </c>
      <c r="H7" s="1307"/>
      <c r="I7" s="1306"/>
      <c r="J7" s="1041">
        <f>SUM(I9:I12)</f>
        <v>1556.3999999999999</v>
      </c>
      <c r="K7" s="1309"/>
      <c r="L7" s="1308"/>
      <c r="M7" s="1044">
        <f>SUM(L9:L12)</f>
        <v>2075.1999999999998</v>
      </c>
      <c r="N7" s="1307"/>
      <c r="O7" s="1306"/>
      <c r="P7" s="1041">
        <f>SUM(O9:O12)</f>
        <v>2594</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t="s">
        <v>882</v>
      </c>
      <c r="G9" s="1221">
        <f>SDÖ1!O20</f>
        <v>41.08</v>
      </c>
      <c r="H9" s="1303">
        <f>J6-H10</f>
        <v>30</v>
      </c>
      <c r="I9" s="1299">
        <f>H9*G9</f>
        <v>1232.3999999999999</v>
      </c>
      <c r="J9" s="37"/>
      <c r="K9" s="1302">
        <f>M6-K10</f>
        <v>40</v>
      </c>
      <c r="L9" s="1301">
        <f>K9*G9</f>
        <v>1643.1999999999998</v>
      </c>
      <c r="M9" s="1280"/>
      <c r="N9" s="1300">
        <f>P6-N10</f>
        <v>50</v>
      </c>
      <c r="O9" s="1299">
        <f>N9*G9</f>
        <v>2054</v>
      </c>
      <c r="P9" s="37"/>
      <c r="Q9" s="28"/>
      <c r="R9" s="517"/>
      <c r="S9" s="208" t="s">
        <v>887</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324</v>
      </c>
      <c r="S10" s="1288">
        <f>L10+L11+L12</f>
        <v>432</v>
      </c>
      <c r="T10" s="1287">
        <f>O10+O11+O12</f>
        <v>540</v>
      </c>
      <c r="W10" s="196" t="s">
        <v>879</v>
      </c>
    </row>
    <row r="11" spans="1:41" s="1268" customFormat="1" ht="15" customHeight="1">
      <c r="A11" s="309"/>
      <c r="B11" s="3147"/>
      <c r="C11" s="1006" t="s">
        <v>878</v>
      </c>
      <c r="D11" s="3148"/>
      <c r="E11" s="3149">
        <v>0.9</v>
      </c>
      <c r="F11" s="1006" t="s">
        <v>877</v>
      </c>
      <c r="G11" s="3150">
        <f>SDÖ1!$O$52</f>
        <v>12</v>
      </c>
      <c r="H11" s="3151">
        <f>IF(OR($T$3,$T$4)=TRUE,J6*$E$11,0)</f>
        <v>27</v>
      </c>
      <c r="I11" s="3152">
        <f>H11*$G$11</f>
        <v>324</v>
      </c>
      <c r="J11" s="3153"/>
      <c r="K11" s="3154">
        <f>IF(OR($T$3,$T$4)=TRUE,M6*$E$11,0)</f>
        <v>36</v>
      </c>
      <c r="L11" s="3155">
        <f>K11*$G$11</f>
        <v>432</v>
      </c>
      <c r="M11" s="3156"/>
      <c r="N11" s="3157">
        <f>IF(OR($T$3,$T$4)=TRUE,P6*$E$11,0)</f>
        <v>45</v>
      </c>
      <c r="O11" s="3152">
        <f>N11*$G$11</f>
        <v>540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f>IF(OR(T3=TRUE,T4=TRUE),J6*$E$11,"0")</f>
        <v>27</v>
      </c>
      <c r="Y12" s="1265">
        <f>IF(OR(T3=TRUE,T4=TRUE),M6*$E$11,"0")</f>
        <v>36</v>
      </c>
      <c r="Z12" s="1264">
        <f>IF(OR(T3=TRUE,T4=TRUE),P6*$E$11,"0")</f>
        <v>45</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W13" s="36" t="s">
        <v>236</v>
      </c>
      <c r="X13" s="1260">
        <f>$X$12*F30</f>
        <v>14.850000000000001</v>
      </c>
      <c r="Y13" s="1260">
        <f>$Y$12*F30</f>
        <v>19.8</v>
      </c>
      <c r="Z13" s="1260">
        <f>$Z$12*F30</f>
        <v>24.750000000000004</v>
      </c>
    </row>
    <row r="14" spans="1:41" s="36" customFormat="1" ht="15" customHeight="1">
      <c r="A14" s="39"/>
      <c r="B14" s="1247"/>
      <c r="C14" s="4365" t="s">
        <v>1511</v>
      </c>
      <c r="D14" s="4365"/>
      <c r="E14" s="4365"/>
      <c r="F14" s="4365"/>
      <c r="G14" s="1263"/>
      <c r="H14" s="1391" t="s">
        <v>919</v>
      </c>
      <c r="I14" s="2827">
        <f>IF(H14="ja",Q14,0)</f>
        <v>240</v>
      </c>
      <c r="J14" s="39"/>
      <c r="K14" s="1262" t="s">
        <v>919</v>
      </c>
      <c r="L14" s="1098">
        <f>IF(K14="ja",Q14,0)</f>
        <v>240</v>
      </c>
      <c r="M14" s="1016"/>
      <c r="N14" s="1262" t="s">
        <v>919</v>
      </c>
      <c r="O14" s="2827">
        <f>IF(N14="ja",Q14,0)</f>
        <v>240</v>
      </c>
      <c r="P14" s="2826"/>
      <c r="Q14" s="1261">
        <f>IF(C14=0,0,VLOOKUP(C14,'SD2'!$C$11:$O$50,'SD2'!$O$1,FALSE))</f>
        <v>240</v>
      </c>
      <c r="R14" s="1350"/>
      <c r="S14" s="1349"/>
      <c r="T14" s="1348"/>
      <c r="W14" s="36" t="s">
        <v>685</v>
      </c>
      <c r="X14" s="1260">
        <f>$X$12*F31</f>
        <v>8.9099999999999966</v>
      </c>
      <c r="Y14" s="1260">
        <f>$Y$12*F31</f>
        <v>11.879999999999995</v>
      </c>
      <c r="Z14" s="1260">
        <f>$Z$12*F31</f>
        <v>14.849999999999993</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347"/>
      <c r="S15" s="1343"/>
      <c r="T15" s="1346"/>
      <c r="W15" s="36" t="s">
        <v>684</v>
      </c>
      <c r="X15" s="1260">
        <f>$X$12*F32</f>
        <v>50.49</v>
      </c>
      <c r="Y15" s="1260">
        <f>$Y$12*F32</f>
        <v>67.320000000000007</v>
      </c>
      <c r="Z15" s="1260">
        <f>$Z$12*F32</f>
        <v>84.15</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347"/>
      <c r="S16" s="1343"/>
      <c r="T16" s="1346"/>
      <c r="W16" s="36" t="s">
        <v>230</v>
      </c>
      <c r="X16" s="1260">
        <f>$X$12*F33</f>
        <v>5.9399999999999995</v>
      </c>
      <c r="Y16" s="1260">
        <f>$Y$12*F33</f>
        <v>7.919999999999999</v>
      </c>
      <c r="Z16" s="1260">
        <f>$Z$12*F33</f>
        <v>9.8999999999999986</v>
      </c>
    </row>
    <row r="17" spans="1:33" s="511" customFormat="1" ht="15" customHeight="1">
      <c r="A17" s="40"/>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row>
    <row r="18" spans="1:33" s="36" customFormat="1" ht="18.75" customHeight="1">
      <c r="A18" s="39"/>
      <c r="B18" s="209" t="s">
        <v>1563</v>
      </c>
      <c r="C18" s="1672"/>
      <c r="D18" s="1672"/>
      <c r="E18" s="1672"/>
      <c r="F18" s="1672"/>
      <c r="G18" s="2464"/>
      <c r="H18" s="2249"/>
      <c r="I18" s="3474"/>
      <c r="J18" s="1041">
        <f>SUM(I19:I21)</f>
        <v>177</v>
      </c>
      <c r="K18" s="2250"/>
      <c r="L18" s="2466"/>
      <c r="M18" s="1044">
        <f>SUM(L19:L21)</f>
        <v>177</v>
      </c>
      <c r="N18" s="2249"/>
      <c r="O18" s="3474"/>
      <c r="P18" s="1111">
        <f>SUM(O19:O21)</f>
        <v>177</v>
      </c>
      <c r="Q18" s="28"/>
      <c r="R18" s="514" t="s">
        <v>870</v>
      </c>
      <c r="S18" s="308"/>
      <c r="T18" s="1248"/>
    </row>
    <row r="19" spans="1:33" ht="15.6" customHeight="1">
      <c r="A19" s="309"/>
      <c r="B19" s="1247"/>
      <c r="C19" s="4365" t="s">
        <v>1560</v>
      </c>
      <c r="D19" s="4365"/>
      <c r="E19" s="4365"/>
      <c r="F19" s="4365"/>
      <c r="G19" s="1246" t="s">
        <v>163</v>
      </c>
      <c r="H19" s="1244"/>
      <c r="I19" s="2827">
        <f>IF(OR($C19=0,$J$6=0),0,VLOOKUP($C19,'SD2'!C60:O78,12,FALSE))</f>
        <v>155</v>
      </c>
      <c r="J19" s="39"/>
      <c r="K19" s="1245"/>
      <c r="L19" s="1098">
        <f>IF(OR($C19=0,$M$6=0),0,VLOOKUP($C19,'SD2'!$C$60:$O$78,12,FALSE))</f>
        <v>155</v>
      </c>
      <c r="M19" s="1016"/>
      <c r="N19" s="1244"/>
      <c r="O19" s="2827">
        <f>IF(OR($C19=0,$P$6=0),0,VLOOKUP($C19,'SD2'!C60:O78,12,FALSE))</f>
        <v>155</v>
      </c>
      <c r="P19" s="2826"/>
      <c r="R19" s="1242">
        <f>J13+J18</f>
        <v>417</v>
      </c>
      <c r="S19" s="1242">
        <f>M13+M18</f>
        <v>417</v>
      </c>
      <c r="T19" s="1242">
        <f>P13+P18</f>
        <v>417</v>
      </c>
      <c r="AF19" s="36"/>
      <c r="AG19" s="36"/>
    </row>
    <row r="20" spans="1:33" s="2894" customFormat="1" ht="15.6" customHeight="1">
      <c r="A20" s="2788"/>
      <c r="B20" s="1247"/>
      <c r="C20" s="4365" t="s">
        <v>1675</v>
      </c>
      <c r="D20" s="4365"/>
      <c r="E20" s="4365"/>
      <c r="F20" s="4365"/>
      <c r="G20" s="2914"/>
      <c r="H20" s="1244"/>
      <c r="I20" s="2827">
        <f>IF(OR($C20=0,$J$6=0),0,VLOOKUP($C20,'SD2'!C61:O79,12,FALSE))</f>
        <v>22</v>
      </c>
      <c r="J20" s="2783"/>
      <c r="K20" s="1245"/>
      <c r="L20" s="2829">
        <f>IF(OR($C20=0,$M$6=0),0,VLOOKUP($C20,'SD2'!$C$60:$O$78,12,FALSE))</f>
        <v>22</v>
      </c>
      <c r="M20" s="2795"/>
      <c r="N20" s="1244"/>
      <c r="O20" s="2827">
        <f>IF(OR($C20=0,$P$6=0),0,VLOOKUP($C20,'SD2'!C61:O79,12,FALSE))</f>
        <v>22</v>
      </c>
      <c r="P20" s="2826"/>
      <c r="Q20" s="2895"/>
      <c r="R20" s="2888"/>
      <c r="S20" s="2888"/>
      <c r="T20" s="2888"/>
      <c r="AF20" s="36"/>
      <c r="AG20" s="36"/>
    </row>
    <row r="21" spans="1:33" s="2894" customFormat="1" ht="15.6" customHeight="1">
      <c r="A21" s="2788"/>
      <c r="B21" s="1247"/>
      <c r="C21" s="4365"/>
      <c r="D21" s="4365"/>
      <c r="E21" s="4365"/>
      <c r="F21" s="4365"/>
      <c r="G21" s="2914"/>
      <c r="H21" s="1244"/>
      <c r="I21" s="2827">
        <f>IF(OR($C21=0,$J$6=0),0,VLOOKUP($C21,'SD2'!C62:O79,12,FALSE))</f>
        <v>0</v>
      </c>
      <c r="J21" s="2783"/>
      <c r="K21" s="1245"/>
      <c r="L21" s="2829">
        <f>IF(OR($C21=0,$M$6=0),0,VLOOKUP($C21,'SD2'!$C$60:$O$78,12,FALSE))</f>
        <v>0</v>
      </c>
      <c r="M21" s="2795"/>
      <c r="N21" s="1244"/>
      <c r="O21" s="2827">
        <f>IF(OR($C21=0,$P$6=0),0,VLOOKUP($C21,'SD2'!C62:O79,12,FALSE))</f>
        <v>0</v>
      </c>
      <c r="P21" s="2808"/>
      <c r="Q21" s="2895"/>
      <c r="R21" s="2888"/>
      <c r="S21" s="2888"/>
      <c r="T21" s="2888"/>
      <c r="AF21" s="36"/>
      <c r="AG21" s="36"/>
    </row>
    <row r="22" spans="1:33" ht="15.6" customHeight="1">
      <c r="A22" s="309"/>
      <c r="B22" s="245" t="s">
        <v>869</v>
      </c>
      <c r="C22" s="39"/>
      <c r="D22" s="1234"/>
      <c r="E22" s="4370" t="s">
        <v>868</v>
      </c>
      <c r="F22" s="4370"/>
      <c r="G22" s="4371"/>
      <c r="H22" s="1231"/>
      <c r="I22" s="1230"/>
      <c r="J22" s="1229"/>
      <c r="K22" s="1233"/>
      <c r="L22" s="1232"/>
      <c r="M22" s="1229"/>
      <c r="N22" s="1231"/>
      <c r="O22" s="1230"/>
      <c r="P22" s="1229"/>
    </row>
    <row r="23" spans="1:33" s="36" customFormat="1" ht="18.75" customHeight="1">
      <c r="A23" s="746"/>
      <c r="B23" s="209" t="s">
        <v>214</v>
      </c>
      <c r="C23" s="1228"/>
      <c r="D23" s="1228"/>
      <c r="E23" s="34"/>
      <c r="F23" s="4381"/>
      <c r="G23" s="4382" t="s">
        <v>163</v>
      </c>
      <c r="H23" s="1043"/>
      <c r="I23" s="1042"/>
      <c r="J23" s="1026">
        <f>SUM(I25:I26)</f>
        <v>180.79999999999998</v>
      </c>
      <c r="K23" s="1046"/>
      <c r="L23" s="1045"/>
      <c r="M23" s="1227">
        <f>SUM(L25:L26)</f>
        <v>180.79999999999998</v>
      </c>
      <c r="N23" s="1043"/>
      <c r="O23" s="1042"/>
      <c r="P23" s="1026">
        <f>SUM(O25:O26)</f>
        <v>180.79999999999998</v>
      </c>
      <c r="Q23" s="2913"/>
    </row>
    <row r="24" spans="1:33"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33" s="511" customFormat="1" ht="18.75" customHeight="1">
      <c r="A25" s="711"/>
      <c r="B25" s="1223"/>
      <c r="C25" s="746" t="s">
        <v>866</v>
      </c>
      <c r="D25" s="4383"/>
      <c r="E25" s="4384"/>
      <c r="F25" s="1222">
        <f>SDÖ7!F15/100</f>
        <v>1.1299999999999999</v>
      </c>
      <c r="G25" s="1221">
        <f>F25*(100+$D$24)/100</f>
        <v>1.1299999999999999</v>
      </c>
      <c r="H25" s="1220">
        <v>160</v>
      </c>
      <c r="I25" s="1181">
        <f>H25*$G25</f>
        <v>180.79999999999998</v>
      </c>
      <c r="J25" s="39"/>
      <c r="K25" s="1220">
        <f>H25</f>
        <v>160</v>
      </c>
      <c r="L25" s="1023">
        <f>K25*$G25</f>
        <v>180.79999999999998</v>
      </c>
      <c r="M25" s="1016"/>
      <c r="N25" s="1220">
        <f>H25</f>
        <v>160</v>
      </c>
      <c r="O25" s="1181">
        <f>N25*$G25</f>
        <v>180.79999999999998</v>
      </c>
      <c r="P25" s="1145"/>
      <c r="Q25" s="28"/>
    </row>
    <row r="26" spans="1:33"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33" s="511" customFormat="1" ht="17.399999999999999" customHeight="1">
      <c r="A27" s="711"/>
      <c r="B27" s="1215" t="s">
        <v>213</v>
      </c>
      <c r="C27" s="711"/>
      <c r="D27" s="51"/>
      <c r="E27" s="34"/>
      <c r="F27" s="34"/>
      <c r="G27" s="1214" t="s">
        <v>163</v>
      </c>
      <c r="H27" s="1173"/>
      <c r="I27" s="1172"/>
      <c r="J27" s="1041">
        <f>SUM(I30:I32)</f>
        <v>583.82140000000004</v>
      </c>
      <c r="K27" s="1175"/>
      <c r="L27" s="1174"/>
      <c r="M27" s="1044">
        <f>SUM(L30:L32)</f>
        <v>743.89519999999993</v>
      </c>
      <c r="N27" s="1173"/>
      <c r="O27" s="1172"/>
      <c r="P27" s="1041">
        <f>SUM(O30:O32)</f>
        <v>903.96899999999994</v>
      </c>
      <c r="Q27" s="28"/>
    </row>
    <row r="28" spans="1:33" s="36" customFormat="1" ht="15" customHeight="1">
      <c r="A28" s="746"/>
      <c r="B28" s="774"/>
      <c r="C28" s="2238"/>
      <c r="D28" s="1213" t="s">
        <v>706</v>
      </c>
      <c r="E28" s="1213" t="s">
        <v>864</v>
      </c>
      <c r="F28" s="1213" t="s">
        <v>864</v>
      </c>
      <c r="G28" s="1212" t="s">
        <v>863</v>
      </c>
      <c r="H28" s="1172"/>
      <c r="I28" s="1209"/>
      <c r="J28" s="2239"/>
      <c r="K28" s="1175"/>
      <c r="L28" s="1105"/>
      <c r="M28" s="1210"/>
      <c r="N28" s="1173"/>
      <c r="O28" s="1209"/>
      <c r="P28" s="1026"/>
      <c r="Q28" s="28"/>
    </row>
    <row r="29" spans="1:33" s="36" customFormat="1" ht="15" customHeight="1">
      <c r="A29" s="746"/>
      <c r="B29" s="1208"/>
      <c r="C29" s="747" t="s">
        <v>862</v>
      </c>
      <c r="D29" s="1034" t="s">
        <v>611</v>
      </c>
      <c r="E29" s="1034" t="s">
        <v>861</v>
      </c>
      <c r="F29" s="1034" t="s">
        <v>860</v>
      </c>
      <c r="G29" s="1034" t="s">
        <v>1128</v>
      </c>
      <c r="H29" s="1205" t="s">
        <v>612</v>
      </c>
      <c r="I29" s="1027" t="s">
        <v>163</v>
      </c>
      <c r="J29" s="2238"/>
      <c r="K29" s="1207" t="s">
        <v>612</v>
      </c>
      <c r="L29" s="1030" t="s">
        <v>163</v>
      </c>
      <c r="M29" s="1206"/>
      <c r="N29" s="1205" t="s">
        <v>612</v>
      </c>
      <c r="O29" s="1027" t="s">
        <v>163</v>
      </c>
      <c r="P29" s="1204"/>
      <c r="Q29" s="28"/>
    </row>
    <row r="30" spans="1:33" s="36" customFormat="1" ht="15" customHeight="1">
      <c r="A30" s="746"/>
      <c r="B30" s="1203"/>
      <c r="C30" s="1202" t="s">
        <v>236</v>
      </c>
      <c r="D30" s="1150">
        <f>SDÖ1!O56</f>
        <v>5.18</v>
      </c>
      <c r="E30" s="1201">
        <f>VLOOKUP('SD8'!B21,'SD8'!B9:K44,3,FALSE)</f>
        <v>1.51</v>
      </c>
      <c r="F30" s="1201">
        <f>VLOOKUP('SD8'!$B$21,'SD8'!$B$9:$L$42,7,FALSE)</f>
        <v>0.55000000000000004</v>
      </c>
      <c r="G30" s="1200">
        <v>20</v>
      </c>
      <c r="H30" s="1198">
        <f>IF(J$6=0,0,(J$6*$E30+$G30+X13))</f>
        <v>80.150000000000006</v>
      </c>
      <c r="I30" s="1181">
        <f>H30*$D30</f>
        <v>415.17700000000002</v>
      </c>
      <c r="J30" s="39"/>
      <c r="K30" s="1199">
        <f>IF(M$6=0,0,(M$6*$E30+$G30+Y13))</f>
        <v>100.2</v>
      </c>
      <c r="L30" s="1023">
        <f>K30*$D30</f>
        <v>519.03599999999994</v>
      </c>
      <c r="M30" s="1016"/>
      <c r="N30" s="1198">
        <f>IF(P$6=0,0,(P$6*$E30+$G30+Z13))</f>
        <v>120.25</v>
      </c>
      <c r="O30" s="1181">
        <f>N30*$D30</f>
        <v>622.89499999999998</v>
      </c>
      <c r="P30" s="1145"/>
      <c r="Q30" s="28"/>
    </row>
    <row r="31" spans="1:33" s="36" customFormat="1" ht="15" customHeight="1">
      <c r="A31" s="746"/>
      <c r="B31" s="217"/>
      <c r="C31" s="746" t="s">
        <v>234</v>
      </c>
      <c r="D31" s="1150">
        <f>SDÖ1!O57</f>
        <v>1.42</v>
      </c>
      <c r="E31" s="1201">
        <f>VLOOKUP('SD8'!B21,'SD8'!B9:K44,4,FALSE)</f>
        <v>0.8</v>
      </c>
      <c r="F31" s="1201">
        <f>VLOOKUP('SD8'!$B$21,'SD8'!$B$9:$L$42,8,FALSE)</f>
        <v>0.32999999999999985</v>
      </c>
      <c r="G31" s="1200"/>
      <c r="H31" s="1198">
        <f>IF(J$6=0,0,(J$6*$E31+$G31+X14))</f>
        <v>32.909999999999997</v>
      </c>
      <c r="I31" s="1181">
        <f>H31*$D31</f>
        <v>46.732199999999992</v>
      </c>
      <c r="J31" s="39"/>
      <c r="K31" s="1199">
        <f>IF(M$6=0,0,(M$6*$E31+$G31+Y14))</f>
        <v>43.879999999999995</v>
      </c>
      <c r="L31" s="1023">
        <f>K31*$D31</f>
        <v>62.309599999999989</v>
      </c>
      <c r="M31" s="1016"/>
      <c r="N31" s="1198">
        <f>IF(P$6=0,0,(P$6*$E31+$G31+Z14))</f>
        <v>54.849999999999994</v>
      </c>
      <c r="O31" s="1181">
        <f>N31*$D31</f>
        <v>77.886999999999986</v>
      </c>
      <c r="P31" s="1145"/>
      <c r="Q31" s="28"/>
    </row>
    <row r="32" spans="1:33" s="511" customFormat="1" ht="18.75" customHeight="1">
      <c r="A32" s="711"/>
      <c r="B32" s="185"/>
      <c r="C32" s="2791" t="s">
        <v>232</v>
      </c>
      <c r="D32" s="1133">
        <f>SDÖ1!O58</f>
        <v>1.78</v>
      </c>
      <c r="E32" s="1197">
        <f>VLOOKUP('SD8'!B21,'SD8'!B9:K44,5,FALSE)</f>
        <v>0.6</v>
      </c>
      <c r="F32" s="1197">
        <f>VLOOKUP('SD8'!$B$21,'SD8'!$B$9:$L$42,9,FALSE)</f>
        <v>1.87</v>
      </c>
      <c r="G32" s="1196"/>
      <c r="H32" s="1194">
        <f>IF(J$6=0,0,(J$6*$E32+$G32+X15))</f>
        <v>68.490000000000009</v>
      </c>
      <c r="I32" s="1177">
        <f>H32*$D32</f>
        <v>121.91220000000001</v>
      </c>
      <c r="J32" s="223"/>
      <c r="K32" s="1195">
        <f>IF(M$6=0,0,(M$6*$E32+$G32+Y15))</f>
        <v>91.320000000000007</v>
      </c>
      <c r="L32" s="1017">
        <f>K32*$D32</f>
        <v>162.54960000000003</v>
      </c>
      <c r="M32" s="1256"/>
      <c r="N32" s="1194">
        <f>IF(P$6=0,0,(P$6*$E32+$G32+Z15))</f>
        <v>114.15</v>
      </c>
      <c r="O32" s="1177">
        <f>N32*$D32</f>
        <v>203.18700000000001</v>
      </c>
      <c r="P32" s="1176"/>
      <c r="Q32" s="28"/>
    </row>
    <row r="33" spans="1:17" s="511" customFormat="1" ht="13.2" hidden="1" customHeight="1">
      <c r="A33" s="711"/>
      <c r="B33" s="185"/>
      <c r="C33" s="771" t="s">
        <v>230</v>
      </c>
      <c r="D33" s="1133">
        <f>SDÖ1!P59</f>
        <v>0.5</v>
      </c>
      <c r="E33" s="1197">
        <f>VLOOKUP('SD8'!B21,'SD8'!B9:K44,6,FALSE)</f>
        <v>0.2</v>
      </c>
      <c r="F33" s="1201">
        <f>VLOOKUP('SD8'!$B$21,'SD8'!$B$9:$L$42,10,FALSE)</f>
        <v>0.21999999999999997</v>
      </c>
      <c r="G33" s="1196"/>
      <c r="H33" s="1194">
        <f>IF(J$6=0,0,(J$6*$E33+$G33+X16))</f>
        <v>11.94</v>
      </c>
      <c r="I33" s="1177">
        <f>H33*$D33</f>
        <v>5.97</v>
      </c>
      <c r="J33" s="39"/>
      <c r="K33" s="1195">
        <f>IF(M$6=0,0,(M$6*$E33+$G33+Y16))</f>
        <v>15.919999999999998</v>
      </c>
      <c r="L33" s="1017">
        <f>K33*$D33</f>
        <v>7.9599999999999991</v>
      </c>
      <c r="M33" s="1016"/>
      <c r="N33" s="1194">
        <f>IF(P$6=0,0,(P$6*$E33+$G33+Z16))</f>
        <v>19.899999999999999</v>
      </c>
      <c r="O33" s="1177">
        <f>N33*$D33</f>
        <v>9.9499999999999993</v>
      </c>
      <c r="P33" s="1176"/>
      <c r="Q33" s="28"/>
    </row>
    <row r="34" spans="1:17" s="36" customFormat="1" ht="15" customHeight="1">
      <c r="A34" s="746"/>
      <c r="B34" s="716" t="s">
        <v>212</v>
      </c>
      <c r="C34" s="711"/>
      <c r="D34" s="2238"/>
      <c r="E34" s="2238"/>
      <c r="F34" s="4381"/>
      <c r="G34" s="4382" t="s">
        <v>163</v>
      </c>
      <c r="H34" s="1191"/>
      <c r="I34" s="1190"/>
      <c r="J34" s="1041">
        <f>SUM(I36:I42)</f>
        <v>0</v>
      </c>
      <c r="K34" s="1193"/>
      <c r="L34" s="1192"/>
      <c r="M34" s="1044">
        <f>SUM(L36:L42)</f>
        <v>0</v>
      </c>
      <c r="N34" s="1191"/>
      <c r="O34" s="1190"/>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3744"/>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161.95040327999999</v>
      </c>
      <c r="K43" s="1175"/>
      <c r="L43" s="1174"/>
      <c r="M43" s="1044">
        <f>SUM(M46:M57)</f>
        <v>161.01373338416667</v>
      </c>
      <c r="N43" s="1173"/>
      <c r="O43" s="1172"/>
      <c r="P43" s="1041">
        <f>SUM(P46:P57)</f>
        <v>162.58137741083334</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7"/>
      <c r="C46" s="4363"/>
      <c r="D46" s="4364"/>
      <c r="E46" s="1152">
        <f>IF($C46=0,0,VLOOKUP($C46,'SD3'!$C$24:$O$71,4,FALSE))</f>
        <v>0</v>
      </c>
      <c r="F46" s="1151">
        <f>IF($C46=0,0,VLOOKUP($C46,'SD3'!$C$24:$O$71,12,FALSE))</f>
        <v>0</v>
      </c>
      <c r="G46" s="1150">
        <f>IF($C46=0,0,VLOOKUP($C46,'SD3'!$C$24:$O$71,13,FALSE))</f>
        <v>0</v>
      </c>
      <c r="H46" s="1155"/>
      <c r="I46" s="1154">
        <f t="shared" ref="I46:I57" si="4">$F46*H46</f>
        <v>0</v>
      </c>
      <c r="J46" s="1145">
        <f t="shared" ref="J46:J57" si="5">H46*$G46</f>
        <v>0</v>
      </c>
      <c r="K46" s="1155"/>
      <c r="L46" s="1156">
        <f t="shared" ref="L46:L57" si="6">$F46*K46</f>
        <v>0</v>
      </c>
      <c r="M46" s="1148">
        <f t="shared" ref="M46:M57" si="7">K46*$G46</f>
        <v>0</v>
      </c>
      <c r="N46" s="1155"/>
      <c r="O46" s="1154">
        <f t="shared" ref="O46:O57" si="8">$F46*N46</f>
        <v>0</v>
      </c>
      <c r="P46" s="1145">
        <f t="shared" ref="P46:P57" si="9">N46*$G46</f>
        <v>0</v>
      </c>
      <c r="Q46" s="28"/>
    </row>
    <row r="47" spans="1:17" s="36" customFormat="1" ht="15" customHeight="1">
      <c r="A47" s="746"/>
      <c r="B47" s="1153"/>
      <c r="C47" s="4387" t="s">
        <v>1589</v>
      </c>
      <c r="D47" s="4388"/>
      <c r="E47" s="1152">
        <f>IF($C47=0,0,VLOOKUP($C47,'SD3'!$C$24:$O$71,4,FALSE))</f>
        <v>120</v>
      </c>
      <c r="F47" s="1151">
        <f>IF($C47=0,0,VLOOKUP($C47,'SD3'!$C$24:$O$71,12,FALSE))</f>
        <v>1.38</v>
      </c>
      <c r="G47" s="1150">
        <f>IF($C47=0,0,VLOOKUP($C47,'SD3'!$C$24:$O$71,13,FALSE))</f>
        <v>64.642445999999993</v>
      </c>
      <c r="H47" s="1147">
        <v>1</v>
      </c>
      <c r="I47" s="1146">
        <f t="shared" si="4"/>
        <v>1.38</v>
      </c>
      <c r="J47" s="1145">
        <f t="shared" si="5"/>
        <v>64.642445999999993</v>
      </c>
      <c r="K47" s="1147">
        <v>1</v>
      </c>
      <c r="L47" s="1149">
        <f t="shared" si="6"/>
        <v>1.38</v>
      </c>
      <c r="M47" s="1148">
        <f t="shared" si="7"/>
        <v>64.642445999999993</v>
      </c>
      <c r="N47" s="1147">
        <v>1</v>
      </c>
      <c r="O47" s="1146">
        <f t="shared" si="8"/>
        <v>1.38</v>
      </c>
      <c r="P47" s="1145">
        <f t="shared" si="9"/>
        <v>64.642445999999993</v>
      </c>
      <c r="Q47" s="28"/>
    </row>
    <row r="48" spans="1:17" s="36" customFormat="1" ht="15" customHeight="1">
      <c r="A48" s="746"/>
      <c r="B48" s="1153"/>
      <c r="C48" s="4387"/>
      <c r="D48" s="4388"/>
      <c r="E48" s="1152">
        <f>IF($C48=0,0,VLOOKUP($C48,'SD3'!$C$24:$O$71,4,FALSE))</f>
        <v>0</v>
      </c>
      <c r="F48" s="1151">
        <f>IF($C48=0,0,VLOOKUP($C48,'SD3'!$C$24:$O$71,12,FALSE))</f>
        <v>0</v>
      </c>
      <c r="G48" s="1150">
        <f>IF($C48=0,0,VLOOKUP($C48,'SD3'!$C$24:$O$71,13,FALSE))</f>
        <v>0</v>
      </c>
      <c r="H48" s="1147"/>
      <c r="I48" s="1146">
        <f t="shared" si="4"/>
        <v>0</v>
      </c>
      <c r="J48" s="1145">
        <f t="shared" si="5"/>
        <v>0</v>
      </c>
      <c r="K48" s="1147"/>
      <c r="L48" s="1149">
        <f t="shared" si="6"/>
        <v>0</v>
      </c>
      <c r="M48" s="1148">
        <f t="shared" si="7"/>
        <v>0</v>
      </c>
      <c r="N48" s="1147"/>
      <c r="O48" s="1146">
        <f t="shared" si="8"/>
        <v>0</v>
      </c>
      <c r="P48" s="1145">
        <f t="shared" si="9"/>
        <v>0</v>
      </c>
      <c r="Q48" s="28"/>
    </row>
    <row r="49" spans="1:17" s="36" customFormat="1" ht="15" customHeight="1">
      <c r="A49" s="746"/>
      <c r="B49" s="1153"/>
      <c r="C49" s="4387" t="s">
        <v>354</v>
      </c>
      <c r="D49" s="4388"/>
      <c r="E49" s="1152">
        <f>IF($C49=0,0,VLOOKUP($C49,'SD3'!$C$24:$O$71,4,FALSE))</f>
        <v>120</v>
      </c>
      <c r="F49" s="1151">
        <f>IF($C49=0,0,VLOOKUP($C49,'SD3'!$C$24:$O$71,12,FALSE))</f>
        <v>0.71</v>
      </c>
      <c r="G49" s="1150">
        <f>IF($C49=0,0,VLOOKUP($C49,'SD3'!$C$24:$O$71,13,FALSE))</f>
        <v>30.659437999999998</v>
      </c>
      <c r="H49" s="1147">
        <v>1</v>
      </c>
      <c r="I49" s="1146">
        <f t="shared" si="4"/>
        <v>0.71</v>
      </c>
      <c r="J49" s="1145">
        <f t="shared" si="5"/>
        <v>30.659437999999998</v>
      </c>
      <c r="K49" s="1147">
        <v>1</v>
      </c>
      <c r="L49" s="1149">
        <f t="shared" si="6"/>
        <v>0.71</v>
      </c>
      <c r="M49" s="1148">
        <f t="shared" si="7"/>
        <v>30.659437999999998</v>
      </c>
      <c r="N49" s="1147">
        <v>1</v>
      </c>
      <c r="O49" s="1146">
        <f t="shared" si="8"/>
        <v>0.71</v>
      </c>
      <c r="P49" s="1145">
        <f t="shared" si="9"/>
        <v>30.659437999999998</v>
      </c>
      <c r="Q49" s="28"/>
    </row>
    <row r="50" spans="1:17" s="36" customFormat="1" ht="15" customHeight="1">
      <c r="A50" s="746"/>
      <c r="B50" s="1153"/>
      <c r="C50" s="4387"/>
      <c r="D50" s="4388"/>
      <c r="E50" s="1152">
        <f>IF($C50=0,0,VLOOKUP($C50,'SD3'!$C$24:$O$71,4,FALSE))</f>
        <v>0</v>
      </c>
      <c r="F50" s="1151">
        <f>IF($C50=0,0,VLOOKUP($C50,'SD3'!$C$24:$O$71,12,FALSE))</f>
        <v>0</v>
      </c>
      <c r="G50" s="1150">
        <f>IF($C50=0,0,VLOOKUP($C50,'SD3'!$C$24:$O$71,13,FALSE))</f>
        <v>0</v>
      </c>
      <c r="H50" s="1147"/>
      <c r="I50" s="1146">
        <f t="shared" si="4"/>
        <v>0</v>
      </c>
      <c r="J50" s="1145">
        <f t="shared" si="5"/>
        <v>0</v>
      </c>
      <c r="K50" s="1147"/>
      <c r="L50" s="1149">
        <f t="shared" si="6"/>
        <v>0</v>
      </c>
      <c r="M50" s="1148">
        <f t="shared" si="7"/>
        <v>0</v>
      </c>
      <c r="N50" s="1147"/>
      <c r="O50" s="1146">
        <f t="shared" si="8"/>
        <v>0</v>
      </c>
      <c r="P50" s="1145">
        <f t="shared" si="9"/>
        <v>0</v>
      </c>
      <c r="Q50" s="28"/>
    </row>
    <row r="51" spans="1:17" s="36" customFormat="1" ht="15" customHeight="1">
      <c r="A51" s="746"/>
      <c r="B51" s="1153"/>
      <c r="C51" s="4387" t="s">
        <v>339</v>
      </c>
      <c r="D51" s="4388"/>
      <c r="E51" s="1152">
        <f>IF($C51=0,0,VLOOKUP($C51,'SD3'!$C$24:$O$71,4,FALSE))</f>
        <v>83</v>
      </c>
      <c r="F51" s="1151">
        <f>IF($C51=0,0,VLOOKUP($C51,'SD3'!$C$24:$O$71,12,FALSE))</f>
        <v>0.27</v>
      </c>
      <c r="G51" s="1150">
        <f>IF($C51=0,0,VLOOKUP($C51,'SD3'!$C$24:$O$71,13,FALSE))</f>
        <v>6.9619069099999997</v>
      </c>
      <c r="H51" s="1147">
        <v>2</v>
      </c>
      <c r="I51" s="1146">
        <f t="shared" si="4"/>
        <v>0.54</v>
      </c>
      <c r="J51" s="1145">
        <f t="shared" si="5"/>
        <v>13.923813819999999</v>
      </c>
      <c r="K51" s="1147">
        <v>2</v>
      </c>
      <c r="L51" s="1149">
        <f t="shared" si="6"/>
        <v>0.54</v>
      </c>
      <c r="M51" s="1148">
        <f t="shared" si="7"/>
        <v>13.923813819999999</v>
      </c>
      <c r="N51" s="1147">
        <v>2</v>
      </c>
      <c r="O51" s="1146">
        <f t="shared" si="8"/>
        <v>0.54</v>
      </c>
      <c r="P51" s="1145">
        <f t="shared" si="9"/>
        <v>13.923813819999999</v>
      </c>
      <c r="Q51" s="28"/>
    </row>
    <row r="52" spans="1:17" s="36" customFormat="1" ht="15" customHeight="1">
      <c r="A52" s="746"/>
      <c r="B52" s="1153"/>
      <c r="C52" s="4387"/>
      <c r="D52" s="4388"/>
      <c r="E52" s="1152">
        <f>IF($C52=0,0,VLOOKUP($C52,'SD3'!$C$24:$O$71,4,FALSE))</f>
        <v>0</v>
      </c>
      <c r="F52" s="1151">
        <f>IF($C52=0,0,VLOOKUP($C52,'SD3'!$C$24:$O$71,12,FALSE))</f>
        <v>0</v>
      </c>
      <c r="G52" s="1150">
        <f>IF($C52=0,0,VLOOKUP($C52,'SD3'!$C$24:$O$71,13,FALSE))</f>
        <v>0</v>
      </c>
      <c r="H52" s="1147"/>
      <c r="I52" s="1146">
        <f t="shared" si="4"/>
        <v>0</v>
      </c>
      <c r="J52" s="1145">
        <f t="shared" si="5"/>
        <v>0</v>
      </c>
      <c r="K52" s="1147"/>
      <c r="L52" s="1149">
        <f t="shared" si="6"/>
        <v>0</v>
      </c>
      <c r="M52" s="1148">
        <f t="shared" si="7"/>
        <v>0</v>
      </c>
      <c r="N52" s="1147"/>
      <c r="O52" s="1146">
        <f t="shared" si="8"/>
        <v>0</v>
      </c>
      <c r="P52" s="1145">
        <f t="shared" si="9"/>
        <v>0</v>
      </c>
      <c r="Q52" s="28"/>
    </row>
    <row r="53" spans="1:17" s="36" customFormat="1" ht="15" customHeight="1">
      <c r="A53" s="746"/>
      <c r="B53" s="1153"/>
      <c r="C53" s="4387"/>
      <c r="D53" s="4388"/>
      <c r="E53" s="1152">
        <f>IF($C53=0,0,VLOOKUP($C53,'SD3'!$C$24:$O$71,4,FALSE))</f>
        <v>0</v>
      </c>
      <c r="F53" s="1151">
        <f>IF($C53=0,0,VLOOKUP($C53,'SD3'!$C$24:$O$71,12,FALSE))</f>
        <v>0</v>
      </c>
      <c r="G53" s="1150">
        <f>IF($C53=0,0,VLOOKUP($C53,'SD3'!$C$24:$O$71,13,FALSE))</f>
        <v>0</v>
      </c>
      <c r="H53" s="1147"/>
      <c r="I53" s="1146">
        <f t="shared" si="4"/>
        <v>0</v>
      </c>
      <c r="J53" s="1145">
        <f t="shared" si="5"/>
        <v>0</v>
      </c>
      <c r="K53" s="1147"/>
      <c r="L53" s="1149">
        <f t="shared" si="6"/>
        <v>0</v>
      </c>
      <c r="M53" s="1148">
        <f t="shared" si="7"/>
        <v>0</v>
      </c>
      <c r="N53" s="1147"/>
      <c r="O53" s="1146">
        <f t="shared" si="8"/>
        <v>0</v>
      </c>
      <c r="P53" s="1145">
        <f t="shared" si="9"/>
        <v>0</v>
      </c>
      <c r="Q53" s="28"/>
    </row>
    <row r="54" spans="1:17" s="36" customFormat="1" ht="15" customHeight="1">
      <c r="A54" s="746"/>
      <c r="B54" s="1153"/>
      <c r="C54" s="4403" t="s">
        <v>1748</v>
      </c>
      <c r="D54" s="4404"/>
      <c r="E54" s="1152">
        <f>IF($C54=0,0,VLOOKUP($C54,'SD3'!$C$24:$O$71,4,FALSE))</f>
        <v>120</v>
      </c>
      <c r="F54" s="1151">
        <f>IF($C54=0,0,VLOOKUP($C54,'SD3'!$C$24:$O$71,12,FALSE))</f>
        <v>0.37</v>
      </c>
      <c r="G54" s="1150">
        <f>IF($C54=0,0,VLOOKUP($C54,'SD3'!$C$24:$O$71,13,FALSE))</f>
        <v>11.7573302</v>
      </c>
      <c r="H54" s="3654">
        <f>J6/75</f>
        <v>0.4</v>
      </c>
      <c r="I54" s="1146">
        <f t="shared" si="4"/>
        <v>0.14799999999999999</v>
      </c>
      <c r="J54" s="1145">
        <f t="shared" si="5"/>
        <v>4.7029320800000001</v>
      </c>
      <c r="K54" s="3654">
        <f>M6/75</f>
        <v>0.53333333333333333</v>
      </c>
      <c r="L54" s="1149">
        <f t="shared" si="6"/>
        <v>0.19733333333333333</v>
      </c>
      <c r="M54" s="1148">
        <f t="shared" si="7"/>
        <v>6.2705761066666668</v>
      </c>
      <c r="N54" s="3654">
        <f>P6/75</f>
        <v>0.66666666666666663</v>
      </c>
      <c r="O54" s="1146">
        <f t="shared" si="8"/>
        <v>0.24666666666666665</v>
      </c>
      <c r="P54" s="1145">
        <f t="shared" si="9"/>
        <v>7.8382201333333335</v>
      </c>
      <c r="Q54" s="28"/>
    </row>
    <row r="55" spans="1:17" s="36" customFormat="1" ht="15" customHeight="1">
      <c r="A55" s="746"/>
      <c r="B55" s="1153"/>
      <c r="C55" s="4387" t="s">
        <v>360</v>
      </c>
      <c r="D55" s="4388"/>
      <c r="E55" s="1152">
        <f>IF($C55=0,0,VLOOKUP($C55,'SD3'!$C$24:$O$71,4,FALSE))</f>
        <v>120</v>
      </c>
      <c r="F55" s="1151">
        <f>IF($C55=0,0,VLOOKUP($C55,'SD3'!$C$24:$O$71,12,FALSE))</f>
        <v>0.79</v>
      </c>
      <c r="G55" s="1150">
        <f>IF($C55=0,0,VLOOKUP($C55,'SD3'!$C$24:$O$71,13,FALSE))</f>
        <v>27.987262000000001</v>
      </c>
      <c r="H55" s="1147">
        <v>1</v>
      </c>
      <c r="I55" s="1146">
        <f t="shared" si="4"/>
        <v>0.79</v>
      </c>
      <c r="J55" s="1145">
        <f t="shared" si="5"/>
        <v>27.987262000000001</v>
      </c>
      <c r="K55" s="1147">
        <v>1</v>
      </c>
      <c r="L55" s="1149">
        <f t="shared" si="6"/>
        <v>0.79</v>
      </c>
      <c r="M55" s="1148">
        <f t="shared" si="7"/>
        <v>27.987262000000001</v>
      </c>
      <c r="N55" s="1147">
        <v>1</v>
      </c>
      <c r="O55" s="1146">
        <f t="shared" si="8"/>
        <v>0.79</v>
      </c>
      <c r="P55" s="1145">
        <f t="shared" si="9"/>
        <v>27.987262000000001</v>
      </c>
      <c r="Q55" s="28"/>
    </row>
    <row r="56" spans="1:17" s="36" customFormat="1" ht="24.75" customHeight="1">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8"/>
    </row>
    <row r="57" spans="1:17" s="36" customFormat="1" ht="24.75" customHeight="1">
      <c r="A57" s="746"/>
      <c r="B57" s="1084"/>
      <c r="C57" s="4461" t="s">
        <v>332</v>
      </c>
      <c r="D57" s="4462"/>
      <c r="E57" s="2589">
        <f>IF($C57=0,0,VLOOKUP($C57,'SD3'!$C$24:$O$71,4,FALSE))</f>
        <v>83</v>
      </c>
      <c r="F57" s="2590">
        <f>IF($C57=0,0,VLOOKUP($C57,'SD3'!$C$24:$O$71,12,FALSE))</f>
        <v>1.3</v>
      </c>
      <c r="G57" s="2591">
        <f>IF($C57=0,0,VLOOKUP($C57,'SD3'!$C$24:$O$71,13,FALSE))</f>
        <v>25.970662899999994</v>
      </c>
      <c r="H57" s="3745">
        <f>IF($T$4=TRUE,0,H11/35)</f>
        <v>0.77142857142857146</v>
      </c>
      <c r="I57" s="1130">
        <f t="shared" si="4"/>
        <v>1.0028571428571429</v>
      </c>
      <c r="J57" s="1129">
        <f t="shared" si="5"/>
        <v>20.034511379999994</v>
      </c>
      <c r="K57" s="3746">
        <f>IF($T$4=TRUE,0,H11/40)</f>
        <v>0.67500000000000004</v>
      </c>
      <c r="L57" s="1132">
        <f t="shared" si="6"/>
        <v>0.87750000000000006</v>
      </c>
      <c r="M57" s="1079">
        <f t="shared" si="7"/>
        <v>17.530197457499998</v>
      </c>
      <c r="N57" s="3745">
        <f>IF($T$4=TRUE,0,H11/40)</f>
        <v>0.67500000000000004</v>
      </c>
      <c r="O57" s="1130">
        <f t="shared" si="8"/>
        <v>0.87750000000000006</v>
      </c>
      <c r="P57" s="1129">
        <f t="shared" si="9"/>
        <v>17.530197457499998</v>
      </c>
      <c r="Q57" s="2636"/>
    </row>
    <row r="58" spans="1:17" s="511" customFormat="1" ht="18.75" customHeight="1">
      <c r="A58" s="711"/>
      <c r="B58" s="716" t="s">
        <v>848</v>
      </c>
      <c r="C58" s="811"/>
      <c r="D58" s="811"/>
      <c r="E58" s="811"/>
      <c r="F58" s="34"/>
      <c r="G58" s="1047"/>
      <c r="H58" s="1124"/>
      <c r="I58" s="1123">
        <f>SUM($I$46:$I$57)</f>
        <v>4.5708571428571432</v>
      </c>
      <c r="J58" s="1128"/>
      <c r="K58" s="1127"/>
      <c r="L58" s="1126">
        <f>SUM($L$46:$L$57)</f>
        <v>4.4948333333333332</v>
      </c>
      <c r="M58" s="1125"/>
      <c r="N58" s="1124"/>
      <c r="O58" s="1123">
        <f>SUM($O$46:$O$57)</f>
        <v>4.5441666666666665</v>
      </c>
      <c r="P58" s="1122"/>
      <c r="Q58" s="28"/>
    </row>
    <row r="59" spans="1:17" s="511" customFormat="1" ht="15" customHeight="1">
      <c r="A59" s="711"/>
      <c r="B59" s="1121"/>
      <c r="C59" s="285"/>
      <c r="D59" s="222" t="s">
        <v>847</v>
      </c>
      <c r="E59" s="1120">
        <v>80</v>
      </c>
      <c r="F59" s="285" t="s">
        <v>846</v>
      </c>
      <c r="G59" s="1119"/>
      <c r="H59" s="1115"/>
      <c r="I59" s="1114">
        <f>IF(I58+SUM($I$46:$I$57)*$E$59%&gt;I58+10,I58+10,I58+SUM($I$46:$I$57)*$E$59%)</f>
        <v>8.2275428571428577</v>
      </c>
      <c r="J59" s="1113"/>
      <c r="K59" s="1118"/>
      <c r="L59" s="1117">
        <f>IF(L58+SUM($L$46:$L$57)*$E$59%&gt;L58+10,L58+10,L58+SUM($L$46:$L$57)*$E$59%)</f>
        <v>8.0907</v>
      </c>
      <c r="M59" s="1116"/>
      <c r="N59" s="1115"/>
      <c r="O59" s="1114">
        <f>IF(O58+SUM($O$46:$O$57)*$E$59%&gt;O58+10,O58+10,O58+SUM($O$46:$O$57)*$E$59%)</f>
        <v>8.1795000000000009</v>
      </c>
      <c r="P59" s="1113"/>
      <c r="Q59" s="28"/>
    </row>
    <row r="60" spans="1:17" s="46" customFormat="1" ht="18.75" customHeight="1">
      <c r="A60" s="811"/>
      <c r="B60" s="716" t="s">
        <v>845</v>
      </c>
      <c r="C60" s="811"/>
      <c r="D60" s="811"/>
      <c r="E60" s="39"/>
      <c r="F60" s="39"/>
      <c r="G60" s="1112"/>
      <c r="H60" s="1104"/>
      <c r="I60" s="1103"/>
      <c r="J60" s="1111">
        <f>IF(J6=0,0,SUM(I62:I64))</f>
        <v>246.1</v>
      </c>
      <c r="K60" s="1107"/>
      <c r="L60" s="1106"/>
      <c r="M60" s="1044">
        <f>IF(M6=0,0,SUM(L62:L64))</f>
        <v>275.8</v>
      </c>
      <c r="N60" s="1104"/>
      <c r="O60" s="1103"/>
      <c r="P60" s="1111">
        <f>IF(P6=0,0,SUM(O62:O64))</f>
        <v>305.5</v>
      </c>
      <c r="Q60" s="28"/>
    </row>
    <row r="61" spans="1:17"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t="s">
        <v>300</v>
      </c>
      <c r="D62" s="4365"/>
      <c r="E62" s="4365"/>
      <c r="F62" s="1101">
        <f>IF($C62=0,0,VLOOKUP($C62,'SD3'!$C$90:$D$104,2,FALSE))</f>
        <v>157</v>
      </c>
      <c r="G62" s="1100">
        <f>(100+$D$61)/100*F62</f>
        <v>157</v>
      </c>
      <c r="H62" s="173"/>
      <c r="I62" s="1096">
        <f>$G$62</f>
        <v>157</v>
      </c>
      <c r="J62" s="173"/>
      <c r="K62" s="1099"/>
      <c r="L62" s="1098">
        <f>$G$62</f>
        <v>157</v>
      </c>
      <c r="M62" s="1016"/>
      <c r="N62" s="1097"/>
      <c r="O62" s="1096">
        <f>$G$62</f>
        <v>157</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t="s">
        <v>289</v>
      </c>
      <c r="D64" s="4396"/>
      <c r="E64" s="4396"/>
      <c r="F64" s="1083">
        <f>IF($T$3=FALSE,0,VLOOKUP($C64,'SD3'!$C$90:$D$104,2,FALSE))</f>
        <v>3.3</v>
      </c>
      <c r="G64" s="1082">
        <f>(100+$D$61)/100*F64</f>
        <v>3.3</v>
      </c>
      <c r="H64" s="1078"/>
      <c r="I64" s="1077">
        <f>H11*$G$64</f>
        <v>89.1</v>
      </c>
      <c r="J64" s="173"/>
      <c r="K64" s="1081"/>
      <c r="L64" s="1080">
        <f>K11*$G$64</f>
        <v>118.8</v>
      </c>
      <c r="M64" s="1079"/>
      <c r="N64" s="1078"/>
      <c r="O64" s="1077">
        <f>N11*$G$64</f>
        <v>148.5</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5"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22.95" customHeight="1">
      <c r="A67" s="711"/>
      <c r="B67" s="716" t="s">
        <v>843</v>
      </c>
      <c r="C67" s="711"/>
      <c r="D67" s="711"/>
      <c r="E67" s="175"/>
      <c r="F67" s="1069"/>
      <c r="G67" s="1047"/>
      <c r="H67" s="1066" t="s">
        <v>842</v>
      </c>
      <c r="I67" s="1065" t="s">
        <v>841</v>
      </c>
      <c r="J67" s="1041">
        <f>R68*(H9+H10)*I68%+F68</f>
        <v>39.824999999999989</v>
      </c>
      <c r="K67" s="1068" t="s">
        <v>842</v>
      </c>
      <c r="L67" s="1067" t="s">
        <v>841</v>
      </c>
      <c r="M67" s="1044">
        <f>S68*(K9+K10)*L68%+F68</f>
        <v>53.099999999999987</v>
      </c>
      <c r="N67" s="1066" t="s">
        <v>842</v>
      </c>
      <c r="O67" s="1065" t="s">
        <v>841</v>
      </c>
      <c r="P67" s="1041">
        <f>T68*(N9+N10)*O68%+F68</f>
        <v>66.374999999999986</v>
      </c>
      <c r="Q67" s="28"/>
    </row>
    <row r="68" spans="1:20" s="511" customFormat="1" ht="15" customHeight="1">
      <c r="A68" s="711"/>
      <c r="B68" s="1064"/>
      <c r="C68" s="4393" t="s">
        <v>564</v>
      </c>
      <c r="D68" s="4393"/>
      <c r="E68" s="4393"/>
      <c r="F68" s="1063"/>
      <c r="G68" s="1054" t="s">
        <v>163</v>
      </c>
      <c r="H68" s="1061">
        <v>16</v>
      </c>
      <c r="I68" s="1060">
        <v>50</v>
      </c>
      <c r="J68" s="1059"/>
      <c r="K68" s="1061">
        <v>16</v>
      </c>
      <c r="L68" s="1060">
        <v>50</v>
      </c>
      <c r="M68" s="1062"/>
      <c r="N68" s="1061">
        <v>16</v>
      </c>
      <c r="O68" s="1060">
        <v>50</v>
      </c>
      <c r="P68" s="1059"/>
      <c r="Q68" s="28"/>
      <c r="R68" s="1058">
        <f>IF($H$68=0,0,VLOOKUP($H$68,'SD6'!B8:C151,'SD6'!C1,FALSE))*(1+'SDK1'!O11/100)</f>
        <v>2.6549999999999994</v>
      </c>
      <c r="S68" s="1058">
        <f>IF($K$68=0,0,VLOOKUP($K$68,'SD6'!B8:C151,'SD6'!C1,FALSE))*(1+'SDK1'!O11/100)</f>
        <v>2.6549999999999994</v>
      </c>
      <c r="T68" s="1058">
        <f>IF($N$68=0,0,VLOOKUP($N$68,'SD6'!B8:C151,'SD6'!C1,FALSE))*(1+'SDK1'!O11/100)</f>
        <v>2.6549999999999994</v>
      </c>
    </row>
    <row r="69" spans="1:20" s="511" customFormat="1" ht="18.75" customHeight="1">
      <c r="A69" s="711"/>
      <c r="B69" s="716" t="s">
        <v>839</v>
      </c>
      <c r="C69" s="711"/>
      <c r="D69" s="711"/>
      <c r="E69" s="34"/>
      <c r="F69" s="34"/>
      <c r="G69" s="1047"/>
      <c r="H69" s="38"/>
      <c r="I69" s="51"/>
      <c r="J69" s="1041">
        <f>H70*$F70/1000</f>
        <v>24.902399999999997</v>
      </c>
      <c r="K69" s="1057"/>
      <c r="L69" s="1056"/>
      <c r="M69" s="1044">
        <f>K70*$F70/1000</f>
        <v>33.203199999999995</v>
      </c>
      <c r="N69" s="38"/>
      <c r="O69" s="51"/>
      <c r="P69" s="1041">
        <f>N70*$F70/1000</f>
        <v>41.503999999999998</v>
      </c>
      <c r="Q69" s="28"/>
    </row>
    <row r="70" spans="1:20" s="511" customFormat="1" ht="15" customHeight="1">
      <c r="A70" s="711"/>
      <c r="B70" s="772"/>
      <c r="C70" s="771" t="s">
        <v>606</v>
      </c>
      <c r="D70" s="285"/>
      <c r="E70" s="222"/>
      <c r="F70" s="3742">
        <f>SDÖ7!F63</f>
        <v>16</v>
      </c>
      <c r="G70" s="1054" t="s">
        <v>163</v>
      </c>
      <c r="H70" s="1357">
        <f>J7</f>
        <v>1556.3999999999999</v>
      </c>
      <c r="I70" s="1049"/>
      <c r="J70" s="1048"/>
      <c r="K70" s="1053">
        <f>M7</f>
        <v>2075.1999999999998</v>
      </c>
      <c r="L70" s="1052"/>
      <c r="M70" s="1051"/>
      <c r="N70" s="1357">
        <f>P7</f>
        <v>2594</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5</v>
      </c>
      <c r="H75" s="1007"/>
      <c r="I75" s="1008"/>
      <c r="J75" s="1005">
        <f>(J23+J27+J34+J43+J60+J65+J67+J69+J71)*('SDK1'!$O$59%*$G$75/12)</f>
        <v>10.311660027333332</v>
      </c>
      <c r="K75" s="2223"/>
      <c r="L75" s="522"/>
      <c r="M75" s="1005">
        <f>(M23+M27+M34+M43+M60+M65+M67+M69+M71)*('SDK1'!$O$59%*$G$75/12)</f>
        <v>12.06510111153472</v>
      </c>
      <c r="N75" s="1007"/>
      <c r="O75" s="1006"/>
      <c r="P75" s="1005">
        <f>(P23+P27+P34+P43+P60+P65+P67+P69+P71)*('SDK1'!$O$59%*$G$75/12)</f>
        <v>13.83941147842361</v>
      </c>
      <c r="Q75" s="28"/>
    </row>
    <row r="76" spans="1:20">
      <c r="L76" s="29"/>
    </row>
    <row r="77" spans="1:20">
      <c r="B77" s="2919"/>
      <c r="C77" s="2919"/>
      <c r="D77" s="2919"/>
      <c r="E77" s="2919"/>
      <c r="F77" s="2919"/>
      <c r="G77" s="2919"/>
      <c r="L77" s="29"/>
      <c r="M77" s="2608"/>
      <c r="N77" s="2608"/>
      <c r="O77" s="2608"/>
      <c r="P77" s="2608"/>
      <c r="Q77" s="2608"/>
    </row>
    <row r="78" spans="1:20">
      <c r="B78" s="2919"/>
      <c r="C78" s="2919"/>
      <c r="D78" s="2919"/>
      <c r="E78" s="2919"/>
      <c r="F78" s="2919"/>
      <c r="G78" s="2919"/>
      <c r="H78" s="2608"/>
      <c r="I78" s="2608"/>
      <c r="J78" s="2608"/>
      <c r="K78" s="2608"/>
      <c r="L78" s="2608"/>
      <c r="M78" s="2608"/>
      <c r="N78" s="2608"/>
      <c r="O78" s="2608"/>
      <c r="P78" s="2608"/>
      <c r="Q78" s="2608"/>
    </row>
    <row r="79" spans="1:20">
      <c r="B79" s="2919"/>
      <c r="C79" s="2919"/>
      <c r="D79" s="2919"/>
      <c r="E79" s="2919"/>
      <c r="F79" s="2919"/>
      <c r="G79" s="2919"/>
      <c r="H79" s="2608"/>
      <c r="I79" s="2608"/>
      <c r="J79" s="2608"/>
      <c r="K79" s="2608"/>
      <c r="L79" s="2608"/>
      <c r="M79" s="2608"/>
      <c r="N79" s="2608"/>
      <c r="O79" s="2608"/>
      <c r="P79" s="2608"/>
      <c r="Q79" s="2608"/>
    </row>
    <row r="80" spans="1:20">
      <c r="B80" s="2919"/>
      <c r="C80" s="2919"/>
      <c r="D80" s="2919"/>
      <c r="E80" s="2919"/>
      <c r="F80" s="2919"/>
      <c r="G80" s="2919"/>
      <c r="H80" s="2608"/>
      <c r="I80" s="2608"/>
      <c r="J80" s="2608"/>
      <c r="K80" s="2608"/>
      <c r="L80" s="2608"/>
      <c r="M80" s="2608"/>
      <c r="N80" s="2608"/>
      <c r="O80" s="2608"/>
      <c r="P80" s="2608"/>
      <c r="Q80" s="2608"/>
    </row>
    <row r="81" spans="2:17">
      <c r="B81" s="2919"/>
      <c r="C81" s="2919"/>
      <c r="D81" s="2919"/>
      <c r="E81" s="2919"/>
      <c r="F81" s="2919"/>
      <c r="G81" s="2919"/>
      <c r="H81" s="2608"/>
      <c r="I81" s="2608"/>
      <c r="J81" s="2608"/>
      <c r="K81" s="2608"/>
      <c r="L81" s="2608"/>
      <c r="M81" s="2608"/>
      <c r="N81" s="2608"/>
      <c r="O81" s="2608"/>
      <c r="P81" s="2608"/>
      <c r="Q81" s="2608"/>
    </row>
    <row r="82" spans="2:17">
      <c r="B82" s="2919"/>
      <c r="C82" s="2919"/>
      <c r="D82" s="2919"/>
      <c r="E82" s="2919"/>
      <c r="F82" s="2919"/>
      <c r="G82" s="2919"/>
      <c r="H82" s="2608"/>
      <c r="I82" s="2608"/>
      <c r="J82" s="2608"/>
      <c r="K82" s="2608"/>
      <c r="L82" s="2608"/>
      <c r="M82" s="2608"/>
      <c r="N82" s="2608"/>
      <c r="O82" s="2608"/>
      <c r="P82" s="2608"/>
      <c r="Q82" s="2608"/>
    </row>
    <row r="83" spans="2:17">
      <c r="B83" s="2919"/>
      <c r="C83" s="2919"/>
      <c r="D83" s="2919"/>
      <c r="E83" s="2919"/>
      <c r="F83" s="2919"/>
      <c r="G83" s="2919"/>
      <c r="H83" s="2608"/>
      <c r="I83" s="2608"/>
      <c r="J83" s="2608"/>
      <c r="K83" s="2608"/>
      <c r="L83" s="2608"/>
      <c r="M83" s="2608"/>
      <c r="N83" s="2608"/>
      <c r="O83" s="2608"/>
      <c r="P83" s="2608"/>
      <c r="Q83" s="2608"/>
    </row>
    <row r="84" spans="2:17">
      <c r="B84" s="2919"/>
      <c r="C84" s="2919"/>
      <c r="D84" s="2919"/>
      <c r="E84" s="2919"/>
      <c r="F84" s="2919"/>
      <c r="G84" s="2919"/>
      <c r="H84" s="2608"/>
      <c r="I84" s="2608"/>
      <c r="J84" s="2608"/>
      <c r="K84" s="2608"/>
      <c r="L84" s="2608"/>
      <c r="M84" s="2608"/>
      <c r="N84" s="2608"/>
      <c r="O84" s="2608"/>
      <c r="P84" s="2608"/>
    </row>
    <row r="85" spans="2:17">
      <c r="B85" s="2919"/>
      <c r="C85" s="2919"/>
      <c r="D85" s="2919"/>
      <c r="E85" s="2919"/>
      <c r="F85" s="2919"/>
      <c r="G85" s="2919"/>
      <c r="H85" s="2608"/>
      <c r="I85" s="2608"/>
      <c r="J85" s="2608"/>
      <c r="K85" s="2608"/>
      <c r="L85" s="2608"/>
      <c r="M85" s="2608"/>
      <c r="N85" s="2608"/>
      <c r="O85" s="2608"/>
      <c r="P85" s="2608"/>
      <c r="Q85" s="2608"/>
    </row>
    <row r="86" spans="2:17">
      <c r="B86" s="2919"/>
      <c r="C86" s="2919"/>
      <c r="D86" s="2919"/>
      <c r="E86" s="2919"/>
      <c r="F86" s="2919"/>
      <c r="G86" s="2919"/>
      <c r="H86" s="2608"/>
      <c r="I86" s="2608"/>
      <c r="J86" s="2608"/>
      <c r="K86" s="2608"/>
      <c r="L86" s="2608"/>
      <c r="M86" s="2608"/>
      <c r="N86" s="2608"/>
      <c r="O86" s="2608"/>
      <c r="P86" s="2608"/>
      <c r="Q86" s="2608"/>
    </row>
    <row r="87" spans="2:17">
      <c r="B87" s="2919"/>
      <c r="C87" s="2919"/>
      <c r="D87" s="2919"/>
      <c r="E87" s="2919"/>
      <c r="F87" s="2919"/>
      <c r="G87" s="2919"/>
      <c r="H87" s="2608"/>
      <c r="I87" s="2608"/>
      <c r="J87" s="2608"/>
      <c r="K87" s="2608"/>
      <c r="L87" s="2608"/>
      <c r="M87" s="2608"/>
      <c r="N87" s="2608"/>
      <c r="O87" s="2608"/>
      <c r="P87" s="2608"/>
      <c r="Q87" s="2608"/>
    </row>
    <row r="88" spans="2:17" ht="13.2" customHeight="1">
      <c r="B88" s="2919"/>
      <c r="C88" s="2919"/>
      <c r="D88" s="2919"/>
      <c r="E88" s="2919"/>
      <c r="F88" s="2919"/>
      <c r="G88" s="2919"/>
      <c r="H88" s="2608"/>
      <c r="I88" s="2608"/>
      <c r="J88" s="2608"/>
      <c r="K88" s="2608"/>
      <c r="L88" s="2608"/>
      <c r="M88" s="2608"/>
      <c r="N88" s="2608"/>
      <c r="O88" s="2608"/>
      <c r="P88" s="2608"/>
      <c r="Q88" s="2608"/>
    </row>
    <row r="89" spans="2:17">
      <c r="B89" s="2919"/>
      <c r="C89" s="2919"/>
      <c r="D89" s="2919"/>
      <c r="E89" s="2919"/>
      <c r="F89" s="2919"/>
      <c r="G89" s="2919"/>
      <c r="H89" s="2608"/>
      <c r="I89" s="2608"/>
      <c r="J89" s="2608"/>
      <c r="K89" s="2608"/>
      <c r="L89" s="2608"/>
      <c r="M89" s="2608"/>
      <c r="N89" s="2608"/>
      <c r="O89" s="2608"/>
      <c r="P89" s="2608"/>
      <c r="Q89" s="2608"/>
    </row>
    <row r="90" spans="2:17">
      <c r="B90" s="2919"/>
      <c r="C90" s="2919"/>
      <c r="D90" s="2919"/>
      <c r="E90" s="2919"/>
      <c r="F90" s="2919"/>
      <c r="G90" s="2919"/>
      <c r="H90" s="2608"/>
      <c r="I90" s="2608"/>
      <c r="J90" s="2608"/>
      <c r="K90" s="2608"/>
      <c r="L90" s="2608"/>
      <c r="M90" s="2608"/>
      <c r="N90" s="2608"/>
      <c r="O90" s="2608"/>
      <c r="P90" s="2608"/>
      <c r="Q90" s="2608"/>
    </row>
    <row r="91" spans="2:17">
      <c r="B91" s="2919"/>
      <c r="C91" s="2919"/>
      <c r="D91" s="2919"/>
      <c r="E91" s="2919"/>
      <c r="F91" s="2919"/>
      <c r="G91" s="2919"/>
      <c r="H91" s="2608"/>
      <c r="I91" s="2608"/>
      <c r="J91" s="2608"/>
      <c r="K91" s="2608"/>
      <c r="L91" s="2608"/>
      <c r="M91" s="2608"/>
      <c r="N91" s="2608"/>
      <c r="O91" s="2608"/>
      <c r="P91" s="2608"/>
      <c r="Q91" s="2608"/>
    </row>
    <row r="92" spans="2:17">
      <c r="B92" s="2919"/>
      <c r="C92" s="2919"/>
      <c r="D92" s="2919"/>
      <c r="E92" s="2919"/>
      <c r="F92" s="2919"/>
      <c r="G92" s="2919"/>
      <c r="H92" s="2608"/>
      <c r="I92" s="2608"/>
      <c r="J92" s="2608"/>
      <c r="K92" s="2608"/>
      <c r="L92" s="2608"/>
      <c r="M92" s="2608"/>
      <c r="N92" s="2608"/>
      <c r="O92" s="2608"/>
      <c r="P92" s="2608"/>
      <c r="Q92" s="2608"/>
    </row>
    <row r="93" spans="2:17">
      <c r="C93" s="29"/>
      <c r="D93" s="29"/>
      <c r="E93" s="29"/>
      <c r="F93" s="1712"/>
      <c r="G93" s="2608"/>
      <c r="H93" s="2608"/>
      <c r="I93" s="2608"/>
      <c r="J93" s="2608"/>
      <c r="K93" s="2608"/>
      <c r="L93" s="2608"/>
      <c r="M93" s="2608"/>
      <c r="N93" s="2608"/>
      <c r="O93" s="2608"/>
      <c r="P93" s="2608"/>
      <c r="Q93" s="2608"/>
    </row>
    <row r="94" spans="2:17">
      <c r="C94" s="29"/>
      <c r="D94" s="29"/>
      <c r="E94" s="29"/>
      <c r="F94" s="1712"/>
      <c r="G94" s="2608"/>
      <c r="H94" s="2608"/>
      <c r="I94" s="2608"/>
      <c r="J94" s="2608"/>
      <c r="K94" s="2608"/>
      <c r="L94" s="2608"/>
      <c r="M94" s="2608"/>
      <c r="N94" s="2608"/>
      <c r="O94" s="2608"/>
      <c r="P94" s="2608"/>
      <c r="Q94" s="2608"/>
    </row>
    <row r="95" spans="2:17">
      <c r="C95" s="29"/>
      <c r="D95" s="29"/>
      <c r="E95" s="29"/>
      <c r="F95" s="1712"/>
      <c r="G95" s="2608"/>
      <c r="H95" s="2608"/>
      <c r="I95" s="2608"/>
      <c r="J95" s="2608"/>
      <c r="K95" s="2608"/>
      <c r="L95" s="2608"/>
      <c r="M95" s="2608"/>
      <c r="N95" s="2608"/>
      <c r="O95" s="2608"/>
      <c r="P95" s="2608"/>
      <c r="Q95" s="2608"/>
    </row>
    <row r="96" spans="2:17">
      <c r="C96" s="29"/>
      <c r="D96" s="29"/>
      <c r="E96" s="29"/>
      <c r="F96" s="1712"/>
      <c r="G96" s="2608"/>
      <c r="H96" s="2608"/>
      <c r="I96" s="2608"/>
      <c r="J96" s="2608"/>
      <c r="K96" s="2608"/>
      <c r="L96" s="2608"/>
      <c r="M96" s="2608"/>
      <c r="N96" s="2608"/>
      <c r="O96" s="2608"/>
      <c r="P96" s="2608"/>
      <c r="Q96" s="2608"/>
    </row>
    <row r="97" spans="2:17">
      <c r="C97" s="29"/>
      <c r="D97" s="29"/>
      <c r="E97" s="29"/>
      <c r="G97" s="2608"/>
      <c r="H97" s="2608"/>
      <c r="I97" s="2608"/>
      <c r="J97" s="2608"/>
      <c r="K97" s="2608"/>
      <c r="L97" s="2608"/>
      <c r="M97" s="2608"/>
      <c r="N97" s="2608"/>
      <c r="O97" s="2608"/>
      <c r="P97" s="2608"/>
      <c r="Q97" s="2608"/>
    </row>
    <row r="98" spans="2:17">
      <c r="C98" s="29"/>
      <c r="D98" s="29"/>
      <c r="E98" s="29"/>
      <c r="G98" s="2608"/>
      <c r="H98" s="2608"/>
      <c r="I98" s="2608"/>
      <c r="J98" s="2608"/>
      <c r="K98" s="2608"/>
      <c r="L98" s="2608"/>
      <c r="M98" s="2608"/>
      <c r="N98" s="2608"/>
      <c r="O98" s="2608"/>
      <c r="P98" s="2608"/>
      <c r="Q98" s="2608"/>
    </row>
    <row r="99" spans="2:17">
      <c r="B99" s="29"/>
      <c r="C99" s="29"/>
      <c r="D99" s="29"/>
      <c r="E99" s="29"/>
      <c r="G99" s="2608"/>
      <c r="H99" s="2608"/>
      <c r="I99" s="2608"/>
      <c r="J99" s="2608"/>
      <c r="K99" s="2608"/>
      <c r="L99" s="2608"/>
      <c r="M99" s="2608"/>
      <c r="N99" s="2608"/>
      <c r="O99" s="2608"/>
      <c r="P99" s="2608"/>
      <c r="Q99" s="2608"/>
    </row>
    <row r="100" spans="2:17">
      <c r="B100" s="29"/>
      <c r="C100" s="29"/>
      <c r="D100" s="29"/>
      <c r="E100" s="29"/>
      <c r="G100" s="2608"/>
      <c r="H100" s="2608"/>
      <c r="I100" s="2608"/>
      <c r="J100" s="2608"/>
      <c r="K100" s="2608"/>
      <c r="L100" s="2608"/>
      <c r="M100" s="2608"/>
      <c r="N100" s="2608"/>
      <c r="O100" s="2608"/>
      <c r="P100" s="2608"/>
      <c r="Q100" s="2608"/>
    </row>
    <row r="101" spans="2:17">
      <c r="B101" s="29"/>
      <c r="C101" s="29"/>
      <c r="D101" s="29"/>
      <c r="E101" s="29"/>
      <c r="G101" s="2608"/>
      <c r="H101" s="2608"/>
      <c r="I101" s="2608"/>
      <c r="J101" s="2608"/>
      <c r="K101" s="2608"/>
      <c r="L101" s="2608"/>
      <c r="M101" s="2608"/>
      <c r="N101" s="2608"/>
      <c r="O101" s="2608"/>
      <c r="P101" s="2608"/>
      <c r="Q101" s="2608"/>
    </row>
    <row r="102" spans="2:17">
      <c r="B102" s="29"/>
      <c r="C102" s="29"/>
      <c r="D102" s="29"/>
      <c r="E102" s="29"/>
      <c r="G102" s="2608"/>
      <c r="H102" s="2608"/>
      <c r="I102" s="2608"/>
      <c r="J102" s="2608"/>
      <c r="K102" s="2608"/>
      <c r="L102" s="2608"/>
      <c r="M102" s="2608"/>
      <c r="N102" s="2608"/>
      <c r="O102" s="2608"/>
      <c r="P102" s="2608"/>
      <c r="Q102" s="2608"/>
    </row>
    <row r="103" spans="2:17">
      <c r="B103" s="29"/>
      <c r="C103" s="29"/>
      <c r="D103" s="29"/>
      <c r="E103" s="29"/>
      <c r="G103" s="2608"/>
      <c r="H103" s="2608"/>
      <c r="I103" s="2608"/>
      <c r="J103" s="2608"/>
      <c r="K103" s="2608"/>
      <c r="L103" s="2608"/>
      <c r="M103" s="2608"/>
      <c r="N103" s="2608"/>
      <c r="O103" s="2608"/>
      <c r="P103" s="2608"/>
      <c r="Q103" s="2608"/>
    </row>
    <row r="104" spans="2:17">
      <c r="B104" s="29"/>
      <c r="C104" s="29"/>
      <c r="D104" s="29"/>
      <c r="E104" s="29"/>
      <c r="G104" s="2608"/>
      <c r="H104" s="2608"/>
      <c r="I104" s="2608"/>
      <c r="J104" s="2608"/>
      <c r="K104" s="2608"/>
      <c r="L104" s="2608"/>
      <c r="M104" s="2608"/>
      <c r="N104" s="2608"/>
      <c r="O104" s="2608"/>
      <c r="P104" s="2608"/>
      <c r="Q104" s="2608"/>
    </row>
    <row r="105" spans="2:17">
      <c r="B105" s="29"/>
      <c r="C105" s="29"/>
      <c r="D105" s="29"/>
      <c r="G105" s="2608"/>
      <c r="H105" s="2608"/>
      <c r="I105" s="2608"/>
      <c r="J105" s="2608"/>
      <c r="K105" s="2608"/>
      <c r="L105" s="2608"/>
      <c r="M105" s="2608"/>
      <c r="N105" s="2608"/>
      <c r="O105" s="2608"/>
      <c r="P105" s="2608"/>
      <c r="Q105" s="2608"/>
    </row>
    <row r="106" spans="2:17">
      <c r="B106" s="29"/>
      <c r="C106" s="29"/>
      <c r="D106" s="29"/>
      <c r="G106" s="2608"/>
      <c r="H106" s="2608"/>
      <c r="I106" s="2608"/>
      <c r="J106" s="2608"/>
      <c r="K106" s="2608"/>
      <c r="L106" s="2608"/>
      <c r="M106" s="2608"/>
      <c r="N106" s="2608"/>
      <c r="O106" s="2608"/>
      <c r="P106" s="2608"/>
      <c r="Q106" s="2608"/>
    </row>
    <row r="107" spans="2:17">
      <c r="B107" s="29"/>
      <c r="C107" s="29"/>
      <c r="D107" s="29"/>
      <c r="G107" s="2608"/>
      <c r="H107" s="2608"/>
      <c r="I107" s="2608"/>
      <c r="J107" s="2608"/>
      <c r="K107" s="2608"/>
      <c r="L107" s="2608"/>
      <c r="M107" s="2608"/>
      <c r="N107" s="2608"/>
      <c r="O107" s="2608"/>
      <c r="P107" s="2608"/>
      <c r="Q107" s="2608"/>
    </row>
    <row r="108" spans="2:17">
      <c r="G108" s="2608"/>
      <c r="H108" s="2608"/>
      <c r="I108" s="2608"/>
      <c r="J108" s="2608"/>
      <c r="K108" s="2608"/>
      <c r="L108" s="2608"/>
      <c r="M108" s="2608"/>
      <c r="N108" s="2608"/>
      <c r="O108" s="2608"/>
      <c r="P108" s="2608"/>
      <c r="Q108" s="2608"/>
    </row>
    <row r="109" spans="2:17">
      <c r="G109" s="2608"/>
      <c r="H109" s="2608"/>
      <c r="I109" s="2608"/>
      <c r="J109" s="2608"/>
      <c r="K109" s="2608"/>
      <c r="L109" s="2608"/>
      <c r="M109" s="2608"/>
      <c r="N109" s="2608"/>
      <c r="O109" s="2608"/>
      <c r="P109" s="2608"/>
      <c r="Q109" s="2608"/>
    </row>
    <row r="110" spans="2:17">
      <c r="G110" s="2608"/>
      <c r="H110" s="2608"/>
      <c r="I110" s="2608"/>
      <c r="J110" s="2608"/>
      <c r="K110" s="2608"/>
      <c r="L110" s="2608"/>
      <c r="M110" s="2608"/>
      <c r="N110" s="2608"/>
      <c r="O110" s="2608"/>
      <c r="P110" s="2608"/>
      <c r="Q110" s="2608"/>
    </row>
    <row r="111" spans="2:17">
      <c r="G111" s="2608"/>
      <c r="H111" s="2608"/>
      <c r="I111" s="2608"/>
      <c r="J111" s="2608"/>
      <c r="K111" s="2608"/>
      <c r="L111" s="2608"/>
      <c r="M111" s="2608"/>
      <c r="N111" s="2608"/>
      <c r="O111" s="2608"/>
      <c r="P111" s="2608"/>
      <c r="Q111" s="2608"/>
    </row>
    <row r="112" spans="2:17">
      <c r="G112" s="2608"/>
      <c r="H112" s="2608"/>
      <c r="I112" s="2608"/>
      <c r="J112" s="2608"/>
      <c r="K112" s="2608"/>
      <c r="L112" s="2608"/>
      <c r="M112" s="2608"/>
      <c r="N112" s="2608"/>
      <c r="O112" s="2608"/>
      <c r="P112" s="2608"/>
      <c r="Q112" s="2608"/>
    </row>
    <row r="113" spans="2:17">
      <c r="G113" s="2608"/>
      <c r="H113" s="2608"/>
      <c r="I113" s="2608"/>
      <c r="J113" s="2608"/>
      <c r="K113" s="2608"/>
      <c r="L113" s="2608"/>
      <c r="M113" s="2608"/>
      <c r="N113" s="2608"/>
      <c r="O113" s="2608"/>
      <c r="P113" s="2608"/>
      <c r="Q113" s="2608"/>
    </row>
    <row r="114" spans="2:17">
      <c r="G114" s="2608"/>
      <c r="H114" s="2608"/>
      <c r="I114" s="2608"/>
      <c r="J114" s="2608"/>
      <c r="K114" s="2608"/>
      <c r="L114" s="2608"/>
      <c r="M114" s="2608"/>
      <c r="N114" s="2608"/>
      <c r="O114" s="2608"/>
      <c r="P114" s="2608"/>
      <c r="Q114" s="2608"/>
    </row>
    <row r="115" spans="2:17">
      <c r="G115" s="2608"/>
      <c r="H115" s="2608"/>
      <c r="I115" s="2608"/>
      <c r="J115" s="2608"/>
      <c r="K115" s="2608"/>
      <c r="L115" s="2608"/>
      <c r="M115" s="2608"/>
      <c r="N115" s="2608"/>
      <c r="O115" s="2608"/>
      <c r="P115" s="2608"/>
      <c r="Q115" s="2608"/>
    </row>
    <row r="116" spans="2:17">
      <c r="G116" s="2608"/>
      <c r="H116" s="2608"/>
      <c r="I116" s="2608"/>
      <c r="J116" s="2608"/>
      <c r="K116" s="2608"/>
      <c r="L116" s="2608"/>
      <c r="M116" s="2608"/>
      <c r="N116" s="2608"/>
      <c r="O116" s="2608"/>
      <c r="P116" s="2608"/>
      <c r="Q116" s="2608"/>
    </row>
    <row r="117" spans="2:17">
      <c r="L117" s="2608"/>
      <c r="M117" s="2608"/>
      <c r="N117" s="2608"/>
      <c r="O117" s="2608"/>
      <c r="P117" s="2608"/>
      <c r="Q117" s="2608"/>
    </row>
    <row r="118" spans="2:17">
      <c r="B118" s="440"/>
      <c r="C118" s="29"/>
      <c r="L118" s="2608"/>
      <c r="M118" s="2608"/>
      <c r="N118" s="2608"/>
      <c r="O118" s="2608"/>
      <c r="P118" s="2608"/>
      <c r="Q118" s="2608"/>
    </row>
    <row r="119" spans="2:17">
      <c r="B119" s="440"/>
      <c r="C119" s="29"/>
      <c r="L119" s="2608"/>
      <c r="M119" s="2608"/>
      <c r="N119" s="2608"/>
      <c r="O119" s="2608"/>
      <c r="P119" s="2608"/>
      <c r="Q119" s="2608"/>
    </row>
    <row r="120" spans="2:17">
      <c r="B120" s="440"/>
      <c r="C120" s="29"/>
      <c r="L120" s="2608"/>
      <c r="M120" s="2608"/>
      <c r="N120" s="2608"/>
      <c r="O120" s="2608"/>
      <c r="P120" s="2608"/>
      <c r="Q120" s="2608"/>
    </row>
    <row r="121" spans="2:17">
      <c r="B121" s="440"/>
      <c r="C121" s="29"/>
      <c r="L121" s="2608"/>
      <c r="M121" s="2608"/>
      <c r="N121" s="2608"/>
      <c r="O121" s="2608"/>
      <c r="P121" s="2608"/>
      <c r="Q121" s="2608"/>
    </row>
    <row r="122" spans="2:17">
      <c r="B122" s="440"/>
      <c r="C122" s="29"/>
      <c r="L122" s="2608"/>
      <c r="M122" s="2608"/>
      <c r="N122" s="2608"/>
      <c r="O122" s="2608"/>
      <c r="P122" s="2608"/>
      <c r="Q122" s="2608"/>
    </row>
    <row r="123" spans="2:17">
      <c r="B123" s="440"/>
      <c r="C123" s="29"/>
      <c r="L123" s="2608"/>
      <c r="M123" s="2608"/>
      <c r="N123" s="2608"/>
      <c r="O123" s="2608"/>
      <c r="P123" s="2608"/>
      <c r="Q123" s="2608"/>
    </row>
    <row r="124" spans="2:17">
      <c r="B124" s="440"/>
      <c r="C124" s="29"/>
      <c r="L124" s="2608"/>
      <c r="M124" s="2608"/>
      <c r="N124" s="2608"/>
      <c r="O124" s="2608"/>
      <c r="P124" s="2608"/>
      <c r="Q124" s="2608"/>
    </row>
    <row r="125" spans="2:17">
      <c r="B125" s="440"/>
      <c r="C125" s="29"/>
      <c r="L125" s="2608"/>
      <c r="M125" s="2608"/>
      <c r="N125" s="2608"/>
      <c r="O125" s="2608"/>
      <c r="P125" s="2608"/>
      <c r="Q125" s="2608"/>
    </row>
    <row r="126" spans="2:17">
      <c r="B126" s="440"/>
      <c r="C126" s="29"/>
      <c r="L126" s="2608"/>
      <c r="M126" s="2608"/>
      <c r="N126" s="2608"/>
      <c r="O126" s="2608"/>
      <c r="P126" s="2608"/>
      <c r="Q126" s="2608"/>
    </row>
    <row r="127" spans="2:17">
      <c r="B127" s="440"/>
      <c r="C127" s="29"/>
      <c r="L127" s="2608"/>
      <c r="M127" s="2608"/>
      <c r="N127" s="2608"/>
      <c r="O127" s="2608"/>
      <c r="P127" s="2608"/>
      <c r="Q127" s="2608"/>
    </row>
    <row r="128" spans="2:17">
      <c r="B128" s="440"/>
      <c r="C128" s="29"/>
      <c r="L128" s="2608"/>
      <c r="M128" s="2608"/>
      <c r="N128" s="2608"/>
      <c r="O128" s="2608"/>
      <c r="P128" s="2608"/>
      <c r="Q128" s="2608"/>
    </row>
    <row r="129" spans="2:17">
      <c r="B129" s="440"/>
      <c r="C129" s="29"/>
      <c r="L129" s="2608"/>
      <c r="M129" s="2608"/>
      <c r="N129" s="2608"/>
      <c r="O129" s="2608"/>
      <c r="P129" s="2608"/>
      <c r="Q129" s="2608"/>
    </row>
    <row r="130" spans="2:17">
      <c r="B130" s="440"/>
      <c r="C130" s="29"/>
      <c r="L130" s="2608"/>
      <c r="M130" s="2608"/>
      <c r="N130" s="2608"/>
      <c r="O130" s="2608"/>
      <c r="P130" s="2608"/>
      <c r="Q130" s="2608"/>
    </row>
    <row r="131" spans="2:17">
      <c r="B131" s="440"/>
      <c r="C131" s="29"/>
      <c r="L131" s="2608"/>
      <c r="M131" s="2608"/>
      <c r="N131" s="2608"/>
      <c r="O131" s="2608"/>
      <c r="P131" s="2608"/>
      <c r="Q131" s="2608"/>
    </row>
    <row r="132" spans="2:17">
      <c r="B132" s="440"/>
      <c r="C132" s="29"/>
      <c r="L132" s="2608"/>
      <c r="M132" s="2608"/>
      <c r="N132" s="2608"/>
      <c r="O132" s="2608"/>
      <c r="P132" s="2608"/>
      <c r="Q132" s="2608"/>
    </row>
    <row r="133" spans="2:17">
      <c r="B133" s="440"/>
      <c r="C133" s="29"/>
      <c r="L133" s="2608"/>
      <c r="M133" s="2608"/>
      <c r="N133" s="2608"/>
      <c r="O133" s="2608"/>
      <c r="P133" s="2608"/>
      <c r="Q133" s="2608"/>
    </row>
    <row r="134" spans="2:17">
      <c r="B134" s="440"/>
      <c r="C134" s="29"/>
      <c r="L134" s="2608"/>
      <c r="M134" s="2608"/>
      <c r="N134" s="2608"/>
      <c r="O134" s="2608"/>
      <c r="P134" s="2608"/>
      <c r="Q134" s="2608"/>
    </row>
    <row r="135" spans="2:17">
      <c r="B135" s="440"/>
      <c r="C135" s="29"/>
      <c r="L135" s="2608"/>
      <c r="M135" s="2608"/>
      <c r="N135" s="2608"/>
      <c r="O135" s="2608"/>
      <c r="P135" s="2608"/>
      <c r="Q135" s="2608"/>
    </row>
    <row r="136" spans="2:17">
      <c r="B136" s="440"/>
      <c r="C136" s="29"/>
      <c r="L136" s="2608"/>
      <c r="M136" s="2608"/>
      <c r="N136" s="2608"/>
      <c r="O136" s="2608"/>
      <c r="P136" s="2608"/>
      <c r="Q136" s="2608"/>
    </row>
    <row r="137" spans="2:17">
      <c r="B137" s="440"/>
      <c r="C137" s="29"/>
      <c r="L137" s="2608"/>
      <c r="M137" s="2608"/>
      <c r="N137" s="2608"/>
      <c r="O137" s="2608"/>
      <c r="P137" s="2608"/>
      <c r="Q137" s="2608"/>
    </row>
    <row r="138" spans="2:17">
      <c r="B138" s="440"/>
      <c r="C138" s="29"/>
      <c r="L138" s="2608"/>
      <c r="M138" s="2608"/>
      <c r="N138" s="2608"/>
      <c r="O138" s="2608"/>
      <c r="P138" s="2608"/>
      <c r="Q138" s="2608"/>
    </row>
    <row r="139" spans="2:17">
      <c r="B139" s="440"/>
      <c r="C139" s="29"/>
      <c r="L139" s="2608"/>
      <c r="M139" s="2608"/>
      <c r="N139" s="2608"/>
      <c r="O139" s="2608"/>
      <c r="P139" s="2608"/>
      <c r="Q139" s="2608"/>
    </row>
    <row r="140" spans="2:17">
      <c r="B140" s="440"/>
      <c r="C140" s="29"/>
      <c r="L140" s="2608"/>
      <c r="M140" s="2608"/>
      <c r="N140" s="2608"/>
      <c r="O140" s="2608"/>
      <c r="P140" s="2608"/>
      <c r="Q140" s="2608"/>
    </row>
    <row r="141" spans="2:17">
      <c r="B141" s="440"/>
      <c r="C141" s="29"/>
      <c r="L141" s="2608"/>
      <c r="M141" s="2608"/>
      <c r="N141" s="2608"/>
      <c r="O141" s="2608"/>
      <c r="P141" s="2608"/>
      <c r="Q141" s="2608"/>
    </row>
    <row r="142" spans="2:17">
      <c r="B142" s="440"/>
      <c r="C142" s="29"/>
      <c r="L142" s="2608"/>
      <c r="M142" s="2608"/>
      <c r="N142" s="2608"/>
      <c r="O142" s="2608"/>
      <c r="P142" s="2608"/>
      <c r="Q142" s="2608"/>
    </row>
    <row r="143" spans="2:17">
      <c r="B143" s="440"/>
      <c r="C143" s="29"/>
      <c r="L143" s="2608"/>
      <c r="M143" s="2608"/>
      <c r="N143" s="2608"/>
      <c r="O143" s="2608"/>
      <c r="P143" s="2608"/>
      <c r="Q143" s="2608"/>
    </row>
    <row r="144" spans="2:17">
      <c r="B144" s="440"/>
      <c r="C144" s="29"/>
      <c r="L144" s="29"/>
    </row>
    <row r="145" spans="2:12">
      <c r="B145" s="440"/>
      <c r="C145" s="29"/>
      <c r="L145" s="29"/>
    </row>
    <row r="146" spans="2:12">
      <c r="B146" s="440"/>
      <c r="C146" s="29"/>
      <c r="L146" s="29"/>
    </row>
    <row r="147" spans="2:12">
      <c r="B147" s="440"/>
      <c r="C147" s="29"/>
    </row>
    <row r="148" spans="2:12">
      <c r="B148" s="440"/>
      <c r="C148" s="29"/>
    </row>
    <row r="149" spans="2:12">
      <c r="B149" s="440"/>
      <c r="C149" s="29"/>
      <c r="H149" s="1354"/>
      <c r="J149" s="1563"/>
    </row>
    <row r="150" spans="2:12">
      <c r="B150" s="440"/>
      <c r="C150" s="29"/>
      <c r="H150" s="1354"/>
      <c r="J150" s="1563"/>
    </row>
    <row r="151" spans="2:12">
      <c r="B151" s="440"/>
      <c r="C151" s="29"/>
      <c r="H151" s="1354"/>
      <c r="J151" s="1563"/>
    </row>
    <row r="152" spans="2:12">
      <c r="B152" s="440"/>
      <c r="C152" s="29"/>
      <c r="H152" s="1354"/>
      <c r="J152" s="1563"/>
    </row>
    <row r="153" spans="2:12">
      <c r="B153" s="440"/>
      <c r="C153" s="29"/>
      <c r="H153" s="1354"/>
      <c r="J153" s="1563"/>
    </row>
    <row r="154" spans="2:12">
      <c r="B154" s="440"/>
      <c r="C154" s="29"/>
      <c r="D154" s="29"/>
      <c r="F154" s="29"/>
      <c r="G154" s="29"/>
      <c r="H154" s="29"/>
      <c r="I154" s="29"/>
      <c r="J154" s="29"/>
      <c r="K154" s="29"/>
    </row>
    <row r="155" spans="2:12">
      <c r="B155" s="440"/>
      <c r="C155" s="29"/>
      <c r="D155" s="29"/>
      <c r="F155" s="29"/>
      <c r="G155" s="29"/>
      <c r="H155" s="29"/>
      <c r="I155" s="29"/>
      <c r="J155" s="29"/>
      <c r="K155" s="29"/>
    </row>
    <row r="156" spans="2:12">
      <c r="B156" s="440"/>
      <c r="C156" s="29"/>
      <c r="D156" s="29"/>
      <c r="F156" s="29"/>
      <c r="G156" s="29"/>
      <c r="H156" s="29"/>
      <c r="I156" s="29"/>
      <c r="J156" s="29"/>
      <c r="K156" s="29"/>
    </row>
    <row r="157" spans="2:12">
      <c r="B157" s="440"/>
      <c r="C157" s="29"/>
    </row>
    <row r="158" spans="2:12">
      <c r="B158" s="440"/>
      <c r="C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heet="1" selectLockedCells="1"/>
  <customSheetViews>
    <customSheetView guid="{8063F48F-80B5-4ECD-B18A-51CBF126E780}" fitToPage="1" printArea="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38" orientation="portrait" r:id="rId1"/>
      <headerFooter alignWithMargins="0">
        <oddFooter>&amp;L&amp;11LEL Schwäbisch Gmünd&amp;R&amp;11&amp;F</oddFooter>
      </headerFooter>
    </customSheetView>
    <customSheetView guid="{5D5C9B61-9ABD-4513-AAEB-8333A9D6196C}" fitToPage="1" hiddenRows="1" hiddenColumns="1">
      <selection activeCell="AK19" sqref="AK19"/>
      <pageMargins left="0.59055118110236227" right="0.57999999999999996" top="0.59055118110236227" bottom="0.59055118110236227" header="0.39370078740157483" footer="0.39370078740157483"/>
      <printOptions horizontalCentered="1"/>
      <pageSetup paperSize="9" scale="70" firstPageNumber="38" orientation="portrait" r:id="rId2"/>
      <headerFooter alignWithMargins="0">
        <oddFooter>&amp;L&amp;11LEL Schwäbisch Gmünd&amp;R&amp;11&amp;F</oddFooter>
      </headerFooter>
    </customSheetView>
    <customSheetView guid="{22A73C4F-9004-4CEF-8499-B1F91BE1B569}"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38" orientation="portrait" r:id="rId3"/>
      <headerFooter alignWithMargins="0">
        <oddFooter>&amp;L&amp;11LEL Schwäbisch Gmünd&amp;R&amp;11&amp;F</oddFooter>
      </headerFooter>
    </customSheetView>
  </customSheetViews>
  <mergeCells count="50">
    <mergeCell ref="B3:H3"/>
    <mergeCell ref="C20:F20"/>
    <mergeCell ref="C21:F21"/>
    <mergeCell ref="C38:E38"/>
    <mergeCell ref="C42:E42"/>
    <mergeCell ref="F23:G23"/>
    <mergeCell ref="F34:G34"/>
    <mergeCell ref="E22:G22"/>
    <mergeCell ref="D25:E25"/>
    <mergeCell ref="D26:E26"/>
    <mergeCell ref="C17:F17"/>
    <mergeCell ref="C19:F19"/>
    <mergeCell ref="C74:E74"/>
    <mergeCell ref="B75:C75"/>
    <mergeCell ref="K1:L1"/>
    <mergeCell ref="E10:F10"/>
    <mergeCell ref="C16:F16"/>
    <mergeCell ref="E4:I4"/>
    <mergeCell ref="H6:I6"/>
    <mergeCell ref="C14:F14"/>
    <mergeCell ref="C15:F15"/>
    <mergeCell ref="C51:D51"/>
    <mergeCell ref="C52:D52"/>
    <mergeCell ref="C53:D53"/>
    <mergeCell ref="C57:D57"/>
    <mergeCell ref="C62:E62"/>
    <mergeCell ref="C68:E68"/>
    <mergeCell ref="C73:E73"/>
    <mergeCell ref="N1:O1"/>
    <mergeCell ref="K2:P2"/>
    <mergeCell ref="J3:L3"/>
    <mergeCell ref="N3:O4"/>
    <mergeCell ref="N6:O6"/>
    <mergeCell ref="J4:L4"/>
    <mergeCell ref="K6:L6"/>
    <mergeCell ref="C64:E64"/>
    <mergeCell ref="C55:D55"/>
    <mergeCell ref="C63:E63"/>
    <mergeCell ref="C47:D47"/>
    <mergeCell ref="C36:E36"/>
    <mergeCell ref="C37:E37"/>
    <mergeCell ref="C40:E40"/>
    <mergeCell ref="C41:E41"/>
    <mergeCell ref="C39:E39"/>
    <mergeCell ref="C46:D46"/>
    <mergeCell ref="C48:D48"/>
    <mergeCell ref="C49:D49"/>
    <mergeCell ref="C50:D50"/>
    <mergeCell ref="C54:D54"/>
    <mergeCell ref="C56:D56"/>
  </mergeCells>
  <dataValidations count="5">
    <dataValidation type="decimal" allowBlank="1" showInputMessage="1" showErrorMessage="1" errorTitle="Wassergehalt Getreide" error="Zulässig sind nur Werte zwischen 15,1 und 29,9 % Wassergehalt." sqref="H68 K68 N68" xr:uid="{00000000-0002-0000-4400-000000000000}">
      <formula1>15.1</formula1>
      <formula2>29.9</formula2>
    </dataValidation>
    <dataValidation type="whole" allowBlank="1" showInputMessage="1" showErrorMessage="1" errorTitle="Anteil Erntegut" error="Prozentwert darf nur zwischen 0 und 100 liegen." sqref="O68 L68 I68" xr:uid="{00000000-0002-0000-4400-000001000000}">
      <formula1>0</formula1>
      <formula2>100</formula2>
    </dataValidation>
    <dataValidation type="list" showInputMessage="1" showErrorMessage="1" sqref="H14 K14 N14" xr:uid="{00000000-0002-0000-4400-000002000000}">
      <formula1>"ja,nein"</formula1>
    </dataValidation>
    <dataValidation type="list" allowBlank="1" showInputMessage="1" showErrorMessage="1" sqref="H15:H17 K15:K17 N15:N17" xr:uid="{00000000-0002-0000-4400-000003000000}">
      <formula1>"ja,nein"</formula1>
    </dataValidation>
    <dataValidation type="list" allowBlank="1" showInputMessage="1" showErrorMessage="1" sqref="D19:F19" xr:uid="{00000000-0002-0000-4400-000004000000}">
      <formula1>$C$60:$C$75</formula1>
    </dataValidation>
  </dataValidations>
  <hyperlinks>
    <hyperlink ref="F9" location="SDÖ1!A1" display="Preis ändern" xr:uid="{00000000-0004-0000-4400-000000000000}"/>
  </hyperlinks>
  <printOptions horizontalCentered="1"/>
  <pageMargins left="0.59055118110236227" right="0.57999999999999996" top="0.59055118110236227" bottom="0.59055118110236227" header="0.39370078740157483" footer="0.39370078740157483"/>
  <pageSetup paperSize="9" scale="70" firstPageNumber="38" orientation="portrait" r:id="rId4"/>
  <headerFooter alignWithMargins="0">
    <oddFooter>&amp;L&amp;11LEL Schwäbisch Gmünd&amp;R&amp;11&amp;F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74767" r:id="rId7" name="Check Box 15">
              <controlPr defaultSize="0" autoFill="0" autoLine="0" autoPict="0">
                <anchor moveWithCells="1">
                  <from>
                    <xdr:col>12</xdr:col>
                    <xdr:colOff>0</xdr:colOff>
                    <xdr:row>3</xdr:row>
                    <xdr:rowOff>22860</xdr:rowOff>
                  </from>
                  <to>
                    <xdr:col>12</xdr:col>
                    <xdr:colOff>266700</xdr:colOff>
                    <xdr:row>4</xdr:row>
                    <xdr:rowOff>0</xdr:rowOff>
                  </to>
                </anchor>
              </controlPr>
            </control>
          </mc:Choice>
        </mc:AlternateContent>
        <mc:AlternateContent xmlns:mc="http://schemas.openxmlformats.org/markup-compatibility/2006">
          <mc:Choice Requires="x14">
            <control shapeId="74768" r:id="rId8" name="Check Box 16">
              <controlPr defaultSize="0" autoFill="0" autoLine="0" autoPict="0">
                <anchor moveWithCells="1">
                  <from>
                    <xdr:col>12</xdr:col>
                    <xdr:colOff>7620</xdr:colOff>
                    <xdr:row>2</xdr:row>
                    <xdr:rowOff>38100</xdr:rowOff>
                  </from>
                  <to>
                    <xdr:col>12</xdr:col>
                    <xdr:colOff>289560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400-000005000000}">
          <x14:formula1>
            <xm:f>'SD2'!$C$11:$C$50</xm:f>
          </x14:formula1>
          <xm:sqref>C14:F17</xm:sqref>
        </x14:dataValidation>
        <x14:dataValidation type="list" allowBlank="1" showInputMessage="1" showErrorMessage="1" xr:uid="{00000000-0002-0000-4400-000006000000}">
          <x14:formula1>
            <xm:f>'SD2'!$C$60:$C$77</xm:f>
          </x14:formula1>
          <xm:sqref>C19:C21</xm:sqref>
        </x14:dataValidation>
        <x14:dataValidation type="list" allowBlank="1" showInputMessage="1" showErrorMessage="1" errorTitle="Arbeitsgänge" error="Bitte aus Dropdownliste auswählen." xr:uid="{00000000-0002-0000-4400-000007000000}">
          <x14:formula1>
            <xm:f>'SD3'!$C$23:$C$75</xm:f>
          </x14:formula1>
          <xm:sqref>C46:D57</xm:sqref>
        </x14:dataValidation>
        <x14:dataValidation type="list" allowBlank="1" showInputMessage="1" showErrorMessage="1" xr:uid="{00000000-0002-0000-4400-000008000000}">
          <x14:formula1>
            <xm:f>SDÖ5!$C$5:$C$16</xm:f>
          </x14:formula1>
          <xm:sqref>C36:E42</xm:sqref>
        </x14:dataValidation>
        <x14:dataValidation type="list" allowBlank="1" showInputMessage="1" showErrorMessage="1" errorTitle="Lohnmaschinen" error="Bitte aus Dropdownliste auswählen." xr:uid="{00000000-0002-0000-4400-000009000000}">
          <x14:formula1>
            <xm:f>'SD3'!$C$90:$C$104</xm:f>
          </x14:formula1>
          <xm:sqref>C62:E64</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Tabelle8">
    <tabColor rgb="FFFFFF00"/>
    <pageSetUpPr fitToPage="1"/>
  </sheetPr>
  <dimension ref="A1:AO206"/>
  <sheetViews>
    <sheetView workbookViewId="0">
      <selection activeCell="E4" sqref="E4:I4"/>
    </sheetView>
  </sheetViews>
  <sheetFormatPr baseColWidth="10" defaultColWidth="10.5" defaultRowHeight="13.2"/>
  <cols>
    <col min="1" max="1" width="1.5" style="2594" customWidth="1"/>
    <col min="2" max="2" width="3.19921875" style="2594" customWidth="1"/>
    <col min="3" max="3" width="13.19921875" style="2594" customWidth="1"/>
    <col min="4" max="6" width="9.19921875" style="2594" customWidth="1"/>
    <col min="7" max="7" width="9.19921875" style="35" customWidth="1"/>
    <col min="8" max="8" width="9.19921875" style="2594" customWidth="1"/>
    <col min="9" max="16" width="7.19921875" style="2594" customWidth="1"/>
    <col min="17" max="17" width="25.59765625" style="2594" hidden="1" customWidth="1"/>
    <col min="18" max="26" width="10.5" style="2596" hidden="1" customWidth="1"/>
    <col min="27" max="28" width="10.5" style="2596" customWidth="1"/>
    <col min="29" max="16384" width="10.5" style="2596"/>
  </cols>
  <sheetData>
    <row r="1" spans="1:41" s="219" customFormat="1" ht="30.15" customHeight="1">
      <c r="A1" s="1681"/>
      <c r="B1" s="258"/>
      <c r="C1" s="1333"/>
      <c r="D1" s="100"/>
      <c r="E1" s="255"/>
      <c r="F1" s="255"/>
      <c r="G1" s="3207"/>
      <c r="H1" s="3207"/>
      <c r="I1" s="3208" t="s">
        <v>1679</v>
      </c>
      <c r="J1" s="3210">
        <f>(J7+J13+J18+J22)-(J23+J27+J34+J43+J60+J65+J67+J69+J71+J75)</f>
        <v>404.30255250568325</v>
      </c>
      <c r="K1" s="4360">
        <f>M1-J1</f>
        <v>129.34555122066809</v>
      </c>
      <c r="L1" s="4360"/>
      <c r="M1" s="3210">
        <f>(M7+M13+M18+M22)-(M23+M27+M34+M43+M60+M65+M67+M69+M71+M75)</f>
        <v>533.64810372635134</v>
      </c>
      <c r="N1" s="4360">
        <f>P1-M1</f>
        <v>211.75348279302239</v>
      </c>
      <c r="O1" s="4360"/>
      <c r="P1" s="3210">
        <f>(P7+P13+P18+P22)-(P23+P27+P34+P43+P60+P65+P67+P69+P71+P75)</f>
        <v>745.40158651937372</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1465</v>
      </c>
      <c r="L2" s="4372"/>
      <c r="M2" s="4372"/>
      <c r="N2" s="4372"/>
      <c r="O2" s="4372"/>
      <c r="P2" s="4372"/>
      <c r="Q2" s="1681"/>
    </row>
    <row r="3" spans="1:41" s="219" customFormat="1" ht="32.4" customHeight="1">
      <c r="A3" s="1681"/>
      <c r="B3" s="4405" t="s">
        <v>1727</v>
      </c>
      <c r="C3" s="4405"/>
      <c r="D3" s="4405"/>
      <c r="E3" s="4405"/>
      <c r="F3" s="4405"/>
      <c r="G3" s="4405"/>
      <c r="H3" s="4405"/>
      <c r="J3" s="4368" t="s">
        <v>886</v>
      </c>
      <c r="K3" s="4447"/>
      <c r="L3" s="4447"/>
      <c r="M3" s="2599"/>
      <c r="N3" s="4444" t="str">
        <f>IF(AND(T3=TRUE,T4=TRUE),"nur 1 Strohnutzung möglich","")</f>
        <v/>
      </c>
      <c r="O3" s="4374"/>
      <c r="P3" s="1326"/>
      <c r="Q3" s="1681"/>
      <c r="T3" s="1343" t="b">
        <v>1</v>
      </c>
    </row>
    <row r="4" spans="1:41" s="219" customFormat="1" ht="20.25" customHeight="1">
      <c r="A4" s="1681"/>
      <c r="B4" s="309" t="s">
        <v>779</v>
      </c>
      <c r="C4" s="2596"/>
      <c r="D4" s="2596"/>
      <c r="E4" s="4406" t="s">
        <v>890</v>
      </c>
      <c r="F4" s="4406"/>
      <c r="G4" s="4406"/>
      <c r="H4" s="4406"/>
      <c r="I4" s="4406"/>
      <c r="J4" s="4368" t="s">
        <v>875</v>
      </c>
      <c r="K4" s="4447"/>
      <c r="L4" s="4447"/>
      <c r="M4" s="1688"/>
      <c r="N4" s="4374"/>
      <c r="O4" s="4374"/>
      <c r="P4" s="1322">
        <f>SDÖ1!O3</f>
        <v>2024</v>
      </c>
      <c r="Q4" s="1681"/>
      <c r="T4" s="1343" t="b">
        <v>0</v>
      </c>
      <c r="U4" s="1690"/>
    </row>
    <row r="5" spans="1:41" ht="6" customHeight="1"/>
    <row r="6" spans="1:41" s="1311" customFormat="1" ht="24" customHeight="1">
      <c r="A6" s="41"/>
      <c r="B6" s="1316" t="s">
        <v>832</v>
      </c>
      <c r="C6" s="1315"/>
      <c r="D6" s="1315"/>
      <c r="E6" s="1315"/>
      <c r="F6" s="1315"/>
      <c r="G6" s="1314" t="s">
        <v>1141</v>
      </c>
      <c r="H6" s="4366" t="s">
        <v>171</v>
      </c>
      <c r="I6" s="4367"/>
      <c r="J6" s="1313">
        <f>M6*0.75</f>
        <v>30</v>
      </c>
      <c r="K6" s="4379" t="s">
        <v>144</v>
      </c>
      <c r="L6" s="4380"/>
      <c r="M6" s="1313">
        <v>40</v>
      </c>
      <c r="N6" s="4366" t="s">
        <v>170</v>
      </c>
      <c r="O6" s="4367"/>
      <c r="P6" s="1312">
        <f>M6*1.25</f>
        <v>50</v>
      </c>
      <c r="Q6" s="49"/>
    </row>
    <row r="7" spans="1:41" s="196" customFormat="1" ht="18.75" customHeight="1">
      <c r="A7" s="40"/>
      <c r="B7" s="245" t="s">
        <v>1133</v>
      </c>
      <c r="C7" s="40"/>
      <c r="D7" s="40"/>
      <c r="E7" s="40"/>
      <c r="F7" s="40"/>
      <c r="G7" s="1310" t="s">
        <v>163</v>
      </c>
      <c r="H7" s="1307"/>
      <c r="I7" s="1306"/>
      <c r="J7" s="1041">
        <f>SUM(I9:I12)</f>
        <v>1189.8</v>
      </c>
      <c r="K7" s="1309"/>
      <c r="L7" s="1308"/>
      <c r="M7" s="1044">
        <f>SUM(L9:L12)</f>
        <v>1586.4</v>
      </c>
      <c r="N7" s="1307"/>
      <c r="O7" s="1306"/>
      <c r="P7" s="1041">
        <f>SUM(O9:O12)</f>
        <v>1983</v>
      </c>
      <c r="Q7" s="259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594"/>
    </row>
    <row r="9" spans="1:41" s="196" customFormat="1" ht="16.5" customHeight="1">
      <c r="A9" s="40"/>
      <c r="B9" s="245"/>
      <c r="C9" s="39" t="s">
        <v>1132</v>
      </c>
      <c r="D9" s="40"/>
      <c r="E9" s="40"/>
      <c r="F9" s="1304" t="s">
        <v>882</v>
      </c>
      <c r="G9" s="1221">
        <f>SDÖ1!O21</f>
        <v>28.86</v>
      </c>
      <c r="H9" s="1303">
        <f>J6-H10</f>
        <v>30</v>
      </c>
      <c r="I9" s="1299">
        <f>H9*G9</f>
        <v>865.8</v>
      </c>
      <c r="J9" s="37"/>
      <c r="K9" s="1302">
        <f>M6-K10</f>
        <v>40</v>
      </c>
      <c r="L9" s="1301">
        <f>K9*G9</f>
        <v>1154.4000000000001</v>
      </c>
      <c r="M9" s="1280"/>
      <c r="N9" s="1300">
        <f>P6-N10</f>
        <v>50</v>
      </c>
      <c r="O9" s="1299">
        <f>N9*G9</f>
        <v>1443</v>
      </c>
      <c r="P9" s="37"/>
      <c r="Q9" s="2594"/>
      <c r="R9" s="517"/>
      <c r="S9" s="208" t="s">
        <v>887</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324</v>
      </c>
      <c r="S10" s="1288">
        <f>L10+L11+L12</f>
        <v>432</v>
      </c>
      <c r="T10" s="1287">
        <f>O10+O11+O12</f>
        <v>540</v>
      </c>
      <c r="W10" s="196" t="s">
        <v>879</v>
      </c>
    </row>
    <row r="11" spans="1:41" s="1268" customFormat="1" ht="15" customHeight="1">
      <c r="A11" s="309"/>
      <c r="B11" s="3147"/>
      <c r="C11" s="1006" t="s">
        <v>878</v>
      </c>
      <c r="D11" s="3148"/>
      <c r="E11" s="3149">
        <v>0.9</v>
      </c>
      <c r="F11" s="1006" t="s">
        <v>877</v>
      </c>
      <c r="G11" s="3150">
        <f>SDÖ1!$O$52</f>
        <v>12</v>
      </c>
      <c r="H11" s="3151">
        <f>IF(OR($T$3,$T$4)=TRUE,J6*$E$11,0)</f>
        <v>27</v>
      </c>
      <c r="I11" s="3152">
        <f>H11*$G$11</f>
        <v>324</v>
      </c>
      <c r="J11" s="3153"/>
      <c r="K11" s="3154">
        <f>IF(OR($T$3,$T$4)=TRUE,M6*$E$11,0)</f>
        <v>36</v>
      </c>
      <c r="L11" s="3155">
        <f>K11*$G$11</f>
        <v>432</v>
      </c>
      <c r="M11" s="3156"/>
      <c r="N11" s="3157">
        <f>IF(OR($T$3,$T$4)=TRUE,P6*$E$11,0)</f>
        <v>45</v>
      </c>
      <c r="O11" s="3152">
        <f>N11*$G$11</f>
        <v>540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f>IF(OR(T3=TRUE,T4=TRUE),J6*$E$11,"0")</f>
        <v>27</v>
      </c>
      <c r="Y12" s="1265">
        <f>IF(OR(T3=TRUE,T4=TRUE),M6*$E$11,"0")</f>
        <v>36</v>
      </c>
      <c r="Z12" s="1264">
        <f>IF(OR(T3=TRUE,T4=TRUE),P6*$E$11,"0")</f>
        <v>45</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594"/>
      <c r="R13" s="100"/>
      <c r="U13" s="36"/>
      <c r="V13" s="36"/>
      <c r="W13" s="36" t="s">
        <v>236</v>
      </c>
      <c r="X13" s="1260">
        <f>$X$12*F30</f>
        <v>9.4500000000000028</v>
      </c>
      <c r="Y13" s="1260">
        <f>$Y$12*F30</f>
        <v>12.600000000000003</v>
      </c>
      <c r="Z13" s="1260">
        <f>$Z$12*F30</f>
        <v>15.750000000000004</v>
      </c>
    </row>
    <row r="14" spans="1:41" s="36" customFormat="1" ht="15" customHeight="1">
      <c r="A14" s="39"/>
      <c r="B14" s="1247"/>
      <c r="C14" s="4365" t="s">
        <v>1511</v>
      </c>
      <c r="D14" s="4365"/>
      <c r="E14" s="4365"/>
      <c r="F14" s="4365"/>
      <c r="G14" s="1263"/>
      <c r="H14" s="1391" t="s">
        <v>919</v>
      </c>
      <c r="I14" s="2827">
        <f>IF(H14="ja",Q14,0)</f>
        <v>240</v>
      </c>
      <c r="J14" s="39"/>
      <c r="K14" s="1262" t="s">
        <v>919</v>
      </c>
      <c r="L14" s="1098">
        <f>IF(K14="ja",Q14,0)</f>
        <v>240</v>
      </c>
      <c r="M14" s="1016"/>
      <c r="N14" s="1262" t="s">
        <v>919</v>
      </c>
      <c r="O14" s="2827">
        <f>IF(N14="ja",Q14,0)</f>
        <v>240</v>
      </c>
      <c r="P14" s="2826"/>
      <c r="Q14" s="1261">
        <f>IF(C14=0,0,VLOOKUP(C14,'SD2'!$C$11:$O$50,'SD2'!$O$1,FALSE))</f>
        <v>240</v>
      </c>
      <c r="R14" s="1350"/>
      <c r="S14" s="1349"/>
      <c r="T14" s="1348"/>
      <c r="W14" s="36" t="s">
        <v>685</v>
      </c>
      <c r="X14" s="1260">
        <f>$X$12*F31</f>
        <v>5.669999999999999</v>
      </c>
      <c r="Y14" s="1260">
        <f>$Y$12*F31</f>
        <v>7.5599999999999987</v>
      </c>
      <c r="Z14" s="1260">
        <f>$Z$12*F31</f>
        <v>9.4499999999999993</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347"/>
      <c r="S15" s="1343"/>
      <c r="T15" s="1346"/>
      <c r="W15" s="36" t="s">
        <v>684</v>
      </c>
      <c r="X15" s="1260">
        <f>$X$12*F32</f>
        <v>32.129999999999995</v>
      </c>
      <c r="Y15" s="1260">
        <f>$Y$12*F32</f>
        <v>42.839999999999996</v>
      </c>
      <c r="Z15" s="1260">
        <f>$Z$12*F32</f>
        <v>53.55</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347"/>
      <c r="S16" s="1343"/>
      <c r="T16" s="1346"/>
      <c r="W16" s="36" t="s">
        <v>230</v>
      </c>
      <c r="X16" s="1260">
        <f>$X$12*F33</f>
        <v>1.8900000000000001</v>
      </c>
      <c r="Y16" s="1260">
        <f>$Y$12*F33</f>
        <v>2.5200000000000005</v>
      </c>
      <c r="Z16" s="1260">
        <f>$Z$12*F33</f>
        <v>3.1500000000000004</v>
      </c>
    </row>
    <row r="17" spans="1:33" s="2593" customFormat="1" ht="15" customHeight="1">
      <c r="A17" s="40"/>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row>
    <row r="18" spans="1:33" s="36" customFormat="1" ht="18.75" customHeight="1">
      <c r="A18" s="39"/>
      <c r="B18" s="209" t="s">
        <v>1563</v>
      </c>
      <c r="C18" s="1672"/>
      <c r="D18" s="1672"/>
      <c r="E18" s="1672"/>
      <c r="F18" s="1672"/>
      <c r="G18" s="2464"/>
      <c r="H18" s="2249"/>
      <c r="I18" s="3474"/>
      <c r="J18" s="1041">
        <f>SUM(I19:I21)</f>
        <v>177</v>
      </c>
      <c r="K18" s="2250"/>
      <c r="L18" s="2466"/>
      <c r="M18" s="1044">
        <f>SUM(L19:L21)</f>
        <v>177</v>
      </c>
      <c r="N18" s="2249"/>
      <c r="O18" s="3474"/>
      <c r="P18" s="1111">
        <f>SUM(O19:O21)</f>
        <v>177</v>
      </c>
      <c r="Q18" s="2594"/>
      <c r="R18" s="514" t="s">
        <v>870</v>
      </c>
      <c r="S18" s="308"/>
      <c r="T18" s="1248"/>
    </row>
    <row r="19" spans="1:33" ht="15.6" customHeight="1">
      <c r="A19" s="309"/>
      <c r="B19" s="1247"/>
      <c r="C19" s="4365" t="s">
        <v>1560</v>
      </c>
      <c r="D19" s="4365"/>
      <c r="E19" s="4365"/>
      <c r="F19" s="4365"/>
      <c r="G19" s="1246" t="s">
        <v>163</v>
      </c>
      <c r="H19" s="1244"/>
      <c r="I19" s="2827">
        <f>IF(OR($C19=0,$J$6=0),0,VLOOKUP($C19,'SD2'!C60:O78,12,FALSE))</f>
        <v>155</v>
      </c>
      <c r="J19" s="2783"/>
      <c r="K19" s="1245"/>
      <c r="L19" s="2829">
        <f>IF(OR($C19=0,$M$6=0),0,VLOOKUP($C19,'SD2'!$C$60:$O$78,12,FALSE))</f>
        <v>155</v>
      </c>
      <c r="M19" s="1280"/>
      <c r="N19" s="1244"/>
      <c r="O19" s="2827">
        <f>IF(OR($C19=0,$P$6=0),0,VLOOKUP($C19,'SD2'!C60:O78,12,FALSE))</f>
        <v>155</v>
      </c>
      <c r="P19" s="2826"/>
      <c r="R19" s="1242">
        <f>J13+J18</f>
        <v>417</v>
      </c>
      <c r="S19" s="1242">
        <f>M13+M18</f>
        <v>417</v>
      </c>
      <c r="T19" s="1242">
        <f>P13+P18</f>
        <v>417</v>
      </c>
      <c r="AF19" s="36"/>
      <c r="AG19" s="36"/>
    </row>
    <row r="20" spans="1:33" s="2894" customFormat="1" ht="15.6" customHeight="1">
      <c r="A20" s="2788"/>
      <c r="B20" s="1247"/>
      <c r="C20" s="4365" t="s">
        <v>1675</v>
      </c>
      <c r="D20" s="4365"/>
      <c r="E20" s="4365"/>
      <c r="F20" s="4365"/>
      <c r="G20" s="2914"/>
      <c r="H20" s="1244"/>
      <c r="I20" s="2827">
        <f>IF(OR($C20=0,$J$6=0),0,VLOOKUP($C20,'SD2'!C61:O79,12,FALSE))</f>
        <v>22</v>
      </c>
      <c r="J20" s="37"/>
      <c r="K20" s="1245"/>
      <c r="L20" s="2829">
        <f>IF(OR($C20=0,$M$6=0),0,VLOOKUP($C20,'SD2'!$C$60:$O$78,12,FALSE))</f>
        <v>22</v>
      </c>
      <c r="M20" s="2795"/>
      <c r="N20" s="1244"/>
      <c r="O20" s="2827">
        <f>IF(OR($C20=0,$P$6=0),0,VLOOKUP($C20,'SD2'!C61:O79,12,FALSE))</f>
        <v>22</v>
      </c>
      <c r="P20" s="2826"/>
      <c r="Q20" s="2895"/>
      <c r="R20" s="2888"/>
      <c r="S20" s="2888"/>
      <c r="T20" s="2888"/>
      <c r="AF20" s="36"/>
      <c r="AG20" s="36"/>
    </row>
    <row r="21" spans="1:33" s="2894" customFormat="1" ht="15.6" customHeight="1">
      <c r="A21" s="2788"/>
      <c r="B21" s="1247"/>
      <c r="C21" s="4365"/>
      <c r="D21" s="4365"/>
      <c r="E21" s="4365"/>
      <c r="F21" s="4365"/>
      <c r="G21" s="2914"/>
      <c r="H21" s="1244"/>
      <c r="I21" s="2827">
        <f>IF(OR($C21=0,$J$6=0),0,VLOOKUP($C21,'SD2'!C62:O79,12,FALSE))</f>
        <v>0</v>
      </c>
      <c r="J21" s="2783"/>
      <c r="K21" s="1245"/>
      <c r="L21" s="2829">
        <f>IF(OR($C21=0,$M$6=0),0,VLOOKUP($C21,'SD2'!$C$60:$O$78,12,FALSE))</f>
        <v>0</v>
      </c>
      <c r="M21" s="1280"/>
      <c r="N21" s="1244"/>
      <c r="O21" s="2827">
        <f>IF(OR($C21=0,$P$6=0),0,VLOOKUP($C21,'SD2'!C62:O79,12,FALSE))</f>
        <v>0</v>
      </c>
      <c r="P21" s="2808"/>
      <c r="Q21" s="2895"/>
      <c r="R21" s="2888"/>
      <c r="S21" s="2888"/>
      <c r="T21" s="2888"/>
      <c r="AF21" s="36"/>
      <c r="AG21" s="36"/>
    </row>
    <row r="22" spans="1:33" ht="15.6" customHeight="1">
      <c r="A22" s="309"/>
      <c r="B22" s="245" t="s">
        <v>869</v>
      </c>
      <c r="C22" s="39"/>
      <c r="D22" s="1234"/>
      <c r="E22" s="4370" t="s">
        <v>868</v>
      </c>
      <c r="F22" s="4370"/>
      <c r="G22" s="4371"/>
      <c r="H22" s="1231"/>
      <c r="I22" s="1230"/>
      <c r="J22" s="1229"/>
      <c r="K22" s="1233"/>
      <c r="L22" s="1232"/>
      <c r="M22" s="1229"/>
      <c r="N22" s="1231"/>
      <c r="O22" s="1230"/>
      <c r="P22" s="1229"/>
    </row>
    <row r="23" spans="1:33" s="36" customFormat="1" ht="18.75" customHeight="1">
      <c r="A23" s="746"/>
      <c r="B23" s="209" t="s">
        <v>214</v>
      </c>
      <c r="C23" s="1228"/>
      <c r="D23" s="1228"/>
      <c r="E23" s="34"/>
      <c r="F23" s="4381"/>
      <c r="G23" s="4382" t="s">
        <v>163</v>
      </c>
      <c r="H23" s="1043"/>
      <c r="I23" s="1042"/>
      <c r="J23" s="1026">
        <f>SUM(I25:I26)</f>
        <v>166.6</v>
      </c>
      <c r="K23" s="1046"/>
      <c r="L23" s="1045"/>
      <c r="M23" s="1227">
        <f>SUM(L25:L26)</f>
        <v>166.6</v>
      </c>
      <c r="N23" s="1043"/>
      <c r="O23" s="1042"/>
      <c r="P23" s="1026">
        <f>SUM(O25:O26)</f>
        <v>166.6</v>
      </c>
      <c r="Q23" s="2594"/>
    </row>
    <row r="24" spans="1:33"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594"/>
    </row>
    <row r="25" spans="1:33" s="2593" customFormat="1" ht="18.75" customHeight="1">
      <c r="A25" s="711"/>
      <c r="B25" s="1223"/>
      <c r="C25" s="746" t="s">
        <v>866</v>
      </c>
      <c r="D25" s="4383"/>
      <c r="E25" s="4384"/>
      <c r="F25" s="1222">
        <f>SDÖ7!F16/100</f>
        <v>0.98</v>
      </c>
      <c r="G25" s="1221">
        <f>F25*(100+$D$24)/100</f>
        <v>0.98</v>
      </c>
      <c r="H25" s="1220">
        <v>170</v>
      </c>
      <c r="I25" s="1181">
        <f>H25*$G25</f>
        <v>166.6</v>
      </c>
      <c r="J25" s="39"/>
      <c r="K25" s="1220">
        <f>H25</f>
        <v>170</v>
      </c>
      <c r="L25" s="1023">
        <f>K25*$G25</f>
        <v>166.6</v>
      </c>
      <c r="M25" s="1016"/>
      <c r="N25" s="1220">
        <f>H25</f>
        <v>170</v>
      </c>
      <c r="O25" s="1181">
        <f>N25*$G25</f>
        <v>166.6</v>
      </c>
      <c r="P25" s="1145"/>
      <c r="Q25" s="2594"/>
    </row>
    <row r="26" spans="1:33" s="2593"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594"/>
    </row>
    <row r="27" spans="1:33" s="2593" customFormat="1" ht="17.399999999999999" customHeight="1">
      <c r="A27" s="711"/>
      <c r="B27" s="1215" t="s">
        <v>213</v>
      </c>
      <c r="C27" s="711"/>
      <c r="D27" s="51"/>
      <c r="E27" s="34"/>
      <c r="F27" s="34"/>
      <c r="G27" s="1214" t="s">
        <v>163</v>
      </c>
      <c r="H27" s="1173"/>
      <c r="I27" s="1172"/>
      <c r="J27" s="1041">
        <f>SUM(I30:I32)</f>
        <v>562.07979999999998</v>
      </c>
      <c r="K27" s="1175"/>
      <c r="L27" s="1174"/>
      <c r="M27" s="1044">
        <f>SUM(L30:L32)</f>
        <v>714.90639999999996</v>
      </c>
      <c r="N27" s="1173"/>
      <c r="O27" s="1172"/>
      <c r="P27" s="1041">
        <f>SUM(O30:O32)</f>
        <v>867.73299999999995</v>
      </c>
      <c r="Q27" s="2594"/>
    </row>
    <row r="28" spans="1:33" s="36" customFormat="1" ht="15" customHeight="1">
      <c r="A28" s="746"/>
      <c r="B28" s="774"/>
      <c r="C28" s="2597"/>
      <c r="D28" s="1213" t="s">
        <v>706</v>
      </c>
      <c r="E28" s="1213" t="s">
        <v>864</v>
      </c>
      <c r="F28" s="1213" t="s">
        <v>864</v>
      </c>
      <c r="G28" s="1212" t="s">
        <v>863</v>
      </c>
      <c r="H28" s="1172"/>
      <c r="I28" s="1209"/>
      <c r="J28" s="2598"/>
      <c r="K28" s="1175"/>
      <c r="L28" s="1105"/>
      <c r="M28" s="1210"/>
      <c r="N28" s="1173"/>
      <c r="O28" s="1209"/>
      <c r="P28" s="1026"/>
      <c r="Q28" s="2594"/>
    </row>
    <row r="29" spans="1:33" s="36" customFormat="1" ht="15" customHeight="1">
      <c r="A29" s="746"/>
      <c r="B29" s="1208"/>
      <c r="C29" s="747" t="s">
        <v>862</v>
      </c>
      <c r="D29" s="1034" t="s">
        <v>611</v>
      </c>
      <c r="E29" s="1034" t="s">
        <v>861</v>
      </c>
      <c r="F29" s="1034" t="s">
        <v>860</v>
      </c>
      <c r="G29" s="1034" t="s">
        <v>1128</v>
      </c>
      <c r="H29" s="1205" t="s">
        <v>612</v>
      </c>
      <c r="I29" s="1027" t="s">
        <v>163</v>
      </c>
      <c r="J29" s="2597"/>
      <c r="K29" s="1207" t="s">
        <v>612</v>
      </c>
      <c r="L29" s="1030" t="s">
        <v>163</v>
      </c>
      <c r="M29" s="1206"/>
      <c r="N29" s="1205" t="s">
        <v>612</v>
      </c>
      <c r="O29" s="1027" t="s">
        <v>163</v>
      </c>
      <c r="P29" s="1204"/>
      <c r="Q29" s="2594"/>
    </row>
    <row r="30" spans="1:33" s="36" customFormat="1" ht="15" customHeight="1">
      <c r="A30" s="746"/>
      <c r="B30" s="1203"/>
      <c r="C30" s="1202" t="s">
        <v>236</v>
      </c>
      <c r="D30" s="1150">
        <f>SDÖ1!O56</f>
        <v>5.18</v>
      </c>
      <c r="E30" s="1201">
        <f>VLOOKUP('SD8'!B16,'SD8'!B9:K44,3,FALSE)</f>
        <v>1.79</v>
      </c>
      <c r="F30" s="1201">
        <f>VLOOKUP('SD8'!$B$16,'SD8'!$B$9:$L$42,7,FALSE)</f>
        <v>0.35000000000000009</v>
      </c>
      <c r="G30" s="1200">
        <v>20</v>
      </c>
      <c r="H30" s="1198">
        <f>IF(J$6=0,0,(J$6*$E30+$G30+X13))</f>
        <v>83.15</v>
      </c>
      <c r="I30" s="1181">
        <f>H30*$D30</f>
        <v>430.71699999999998</v>
      </c>
      <c r="J30" s="39"/>
      <c r="K30" s="1199">
        <f>IF(M$6=0,0,(M$6*$E30+$G30+Y13))</f>
        <v>104.2</v>
      </c>
      <c r="L30" s="1023">
        <f>K30*$D30</f>
        <v>539.75599999999997</v>
      </c>
      <c r="M30" s="1016"/>
      <c r="N30" s="1198">
        <f>IF(P$6=0,0,(P$6*$E30+$G30+Z13))</f>
        <v>125.25</v>
      </c>
      <c r="O30" s="1181">
        <f>N30*$D30</f>
        <v>648.79499999999996</v>
      </c>
      <c r="P30" s="1145"/>
      <c r="Q30" s="2594"/>
    </row>
    <row r="31" spans="1:33" s="36" customFormat="1" ht="15" customHeight="1">
      <c r="A31" s="746"/>
      <c r="B31" s="217"/>
      <c r="C31" s="746" t="s">
        <v>234</v>
      </c>
      <c r="D31" s="1150">
        <f>SDÖ1!O57</f>
        <v>1.42</v>
      </c>
      <c r="E31" s="1201">
        <f>VLOOKUP('SD8'!B16,'SD8'!B9:K44,4,FALSE)</f>
        <v>0.8</v>
      </c>
      <c r="F31" s="1201">
        <f>VLOOKUP('SD8'!$B$16,'SD8'!$B$9:$L$42,8,FALSE)</f>
        <v>0.20999999999999996</v>
      </c>
      <c r="G31" s="1200"/>
      <c r="H31" s="1198">
        <f>IF(J$6=0,0,(J$6*$E31+$G31+X14))</f>
        <v>29.669999999999998</v>
      </c>
      <c r="I31" s="1181">
        <f>H31*$D31</f>
        <v>42.131399999999992</v>
      </c>
      <c r="J31" s="39"/>
      <c r="K31" s="1199">
        <f>IF(M$6=0,0,(M$6*$E31+$G31+Y14))</f>
        <v>39.56</v>
      </c>
      <c r="L31" s="1023">
        <f>K31*$D31</f>
        <v>56.175200000000004</v>
      </c>
      <c r="M31" s="1016"/>
      <c r="N31" s="1198">
        <f>IF(P$6=0,0,(P$6*$E31+$G31+Z14))</f>
        <v>49.45</v>
      </c>
      <c r="O31" s="1181">
        <f>N31*$D31</f>
        <v>70.218999999999994</v>
      </c>
      <c r="P31" s="1145"/>
      <c r="Q31" s="2594"/>
    </row>
    <row r="32" spans="1:33" s="2593" customFormat="1" ht="18.75" customHeight="1">
      <c r="A32" s="711"/>
      <c r="B32" s="185"/>
      <c r="C32" s="2791" t="s">
        <v>232</v>
      </c>
      <c r="D32" s="1133">
        <f>SDÖ1!O58</f>
        <v>1.78</v>
      </c>
      <c r="E32" s="1197">
        <f>VLOOKUP('SD8'!B16,'SD8'!B9:K44,5,FALSE)</f>
        <v>0.6</v>
      </c>
      <c r="F32" s="1197">
        <f>VLOOKUP('SD8'!$B$16,'SD8'!$B$9:$L$42,9,FALSE)</f>
        <v>1.19</v>
      </c>
      <c r="G32" s="1196"/>
      <c r="H32" s="1194">
        <f>IF(J$6=0,0,(J$6*$E32+$G32+X15))</f>
        <v>50.129999999999995</v>
      </c>
      <c r="I32" s="1177">
        <f>H32*$D32</f>
        <v>89.231399999999994</v>
      </c>
      <c r="J32" s="223"/>
      <c r="K32" s="1195">
        <f>IF(M$6=0,0,(M$6*$E32+$G32+Y15))</f>
        <v>66.84</v>
      </c>
      <c r="L32" s="1017">
        <f>K32*$D32</f>
        <v>118.9752</v>
      </c>
      <c r="M32" s="1256"/>
      <c r="N32" s="1194">
        <f>IF(P$6=0,0,(P$6*$E32+$G32+Z15))</f>
        <v>83.55</v>
      </c>
      <c r="O32" s="1177">
        <f>N32*$D32</f>
        <v>148.71899999999999</v>
      </c>
      <c r="P32" s="1176"/>
      <c r="Q32" s="2594"/>
    </row>
    <row r="33" spans="1:17" s="2593" customFormat="1" ht="13.2" hidden="1" customHeight="1">
      <c r="A33" s="711"/>
      <c r="B33" s="185"/>
      <c r="C33" s="771" t="s">
        <v>230</v>
      </c>
      <c r="D33" s="1133">
        <f>SDÖ1!P59</f>
        <v>0.5</v>
      </c>
      <c r="E33" s="1197">
        <f>VLOOKUP('SD8'!B16,'SD8'!B9:K44,6,FALSE)</f>
        <v>0.2</v>
      </c>
      <c r="F33" s="1201">
        <f>VLOOKUP('SD8'!$B$16,'SD8'!$B$9:$L$42,10,FALSE)</f>
        <v>7.0000000000000007E-2</v>
      </c>
      <c r="G33" s="1196"/>
      <c r="H33" s="1194">
        <f>IF(J$6=0,0,(J$6*$E33+$G33+X16))</f>
        <v>7.8900000000000006</v>
      </c>
      <c r="I33" s="1177">
        <f>H33*$D33</f>
        <v>3.9450000000000003</v>
      </c>
      <c r="J33" s="39"/>
      <c r="K33" s="1195">
        <f>IF(M$6=0,0,(M$6*$E33+$G33+Y16))</f>
        <v>10.52</v>
      </c>
      <c r="L33" s="1017">
        <f>K33*$D33</f>
        <v>5.26</v>
      </c>
      <c r="M33" s="1016"/>
      <c r="N33" s="1194">
        <f>IF(P$6=0,0,(P$6*$E33+$G33+Z16))</f>
        <v>13.15</v>
      </c>
      <c r="O33" s="1177">
        <f>N33*$D33</f>
        <v>6.5750000000000002</v>
      </c>
      <c r="P33" s="1176"/>
      <c r="Q33" s="2594"/>
    </row>
    <row r="34" spans="1:17" s="36" customFormat="1" ht="15" customHeight="1">
      <c r="A34" s="746"/>
      <c r="B34" s="716" t="s">
        <v>212</v>
      </c>
      <c r="C34" s="711"/>
      <c r="D34" s="2597"/>
      <c r="E34" s="2597"/>
      <c r="F34" s="4381"/>
      <c r="G34" s="4382" t="s">
        <v>163</v>
      </c>
      <c r="H34" s="1191"/>
      <c r="I34" s="1190"/>
      <c r="J34" s="1041">
        <f>SUM(I36:I42)</f>
        <v>0</v>
      </c>
      <c r="K34" s="1193"/>
      <c r="L34" s="1192"/>
      <c r="M34" s="1044">
        <f>SUM(L36:L42)</f>
        <v>0</v>
      </c>
      <c r="N34" s="1191"/>
      <c r="O34" s="1190"/>
      <c r="P34" s="1041">
        <f>SUM(O36:O42)</f>
        <v>0</v>
      </c>
      <c r="Q34" s="2594"/>
    </row>
    <row r="35" spans="1:17" s="36" customFormat="1" ht="15" customHeight="1">
      <c r="A35" s="746"/>
      <c r="B35" s="1040"/>
      <c r="C35" s="1039" t="s">
        <v>837</v>
      </c>
      <c r="D35" s="1110">
        <f>SDÖ1!$O$11</f>
        <v>0</v>
      </c>
      <c r="E35" s="1037"/>
      <c r="F35" s="1033" t="s">
        <v>239</v>
      </c>
      <c r="G35" s="1109" t="s">
        <v>836</v>
      </c>
      <c r="H35" s="1186" t="s">
        <v>857</v>
      </c>
      <c r="I35" s="1027" t="s">
        <v>163</v>
      </c>
      <c r="J35" s="2592"/>
      <c r="K35" s="1188" t="s">
        <v>857</v>
      </c>
      <c r="L35" s="1030" t="s">
        <v>163</v>
      </c>
      <c r="M35" s="1187"/>
      <c r="N35" s="1186" t="s">
        <v>857</v>
      </c>
      <c r="O35" s="1027" t="s">
        <v>163</v>
      </c>
      <c r="P35" s="1026"/>
      <c r="Q35" s="2594"/>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594"/>
    </row>
    <row r="37" spans="1:17" s="36" customFormat="1" ht="15" customHeight="1">
      <c r="A37" s="746"/>
      <c r="B37" s="1021"/>
      <c r="C37" s="4375"/>
      <c r="D37" s="4375"/>
      <c r="E37" s="4376"/>
      <c r="F37" s="1183">
        <f>IF(C37=0,0,VLOOKUP(C37,SDÖ5!$C$7:$D$16,2,FALSE))</f>
        <v>0</v>
      </c>
      <c r="G37" s="1183">
        <f t="shared" si="0"/>
        <v>0</v>
      </c>
      <c r="H37" s="1182"/>
      <c r="I37" s="1181">
        <f t="shared" si="1"/>
        <v>0</v>
      </c>
      <c r="J37" s="39"/>
      <c r="K37" s="3744"/>
      <c r="L37" s="1023">
        <f t="shared" si="2"/>
        <v>0</v>
      </c>
      <c r="M37" s="1016"/>
      <c r="N37" s="1182"/>
      <c r="O37" s="1181">
        <f t="shared" si="3"/>
        <v>0</v>
      </c>
      <c r="P37" s="1145"/>
      <c r="Q37" s="2594"/>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594"/>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594"/>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594"/>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594"/>
    </row>
    <row r="42" spans="1:17" s="2593"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594"/>
    </row>
    <row r="43" spans="1:17" s="36" customFormat="1" ht="15" customHeight="1">
      <c r="A43" s="746"/>
      <c r="B43" s="716" t="s">
        <v>856</v>
      </c>
      <c r="C43" s="711"/>
      <c r="D43" s="711"/>
      <c r="E43" s="711"/>
      <c r="F43" s="711"/>
      <c r="G43" s="1047"/>
      <c r="H43" s="1173"/>
      <c r="I43" s="1172"/>
      <c r="J43" s="1041">
        <f>SUM(J46:J57)</f>
        <v>154.98849636999998</v>
      </c>
      <c r="K43" s="1175"/>
      <c r="L43" s="1174"/>
      <c r="M43" s="1044">
        <f>SUM(M46:M57)</f>
        <v>161.01373338416667</v>
      </c>
      <c r="N43" s="1173"/>
      <c r="O43" s="1172"/>
      <c r="P43" s="1041">
        <f>SUM(P46:P57)</f>
        <v>162.58137741083334</v>
      </c>
      <c r="Q43" s="259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594"/>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594"/>
    </row>
    <row r="46" spans="1:17" s="36" customFormat="1" ht="15" customHeight="1">
      <c r="A46" s="746"/>
      <c r="B46" s="1157"/>
      <c r="C46" s="4363"/>
      <c r="D46" s="4364"/>
      <c r="E46" s="1152">
        <f>IF($C46=0,0,VLOOKUP($C46,'SD3'!$C$24:$O$71,4,FALSE))</f>
        <v>0</v>
      </c>
      <c r="F46" s="1151">
        <f>IF($C46=0,0,VLOOKUP($C46,'SD3'!$C$24:$O$71,12,FALSE))</f>
        <v>0</v>
      </c>
      <c r="G46" s="1150">
        <f>IF($C46=0,0,VLOOKUP($C46,'SD3'!$C$24:$O$71,13,FALSE))</f>
        <v>0</v>
      </c>
      <c r="H46" s="1155"/>
      <c r="I46" s="1154">
        <f t="shared" ref="I46:I57" si="4">$F46*H46</f>
        <v>0</v>
      </c>
      <c r="J46" s="1145">
        <f t="shared" ref="J46:J57" si="5">H46*$G46</f>
        <v>0</v>
      </c>
      <c r="K46" s="1155"/>
      <c r="L46" s="1156">
        <f t="shared" ref="L46:L57" si="6">$F46*K46</f>
        <v>0</v>
      </c>
      <c r="M46" s="1148">
        <f t="shared" ref="M46:M57" si="7">K46*$G46</f>
        <v>0</v>
      </c>
      <c r="N46" s="1155"/>
      <c r="O46" s="1154">
        <f t="shared" ref="O46:O57" si="8">$F46*N46</f>
        <v>0</v>
      </c>
      <c r="P46" s="1145">
        <f t="shared" ref="P46:P57" si="9">N46*$G46</f>
        <v>0</v>
      </c>
      <c r="Q46" s="2594"/>
    </row>
    <row r="47" spans="1:17" s="36" customFormat="1" ht="15" customHeight="1">
      <c r="A47" s="746"/>
      <c r="B47" s="1153"/>
      <c r="C47" s="4387" t="s">
        <v>1589</v>
      </c>
      <c r="D47" s="4388"/>
      <c r="E47" s="1152">
        <f>IF($C47=0,0,VLOOKUP($C47,'SD3'!$C$24:$O$71,4,FALSE))</f>
        <v>120</v>
      </c>
      <c r="F47" s="1151">
        <f>IF($C47=0,0,VLOOKUP($C47,'SD3'!$C$24:$O$71,12,FALSE))</f>
        <v>1.38</v>
      </c>
      <c r="G47" s="1150">
        <f>IF($C47=0,0,VLOOKUP($C47,'SD3'!$C$24:$O$71,13,FALSE))</f>
        <v>64.642445999999993</v>
      </c>
      <c r="H47" s="1147">
        <v>1</v>
      </c>
      <c r="I47" s="1146">
        <f t="shared" si="4"/>
        <v>1.38</v>
      </c>
      <c r="J47" s="1145">
        <f t="shared" si="5"/>
        <v>64.642445999999993</v>
      </c>
      <c r="K47" s="1147">
        <v>1</v>
      </c>
      <c r="L47" s="1149">
        <f t="shared" si="6"/>
        <v>1.38</v>
      </c>
      <c r="M47" s="1148">
        <f t="shared" si="7"/>
        <v>64.642445999999993</v>
      </c>
      <c r="N47" s="1147">
        <v>1</v>
      </c>
      <c r="O47" s="1146">
        <f t="shared" si="8"/>
        <v>1.38</v>
      </c>
      <c r="P47" s="1145">
        <f t="shared" si="9"/>
        <v>64.642445999999993</v>
      </c>
      <c r="Q47" s="2594"/>
    </row>
    <row r="48" spans="1:17" s="36" customFormat="1" ht="15" customHeight="1">
      <c r="A48" s="746"/>
      <c r="B48" s="1153"/>
      <c r="C48" s="4387"/>
      <c r="D48" s="4388"/>
      <c r="E48" s="1152">
        <f>IF($C48=0,0,VLOOKUP($C48,'SD3'!$C$24:$O$71,4,FALSE))</f>
        <v>0</v>
      </c>
      <c r="F48" s="1151">
        <f>IF($C48=0,0,VLOOKUP($C48,'SD3'!$C$24:$O$71,12,FALSE))</f>
        <v>0</v>
      </c>
      <c r="G48" s="1150">
        <f>IF($C48=0,0,VLOOKUP($C48,'SD3'!$C$24:$O$71,13,FALSE))</f>
        <v>0</v>
      </c>
      <c r="H48" s="1147"/>
      <c r="I48" s="1146">
        <f t="shared" si="4"/>
        <v>0</v>
      </c>
      <c r="J48" s="1145">
        <f t="shared" si="5"/>
        <v>0</v>
      </c>
      <c r="K48" s="1147"/>
      <c r="L48" s="1149">
        <f t="shared" si="6"/>
        <v>0</v>
      </c>
      <c r="M48" s="1148">
        <f t="shared" si="7"/>
        <v>0</v>
      </c>
      <c r="N48" s="1147"/>
      <c r="O48" s="1146">
        <f t="shared" si="8"/>
        <v>0</v>
      </c>
      <c r="P48" s="1145">
        <f t="shared" si="9"/>
        <v>0</v>
      </c>
      <c r="Q48" s="2594"/>
    </row>
    <row r="49" spans="1:17" s="36" customFormat="1" ht="15" customHeight="1">
      <c r="A49" s="746"/>
      <c r="B49" s="1153"/>
      <c r="C49" s="4387" t="s">
        <v>354</v>
      </c>
      <c r="D49" s="4388"/>
      <c r="E49" s="1152">
        <f>IF($C49=0,0,VLOOKUP($C49,'SD3'!$C$24:$O$71,4,FALSE))</f>
        <v>120</v>
      </c>
      <c r="F49" s="1151">
        <f>IF($C49=0,0,VLOOKUP($C49,'SD3'!$C$24:$O$71,12,FALSE))</f>
        <v>0.71</v>
      </c>
      <c r="G49" s="1150">
        <f>IF($C49=0,0,VLOOKUP($C49,'SD3'!$C$24:$O$71,13,FALSE))</f>
        <v>30.659437999999998</v>
      </c>
      <c r="H49" s="1147">
        <v>1</v>
      </c>
      <c r="I49" s="1146">
        <f t="shared" si="4"/>
        <v>0.71</v>
      </c>
      <c r="J49" s="1145">
        <f t="shared" si="5"/>
        <v>30.659437999999998</v>
      </c>
      <c r="K49" s="1147">
        <v>1</v>
      </c>
      <c r="L49" s="1149">
        <f t="shared" si="6"/>
        <v>0.71</v>
      </c>
      <c r="M49" s="1148">
        <f t="shared" si="7"/>
        <v>30.659437999999998</v>
      </c>
      <c r="N49" s="1147">
        <v>1</v>
      </c>
      <c r="O49" s="1146">
        <f t="shared" si="8"/>
        <v>0.71</v>
      </c>
      <c r="P49" s="1145">
        <f t="shared" si="9"/>
        <v>30.659437999999998</v>
      </c>
      <c r="Q49" s="2594"/>
    </row>
    <row r="50" spans="1:17" s="36" customFormat="1" ht="15" customHeight="1">
      <c r="A50" s="746"/>
      <c r="B50" s="1153"/>
      <c r="C50" s="4387"/>
      <c r="D50" s="4388"/>
      <c r="E50" s="1152">
        <f>IF($C50=0,0,VLOOKUP($C50,'SD3'!$C$24:$O$71,4,FALSE))</f>
        <v>0</v>
      </c>
      <c r="F50" s="1151">
        <f>IF($C50=0,0,VLOOKUP($C50,'SD3'!$C$24:$O$71,12,FALSE))</f>
        <v>0</v>
      </c>
      <c r="G50" s="1150">
        <f>IF($C50=0,0,VLOOKUP($C50,'SD3'!$C$24:$O$71,13,FALSE))</f>
        <v>0</v>
      </c>
      <c r="H50" s="1147"/>
      <c r="I50" s="1146">
        <f t="shared" si="4"/>
        <v>0</v>
      </c>
      <c r="J50" s="1145">
        <f t="shared" si="5"/>
        <v>0</v>
      </c>
      <c r="K50" s="1147"/>
      <c r="L50" s="1149">
        <f t="shared" si="6"/>
        <v>0</v>
      </c>
      <c r="M50" s="1148">
        <f t="shared" si="7"/>
        <v>0</v>
      </c>
      <c r="N50" s="1147"/>
      <c r="O50" s="1146">
        <f t="shared" si="8"/>
        <v>0</v>
      </c>
      <c r="P50" s="1145">
        <f t="shared" si="9"/>
        <v>0</v>
      </c>
      <c r="Q50" s="2594"/>
    </row>
    <row r="51" spans="1:17" s="36" customFormat="1" ht="15" customHeight="1">
      <c r="A51" s="746"/>
      <c r="B51" s="1153"/>
      <c r="C51" s="4387" t="s">
        <v>339</v>
      </c>
      <c r="D51" s="4388"/>
      <c r="E51" s="1152">
        <f>IF($C51=0,0,VLOOKUP($C51,'SD3'!$C$24:$O$71,4,FALSE))</f>
        <v>83</v>
      </c>
      <c r="F51" s="1151">
        <f>IF($C51=0,0,VLOOKUP($C51,'SD3'!$C$24:$O$71,12,FALSE))</f>
        <v>0.27</v>
      </c>
      <c r="G51" s="1150">
        <f>IF($C51=0,0,VLOOKUP($C51,'SD3'!$C$24:$O$71,13,FALSE))</f>
        <v>6.9619069099999997</v>
      </c>
      <c r="H51" s="1147">
        <v>1</v>
      </c>
      <c r="I51" s="1146">
        <f t="shared" si="4"/>
        <v>0.27</v>
      </c>
      <c r="J51" s="1145">
        <f t="shared" si="5"/>
        <v>6.9619069099999997</v>
      </c>
      <c r="K51" s="1147">
        <v>2</v>
      </c>
      <c r="L51" s="1149">
        <f t="shared" si="6"/>
        <v>0.54</v>
      </c>
      <c r="M51" s="1148">
        <f t="shared" si="7"/>
        <v>13.923813819999999</v>
      </c>
      <c r="N51" s="1147">
        <v>2</v>
      </c>
      <c r="O51" s="1146">
        <f t="shared" si="8"/>
        <v>0.54</v>
      </c>
      <c r="P51" s="1145">
        <f t="shared" si="9"/>
        <v>13.923813819999999</v>
      </c>
      <c r="Q51" s="2594"/>
    </row>
    <row r="52" spans="1:17" s="36" customFormat="1" ht="15" customHeight="1">
      <c r="A52" s="746"/>
      <c r="B52" s="1153"/>
      <c r="C52" s="4387"/>
      <c r="D52" s="4388"/>
      <c r="E52" s="1152">
        <f>IF($C52=0,0,VLOOKUP($C52,'SD3'!$C$24:$O$71,4,FALSE))</f>
        <v>0</v>
      </c>
      <c r="F52" s="1151">
        <f>IF($C52=0,0,VLOOKUP($C52,'SD3'!$C$24:$O$71,12,FALSE))</f>
        <v>0</v>
      </c>
      <c r="G52" s="1150">
        <f>IF($C52=0,0,VLOOKUP($C52,'SD3'!$C$24:$O$71,13,FALSE))</f>
        <v>0</v>
      </c>
      <c r="H52" s="1147"/>
      <c r="I52" s="1146">
        <f t="shared" si="4"/>
        <v>0</v>
      </c>
      <c r="J52" s="1145">
        <f t="shared" si="5"/>
        <v>0</v>
      </c>
      <c r="K52" s="1147"/>
      <c r="L52" s="1149">
        <f t="shared" si="6"/>
        <v>0</v>
      </c>
      <c r="M52" s="1148">
        <f t="shared" si="7"/>
        <v>0</v>
      </c>
      <c r="N52" s="1147"/>
      <c r="O52" s="1146">
        <f t="shared" si="8"/>
        <v>0</v>
      </c>
      <c r="P52" s="1145">
        <f t="shared" si="9"/>
        <v>0</v>
      </c>
      <c r="Q52" s="2594"/>
    </row>
    <row r="53" spans="1:17" s="36" customFormat="1" ht="15" customHeight="1">
      <c r="A53" s="746"/>
      <c r="B53" s="1153"/>
      <c r="C53" s="4387"/>
      <c r="D53" s="4388"/>
      <c r="E53" s="1152">
        <f>IF($C53=0,0,VLOOKUP($C53,'SD3'!$C$24:$O$71,4,FALSE))</f>
        <v>0</v>
      </c>
      <c r="F53" s="1151">
        <f>IF($C53=0,0,VLOOKUP($C53,'SD3'!$C$24:$O$71,12,FALSE))</f>
        <v>0</v>
      </c>
      <c r="G53" s="1150">
        <f>IF($C53=0,0,VLOOKUP($C53,'SD3'!$C$24:$O$71,13,FALSE))</f>
        <v>0</v>
      </c>
      <c r="H53" s="1147"/>
      <c r="I53" s="1146">
        <f t="shared" si="4"/>
        <v>0</v>
      </c>
      <c r="J53" s="1145">
        <f t="shared" si="5"/>
        <v>0</v>
      </c>
      <c r="K53" s="1147"/>
      <c r="L53" s="1149">
        <f t="shared" si="6"/>
        <v>0</v>
      </c>
      <c r="M53" s="1148">
        <f t="shared" si="7"/>
        <v>0</v>
      </c>
      <c r="N53" s="1147"/>
      <c r="O53" s="1146">
        <f t="shared" si="8"/>
        <v>0</v>
      </c>
      <c r="P53" s="1145">
        <f t="shared" si="9"/>
        <v>0</v>
      </c>
      <c r="Q53" s="2594"/>
    </row>
    <row r="54" spans="1:17" s="36" customFormat="1" ht="15" customHeight="1">
      <c r="A54" s="746"/>
      <c r="B54" s="1153"/>
      <c r="C54" s="4403" t="s">
        <v>1748</v>
      </c>
      <c r="D54" s="4404"/>
      <c r="E54" s="1152">
        <f>IF($C54=0,0,VLOOKUP($C54,'SD3'!$C$24:$O$71,4,FALSE))</f>
        <v>120</v>
      </c>
      <c r="F54" s="1151">
        <f>IF($C54=0,0,VLOOKUP($C54,'SD3'!$C$24:$O$71,12,FALSE))</f>
        <v>0.37</v>
      </c>
      <c r="G54" s="1150">
        <f>IF($C54=0,0,VLOOKUP($C54,'SD3'!$C$24:$O$71,13,FALSE))</f>
        <v>11.7573302</v>
      </c>
      <c r="H54" s="3654">
        <f>J6/75</f>
        <v>0.4</v>
      </c>
      <c r="I54" s="1146">
        <f t="shared" si="4"/>
        <v>0.14799999999999999</v>
      </c>
      <c r="J54" s="1145">
        <f t="shared" si="5"/>
        <v>4.7029320800000001</v>
      </c>
      <c r="K54" s="3654">
        <f>M6/75</f>
        <v>0.53333333333333333</v>
      </c>
      <c r="L54" s="1149">
        <f t="shared" si="6"/>
        <v>0.19733333333333333</v>
      </c>
      <c r="M54" s="1148">
        <f t="shared" si="7"/>
        <v>6.2705761066666668</v>
      </c>
      <c r="N54" s="3654">
        <f>P6/75</f>
        <v>0.66666666666666663</v>
      </c>
      <c r="O54" s="1146">
        <f t="shared" si="8"/>
        <v>0.24666666666666665</v>
      </c>
      <c r="P54" s="1145">
        <f t="shared" si="9"/>
        <v>7.8382201333333335</v>
      </c>
      <c r="Q54" s="2594"/>
    </row>
    <row r="55" spans="1:17" s="36" customFormat="1" ht="15" customHeight="1">
      <c r="A55" s="746"/>
      <c r="B55" s="1153"/>
      <c r="C55" s="4387" t="s">
        <v>360</v>
      </c>
      <c r="D55" s="4388"/>
      <c r="E55" s="1152">
        <f>IF($C55=0,0,VLOOKUP($C55,'SD3'!$C$24:$O$71,4,FALSE))</f>
        <v>120</v>
      </c>
      <c r="F55" s="1151">
        <f>IF($C55=0,0,VLOOKUP($C55,'SD3'!$C$24:$O$71,12,FALSE))</f>
        <v>0.79</v>
      </c>
      <c r="G55" s="1150">
        <f>IF($C55=0,0,VLOOKUP($C55,'SD3'!$C$24:$O$71,13,FALSE))</f>
        <v>27.987262000000001</v>
      </c>
      <c r="H55" s="1147">
        <v>1</v>
      </c>
      <c r="I55" s="1146">
        <f t="shared" si="4"/>
        <v>0.79</v>
      </c>
      <c r="J55" s="1145">
        <f t="shared" si="5"/>
        <v>27.987262000000001</v>
      </c>
      <c r="K55" s="1147">
        <v>1</v>
      </c>
      <c r="L55" s="1149">
        <f t="shared" si="6"/>
        <v>0.79</v>
      </c>
      <c r="M55" s="1148">
        <f t="shared" si="7"/>
        <v>27.987262000000001</v>
      </c>
      <c r="N55" s="1147">
        <v>1</v>
      </c>
      <c r="O55" s="1146">
        <f t="shared" si="8"/>
        <v>0.79</v>
      </c>
      <c r="P55" s="1145">
        <f t="shared" si="9"/>
        <v>27.987262000000001</v>
      </c>
      <c r="Q55" s="2594"/>
    </row>
    <row r="56" spans="1:17" s="36" customFormat="1" ht="24.75" customHeight="1">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594"/>
    </row>
    <row r="57" spans="1:17" s="36" customFormat="1" ht="24.75" customHeight="1">
      <c r="A57" s="746"/>
      <c r="B57" s="1084"/>
      <c r="C57" s="4461" t="s">
        <v>332</v>
      </c>
      <c r="D57" s="4462"/>
      <c r="E57" s="2589">
        <f>IF($C57=0,0,VLOOKUP($C57,'SD3'!$C$24:$O$71,4,FALSE))</f>
        <v>83</v>
      </c>
      <c r="F57" s="2590">
        <f>IF($C57=0,0,VLOOKUP($C57,'SD3'!$C$24:$O$71,12,FALSE))</f>
        <v>1.3</v>
      </c>
      <c r="G57" s="2591">
        <f>IF($C57=0,0,VLOOKUP($C57,'SD3'!$C$24:$O$71,13,FALSE))</f>
        <v>25.970662899999994</v>
      </c>
      <c r="H57" s="3745">
        <f>IF($T$4=TRUE,0,H11/35)</f>
        <v>0.77142857142857146</v>
      </c>
      <c r="I57" s="1130">
        <f t="shared" si="4"/>
        <v>1.0028571428571429</v>
      </c>
      <c r="J57" s="1129">
        <f t="shared" si="5"/>
        <v>20.034511379999994</v>
      </c>
      <c r="K57" s="3746">
        <f>IF($T$4=TRUE,0,H11/40)</f>
        <v>0.67500000000000004</v>
      </c>
      <c r="L57" s="1132">
        <f t="shared" si="6"/>
        <v>0.87750000000000006</v>
      </c>
      <c r="M57" s="1079">
        <f t="shared" si="7"/>
        <v>17.530197457499998</v>
      </c>
      <c r="N57" s="3745">
        <f>IF($T$4=TRUE,0,H11/40)</f>
        <v>0.67500000000000004</v>
      </c>
      <c r="O57" s="1130">
        <f t="shared" si="8"/>
        <v>0.87750000000000006</v>
      </c>
      <c r="P57" s="1129">
        <f t="shared" si="9"/>
        <v>17.530197457499998</v>
      </c>
      <c r="Q57" s="2636"/>
    </row>
    <row r="58" spans="1:17" s="2593" customFormat="1" ht="18.75" customHeight="1">
      <c r="A58" s="711"/>
      <c r="B58" s="716" t="s">
        <v>848</v>
      </c>
      <c r="C58" s="811"/>
      <c r="D58" s="811"/>
      <c r="E58" s="811"/>
      <c r="F58" s="34"/>
      <c r="G58" s="1047"/>
      <c r="H58" s="1124"/>
      <c r="I58" s="1123">
        <f>SUM($I$46:$I$57)</f>
        <v>4.3008571428571427</v>
      </c>
      <c r="J58" s="1128"/>
      <c r="K58" s="1127"/>
      <c r="L58" s="1126">
        <f>SUM($L$46:$L$57)</f>
        <v>4.4948333333333332</v>
      </c>
      <c r="M58" s="1125"/>
      <c r="N58" s="1124"/>
      <c r="O58" s="1123">
        <f>SUM($O$46:$O$57)</f>
        <v>4.5441666666666665</v>
      </c>
      <c r="P58" s="1122"/>
      <c r="Q58" s="2594"/>
    </row>
    <row r="59" spans="1:17" s="2593" customFormat="1" ht="15" customHeight="1">
      <c r="A59" s="711"/>
      <c r="B59" s="1121"/>
      <c r="C59" s="285"/>
      <c r="D59" s="222" t="s">
        <v>847</v>
      </c>
      <c r="E59" s="1120">
        <v>80</v>
      </c>
      <c r="F59" s="285" t="s">
        <v>846</v>
      </c>
      <c r="G59" s="1119"/>
      <c r="H59" s="1115"/>
      <c r="I59" s="1114">
        <f>IF(I58+SUM($I$46:$I$57)*$E$59%&gt;I58+10,I58+10,I58+SUM($I$46:$I$57)*$E$59%)</f>
        <v>7.7415428571428571</v>
      </c>
      <c r="J59" s="1113"/>
      <c r="K59" s="1118"/>
      <c r="L59" s="1117">
        <f>IF(L58+SUM($L$46:$L$57)*$E$59%&gt;L58+10,L58+10,L58+SUM($L$46:$L$57)*$E$59%)</f>
        <v>8.0907</v>
      </c>
      <c r="M59" s="1116"/>
      <c r="N59" s="1115"/>
      <c r="O59" s="1114">
        <f>IF(O58+SUM($O$46:$O$57)*$E$59%&gt;O58+10,O58+10,O58+SUM($O$46:$O$57)*$E$59%)</f>
        <v>8.1795000000000009</v>
      </c>
      <c r="P59" s="1113"/>
      <c r="Q59" s="2594"/>
    </row>
    <row r="60" spans="1:17" s="46" customFormat="1" ht="18.75" customHeight="1">
      <c r="A60" s="811"/>
      <c r="B60" s="716" t="s">
        <v>845</v>
      </c>
      <c r="C60" s="811"/>
      <c r="D60" s="811"/>
      <c r="E60" s="39"/>
      <c r="F60" s="39"/>
      <c r="G60" s="1112"/>
      <c r="H60" s="1104"/>
      <c r="I60" s="1103"/>
      <c r="J60" s="1111">
        <f>IF(J6=0,0,SUM(I62:I64))</f>
        <v>246.1</v>
      </c>
      <c r="K60" s="1107"/>
      <c r="L60" s="1106"/>
      <c r="M60" s="1044">
        <f>IF(M6=0,0,SUM(L62:L64))</f>
        <v>275.8</v>
      </c>
      <c r="N60" s="1104"/>
      <c r="O60" s="1103"/>
      <c r="P60" s="1111">
        <f>IF(P6=0,0,SUM(O62:O64))</f>
        <v>305.5</v>
      </c>
      <c r="Q60" s="2594"/>
    </row>
    <row r="61" spans="1:17"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594"/>
    </row>
    <row r="62" spans="1:17" s="36" customFormat="1" ht="18.75" customHeight="1">
      <c r="A62" s="746"/>
      <c r="B62" s="1021"/>
      <c r="C62" s="4365" t="s">
        <v>300</v>
      </c>
      <c r="D62" s="4365"/>
      <c r="E62" s="4365"/>
      <c r="F62" s="1101">
        <f>IF($C62=0,0,VLOOKUP($C62,'SD3'!$C$90:$D$104,2,FALSE))</f>
        <v>157</v>
      </c>
      <c r="G62" s="1100">
        <f>(100+$D$61)/100*F62</f>
        <v>157</v>
      </c>
      <c r="H62" s="173"/>
      <c r="I62" s="1096">
        <f>$G$62</f>
        <v>157</v>
      </c>
      <c r="J62" s="173"/>
      <c r="K62" s="1099"/>
      <c r="L62" s="1098">
        <f>$G$62</f>
        <v>157</v>
      </c>
      <c r="M62" s="1016"/>
      <c r="N62" s="1097"/>
      <c r="O62" s="1096">
        <f>$G$62</f>
        <v>157</v>
      </c>
      <c r="P62" s="1095"/>
      <c r="Q62" s="2594"/>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594"/>
    </row>
    <row r="64" spans="1:17" s="36" customFormat="1" ht="15" customHeight="1">
      <c r="A64" s="746"/>
      <c r="B64" s="1084"/>
      <c r="C64" s="4396" t="s">
        <v>289</v>
      </c>
      <c r="D64" s="4396"/>
      <c r="E64" s="4396"/>
      <c r="F64" s="1083">
        <f>IF($T$3=FALSE,0,VLOOKUP($C64,'SD3'!$C$90:$D$104,2,FALSE))</f>
        <v>3.3</v>
      </c>
      <c r="G64" s="1082">
        <f>(100+$D$61)/100*F64</f>
        <v>3.3</v>
      </c>
      <c r="H64" s="1078"/>
      <c r="I64" s="1077">
        <f>H11*$G$64</f>
        <v>89.1</v>
      </c>
      <c r="J64" s="173"/>
      <c r="K64" s="1081"/>
      <c r="L64" s="1080">
        <f>K11*$G$64</f>
        <v>118.8</v>
      </c>
      <c r="M64" s="1079"/>
      <c r="N64" s="1078"/>
      <c r="O64" s="1077">
        <f>N11*$G$64</f>
        <v>148.5</v>
      </c>
      <c r="P64" s="1076"/>
      <c r="Q64" s="2594"/>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594"/>
    </row>
    <row r="66" spans="1:20" s="36" customFormat="1" ht="15" customHeight="1">
      <c r="A66" s="746"/>
      <c r="B66" s="1075"/>
      <c r="C66" s="815"/>
      <c r="D66" s="222" t="s">
        <v>691</v>
      </c>
      <c r="E66" s="1074"/>
      <c r="F66" s="1049"/>
      <c r="G66" s="1073" t="s">
        <v>362</v>
      </c>
      <c r="H66" s="1071"/>
      <c r="I66" s="1070"/>
      <c r="J66" s="1059"/>
      <c r="K66" s="1071"/>
      <c r="L66" s="1072"/>
      <c r="M66" s="1062"/>
      <c r="N66" s="1071"/>
      <c r="O66" s="1070"/>
      <c r="P66" s="1059"/>
      <c r="Q66" s="2594"/>
    </row>
    <row r="67" spans="1:20" s="2593" customFormat="1" ht="22.95" customHeight="1">
      <c r="A67" s="711"/>
      <c r="B67" s="716" t="s">
        <v>843</v>
      </c>
      <c r="C67" s="711"/>
      <c r="D67" s="711"/>
      <c r="E67" s="175"/>
      <c r="F67" s="1069"/>
      <c r="G67" s="1047"/>
      <c r="H67" s="1066" t="s">
        <v>842</v>
      </c>
      <c r="I67" s="1065" t="s">
        <v>841</v>
      </c>
      <c r="J67" s="1041">
        <f>R68*(H9+H10)*I68%+F68</f>
        <v>39.824999999999989</v>
      </c>
      <c r="K67" s="1068" t="s">
        <v>842</v>
      </c>
      <c r="L67" s="1067" t="s">
        <v>841</v>
      </c>
      <c r="M67" s="1044">
        <f>S68*(K9+K10)*L68%+F68</f>
        <v>109.10000000000016</v>
      </c>
      <c r="N67" s="1066" t="s">
        <v>842</v>
      </c>
      <c r="O67" s="1065" t="s">
        <v>841</v>
      </c>
      <c r="P67" s="1041">
        <f>T68*(N9+N10)*O68%+F68</f>
        <v>101.37500000000006</v>
      </c>
      <c r="Q67" s="2594"/>
    </row>
    <row r="68" spans="1:20" s="2593" customFormat="1" ht="15" customHeight="1">
      <c r="A68" s="711"/>
      <c r="B68" s="1064"/>
      <c r="C68" s="4393" t="s">
        <v>564</v>
      </c>
      <c r="D68" s="4393"/>
      <c r="E68" s="4393"/>
      <c r="F68" s="1063"/>
      <c r="G68" s="1054" t="s">
        <v>163</v>
      </c>
      <c r="H68" s="1061">
        <v>16</v>
      </c>
      <c r="I68" s="1060">
        <v>50</v>
      </c>
      <c r="J68" s="1059"/>
      <c r="K68" s="1061">
        <v>20</v>
      </c>
      <c r="L68" s="1060">
        <v>50</v>
      </c>
      <c r="M68" s="1062"/>
      <c r="N68" s="1061">
        <v>18</v>
      </c>
      <c r="O68" s="1060">
        <v>50</v>
      </c>
      <c r="P68" s="1059"/>
      <c r="Q68" s="2594"/>
      <c r="R68" s="1058">
        <f>IF($H$68=0,0,VLOOKUP($H$68,'SD6'!B8:C151,'SD6'!C1,FALSE))*(1+'SDK1'!O11/100)</f>
        <v>2.6549999999999994</v>
      </c>
      <c r="S68" s="1058">
        <f>IF($K$68=0,0,VLOOKUP($K$68,'SD6'!B8:C151,'SD6'!C1,FALSE))*(1+'SDK1'!O11/100)</f>
        <v>5.4550000000000081</v>
      </c>
      <c r="T68" s="1058">
        <f>IF($N$68=0,0,VLOOKUP($N$68,'SD6'!B8:C151,'SD6'!C1,FALSE))*(1+'SDK1'!O11/100)</f>
        <v>4.0550000000000024</v>
      </c>
    </row>
    <row r="69" spans="1:20" s="2593" customFormat="1" ht="18.75" customHeight="1">
      <c r="A69" s="711"/>
      <c r="B69" s="716" t="s">
        <v>839</v>
      </c>
      <c r="C69" s="711"/>
      <c r="D69" s="711"/>
      <c r="E69" s="34"/>
      <c r="F69" s="34"/>
      <c r="G69" s="1047"/>
      <c r="H69" s="38"/>
      <c r="I69" s="51"/>
      <c r="J69" s="1041">
        <f>H70*$F70/1000</f>
        <v>19.036799999999999</v>
      </c>
      <c r="K69" s="1057"/>
      <c r="L69" s="1056"/>
      <c r="M69" s="1044">
        <f>K70*$F70/1000</f>
        <v>25.382400000000001</v>
      </c>
      <c r="N69" s="38"/>
      <c r="O69" s="51"/>
      <c r="P69" s="1041">
        <f>N70*$F70/1000</f>
        <v>31.728000000000002</v>
      </c>
      <c r="Q69" s="2594"/>
    </row>
    <row r="70" spans="1:20" s="2593" customFormat="1" ht="15" customHeight="1">
      <c r="A70" s="711"/>
      <c r="B70" s="772"/>
      <c r="C70" s="771" t="s">
        <v>606</v>
      </c>
      <c r="D70" s="285"/>
      <c r="E70" s="222"/>
      <c r="F70" s="3742">
        <f>SDÖ7!F63</f>
        <v>16</v>
      </c>
      <c r="G70" s="1054" t="s">
        <v>163</v>
      </c>
      <c r="H70" s="1357">
        <f>J7</f>
        <v>1189.8</v>
      </c>
      <c r="I70" s="1049"/>
      <c r="J70" s="1048"/>
      <c r="K70" s="1053">
        <f>M7</f>
        <v>1586.4</v>
      </c>
      <c r="L70" s="1052"/>
      <c r="M70" s="1051"/>
      <c r="N70" s="1357">
        <f>P7</f>
        <v>1983</v>
      </c>
      <c r="O70" s="1049"/>
      <c r="P70" s="1048"/>
      <c r="Q70" s="2594"/>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594"/>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594"/>
    </row>
    <row r="75" spans="1:20" s="2593" customFormat="1" ht="30.15" customHeight="1">
      <c r="A75" s="711"/>
      <c r="B75" s="4391" t="s">
        <v>835</v>
      </c>
      <c r="C75" s="4392"/>
      <c r="D75" s="1012" t="s">
        <v>834</v>
      </c>
      <c r="E75" s="1011">
        <f>'SDK1'!$O$59/100</f>
        <v>0.02</v>
      </c>
      <c r="F75" s="1010" t="s">
        <v>833</v>
      </c>
      <c r="G75" s="1009">
        <v>7</v>
      </c>
      <c r="H75" s="1007"/>
      <c r="I75" s="1008"/>
      <c r="J75" s="1005">
        <f>(J23+J27+J34+J43+J60+J65+J67+J69+J71)*('SDK1'!$O$59%*$G$75/12)</f>
        <v>13.867351124316668</v>
      </c>
      <c r="K75" s="2595"/>
      <c r="L75" s="522"/>
      <c r="M75" s="1005">
        <f>(M23+M27+M34+M43+M60+M65+M67+M69+M71)*('SDK1'!$O$59%*$G$75/12)</f>
        <v>16.949362889481947</v>
      </c>
      <c r="N75" s="1007"/>
      <c r="O75" s="1006"/>
      <c r="P75" s="1005">
        <f>(P23+P27+P34+P43+P60+P65+P67+P69+P71)*('SDK1'!$O$59%*$G$75/12)</f>
        <v>19.081036069793054</v>
      </c>
      <c r="Q75" s="2594"/>
    </row>
    <row r="76" spans="1:20">
      <c r="L76" s="29"/>
    </row>
    <row r="77" spans="1:20">
      <c r="B77" s="2919"/>
      <c r="C77" s="2919"/>
      <c r="D77" s="2919"/>
      <c r="E77" s="2919"/>
      <c r="F77" s="2919"/>
      <c r="G77" s="2919"/>
      <c r="L77" s="29"/>
      <c r="N77" s="2603"/>
      <c r="O77" s="2603"/>
      <c r="P77" s="2603"/>
    </row>
    <row r="78" spans="1:20">
      <c r="B78" s="2919"/>
      <c r="C78" s="2919"/>
      <c r="D78" s="2919"/>
      <c r="E78" s="2919"/>
      <c r="F78" s="2919"/>
      <c r="G78" s="2919"/>
      <c r="H78" s="2603"/>
      <c r="I78" s="2603"/>
      <c r="J78" s="2603"/>
      <c r="K78" s="2603"/>
      <c r="L78" s="2603"/>
      <c r="M78" s="2603"/>
      <c r="N78" s="2603"/>
      <c r="O78" s="2603"/>
      <c r="P78" s="2603"/>
      <c r="Q78" s="2603"/>
    </row>
    <row r="79" spans="1:20">
      <c r="B79" s="2919"/>
      <c r="C79" s="2919"/>
      <c r="D79" s="2919"/>
      <c r="E79" s="2919"/>
      <c r="F79" s="2919"/>
      <c r="G79" s="2919"/>
      <c r="H79" s="2603"/>
      <c r="I79" s="2603"/>
      <c r="J79" s="2603"/>
      <c r="K79" s="2603"/>
      <c r="L79" s="2603"/>
      <c r="M79" s="2603"/>
      <c r="N79" s="2603"/>
      <c r="O79" s="2603"/>
      <c r="P79" s="2603"/>
      <c r="Q79" s="2603"/>
    </row>
    <row r="80" spans="1:20">
      <c r="B80" s="2919"/>
      <c r="C80" s="2919"/>
      <c r="D80" s="2919"/>
      <c r="E80" s="2919"/>
      <c r="F80" s="2919"/>
      <c r="G80" s="2919"/>
      <c r="H80" s="2603"/>
      <c r="I80" s="2603"/>
      <c r="J80" s="2603"/>
      <c r="K80" s="2603"/>
      <c r="L80" s="2603"/>
      <c r="M80" s="2603"/>
      <c r="N80" s="2603"/>
      <c r="O80" s="2603"/>
      <c r="P80" s="2603"/>
      <c r="Q80" s="2603"/>
    </row>
    <row r="81" spans="2:17">
      <c r="B81" s="2919"/>
      <c r="C81" s="2919"/>
      <c r="D81" s="2919"/>
      <c r="E81" s="2919"/>
      <c r="F81" s="2919"/>
      <c r="G81" s="2919"/>
      <c r="H81" s="2603"/>
      <c r="I81" s="2603"/>
      <c r="J81" s="2603"/>
      <c r="K81" s="2603"/>
      <c r="L81" s="2603"/>
      <c r="M81" s="2603"/>
      <c r="N81" s="2603"/>
      <c r="O81" s="2603"/>
      <c r="P81" s="2603"/>
      <c r="Q81" s="2603"/>
    </row>
    <row r="82" spans="2:17">
      <c r="B82" s="2919"/>
      <c r="C82" s="2919"/>
      <c r="D82" s="2919"/>
      <c r="E82" s="2919"/>
      <c r="F82" s="2919"/>
      <c r="G82" s="2919"/>
      <c r="H82" s="2603"/>
      <c r="I82" s="2603"/>
      <c r="J82" s="2603"/>
      <c r="K82" s="2603"/>
      <c r="L82" s="2603"/>
      <c r="M82" s="2603"/>
      <c r="N82" s="2603"/>
      <c r="O82" s="2603"/>
      <c r="P82" s="2603"/>
      <c r="Q82" s="2603"/>
    </row>
    <row r="83" spans="2:17">
      <c r="B83" s="2919"/>
      <c r="C83" s="2919"/>
      <c r="D83" s="2919"/>
      <c r="E83" s="2919"/>
      <c r="F83" s="2919"/>
      <c r="G83" s="2919"/>
      <c r="H83" s="2603"/>
      <c r="I83" s="2603"/>
      <c r="J83" s="2603"/>
      <c r="K83" s="2603"/>
      <c r="L83" s="2603"/>
      <c r="M83" s="2603"/>
      <c r="N83" s="2603"/>
      <c r="O83" s="2603"/>
      <c r="P83" s="2603"/>
      <c r="Q83" s="2603"/>
    </row>
    <row r="84" spans="2:17">
      <c r="B84" s="2919"/>
      <c r="C84" s="2919"/>
      <c r="D84" s="2919"/>
      <c r="E84" s="2919"/>
      <c r="F84" s="2919"/>
      <c r="G84" s="2919"/>
      <c r="H84" s="2603"/>
      <c r="I84" s="2603"/>
      <c r="J84" s="2603"/>
      <c r="K84" s="2603"/>
      <c r="L84" s="2603"/>
      <c r="M84" s="2603"/>
      <c r="N84" s="2603"/>
      <c r="O84" s="2603"/>
      <c r="P84" s="2603"/>
      <c r="Q84" s="2603"/>
    </row>
    <row r="85" spans="2:17">
      <c r="B85" s="2919"/>
      <c r="C85" s="2919"/>
      <c r="D85" s="2919"/>
      <c r="E85" s="2919"/>
      <c r="F85" s="2919"/>
      <c r="G85" s="2919"/>
      <c r="H85" s="2603"/>
      <c r="I85" s="2603"/>
      <c r="J85" s="2603"/>
      <c r="K85" s="2603"/>
      <c r="L85" s="2603"/>
      <c r="M85" s="2603"/>
      <c r="N85" s="2603"/>
      <c r="O85" s="2603"/>
      <c r="P85" s="2603"/>
      <c r="Q85" s="2603"/>
    </row>
    <row r="86" spans="2:17">
      <c r="B86" s="2919"/>
      <c r="C86" s="2919"/>
      <c r="D86" s="2919"/>
      <c r="E86" s="2919"/>
      <c r="F86" s="2919"/>
      <c r="G86" s="2919"/>
      <c r="H86" s="2603"/>
      <c r="I86" s="2603"/>
      <c r="J86" s="2603"/>
      <c r="K86" s="2603"/>
      <c r="L86" s="2603"/>
      <c r="M86" s="2603"/>
      <c r="N86" s="2603"/>
      <c r="O86" s="2603"/>
      <c r="P86" s="2603"/>
      <c r="Q86" s="2603"/>
    </row>
    <row r="87" spans="2:17">
      <c r="B87" s="2919"/>
      <c r="C87" s="2919"/>
      <c r="D87" s="2919"/>
      <c r="E87" s="2919"/>
      <c r="F87" s="2919"/>
      <c r="G87" s="2919"/>
      <c r="H87" s="2603"/>
      <c r="I87" s="2603"/>
      <c r="J87" s="2603"/>
      <c r="K87" s="2603"/>
      <c r="L87" s="2603"/>
      <c r="M87" s="2603"/>
      <c r="N87" s="2603"/>
      <c r="O87" s="2603"/>
      <c r="P87" s="2603"/>
      <c r="Q87" s="2603"/>
    </row>
    <row r="88" spans="2:17" ht="13.2" customHeight="1">
      <c r="B88" s="2919"/>
      <c r="C88" s="2919"/>
      <c r="D88" s="2919"/>
      <c r="E88" s="2919"/>
      <c r="F88" s="2919"/>
      <c r="G88" s="2919"/>
      <c r="H88" s="2603"/>
      <c r="I88" s="2603"/>
      <c r="J88" s="2603"/>
      <c r="K88" s="2603"/>
      <c r="L88" s="2603"/>
      <c r="M88" s="2603"/>
      <c r="N88" s="2603"/>
      <c r="O88" s="2603"/>
      <c r="P88" s="2603"/>
      <c r="Q88" s="2603"/>
    </row>
    <row r="89" spans="2:17">
      <c r="B89" s="2919"/>
      <c r="C89" s="2919"/>
      <c r="D89" s="2919"/>
      <c r="E89" s="2919"/>
      <c r="F89" s="2919"/>
      <c r="G89" s="2919"/>
      <c r="H89" s="2603"/>
      <c r="I89" s="2603"/>
      <c r="J89" s="2603"/>
      <c r="K89" s="2603"/>
      <c r="L89" s="2603"/>
      <c r="M89" s="2603"/>
      <c r="N89" s="2603"/>
      <c r="O89" s="2603"/>
      <c r="P89" s="2603"/>
      <c r="Q89" s="2603"/>
    </row>
    <row r="90" spans="2:17">
      <c r="B90" s="2919"/>
      <c r="C90" s="2919"/>
      <c r="D90" s="2919"/>
      <c r="E90" s="2919"/>
      <c r="F90" s="2919"/>
      <c r="G90" s="2919"/>
      <c r="H90" s="2603"/>
      <c r="I90" s="2603"/>
      <c r="J90" s="2603"/>
      <c r="K90" s="2603"/>
      <c r="L90" s="2603"/>
      <c r="M90" s="2603"/>
      <c r="N90" s="2603"/>
      <c r="O90" s="2603"/>
      <c r="P90" s="2603"/>
      <c r="Q90" s="2603"/>
    </row>
    <row r="91" spans="2:17">
      <c r="B91" s="2919"/>
      <c r="C91" s="2919"/>
      <c r="D91" s="2919"/>
      <c r="E91" s="2919"/>
      <c r="F91" s="2919"/>
      <c r="G91" s="2919"/>
      <c r="H91" s="2603"/>
      <c r="I91" s="2603"/>
      <c r="J91" s="2603"/>
      <c r="K91" s="2603"/>
      <c r="L91" s="2603"/>
      <c r="M91" s="2603"/>
      <c r="N91" s="2603"/>
      <c r="O91" s="2603"/>
      <c r="P91" s="2603"/>
      <c r="Q91" s="2603"/>
    </row>
    <row r="92" spans="2:17">
      <c r="B92" s="2919"/>
      <c r="C92" s="2919"/>
      <c r="D92" s="2919"/>
      <c r="E92" s="2919"/>
      <c r="F92" s="2919"/>
      <c r="G92" s="2919"/>
      <c r="H92" s="2603"/>
      <c r="I92" s="2603"/>
      <c r="J92" s="2603"/>
      <c r="K92" s="2603"/>
      <c r="L92" s="2603"/>
      <c r="M92" s="2603"/>
      <c r="N92" s="2603"/>
      <c r="O92" s="2603"/>
      <c r="P92" s="2603"/>
      <c r="Q92" s="2603"/>
    </row>
    <row r="93" spans="2:17">
      <c r="G93" s="2603"/>
      <c r="H93" s="2603"/>
      <c r="I93" s="2603"/>
      <c r="J93" s="2603"/>
      <c r="K93" s="2603"/>
      <c r="L93" s="2603"/>
      <c r="M93" s="2603"/>
      <c r="N93" s="2603"/>
      <c r="O93" s="2603"/>
      <c r="P93" s="2603"/>
      <c r="Q93" s="2603"/>
    </row>
    <row r="94" spans="2:17">
      <c r="G94" s="2603"/>
      <c r="H94" s="2603"/>
      <c r="I94" s="2603"/>
      <c r="J94" s="2603"/>
      <c r="K94" s="2603"/>
      <c r="L94" s="2603"/>
      <c r="M94" s="2603"/>
      <c r="N94" s="2603"/>
      <c r="O94" s="2603"/>
      <c r="P94" s="2603"/>
      <c r="Q94" s="2603"/>
    </row>
    <row r="95" spans="2:17">
      <c r="G95" s="2603"/>
      <c r="H95" s="2603"/>
      <c r="I95" s="2603"/>
      <c r="J95" s="2603"/>
      <c r="K95" s="2603"/>
      <c r="L95" s="2603"/>
      <c r="M95" s="2603"/>
      <c r="N95" s="2603"/>
      <c r="O95" s="2603"/>
      <c r="P95" s="2603"/>
      <c r="Q95" s="2603"/>
    </row>
    <row r="96" spans="2:17">
      <c r="G96" s="2603"/>
      <c r="H96" s="2603"/>
      <c r="I96" s="2603"/>
      <c r="J96" s="2603"/>
      <c r="K96" s="2603"/>
      <c r="L96" s="2603"/>
      <c r="M96" s="2603"/>
      <c r="N96" s="2603"/>
      <c r="O96" s="2603"/>
      <c r="P96" s="2603"/>
      <c r="Q96" s="2603"/>
    </row>
    <row r="97" spans="2:17">
      <c r="G97" s="2603"/>
      <c r="H97" s="2603"/>
      <c r="I97" s="2603"/>
      <c r="J97" s="2603"/>
      <c r="K97" s="2603"/>
      <c r="L97" s="2603"/>
      <c r="M97" s="2603"/>
      <c r="N97" s="2603"/>
      <c r="O97" s="2603"/>
      <c r="P97" s="2603"/>
    </row>
    <row r="98" spans="2:17">
      <c r="G98" s="2603"/>
      <c r="H98" s="2603"/>
      <c r="I98" s="2603"/>
      <c r="J98" s="2603"/>
      <c r="K98" s="2603"/>
      <c r="L98" s="2603"/>
      <c r="M98" s="2603"/>
      <c r="N98" s="2603"/>
      <c r="O98" s="2603"/>
      <c r="P98" s="2603"/>
      <c r="Q98" s="2603"/>
    </row>
    <row r="99" spans="2:17">
      <c r="B99" s="29"/>
      <c r="G99" s="2603"/>
      <c r="H99" s="2603"/>
      <c r="I99" s="2603"/>
      <c r="J99" s="2603"/>
      <c r="K99" s="2603"/>
      <c r="L99" s="2603"/>
      <c r="M99" s="2603"/>
      <c r="N99" s="2603"/>
      <c r="O99" s="2603"/>
      <c r="P99" s="2603"/>
      <c r="Q99" s="2603"/>
    </row>
    <row r="100" spans="2:17">
      <c r="B100" s="29"/>
      <c r="G100" s="2603"/>
      <c r="H100" s="2603"/>
      <c r="I100" s="2603"/>
      <c r="J100" s="2603"/>
      <c r="K100" s="2603"/>
      <c r="L100" s="2603"/>
      <c r="M100" s="2603"/>
      <c r="N100" s="2603"/>
      <c r="O100" s="2603"/>
      <c r="P100" s="2603"/>
      <c r="Q100" s="2603"/>
    </row>
    <row r="101" spans="2:17">
      <c r="B101" s="29"/>
      <c r="C101" s="29"/>
      <c r="D101" s="29"/>
      <c r="G101" s="2603"/>
      <c r="H101" s="2603"/>
      <c r="I101" s="2603"/>
      <c r="J101" s="2603"/>
      <c r="K101" s="2603"/>
      <c r="L101" s="2603"/>
      <c r="M101" s="2603"/>
      <c r="N101" s="2603"/>
      <c r="O101" s="2603"/>
      <c r="P101" s="2603"/>
      <c r="Q101" s="2603"/>
    </row>
    <row r="102" spans="2:17">
      <c r="B102" s="29"/>
      <c r="C102" s="29"/>
      <c r="D102" s="29"/>
      <c r="G102" s="2603"/>
      <c r="H102" s="2603"/>
      <c r="I102" s="2603"/>
      <c r="J102" s="2603"/>
      <c r="K102" s="2603"/>
      <c r="L102" s="2603"/>
      <c r="M102" s="2603"/>
      <c r="N102" s="2603"/>
      <c r="O102" s="2603"/>
      <c r="P102" s="2603"/>
      <c r="Q102" s="2603"/>
    </row>
    <row r="103" spans="2:17">
      <c r="B103" s="29"/>
      <c r="C103" s="29"/>
      <c r="D103" s="29"/>
      <c r="G103" s="2603"/>
      <c r="H103" s="2603"/>
      <c r="I103" s="2603"/>
      <c r="J103" s="2603"/>
      <c r="K103" s="2603"/>
      <c r="L103" s="2603"/>
      <c r="M103" s="2603"/>
      <c r="N103" s="2603"/>
      <c r="O103" s="2603"/>
      <c r="P103" s="2603"/>
      <c r="Q103" s="2603"/>
    </row>
    <row r="104" spans="2:17">
      <c r="B104" s="29"/>
      <c r="C104" s="29"/>
      <c r="D104" s="29"/>
      <c r="G104" s="2603"/>
      <c r="H104" s="2603"/>
      <c r="I104" s="2603"/>
      <c r="J104" s="2603"/>
      <c r="K104" s="2603"/>
      <c r="L104" s="2603"/>
      <c r="M104" s="2603"/>
      <c r="N104" s="2603"/>
      <c r="O104" s="2603"/>
      <c r="P104" s="2603"/>
      <c r="Q104" s="2603"/>
    </row>
    <row r="105" spans="2:17">
      <c r="B105" s="29"/>
      <c r="C105" s="29"/>
      <c r="D105" s="29"/>
      <c r="G105" s="2603"/>
      <c r="H105" s="2603"/>
      <c r="I105" s="2603"/>
      <c r="J105" s="2603"/>
      <c r="K105" s="2603"/>
      <c r="L105" s="2603"/>
      <c r="M105" s="2603"/>
      <c r="N105" s="2603"/>
      <c r="O105" s="2603"/>
      <c r="P105" s="2603"/>
      <c r="Q105" s="2603"/>
    </row>
    <row r="106" spans="2:17">
      <c r="B106" s="29"/>
      <c r="C106" s="29"/>
      <c r="D106" s="29"/>
      <c r="G106" s="2603"/>
      <c r="H106" s="2603"/>
      <c r="I106" s="2603"/>
      <c r="J106" s="2603"/>
      <c r="K106" s="2603"/>
      <c r="L106" s="2603"/>
      <c r="M106" s="2603"/>
      <c r="N106" s="2603"/>
      <c r="O106" s="2603"/>
      <c r="P106" s="2603"/>
      <c r="Q106" s="2603"/>
    </row>
    <row r="107" spans="2:17">
      <c r="B107" s="29"/>
      <c r="C107" s="29"/>
      <c r="D107" s="29"/>
      <c r="G107" s="2603"/>
      <c r="H107" s="2603"/>
      <c r="I107" s="2603"/>
      <c r="J107" s="2603"/>
      <c r="K107" s="2603"/>
      <c r="L107" s="2603"/>
      <c r="M107" s="2603"/>
      <c r="N107" s="2603"/>
      <c r="O107" s="2603"/>
      <c r="P107" s="2603"/>
      <c r="Q107" s="2603"/>
    </row>
    <row r="108" spans="2:17">
      <c r="G108" s="2603"/>
      <c r="H108" s="2603"/>
      <c r="I108" s="2603"/>
      <c r="J108" s="2603"/>
      <c r="K108" s="2603"/>
      <c r="L108" s="2603"/>
      <c r="M108" s="2603"/>
      <c r="N108" s="2603"/>
      <c r="O108" s="2603"/>
      <c r="P108" s="2603"/>
      <c r="Q108" s="2603"/>
    </row>
    <row r="109" spans="2:17">
      <c r="G109" s="2603"/>
      <c r="H109" s="2603"/>
      <c r="I109" s="2603"/>
      <c r="J109" s="2603"/>
      <c r="K109" s="2603"/>
      <c r="L109" s="2603"/>
      <c r="M109" s="2603"/>
      <c r="N109" s="2603"/>
      <c r="O109" s="2603"/>
      <c r="P109" s="2603"/>
      <c r="Q109" s="2603"/>
    </row>
    <row r="110" spans="2:17">
      <c r="G110" s="2603"/>
      <c r="H110" s="2603"/>
      <c r="I110" s="2603"/>
      <c r="J110" s="2603"/>
      <c r="K110" s="2603"/>
      <c r="L110" s="2603"/>
      <c r="M110" s="2603"/>
      <c r="N110" s="2603"/>
      <c r="O110" s="2603"/>
      <c r="P110" s="2603"/>
      <c r="Q110" s="2603"/>
    </row>
    <row r="111" spans="2:17">
      <c r="G111" s="2603"/>
      <c r="H111" s="2603"/>
      <c r="I111" s="2603"/>
      <c r="J111" s="2603"/>
      <c r="K111" s="2603"/>
      <c r="L111" s="2603"/>
      <c r="M111" s="2603"/>
      <c r="N111" s="2603"/>
      <c r="O111" s="2603"/>
      <c r="P111" s="2603"/>
      <c r="Q111" s="2603"/>
    </row>
    <row r="112" spans="2:17">
      <c r="G112" s="2603"/>
      <c r="H112" s="2603"/>
      <c r="I112" s="2603"/>
      <c r="J112" s="2603"/>
      <c r="K112" s="2603"/>
      <c r="L112" s="2603"/>
      <c r="M112" s="2603"/>
      <c r="N112" s="2603"/>
      <c r="O112" s="2603"/>
      <c r="P112" s="2603"/>
      <c r="Q112" s="2603"/>
    </row>
    <row r="113" spans="2:18">
      <c r="G113" s="2603"/>
      <c r="H113" s="2603"/>
      <c r="I113" s="2603"/>
      <c r="J113" s="2603"/>
      <c r="K113" s="2603"/>
      <c r="L113" s="2603"/>
      <c r="M113" s="2603"/>
      <c r="N113" s="2603"/>
      <c r="O113" s="2603"/>
      <c r="P113" s="2603"/>
      <c r="Q113" s="2603"/>
    </row>
    <row r="114" spans="2:18">
      <c r="G114" s="2603"/>
      <c r="H114" s="2603"/>
      <c r="I114" s="2603"/>
      <c r="J114" s="2603"/>
      <c r="K114" s="2603"/>
      <c r="L114" s="2603"/>
      <c r="M114" s="2603"/>
      <c r="N114" s="2603"/>
      <c r="O114" s="2603"/>
      <c r="P114" s="2603"/>
      <c r="Q114" s="2603"/>
      <c r="R114" s="2603"/>
    </row>
    <row r="115" spans="2:18">
      <c r="G115" s="2603"/>
      <c r="H115" s="2603"/>
      <c r="I115" s="2603"/>
      <c r="J115" s="2603"/>
      <c r="K115" s="2603"/>
      <c r="L115" s="2603"/>
      <c r="M115" s="2603"/>
      <c r="N115" s="2603"/>
      <c r="O115" s="2603"/>
      <c r="P115" s="2603"/>
      <c r="Q115" s="2603"/>
      <c r="R115" s="2603"/>
    </row>
    <row r="116" spans="2:18">
      <c r="I116" s="2603"/>
      <c r="J116" s="2603"/>
      <c r="K116" s="2603"/>
      <c r="L116" s="2603"/>
      <c r="M116" s="2603"/>
      <c r="N116" s="2603"/>
      <c r="O116" s="2603"/>
      <c r="P116" s="2603"/>
      <c r="Q116" s="2603"/>
      <c r="R116" s="2603"/>
    </row>
    <row r="117" spans="2:18">
      <c r="I117" s="2603"/>
      <c r="J117" s="2603"/>
      <c r="K117" s="2603"/>
      <c r="L117" s="2603"/>
      <c r="M117" s="2603"/>
      <c r="N117" s="2603"/>
      <c r="O117" s="2603"/>
      <c r="P117" s="2603"/>
      <c r="Q117" s="2603"/>
      <c r="R117" s="2603"/>
    </row>
    <row r="118" spans="2:18">
      <c r="B118" s="440"/>
      <c r="C118" s="29"/>
      <c r="I118" s="2603"/>
      <c r="J118" s="2603"/>
      <c r="K118" s="2603"/>
      <c r="L118" s="2603"/>
      <c r="M118" s="2603"/>
      <c r="N118" s="2603"/>
      <c r="O118" s="2603"/>
      <c r="P118" s="2603"/>
      <c r="Q118" s="2603"/>
      <c r="R118" s="2603"/>
    </row>
    <row r="119" spans="2:18">
      <c r="B119" s="440"/>
      <c r="C119" s="29"/>
      <c r="I119" s="2603"/>
      <c r="J119" s="2603"/>
      <c r="K119" s="2603"/>
      <c r="L119" s="2603"/>
      <c r="M119" s="2603"/>
      <c r="N119" s="2603"/>
      <c r="O119" s="2603"/>
      <c r="P119" s="2603"/>
      <c r="Q119" s="2603"/>
      <c r="R119" s="2603"/>
    </row>
    <row r="120" spans="2:18">
      <c r="B120" s="440"/>
      <c r="C120" s="29"/>
      <c r="I120" s="2603"/>
      <c r="J120" s="2603"/>
      <c r="K120" s="2603"/>
      <c r="L120" s="2603"/>
      <c r="M120" s="2603"/>
      <c r="N120" s="2603"/>
      <c r="O120" s="2603"/>
      <c r="P120" s="2603"/>
      <c r="Q120" s="2603"/>
      <c r="R120" s="2603"/>
    </row>
    <row r="121" spans="2:18">
      <c r="B121" s="440"/>
      <c r="C121" s="29"/>
      <c r="I121" s="2603"/>
      <c r="J121" s="2603"/>
      <c r="K121" s="2603"/>
      <c r="L121" s="2603"/>
      <c r="M121" s="2603"/>
      <c r="N121" s="2603"/>
      <c r="O121" s="2603"/>
      <c r="P121" s="2603"/>
      <c r="Q121" s="2603"/>
      <c r="R121" s="2603"/>
    </row>
    <row r="122" spans="2:18">
      <c r="B122" s="440"/>
      <c r="C122" s="29"/>
      <c r="I122" s="2603"/>
      <c r="J122" s="2603"/>
      <c r="K122" s="2603"/>
      <c r="L122" s="2603"/>
      <c r="M122" s="2603"/>
      <c r="N122" s="2603"/>
      <c r="O122" s="2603"/>
      <c r="P122" s="2603"/>
      <c r="Q122" s="2603"/>
      <c r="R122" s="2603"/>
    </row>
    <row r="123" spans="2:18">
      <c r="B123" s="440"/>
      <c r="C123" s="29"/>
      <c r="I123" s="2603"/>
      <c r="J123" s="2603"/>
      <c r="K123" s="2603"/>
      <c r="L123" s="2603"/>
      <c r="M123" s="2603"/>
      <c r="N123" s="2603"/>
      <c r="O123" s="2603"/>
      <c r="P123" s="2603"/>
      <c r="Q123" s="2603"/>
      <c r="R123" s="2603"/>
    </row>
    <row r="124" spans="2:18">
      <c r="B124" s="440"/>
      <c r="C124" s="29"/>
      <c r="I124" s="2603"/>
      <c r="J124" s="2603"/>
      <c r="K124" s="2603"/>
      <c r="L124" s="2603"/>
      <c r="M124" s="2603"/>
      <c r="N124" s="2603"/>
      <c r="O124" s="2603"/>
      <c r="P124" s="2603"/>
      <c r="Q124" s="2603"/>
      <c r="R124" s="2603"/>
    </row>
    <row r="125" spans="2:18">
      <c r="B125" s="440"/>
      <c r="C125" s="29"/>
      <c r="I125" s="2603"/>
      <c r="J125" s="2603"/>
      <c r="K125" s="2603"/>
      <c r="L125" s="2603"/>
      <c r="M125" s="2603"/>
      <c r="N125" s="2603"/>
      <c r="O125" s="2603"/>
      <c r="P125" s="2603"/>
      <c r="Q125" s="2603"/>
      <c r="R125" s="2603"/>
    </row>
    <row r="126" spans="2:18">
      <c r="B126" s="440"/>
      <c r="C126" s="29"/>
      <c r="I126" s="2603"/>
      <c r="J126" s="2603"/>
      <c r="K126" s="2603"/>
      <c r="L126" s="2603"/>
      <c r="M126" s="2603"/>
      <c r="N126" s="2603"/>
      <c r="O126" s="2603"/>
      <c r="P126" s="2603"/>
      <c r="Q126" s="2603"/>
      <c r="R126" s="2603"/>
    </row>
    <row r="127" spans="2:18">
      <c r="B127" s="440"/>
      <c r="C127" s="29"/>
      <c r="I127" s="2603"/>
      <c r="J127" s="2603"/>
      <c r="K127" s="2603"/>
      <c r="L127" s="2603"/>
      <c r="M127" s="2603"/>
      <c r="N127" s="2603"/>
      <c r="O127" s="2603"/>
      <c r="P127" s="2603"/>
      <c r="Q127" s="2603"/>
      <c r="R127" s="2603"/>
    </row>
    <row r="128" spans="2:18">
      <c r="B128" s="440"/>
      <c r="C128" s="29"/>
      <c r="I128" s="2603"/>
      <c r="J128" s="2603"/>
      <c r="K128" s="2603"/>
      <c r="L128" s="2603"/>
      <c r="M128" s="2603"/>
      <c r="N128" s="2603"/>
      <c r="O128" s="2603"/>
      <c r="P128" s="2603"/>
      <c r="Q128" s="2603"/>
      <c r="R128" s="2603"/>
    </row>
    <row r="129" spans="2:18">
      <c r="B129" s="440"/>
      <c r="C129" s="29"/>
      <c r="I129" s="2603"/>
      <c r="J129" s="2603"/>
      <c r="K129" s="2603"/>
      <c r="L129" s="2603"/>
      <c r="M129" s="2603"/>
      <c r="N129" s="2603"/>
      <c r="O129" s="2603"/>
      <c r="P129" s="2603"/>
      <c r="Q129" s="2603"/>
      <c r="R129" s="2603"/>
    </row>
    <row r="130" spans="2:18">
      <c r="B130" s="440"/>
      <c r="C130" s="29"/>
      <c r="I130" s="2603"/>
      <c r="J130" s="2603"/>
      <c r="K130" s="2603"/>
      <c r="L130" s="2603"/>
      <c r="M130" s="2603"/>
      <c r="N130" s="2603"/>
      <c r="O130" s="2603"/>
      <c r="P130" s="2603"/>
      <c r="Q130" s="2603"/>
      <c r="R130" s="2603"/>
    </row>
    <row r="131" spans="2:18">
      <c r="B131" s="440"/>
      <c r="C131" s="29"/>
      <c r="I131" s="2603"/>
      <c r="J131" s="2603"/>
      <c r="K131" s="2603"/>
      <c r="L131" s="2603"/>
      <c r="M131" s="2603"/>
      <c r="N131" s="2603"/>
      <c r="O131" s="2603"/>
      <c r="P131" s="2603"/>
      <c r="Q131" s="2603"/>
      <c r="R131" s="2603"/>
    </row>
    <row r="132" spans="2:18">
      <c r="B132" s="440"/>
      <c r="C132" s="29"/>
      <c r="I132" s="2603"/>
      <c r="J132" s="2603"/>
      <c r="K132" s="2603"/>
      <c r="L132" s="2603"/>
      <c r="M132" s="2603"/>
      <c r="N132" s="2603"/>
      <c r="O132" s="2603"/>
      <c r="P132" s="2603"/>
      <c r="Q132" s="2603"/>
      <c r="R132" s="2603"/>
    </row>
    <row r="133" spans="2:18">
      <c r="B133" s="440"/>
      <c r="C133" s="29"/>
      <c r="I133" s="2603"/>
      <c r="J133" s="2603"/>
      <c r="K133" s="2603"/>
      <c r="L133" s="2603"/>
      <c r="M133" s="2603"/>
      <c r="N133" s="2603"/>
      <c r="O133" s="2603"/>
      <c r="P133" s="2603"/>
      <c r="Q133" s="2603"/>
      <c r="R133" s="2603"/>
    </row>
    <row r="134" spans="2:18">
      <c r="B134" s="440"/>
      <c r="C134" s="29"/>
      <c r="I134" s="2603"/>
      <c r="J134" s="2603"/>
      <c r="K134" s="2603"/>
      <c r="L134" s="2603"/>
      <c r="M134" s="2603"/>
      <c r="N134" s="2603"/>
      <c r="O134" s="2603"/>
      <c r="P134" s="2603"/>
      <c r="Q134" s="2603"/>
      <c r="R134" s="2603"/>
    </row>
    <row r="135" spans="2:18">
      <c r="B135" s="440"/>
      <c r="C135" s="29"/>
      <c r="I135" s="2603"/>
      <c r="J135" s="2603"/>
      <c r="K135" s="2603"/>
      <c r="L135" s="2603"/>
      <c r="M135" s="2603"/>
      <c r="N135" s="2603"/>
      <c r="O135" s="2603"/>
      <c r="P135" s="2603"/>
      <c r="Q135" s="2603"/>
      <c r="R135" s="2603"/>
    </row>
    <row r="136" spans="2:18">
      <c r="B136" s="440"/>
      <c r="C136" s="29"/>
      <c r="I136" s="2603"/>
      <c r="J136" s="2603"/>
      <c r="K136" s="2603"/>
      <c r="L136" s="2603"/>
      <c r="M136" s="2603"/>
      <c r="N136" s="2603"/>
      <c r="O136" s="2603"/>
      <c r="P136" s="2603"/>
      <c r="Q136" s="2603"/>
      <c r="R136" s="2603"/>
    </row>
    <row r="137" spans="2:18">
      <c r="B137" s="440"/>
      <c r="C137" s="29"/>
      <c r="I137" s="2603"/>
      <c r="J137" s="2603"/>
      <c r="K137" s="2603"/>
      <c r="L137" s="2603"/>
      <c r="M137" s="2603"/>
      <c r="N137" s="2603"/>
      <c r="O137" s="2603"/>
      <c r="P137" s="2603"/>
      <c r="Q137" s="2603"/>
      <c r="R137" s="2603"/>
    </row>
    <row r="138" spans="2:18">
      <c r="B138" s="440"/>
      <c r="C138" s="29"/>
      <c r="I138" s="2603"/>
      <c r="J138" s="2603"/>
      <c r="K138" s="2603"/>
      <c r="L138" s="2603"/>
      <c r="M138" s="2603"/>
      <c r="N138" s="2603"/>
      <c r="O138" s="2603"/>
      <c r="P138" s="2603"/>
      <c r="Q138" s="2603"/>
      <c r="R138" s="2603"/>
    </row>
    <row r="139" spans="2:18">
      <c r="B139" s="440"/>
      <c r="C139" s="29"/>
      <c r="L139" s="29"/>
    </row>
    <row r="140" spans="2:18">
      <c r="B140" s="440"/>
      <c r="C140" s="29"/>
      <c r="L140" s="29"/>
    </row>
    <row r="141" spans="2:18">
      <c r="B141" s="440"/>
      <c r="C141" s="29"/>
      <c r="L141" s="29"/>
    </row>
    <row r="142" spans="2:18">
      <c r="B142" s="440"/>
      <c r="C142" s="29"/>
      <c r="L142" s="29"/>
    </row>
    <row r="143" spans="2:18">
      <c r="B143" s="440"/>
      <c r="C143" s="29"/>
      <c r="L143" s="29"/>
    </row>
    <row r="144" spans="2:18">
      <c r="B144" s="440"/>
      <c r="C144" s="29"/>
      <c r="L144" s="29"/>
    </row>
    <row r="145" spans="2:12">
      <c r="B145" s="440"/>
      <c r="C145" s="29"/>
      <c r="L145" s="29"/>
    </row>
    <row r="146" spans="2:12">
      <c r="B146" s="440"/>
      <c r="C146" s="29"/>
      <c r="L146" s="29"/>
    </row>
    <row r="147" spans="2:12">
      <c r="B147" s="440"/>
      <c r="C147" s="29"/>
      <c r="F147" s="29"/>
      <c r="G147" s="29"/>
      <c r="H147" s="29"/>
      <c r="I147" s="29"/>
      <c r="J147" s="29"/>
    </row>
    <row r="148" spans="2:12">
      <c r="B148" s="440"/>
      <c r="C148" s="29"/>
      <c r="D148" s="29"/>
      <c r="F148" s="29"/>
      <c r="G148" s="29"/>
      <c r="H148" s="29"/>
      <c r="I148" s="29"/>
      <c r="J148" s="29"/>
    </row>
    <row r="149" spans="2:12">
      <c r="B149" s="440"/>
      <c r="C149" s="29"/>
      <c r="D149" s="29"/>
      <c r="F149" s="29"/>
      <c r="G149" s="29"/>
      <c r="H149" s="29"/>
      <c r="I149" s="29"/>
      <c r="J149" s="29"/>
    </row>
    <row r="150" spans="2:12">
      <c r="B150" s="440"/>
      <c r="C150" s="29"/>
      <c r="D150" s="29"/>
      <c r="F150" s="29"/>
      <c r="G150" s="29"/>
      <c r="H150" s="29"/>
      <c r="I150" s="29"/>
      <c r="J150" s="29"/>
    </row>
    <row r="151" spans="2:12">
      <c r="B151" s="440"/>
      <c r="C151" s="29"/>
      <c r="D151" s="29"/>
      <c r="F151" s="29"/>
      <c r="G151" s="29"/>
      <c r="H151" s="29"/>
      <c r="I151" s="29"/>
      <c r="J151" s="29"/>
    </row>
    <row r="152" spans="2:12">
      <c r="B152" s="440"/>
      <c r="C152" s="29"/>
      <c r="D152" s="29"/>
      <c r="F152" s="29"/>
      <c r="G152" s="29"/>
      <c r="H152" s="29"/>
      <c r="I152" s="29"/>
      <c r="J152" s="29"/>
    </row>
    <row r="153" spans="2:12">
      <c r="B153" s="440"/>
      <c r="C153" s="29"/>
      <c r="D153" s="29"/>
      <c r="F153" s="29"/>
      <c r="G153" s="29"/>
      <c r="H153" s="29"/>
      <c r="I153" s="29"/>
      <c r="J153" s="29"/>
    </row>
    <row r="154" spans="2:12">
      <c r="B154" s="440"/>
      <c r="C154" s="29"/>
      <c r="D154" s="29"/>
      <c r="F154" s="29"/>
      <c r="G154" s="29"/>
      <c r="H154" s="29"/>
      <c r="I154" s="29"/>
      <c r="J154" s="29"/>
    </row>
    <row r="155" spans="2:12">
      <c r="B155" s="440"/>
      <c r="C155" s="29"/>
      <c r="D155" s="29"/>
      <c r="F155" s="29"/>
      <c r="G155" s="29"/>
      <c r="H155" s="29"/>
      <c r="I155" s="29"/>
      <c r="J155" s="29"/>
    </row>
    <row r="156" spans="2:12">
      <c r="B156" s="440"/>
      <c r="C156" s="29"/>
      <c r="D156" s="29"/>
      <c r="F156" s="29"/>
      <c r="G156" s="29"/>
      <c r="H156" s="29"/>
      <c r="I156" s="29"/>
      <c r="J156" s="29"/>
    </row>
    <row r="157" spans="2:12">
      <c r="B157" s="440"/>
      <c r="C157" s="29"/>
    </row>
    <row r="158" spans="2:12">
      <c r="B158" s="440"/>
      <c r="C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heet="1" selectLockedCells="1"/>
  <customSheetViews>
    <customSheetView guid="{8063F48F-80B5-4ECD-B18A-51CBF126E780}" fitToPage="1" printArea="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24" orientation="portrait" r:id="rId1"/>
      <headerFooter alignWithMargins="0">
        <oddFooter>&amp;L&amp;11LEL Schwäbisch Gmünd&amp;R&amp;11&amp;F</oddFooter>
      </headerFooter>
    </customSheetView>
    <customSheetView guid="{5D5C9B61-9ABD-4513-AAEB-8333A9D6196C}" fitToPage="1" hiddenRows="1" hiddenColumns="1">
      <selection activeCell="AK19" sqref="AK19"/>
      <pageMargins left="0.59055118110236227" right="0.57999999999999996" top="0.59055118110236227" bottom="0.59055118110236227" header="0.39370078740157483" footer="0.39370078740157483"/>
      <printOptions horizontalCentered="1"/>
      <pageSetup paperSize="9" scale="70" firstPageNumber="24" orientation="portrait" r:id="rId2"/>
      <headerFooter alignWithMargins="0">
        <oddFooter>&amp;L&amp;11LEL Schwäbisch Gmünd&amp;R&amp;11&amp;F</oddFooter>
      </headerFooter>
    </customSheetView>
    <customSheetView guid="{22A73C4F-9004-4CEF-8499-B1F91BE1B569}"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24" orientation="portrait" r:id="rId3"/>
      <headerFooter alignWithMargins="0">
        <oddFooter>&amp;L&amp;11LEL Schwäbisch Gmünd&amp;R&amp;11&amp;F</oddFooter>
      </headerFooter>
    </customSheetView>
  </customSheetViews>
  <mergeCells count="50">
    <mergeCell ref="B3:H3"/>
    <mergeCell ref="K1:L1"/>
    <mergeCell ref="N1:O1"/>
    <mergeCell ref="K2:P2"/>
    <mergeCell ref="J3:L3"/>
    <mergeCell ref="N3:O4"/>
    <mergeCell ref="E4:I4"/>
    <mergeCell ref="J4:L4"/>
    <mergeCell ref="F23:G23"/>
    <mergeCell ref="H6:I6"/>
    <mergeCell ref="K6:L6"/>
    <mergeCell ref="C17:F17"/>
    <mergeCell ref="C19:F19"/>
    <mergeCell ref="E22:G22"/>
    <mergeCell ref="C20:F20"/>
    <mergeCell ref="C21:F21"/>
    <mergeCell ref="N6:O6"/>
    <mergeCell ref="E10:F10"/>
    <mergeCell ref="C14:F14"/>
    <mergeCell ref="C15:F15"/>
    <mergeCell ref="C16:F16"/>
    <mergeCell ref="C47:D47"/>
    <mergeCell ref="D25:E25"/>
    <mergeCell ref="D26:E26"/>
    <mergeCell ref="F34:G34"/>
    <mergeCell ref="C36:E36"/>
    <mergeCell ref="C37:E37"/>
    <mergeCell ref="C38:E38"/>
    <mergeCell ref="C39:E39"/>
    <mergeCell ref="C40:E40"/>
    <mergeCell ref="C41:E41"/>
    <mergeCell ref="C42:E42"/>
    <mergeCell ref="C46:D46"/>
    <mergeCell ref="C63:E63"/>
    <mergeCell ref="C48:D48"/>
    <mergeCell ref="C49:D49"/>
    <mergeCell ref="C50:D50"/>
    <mergeCell ref="C51:D51"/>
    <mergeCell ref="C52:D52"/>
    <mergeCell ref="C53:D53"/>
    <mergeCell ref="C54:D54"/>
    <mergeCell ref="C55:D55"/>
    <mergeCell ref="C56:D56"/>
    <mergeCell ref="C57:D57"/>
    <mergeCell ref="C62:E62"/>
    <mergeCell ref="C64:E64"/>
    <mergeCell ref="C68:E68"/>
    <mergeCell ref="C73:E73"/>
    <mergeCell ref="C74:E74"/>
    <mergeCell ref="B75:C75"/>
  </mergeCells>
  <dataValidations count="5">
    <dataValidation type="decimal" allowBlank="1" showInputMessage="1" showErrorMessage="1" errorTitle="Wassergehalt Getreide" error="Zulässig sind nur Werte zwischen 15,1 und 29,9 % Wassergehalt." sqref="H68 K68 N68" xr:uid="{00000000-0002-0000-4500-000000000000}">
      <formula1>15.1</formula1>
      <formula2>29.9</formula2>
    </dataValidation>
    <dataValidation type="whole" allowBlank="1" showInputMessage="1" showErrorMessage="1" errorTitle="Anteil Erntegut" error="Prozentwert darf nur zwischen 0 und 100 liegen." sqref="O68 L68 I68" xr:uid="{00000000-0002-0000-4500-000001000000}">
      <formula1>0</formula1>
      <formula2>100</formula2>
    </dataValidation>
    <dataValidation type="list" showInputMessage="1" showErrorMessage="1" sqref="H14 K14 N14" xr:uid="{00000000-0002-0000-4500-000002000000}">
      <formula1>"ja,nein"</formula1>
    </dataValidation>
    <dataValidation type="list" allowBlank="1" showInputMessage="1" showErrorMessage="1" sqref="H15:H17 K15:K17 N15:N17" xr:uid="{00000000-0002-0000-4500-000003000000}">
      <formula1>"ja,nein"</formula1>
    </dataValidation>
    <dataValidation type="list" allowBlank="1" showInputMessage="1" showErrorMessage="1" sqref="D19:F19" xr:uid="{00000000-0002-0000-4500-000004000000}">
      <formula1>$C$60:$C$75</formula1>
    </dataValidation>
  </dataValidations>
  <hyperlinks>
    <hyperlink ref="F9" location="SDÖ1!A1" display="Preis ändern" xr:uid="{00000000-0004-0000-4500-000000000000}"/>
  </hyperlinks>
  <printOptions horizontalCentered="1"/>
  <pageMargins left="0.59055118110236227" right="0.57999999999999996" top="0.59055118110236227" bottom="0.59055118110236227" header="0.39370078740157483" footer="0.39370078740157483"/>
  <pageSetup paperSize="9" scale="70" firstPageNumber="24" orientation="portrait" r:id="rId4"/>
  <headerFooter alignWithMargins="0">
    <oddFooter>&amp;L&amp;11LEL Schwäbisch Gmünd&amp;R&amp;11&amp;F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28353" r:id="rId7" name="Check Box 1">
              <controlPr defaultSize="0" autoFill="0" autoLine="0" autoPict="0">
                <anchor moveWithCells="1">
                  <from>
                    <xdr:col>12</xdr:col>
                    <xdr:colOff>137160</xdr:colOff>
                    <xdr:row>2</xdr:row>
                    <xdr:rowOff>259080</xdr:rowOff>
                  </from>
                  <to>
                    <xdr:col>12</xdr:col>
                    <xdr:colOff>297180</xdr:colOff>
                    <xdr:row>3</xdr:row>
                    <xdr:rowOff>83820</xdr:rowOff>
                  </to>
                </anchor>
              </controlPr>
            </control>
          </mc:Choice>
        </mc:AlternateContent>
        <mc:AlternateContent xmlns:mc="http://schemas.openxmlformats.org/markup-compatibility/2006">
          <mc:Choice Requires="x14">
            <control shapeId="228354" r:id="rId8" name="Check Box 2">
              <controlPr defaultSize="0" autoFill="0" autoLine="0" autoPict="0">
                <anchor moveWithCells="1">
                  <from>
                    <xdr:col>12</xdr:col>
                    <xdr:colOff>137160</xdr:colOff>
                    <xdr:row>2</xdr:row>
                    <xdr:rowOff>60960</xdr:rowOff>
                  </from>
                  <to>
                    <xdr:col>12</xdr:col>
                    <xdr:colOff>419100</xdr:colOff>
                    <xdr:row>2</xdr:row>
                    <xdr:rowOff>304800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500-000005000000}">
          <x14:formula1>
            <xm:f>'SD2'!$C$11:$C$50</xm:f>
          </x14:formula1>
          <xm:sqref>C14:F17</xm:sqref>
        </x14:dataValidation>
        <x14:dataValidation type="list" allowBlank="1" showInputMessage="1" showErrorMessage="1" xr:uid="{00000000-0002-0000-4500-000006000000}">
          <x14:formula1>
            <xm:f>'SD2'!$C$60:$C$77</xm:f>
          </x14:formula1>
          <xm:sqref>C19:C21</xm:sqref>
        </x14:dataValidation>
        <x14:dataValidation type="list" allowBlank="1" showInputMessage="1" showErrorMessage="1" errorTitle="Arbeitsgänge" error="Bitte aus Dropdownliste auswählen." xr:uid="{00000000-0002-0000-4500-000007000000}">
          <x14:formula1>
            <xm:f>'SD3'!$C$23:$C$75</xm:f>
          </x14:formula1>
          <xm:sqref>C46:D57</xm:sqref>
        </x14:dataValidation>
        <x14:dataValidation type="list" allowBlank="1" showInputMessage="1" showErrorMessage="1" xr:uid="{00000000-0002-0000-4500-000008000000}">
          <x14:formula1>
            <xm:f>SDÖ5!$C$5:$C$16</xm:f>
          </x14:formula1>
          <xm:sqref>C36:E42</xm:sqref>
        </x14:dataValidation>
        <x14:dataValidation type="list" allowBlank="1" showInputMessage="1" showErrorMessage="1" errorTitle="Lohnmaschinen" error="Bitte aus Dropdownliste auswählen." xr:uid="{00000000-0002-0000-4500-000009000000}">
          <x14:formula1>
            <xm:f>'SD3'!$C$90:$C$104</xm:f>
          </x14:formula1>
          <xm:sqref>C62:E64</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Tabelle85">
    <tabColor rgb="FFFFFF00"/>
    <pageSetUpPr fitToPage="1"/>
  </sheetPr>
  <dimension ref="A1:AO206"/>
  <sheetViews>
    <sheetView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25.59765625" style="28" hidden="1" customWidth="1"/>
    <col min="18" max="26" width="10.5" style="27" hidden="1" customWidth="1"/>
    <col min="27" max="28" width="10.5" style="27" customWidth="1"/>
    <col min="29" max="16384" width="10.5" style="27"/>
  </cols>
  <sheetData>
    <row r="1" spans="1:41" s="219" customFormat="1" ht="30.15" customHeight="1">
      <c r="A1" s="1681"/>
      <c r="B1" s="258"/>
      <c r="C1" s="1333"/>
      <c r="D1" s="100"/>
      <c r="E1" s="255"/>
      <c r="F1" s="255"/>
      <c r="G1" s="3207"/>
      <c r="H1" s="3207"/>
      <c r="I1" s="3208" t="s">
        <v>1679</v>
      </c>
      <c r="J1" s="3210">
        <f>(J7+J13+J18+J22)-(J23+J27+J34+J43+J60+J65+J67+J69+J71+J75)</f>
        <v>511.45654496672228</v>
      </c>
      <c r="K1" s="4360">
        <f>M1-J1</f>
        <v>698.78987868301374</v>
      </c>
      <c r="L1" s="4360"/>
      <c r="M1" s="3210">
        <f>(M7+M13+M18+M22)-(M23+M27+M34+M43+M60+M65+M67+M69+M71+M75)</f>
        <v>1210.246423649736</v>
      </c>
      <c r="N1" s="4360">
        <f>P1-M1</f>
        <v>-28.233333333333576</v>
      </c>
      <c r="O1" s="4360"/>
      <c r="P1" s="3210">
        <f>(P7+P13+P18+P22)-(P23+P27+P34+P43+P60+P65+P67+P69+P71+P75)</f>
        <v>1182.0130903164024</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1392</v>
      </c>
      <c r="L2" s="4372"/>
      <c r="M2" s="4372"/>
      <c r="N2" s="4372"/>
      <c r="O2" s="4372"/>
      <c r="P2" s="4372"/>
      <c r="Q2" s="1681"/>
    </row>
    <row r="3" spans="1:41" s="219" customFormat="1" ht="32.4" customHeight="1">
      <c r="A3" s="1681"/>
      <c r="B3" s="4405" t="s">
        <v>1727</v>
      </c>
      <c r="C3" s="4405"/>
      <c r="D3" s="4405"/>
      <c r="E3" s="4405"/>
      <c r="F3" s="4405"/>
      <c r="G3" s="4405"/>
      <c r="H3" s="4405"/>
      <c r="J3" s="4368" t="s">
        <v>886</v>
      </c>
      <c r="K3" s="4447"/>
      <c r="L3" s="4447"/>
      <c r="M3" s="1689"/>
      <c r="N3" s="4444" t="str">
        <f>IF(AND(T3=TRUE,T4=TRUE),"nur 1 Strohnutzung möglich","")</f>
        <v/>
      </c>
      <c r="O3" s="4374"/>
      <c r="P3" s="1326"/>
      <c r="Q3" s="1681"/>
      <c r="T3" s="1343" t="b">
        <v>1</v>
      </c>
    </row>
    <row r="4" spans="1:41" s="219" customFormat="1" ht="20.25" customHeight="1">
      <c r="A4" s="1681"/>
      <c r="B4" s="309" t="s">
        <v>779</v>
      </c>
      <c r="C4" s="27"/>
      <c r="D4" s="27"/>
      <c r="E4" s="4406" t="s">
        <v>890</v>
      </c>
      <c r="F4" s="4406"/>
      <c r="G4" s="4406"/>
      <c r="H4" s="4406"/>
      <c r="I4" s="4406"/>
      <c r="J4" s="4368" t="s">
        <v>875</v>
      </c>
      <c r="K4" s="4447"/>
      <c r="L4" s="4447"/>
      <c r="M4" s="1688"/>
      <c r="N4" s="4374"/>
      <c r="O4" s="4374"/>
      <c r="P4" s="1322">
        <f>SDÖ1!O3</f>
        <v>2024</v>
      </c>
      <c r="Q4" s="1681"/>
      <c r="T4" s="1343" t="b">
        <v>0</v>
      </c>
      <c r="U4" s="1690"/>
    </row>
    <row r="5" spans="1:41" ht="6" customHeight="1"/>
    <row r="6" spans="1:41" s="1311" customFormat="1" ht="24" customHeight="1">
      <c r="A6" s="41"/>
      <c r="B6" s="1316" t="s">
        <v>832</v>
      </c>
      <c r="C6" s="1315"/>
      <c r="D6" s="1315"/>
      <c r="E6" s="1315"/>
      <c r="F6" s="1315"/>
      <c r="G6" s="1314" t="s">
        <v>1141</v>
      </c>
      <c r="H6" s="4366" t="s">
        <v>171</v>
      </c>
      <c r="I6" s="4367"/>
      <c r="J6" s="1313">
        <v>20</v>
      </c>
      <c r="K6" s="4379" t="s">
        <v>144</v>
      </c>
      <c r="L6" s="4380"/>
      <c r="M6" s="1313">
        <v>40</v>
      </c>
      <c r="N6" s="4366" t="s">
        <v>170</v>
      </c>
      <c r="O6" s="4367"/>
      <c r="P6" s="1312">
        <v>40</v>
      </c>
      <c r="Q6" s="49"/>
    </row>
    <row r="7" spans="1:41" s="196" customFormat="1" ht="18.75" customHeight="1">
      <c r="A7" s="40"/>
      <c r="B7" s="245" t="s">
        <v>1133</v>
      </c>
      <c r="C7" s="40"/>
      <c r="D7" s="40"/>
      <c r="E7" s="40"/>
      <c r="F7" s="40"/>
      <c r="G7" s="1310" t="s">
        <v>163</v>
      </c>
      <c r="H7" s="1307"/>
      <c r="I7" s="1306"/>
      <c r="J7" s="1041">
        <f>SUM(I9:I12)</f>
        <v>1069.56</v>
      </c>
      <c r="K7" s="1309"/>
      <c r="L7" s="1308"/>
      <c r="M7" s="1044">
        <f>SUM(L9:L12)</f>
        <v>2139.12</v>
      </c>
      <c r="N7" s="1307"/>
      <c r="O7" s="1306"/>
      <c r="P7" s="1041">
        <f>SUM(O9:O12)</f>
        <v>2139.12</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t="s">
        <v>882</v>
      </c>
      <c r="G9" s="1221">
        <f>SDÖ1!O22</f>
        <v>47.42</v>
      </c>
      <c r="H9" s="1303">
        <f>J6-H10</f>
        <v>18</v>
      </c>
      <c r="I9" s="1299">
        <f>H9*G9</f>
        <v>853.56000000000006</v>
      </c>
      <c r="J9" s="37"/>
      <c r="K9" s="1302">
        <f>M6-K10</f>
        <v>36</v>
      </c>
      <c r="L9" s="1301">
        <f>K9*G9</f>
        <v>1707.1200000000001</v>
      </c>
      <c r="M9" s="1280"/>
      <c r="N9" s="1300">
        <f>P6-N10</f>
        <v>36</v>
      </c>
      <c r="O9" s="1299">
        <f>N9*G9</f>
        <v>1707.1200000000001</v>
      </c>
      <c r="P9" s="37"/>
      <c r="Q9" s="28"/>
      <c r="R9" s="517"/>
      <c r="S9" s="208" t="s">
        <v>887</v>
      </c>
      <c r="T9" s="1298"/>
    </row>
    <row r="10" spans="1:41" s="1268" customFormat="1" ht="15" customHeight="1">
      <c r="A10" s="309"/>
      <c r="B10" s="185"/>
      <c r="C10" s="223" t="s">
        <v>1131</v>
      </c>
      <c r="D10" s="1277"/>
      <c r="E10" s="4377" t="s">
        <v>891</v>
      </c>
      <c r="F10" s="4378"/>
      <c r="G10" s="1297">
        <f>SDÖ1!O50</f>
        <v>0</v>
      </c>
      <c r="H10" s="1292">
        <f>J6*0.1</f>
        <v>2</v>
      </c>
      <c r="I10" s="1291">
        <f>H10*G10</f>
        <v>0</v>
      </c>
      <c r="J10" s="1296"/>
      <c r="K10" s="1295">
        <f>M6*0.1</f>
        <v>4</v>
      </c>
      <c r="L10" s="1294">
        <f>K10*G10</f>
        <v>0</v>
      </c>
      <c r="M10" s="1293"/>
      <c r="N10" s="1292">
        <f>P6*0.1</f>
        <v>4</v>
      </c>
      <c r="O10" s="1291">
        <f>N10*G10</f>
        <v>0</v>
      </c>
      <c r="P10" s="1290"/>
      <c r="Q10" s="34"/>
      <c r="R10" s="1289">
        <f>I10+I11+I12</f>
        <v>216</v>
      </c>
      <c r="S10" s="1288">
        <f>L10+L11+L12</f>
        <v>432</v>
      </c>
      <c r="T10" s="1287">
        <f>O10+O11+O12</f>
        <v>432</v>
      </c>
      <c r="W10" s="196" t="s">
        <v>879</v>
      </c>
    </row>
    <row r="11" spans="1:41" s="1268" customFormat="1" ht="15" customHeight="1">
      <c r="A11" s="309"/>
      <c r="B11" s="3147"/>
      <c r="C11" s="1006" t="s">
        <v>878</v>
      </c>
      <c r="D11" s="3148"/>
      <c r="E11" s="3149">
        <v>0.9</v>
      </c>
      <c r="F11" s="1006" t="s">
        <v>877</v>
      </c>
      <c r="G11" s="3150">
        <f>SDÖ1!$O$52</f>
        <v>12</v>
      </c>
      <c r="H11" s="3151">
        <f>IF(OR($T$3,$T$4)=TRUE,J6*$E$11,0)</f>
        <v>18</v>
      </c>
      <c r="I11" s="3152">
        <f>H11*$G$11</f>
        <v>216</v>
      </c>
      <c r="J11" s="3153"/>
      <c r="K11" s="3154">
        <f>IF(OR($T$3,$T$4)=TRUE,M6*$E$11,0)</f>
        <v>36</v>
      </c>
      <c r="L11" s="3155">
        <f>K11*$G$11</f>
        <v>432</v>
      </c>
      <c r="M11" s="3156"/>
      <c r="N11" s="3157">
        <f>IF(OR($T$3,$T$4)=TRUE,P6*$E$11,0)</f>
        <v>36</v>
      </c>
      <c r="O11" s="3152">
        <f>N11*$G$11</f>
        <v>432</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f>IF(OR(T3=TRUE,T4=TRUE),J6*$E$11,"0")</f>
        <v>18</v>
      </c>
      <c r="Y12" s="1265">
        <f>IF(OR(T3=TRUE,T4=TRUE),M6*$E$11,"0")</f>
        <v>36</v>
      </c>
      <c r="Z12" s="1264">
        <f>IF(OR(T3=TRUE,T4=TRUE),P6*$E$11,"0")</f>
        <v>36</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W13" s="36" t="s">
        <v>236</v>
      </c>
      <c r="X13" s="1260">
        <f>$X$12*F30</f>
        <v>6.3000000000000016</v>
      </c>
      <c r="Y13" s="1260">
        <f>$Y$12*F30</f>
        <v>12.600000000000003</v>
      </c>
      <c r="Z13" s="1260">
        <f>$Z$12*F30</f>
        <v>12.600000000000003</v>
      </c>
    </row>
    <row r="14" spans="1:41" s="36" customFormat="1" ht="15" customHeight="1">
      <c r="A14" s="39"/>
      <c r="B14" s="1247"/>
      <c r="C14" s="4365" t="s">
        <v>1511</v>
      </c>
      <c r="D14" s="4365"/>
      <c r="E14" s="4365"/>
      <c r="F14" s="4365"/>
      <c r="G14" s="1263"/>
      <c r="H14" s="1391" t="s">
        <v>919</v>
      </c>
      <c r="I14" s="2827">
        <f>IF(H14="ja",Q14,0)</f>
        <v>240</v>
      </c>
      <c r="J14" s="39"/>
      <c r="K14" s="1262" t="s">
        <v>919</v>
      </c>
      <c r="L14" s="1098">
        <f>IF(K14="ja",Q14,0)</f>
        <v>240</v>
      </c>
      <c r="M14" s="1016"/>
      <c r="N14" s="1262" t="s">
        <v>919</v>
      </c>
      <c r="O14" s="2827">
        <f>IF(N14="ja",Q14,0)</f>
        <v>240</v>
      </c>
      <c r="P14" s="2826"/>
      <c r="Q14" s="1261">
        <f>IF(C14=0,0,VLOOKUP(C14,'SD2'!$C$11:$O$50,'SD2'!$O$1,FALSE))</f>
        <v>240</v>
      </c>
      <c r="R14" s="1350"/>
      <c r="S14" s="1349"/>
      <c r="T14" s="1348"/>
      <c r="W14" s="36" t="s">
        <v>685</v>
      </c>
      <c r="X14" s="1260">
        <f>$X$12*F31</f>
        <v>3.7799999999999994</v>
      </c>
      <c r="Y14" s="1260">
        <f>$Y$12*F31</f>
        <v>7.5599999999999987</v>
      </c>
      <c r="Z14" s="1260">
        <f>$Z$12*F31</f>
        <v>7.5599999999999987</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347"/>
      <c r="S15" s="1343"/>
      <c r="T15" s="1346"/>
      <c r="W15" s="36" t="s">
        <v>684</v>
      </c>
      <c r="X15" s="1260">
        <f>$X$12*F32</f>
        <v>21.419999999999998</v>
      </c>
      <c r="Y15" s="1260">
        <f>$Y$12*F32</f>
        <v>42.839999999999996</v>
      </c>
      <c r="Z15" s="1260">
        <f>$Z$12*F32</f>
        <v>42.839999999999996</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347"/>
      <c r="S16" s="1343"/>
      <c r="T16" s="1346"/>
      <c r="W16" s="36" t="s">
        <v>230</v>
      </c>
      <c r="X16" s="1260">
        <f>$X$12*F33</f>
        <v>1.2600000000000002</v>
      </c>
      <c r="Y16" s="1260">
        <f>$Y$12*F33</f>
        <v>2.5200000000000005</v>
      </c>
      <c r="Z16" s="1260">
        <f>$Z$12*F33</f>
        <v>2.5200000000000005</v>
      </c>
    </row>
    <row r="17" spans="1:33" s="511" customFormat="1" ht="15" customHeight="1">
      <c r="A17" s="40"/>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row>
    <row r="18" spans="1:33" s="36" customFormat="1" ht="18.75" customHeight="1">
      <c r="A18" s="39"/>
      <c r="B18" s="209" t="s">
        <v>1563</v>
      </c>
      <c r="C18" s="1672"/>
      <c r="D18" s="1672"/>
      <c r="E18" s="1672"/>
      <c r="F18" s="1672"/>
      <c r="G18" s="2464"/>
      <c r="H18" s="2249"/>
      <c r="I18" s="3474"/>
      <c r="J18" s="1041">
        <f>SUM(I19:I21)</f>
        <v>177</v>
      </c>
      <c r="K18" s="2250"/>
      <c r="L18" s="2466"/>
      <c r="M18" s="1044">
        <f>SUM(L19:L21)</f>
        <v>177</v>
      </c>
      <c r="N18" s="2249"/>
      <c r="O18" s="3474"/>
      <c r="P18" s="1111">
        <f>SUM(O19:O21)</f>
        <v>177</v>
      </c>
      <c r="Q18" s="28"/>
      <c r="R18" s="514" t="s">
        <v>870</v>
      </c>
      <c r="S18" s="308"/>
      <c r="T18" s="1248"/>
    </row>
    <row r="19" spans="1:33" ht="15.6" customHeight="1">
      <c r="A19" s="309"/>
      <c r="B19" s="1247"/>
      <c r="C19" s="4365" t="s">
        <v>1560</v>
      </c>
      <c r="D19" s="4365"/>
      <c r="E19" s="4365"/>
      <c r="F19" s="4365"/>
      <c r="G19" s="1246" t="s">
        <v>163</v>
      </c>
      <c r="H19" s="1244"/>
      <c r="I19" s="2827">
        <f>IF(OR($C19=0,$J$6=0),0,VLOOKUP($C19,'SD2'!C60:O78,12,FALSE))</f>
        <v>155</v>
      </c>
      <c r="J19" s="39"/>
      <c r="K19" s="1245"/>
      <c r="L19" s="1098">
        <f>IF(OR($C19=0,$M$6=0),0,VLOOKUP($C19,'SD2'!$C$60:$O$78,12,FALSE))</f>
        <v>155</v>
      </c>
      <c r="M19" s="1016"/>
      <c r="N19" s="1244"/>
      <c r="O19" s="2827">
        <f>IF(OR($C19=0,$P$6=0),0,VLOOKUP($C19,'SD2'!C60:O78,12,FALSE))</f>
        <v>155</v>
      </c>
      <c r="P19" s="2826"/>
      <c r="R19" s="1242">
        <f>J13+J18</f>
        <v>417</v>
      </c>
      <c r="S19" s="1242">
        <f>M13+M18</f>
        <v>417</v>
      </c>
      <c r="T19" s="1242">
        <f>P13+P18</f>
        <v>417</v>
      </c>
      <c r="AF19" s="36"/>
      <c r="AG19" s="36"/>
    </row>
    <row r="20" spans="1:33" s="2894" customFormat="1" ht="15.6" customHeight="1">
      <c r="A20" s="2788"/>
      <c r="B20" s="1247"/>
      <c r="C20" s="4365" t="s">
        <v>1675</v>
      </c>
      <c r="D20" s="4365"/>
      <c r="E20" s="4365"/>
      <c r="F20" s="4365"/>
      <c r="G20" s="2914"/>
      <c r="H20" s="1244"/>
      <c r="I20" s="2827">
        <f>IF(OR($C20=0,$J$6=0),0,VLOOKUP($C20,'SD2'!C61:O79,12,FALSE))</f>
        <v>22</v>
      </c>
      <c r="J20" s="2783"/>
      <c r="K20" s="1245"/>
      <c r="L20" s="2829">
        <f>IF(OR($C20=0,$M$6=0),0,VLOOKUP($C20,'SD2'!$C$60:$O$78,12,FALSE))</f>
        <v>22</v>
      </c>
      <c r="M20" s="2795"/>
      <c r="N20" s="1244"/>
      <c r="O20" s="2827">
        <f>IF(OR($C20=0,$P$6=0),0,VLOOKUP($C20,'SD2'!C61:O79,12,FALSE))</f>
        <v>22</v>
      </c>
      <c r="P20" s="2826"/>
      <c r="Q20" s="2895"/>
      <c r="R20" s="2888"/>
      <c r="S20" s="2888"/>
      <c r="T20" s="2888"/>
      <c r="AF20" s="36"/>
      <c r="AG20" s="36"/>
    </row>
    <row r="21" spans="1:33" s="2894" customFormat="1" ht="15.6" customHeight="1">
      <c r="A21" s="2788"/>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08"/>
      <c r="Q21" s="2895"/>
      <c r="R21" s="2888"/>
      <c r="S21" s="2888"/>
      <c r="T21" s="2888"/>
      <c r="AF21" s="36"/>
      <c r="AG21" s="36"/>
    </row>
    <row r="22" spans="1:33" ht="15.6" customHeight="1">
      <c r="A22" s="309"/>
      <c r="B22" s="245" t="s">
        <v>869</v>
      </c>
      <c r="C22" s="39"/>
      <c r="D22" s="1234"/>
      <c r="E22" s="4370" t="s">
        <v>868</v>
      </c>
      <c r="F22" s="4370"/>
      <c r="G22" s="4371"/>
      <c r="H22" s="1231"/>
      <c r="I22" s="1230"/>
      <c r="J22" s="1229"/>
      <c r="K22" s="1233"/>
      <c r="L22" s="1232"/>
      <c r="M22" s="1229"/>
      <c r="N22" s="1231"/>
      <c r="O22" s="1230"/>
      <c r="P22" s="1229"/>
    </row>
    <row r="23" spans="1:33" s="36" customFormat="1" ht="18.75" customHeight="1">
      <c r="A23" s="746"/>
      <c r="B23" s="209" t="s">
        <v>214</v>
      </c>
      <c r="C23" s="1228"/>
      <c r="D23" s="1228"/>
      <c r="E23" s="34"/>
      <c r="F23" s="4381"/>
      <c r="G23" s="4382" t="s">
        <v>163</v>
      </c>
      <c r="H23" s="1043"/>
      <c r="I23" s="1042"/>
      <c r="J23" s="1026">
        <f>SUM(I25:I26)</f>
        <v>168.00000000000003</v>
      </c>
      <c r="K23" s="1046"/>
      <c r="L23" s="1045"/>
      <c r="M23" s="1227">
        <f>SUM(L25:L26)</f>
        <v>168.00000000000003</v>
      </c>
      <c r="N23" s="1043"/>
      <c r="O23" s="1042"/>
      <c r="P23" s="1026">
        <f>SUM(O25:O26)</f>
        <v>168.00000000000003</v>
      </c>
      <c r="Q23" s="28"/>
    </row>
    <row r="24" spans="1:33"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33" s="511" customFormat="1" ht="18.75" customHeight="1">
      <c r="A25" s="711"/>
      <c r="B25" s="1223"/>
      <c r="C25" s="746" t="s">
        <v>866</v>
      </c>
      <c r="D25" s="4383"/>
      <c r="E25" s="4384"/>
      <c r="F25" s="1222">
        <f>SDÖ7!F17/100</f>
        <v>1.1200000000000001</v>
      </c>
      <c r="G25" s="1221">
        <f>F25*(100+$D$24)/100</f>
        <v>1.1200000000000001</v>
      </c>
      <c r="H25" s="1220">
        <v>150</v>
      </c>
      <c r="I25" s="1181">
        <f>H25*$G25</f>
        <v>168.00000000000003</v>
      </c>
      <c r="J25" s="39"/>
      <c r="K25" s="1220">
        <f>H25</f>
        <v>150</v>
      </c>
      <c r="L25" s="1023">
        <f>K25*$G25</f>
        <v>168.00000000000003</v>
      </c>
      <c r="M25" s="1016"/>
      <c r="N25" s="1220">
        <f>H25</f>
        <v>150</v>
      </c>
      <c r="O25" s="1181">
        <f>N25*$G25</f>
        <v>168.00000000000003</v>
      </c>
      <c r="P25" s="1145"/>
      <c r="Q25" s="28"/>
    </row>
    <row r="26" spans="1:33"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33" s="511" customFormat="1" ht="17.399999999999999" customHeight="1">
      <c r="A27" s="711"/>
      <c r="B27" s="1215" t="s">
        <v>213</v>
      </c>
      <c r="C27" s="711"/>
      <c r="D27" s="51"/>
      <c r="E27" s="34"/>
      <c r="F27" s="34"/>
      <c r="G27" s="1214" t="s">
        <v>163</v>
      </c>
      <c r="H27" s="1173"/>
      <c r="I27" s="1172"/>
      <c r="J27" s="1041">
        <f>SUM(I30:I32)</f>
        <v>366.77719999999999</v>
      </c>
      <c r="K27" s="1175"/>
      <c r="L27" s="1174"/>
      <c r="M27" s="1044">
        <f>SUM(L30:L32)</f>
        <v>629.95439999999996</v>
      </c>
      <c r="N27" s="1173"/>
      <c r="O27" s="1172"/>
      <c r="P27" s="1041">
        <f>SUM(O30:O32)</f>
        <v>629.95439999999996</v>
      </c>
      <c r="Q27" s="28"/>
    </row>
    <row r="28" spans="1:33" s="36" customFormat="1" ht="15" customHeight="1">
      <c r="A28" s="746"/>
      <c r="B28" s="774"/>
      <c r="C28" s="2238"/>
      <c r="D28" s="1213" t="s">
        <v>706</v>
      </c>
      <c r="E28" s="1213" t="s">
        <v>864</v>
      </c>
      <c r="F28" s="1213" t="s">
        <v>864</v>
      </c>
      <c r="G28" s="1212" t="s">
        <v>863</v>
      </c>
      <c r="H28" s="1172"/>
      <c r="I28" s="1209"/>
      <c r="J28" s="2239"/>
      <c r="K28" s="1175"/>
      <c r="L28" s="1105"/>
      <c r="M28" s="1210"/>
      <c r="N28" s="1173"/>
      <c r="O28" s="1209"/>
      <c r="P28" s="1026"/>
      <c r="Q28" s="34"/>
    </row>
    <row r="29" spans="1:33" s="36" customFormat="1" ht="15" customHeight="1">
      <c r="A29" s="746"/>
      <c r="B29" s="1208"/>
      <c r="C29" s="747" t="s">
        <v>862</v>
      </c>
      <c r="D29" s="1034" t="s">
        <v>611</v>
      </c>
      <c r="E29" s="1034" t="s">
        <v>861</v>
      </c>
      <c r="F29" s="1034" t="s">
        <v>860</v>
      </c>
      <c r="G29" s="1034" t="s">
        <v>1128</v>
      </c>
      <c r="H29" s="1205" t="s">
        <v>612</v>
      </c>
      <c r="I29" s="1027" t="s">
        <v>163</v>
      </c>
      <c r="J29" s="2238"/>
      <c r="K29" s="1207" t="s">
        <v>612</v>
      </c>
      <c r="L29" s="1030" t="s">
        <v>163</v>
      </c>
      <c r="M29" s="1206"/>
      <c r="N29" s="1205" t="s">
        <v>612</v>
      </c>
      <c r="O29" s="1027" t="s">
        <v>163</v>
      </c>
      <c r="P29" s="1204"/>
      <c r="Q29" s="28"/>
    </row>
    <row r="30" spans="1:33" s="36" customFormat="1" ht="15" customHeight="1">
      <c r="A30" s="746"/>
      <c r="B30" s="1203"/>
      <c r="C30" s="1202" t="s">
        <v>236</v>
      </c>
      <c r="D30" s="1150">
        <f>SDÖ1!O56</f>
        <v>5.18</v>
      </c>
      <c r="E30" s="1201">
        <f>VLOOKUP('SD8'!B20,'SD8'!B9:K44,3,FALSE)</f>
        <v>1.38</v>
      </c>
      <c r="F30" s="1201">
        <f>VLOOKUP('SD8'!$B$20,'SD8'!$B$9:$L$42,7,FALSE)</f>
        <v>0.35000000000000009</v>
      </c>
      <c r="G30" s="1200">
        <v>20</v>
      </c>
      <c r="H30" s="1198">
        <f>IF(J$6=0,0,(J$6*$E30+$G30+X13))</f>
        <v>53.9</v>
      </c>
      <c r="I30" s="1181">
        <f>H30*$D30</f>
        <v>279.202</v>
      </c>
      <c r="J30" s="39"/>
      <c r="K30" s="1199">
        <f>IF(M$6=0,0,(M$6*$E30+$G30+Y13))</f>
        <v>87.8</v>
      </c>
      <c r="L30" s="1023">
        <f>K30*$D30</f>
        <v>454.80399999999997</v>
      </c>
      <c r="M30" s="1016"/>
      <c r="N30" s="1198">
        <f>IF(P$6=0,0,(P$6*$E30+$G30+Z13))</f>
        <v>87.8</v>
      </c>
      <c r="O30" s="1181">
        <f>N30*$D30</f>
        <v>454.80399999999997</v>
      </c>
      <c r="P30" s="1145"/>
      <c r="Q30" s="28"/>
    </row>
    <row r="31" spans="1:33" s="36" customFormat="1" ht="15" customHeight="1">
      <c r="A31" s="746"/>
      <c r="B31" s="217"/>
      <c r="C31" s="746" t="s">
        <v>234</v>
      </c>
      <c r="D31" s="1150">
        <f>SDÖ1!O57</f>
        <v>1.42</v>
      </c>
      <c r="E31" s="1201">
        <f>VLOOKUP('SD8'!B20,'SD8'!B9:K44,4,FALSE)</f>
        <v>0.8</v>
      </c>
      <c r="F31" s="1201">
        <f>VLOOKUP('SD8'!$B$20,'SD8'!$B$9:$L$42,8,FALSE)</f>
        <v>0.20999999999999996</v>
      </c>
      <c r="G31" s="1200"/>
      <c r="H31" s="1198">
        <f>IF(J$6=0,0,(J$6*$E31+$G31+X14))</f>
        <v>19.78</v>
      </c>
      <c r="I31" s="1181">
        <f>H31*$D31</f>
        <v>28.087600000000002</v>
      </c>
      <c r="J31" s="39"/>
      <c r="K31" s="1199">
        <f>IF(M$6=0,0,(M$6*$E31+$G31+Y14))</f>
        <v>39.56</v>
      </c>
      <c r="L31" s="1023">
        <f>K31*$D31</f>
        <v>56.175200000000004</v>
      </c>
      <c r="M31" s="1016"/>
      <c r="N31" s="1198">
        <f>IF(P$6=0,0,(P$6*$E31+$G31+Z14))</f>
        <v>39.56</v>
      </c>
      <c r="O31" s="1181">
        <f>N31*$D31</f>
        <v>56.175200000000004</v>
      </c>
      <c r="P31" s="1145"/>
      <c r="Q31" s="28"/>
    </row>
    <row r="32" spans="1:33" s="511" customFormat="1" ht="18.75" customHeight="1">
      <c r="A32" s="711"/>
      <c r="B32" s="185"/>
      <c r="C32" s="2791" t="s">
        <v>232</v>
      </c>
      <c r="D32" s="1133">
        <f>SDÖ1!O58</f>
        <v>1.78</v>
      </c>
      <c r="E32" s="1197">
        <f>VLOOKUP('SD8'!B20,'SD8'!B9:K44,5,FALSE)</f>
        <v>0.6</v>
      </c>
      <c r="F32" s="1197">
        <f>VLOOKUP('SD8'!$B$20,'SD8'!$B$9:$L$42,9,FALSE)</f>
        <v>1.19</v>
      </c>
      <c r="G32" s="1196"/>
      <c r="H32" s="1194">
        <f>IF(J$6=0,0,(J$6*$E32+$G32+X15))</f>
        <v>33.42</v>
      </c>
      <c r="I32" s="1177">
        <f>H32*$D32</f>
        <v>59.4876</v>
      </c>
      <c r="J32" s="223"/>
      <c r="K32" s="1195">
        <f>IF(M$6=0,0,(M$6*$E32+$G32+Y15))</f>
        <v>66.84</v>
      </c>
      <c r="L32" s="1017">
        <f>K32*$D32</f>
        <v>118.9752</v>
      </c>
      <c r="M32" s="1256"/>
      <c r="N32" s="1194">
        <f>IF(P$6=0,0,(P$6*$E32+$G32+Z15))</f>
        <v>66.84</v>
      </c>
      <c r="O32" s="1177">
        <f>N32*$D32</f>
        <v>118.9752</v>
      </c>
      <c r="P32" s="1176"/>
      <c r="Q32" s="28"/>
    </row>
    <row r="33" spans="1:17" s="511" customFormat="1" ht="13.2" hidden="1" customHeight="1">
      <c r="A33" s="711"/>
      <c r="B33" s="185"/>
      <c r="C33" s="771" t="s">
        <v>230</v>
      </c>
      <c r="D33" s="1133">
        <f>SDÖ1!P59</f>
        <v>0.5</v>
      </c>
      <c r="E33" s="1197">
        <f>VLOOKUP('SD8'!B20,'SD8'!B9:K44,6,FALSE)</f>
        <v>0.2</v>
      </c>
      <c r="F33" s="1201">
        <f>VLOOKUP('SD8'!$B$20,'SD8'!$B$9:$L$42,10,FALSE)</f>
        <v>7.0000000000000007E-2</v>
      </c>
      <c r="G33" s="1196"/>
      <c r="H33" s="1194">
        <f>IF(J$6=0,0,(J$6*$E33+$G33+X16))</f>
        <v>5.26</v>
      </c>
      <c r="I33" s="1177">
        <f>H33*$D33</f>
        <v>2.63</v>
      </c>
      <c r="J33" s="39"/>
      <c r="K33" s="1195">
        <f>IF(M$6=0,0,(M$6*$E33+$G33+Y16))</f>
        <v>10.52</v>
      </c>
      <c r="L33" s="1017">
        <f>K33*$D33</f>
        <v>5.26</v>
      </c>
      <c r="M33" s="1016"/>
      <c r="N33" s="1194">
        <f>IF(P$6=0,0,(P$6*$E33+$G33+Z16))</f>
        <v>10.52</v>
      </c>
      <c r="O33" s="1177">
        <f>N33*$D33</f>
        <v>5.26</v>
      </c>
      <c r="P33" s="1176"/>
      <c r="Q33" s="28"/>
    </row>
    <row r="34" spans="1:17" s="36" customFormat="1" ht="15" customHeight="1">
      <c r="A34" s="746"/>
      <c r="B34" s="716" t="s">
        <v>212</v>
      </c>
      <c r="C34" s="711"/>
      <c r="D34" s="2238"/>
      <c r="E34" s="2238"/>
      <c r="F34" s="4381"/>
      <c r="G34" s="4382" t="s">
        <v>163</v>
      </c>
      <c r="H34" s="1191"/>
      <c r="I34" s="1190"/>
      <c r="J34" s="1041">
        <f>SUM(I36:I42)</f>
        <v>0</v>
      </c>
      <c r="K34" s="1193"/>
      <c r="L34" s="1192"/>
      <c r="M34" s="1044">
        <f>SUM(L36:L42)</f>
        <v>0</v>
      </c>
      <c r="N34" s="1191"/>
      <c r="O34" s="1190"/>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3744"/>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153.70458879333333</v>
      </c>
      <c r="K43" s="1175"/>
      <c r="L43" s="1174"/>
      <c r="M43" s="1044">
        <f>SUM(M46:M57)</f>
        <v>155.17033423166666</v>
      </c>
      <c r="N43" s="1173"/>
      <c r="O43" s="1172"/>
      <c r="P43" s="1041">
        <f>SUM(P46:P57)</f>
        <v>155.17033423166666</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7"/>
      <c r="C46" s="4363"/>
      <c r="D46" s="4364"/>
      <c r="E46" s="1152">
        <f>IF($C46=0,0,VLOOKUP($C46,'SD3'!$C$24:$O$71,4,FALSE))</f>
        <v>0</v>
      </c>
      <c r="F46" s="1151">
        <f>IF($C46=0,0,VLOOKUP($C46,'SD3'!$C$24:$O$71,12,FALSE))</f>
        <v>0</v>
      </c>
      <c r="G46" s="1150">
        <f>IF($C46=0,0,VLOOKUP($C46,'SD3'!$C$24:$O$71,13,FALSE))</f>
        <v>0</v>
      </c>
      <c r="H46" s="1155"/>
      <c r="I46" s="1154">
        <f t="shared" ref="I46:I57" si="4">$F46*H46</f>
        <v>0</v>
      </c>
      <c r="J46" s="1145">
        <f t="shared" ref="J46:J57" si="5">H46*$G46</f>
        <v>0</v>
      </c>
      <c r="K46" s="1155"/>
      <c r="L46" s="1156">
        <f t="shared" ref="L46:L57" si="6">$F46*K46</f>
        <v>0</v>
      </c>
      <c r="M46" s="1148">
        <f t="shared" ref="M46:M57" si="7">K46*$G46</f>
        <v>0</v>
      </c>
      <c r="N46" s="1155"/>
      <c r="O46" s="1154">
        <f t="shared" ref="O46:O57" si="8">$F46*N46</f>
        <v>0</v>
      </c>
      <c r="P46" s="1145">
        <f t="shared" ref="P46:P57" si="9">N46*$G46</f>
        <v>0</v>
      </c>
      <c r="Q46" s="28"/>
    </row>
    <row r="47" spans="1:17" s="36" customFormat="1" ht="15" customHeight="1">
      <c r="A47" s="746"/>
      <c r="B47" s="1153"/>
      <c r="C47" s="4387" t="s">
        <v>1589</v>
      </c>
      <c r="D47" s="4388"/>
      <c r="E47" s="1152">
        <f>IF($C47=0,0,VLOOKUP($C47,'SD3'!$C$24:$O$71,4,FALSE))</f>
        <v>120</v>
      </c>
      <c r="F47" s="1151">
        <f>IF($C47=0,0,VLOOKUP($C47,'SD3'!$C$24:$O$71,12,FALSE))</f>
        <v>1.38</v>
      </c>
      <c r="G47" s="1150">
        <f>IF($C47=0,0,VLOOKUP($C47,'SD3'!$C$24:$O$71,13,FALSE))</f>
        <v>64.642445999999993</v>
      </c>
      <c r="H47" s="1147">
        <v>1</v>
      </c>
      <c r="I47" s="1146">
        <f t="shared" si="4"/>
        <v>1.38</v>
      </c>
      <c r="J47" s="1145">
        <f t="shared" si="5"/>
        <v>64.642445999999993</v>
      </c>
      <c r="K47" s="1147">
        <v>1</v>
      </c>
      <c r="L47" s="1149">
        <f t="shared" si="6"/>
        <v>1.38</v>
      </c>
      <c r="M47" s="1148">
        <f t="shared" si="7"/>
        <v>64.642445999999993</v>
      </c>
      <c r="N47" s="1147">
        <v>1</v>
      </c>
      <c r="O47" s="1146">
        <f t="shared" si="8"/>
        <v>1.38</v>
      </c>
      <c r="P47" s="1145">
        <f t="shared" si="9"/>
        <v>64.642445999999993</v>
      </c>
      <c r="Q47" s="28"/>
    </row>
    <row r="48" spans="1:17" s="36" customFormat="1" ht="15" customHeight="1">
      <c r="A48" s="746"/>
      <c r="B48" s="1153"/>
      <c r="C48" s="4387"/>
      <c r="D48" s="4388"/>
      <c r="E48" s="1152">
        <f>IF($C48=0,0,VLOOKUP($C48,'SD3'!$C$24:$O$71,4,FALSE))</f>
        <v>0</v>
      </c>
      <c r="F48" s="1151">
        <f>IF($C48=0,0,VLOOKUP($C48,'SD3'!$C$24:$O$71,12,FALSE))</f>
        <v>0</v>
      </c>
      <c r="G48" s="1150">
        <f>IF($C48=0,0,VLOOKUP($C48,'SD3'!$C$24:$O$71,13,FALSE))</f>
        <v>0</v>
      </c>
      <c r="H48" s="1147"/>
      <c r="I48" s="1146">
        <f t="shared" si="4"/>
        <v>0</v>
      </c>
      <c r="J48" s="1145">
        <f t="shared" si="5"/>
        <v>0</v>
      </c>
      <c r="K48" s="1147"/>
      <c r="L48" s="1149">
        <f t="shared" si="6"/>
        <v>0</v>
      </c>
      <c r="M48" s="1148">
        <f t="shared" si="7"/>
        <v>0</v>
      </c>
      <c r="N48" s="1147"/>
      <c r="O48" s="1146">
        <f t="shared" si="8"/>
        <v>0</v>
      </c>
      <c r="P48" s="1145">
        <f t="shared" si="9"/>
        <v>0</v>
      </c>
      <c r="Q48" s="28"/>
    </row>
    <row r="49" spans="1:17" s="36" customFormat="1" ht="15" customHeight="1">
      <c r="A49" s="746"/>
      <c r="B49" s="1153"/>
      <c r="C49" s="4387" t="s">
        <v>354</v>
      </c>
      <c r="D49" s="4388"/>
      <c r="E49" s="1152">
        <f>IF($C49=0,0,VLOOKUP($C49,'SD3'!$C$24:$O$71,4,FALSE))</f>
        <v>120</v>
      </c>
      <c r="F49" s="1151">
        <f>IF($C49=0,0,VLOOKUP($C49,'SD3'!$C$24:$O$71,12,FALSE))</f>
        <v>0.71</v>
      </c>
      <c r="G49" s="1150">
        <f>IF($C49=0,0,VLOOKUP($C49,'SD3'!$C$24:$O$71,13,FALSE))</f>
        <v>30.659437999999998</v>
      </c>
      <c r="H49" s="1147">
        <v>1</v>
      </c>
      <c r="I49" s="1146">
        <f t="shared" si="4"/>
        <v>0.71</v>
      </c>
      <c r="J49" s="1145">
        <f t="shared" si="5"/>
        <v>30.659437999999998</v>
      </c>
      <c r="K49" s="1147">
        <v>1</v>
      </c>
      <c r="L49" s="1149">
        <f t="shared" si="6"/>
        <v>0.71</v>
      </c>
      <c r="M49" s="1148">
        <f t="shared" si="7"/>
        <v>30.659437999999998</v>
      </c>
      <c r="N49" s="1147">
        <v>1</v>
      </c>
      <c r="O49" s="1146">
        <f t="shared" si="8"/>
        <v>0.71</v>
      </c>
      <c r="P49" s="1145">
        <f t="shared" si="9"/>
        <v>30.659437999999998</v>
      </c>
      <c r="Q49" s="28"/>
    </row>
    <row r="50" spans="1:17" s="36" customFormat="1" ht="15" customHeight="1">
      <c r="A50" s="746"/>
      <c r="B50" s="1153"/>
      <c r="C50" s="4387" t="s">
        <v>339</v>
      </c>
      <c r="D50" s="4388"/>
      <c r="E50" s="1152">
        <f>IF($C50=0,0,VLOOKUP($C50,'SD3'!$C$24:$O$71,4,FALSE))</f>
        <v>83</v>
      </c>
      <c r="F50" s="1151">
        <f>IF($C50=0,0,VLOOKUP($C50,'SD3'!$C$24:$O$71,12,FALSE))</f>
        <v>0.27</v>
      </c>
      <c r="G50" s="1150">
        <f>IF($C50=0,0,VLOOKUP($C50,'SD3'!$C$24:$O$71,13,FALSE))</f>
        <v>6.9619069099999997</v>
      </c>
      <c r="H50" s="1147">
        <v>2</v>
      </c>
      <c r="I50" s="1146">
        <f t="shared" si="4"/>
        <v>0.54</v>
      </c>
      <c r="J50" s="1145">
        <f t="shared" si="5"/>
        <v>13.923813819999999</v>
      </c>
      <c r="K50" s="1147">
        <v>2</v>
      </c>
      <c r="L50" s="1149">
        <f t="shared" si="6"/>
        <v>0.54</v>
      </c>
      <c r="M50" s="1148">
        <f t="shared" si="7"/>
        <v>13.923813819999999</v>
      </c>
      <c r="N50" s="1147">
        <v>2</v>
      </c>
      <c r="O50" s="1146">
        <f t="shared" si="8"/>
        <v>0.54</v>
      </c>
      <c r="P50" s="1145">
        <f t="shared" si="9"/>
        <v>13.923813819999999</v>
      </c>
      <c r="Q50" s="28"/>
    </row>
    <row r="51" spans="1:17" s="36" customFormat="1" ht="15" customHeight="1">
      <c r="A51" s="746"/>
      <c r="B51" s="1153"/>
      <c r="C51" s="4387"/>
      <c r="D51" s="4388"/>
      <c r="E51" s="1152">
        <f>IF($C51=0,0,VLOOKUP($C51,'SD3'!$C$24:$O$71,4,FALSE))</f>
        <v>0</v>
      </c>
      <c r="F51" s="1151">
        <f>IF($C51=0,0,VLOOKUP($C51,'SD3'!$C$24:$O$71,12,FALSE))</f>
        <v>0</v>
      </c>
      <c r="G51" s="1150">
        <f>IF($C51=0,0,VLOOKUP($C51,'SD3'!$C$24:$O$71,13,FALSE))</f>
        <v>0</v>
      </c>
      <c r="H51" s="1147"/>
      <c r="I51" s="1146">
        <f t="shared" si="4"/>
        <v>0</v>
      </c>
      <c r="J51" s="1145">
        <f t="shared" si="5"/>
        <v>0</v>
      </c>
      <c r="K51" s="1147"/>
      <c r="L51" s="1149">
        <f t="shared" si="6"/>
        <v>0</v>
      </c>
      <c r="M51" s="1148">
        <f t="shared" si="7"/>
        <v>0</v>
      </c>
      <c r="N51" s="1147"/>
      <c r="O51" s="1146">
        <f t="shared" si="8"/>
        <v>0</v>
      </c>
      <c r="P51" s="1145">
        <f t="shared" si="9"/>
        <v>0</v>
      </c>
      <c r="Q51" s="28"/>
    </row>
    <row r="52" spans="1:17" s="36" customFormat="1" ht="15" customHeight="1">
      <c r="A52" s="746"/>
      <c r="B52" s="1153"/>
      <c r="C52" s="4387"/>
      <c r="D52" s="4388"/>
      <c r="E52" s="1152">
        <f>IF($C52=0,0,VLOOKUP($C52,'SD3'!$C$24:$O$71,4,FALSE))</f>
        <v>0</v>
      </c>
      <c r="F52" s="1151">
        <f>IF($C52=0,0,VLOOKUP($C52,'SD3'!$C$24:$O$71,12,FALSE))</f>
        <v>0</v>
      </c>
      <c r="G52" s="1150">
        <f>IF($C52=0,0,VLOOKUP($C52,'SD3'!$C$24:$O$71,13,FALSE))</f>
        <v>0</v>
      </c>
      <c r="H52" s="1147"/>
      <c r="I52" s="1146">
        <f t="shared" si="4"/>
        <v>0</v>
      </c>
      <c r="J52" s="1145">
        <f t="shared" si="5"/>
        <v>0</v>
      </c>
      <c r="K52" s="1147"/>
      <c r="L52" s="1149">
        <f t="shared" si="6"/>
        <v>0</v>
      </c>
      <c r="M52" s="1148">
        <f t="shared" si="7"/>
        <v>0</v>
      </c>
      <c r="N52" s="1147"/>
      <c r="O52" s="1146">
        <f t="shared" si="8"/>
        <v>0</v>
      </c>
      <c r="P52" s="1145">
        <f t="shared" si="9"/>
        <v>0</v>
      </c>
      <c r="Q52" s="28"/>
    </row>
    <row r="53" spans="1:17" s="36" customFormat="1" ht="15" customHeight="1">
      <c r="A53" s="746"/>
      <c r="B53" s="1153"/>
      <c r="C53" s="4403" t="s">
        <v>1748</v>
      </c>
      <c r="D53" s="4404"/>
      <c r="E53" s="1152">
        <f>IF($C53=0,0,VLOOKUP($C53,'SD3'!$C$24:$O$71,4,FALSE))</f>
        <v>120</v>
      </c>
      <c r="F53" s="1151">
        <f>IF($C53=0,0,VLOOKUP($C53,'SD3'!$C$24:$O$71,12,FALSE))</f>
        <v>0.37</v>
      </c>
      <c r="G53" s="1150">
        <f>IF($C53=0,0,VLOOKUP($C53,'SD3'!$C$24:$O$71,13,FALSE))</f>
        <v>11.7573302</v>
      </c>
      <c r="H53" s="3654">
        <f>J6/75</f>
        <v>0.26666666666666666</v>
      </c>
      <c r="I53" s="1146">
        <f t="shared" si="4"/>
        <v>9.8666666666666666E-2</v>
      </c>
      <c r="J53" s="1145">
        <f t="shared" si="5"/>
        <v>3.1352880533333334</v>
      </c>
      <c r="K53" s="3654">
        <f>M6/75</f>
        <v>0.53333333333333333</v>
      </c>
      <c r="L53" s="1149">
        <f t="shared" si="6"/>
        <v>0.19733333333333333</v>
      </c>
      <c r="M53" s="1148">
        <f t="shared" si="7"/>
        <v>6.2705761066666668</v>
      </c>
      <c r="N53" s="3654">
        <f>P6/75</f>
        <v>0.53333333333333333</v>
      </c>
      <c r="O53" s="1146">
        <f t="shared" si="8"/>
        <v>0.19733333333333333</v>
      </c>
      <c r="P53" s="1145">
        <f t="shared" si="9"/>
        <v>6.2705761066666668</v>
      </c>
      <c r="Q53" s="28"/>
    </row>
    <row r="54" spans="1:17" s="36" customFormat="1" ht="15" customHeight="1">
      <c r="A54" s="746"/>
      <c r="B54" s="1153"/>
      <c r="C54" s="4387" t="s">
        <v>360</v>
      </c>
      <c r="D54" s="4388"/>
      <c r="E54" s="1152">
        <f>IF($C54=0,0,VLOOKUP($C54,'SD3'!$C$24:$O$71,4,FALSE))</f>
        <v>120</v>
      </c>
      <c r="F54" s="1151">
        <f>IF($C54=0,0,VLOOKUP($C54,'SD3'!$C$24:$O$71,12,FALSE))</f>
        <v>0.79</v>
      </c>
      <c r="G54" s="1150">
        <f>IF($C54=0,0,VLOOKUP($C54,'SD3'!$C$24:$O$71,13,FALSE))</f>
        <v>27.987262000000001</v>
      </c>
      <c r="H54" s="1147">
        <v>1</v>
      </c>
      <c r="I54" s="1146">
        <f t="shared" si="4"/>
        <v>0.79</v>
      </c>
      <c r="J54" s="1145">
        <f t="shared" si="5"/>
        <v>27.987262000000001</v>
      </c>
      <c r="K54" s="1147">
        <v>1</v>
      </c>
      <c r="L54" s="1149">
        <f t="shared" si="6"/>
        <v>0.79</v>
      </c>
      <c r="M54" s="1148">
        <f t="shared" si="7"/>
        <v>27.987262000000001</v>
      </c>
      <c r="N54" s="1147">
        <v>1</v>
      </c>
      <c r="O54" s="1146">
        <f t="shared" si="8"/>
        <v>0.79</v>
      </c>
      <c r="P54" s="1145">
        <f t="shared" si="9"/>
        <v>27.987262000000001</v>
      </c>
      <c r="Q54" s="28"/>
    </row>
    <row r="55" spans="1:17" s="36" customFormat="1" ht="15" customHeight="1">
      <c r="A55" s="746"/>
      <c r="B55" s="1153"/>
      <c r="C55" s="4387"/>
      <c r="D55" s="4388"/>
      <c r="E55" s="1152">
        <f>IF($C55=0,0,VLOOKUP($C55,'SD3'!$C$24:$O$71,4,FALSE))</f>
        <v>0</v>
      </c>
      <c r="F55" s="1151">
        <f>IF($C55=0,0,VLOOKUP($C55,'SD3'!$C$24:$O$71,12,FALSE))</f>
        <v>0</v>
      </c>
      <c r="G55" s="1150">
        <f>IF($C55=0,0,VLOOKUP($C55,'SD3'!$C$24:$O$71,13,FALSE))</f>
        <v>0</v>
      </c>
      <c r="H55" s="1147"/>
      <c r="I55" s="1146">
        <f t="shared" si="4"/>
        <v>0</v>
      </c>
      <c r="J55" s="1145">
        <f t="shared" si="5"/>
        <v>0</v>
      </c>
      <c r="K55" s="1147"/>
      <c r="L55" s="1149">
        <f t="shared" si="6"/>
        <v>0</v>
      </c>
      <c r="M55" s="1148">
        <f t="shared" si="7"/>
        <v>0</v>
      </c>
      <c r="N55" s="1147"/>
      <c r="O55" s="1146">
        <f t="shared" si="8"/>
        <v>0</v>
      </c>
      <c r="P55" s="1145">
        <f t="shared" si="9"/>
        <v>0</v>
      </c>
      <c r="Q55" s="28"/>
    </row>
    <row r="56" spans="1:17" s="36" customFormat="1" ht="24.75" customHeight="1">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8"/>
    </row>
    <row r="57" spans="1:17" s="36" customFormat="1" ht="24.75" customHeight="1">
      <c r="A57" s="746"/>
      <c r="B57" s="1084"/>
      <c r="C57" s="4461" t="s">
        <v>332</v>
      </c>
      <c r="D57" s="4462"/>
      <c r="E57" s="2589">
        <f>IF($C57=0,0,VLOOKUP($C57,'SD3'!$C$24:$O$71,4,FALSE))</f>
        <v>83</v>
      </c>
      <c r="F57" s="2590">
        <f>IF($C57=0,0,VLOOKUP($C57,'SD3'!$C$24:$O$71,12,FALSE))</f>
        <v>1.3</v>
      </c>
      <c r="G57" s="2591">
        <f>IF($C57=0,0,VLOOKUP($C57,'SD3'!$C$24:$O$71,13,FALSE))</f>
        <v>25.970662899999994</v>
      </c>
      <c r="H57" s="3745">
        <f>IF($T$4=TRUE,0,H11/35)</f>
        <v>0.51428571428571423</v>
      </c>
      <c r="I57" s="1130">
        <f t="shared" si="4"/>
        <v>0.66857142857142848</v>
      </c>
      <c r="J57" s="1129">
        <f t="shared" si="5"/>
        <v>13.356340919999996</v>
      </c>
      <c r="K57" s="3746">
        <f>IF($T$4=TRUE,0,H11/40)</f>
        <v>0.45</v>
      </c>
      <c r="L57" s="1132">
        <f t="shared" si="6"/>
        <v>0.58500000000000008</v>
      </c>
      <c r="M57" s="1079">
        <f t="shared" si="7"/>
        <v>11.686798304999998</v>
      </c>
      <c r="N57" s="3745">
        <f>IF($T$4=TRUE,0,H11/40)</f>
        <v>0.45</v>
      </c>
      <c r="O57" s="1130">
        <f t="shared" si="8"/>
        <v>0.58500000000000008</v>
      </c>
      <c r="P57" s="1129">
        <f t="shared" si="9"/>
        <v>11.686798304999998</v>
      </c>
      <c r="Q57" s="2636"/>
    </row>
    <row r="58" spans="1:17" s="511" customFormat="1" ht="18.75" customHeight="1">
      <c r="A58" s="711"/>
      <c r="B58" s="716" t="s">
        <v>848</v>
      </c>
      <c r="C58" s="811"/>
      <c r="D58" s="811"/>
      <c r="E58" s="811"/>
      <c r="F58" s="34"/>
      <c r="G58" s="1047"/>
      <c r="H58" s="1124"/>
      <c r="I58" s="1123">
        <f>SUM($I$46:$I$57)</f>
        <v>4.1872380952380945</v>
      </c>
      <c r="J58" s="1128"/>
      <c r="K58" s="1127"/>
      <c r="L58" s="1126">
        <f>SUM($L$46:$L$57)</f>
        <v>4.2023333333333337</v>
      </c>
      <c r="M58" s="1125"/>
      <c r="N58" s="1124"/>
      <c r="O58" s="1123">
        <f>SUM($O$46:$O$57)</f>
        <v>4.2023333333333337</v>
      </c>
      <c r="P58" s="1122"/>
      <c r="Q58" s="28"/>
    </row>
    <row r="59" spans="1:17" s="511" customFormat="1" ht="15" customHeight="1">
      <c r="A59" s="711"/>
      <c r="B59" s="1121"/>
      <c r="C59" s="285"/>
      <c r="D59" s="222" t="s">
        <v>847</v>
      </c>
      <c r="E59" s="1120">
        <v>80</v>
      </c>
      <c r="F59" s="285" t="s">
        <v>846</v>
      </c>
      <c r="G59" s="1119"/>
      <c r="H59" s="1115"/>
      <c r="I59" s="1114">
        <f>IF(I58+SUM($I$46:$I$57)*$E$59%&gt;I58+10,I58+10,I58+SUM($I$46:$I$57)*$E$59%)</f>
        <v>7.5370285714285705</v>
      </c>
      <c r="J59" s="1113"/>
      <c r="K59" s="1118"/>
      <c r="L59" s="1117">
        <f>IF(L58+SUM($L$46:$L$57)*$E$59%&gt;L58+10,L58+10,L58+SUM($L$46:$L$57)*$E$59%)</f>
        <v>7.5642000000000014</v>
      </c>
      <c r="M59" s="1116"/>
      <c r="N59" s="1115"/>
      <c r="O59" s="1114">
        <f>IF(O58+SUM($O$46:$O$57)*$E$59%&gt;O58+10,O58+10,O58+SUM($O$46:$O$57)*$E$59%)</f>
        <v>7.5642000000000014</v>
      </c>
      <c r="P59" s="1113"/>
      <c r="Q59" s="28"/>
    </row>
    <row r="60" spans="1:17" s="46" customFormat="1" ht="18.75" customHeight="1">
      <c r="A60" s="811"/>
      <c r="B60" s="716" t="s">
        <v>845</v>
      </c>
      <c r="C60" s="811"/>
      <c r="D60" s="811"/>
      <c r="E60" s="39"/>
      <c r="F60" s="39"/>
      <c r="G60" s="1112"/>
      <c r="H60" s="1104"/>
      <c r="I60" s="1103"/>
      <c r="J60" s="1111">
        <f>IF(J6=0,0,SUM(I62:I64))</f>
        <v>234.9</v>
      </c>
      <c r="K60" s="1107"/>
      <c r="L60" s="1106"/>
      <c r="M60" s="1044">
        <f>IF(M6=0,0,SUM(L62:L64))</f>
        <v>294.3</v>
      </c>
      <c r="N60" s="1104"/>
      <c r="O60" s="1103"/>
      <c r="P60" s="1111">
        <f>IF(P6=0,0,SUM(O62:O64))</f>
        <v>294.3</v>
      </c>
      <c r="Q60" s="28"/>
    </row>
    <row r="61" spans="1:17"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t="s">
        <v>296</v>
      </c>
      <c r="D62" s="4365"/>
      <c r="E62" s="4365"/>
      <c r="F62" s="1101">
        <f>IF($C62=0,0,VLOOKUP($C62,'SD3'!$C$90:$D$104,2,FALSE))</f>
        <v>175.5</v>
      </c>
      <c r="G62" s="1100">
        <f>(100+$D$61)/100*F62</f>
        <v>175.5</v>
      </c>
      <c r="H62" s="173"/>
      <c r="I62" s="1096">
        <f>$G$62</f>
        <v>175.5</v>
      </c>
      <c r="J62" s="173"/>
      <c r="K62" s="1099"/>
      <c r="L62" s="1098">
        <f>$G$62</f>
        <v>175.5</v>
      </c>
      <c r="M62" s="1016"/>
      <c r="N62" s="1097"/>
      <c r="O62" s="1096">
        <f>$G$62</f>
        <v>175.5</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t="s">
        <v>289</v>
      </c>
      <c r="D64" s="4396"/>
      <c r="E64" s="4396"/>
      <c r="F64" s="1083">
        <f>IF($T$3=FALSE,0,VLOOKUP($C64,'SD3'!$C$90:$D$104,2,FALSE))</f>
        <v>3.3</v>
      </c>
      <c r="G64" s="1082">
        <f>(100+$D$61)/100*F64</f>
        <v>3.3</v>
      </c>
      <c r="H64" s="1078"/>
      <c r="I64" s="1077">
        <f>H11*$G$64</f>
        <v>59.4</v>
      </c>
      <c r="J64" s="173"/>
      <c r="K64" s="1081"/>
      <c r="L64" s="1080">
        <f>K11*$G$64</f>
        <v>118.8</v>
      </c>
      <c r="M64" s="1079"/>
      <c r="N64" s="1078"/>
      <c r="O64" s="1077">
        <f>N11*$G$64</f>
        <v>118.8</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5"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22.95" customHeight="1">
      <c r="A67" s="711"/>
      <c r="B67" s="716" t="s">
        <v>843</v>
      </c>
      <c r="C67" s="711"/>
      <c r="D67" s="711"/>
      <c r="E67" s="175"/>
      <c r="F67" s="1069"/>
      <c r="G67" s="1047"/>
      <c r="H67" s="1066" t="s">
        <v>842</v>
      </c>
      <c r="I67" s="1065" t="s">
        <v>841</v>
      </c>
      <c r="J67" s="1041">
        <f>R68*(H9+H10)*I68%+F68</f>
        <v>26.549999999999994</v>
      </c>
      <c r="K67" s="1068" t="s">
        <v>842</v>
      </c>
      <c r="L67" s="1067" t="s">
        <v>841</v>
      </c>
      <c r="M67" s="1044">
        <f>S68*(K9+K10)*L68%+F68</f>
        <v>53.099999999999987</v>
      </c>
      <c r="N67" s="1066" t="s">
        <v>842</v>
      </c>
      <c r="O67" s="1065" t="s">
        <v>841</v>
      </c>
      <c r="P67" s="1041">
        <f>T68*(N9+N10)*O68%+F68</f>
        <v>81.100000000000051</v>
      </c>
      <c r="Q67" s="28"/>
    </row>
    <row r="68" spans="1:20" s="511" customFormat="1" ht="15" customHeight="1">
      <c r="A68" s="711"/>
      <c r="B68" s="1064"/>
      <c r="C68" s="4393" t="s">
        <v>564</v>
      </c>
      <c r="D68" s="4393"/>
      <c r="E68" s="4393"/>
      <c r="F68" s="1063"/>
      <c r="G68" s="1054" t="s">
        <v>163</v>
      </c>
      <c r="H68" s="1061">
        <v>16</v>
      </c>
      <c r="I68" s="1060">
        <v>50</v>
      </c>
      <c r="J68" s="1059"/>
      <c r="K68" s="1061">
        <v>16</v>
      </c>
      <c r="L68" s="1060">
        <v>50</v>
      </c>
      <c r="M68" s="1062"/>
      <c r="N68" s="1061">
        <v>18</v>
      </c>
      <c r="O68" s="1060">
        <v>50</v>
      </c>
      <c r="P68" s="1059"/>
      <c r="Q68" s="28"/>
      <c r="R68" s="1058">
        <f>IF($H$68=0,0,VLOOKUP($H$68,'SD6'!B8:C151,'SD6'!C1,FALSE))*(1+'SDK1'!O11/100)</f>
        <v>2.6549999999999994</v>
      </c>
      <c r="S68" s="1058">
        <f>IF($K$68=0,0,VLOOKUP($K$68,'SD6'!B8:C151,'SD6'!C1,FALSE))*(1+'SDK1'!O11/100)</f>
        <v>2.6549999999999994</v>
      </c>
      <c r="T68" s="1058">
        <f>IF($N$68=0,0,VLOOKUP($N$68,'SD6'!B8:C151,'SD6'!C1,FALSE))*(1+'SDK1'!O11/100)</f>
        <v>4.0550000000000024</v>
      </c>
    </row>
    <row r="69" spans="1:20" s="511" customFormat="1" ht="18.75" customHeight="1">
      <c r="A69" s="711"/>
      <c r="B69" s="716" t="s">
        <v>839</v>
      </c>
      <c r="C69" s="711"/>
      <c r="D69" s="711"/>
      <c r="E69" s="34"/>
      <c r="F69" s="34"/>
      <c r="G69" s="1047"/>
      <c r="H69" s="38"/>
      <c r="I69" s="51"/>
      <c r="J69" s="1041">
        <f>H70*$F70/1000</f>
        <v>17.112959999999998</v>
      </c>
      <c r="K69" s="1057"/>
      <c r="L69" s="1056"/>
      <c r="M69" s="1044">
        <f>K70*$F70/1000</f>
        <v>34.225919999999995</v>
      </c>
      <c r="N69" s="38"/>
      <c r="O69" s="51"/>
      <c r="P69" s="1041">
        <f>N70*$F70/1000</f>
        <v>34.225919999999995</v>
      </c>
      <c r="Q69" s="28"/>
    </row>
    <row r="70" spans="1:20" s="511" customFormat="1" ht="15" customHeight="1">
      <c r="A70" s="711"/>
      <c r="B70" s="772"/>
      <c r="C70" s="771" t="s">
        <v>606</v>
      </c>
      <c r="D70" s="285"/>
      <c r="E70" s="222"/>
      <c r="F70" s="3742">
        <f>SDÖ7!F63</f>
        <v>16</v>
      </c>
      <c r="G70" s="1054" t="s">
        <v>163</v>
      </c>
      <c r="H70" s="1357">
        <f>J7</f>
        <v>1069.56</v>
      </c>
      <c r="I70" s="1049"/>
      <c r="J70" s="1048"/>
      <c r="K70" s="1053">
        <f>M7</f>
        <v>2139.12</v>
      </c>
      <c r="L70" s="1052"/>
      <c r="M70" s="1051"/>
      <c r="N70" s="1357">
        <f>P7</f>
        <v>2139.12</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5</v>
      </c>
      <c r="H75" s="1007"/>
      <c r="I75" s="1008"/>
      <c r="J75" s="1005">
        <f>(J23+J27+J34+J43+J60+J65+J67+J69+J71)*('SDK1'!$O$59%*$G$75/12)</f>
        <v>8.0587062399444438</v>
      </c>
      <c r="K75" s="2223"/>
      <c r="L75" s="522"/>
      <c r="M75" s="1005">
        <f>(M23+M27+M34+M43+M60+M65+M67+M69+M71)*('SDK1'!$O$59%*$G$75/12)</f>
        <v>11.122922118597222</v>
      </c>
      <c r="N75" s="1007"/>
      <c r="O75" s="1006"/>
      <c r="P75" s="1005">
        <f>(P23+P27+P34+P43+P60+P65+P67+P69+P71)*('SDK1'!$O$59%*$G$75/12)</f>
        <v>11.356255451930558</v>
      </c>
      <c r="Q75" s="28"/>
    </row>
    <row r="76" spans="1:20">
      <c r="L76" s="2608"/>
      <c r="M76" s="2608"/>
      <c r="N76" s="2608"/>
      <c r="O76" s="2608"/>
      <c r="P76" s="2608"/>
      <c r="Q76" s="2608"/>
    </row>
    <row r="77" spans="1:20">
      <c r="B77" s="2919"/>
      <c r="C77" s="2919"/>
      <c r="D77" s="2919"/>
      <c r="E77" s="2919"/>
      <c r="F77" s="2919"/>
      <c r="G77" s="2919"/>
      <c r="L77" s="2608"/>
      <c r="M77" s="2608"/>
      <c r="N77" s="2608"/>
      <c r="O77" s="2608"/>
      <c r="P77" s="2608"/>
      <c r="Q77" s="2608"/>
    </row>
    <row r="78" spans="1:20">
      <c r="B78" s="2919"/>
      <c r="C78" s="2919"/>
      <c r="D78" s="2919"/>
      <c r="E78" s="2919"/>
      <c r="F78" s="2919"/>
      <c r="G78" s="2919"/>
      <c r="H78" s="2608"/>
      <c r="I78" s="2608"/>
      <c r="J78" s="2608"/>
      <c r="K78" s="2608"/>
      <c r="L78" s="2608"/>
      <c r="M78" s="2608"/>
      <c r="N78" s="2608"/>
      <c r="O78" s="2608"/>
      <c r="P78" s="2608"/>
      <c r="Q78" s="2608"/>
    </row>
    <row r="79" spans="1:20">
      <c r="B79" s="2919"/>
      <c r="C79" s="2919"/>
      <c r="D79" s="2919"/>
      <c r="E79" s="2919"/>
      <c r="F79" s="2919"/>
      <c r="G79" s="2919"/>
      <c r="H79" s="2608"/>
      <c r="I79" s="2608"/>
      <c r="J79" s="2608"/>
      <c r="K79" s="2608"/>
      <c r="L79" s="2608"/>
      <c r="M79" s="2608"/>
      <c r="N79" s="2608"/>
      <c r="O79" s="2608"/>
      <c r="P79" s="2608"/>
      <c r="Q79" s="2608"/>
    </row>
    <row r="80" spans="1:20">
      <c r="B80" s="2919"/>
      <c r="C80" s="2919"/>
      <c r="D80" s="2919"/>
      <c r="E80" s="2919"/>
      <c r="F80" s="2919"/>
      <c r="G80" s="2919"/>
      <c r="H80" s="2608"/>
      <c r="I80" s="2608"/>
      <c r="J80" s="2608"/>
      <c r="K80" s="2608"/>
      <c r="L80" s="2608"/>
      <c r="M80" s="2608"/>
      <c r="N80" s="2608"/>
      <c r="O80" s="2608"/>
      <c r="P80" s="2608"/>
      <c r="Q80" s="2608"/>
    </row>
    <row r="81" spans="2:17">
      <c r="B81" s="2919"/>
      <c r="C81" s="2919"/>
      <c r="D81" s="2919"/>
      <c r="E81" s="2919"/>
      <c r="F81" s="2919"/>
      <c r="G81" s="2919"/>
      <c r="H81" s="2608"/>
      <c r="I81" s="2608"/>
      <c r="J81" s="2608"/>
      <c r="K81" s="2608"/>
      <c r="L81" s="2608"/>
      <c r="M81" s="2608"/>
      <c r="N81" s="2608"/>
      <c r="O81" s="2608"/>
      <c r="P81" s="2608"/>
      <c r="Q81" s="2608"/>
    </row>
    <row r="82" spans="2:17">
      <c r="B82" s="2919"/>
      <c r="C82" s="2919"/>
      <c r="D82" s="2919"/>
      <c r="E82" s="2919"/>
      <c r="F82" s="2919"/>
      <c r="G82" s="2919"/>
      <c r="H82" s="2608"/>
      <c r="I82" s="2608"/>
      <c r="J82" s="2608"/>
      <c r="K82" s="2608"/>
      <c r="L82" s="2608"/>
      <c r="M82" s="2608"/>
      <c r="N82" s="2608"/>
      <c r="O82" s="2608"/>
      <c r="P82" s="2608"/>
    </row>
    <row r="83" spans="2:17">
      <c r="B83" s="2919"/>
      <c r="C83" s="2919"/>
      <c r="D83" s="2919"/>
      <c r="E83" s="2919"/>
      <c r="F83" s="2919"/>
      <c r="G83" s="2919"/>
      <c r="H83" s="2608"/>
      <c r="I83" s="2608"/>
      <c r="J83" s="2608"/>
      <c r="K83" s="2608"/>
      <c r="L83" s="2608"/>
      <c r="M83" s="2608"/>
      <c r="N83" s="2608"/>
      <c r="O83" s="2608"/>
      <c r="P83" s="2608"/>
    </row>
    <row r="84" spans="2:17">
      <c r="B84" s="2919"/>
      <c r="C84" s="2919"/>
      <c r="D84" s="2919"/>
      <c r="E84" s="2919"/>
      <c r="F84" s="2919"/>
      <c r="G84" s="2919"/>
      <c r="H84" s="2608"/>
      <c r="I84" s="2608"/>
      <c r="J84" s="2608"/>
      <c r="K84" s="2608"/>
      <c r="L84" s="2608"/>
      <c r="M84" s="2608"/>
      <c r="N84" s="2608"/>
      <c r="O84" s="2608"/>
      <c r="P84" s="2608"/>
    </row>
    <row r="85" spans="2:17">
      <c r="B85" s="2919"/>
      <c r="C85" s="2919"/>
      <c r="D85" s="2919"/>
      <c r="E85" s="2919"/>
      <c r="F85" s="2919"/>
      <c r="G85" s="2919"/>
      <c r="H85" s="2608"/>
      <c r="I85" s="2608"/>
      <c r="J85" s="2608"/>
      <c r="K85" s="2608"/>
      <c r="L85" s="2608"/>
      <c r="M85" s="2608"/>
      <c r="N85" s="2608"/>
      <c r="O85" s="2608"/>
      <c r="P85" s="2608"/>
    </row>
    <row r="86" spans="2:17">
      <c r="B86" s="2919"/>
      <c r="C86" s="2919"/>
      <c r="D86" s="2919"/>
      <c r="E86" s="2919"/>
      <c r="F86" s="2919"/>
      <c r="G86" s="2919"/>
      <c r="H86" s="2608"/>
      <c r="I86" s="2608"/>
      <c r="J86" s="2608"/>
      <c r="K86" s="2608"/>
      <c r="L86" s="2608"/>
      <c r="M86" s="2608"/>
      <c r="N86" s="2608"/>
      <c r="O86" s="2608"/>
      <c r="P86" s="2608"/>
    </row>
    <row r="87" spans="2:17">
      <c r="B87" s="2919"/>
      <c r="C87" s="2919"/>
      <c r="D87" s="2919"/>
      <c r="E87" s="2919"/>
      <c r="F87" s="2919"/>
      <c r="G87" s="2919"/>
      <c r="H87" s="2608"/>
      <c r="I87" s="2608"/>
      <c r="J87" s="2608"/>
      <c r="K87" s="2608"/>
      <c r="L87" s="2608"/>
      <c r="M87" s="2608"/>
      <c r="N87" s="2608"/>
      <c r="O87" s="2608"/>
      <c r="P87" s="2608"/>
    </row>
    <row r="88" spans="2:17" ht="13.2" customHeight="1">
      <c r="B88" s="2919"/>
      <c r="C88" s="2919"/>
      <c r="D88" s="2919"/>
      <c r="E88" s="2919"/>
      <c r="F88" s="2919"/>
      <c r="G88" s="2919"/>
      <c r="H88" s="2608"/>
      <c r="I88" s="2608"/>
      <c r="J88" s="2608"/>
      <c r="K88" s="2608"/>
      <c r="L88" s="2608"/>
      <c r="M88" s="2608"/>
      <c r="N88" s="2608"/>
      <c r="O88" s="2608"/>
      <c r="P88" s="2608"/>
    </row>
    <row r="89" spans="2:17">
      <c r="B89" s="2919"/>
      <c r="C89" s="2919"/>
      <c r="D89" s="2919"/>
      <c r="E89" s="2919"/>
      <c r="F89" s="2919"/>
      <c r="G89" s="2919"/>
      <c r="H89" s="2608"/>
      <c r="I89" s="2608"/>
      <c r="J89" s="2608"/>
      <c r="K89" s="2608"/>
      <c r="L89" s="2608"/>
      <c r="M89" s="2608"/>
      <c r="N89" s="2608"/>
      <c r="O89" s="2608"/>
      <c r="P89" s="2608"/>
    </row>
    <row r="90" spans="2:17">
      <c r="B90" s="2919"/>
      <c r="C90" s="2919"/>
      <c r="D90" s="2919"/>
      <c r="E90" s="2919"/>
      <c r="F90" s="2919"/>
      <c r="G90" s="2919"/>
      <c r="H90" s="2608"/>
      <c r="I90" s="2608"/>
      <c r="J90" s="2608"/>
      <c r="K90" s="2608"/>
      <c r="L90" s="2608"/>
      <c r="M90" s="2608"/>
      <c r="N90" s="2608"/>
      <c r="O90" s="2608"/>
      <c r="P90" s="2608"/>
    </row>
    <row r="91" spans="2:17">
      <c r="B91" s="2919"/>
      <c r="C91" s="2919"/>
      <c r="D91" s="2919"/>
      <c r="E91" s="2919"/>
      <c r="F91" s="2919"/>
      <c r="G91" s="2919"/>
      <c r="H91" s="2608"/>
      <c r="I91" s="2608"/>
      <c r="J91" s="2608"/>
      <c r="K91" s="2608"/>
      <c r="L91" s="2608"/>
      <c r="M91" s="2608"/>
      <c r="N91" s="2608"/>
      <c r="O91" s="2608"/>
      <c r="P91" s="2608"/>
    </row>
    <row r="92" spans="2:17">
      <c r="B92" s="2919"/>
      <c r="C92" s="2919"/>
      <c r="D92" s="2919"/>
      <c r="E92" s="2919"/>
      <c r="F92" s="2919"/>
      <c r="G92" s="2919"/>
      <c r="H92" s="2608"/>
      <c r="I92" s="2608"/>
      <c r="J92" s="2608"/>
      <c r="K92" s="2608"/>
      <c r="L92" s="2608"/>
      <c r="M92" s="2608"/>
      <c r="N92" s="2608"/>
      <c r="O92" s="2608"/>
      <c r="P92" s="2608"/>
    </row>
    <row r="93" spans="2:17">
      <c r="C93" s="29"/>
      <c r="D93" s="29"/>
      <c r="E93" s="29"/>
      <c r="F93" s="1712"/>
      <c r="G93" s="2608"/>
      <c r="H93" s="2608"/>
      <c r="I93" s="2608"/>
      <c r="J93" s="2608"/>
      <c r="K93" s="2608"/>
      <c r="L93" s="2608"/>
      <c r="M93" s="2608"/>
      <c r="N93" s="2608"/>
      <c r="O93" s="2608"/>
      <c r="P93" s="2608"/>
    </row>
    <row r="94" spans="2:17">
      <c r="C94" s="29"/>
      <c r="D94" s="29"/>
      <c r="E94" s="29"/>
      <c r="F94" s="1712"/>
      <c r="G94" s="2608"/>
      <c r="H94" s="2608"/>
      <c r="I94" s="2608"/>
      <c r="J94" s="2608"/>
      <c r="K94" s="2608"/>
      <c r="L94" s="2608"/>
      <c r="M94" s="2608"/>
      <c r="N94" s="2608"/>
      <c r="O94" s="2608"/>
      <c r="P94" s="2608"/>
    </row>
    <row r="95" spans="2:17">
      <c r="C95" s="29"/>
      <c r="D95" s="29"/>
      <c r="E95" s="29"/>
      <c r="F95" s="1712"/>
      <c r="G95" s="2608"/>
      <c r="H95" s="2608"/>
      <c r="I95" s="2608"/>
      <c r="J95" s="2608"/>
      <c r="K95" s="2608"/>
      <c r="L95" s="2608"/>
      <c r="M95" s="2608"/>
      <c r="N95" s="2608"/>
      <c r="O95" s="2608"/>
      <c r="P95" s="2608"/>
    </row>
    <row r="96" spans="2:17">
      <c r="C96" s="29"/>
      <c r="D96" s="29"/>
      <c r="E96" s="29"/>
      <c r="F96" s="1712"/>
      <c r="G96" s="2608"/>
      <c r="H96" s="2608"/>
      <c r="I96" s="2608"/>
      <c r="J96" s="2608"/>
      <c r="K96" s="2608"/>
      <c r="L96" s="2608"/>
      <c r="M96" s="2608"/>
      <c r="N96" s="2608"/>
      <c r="O96" s="2608"/>
      <c r="P96" s="2608"/>
    </row>
    <row r="97" spans="2:17">
      <c r="C97" s="29"/>
      <c r="D97" s="29"/>
      <c r="E97" s="29"/>
      <c r="G97" s="2608"/>
      <c r="H97" s="2608"/>
      <c r="I97" s="2608"/>
      <c r="J97" s="2608"/>
      <c r="K97" s="2608"/>
      <c r="L97" s="2608"/>
      <c r="M97" s="2608"/>
      <c r="N97" s="2608"/>
      <c r="O97" s="2608"/>
      <c r="P97" s="2608"/>
    </row>
    <row r="98" spans="2:17">
      <c r="C98" s="29"/>
      <c r="D98" s="29"/>
      <c r="E98" s="29"/>
      <c r="G98" s="2608"/>
      <c r="H98" s="2608"/>
      <c r="I98" s="2608"/>
      <c r="J98" s="2608"/>
      <c r="K98" s="2608"/>
      <c r="L98" s="2608"/>
      <c r="M98" s="2608"/>
      <c r="N98" s="2608"/>
      <c r="O98" s="2608"/>
      <c r="P98" s="2608"/>
    </row>
    <row r="99" spans="2:17">
      <c r="B99" s="29"/>
      <c r="C99" s="29"/>
      <c r="D99" s="29"/>
      <c r="E99" s="29"/>
      <c r="G99" s="2608"/>
      <c r="H99" s="2608"/>
      <c r="I99" s="2608"/>
      <c r="J99" s="2608"/>
      <c r="K99" s="2608"/>
      <c r="L99" s="2608"/>
      <c r="M99" s="2608"/>
      <c r="N99" s="2608"/>
      <c r="O99" s="2608"/>
      <c r="P99" s="2608"/>
    </row>
    <row r="100" spans="2:17">
      <c r="B100" s="29"/>
      <c r="C100" s="29"/>
      <c r="D100" s="29"/>
      <c r="E100" s="29"/>
      <c r="G100" s="2608"/>
      <c r="H100" s="2608"/>
      <c r="I100" s="2608"/>
      <c r="J100" s="2608"/>
      <c r="K100" s="2608"/>
      <c r="L100" s="2608"/>
      <c r="M100" s="2608"/>
      <c r="N100" s="2608"/>
      <c r="O100" s="2608"/>
      <c r="P100" s="2608"/>
    </row>
    <row r="101" spans="2:17">
      <c r="B101" s="29"/>
      <c r="C101" s="29"/>
      <c r="D101" s="29"/>
      <c r="E101" s="29"/>
      <c r="G101" s="2608"/>
      <c r="H101" s="2608"/>
      <c r="I101" s="2608"/>
      <c r="J101" s="2608"/>
      <c r="K101" s="2608"/>
      <c r="L101" s="2608"/>
      <c r="M101" s="2608"/>
      <c r="N101" s="2608"/>
      <c r="O101" s="2608"/>
      <c r="P101" s="2608"/>
    </row>
    <row r="102" spans="2:17">
      <c r="B102" s="29"/>
      <c r="C102" s="29"/>
      <c r="D102" s="29"/>
      <c r="G102" s="2608"/>
      <c r="H102" s="2608"/>
      <c r="I102" s="2608"/>
      <c r="J102" s="2608"/>
      <c r="K102" s="2608"/>
      <c r="L102" s="2608"/>
      <c r="M102" s="2608"/>
      <c r="N102" s="2608"/>
      <c r="O102" s="2608"/>
      <c r="P102" s="2608"/>
    </row>
    <row r="103" spans="2:17">
      <c r="B103" s="29"/>
      <c r="C103" s="29"/>
      <c r="D103" s="29"/>
      <c r="G103" s="2608"/>
      <c r="H103" s="2608"/>
      <c r="I103" s="2608"/>
      <c r="J103" s="2608"/>
      <c r="K103" s="2608"/>
      <c r="L103" s="2608"/>
      <c r="M103" s="2608"/>
      <c r="N103" s="2608"/>
      <c r="O103" s="2608"/>
      <c r="P103" s="2608"/>
    </row>
    <row r="104" spans="2:17">
      <c r="B104" s="29"/>
      <c r="C104" s="29"/>
      <c r="D104" s="29"/>
      <c r="G104" s="2608"/>
      <c r="H104" s="2608"/>
      <c r="I104" s="2608"/>
      <c r="J104" s="2608"/>
      <c r="K104" s="2608"/>
      <c r="L104" s="2608"/>
      <c r="M104" s="2608"/>
      <c r="N104" s="2608"/>
      <c r="O104" s="2608"/>
      <c r="P104" s="2608"/>
    </row>
    <row r="105" spans="2:17">
      <c r="B105" s="29"/>
      <c r="C105" s="29"/>
      <c r="D105" s="29"/>
      <c r="G105" s="2608"/>
      <c r="H105" s="2608"/>
      <c r="I105" s="2608"/>
      <c r="J105" s="2608"/>
      <c r="K105" s="2608"/>
      <c r="L105" s="2608"/>
      <c r="M105" s="2608"/>
      <c r="N105" s="2608"/>
      <c r="O105" s="2608"/>
      <c r="P105" s="2608"/>
    </row>
    <row r="106" spans="2:17">
      <c r="B106" s="29"/>
      <c r="C106" s="29"/>
      <c r="D106" s="29"/>
      <c r="G106" s="2608"/>
      <c r="H106" s="2608"/>
      <c r="I106" s="2608"/>
      <c r="J106" s="2608"/>
      <c r="K106" s="2608"/>
      <c r="L106" s="2608"/>
      <c r="M106" s="2608"/>
      <c r="N106" s="2608"/>
      <c r="O106" s="2608"/>
      <c r="P106" s="2608"/>
    </row>
    <row r="107" spans="2:17">
      <c r="G107" s="2608"/>
      <c r="H107" s="2608"/>
      <c r="I107" s="2608"/>
      <c r="J107" s="2608"/>
      <c r="K107" s="2608"/>
      <c r="L107" s="2608"/>
      <c r="M107" s="2608"/>
      <c r="N107" s="2608"/>
      <c r="O107" s="2608"/>
      <c r="P107" s="2608"/>
    </row>
    <row r="108" spans="2:17">
      <c r="G108" s="2608"/>
      <c r="H108" s="2608"/>
      <c r="I108" s="2608"/>
      <c r="J108" s="2608"/>
      <c r="K108" s="2608"/>
      <c r="L108" s="2608"/>
      <c r="M108" s="2608"/>
      <c r="N108" s="2608"/>
      <c r="O108" s="2608"/>
      <c r="P108" s="2608"/>
    </row>
    <row r="109" spans="2:17">
      <c r="G109" s="2608"/>
      <c r="H109" s="2608"/>
      <c r="I109" s="2608"/>
      <c r="J109" s="2608"/>
      <c r="K109" s="2608"/>
      <c r="L109" s="2608"/>
      <c r="M109" s="2608"/>
      <c r="N109" s="2608"/>
      <c r="O109" s="2608"/>
      <c r="P109" s="2608"/>
    </row>
    <row r="110" spans="2:17">
      <c r="G110" s="2608"/>
      <c r="H110" s="2608"/>
      <c r="I110" s="2608"/>
      <c r="J110" s="2608"/>
      <c r="K110" s="2608"/>
      <c r="L110" s="2608"/>
      <c r="M110" s="2608"/>
      <c r="N110" s="2608"/>
      <c r="O110" s="2608"/>
      <c r="P110" s="2608"/>
    </row>
    <row r="111" spans="2:17">
      <c r="G111" s="2608"/>
      <c r="H111" s="2608"/>
      <c r="I111" s="2608"/>
      <c r="J111" s="2608"/>
      <c r="K111" s="2608"/>
      <c r="L111" s="2608"/>
      <c r="M111" s="2608"/>
      <c r="N111" s="2608"/>
      <c r="O111" s="2608"/>
      <c r="P111" s="2608"/>
    </row>
    <row r="112" spans="2:17">
      <c r="G112" s="2608"/>
      <c r="H112" s="2608"/>
      <c r="I112" s="2608"/>
      <c r="J112" s="2608"/>
      <c r="K112" s="2608"/>
      <c r="L112" s="2608"/>
      <c r="M112" s="2608"/>
      <c r="N112" s="2608"/>
      <c r="O112" s="2608"/>
      <c r="P112" s="2608"/>
      <c r="Q112" s="2608"/>
    </row>
    <row r="113" spans="2:17">
      <c r="G113" s="2608"/>
      <c r="H113" s="2608"/>
      <c r="I113" s="2608"/>
      <c r="J113" s="2608"/>
      <c r="K113" s="2608"/>
      <c r="L113" s="2608"/>
      <c r="M113" s="2608"/>
      <c r="N113" s="2608"/>
      <c r="O113" s="2608"/>
      <c r="P113" s="2608"/>
      <c r="Q113" s="2608"/>
    </row>
    <row r="114" spans="2:17">
      <c r="G114" s="2608"/>
      <c r="H114" s="2608"/>
      <c r="I114" s="2608"/>
      <c r="J114" s="2608"/>
      <c r="K114" s="2608"/>
      <c r="L114" s="2608"/>
      <c r="M114" s="2608"/>
      <c r="N114" s="2608"/>
      <c r="O114" s="2608"/>
      <c r="P114" s="2608"/>
      <c r="Q114" s="2608"/>
    </row>
    <row r="115" spans="2:17">
      <c r="G115" s="2608"/>
      <c r="H115" s="2608"/>
      <c r="I115" s="2608"/>
      <c r="J115" s="2608"/>
      <c r="K115" s="2608"/>
      <c r="L115" s="2608"/>
      <c r="M115" s="2608"/>
      <c r="N115" s="2608"/>
      <c r="O115" s="2608"/>
      <c r="P115" s="2608"/>
      <c r="Q115" s="2608"/>
    </row>
    <row r="116" spans="2:17">
      <c r="G116" s="2608"/>
      <c r="H116" s="2608"/>
      <c r="I116" s="2608"/>
      <c r="J116" s="2608"/>
      <c r="K116" s="2608"/>
      <c r="L116" s="2608"/>
      <c r="M116" s="2608"/>
      <c r="N116" s="2608"/>
      <c r="O116" s="2608"/>
      <c r="P116" s="2608"/>
      <c r="Q116" s="2608"/>
    </row>
    <row r="117" spans="2:17">
      <c r="G117" s="2608"/>
      <c r="H117" s="2608"/>
      <c r="I117" s="2608"/>
      <c r="J117" s="2608"/>
      <c r="K117" s="2608"/>
      <c r="L117" s="2608"/>
      <c r="M117" s="2608"/>
      <c r="N117" s="2608"/>
      <c r="O117" s="2608"/>
      <c r="P117" s="2608"/>
      <c r="Q117" s="2608"/>
    </row>
    <row r="118" spans="2:17">
      <c r="B118" s="440"/>
      <c r="C118" s="29"/>
      <c r="G118" s="2608"/>
      <c r="H118" s="2608"/>
      <c r="I118" s="2608"/>
      <c r="J118" s="2608"/>
      <c r="K118" s="2608"/>
      <c r="L118" s="2608"/>
      <c r="M118" s="2608"/>
      <c r="N118" s="2608"/>
      <c r="O118" s="2608"/>
      <c r="P118" s="2608"/>
      <c r="Q118" s="2608"/>
    </row>
    <row r="119" spans="2:17">
      <c r="B119" s="440"/>
      <c r="C119" s="29"/>
      <c r="I119" s="2608"/>
      <c r="J119" s="2608"/>
      <c r="K119" s="2608"/>
      <c r="L119" s="2608"/>
      <c r="M119" s="2608"/>
      <c r="N119" s="2608"/>
      <c r="O119" s="2608"/>
      <c r="P119" s="2608"/>
      <c r="Q119" s="2608"/>
    </row>
    <row r="120" spans="2:17">
      <c r="B120" s="440"/>
      <c r="C120" s="29"/>
      <c r="I120" s="2608"/>
      <c r="J120" s="2608"/>
      <c r="K120" s="2608"/>
      <c r="L120" s="2608"/>
      <c r="M120" s="2608"/>
      <c r="N120" s="2608"/>
      <c r="O120" s="2608"/>
      <c r="P120" s="2608"/>
      <c r="Q120" s="2608"/>
    </row>
    <row r="121" spans="2:17">
      <c r="B121" s="440"/>
      <c r="C121" s="29"/>
      <c r="I121" s="2608"/>
      <c r="J121" s="2608"/>
      <c r="K121" s="2608"/>
      <c r="L121" s="2608"/>
      <c r="M121" s="2608"/>
      <c r="N121" s="2608"/>
      <c r="O121" s="2608"/>
      <c r="P121" s="2608"/>
      <c r="Q121" s="2608"/>
    </row>
    <row r="122" spans="2:17">
      <c r="B122" s="440"/>
      <c r="C122" s="29"/>
      <c r="I122" s="2608"/>
      <c r="J122" s="2608"/>
      <c r="K122" s="2608"/>
      <c r="L122" s="2608"/>
      <c r="M122" s="2608"/>
      <c r="N122" s="2608"/>
      <c r="O122" s="2608"/>
      <c r="P122" s="2608"/>
      <c r="Q122" s="2608"/>
    </row>
    <row r="123" spans="2:17">
      <c r="B123" s="440"/>
      <c r="C123" s="29"/>
      <c r="I123" s="2608"/>
      <c r="J123" s="2608"/>
      <c r="K123" s="2608"/>
      <c r="L123" s="2608"/>
      <c r="M123" s="2608"/>
      <c r="N123" s="2608"/>
      <c r="O123" s="2608"/>
      <c r="P123" s="2608"/>
      <c r="Q123" s="2608"/>
    </row>
    <row r="124" spans="2:17">
      <c r="B124" s="440"/>
      <c r="C124" s="29"/>
      <c r="I124" s="2608"/>
      <c r="J124" s="2608"/>
      <c r="K124" s="2608"/>
      <c r="L124" s="2608"/>
      <c r="M124" s="2608"/>
      <c r="N124" s="2608"/>
      <c r="O124" s="2608"/>
      <c r="P124" s="2608"/>
      <c r="Q124" s="2608"/>
    </row>
    <row r="125" spans="2:17">
      <c r="B125" s="440"/>
      <c r="C125" s="29"/>
      <c r="I125" s="2608"/>
      <c r="J125" s="2608"/>
      <c r="K125" s="2608"/>
      <c r="L125" s="2608"/>
      <c r="M125" s="2608"/>
      <c r="N125" s="2608"/>
      <c r="O125" s="2608"/>
      <c r="P125" s="2608"/>
      <c r="Q125" s="2608"/>
    </row>
    <row r="126" spans="2:17">
      <c r="B126" s="440"/>
      <c r="C126" s="29"/>
      <c r="I126" s="2608"/>
      <c r="J126" s="2608"/>
      <c r="K126" s="2608"/>
      <c r="L126" s="2608"/>
      <c r="M126" s="2608"/>
      <c r="N126" s="2608"/>
      <c r="O126" s="2608"/>
      <c r="P126" s="2608"/>
      <c r="Q126" s="2608"/>
    </row>
    <row r="127" spans="2:17">
      <c r="B127" s="440"/>
      <c r="C127" s="29"/>
      <c r="I127" s="2608"/>
      <c r="J127" s="2608"/>
      <c r="K127" s="2608"/>
      <c r="L127" s="2608"/>
      <c r="M127" s="2608"/>
      <c r="N127" s="2608"/>
      <c r="O127" s="2608"/>
      <c r="P127" s="2608"/>
      <c r="Q127" s="2608"/>
    </row>
    <row r="128" spans="2:17">
      <c r="B128" s="440"/>
      <c r="C128" s="29"/>
      <c r="I128" s="2608"/>
      <c r="J128" s="2608"/>
      <c r="K128" s="2608"/>
      <c r="L128" s="2608"/>
      <c r="M128" s="2608"/>
      <c r="N128" s="2608"/>
      <c r="O128" s="2608"/>
      <c r="P128" s="2608"/>
      <c r="Q128" s="2608"/>
    </row>
    <row r="129" spans="2:17">
      <c r="B129" s="440"/>
      <c r="C129" s="29"/>
      <c r="I129" s="2608"/>
      <c r="J129" s="2608"/>
      <c r="K129" s="2608"/>
      <c r="L129" s="2608"/>
      <c r="M129" s="2608"/>
      <c r="N129" s="2608"/>
      <c r="O129" s="2608"/>
      <c r="P129" s="2608"/>
      <c r="Q129" s="2608"/>
    </row>
    <row r="130" spans="2:17">
      <c r="B130" s="440"/>
      <c r="C130" s="29"/>
      <c r="I130" s="2608"/>
      <c r="J130" s="2608"/>
      <c r="K130" s="2608"/>
      <c r="L130" s="2608"/>
      <c r="M130" s="2608"/>
      <c r="N130" s="2608"/>
      <c r="O130" s="2608"/>
      <c r="P130" s="2608"/>
      <c r="Q130" s="2608"/>
    </row>
    <row r="131" spans="2:17">
      <c r="B131" s="440"/>
      <c r="C131" s="29"/>
      <c r="I131" s="2608"/>
      <c r="J131" s="2608"/>
      <c r="K131" s="2608"/>
      <c r="L131" s="2608"/>
      <c r="M131" s="2608"/>
      <c r="N131" s="2608"/>
      <c r="O131" s="2608"/>
      <c r="P131" s="2608"/>
      <c r="Q131" s="2608"/>
    </row>
    <row r="132" spans="2:17">
      <c r="B132" s="440"/>
      <c r="C132" s="29"/>
      <c r="I132" s="2608"/>
      <c r="J132" s="2608"/>
      <c r="K132" s="2608"/>
      <c r="L132" s="2608"/>
      <c r="M132" s="2608"/>
      <c r="N132" s="2608"/>
      <c r="O132" s="2608"/>
      <c r="P132" s="2608"/>
      <c r="Q132" s="2608"/>
    </row>
    <row r="133" spans="2:17">
      <c r="B133" s="440"/>
      <c r="C133" s="29"/>
      <c r="I133" s="2608"/>
      <c r="J133" s="2608"/>
      <c r="K133" s="2608"/>
      <c r="L133" s="2608"/>
      <c r="M133" s="2608"/>
      <c r="N133" s="2608"/>
      <c r="O133" s="2608"/>
      <c r="P133" s="2608"/>
      <c r="Q133" s="2608"/>
    </row>
    <row r="134" spans="2:17">
      <c r="B134" s="440"/>
      <c r="C134" s="29"/>
      <c r="I134" s="2608"/>
      <c r="J134" s="2608"/>
      <c r="K134" s="2608"/>
      <c r="L134" s="2608"/>
      <c r="M134" s="2608"/>
      <c r="N134" s="2608"/>
      <c r="O134" s="2608"/>
      <c r="P134" s="2608"/>
      <c r="Q134" s="2608"/>
    </row>
    <row r="135" spans="2:17">
      <c r="B135" s="440"/>
      <c r="C135" s="29"/>
      <c r="I135" s="2608"/>
      <c r="J135" s="2608"/>
      <c r="K135" s="2608"/>
      <c r="L135" s="2608"/>
      <c r="M135" s="2608"/>
      <c r="N135" s="2608"/>
      <c r="O135" s="2608"/>
      <c r="P135" s="2608"/>
      <c r="Q135" s="2608"/>
    </row>
    <row r="136" spans="2:17">
      <c r="B136" s="440"/>
      <c r="C136" s="29"/>
      <c r="I136" s="2608"/>
      <c r="J136" s="2608"/>
      <c r="K136" s="2608"/>
      <c r="L136" s="2608"/>
      <c r="M136" s="2608"/>
      <c r="N136" s="2608"/>
      <c r="O136" s="2608"/>
      <c r="P136" s="2608"/>
      <c r="Q136" s="2608"/>
    </row>
    <row r="137" spans="2:17">
      <c r="B137" s="440"/>
      <c r="C137" s="29"/>
      <c r="I137" s="2608"/>
      <c r="J137" s="2608"/>
      <c r="K137" s="2608"/>
      <c r="L137" s="2608"/>
      <c r="M137" s="2608"/>
      <c r="N137" s="2608"/>
      <c r="O137" s="2608"/>
      <c r="P137" s="2608"/>
      <c r="Q137" s="2608"/>
    </row>
    <row r="138" spans="2:17">
      <c r="B138" s="440"/>
      <c r="C138" s="29"/>
      <c r="I138" s="2608"/>
      <c r="J138" s="2608"/>
      <c r="K138" s="2608"/>
      <c r="L138" s="2608"/>
      <c r="M138" s="2608"/>
      <c r="N138" s="2608"/>
      <c r="O138" s="2608"/>
      <c r="P138" s="2608"/>
      <c r="Q138" s="2608"/>
    </row>
    <row r="139" spans="2:17">
      <c r="B139" s="440"/>
      <c r="C139" s="29"/>
      <c r="I139" s="2608"/>
      <c r="J139" s="2608"/>
      <c r="K139" s="2608"/>
      <c r="L139" s="2608"/>
      <c r="M139" s="2608"/>
      <c r="N139" s="2608"/>
      <c r="O139" s="2608"/>
      <c r="P139" s="2608"/>
      <c r="Q139" s="2608"/>
    </row>
    <row r="140" spans="2:17">
      <c r="B140" s="440"/>
      <c r="C140" s="29"/>
      <c r="I140" s="2608"/>
      <c r="J140" s="2608"/>
      <c r="K140" s="2608"/>
      <c r="L140" s="2608"/>
      <c r="M140" s="2608"/>
      <c r="N140" s="2608"/>
      <c r="O140" s="2608"/>
      <c r="P140" s="2608"/>
      <c r="Q140" s="2608"/>
    </row>
    <row r="141" spans="2:17">
      <c r="B141" s="440"/>
      <c r="C141" s="29"/>
      <c r="I141" s="2608"/>
      <c r="J141" s="2608"/>
      <c r="K141" s="2608"/>
      <c r="L141" s="2608"/>
      <c r="M141" s="2608"/>
      <c r="N141" s="2608"/>
      <c r="O141" s="2608"/>
      <c r="P141" s="2608"/>
      <c r="Q141" s="2608"/>
    </row>
    <row r="142" spans="2:17">
      <c r="B142" s="440"/>
      <c r="C142" s="29"/>
      <c r="I142" s="2608"/>
      <c r="J142" s="2608"/>
      <c r="K142" s="2608"/>
      <c r="L142" s="2608"/>
      <c r="M142" s="2608"/>
      <c r="N142" s="2608"/>
      <c r="O142" s="2608"/>
      <c r="P142" s="2608"/>
      <c r="Q142" s="2608"/>
    </row>
    <row r="143" spans="2:17">
      <c r="B143" s="440"/>
      <c r="C143" s="29"/>
      <c r="I143" s="2608"/>
      <c r="J143" s="2608"/>
      <c r="K143" s="2608"/>
      <c r="L143" s="2608"/>
      <c r="M143" s="2608"/>
      <c r="N143" s="2608"/>
      <c r="O143" s="2608"/>
      <c r="P143" s="2608"/>
      <c r="Q143" s="2608"/>
    </row>
    <row r="144" spans="2:17">
      <c r="B144" s="440"/>
      <c r="C144" s="29"/>
      <c r="L144" s="29"/>
    </row>
    <row r="145" spans="2:12">
      <c r="B145" s="440"/>
      <c r="C145" s="29"/>
      <c r="L145" s="29"/>
    </row>
    <row r="146" spans="2:12">
      <c r="B146" s="440"/>
      <c r="C146" s="29"/>
      <c r="L146" s="29"/>
    </row>
    <row r="147" spans="2:12">
      <c r="B147" s="440"/>
      <c r="C147" s="29"/>
    </row>
    <row r="148" spans="2:12">
      <c r="B148" s="440"/>
      <c r="C148" s="29"/>
    </row>
    <row r="149" spans="2:12">
      <c r="B149" s="440"/>
      <c r="C149" s="29"/>
      <c r="H149" s="1354"/>
      <c r="J149" s="1563"/>
    </row>
    <row r="150" spans="2:12">
      <c r="B150" s="440"/>
      <c r="C150" s="29"/>
      <c r="H150" s="1354"/>
      <c r="J150" s="1563"/>
    </row>
    <row r="151" spans="2:12">
      <c r="B151" s="440"/>
      <c r="C151" s="29"/>
      <c r="H151" s="1354"/>
      <c r="J151" s="1563"/>
    </row>
    <row r="152" spans="2:12">
      <c r="B152" s="440"/>
      <c r="C152" s="29"/>
      <c r="H152" s="1354"/>
      <c r="J152" s="1563"/>
    </row>
    <row r="153" spans="2:12">
      <c r="B153" s="440"/>
      <c r="C153" s="29"/>
      <c r="H153" s="1354"/>
      <c r="J153" s="1563"/>
    </row>
    <row r="154" spans="2:12">
      <c r="B154" s="440"/>
      <c r="C154" s="29"/>
      <c r="D154" s="29"/>
      <c r="F154" s="29"/>
      <c r="G154" s="29"/>
      <c r="H154" s="29"/>
      <c r="I154" s="29"/>
      <c r="J154" s="29"/>
      <c r="K154" s="29"/>
    </row>
    <row r="155" spans="2:12">
      <c r="B155" s="440"/>
      <c r="C155" s="29"/>
      <c r="D155" s="29"/>
      <c r="F155" s="29"/>
      <c r="G155" s="29"/>
      <c r="H155" s="29"/>
      <c r="I155" s="29"/>
      <c r="J155" s="29"/>
      <c r="K155" s="29"/>
    </row>
    <row r="156" spans="2:12">
      <c r="B156" s="440"/>
      <c r="C156" s="29"/>
      <c r="D156" s="29"/>
      <c r="F156" s="29"/>
      <c r="G156" s="29"/>
      <c r="H156" s="29"/>
      <c r="I156" s="29"/>
      <c r="J156" s="29"/>
      <c r="K156" s="29"/>
    </row>
    <row r="157" spans="2:12">
      <c r="B157" s="440"/>
      <c r="C157" s="29"/>
    </row>
    <row r="158" spans="2:12">
      <c r="B158" s="440"/>
      <c r="C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heet="1" selectLockedCells="1"/>
  <customSheetViews>
    <customSheetView guid="{8063F48F-80B5-4ECD-B18A-51CBF126E780}" fitToPage="1" printArea="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38" orientation="portrait" r:id="rId1"/>
      <headerFooter alignWithMargins="0">
        <oddFooter>&amp;L&amp;11LEL Schwäbisch Gmünd&amp;R&amp;11&amp;F</oddFooter>
      </headerFooter>
    </customSheetView>
    <customSheetView guid="{5D5C9B61-9ABD-4513-AAEB-8333A9D6196C}" fitToPage="1" hiddenRows="1" hiddenColumns="1">
      <selection activeCell="AC8" sqref="AC8"/>
      <pageMargins left="0.59055118110236227" right="0.57999999999999996" top="0.59055118110236227" bottom="0.59055118110236227" header="0.39370078740157483" footer="0.39370078740157483"/>
      <printOptions horizontalCentered="1"/>
      <pageSetup paperSize="9" scale="70" firstPageNumber="38" orientation="portrait" r:id="rId2"/>
      <headerFooter alignWithMargins="0">
        <oddFooter>&amp;L&amp;11LEL Schwäbisch Gmünd&amp;R&amp;11&amp;F</oddFooter>
      </headerFooter>
    </customSheetView>
    <customSheetView guid="{22A73C4F-9004-4CEF-8499-B1F91BE1B569}" fitToPage="1" hiddenRows="1" hiddenColumns="1">
      <selection activeCell="AD23" sqref="AD23"/>
      <pageMargins left="0.59055118110236227" right="0.57999999999999996" top="0.59055118110236227" bottom="0.59055118110236227" header="0.39370078740157483" footer="0.39370078740157483"/>
      <printOptions horizontalCentered="1"/>
      <pageSetup paperSize="9" scale="70" firstPageNumber="38" orientation="portrait" r:id="rId3"/>
      <headerFooter alignWithMargins="0">
        <oddFooter>&amp;L&amp;11LEL Schwäbisch Gmünd&amp;R&amp;11&amp;F</oddFooter>
      </headerFooter>
    </customSheetView>
  </customSheetViews>
  <mergeCells count="50">
    <mergeCell ref="B3:H3"/>
    <mergeCell ref="C74:E74"/>
    <mergeCell ref="B75:C75"/>
    <mergeCell ref="D26:E26"/>
    <mergeCell ref="F34:G34"/>
    <mergeCell ref="C42:E42"/>
    <mergeCell ref="C57:D57"/>
    <mergeCell ref="C47:D47"/>
    <mergeCell ref="C37:E37"/>
    <mergeCell ref="C46:D46"/>
    <mergeCell ref="C38:E38"/>
    <mergeCell ref="C39:E39"/>
    <mergeCell ref="C40:E40"/>
    <mergeCell ref="C48:D48"/>
    <mergeCell ref="C36:E36"/>
    <mergeCell ref="C55:D55"/>
    <mergeCell ref="D25:E25"/>
    <mergeCell ref="N6:O6"/>
    <mergeCell ref="C16:F16"/>
    <mergeCell ref="K6:L6"/>
    <mergeCell ref="C17:F17"/>
    <mergeCell ref="C19:F19"/>
    <mergeCell ref="C20:F20"/>
    <mergeCell ref="C21:F21"/>
    <mergeCell ref="E22:G22"/>
    <mergeCell ref="K1:L1"/>
    <mergeCell ref="N1:O1"/>
    <mergeCell ref="C41:E41"/>
    <mergeCell ref="H6:I6"/>
    <mergeCell ref="C56:D56"/>
    <mergeCell ref="C54:D54"/>
    <mergeCell ref="E10:F10"/>
    <mergeCell ref="K2:P2"/>
    <mergeCell ref="C14:F14"/>
    <mergeCell ref="C15:F15"/>
    <mergeCell ref="C51:D51"/>
    <mergeCell ref="E4:I4"/>
    <mergeCell ref="N3:O4"/>
    <mergeCell ref="J3:L3"/>
    <mergeCell ref="J4:L4"/>
    <mergeCell ref="F23:G23"/>
    <mergeCell ref="C68:E68"/>
    <mergeCell ref="C73:E73"/>
    <mergeCell ref="C49:D49"/>
    <mergeCell ref="C53:D53"/>
    <mergeCell ref="C64:E64"/>
    <mergeCell ref="C62:E62"/>
    <mergeCell ref="C52:D52"/>
    <mergeCell ref="C50:D50"/>
    <mergeCell ref="C63:E63"/>
  </mergeCells>
  <dataValidations count="5">
    <dataValidation type="whole" allowBlank="1" showInputMessage="1" showErrorMessage="1" errorTitle="Anteil Erntegut" error="Prozentwert darf nur zwischen 0 und 100 liegen." sqref="O68 L68 I68" xr:uid="{00000000-0002-0000-4600-000000000000}">
      <formula1>0</formula1>
      <formula2>100</formula2>
    </dataValidation>
    <dataValidation type="decimal" allowBlank="1" showInputMessage="1" showErrorMessage="1" errorTitle="Wassergehalt Getreide" error="Zulässig sind nur Werte zwischen 15,1 und 29,9 % Wassergehalt." sqref="H68 K68 N68" xr:uid="{00000000-0002-0000-4600-000001000000}">
      <formula1>15.1</formula1>
      <formula2>29.9</formula2>
    </dataValidation>
    <dataValidation type="list" showInputMessage="1" showErrorMessage="1" sqref="H14 K14 N14" xr:uid="{00000000-0002-0000-4600-000002000000}">
      <formula1>"ja,nein"</formula1>
    </dataValidation>
    <dataValidation type="list" allowBlank="1" showInputMessage="1" showErrorMessage="1" sqref="H15:H17 K15:K17 N15:N17" xr:uid="{00000000-0002-0000-4600-000003000000}">
      <formula1>"ja,nein"</formula1>
    </dataValidation>
    <dataValidation type="list" allowBlank="1" showInputMessage="1" showErrorMessage="1" sqref="D19:F19" xr:uid="{00000000-0002-0000-4600-000004000000}">
      <formula1>$C$60:$C$75</formula1>
    </dataValidation>
  </dataValidations>
  <hyperlinks>
    <hyperlink ref="F9" location="SDÖ1!A1" display="Preis ändern" xr:uid="{00000000-0004-0000-4600-000000000000}"/>
  </hyperlinks>
  <printOptions horizontalCentered="1"/>
  <pageMargins left="0.59055118110236227" right="0.57999999999999996" top="0.59055118110236227" bottom="0.59055118110236227" header="0.39370078740157483" footer="0.39370078740157483"/>
  <pageSetup paperSize="9" scale="70" firstPageNumber="38" orientation="portrait" r:id="rId4"/>
  <headerFooter alignWithMargins="0">
    <oddFooter>&amp;L&amp;11LEL Schwäbisch Gmünd&amp;R&amp;11&amp;F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75791" r:id="rId7" name="Check Box 15">
              <controlPr defaultSize="0" autoFill="0" autoLine="0" autoPict="0">
                <anchor moveWithCells="1">
                  <from>
                    <xdr:col>12</xdr:col>
                    <xdr:colOff>0</xdr:colOff>
                    <xdr:row>3</xdr:row>
                    <xdr:rowOff>30480</xdr:rowOff>
                  </from>
                  <to>
                    <xdr:col>12</xdr:col>
                    <xdr:colOff>266700</xdr:colOff>
                    <xdr:row>4</xdr:row>
                    <xdr:rowOff>7620</xdr:rowOff>
                  </to>
                </anchor>
              </controlPr>
            </control>
          </mc:Choice>
        </mc:AlternateContent>
        <mc:AlternateContent xmlns:mc="http://schemas.openxmlformats.org/markup-compatibility/2006">
          <mc:Choice Requires="x14">
            <control shapeId="75792" r:id="rId8" name="Check Box 16">
              <controlPr defaultSize="0" autoFill="0" autoLine="0" autoPict="0">
                <anchor moveWithCells="1">
                  <from>
                    <xdr:col>12</xdr:col>
                    <xdr:colOff>22860</xdr:colOff>
                    <xdr:row>2</xdr:row>
                    <xdr:rowOff>38100</xdr:rowOff>
                  </from>
                  <to>
                    <xdr:col>12</xdr:col>
                    <xdr:colOff>297180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600-000005000000}">
          <x14:formula1>
            <xm:f>'SD2'!$C$11:$C$50</xm:f>
          </x14:formula1>
          <xm:sqref>C14:F17</xm:sqref>
        </x14:dataValidation>
        <x14:dataValidation type="list" allowBlank="1" showInputMessage="1" showErrorMessage="1" xr:uid="{00000000-0002-0000-4600-000006000000}">
          <x14:formula1>
            <xm:f>'SD2'!$C$60:$C$77</xm:f>
          </x14:formula1>
          <xm:sqref>C19:C21</xm:sqref>
        </x14:dataValidation>
        <x14:dataValidation type="list" allowBlank="1" showInputMessage="1" showErrorMessage="1" errorTitle="Arbeitsgänge" error="Bitte aus Dropdownliste auswählen." xr:uid="{00000000-0002-0000-4600-000007000000}">
          <x14:formula1>
            <xm:f>'SD3'!$C$23:$C$75</xm:f>
          </x14:formula1>
          <xm:sqref>C46:D57</xm:sqref>
        </x14:dataValidation>
        <x14:dataValidation type="list" allowBlank="1" showInputMessage="1" showErrorMessage="1" xr:uid="{00000000-0002-0000-4600-000008000000}">
          <x14:formula1>
            <xm:f>SDÖ5!$C$5:$C$16</xm:f>
          </x14:formula1>
          <xm:sqref>C36:E42</xm:sqref>
        </x14:dataValidation>
        <x14:dataValidation type="list" allowBlank="1" showInputMessage="1" showErrorMessage="1" errorTitle="Lohnmaschinen" error="Bitte aus Dropdownliste auswählen." xr:uid="{00000000-0002-0000-4600-000009000000}">
          <x14:formula1>
            <xm:f>'SD3'!$C$90:$C$104</xm:f>
          </x14:formula1>
          <xm:sqref>C62:E64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tabColor rgb="FFFF0000"/>
  </sheetPr>
  <dimension ref="A1:J387"/>
  <sheetViews>
    <sheetView workbookViewId="0"/>
  </sheetViews>
  <sheetFormatPr baseColWidth="10" defaultColWidth="11.19921875" defaultRowHeight="13.2"/>
  <cols>
    <col min="1" max="2" width="11.19921875" style="29"/>
    <col min="3" max="3" width="29.69921875" style="29" bestFit="1" customWidth="1"/>
    <col min="4" max="4" width="11.19921875" style="29"/>
    <col min="5" max="5" width="11.19921875" style="447"/>
    <col min="6" max="16384" width="11.19921875" style="29"/>
  </cols>
  <sheetData>
    <row r="1" spans="1:10">
      <c r="C1" s="12" t="s">
        <v>1341</v>
      </c>
    </row>
    <row r="3" spans="1:10">
      <c r="A3" s="12" t="s">
        <v>1340</v>
      </c>
      <c r="B3" s="12" t="s">
        <v>1339</v>
      </c>
      <c r="C3" s="12" t="s">
        <v>666</v>
      </c>
      <c r="D3" s="12" t="s">
        <v>1338</v>
      </c>
      <c r="E3" s="1540" t="s">
        <v>113</v>
      </c>
    </row>
    <row r="4" spans="1:10" s="2170" customFormat="1">
      <c r="A4" s="2172">
        <v>46</v>
      </c>
      <c r="B4" s="2172" t="s">
        <v>96</v>
      </c>
      <c r="C4" s="2170" t="str">
        <f t="shared" ref="C4:C67" ca="1" si="0">INDIRECT("'"&amp;B4&amp;"'!$K$2")</f>
        <v>Winterweizen (Futter-)</v>
      </c>
      <c r="D4" s="2170" t="str">
        <f t="shared" ref="D4:D67" ca="1" si="1">INDIRECT("'"&amp;B4&amp;"'!C"&amp;A4)</f>
        <v>Drehpflug, 5 Schare</v>
      </c>
      <c r="E4" s="2171">
        <f t="shared" ref="E4:E67" ca="1" si="2">INDIRECT("'"&amp;B4&amp;"'!Q"&amp;A4)</f>
        <v>0</v>
      </c>
      <c r="J4" s="448"/>
    </row>
    <row r="5" spans="1:10" s="2170" customFormat="1">
      <c r="A5" s="2170">
        <v>47</v>
      </c>
      <c r="B5" s="2172" t="s">
        <v>96</v>
      </c>
      <c r="C5" s="2170" t="str">
        <f t="shared" ca="1" si="0"/>
        <v>Winterweizen (Futter-)</v>
      </c>
      <c r="D5" s="2170" t="str">
        <f t="shared" ca="1" si="1"/>
        <v>Kreiselegge-Säkomb. 3 m</v>
      </c>
      <c r="E5" s="2171">
        <f t="shared" ca="1" si="2"/>
        <v>0</v>
      </c>
      <c r="J5" s="448"/>
    </row>
    <row r="6" spans="1:10" s="2170" customFormat="1">
      <c r="A6" s="2172">
        <v>48</v>
      </c>
      <c r="B6" s="2172" t="s">
        <v>96</v>
      </c>
      <c r="C6" s="2170" t="str">
        <f t="shared" ca="1" si="0"/>
        <v>Winterweizen (Futter-)</v>
      </c>
      <c r="D6" s="2170" t="str">
        <f t="shared" ca="1" si="1"/>
        <v xml:space="preserve">Düngerstreuer ab Hof 24 m, 400 kg/ha </v>
      </c>
      <c r="E6" s="2171">
        <f t="shared" ca="1" si="2"/>
        <v>0</v>
      </c>
      <c r="J6" s="448"/>
    </row>
    <row r="7" spans="1:10" s="2170" customFormat="1">
      <c r="A7" s="2170">
        <v>49</v>
      </c>
      <c r="B7" s="2172" t="s">
        <v>96</v>
      </c>
      <c r="C7" s="2170" t="str">
        <f t="shared" ca="1" si="0"/>
        <v>Winterweizen (Futter-)</v>
      </c>
      <c r="D7" s="2170" t="str">
        <f t="shared" ca="1" si="1"/>
        <v>Pflanzenschutzspritze 21 m, 300 l/ha</v>
      </c>
      <c r="E7" s="2171">
        <f t="shared" ca="1" si="2"/>
        <v>0</v>
      </c>
      <c r="J7" s="448"/>
    </row>
    <row r="8" spans="1:10" s="2170" customFormat="1">
      <c r="A8" s="2172">
        <v>50</v>
      </c>
      <c r="B8" s="2172" t="s">
        <v>96</v>
      </c>
      <c r="C8" s="2170" t="str">
        <f t="shared" ca="1" si="0"/>
        <v>Winterweizen (Futter-)</v>
      </c>
      <c r="D8" s="2170" t="str">
        <f t="shared" ca="1" si="1"/>
        <v>Transp. u. Abkip.  (7,5 t Ki.)</v>
      </c>
      <c r="E8" s="2171">
        <f t="shared" ca="1" si="2"/>
        <v>0</v>
      </c>
      <c r="J8" s="448"/>
    </row>
    <row r="9" spans="1:10" s="2170" customFormat="1">
      <c r="A9" s="2170">
        <v>51</v>
      </c>
      <c r="B9" s="2172" t="s">
        <v>96</v>
      </c>
      <c r="C9" s="2170" t="str">
        <f t="shared" ca="1" si="0"/>
        <v>Winterweizen (Futter-)</v>
      </c>
      <c r="D9" s="2170" t="str">
        <f t="shared" ca="1" si="1"/>
        <v>Schwergrubber 3 m</v>
      </c>
      <c r="E9" s="2171">
        <f t="shared" ca="1" si="2"/>
        <v>0</v>
      </c>
      <c r="J9" s="448"/>
    </row>
    <row r="10" spans="1:10" s="2170" customFormat="1">
      <c r="A10" s="2172">
        <v>52</v>
      </c>
      <c r="B10" s="2172" t="s">
        <v>96</v>
      </c>
      <c r="C10" s="2170" t="str">
        <f t="shared" ca="1" si="0"/>
        <v>Winterweizen (Futter-)</v>
      </c>
      <c r="D10" s="2170">
        <f t="shared" ca="1" si="1"/>
        <v>0</v>
      </c>
      <c r="E10" s="2171">
        <f t="shared" ca="1" si="2"/>
        <v>0</v>
      </c>
      <c r="J10" s="448"/>
    </row>
    <row r="11" spans="1:10" s="2170" customFormat="1">
      <c r="A11" s="2170">
        <v>53</v>
      </c>
      <c r="B11" s="2172" t="s">
        <v>96</v>
      </c>
      <c r="C11" s="2170" t="str">
        <f t="shared" ca="1" si="0"/>
        <v>Winterweizen (Futter-)</v>
      </c>
      <c r="D11" s="2170">
        <f t="shared" ca="1" si="1"/>
        <v>0</v>
      </c>
      <c r="E11" s="2171">
        <f t="shared" ca="1" si="2"/>
        <v>0</v>
      </c>
      <c r="J11" s="448"/>
    </row>
    <row r="12" spans="1:10" s="2170" customFormat="1">
      <c r="A12" s="2172">
        <v>54</v>
      </c>
      <c r="B12" s="2172" t="s">
        <v>96</v>
      </c>
      <c r="C12" s="2170" t="str">
        <f t="shared" ca="1" si="0"/>
        <v>Winterweizen (Futter-)</v>
      </c>
      <c r="D12" s="2170">
        <f t="shared" ca="1" si="1"/>
        <v>0</v>
      </c>
      <c r="E12" s="2171">
        <f t="shared" ca="1" si="2"/>
        <v>0</v>
      </c>
      <c r="J12" s="448"/>
    </row>
    <row r="13" spans="1:10" s="2170" customFormat="1">
      <c r="A13" s="2170">
        <v>55</v>
      </c>
      <c r="B13" s="2172" t="s">
        <v>96</v>
      </c>
      <c r="C13" s="2170" t="str">
        <f t="shared" ca="1" si="0"/>
        <v>Winterweizen (Futter-)</v>
      </c>
      <c r="D13" s="2170">
        <f t="shared" ca="1" si="1"/>
        <v>0</v>
      </c>
      <c r="E13" s="2171">
        <f t="shared" ca="1" si="2"/>
        <v>0</v>
      </c>
      <c r="J13" s="448"/>
    </row>
    <row r="14" spans="1:10" s="2170" customFormat="1">
      <c r="A14" s="2172">
        <v>56</v>
      </c>
      <c r="B14" s="2172" t="s">
        <v>96</v>
      </c>
      <c r="C14" s="2170" t="str">
        <f t="shared" ca="1" si="0"/>
        <v>Winterweizen (Futter-)</v>
      </c>
      <c r="D14" s="2170">
        <f t="shared" ca="1" si="1"/>
        <v>0</v>
      </c>
      <c r="E14" s="2171">
        <f t="shared" ca="1" si="2"/>
        <v>0</v>
      </c>
      <c r="J14" s="448"/>
    </row>
    <row r="15" spans="1:10" s="2170" customFormat="1">
      <c r="A15" s="2170">
        <v>57</v>
      </c>
      <c r="B15" s="2172" t="s">
        <v>96</v>
      </c>
      <c r="C15" s="2170" t="str">
        <f t="shared" ca="1" si="0"/>
        <v>Winterweizen (Futter-)</v>
      </c>
      <c r="D15" s="2170" t="str">
        <f t="shared" ca="1" si="1"/>
        <v>Stroh-Rundballen 4 t/ha laden, abfahren, stapeln, 3-S-Kipp.</v>
      </c>
      <c r="E15" s="2171">
        <f t="shared" ca="1" si="2"/>
        <v>56.25</v>
      </c>
      <c r="J15" s="448"/>
    </row>
    <row r="16" spans="1:10">
      <c r="A16" s="12">
        <v>46</v>
      </c>
      <c r="B16" s="2172" t="s">
        <v>94</v>
      </c>
      <c r="C16" s="29" t="str">
        <f t="shared" ca="1" si="0"/>
        <v>Winterweizen (Brot-)</v>
      </c>
      <c r="D16" s="29" t="str">
        <f t="shared" ca="1" si="1"/>
        <v>Drehpflug, 5 Schare</v>
      </c>
      <c r="E16" s="447">
        <f t="shared" ca="1" si="2"/>
        <v>0</v>
      </c>
      <c r="G16" s="2170"/>
      <c r="I16" s="2170"/>
      <c r="J16" s="448"/>
    </row>
    <row r="17" spans="1:10">
      <c r="A17" s="29">
        <v>47</v>
      </c>
      <c r="B17" s="2172" t="s">
        <v>94</v>
      </c>
      <c r="C17" s="29" t="str">
        <f t="shared" ca="1" si="0"/>
        <v>Winterweizen (Brot-)</v>
      </c>
      <c r="D17" s="29" t="str">
        <f t="shared" ca="1" si="1"/>
        <v>Kreiselegge-Säkomb. 3 m</v>
      </c>
      <c r="E17" s="447">
        <f t="shared" ca="1" si="2"/>
        <v>0</v>
      </c>
      <c r="G17" s="2170"/>
      <c r="I17" s="2170"/>
      <c r="J17" s="448"/>
    </row>
    <row r="18" spans="1:10">
      <c r="A18" s="12">
        <v>48</v>
      </c>
      <c r="B18" s="2172" t="s">
        <v>94</v>
      </c>
      <c r="C18" s="29" t="str">
        <f t="shared" ca="1" si="0"/>
        <v>Winterweizen (Brot-)</v>
      </c>
      <c r="D18" s="29" t="str">
        <f t="shared" ca="1" si="1"/>
        <v xml:space="preserve">Düngerstreuer ab Hof 24 m, 400 kg/ha </v>
      </c>
      <c r="E18" s="447">
        <f t="shared" ca="1" si="2"/>
        <v>0</v>
      </c>
      <c r="G18" s="2170"/>
      <c r="I18" s="2170"/>
      <c r="J18" s="448"/>
    </row>
    <row r="19" spans="1:10">
      <c r="A19" s="29">
        <v>49</v>
      </c>
      <c r="B19" s="2172" t="s">
        <v>94</v>
      </c>
      <c r="C19" s="29" t="str">
        <f t="shared" ca="1" si="0"/>
        <v>Winterweizen (Brot-)</v>
      </c>
      <c r="D19" s="29" t="str">
        <f t="shared" ca="1" si="1"/>
        <v>Pflanzenschutzspritze 21 m, 300 l/ha</v>
      </c>
      <c r="E19" s="447">
        <f t="shared" ca="1" si="2"/>
        <v>0</v>
      </c>
      <c r="G19" s="2170"/>
      <c r="I19" s="2170"/>
      <c r="J19" s="448"/>
    </row>
    <row r="20" spans="1:10">
      <c r="A20" s="12">
        <v>50</v>
      </c>
      <c r="B20" s="2172" t="s">
        <v>94</v>
      </c>
      <c r="C20" s="29" t="str">
        <f t="shared" ca="1" si="0"/>
        <v>Winterweizen (Brot-)</v>
      </c>
      <c r="D20" s="29" t="str">
        <f t="shared" ca="1" si="1"/>
        <v>Transp. u. Abkip.  (7,5 t Ki.)</v>
      </c>
      <c r="E20" s="447">
        <f t="shared" ca="1" si="2"/>
        <v>0</v>
      </c>
      <c r="G20" s="2170"/>
      <c r="I20" s="2170"/>
      <c r="J20" s="448"/>
    </row>
    <row r="21" spans="1:10">
      <c r="A21" s="29">
        <v>51</v>
      </c>
      <c r="B21" s="2172" t="s">
        <v>94</v>
      </c>
      <c r="C21" s="29" t="str">
        <f t="shared" ca="1" si="0"/>
        <v>Winterweizen (Brot-)</v>
      </c>
      <c r="D21" s="29" t="str">
        <f t="shared" ca="1" si="1"/>
        <v>Schwergrubber 3 m</v>
      </c>
      <c r="E21" s="447">
        <f t="shared" ca="1" si="2"/>
        <v>0</v>
      </c>
      <c r="G21" s="2170"/>
      <c r="I21" s="2170"/>
      <c r="J21" s="448"/>
    </row>
    <row r="22" spans="1:10">
      <c r="A22" s="12">
        <v>52</v>
      </c>
      <c r="B22" s="2172" t="s">
        <v>94</v>
      </c>
      <c r="C22" s="29" t="str">
        <f t="shared" ca="1" si="0"/>
        <v>Winterweizen (Brot-)</v>
      </c>
      <c r="D22" s="29">
        <f t="shared" ca="1" si="1"/>
        <v>0</v>
      </c>
      <c r="E22" s="447">
        <f t="shared" ca="1" si="2"/>
        <v>0</v>
      </c>
      <c r="G22" s="2170"/>
      <c r="I22" s="2170"/>
      <c r="J22" s="448"/>
    </row>
    <row r="23" spans="1:10">
      <c r="A23" s="29">
        <v>53</v>
      </c>
      <c r="B23" s="2172" t="s">
        <v>94</v>
      </c>
      <c r="C23" s="29" t="str">
        <f t="shared" ca="1" si="0"/>
        <v>Winterweizen (Brot-)</v>
      </c>
      <c r="D23" s="29">
        <f t="shared" ca="1" si="1"/>
        <v>0</v>
      </c>
      <c r="E23" s="447">
        <f t="shared" ca="1" si="2"/>
        <v>0</v>
      </c>
      <c r="G23" s="2170"/>
      <c r="I23" s="2170"/>
      <c r="J23" s="448"/>
    </row>
    <row r="24" spans="1:10">
      <c r="A24" s="12">
        <v>54</v>
      </c>
      <c r="B24" s="2172" t="s">
        <v>94</v>
      </c>
      <c r="C24" s="29" t="str">
        <f t="shared" ca="1" si="0"/>
        <v>Winterweizen (Brot-)</v>
      </c>
      <c r="D24" s="29">
        <f t="shared" ca="1" si="1"/>
        <v>0</v>
      </c>
      <c r="E24" s="447">
        <f t="shared" ca="1" si="2"/>
        <v>0</v>
      </c>
      <c r="G24" s="2170"/>
      <c r="I24" s="2170"/>
      <c r="J24" s="448"/>
    </row>
    <row r="25" spans="1:10">
      <c r="A25" s="29">
        <v>55</v>
      </c>
      <c r="B25" s="2172" t="s">
        <v>94</v>
      </c>
      <c r="C25" s="29" t="str">
        <f t="shared" ca="1" si="0"/>
        <v>Winterweizen (Brot-)</v>
      </c>
      <c r="D25" s="29">
        <f t="shared" ca="1" si="1"/>
        <v>0</v>
      </c>
      <c r="E25" s="447">
        <f t="shared" ca="1" si="2"/>
        <v>0</v>
      </c>
      <c r="G25" s="2170"/>
      <c r="I25" s="2170"/>
      <c r="J25" s="448"/>
    </row>
    <row r="26" spans="1:10">
      <c r="A26" s="12">
        <v>56</v>
      </c>
      <c r="B26" s="2172" t="s">
        <v>94</v>
      </c>
      <c r="C26" s="29" t="str">
        <f t="shared" ca="1" si="0"/>
        <v>Winterweizen (Brot-)</v>
      </c>
      <c r="D26" s="29">
        <f t="shared" ca="1" si="1"/>
        <v>0</v>
      </c>
      <c r="E26" s="447">
        <f t="shared" ca="1" si="2"/>
        <v>0</v>
      </c>
      <c r="G26" s="2170"/>
      <c r="I26" s="2170"/>
      <c r="J26" s="448"/>
    </row>
    <row r="27" spans="1:10">
      <c r="A27" s="29">
        <v>57</v>
      </c>
      <c r="B27" s="2172" t="s">
        <v>94</v>
      </c>
      <c r="C27" s="29" t="str">
        <f t="shared" ca="1" si="0"/>
        <v>Winterweizen (Brot-)</v>
      </c>
      <c r="D27" s="29" t="str">
        <f t="shared" ca="1" si="1"/>
        <v>Stroh-Rundballen 4 t/ha laden, abfahren, stapeln, 3-S-Kipp.</v>
      </c>
      <c r="E27" s="447">
        <f t="shared" ca="1" si="2"/>
        <v>0</v>
      </c>
      <c r="G27" s="2170"/>
      <c r="I27" s="2170"/>
      <c r="J27" s="448"/>
    </row>
    <row r="28" spans="1:10" s="2170" customFormat="1">
      <c r="A28" s="2172">
        <v>46</v>
      </c>
      <c r="B28" s="2172" t="s">
        <v>92</v>
      </c>
      <c r="C28" s="2170" t="e">
        <f t="shared" ca="1" si="0"/>
        <v>#REF!</v>
      </c>
      <c r="D28" s="2170" t="e">
        <f t="shared" ca="1" si="1"/>
        <v>#REF!</v>
      </c>
      <c r="E28" s="2171" t="e">
        <f t="shared" ca="1" si="2"/>
        <v>#REF!</v>
      </c>
      <c r="J28" s="448"/>
    </row>
    <row r="29" spans="1:10" s="2170" customFormat="1">
      <c r="A29" s="2170">
        <v>47</v>
      </c>
      <c r="B29" s="2172" t="s">
        <v>92</v>
      </c>
      <c r="C29" s="2170" t="e">
        <f t="shared" ca="1" si="0"/>
        <v>#REF!</v>
      </c>
      <c r="D29" s="2170" t="e">
        <f t="shared" ca="1" si="1"/>
        <v>#REF!</v>
      </c>
      <c r="E29" s="2171" t="e">
        <f t="shared" ca="1" si="2"/>
        <v>#REF!</v>
      </c>
      <c r="J29" s="448"/>
    </row>
    <row r="30" spans="1:10" s="2170" customFormat="1">
      <c r="A30" s="2172">
        <v>48</v>
      </c>
      <c r="B30" s="2172" t="s">
        <v>92</v>
      </c>
      <c r="C30" s="2170" t="e">
        <f t="shared" ca="1" si="0"/>
        <v>#REF!</v>
      </c>
      <c r="D30" s="2170" t="e">
        <f t="shared" ca="1" si="1"/>
        <v>#REF!</v>
      </c>
      <c r="E30" s="2171" t="e">
        <f t="shared" ca="1" si="2"/>
        <v>#REF!</v>
      </c>
      <c r="J30" s="448"/>
    </row>
    <row r="31" spans="1:10" s="2170" customFormat="1">
      <c r="A31" s="2170">
        <v>49</v>
      </c>
      <c r="B31" s="2172" t="s">
        <v>92</v>
      </c>
      <c r="C31" s="2170" t="e">
        <f t="shared" ca="1" si="0"/>
        <v>#REF!</v>
      </c>
      <c r="D31" s="2170" t="e">
        <f t="shared" ca="1" si="1"/>
        <v>#REF!</v>
      </c>
      <c r="E31" s="2171" t="e">
        <f t="shared" ca="1" si="2"/>
        <v>#REF!</v>
      </c>
      <c r="J31" s="448"/>
    </row>
    <row r="32" spans="1:10" s="2170" customFormat="1">
      <c r="A32" s="2172">
        <v>50</v>
      </c>
      <c r="B32" s="2172" t="s">
        <v>92</v>
      </c>
      <c r="C32" s="2170" t="e">
        <f t="shared" ca="1" si="0"/>
        <v>#REF!</v>
      </c>
      <c r="D32" s="2170" t="e">
        <f t="shared" ca="1" si="1"/>
        <v>#REF!</v>
      </c>
      <c r="E32" s="2171" t="e">
        <f t="shared" ca="1" si="2"/>
        <v>#REF!</v>
      </c>
      <c r="J32" s="448"/>
    </row>
    <row r="33" spans="1:10" s="2170" customFormat="1">
      <c r="A33" s="2170">
        <v>51</v>
      </c>
      <c r="B33" s="2172" t="s">
        <v>92</v>
      </c>
      <c r="C33" s="2170" t="e">
        <f t="shared" ca="1" si="0"/>
        <v>#REF!</v>
      </c>
      <c r="D33" s="2170" t="e">
        <f t="shared" ca="1" si="1"/>
        <v>#REF!</v>
      </c>
      <c r="E33" s="2171" t="e">
        <f t="shared" ca="1" si="2"/>
        <v>#REF!</v>
      </c>
      <c r="J33" s="448"/>
    </row>
    <row r="34" spans="1:10" s="2170" customFormat="1">
      <c r="A34" s="2172">
        <v>52</v>
      </c>
      <c r="B34" s="2172" t="s">
        <v>92</v>
      </c>
      <c r="C34" s="2170" t="e">
        <f t="shared" ca="1" si="0"/>
        <v>#REF!</v>
      </c>
      <c r="D34" s="2170" t="e">
        <f t="shared" ca="1" si="1"/>
        <v>#REF!</v>
      </c>
      <c r="E34" s="2171" t="e">
        <f t="shared" ca="1" si="2"/>
        <v>#REF!</v>
      </c>
      <c r="J34" s="448"/>
    </row>
    <row r="35" spans="1:10" s="2170" customFormat="1">
      <c r="A35" s="2170">
        <v>53</v>
      </c>
      <c r="B35" s="2172" t="s">
        <v>92</v>
      </c>
      <c r="C35" s="2170" t="e">
        <f t="shared" ca="1" si="0"/>
        <v>#REF!</v>
      </c>
      <c r="D35" s="2170" t="e">
        <f t="shared" ca="1" si="1"/>
        <v>#REF!</v>
      </c>
      <c r="E35" s="2171" t="e">
        <f t="shared" ca="1" si="2"/>
        <v>#REF!</v>
      </c>
    </row>
    <row r="36" spans="1:10" s="2170" customFormat="1">
      <c r="A36" s="2172">
        <v>54</v>
      </c>
      <c r="B36" s="2172" t="s">
        <v>92</v>
      </c>
      <c r="C36" s="2170" t="e">
        <f t="shared" ca="1" si="0"/>
        <v>#REF!</v>
      </c>
      <c r="D36" s="2170" t="e">
        <f t="shared" ca="1" si="1"/>
        <v>#REF!</v>
      </c>
      <c r="E36" s="2171" t="e">
        <f t="shared" ca="1" si="2"/>
        <v>#REF!</v>
      </c>
    </row>
    <row r="37" spans="1:10" s="2170" customFormat="1">
      <c r="A37" s="2170">
        <v>55</v>
      </c>
      <c r="B37" s="2172" t="s">
        <v>92</v>
      </c>
      <c r="C37" s="2170" t="e">
        <f t="shared" ca="1" si="0"/>
        <v>#REF!</v>
      </c>
      <c r="D37" s="2170" t="e">
        <f t="shared" ca="1" si="1"/>
        <v>#REF!</v>
      </c>
      <c r="E37" s="2171" t="e">
        <f t="shared" ca="1" si="2"/>
        <v>#REF!</v>
      </c>
    </row>
    <row r="38" spans="1:10" s="2170" customFormat="1">
      <c r="A38" s="2172">
        <v>56</v>
      </c>
      <c r="B38" s="2172" t="s">
        <v>92</v>
      </c>
      <c r="C38" s="2170" t="e">
        <f t="shared" ca="1" si="0"/>
        <v>#REF!</v>
      </c>
      <c r="D38" s="2170" t="e">
        <f t="shared" ca="1" si="1"/>
        <v>#REF!</v>
      </c>
      <c r="E38" s="2171" t="e">
        <f t="shared" ca="1" si="2"/>
        <v>#REF!</v>
      </c>
    </row>
    <row r="39" spans="1:10" s="2170" customFormat="1">
      <c r="A39" s="2170">
        <v>57</v>
      </c>
      <c r="B39" s="2172" t="s">
        <v>92</v>
      </c>
      <c r="C39" s="2170" t="e">
        <f t="shared" ca="1" si="0"/>
        <v>#REF!</v>
      </c>
      <c r="D39" s="2170" t="e">
        <f t="shared" ca="1" si="1"/>
        <v>#REF!</v>
      </c>
      <c r="E39" s="2171" t="e">
        <f t="shared" ca="1" si="2"/>
        <v>#REF!</v>
      </c>
    </row>
    <row r="40" spans="1:10">
      <c r="A40" s="12">
        <v>46</v>
      </c>
      <c r="B40" s="2172" t="s">
        <v>90</v>
      </c>
      <c r="C40" s="29" t="e">
        <f t="shared" ca="1" si="0"/>
        <v>#REF!</v>
      </c>
      <c r="D40" s="29" t="e">
        <f t="shared" ca="1" si="1"/>
        <v>#REF!</v>
      </c>
      <c r="E40" s="447" t="e">
        <f t="shared" ca="1" si="2"/>
        <v>#REF!</v>
      </c>
      <c r="G40" s="2170"/>
    </row>
    <row r="41" spans="1:10">
      <c r="A41" s="29">
        <v>47</v>
      </c>
      <c r="B41" s="2172" t="s">
        <v>90</v>
      </c>
      <c r="C41" s="29" t="e">
        <f t="shared" ca="1" si="0"/>
        <v>#REF!</v>
      </c>
      <c r="D41" s="29" t="e">
        <f t="shared" ca="1" si="1"/>
        <v>#REF!</v>
      </c>
      <c r="E41" s="447" t="e">
        <f t="shared" ca="1" si="2"/>
        <v>#REF!</v>
      </c>
      <c r="G41" s="2170"/>
    </row>
    <row r="42" spans="1:10">
      <c r="A42" s="12">
        <v>48</v>
      </c>
      <c r="B42" s="2172" t="s">
        <v>90</v>
      </c>
      <c r="C42" s="29" t="e">
        <f t="shared" ca="1" si="0"/>
        <v>#REF!</v>
      </c>
      <c r="D42" s="29" t="e">
        <f t="shared" ca="1" si="1"/>
        <v>#REF!</v>
      </c>
      <c r="E42" s="447" t="e">
        <f t="shared" ca="1" si="2"/>
        <v>#REF!</v>
      </c>
      <c r="G42" s="2170"/>
    </row>
    <row r="43" spans="1:10">
      <c r="A43" s="29">
        <v>49</v>
      </c>
      <c r="B43" s="2172" t="s">
        <v>90</v>
      </c>
      <c r="C43" s="29" t="e">
        <f t="shared" ca="1" si="0"/>
        <v>#REF!</v>
      </c>
      <c r="D43" s="29" t="e">
        <f t="shared" ca="1" si="1"/>
        <v>#REF!</v>
      </c>
      <c r="E43" s="447" t="e">
        <f t="shared" ca="1" si="2"/>
        <v>#REF!</v>
      </c>
      <c r="G43" s="2170"/>
    </row>
    <row r="44" spans="1:10">
      <c r="A44" s="12">
        <v>50</v>
      </c>
      <c r="B44" s="2172" t="s">
        <v>90</v>
      </c>
      <c r="C44" s="29" t="e">
        <f t="shared" ca="1" si="0"/>
        <v>#REF!</v>
      </c>
      <c r="D44" s="29" t="e">
        <f t="shared" ca="1" si="1"/>
        <v>#REF!</v>
      </c>
      <c r="E44" s="447" t="e">
        <f t="shared" ca="1" si="2"/>
        <v>#REF!</v>
      </c>
      <c r="G44" s="2170"/>
    </row>
    <row r="45" spans="1:10">
      <c r="A45" s="29">
        <v>51</v>
      </c>
      <c r="B45" s="2172" t="s">
        <v>90</v>
      </c>
      <c r="C45" s="29" t="e">
        <f t="shared" ca="1" si="0"/>
        <v>#REF!</v>
      </c>
      <c r="D45" s="29" t="e">
        <f t="shared" ca="1" si="1"/>
        <v>#REF!</v>
      </c>
      <c r="E45" s="447" t="e">
        <f t="shared" ca="1" si="2"/>
        <v>#REF!</v>
      </c>
      <c r="G45" s="2170"/>
    </row>
    <row r="46" spans="1:10">
      <c r="A46" s="12">
        <v>52</v>
      </c>
      <c r="B46" s="2172" t="s">
        <v>90</v>
      </c>
      <c r="C46" s="29" t="e">
        <f t="shared" ca="1" si="0"/>
        <v>#REF!</v>
      </c>
      <c r="D46" s="29" t="e">
        <f t="shared" ca="1" si="1"/>
        <v>#REF!</v>
      </c>
      <c r="E46" s="447" t="e">
        <f t="shared" ca="1" si="2"/>
        <v>#REF!</v>
      </c>
      <c r="G46" s="2170"/>
    </row>
    <row r="47" spans="1:10">
      <c r="A47" s="29">
        <v>53</v>
      </c>
      <c r="B47" s="2172" t="s">
        <v>90</v>
      </c>
      <c r="C47" s="29" t="e">
        <f t="shared" ca="1" si="0"/>
        <v>#REF!</v>
      </c>
      <c r="D47" s="29" t="e">
        <f t="shared" ca="1" si="1"/>
        <v>#REF!</v>
      </c>
      <c r="E47" s="447" t="e">
        <f t="shared" ca="1" si="2"/>
        <v>#REF!</v>
      </c>
      <c r="G47" s="2170"/>
    </row>
    <row r="48" spans="1:10">
      <c r="A48" s="12">
        <v>54</v>
      </c>
      <c r="B48" s="2172" t="s">
        <v>90</v>
      </c>
      <c r="C48" s="29" t="e">
        <f t="shared" ca="1" si="0"/>
        <v>#REF!</v>
      </c>
      <c r="D48" s="29" t="e">
        <f t="shared" ca="1" si="1"/>
        <v>#REF!</v>
      </c>
      <c r="E48" s="447" t="e">
        <f t="shared" ca="1" si="2"/>
        <v>#REF!</v>
      </c>
      <c r="G48" s="2170"/>
    </row>
    <row r="49" spans="1:7">
      <c r="A49" s="29">
        <v>55</v>
      </c>
      <c r="B49" s="2172" t="s">
        <v>90</v>
      </c>
      <c r="C49" s="29" t="e">
        <f t="shared" ca="1" si="0"/>
        <v>#REF!</v>
      </c>
      <c r="D49" s="29" t="e">
        <f t="shared" ca="1" si="1"/>
        <v>#REF!</v>
      </c>
      <c r="E49" s="447" t="e">
        <f t="shared" ca="1" si="2"/>
        <v>#REF!</v>
      </c>
      <c r="G49" s="2170"/>
    </row>
    <row r="50" spans="1:7">
      <c r="A50" s="12">
        <v>56</v>
      </c>
      <c r="B50" s="2172" t="s">
        <v>90</v>
      </c>
      <c r="C50" s="29" t="e">
        <f t="shared" ca="1" si="0"/>
        <v>#REF!</v>
      </c>
      <c r="D50" s="29" t="e">
        <f t="shared" ca="1" si="1"/>
        <v>#REF!</v>
      </c>
      <c r="E50" s="447" t="e">
        <f t="shared" ca="1" si="2"/>
        <v>#REF!</v>
      </c>
      <c r="G50" s="2170"/>
    </row>
    <row r="51" spans="1:7">
      <c r="A51" s="29">
        <v>57</v>
      </c>
      <c r="B51" s="2172" t="s">
        <v>90</v>
      </c>
      <c r="C51" s="29" t="e">
        <f t="shared" ca="1" si="0"/>
        <v>#REF!</v>
      </c>
      <c r="D51" s="29" t="e">
        <f t="shared" ca="1" si="1"/>
        <v>#REF!</v>
      </c>
      <c r="E51" s="447" t="e">
        <f t="shared" ca="1" si="2"/>
        <v>#REF!</v>
      </c>
      <c r="G51" s="2170"/>
    </row>
    <row r="52" spans="1:7" s="2170" customFormat="1">
      <c r="A52" s="2172">
        <v>46</v>
      </c>
      <c r="B52" s="2172" t="s">
        <v>88</v>
      </c>
      <c r="C52" s="2170" t="str">
        <f t="shared" ca="1" si="0"/>
        <v>Winterroggen</v>
      </c>
      <c r="D52" s="2170" t="str">
        <f t="shared" ca="1" si="1"/>
        <v>Drehpflug, 5 Schare</v>
      </c>
      <c r="E52" s="2171">
        <f t="shared" ca="1" si="2"/>
        <v>0</v>
      </c>
    </row>
    <row r="53" spans="1:7" s="2170" customFormat="1">
      <c r="A53" s="2170">
        <v>47</v>
      </c>
      <c r="B53" s="2172" t="s">
        <v>88</v>
      </c>
      <c r="C53" s="2170" t="str">
        <f t="shared" ca="1" si="0"/>
        <v>Winterroggen</v>
      </c>
      <c r="D53" s="2170" t="str">
        <f t="shared" ca="1" si="1"/>
        <v>Kreiselegge-Säkomb. 3 m</v>
      </c>
      <c r="E53" s="2171">
        <f t="shared" ca="1" si="2"/>
        <v>0</v>
      </c>
    </row>
    <row r="54" spans="1:7" s="2170" customFormat="1">
      <c r="A54" s="2172">
        <v>48</v>
      </c>
      <c r="B54" s="2172" t="s">
        <v>88</v>
      </c>
      <c r="C54" s="2170" t="str">
        <f t="shared" ca="1" si="0"/>
        <v>Winterroggen</v>
      </c>
      <c r="D54" s="2170" t="str">
        <f t="shared" ca="1" si="1"/>
        <v xml:space="preserve">Düngerstreuer ab Hof 24 m, 400 kg/ha </v>
      </c>
      <c r="E54" s="2171">
        <f t="shared" ca="1" si="2"/>
        <v>0</v>
      </c>
    </row>
    <row r="55" spans="1:7" s="2170" customFormat="1">
      <c r="A55" s="2170">
        <v>49</v>
      </c>
      <c r="B55" s="2172" t="s">
        <v>88</v>
      </c>
      <c r="C55" s="2170" t="str">
        <f t="shared" ca="1" si="0"/>
        <v>Winterroggen</v>
      </c>
      <c r="D55" s="2170" t="str">
        <f t="shared" ca="1" si="1"/>
        <v>Pflanzenschutzspritze 21 m, 300 l/ha</v>
      </c>
      <c r="E55" s="2171">
        <f t="shared" ca="1" si="2"/>
        <v>0</v>
      </c>
    </row>
    <row r="56" spans="1:7" s="2170" customFormat="1">
      <c r="A56" s="2172">
        <v>50</v>
      </c>
      <c r="B56" s="2172" t="s">
        <v>88</v>
      </c>
      <c r="C56" s="2170" t="str">
        <f t="shared" ca="1" si="0"/>
        <v>Winterroggen</v>
      </c>
      <c r="D56" s="2170" t="str">
        <f t="shared" ca="1" si="1"/>
        <v>Transp. u. Abkip.  (7,5 t Ki.)</v>
      </c>
      <c r="E56" s="2171">
        <f t="shared" ca="1" si="2"/>
        <v>0</v>
      </c>
    </row>
    <row r="57" spans="1:7" s="2170" customFormat="1">
      <c r="A57" s="2170">
        <v>51</v>
      </c>
      <c r="B57" s="2172" t="s">
        <v>88</v>
      </c>
      <c r="C57" s="2170" t="str">
        <f t="shared" ca="1" si="0"/>
        <v>Winterroggen</v>
      </c>
      <c r="D57" s="2170" t="str">
        <f t="shared" ca="1" si="1"/>
        <v>Schwergrubber 3 m</v>
      </c>
      <c r="E57" s="2171">
        <f t="shared" ca="1" si="2"/>
        <v>0</v>
      </c>
    </row>
    <row r="58" spans="1:7" s="2170" customFormat="1">
      <c r="A58" s="2172">
        <v>52</v>
      </c>
      <c r="B58" s="2172" t="s">
        <v>88</v>
      </c>
      <c r="C58" s="2170" t="str">
        <f t="shared" ca="1" si="0"/>
        <v>Winterroggen</v>
      </c>
      <c r="D58" s="2170">
        <f t="shared" ca="1" si="1"/>
        <v>0</v>
      </c>
      <c r="E58" s="2171">
        <f t="shared" ca="1" si="2"/>
        <v>0</v>
      </c>
    </row>
    <row r="59" spans="1:7" s="2170" customFormat="1">
      <c r="A59" s="2170">
        <v>53</v>
      </c>
      <c r="B59" s="2172" t="s">
        <v>88</v>
      </c>
      <c r="C59" s="2170" t="str">
        <f t="shared" ca="1" si="0"/>
        <v>Winterroggen</v>
      </c>
      <c r="D59" s="2170">
        <f t="shared" ca="1" si="1"/>
        <v>0</v>
      </c>
      <c r="E59" s="2171">
        <f t="shared" ca="1" si="2"/>
        <v>0</v>
      </c>
    </row>
    <row r="60" spans="1:7" s="2170" customFormat="1">
      <c r="A60" s="2172">
        <v>54</v>
      </c>
      <c r="B60" s="2172" t="s">
        <v>88</v>
      </c>
      <c r="C60" s="2170" t="str">
        <f t="shared" ca="1" si="0"/>
        <v>Winterroggen</v>
      </c>
      <c r="D60" s="2170">
        <f t="shared" ca="1" si="1"/>
        <v>0</v>
      </c>
      <c r="E60" s="2171">
        <f t="shared" ca="1" si="2"/>
        <v>0</v>
      </c>
    </row>
    <row r="61" spans="1:7" s="2170" customFormat="1">
      <c r="A61" s="2170">
        <v>55</v>
      </c>
      <c r="B61" s="2172" t="s">
        <v>88</v>
      </c>
      <c r="C61" s="2170" t="str">
        <f t="shared" ca="1" si="0"/>
        <v>Winterroggen</v>
      </c>
      <c r="D61" s="2170">
        <f t="shared" ca="1" si="1"/>
        <v>0</v>
      </c>
      <c r="E61" s="2171">
        <f t="shared" ca="1" si="2"/>
        <v>0</v>
      </c>
    </row>
    <row r="62" spans="1:7" s="2170" customFormat="1">
      <c r="A62" s="2172">
        <v>56</v>
      </c>
      <c r="B62" s="2172" t="s">
        <v>88</v>
      </c>
      <c r="C62" s="2170" t="str">
        <f t="shared" ca="1" si="0"/>
        <v>Winterroggen</v>
      </c>
      <c r="D62" s="2170">
        <f t="shared" ca="1" si="1"/>
        <v>0</v>
      </c>
      <c r="E62" s="2171">
        <f t="shared" ca="1" si="2"/>
        <v>0</v>
      </c>
    </row>
    <row r="63" spans="1:7" s="2170" customFormat="1">
      <c r="A63" s="2170">
        <v>57</v>
      </c>
      <c r="B63" s="2172" t="s">
        <v>88</v>
      </c>
      <c r="C63" s="2170" t="str">
        <f t="shared" ca="1" si="0"/>
        <v>Winterroggen</v>
      </c>
      <c r="D63" s="2170" t="str">
        <f t="shared" ca="1" si="1"/>
        <v>Stroh-Rundballen 4 t/ha laden, abfahren, stapeln, 3-S-Kipp.</v>
      </c>
      <c r="E63" s="2171">
        <f t="shared" ca="1" si="2"/>
        <v>0</v>
      </c>
    </row>
    <row r="64" spans="1:7">
      <c r="A64" s="12">
        <v>46</v>
      </c>
      <c r="B64" s="2172" t="s">
        <v>86</v>
      </c>
      <c r="C64" s="29" t="str">
        <f t="shared" ca="1" si="0"/>
        <v>Triticale</v>
      </c>
      <c r="D64" s="29" t="str">
        <f t="shared" ca="1" si="1"/>
        <v>Drehpflug, 5 Schare</v>
      </c>
      <c r="E64" s="447">
        <f t="shared" ca="1" si="2"/>
        <v>0</v>
      </c>
      <c r="G64" s="2170"/>
    </row>
    <row r="65" spans="1:7">
      <c r="A65" s="29">
        <v>47</v>
      </c>
      <c r="B65" s="2172" t="s">
        <v>86</v>
      </c>
      <c r="C65" s="29" t="str">
        <f t="shared" ca="1" si="0"/>
        <v>Triticale</v>
      </c>
      <c r="D65" s="29" t="str">
        <f t="shared" ca="1" si="1"/>
        <v>Kreiselegge-Säkomb. 3 m</v>
      </c>
      <c r="E65" s="447">
        <f t="shared" ca="1" si="2"/>
        <v>0</v>
      </c>
      <c r="G65" s="2170"/>
    </row>
    <row r="66" spans="1:7">
      <c r="A66" s="12">
        <v>48</v>
      </c>
      <c r="B66" s="2172" t="s">
        <v>86</v>
      </c>
      <c r="C66" s="29" t="str">
        <f t="shared" ca="1" si="0"/>
        <v>Triticale</v>
      </c>
      <c r="D66" s="29" t="str">
        <f t="shared" ca="1" si="1"/>
        <v xml:space="preserve">Düngerstreuer ab Hof 24 m, 400 kg/ha </v>
      </c>
      <c r="E66" s="447">
        <f t="shared" ca="1" si="2"/>
        <v>0</v>
      </c>
      <c r="G66" s="2170"/>
    </row>
    <row r="67" spans="1:7">
      <c r="A67" s="29">
        <v>49</v>
      </c>
      <c r="B67" s="2172" t="s">
        <v>86</v>
      </c>
      <c r="C67" s="29" t="str">
        <f t="shared" ca="1" si="0"/>
        <v>Triticale</v>
      </c>
      <c r="D67" s="29" t="str">
        <f t="shared" ca="1" si="1"/>
        <v>Pflanzenschutzspritze 21 m, 300 l/ha</v>
      </c>
      <c r="E67" s="447">
        <f t="shared" ca="1" si="2"/>
        <v>0</v>
      </c>
      <c r="G67" s="2170"/>
    </row>
    <row r="68" spans="1:7">
      <c r="A68" s="12">
        <v>50</v>
      </c>
      <c r="B68" s="2172" t="s">
        <v>86</v>
      </c>
      <c r="C68" s="29" t="str">
        <f t="shared" ref="C68:C131" ca="1" si="3">INDIRECT("'"&amp;B68&amp;"'!$K$2")</f>
        <v>Triticale</v>
      </c>
      <c r="D68" s="29" t="str">
        <f t="shared" ref="D68:D131" ca="1" si="4">INDIRECT("'"&amp;B68&amp;"'!C"&amp;A68)</f>
        <v>Transp. u. Abkip.  (7,5 t Ki.)</v>
      </c>
      <c r="E68" s="447">
        <f t="shared" ref="E68:E131" ca="1" si="5">INDIRECT("'"&amp;B68&amp;"'!Q"&amp;A68)</f>
        <v>0</v>
      </c>
      <c r="G68" s="2170"/>
    </row>
    <row r="69" spans="1:7">
      <c r="A69" s="29">
        <v>51</v>
      </c>
      <c r="B69" s="2172" t="s">
        <v>86</v>
      </c>
      <c r="C69" s="29" t="str">
        <f t="shared" ca="1" si="3"/>
        <v>Triticale</v>
      </c>
      <c r="D69" s="29" t="str">
        <f t="shared" ca="1" si="4"/>
        <v>Schwergrubber 3 m</v>
      </c>
      <c r="E69" s="447">
        <f t="shared" ca="1" si="5"/>
        <v>0</v>
      </c>
      <c r="G69" s="2170"/>
    </row>
    <row r="70" spans="1:7">
      <c r="A70" s="12">
        <v>52</v>
      </c>
      <c r="B70" s="2172" t="s">
        <v>86</v>
      </c>
      <c r="C70" s="29" t="str">
        <f t="shared" ca="1" si="3"/>
        <v>Triticale</v>
      </c>
      <c r="D70" s="29">
        <f t="shared" ca="1" si="4"/>
        <v>0</v>
      </c>
      <c r="E70" s="447">
        <f t="shared" ca="1" si="5"/>
        <v>0</v>
      </c>
      <c r="G70" s="2170"/>
    </row>
    <row r="71" spans="1:7">
      <c r="A71" s="29">
        <v>53</v>
      </c>
      <c r="B71" s="2172" t="s">
        <v>86</v>
      </c>
      <c r="C71" s="29" t="str">
        <f t="shared" ca="1" si="3"/>
        <v>Triticale</v>
      </c>
      <c r="D71" s="29">
        <f t="shared" ca="1" si="4"/>
        <v>0</v>
      </c>
      <c r="E71" s="447">
        <f t="shared" ca="1" si="5"/>
        <v>0</v>
      </c>
      <c r="G71" s="2170"/>
    </row>
    <row r="72" spans="1:7">
      <c r="A72" s="12">
        <v>54</v>
      </c>
      <c r="B72" s="2172" t="s">
        <v>86</v>
      </c>
      <c r="C72" s="29" t="str">
        <f t="shared" ca="1" si="3"/>
        <v>Triticale</v>
      </c>
      <c r="D72" s="29">
        <f t="shared" ca="1" si="4"/>
        <v>0</v>
      </c>
      <c r="E72" s="447">
        <f t="shared" ca="1" si="5"/>
        <v>0</v>
      </c>
      <c r="G72" s="2170"/>
    </row>
    <row r="73" spans="1:7">
      <c r="A73" s="29">
        <v>55</v>
      </c>
      <c r="B73" s="2172" t="s">
        <v>86</v>
      </c>
      <c r="C73" s="29" t="str">
        <f t="shared" ca="1" si="3"/>
        <v>Triticale</v>
      </c>
      <c r="D73" s="29">
        <f t="shared" ca="1" si="4"/>
        <v>0</v>
      </c>
      <c r="E73" s="447">
        <f t="shared" ca="1" si="5"/>
        <v>0</v>
      </c>
      <c r="G73" s="2170"/>
    </row>
    <row r="74" spans="1:7">
      <c r="A74" s="12">
        <v>56</v>
      </c>
      <c r="B74" s="2172" t="s">
        <v>86</v>
      </c>
      <c r="C74" s="29" t="str">
        <f t="shared" ca="1" si="3"/>
        <v>Triticale</v>
      </c>
      <c r="D74" s="29">
        <f t="shared" ca="1" si="4"/>
        <v>0</v>
      </c>
      <c r="E74" s="447">
        <f t="shared" ca="1" si="5"/>
        <v>0</v>
      </c>
      <c r="G74" s="2170"/>
    </row>
    <row r="75" spans="1:7">
      <c r="A75" s="29">
        <v>57</v>
      </c>
      <c r="B75" s="2172" t="s">
        <v>86</v>
      </c>
      <c r="C75" s="29" t="str">
        <f t="shared" ca="1" si="3"/>
        <v>Triticale</v>
      </c>
      <c r="D75" s="29" t="str">
        <f t="shared" ca="1" si="4"/>
        <v>Stroh-Rundballen 4 t/ha laden, abfahren, stapeln, 3-S-Kipp.</v>
      </c>
      <c r="E75" s="447">
        <f t="shared" ca="1" si="5"/>
        <v>0</v>
      </c>
      <c r="G75" s="2170"/>
    </row>
    <row r="76" spans="1:7" s="2170" customFormat="1">
      <c r="A76" s="2172">
        <v>46</v>
      </c>
      <c r="B76" s="2172" t="s">
        <v>84</v>
      </c>
      <c r="C76" s="2170" t="str">
        <f t="shared" ca="1" si="3"/>
        <v>Wintergerste</v>
      </c>
      <c r="D76" s="2170" t="str">
        <f t="shared" ca="1" si="4"/>
        <v>Drehpflug, 5 Schare</v>
      </c>
      <c r="E76" s="2171">
        <f t="shared" ca="1" si="5"/>
        <v>30</v>
      </c>
    </row>
    <row r="77" spans="1:7" s="2170" customFormat="1">
      <c r="A77" s="2170">
        <v>47</v>
      </c>
      <c r="B77" s="2172" t="s">
        <v>84</v>
      </c>
      <c r="C77" s="2170" t="str">
        <f t="shared" ca="1" si="3"/>
        <v>Wintergerste</v>
      </c>
      <c r="D77" s="2170" t="str">
        <f t="shared" ca="1" si="4"/>
        <v>Kreiselegge-Säkomb. 3 m</v>
      </c>
      <c r="E77" s="2171">
        <f t="shared" ca="1" si="5"/>
        <v>0</v>
      </c>
    </row>
    <row r="78" spans="1:7" s="2170" customFormat="1">
      <c r="A78" s="2172">
        <v>48</v>
      </c>
      <c r="B78" s="2172" t="s">
        <v>84</v>
      </c>
      <c r="C78" s="2170" t="str">
        <f t="shared" ca="1" si="3"/>
        <v>Wintergerste</v>
      </c>
      <c r="D78" s="2170" t="str">
        <f t="shared" ca="1" si="4"/>
        <v xml:space="preserve">Düngerstreuer ab Hof 24 m, 400 kg/ha </v>
      </c>
      <c r="E78" s="2171">
        <f t="shared" ca="1" si="5"/>
        <v>0</v>
      </c>
    </row>
    <row r="79" spans="1:7" s="2170" customFormat="1">
      <c r="A79" s="2170">
        <v>49</v>
      </c>
      <c r="B79" s="2172" t="s">
        <v>84</v>
      </c>
      <c r="C79" s="2170" t="str">
        <f t="shared" ca="1" si="3"/>
        <v>Wintergerste</v>
      </c>
      <c r="D79" s="2170" t="str">
        <f t="shared" ca="1" si="4"/>
        <v>Pflanzenschutzspritze 21 m, 300 l/ha</v>
      </c>
      <c r="E79" s="2171">
        <f t="shared" ca="1" si="5"/>
        <v>0</v>
      </c>
    </row>
    <row r="80" spans="1:7" s="2170" customFormat="1">
      <c r="A80" s="2172">
        <v>50</v>
      </c>
      <c r="B80" s="2172" t="s">
        <v>84</v>
      </c>
      <c r="C80" s="2170" t="str">
        <f t="shared" ca="1" si="3"/>
        <v>Wintergerste</v>
      </c>
      <c r="D80" s="2170" t="str">
        <f t="shared" ca="1" si="4"/>
        <v>Transp. u. Abkip.  (7,5 t Ki.)</v>
      </c>
      <c r="E80" s="2171">
        <f t="shared" ca="1" si="5"/>
        <v>0</v>
      </c>
    </row>
    <row r="81" spans="1:7" s="2170" customFormat="1">
      <c r="A81" s="2170">
        <v>51</v>
      </c>
      <c r="B81" s="2172" t="s">
        <v>84</v>
      </c>
      <c r="C81" s="2170" t="str">
        <f t="shared" ca="1" si="3"/>
        <v>Wintergerste</v>
      </c>
      <c r="D81" s="2170" t="str">
        <f t="shared" ca="1" si="4"/>
        <v>Schwergrubber 3 m</v>
      </c>
      <c r="E81" s="2171">
        <f t="shared" ca="1" si="5"/>
        <v>0</v>
      </c>
    </row>
    <row r="82" spans="1:7" s="2170" customFormat="1">
      <c r="A82" s="2172">
        <v>52</v>
      </c>
      <c r="B82" s="2172" t="s">
        <v>84</v>
      </c>
      <c r="C82" s="2170" t="str">
        <f t="shared" ca="1" si="3"/>
        <v>Wintergerste</v>
      </c>
      <c r="D82" s="2170">
        <f t="shared" ca="1" si="4"/>
        <v>0</v>
      </c>
      <c r="E82" s="2171">
        <f t="shared" ca="1" si="5"/>
        <v>0</v>
      </c>
    </row>
    <row r="83" spans="1:7" s="2170" customFormat="1">
      <c r="A83" s="2170">
        <v>53</v>
      </c>
      <c r="B83" s="2172" t="s">
        <v>84</v>
      </c>
      <c r="C83" s="2170" t="str">
        <f t="shared" ca="1" si="3"/>
        <v>Wintergerste</v>
      </c>
      <c r="D83" s="2170">
        <f t="shared" ca="1" si="4"/>
        <v>0</v>
      </c>
      <c r="E83" s="2171">
        <f t="shared" ca="1" si="5"/>
        <v>0</v>
      </c>
    </row>
    <row r="84" spans="1:7" s="2170" customFormat="1">
      <c r="A84" s="2172">
        <v>54</v>
      </c>
      <c r="B84" s="2172" t="s">
        <v>84</v>
      </c>
      <c r="C84" s="2170" t="str">
        <f t="shared" ca="1" si="3"/>
        <v>Wintergerste</v>
      </c>
      <c r="D84" s="2170">
        <f t="shared" ca="1" si="4"/>
        <v>0</v>
      </c>
      <c r="E84" s="2171">
        <f t="shared" ca="1" si="5"/>
        <v>0</v>
      </c>
    </row>
    <row r="85" spans="1:7" s="2170" customFormat="1">
      <c r="A85" s="2170">
        <v>55</v>
      </c>
      <c r="B85" s="2172" t="s">
        <v>84</v>
      </c>
      <c r="C85" s="2170" t="str">
        <f t="shared" ca="1" si="3"/>
        <v>Wintergerste</v>
      </c>
      <c r="D85" s="2170">
        <f t="shared" ca="1" si="4"/>
        <v>0</v>
      </c>
      <c r="E85" s="2171">
        <f t="shared" ca="1" si="5"/>
        <v>0</v>
      </c>
    </row>
    <row r="86" spans="1:7" s="2170" customFormat="1">
      <c r="A86" s="2172">
        <v>56</v>
      </c>
      <c r="B86" s="2172" t="s">
        <v>84</v>
      </c>
      <c r="C86" s="2170" t="str">
        <f t="shared" ca="1" si="3"/>
        <v>Wintergerste</v>
      </c>
      <c r="D86" s="2170">
        <f t="shared" ca="1" si="4"/>
        <v>0</v>
      </c>
      <c r="E86" s="2171">
        <f t="shared" ca="1" si="5"/>
        <v>0</v>
      </c>
    </row>
    <row r="87" spans="1:7" s="2170" customFormat="1">
      <c r="A87" s="2170">
        <v>57</v>
      </c>
      <c r="B87" s="2172" t="s">
        <v>84</v>
      </c>
      <c r="C87" s="2170" t="str">
        <f t="shared" ca="1" si="3"/>
        <v>Wintergerste</v>
      </c>
      <c r="D87" s="2170" t="str">
        <f t="shared" ca="1" si="4"/>
        <v>Stroh-Rundballen 4 t/ha laden, abfahren, stapeln, 3-S-Kipp.</v>
      </c>
      <c r="E87" s="2171">
        <f t="shared" ca="1" si="5"/>
        <v>0</v>
      </c>
    </row>
    <row r="88" spans="1:7">
      <c r="A88" s="12">
        <v>46</v>
      </c>
      <c r="B88" s="2172" t="s">
        <v>82</v>
      </c>
      <c r="C88" s="29" t="str">
        <f t="shared" ca="1" si="3"/>
        <v>Dinkel</v>
      </c>
      <c r="D88" s="29" t="str">
        <f t="shared" ca="1" si="4"/>
        <v>Drehpflug, 5 Schare</v>
      </c>
      <c r="E88" s="447">
        <f t="shared" ca="1" si="5"/>
        <v>0</v>
      </c>
      <c r="G88" s="2170"/>
    </row>
    <row r="89" spans="1:7">
      <c r="A89" s="29">
        <v>47</v>
      </c>
      <c r="B89" s="2172" t="s">
        <v>82</v>
      </c>
      <c r="C89" s="29" t="str">
        <f t="shared" ca="1" si="3"/>
        <v>Dinkel</v>
      </c>
      <c r="D89" s="29" t="str">
        <f t="shared" ca="1" si="4"/>
        <v>Kreiselegge-Säkomb. 3 m</v>
      </c>
      <c r="E89" s="447">
        <f t="shared" ca="1" si="5"/>
        <v>0</v>
      </c>
      <c r="G89" s="2170"/>
    </row>
    <row r="90" spans="1:7">
      <c r="A90" s="12">
        <v>48</v>
      </c>
      <c r="B90" s="2172" t="s">
        <v>82</v>
      </c>
      <c r="C90" s="29" t="str">
        <f t="shared" ca="1" si="3"/>
        <v>Dinkel</v>
      </c>
      <c r="D90" s="29" t="str">
        <f t="shared" ca="1" si="4"/>
        <v xml:space="preserve">Düngerstreuer ab Hof 24 m, 400 kg/ha </v>
      </c>
      <c r="E90" s="447">
        <f t="shared" ca="1" si="5"/>
        <v>0</v>
      </c>
      <c r="G90" s="2170"/>
    </row>
    <row r="91" spans="1:7">
      <c r="A91" s="29">
        <v>49</v>
      </c>
      <c r="B91" s="2172" t="s">
        <v>82</v>
      </c>
      <c r="C91" s="29" t="str">
        <f t="shared" ca="1" si="3"/>
        <v>Dinkel</v>
      </c>
      <c r="D91" s="29" t="str">
        <f t="shared" ca="1" si="4"/>
        <v>Pflanzenschutzspritze 21 m, 300 l/ha</v>
      </c>
      <c r="E91" s="447">
        <f t="shared" ca="1" si="5"/>
        <v>0</v>
      </c>
      <c r="G91" s="2170"/>
    </row>
    <row r="92" spans="1:7">
      <c r="A92" s="12">
        <v>50</v>
      </c>
      <c r="B92" s="2172" t="s">
        <v>82</v>
      </c>
      <c r="C92" s="29" t="str">
        <f t="shared" ca="1" si="3"/>
        <v>Dinkel</v>
      </c>
      <c r="D92" s="29" t="str">
        <f t="shared" ca="1" si="4"/>
        <v>Transp. u. Abkip.  (7,5 t Ki.)</v>
      </c>
      <c r="E92" s="447">
        <f t="shared" ca="1" si="5"/>
        <v>0</v>
      </c>
      <c r="G92" s="2170"/>
    </row>
    <row r="93" spans="1:7">
      <c r="A93" s="29">
        <v>51</v>
      </c>
      <c r="B93" s="2172" t="s">
        <v>82</v>
      </c>
      <c r="C93" s="29" t="str">
        <f t="shared" ca="1" si="3"/>
        <v>Dinkel</v>
      </c>
      <c r="D93" s="29" t="str">
        <f t="shared" ca="1" si="4"/>
        <v>Schwergrubber 3 m</v>
      </c>
      <c r="E93" s="447">
        <f t="shared" ca="1" si="5"/>
        <v>0</v>
      </c>
      <c r="G93" s="2170"/>
    </row>
    <row r="94" spans="1:7">
      <c r="A94" s="12">
        <v>52</v>
      </c>
      <c r="B94" s="2172" t="s">
        <v>82</v>
      </c>
      <c r="C94" s="29" t="str">
        <f t="shared" ca="1" si="3"/>
        <v>Dinkel</v>
      </c>
      <c r="D94" s="29">
        <f t="shared" ca="1" si="4"/>
        <v>0</v>
      </c>
      <c r="E94" s="447">
        <f t="shared" ca="1" si="5"/>
        <v>0</v>
      </c>
      <c r="G94" s="2170"/>
    </row>
    <row r="95" spans="1:7">
      <c r="A95" s="29">
        <v>53</v>
      </c>
      <c r="B95" s="2172" t="s">
        <v>82</v>
      </c>
      <c r="C95" s="29" t="str">
        <f t="shared" ca="1" si="3"/>
        <v>Dinkel</v>
      </c>
      <c r="D95" s="29">
        <f t="shared" ca="1" si="4"/>
        <v>0</v>
      </c>
      <c r="E95" s="447">
        <f t="shared" ca="1" si="5"/>
        <v>0</v>
      </c>
      <c r="G95" s="2170"/>
    </row>
    <row r="96" spans="1:7">
      <c r="A96" s="12">
        <v>54</v>
      </c>
      <c r="B96" s="2172" t="s">
        <v>82</v>
      </c>
      <c r="C96" s="29" t="str">
        <f t="shared" ca="1" si="3"/>
        <v>Dinkel</v>
      </c>
      <c r="D96" s="29">
        <f t="shared" ca="1" si="4"/>
        <v>0</v>
      </c>
      <c r="E96" s="447">
        <f t="shared" ca="1" si="5"/>
        <v>0</v>
      </c>
      <c r="G96" s="2170"/>
    </row>
    <row r="97" spans="1:7">
      <c r="A97" s="29">
        <v>55</v>
      </c>
      <c r="B97" s="2172" t="s">
        <v>82</v>
      </c>
      <c r="C97" s="29" t="str">
        <f t="shared" ca="1" si="3"/>
        <v>Dinkel</v>
      </c>
      <c r="D97" s="29">
        <f t="shared" ca="1" si="4"/>
        <v>0</v>
      </c>
      <c r="E97" s="447">
        <f t="shared" ca="1" si="5"/>
        <v>0</v>
      </c>
      <c r="G97" s="2170"/>
    </row>
    <row r="98" spans="1:7">
      <c r="A98" s="12">
        <v>56</v>
      </c>
      <c r="B98" s="2172" t="s">
        <v>82</v>
      </c>
      <c r="C98" s="29" t="str">
        <f t="shared" ca="1" si="3"/>
        <v>Dinkel</v>
      </c>
      <c r="D98" s="29">
        <f t="shared" ca="1" si="4"/>
        <v>0</v>
      </c>
      <c r="E98" s="447">
        <f t="shared" ca="1" si="5"/>
        <v>0</v>
      </c>
      <c r="G98" s="2170"/>
    </row>
    <row r="99" spans="1:7">
      <c r="A99" s="29">
        <v>57</v>
      </c>
      <c r="B99" s="2172" t="s">
        <v>82</v>
      </c>
      <c r="C99" s="29" t="str">
        <f t="shared" ca="1" si="3"/>
        <v>Dinkel</v>
      </c>
      <c r="D99" s="29" t="str">
        <f t="shared" ca="1" si="4"/>
        <v>Stroh-Rundballen 4 t/ha laden, abfahren, stapeln, 3-S-Kipp.</v>
      </c>
      <c r="E99" s="447">
        <f t="shared" ca="1" si="5"/>
        <v>0</v>
      </c>
      <c r="G99" s="2170"/>
    </row>
    <row r="100" spans="1:7" s="2170" customFormat="1">
      <c r="A100" s="2172">
        <v>46</v>
      </c>
      <c r="B100" s="2172" t="s">
        <v>79</v>
      </c>
      <c r="C100" s="2170" t="str">
        <f t="shared" ca="1" si="3"/>
        <v xml:space="preserve">Sommerweizen </v>
      </c>
      <c r="D100" s="2170" t="str">
        <f t="shared" ca="1" si="4"/>
        <v>Drehpflug, 5 Schare</v>
      </c>
      <c r="E100" s="2171">
        <f t="shared" ca="1" si="5"/>
        <v>0</v>
      </c>
    </row>
    <row r="101" spans="1:7" s="2170" customFormat="1">
      <c r="A101" s="2170">
        <v>47</v>
      </c>
      <c r="B101" s="2172" t="s">
        <v>79</v>
      </c>
      <c r="C101" s="2170" t="str">
        <f t="shared" ca="1" si="3"/>
        <v xml:space="preserve">Sommerweizen </v>
      </c>
      <c r="D101" s="2170" t="str">
        <f t="shared" ca="1" si="4"/>
        <v>Kreiselegge-Säkomb. 3 m</v>
      </c>
      <c r="E101" s="2171">
        <f t="shared" ca="1" si="5"/>
        <v>0</v>
      </c>
    </row>
    <row r="102" spans="1:7" s="2170" customFormat="1">
      <c r="A102" s="2172">
        <v>48</v>
      </c>
      <c r="B102" s="2172" t="s">
        <v>79</v>
      </c>
      <c r="C102" s="2170" t="str">
        <f t="shared" ca="1" si="3"/>
        <v xml:space="preserve">Sommerweizen </v>
      </c>
      <c r="D102" s="2170" t="str">
        <f t="shared" ca="1" si="4"/>
        <v xml:space="preserve">Düngerstreuer ab Hof 24 m, 400 kg/ha </v>
      </c>
      <c r="E102" s="2171">
        <f t="shared" ca="1" si="5"/>
        <v>0</v>
      </c>
    </row>
    <row r="103" spans="1:7" s="2170" customFormat="1">
      <c r="A103" s="2170">
        <v>49</v>
      </c>
      <c r="B103" s="2172" t="s">
        <v>79</v>
      </c>
      <c r="C103" s="2170" t="str">
        <f t="shared" ca="1" si="3"/>
        <v xml:space="preserve">Sommerweizen </v>
      </c>
      <c r="D103" s="2170" t="str">
        <f t="shared" ca="1" si="4"/>
        <v>Pflanzenschutzspritze 21 m, 300 l/ha</v>
      </c>
      <c r="E103" s="2171">
        <f t="shared" ca="1" si="5"/>
        <v>0</v>
      </c>
    </row>
    <row r="104" spans="1:7" s="2170" customFormat="1">
      <c r="A104" s="2172">
        <v>50</v>
      </c>
      <c r="B104" s="2172" t="s">
        <v>79</v>
      </c>
      <c r="C104" s="2170" t="str">
        <f t="shared" ca="1" si="3"/>
        <v xml:space="preserve">Sommerweizen </v>
      </c>
      <c r="D104" s="2170" t="str">
        <f t="shared" ca="1" si="4"/>
        <v>Transp. u. Abkip.  (7,5 t Ki.)</v>
      </c>
      <c r="E104" s="2171">
        <f t="shared" ca="1" si="5"/>
        <v>0</v>
      </c>
    </row>
    <row r="105" spans="1:7" s="2170" customFormat="1">
      <c r="A105" s="2170">
        <v>51</v>
      </c>
      <c r="B105" s="2172" t="s">
        <v>79</v>
      </c>
      <c r="C105" s="2170" t="str">
        <f t="shared" ca="1" si="3"/>
        <v xml:space="preserve">Sommerweizen </v>
      </c>
      <c r="D105" s="2170" t="str">
        <f t="shared" ca="1" si="4"/>
        <v>Schwergrubber 3 m</v>
      </c>
      <c r="E105" s="2171">
        <f t="shared" ca="1" si="5"/>
        <v>0</v>
      </c>
    </row>
    <row r="106" spans="1:7" s="2170" customFormat="1">
      <c r="A106" s="2172">
        <v>52</v>
      </c>
      <c r="B106" s="2172" t="s">
        <v>79</v>
      </c>
      <c r="C106" s="2170" t="str">
        <f t="shared" ca="1" si="3"/>
        <v xml:space="preserve">Sommerweizen </v>
      </c>
      <c r="D106" s="2170">
        <f t="shared" ca="1" si="4"/>
        <v>0</v>
      </c>
      <c r="E106" s="2171">
        <f t="shared" ca="1" si="5"/>
        <v>0</v>
      </c>
    </row>
    <row r="107" spans="1:7" s="2170" customFormat="1">
      <c r="A107" s="2170">
        <v>53</v>
      </c>
      <c r="B107" s="2172" t="s">
        <v>79</v>
      </c>
      <c r="C107" s="2170" t="str">
        <f t="shared" ca="1" si="3"/>
        <v xml:space="preserve">Sommerweizen </v>
      </c>
      <c r="D107" s="2170">
        <f t="shared" ca="1" si="4"/>
        <v>0</v>
      </c>
      <c r="E107" s="2171">
        <f t="shared" ca="1" si="5"/>
        <v>0</v>
      </c>
    </row>
    <row r="108" spans="1:7" s="2170" customFormat="1">
      <c r="A108" s="2172">
        <v>54</v>
      </c>
      <c r="B108" s="2172" t="s">
        <v>79</v>
      </c>
      <c r="C108" s="2170" t="str">
        <f t="shared" ca="1" si="3"/>
        <v xml:space="preserve">Sommerweizen </v>
      </c>
      <c r="D108" s="2170">
        <f t="shared" ca="1" si="4"/>
        <v>0</v>
      </c>
      <c r="E108" s="2171">
        <f t="shared" ca="1" si="5"/>
        <v>0</v>
      </c>
    </row>
    <row r="109" spans="1:7" s="2170" customFormat="1">
      <c r="A109" s="2170">
        <v>55</v>
      </c>
      <c r="B109" s="2172" t="s">
        <v>79</v>
      </c>
      <c r="C109" s="2170" t="str">
        <f t="shared" ca="1" si="3"/>
        <v xml:space="preserve">Sommerweizen </v>
      </c>
      <c r="D109" s="2170">
        <f t="shared" ca="1" si="4"/>
        <v>0</v>
      </c>
      <c r="E109" s="2171">
        <f t="shared" ca="1" si="5"/>
        <v>0</v>
      </c>
    </row>
    <row r="110" spans="1:7" s="2170" customFormat="1">
      <c r="A110" s="2172">
        <v>56</v>
      </c>
      <c r="B110" s="2172" t="s">
        <v>79</v>
      </c>
      <c r="C110" s="2170" t="str">
        <f t="shared" ca="1" si="3"/>
        <v xml:space="preserve">Sommerweizen </v>
      </c>
      <c r="D110" s="2170">
        <f t="shared" ca="1" si="4"/>
        <v>0</v>
      </c>
      <c r="E110" s="2171">
        <f t="shared" ca="1" si="5"/>
        <v>0</v>
      </c>
    </row>
    <row r="111" spans="1:7" s="2170" customFormat="1">
      <c r="A111" s="2170">
        <v>57</v>
      </c>
      <c r="B111" s="2172" t="s">
        <v>79</v>
      </c>
      <c r="C111" s="2170" t="str">
        <f t="shared" ca="1" si="3"/>
        <v xml:space="preserve">Sommerweizen </v>
      </c>
      <c r="D111" s="2170" t="str">
        <f t="shared" ca="1" si="4"/>
        <v>Stroh-Rundballen 4 t/ha laden, abfahren, stapeln, 3-S-Kipp.</v>
      </c>
      <c r="E111" s="2171">
        <f t="shared" ca="1" si="5"/>
        <v>0</v>
      </c>
    </row>
    <row r="112" spans="1:7">
      <c r="A112" s="12">
        <v>46</v>
      </c>
      <c r="B112" s="2172" t="s">
        <v>77</v>
      </c>
      <c r="C112" s="29" t="str">
        <f t="shared" ca="1" si="3"/>
        <v xml:space="preserve">Sommerfuttergerste </v>
      </c>
      <c r="D112" s="29" t="str">
        <f t="shared" ca="1" si="4"/>
        <v>Drehpflug, 5 Schare</v>
      </c>
      <c r="E112" s="447">
        <f t="shared" ca="1" si="5"/>
        <v>0</v>
      </c>
      <c r="G112" s="2170"/>
    </row>
    <row r="113" spans="1:7">
      <c r="A113" s="29">
        <v>47</v>
      </c>
      <c r="B113" s="2172" t="s">
        <v>77</v>
      </c>
      <c r="C113" s="29" t="str">
        <f t="shared" ca="1" si="3"/>
        <v xml:space="preserve">Sommerfuttergerste </v>
      </c>
      <c r="D113" s="29" t="str">
        <f t="shared" ca="1" si="4"/>
        <v>Kreiselegge-Säkomb. 3 m</v>
      </c>
      <c r="E113" s="447">
        <f t="shared" ca="1" si="5"/>
        <v>0</v>
      </c>
      <c r="G113" s="2170"/>
    </row>
    <row r="114" spans="1:7">
      <c r="A114" s="12">
        <v>48</v>
      </c>
      <c r="B114" s="2172" t="s">
        <v>77</v>
      </c>
      <c r="C114" s="29" t="str">
        <f t="shared" ca="1" si="3"/>
        <v xml:space="preserve">Sommerfuttergerste </v>
      </c>
      <c r="D114" s="29" t="str">
        <f t="shared" ca="1" si="4"/>
        <v>Pflanzenschutzspritze 21 m, 300 l/ha</v>
      </c>
      <c r="E114" s="447">
        <f t="shared" ca="1" si="5"/>
        <v>0</v>
      </c>
      <c r="G114" s="2170"/>
    </row>
    <row r="115" spans="1:7">
      <c r="A115" s="29">
        <v>49</v>
      </c>
      <c r="B115" s="2172" t="s">
        <v>77</v>
      </c>
      <c r="C115" s="29" t="str">
        <f t="shared" ca="1" si="3"/>
        <v xml:space="preserve">Sommerfuttergerste </v>
      </c>
      <c r="D115" s="29" t="str">
        <f t="shared" ca="1" si="4"/>
        <v xml:space="preserve">Düngerstreuer ab Hof 24 m, 400 kg/ha </v>
      </c>
      <c r="E115" s="447">
        <f t="shared" ca="1" si="5"/>
        <v>0</v>
      </c>
      <c r="G115" s="2170"/>
    </row>
    <row r="116" spans="1:7">
      <c r="A116" s="12">
        <v>50</v>
      </c>
      <c r="B116" s="2172" t="s">
        <v>77</v>
      </c>
      <c r="C116" s="29" t="str">
        <f t="shared" ca="1" si="3"/>
        <v xml:space="preserve">Sommerfuttergerste </v>
      </c>
      <c r="D116" s="29" t="str">
        <f t="shared" ca="1" si="4"/>
        <v>Transp. u. Abkip.  (7,5 t Ki.)</v>
      </c>
      <c r="E116" s="447">
        <f t="shared" ca="1" si="5"/>
        <v>0</v>
      </c>
      <c r="G116" s="2170"/>
    </row>
    <row r="117" spans="1:7">
      <c r="A117" s="29">
        <v>51</v>
      </c>
      <c r="B117" s="2172" t="s">
        <v>77</v>
      </c>
      <c r="C117" s="29" t="str">
        <f t="shared" ca="1" si="3"/>
        <v xml:space="preserve">Sommerfuttergerste </v>
      </c>
      <c r="D117" s="29" t="str">
        <f t="shared" ca="1" si="4"/>
        <v>Schwergrubber 3 m</v>
      </c>
      <c r="E117" s="447">
        <f t="shared" ca="1" si="5"/>
        <v>0</v>
      </c>
      <c r="G117" s="2170"/>
    </row>
    <row r="118" spans="1:7">
      <c r="A118" s="12">
        <v>52</v>
      </c>
      <c r="B118" s="2172" t="s">
        <v>77</v>
      </c>
      <c r="C118" s="29" t="str">
        <f t="shared" ca="1" si="3"/>
        <v xml:space="preserve">Sommerfuttergerste </v>
      </c>
      <c r="D118" s="29">
        <f t="shared" ca="1" si="4"/>
        <v>0</v>
      </c>
      <c r="E118" s="447">
        <f t="shared" ca="1" si="5"/>
        <v>0</v>
      </c>
      <c r="G118" s="2170"/>
    </row>
    <row r="119" spans="1:7">
      <c r="A119" s="29">
        <v>53</v>
      </c>
      <c r="B119" s="2172" t="s">
        <v>77</v>
      </c>
      <c r="C119" s="29" t="str">
        <f t="shared" ca="1" si="3"/>
        <v xml:space="preserve">Sommerfuttergerste </v>
      </c>
      <c r="D119" s="29">
        <f t="shared" ca="1" si="4"/>
        <v>0</v>
      </c>
      <c r="E119" s="447">
        <f t="shared" ca="1" si="5"/>
        <v>0</v>
      </c>
      <c r="G119" s="2170"/>
    </row>
    <row r="120" spans="1:7">
      <c r="A120" s="12">
        <v>54</v>
      </c>
      <c r="B120" s="2172" t="s">
        <v>77</v>
      </c>
      <c r="C120" s="29" t="str">
        <f t="shared" ca="1" si="3"/>
        <v xml:space="preserve">Sommerfuttergerste </v>
      </c>
      <c r="D120" s="29">
        <f t="shared" ca="1" si="4"/>
        <v>0</v>
      </c>
      <c r="E120" s="447">
        <f t="shared" ca="1" si="5"/>
        <v>0</v>
      </c>
      <c r="G120" s="2170"/>
    </row>
    <row r="121" spans="1:7">
      <c r="A121" s="29">
        <v>55</v>
      </c>
      <c r="B121" s="2172" t="s">
        <v>77</v>
      </c>
      <c r="C121" s="29" t="str">
        <f t="shared" ca="1" si="3"/>
        <v xml:space="preserve">Sommerfuttergerste </v>
      </c>
      <c r="D121" s="29">
        <f t="shared" ca="1" si="4"/>
        <v>0</v>
      </c>
      <c r="E121" s="447">
        <f t="shared" ca="1" si="5"/>
        <v>0</v>
      </c>
      <c r="G121" s="2170"/>
    </row>
    <row r="122" spans="1:7">
      <c r="A122" s="12">
        <v>56</v>
      </c>
      <c r="B122" s="2172" t="s">
        <v>77</v>
      </c>
      <c r="C122" s="29" t="str">
        <f t="shared" ca="1" si="3"/>
        <v xml:space="preserve">Sommerfuttergerste </v>
      </c>
      <c r="D122" s="29">
        <f t="shared" ca="1" si="4"/>
        <v>0</v>
      </c>
      <c r="E122" s="447">
        <f t="shared" ca="1" si="5"/>
        <v>0</v>
      </c>
      <c r="G122" s="2170"/>
    </row>
    <row r="123" spans="1:7">
      <c r="A123" s="29">
        <v>57</v>
      </c>
      <c r="B123" s="2172" t="s">
        <v>77</v>
      </c>
      <c r="C123" s="29" t="str">
        <f t="shared" ca="1" si="3"/>
        <v xml:space="preserve">Sommerfuttergerste </v>
      </c>
      <c r="D123" s="29" t="str">
        <f t="shared" ca="1" si="4"/>
        <v>Stroh-Rundballen 4 t/ha laden, abfahren, stapeln, 3-S-Kipp.</v>
      </c>
      <c r="E123" s="447">
        <f t="shared" ca="1" si="5"/>
        <v>0</v>
      </c>
      <c r="G123" s="2170"/>
    </row>
    <row r="124" spans="1:7" s="2170" customFormat="1">
      <c r="A124" s="2172">
        <v>46</v>
      </c>
      <c r="B124" s="2172" t="s">
        <v>75</v>
      </c>
      <c r="C124" s="2170" t="str">
        <f t="shared" ca="1" si="3"/>
        <v>Braugerste</v>
      </c>
      <c r="D124" s="2170" t="str">
        <f t="shared" ca="1" si="4"/>
        <v>Schwergrubber 3 m</v>
      </c>
      <c r="E124" s="2171">
        <f t="shared" ca="1" si="5"/>
        <v>0</v>
      </c>
    </row>
    <row r="125" spans="1:7" s="2170" customFormat="1">
      <c r="A125" s="2170">
        <v>47</v>
      </c>
      <c r="B125" s="2172" t="s">
        <v>75</v>
      </c>
      <c r="C125" s="2170" t="str">
        <f t="shared" ca="1" si="3"/>
        <v>Braugerste</v>
      </c>
      <c r="D125" s="2170" t="str">
        <f t="shared" ca="1" si="4"/>
        <v>Drehpflug, 5 Schare</v>
      </c>
      <c r="E125" s="2171">
        <f t="shared" ca="1" si="5"/>
        <v>0</v>
      </c>
    </row>
    <row r="126" spans="1:7" s="2170" customFormat="1">
      <c r="A126" s="2172">
        <v>48</v>
      </c>
      <c r="B126" s="2172" t="s">
        <v>75</v>
      </c>
      <c r="C126" s="2170" t="str">
        <f t="shared" ca="1" si="3"/>
        <v>Braugerste</v>
      </c>
      <c r="D126" s="2170" t="str">
        <f t="shared" ca="1" si="4"/>
        <v>Kreiselegge-Säkomb. 3 m</v>
      </c>
      <c r="E126" s="2171">
        <f t="shared" ca="1" si="5"/>
        <v>0</v>
      </c>
    </row>
    <row r="127" spans="1:7" s="2170" customFormat="1">
      <c r="A127" s="2170">
        <v>49</v>
      </c>
      <c r="B127" s="2172" t="s">
        <v>75</v>
      </c>
      <c r="C127" s="2170" t="str">
        <f t="shared" ca="1" si="3"/>
        <v>Braugerste</v>
      </c>
      <c r="D127" s="2170" t="str">
        <f t="shared" ca="1" si="4"/>
        <v>Pflanzenschutzspritze 21 m, 300 l/ha</v>
      </c>
      <c r="E127" s="2171">
        <f t="shared" ca="1" si="5"/>
        <v>0</v>
      </c>
    </row>
    <row r="128" spans="1:7" s="2170" customFormat="1">
      <c r="A128" s="2172">
        <v>50</v>
      </c>
      <c r="B128" s="2172" t="s">
        <v>75</v>
      </c>
      <c r="C128" s="2170" t="str">
        <f t="shared" ca="1" si="3"/>
        <v>Braugerste</v>
      </c>
      <c r="D128" s="2170" t="str">
        <f t="shared" ca="1" si="4"/>
        <v xml:space="preserve">Düngerstreuer ab Hof 24 m, 400 kg/ha </v>
      </c>
      <c r="E128" s="2171">
        <f t="shared" ca="1" si="5"/>
        <v>0</v>
      </c>
    </row>
    <row r="129" spans="1:7" s="2170" customFormat="1">
      <c r="A129" s="2170">
        <v>51</v>
      </c>
      <c r="B129" s="2172" t="s">
        <v>75</v>
      </c>
      <c r="C129" s="2170" t="str">
        <f t="shared" ca="1" si="3"/>
        <v>Braugerste</v>
      </c>
      <c r="D129" s="2170" t="str">
        <f t="shared" ca="1" si="4"/>
        <v>Transp. u. Abkip.  (7,5 t Ki.)</v>
      </c>
      <c r="E129" s="2171">
        <f t="shared" ca="1" si="5"/>
        <v>0</v>
      </c>
    </row>
    <row r="130" spans="1:7" s="2170" customFormat="1">
      <c r="A130" s="2172">
        <v>52</v>
      </c>
      <c r="B130" s="2172" t="s">
        <v>75</v>
      </c>
      <c r="C130" s="2170" t="str">
        <f t="shared" ca="1" si="3"/>
        <v>Braugerste</v>
      </c>
      <c r="D130" s="2170">
        <f t="shared" ca="1" si="4"/>
        <v>0</v>
      </c>
      <c r="E130" s="2171">
        <f t="shared" ca="1" si="5"/>
        <v>0</v>
      </c>
    </row>
    <row r="131" spans="1:7" s="2170" customFormat="1">
      <c r="A131" s="2170">
        <v>53</v>
      </c>
      <c r="B131" s="2172" t="s">
        <v>75</v>
      </c>
      <c r="C131" s="2170" t="str">
        <f t="shared" ca="1" si="3"/>
        <v>Braugerste</v>
      </c>
      <c r="D131" s="2170">
        <f t="shared" ca="1" si="4"/>
        <v>0</v>
      </c>
      <c r="E131" s="2171">
        <f t="shared" ca="1" si="5"/>
        <v>0</v>
      </c>
    </row>
    <row r="132" spans="1:7" s="2170" customFormat="1">
      <c r="A132" s="2172">
        <v>54</v>
      </c>
      <c r="B132" s="2172" t="s">
        <v>75</v>
      </c>
      <c r="C132" s="2170" t="str">
        <f t="shared" ref="C132:C195" ca="1" si="6">INDIRECT("'"&amp;B132&amp;"'!$K$2")</f>
        <v>Braugerste</v>
      </c>
      <c r="D132" s="2170">
        <f t="shared" ref="D132:D195" ca="1" si="7">INDIRECT("'"&amp;B132&amp;"'!C"&amp;A132)</f>
        <v>0</v>
      </c>
      <c r="E132" s="2171">
        <f t="shared" ref="E132:E195" ca="1" si="8">INDIRECT("'"&amp;B132&amp;"'!Q"&amp;A132)</f>
        <v>0</v>
      </c>
    </row>
    <row r="133" spans="1:7" s="2170" customFormat="1">
      <c r="A133" s="2170">
        <v>55</v>
      </c>
      <c r="B133" s="2172" t="s">
        <v>75</v>
      </c>
      <c r="C133" s="2170" t="str">
        <f t="shared" ca="1" si="6"/>
        <v>Braugerste</v>
      </c>
      <c r="D133" s="2170">
        <f t="shared" ca="1" si="7"/>
        <v>0</v>
      </c>
      <c r="E133" s="2171">
        <f t="shared" ca="1" si="8"/>
        <v>0</v>
      </c>
    </row>
    <row r="134" spans="1:7" s="2170" customFormat="1">
      <c r="A134" s="2172">
        <v>56</v>
      </c>
      <c r="B134" s="2172" t="s">
        <v>75</v>
      </c>
      <c r="C134" s="2170" t="str">
        <f t="shared" ca="1" si="6"/>
        <v>Braugerste</v>
      </c>
      <c r="D134" s="2170">
        <f t="shared" ca="1" si="7"/>
        <v>0</v>
      </c>
      <c r="E134" s="2171">
        <f t="shared" ca="1" si="8"/>
        <v>0</v>
      </c>
    </row>
    <row r="135" spans="1:7" s="2170" customFormat="1">
      <c r="A135" s="2170">
        <v>57</v>
      </c>
      <c r="B135" s="2172" t="s">
        <v>75</v>
      </c>
      <c r="C135" s="2170" t="str">
        <f t="shared" ca="1" si="6"/>
        <v>Braugerste</v>
      </c>
      <c r="D135" s="2170" t="str">
        <f t="shared" ca="1" si="7"/>
        <v>Stroh-Rundballen 4 t/ha laden, abfahren, stapeln, 3-S-Kipp.</v>
      </c>
      <c r="E135" s="2171">
        <f t="shared" ca="1" si="8"/>
        <v>0</v>
      </c>
    </row>
    <row r="136" spans="1:7">
      <c r="A136" s="12">
        <v>46</v>
      </c>
      <c r="B136" s="2172" t="s">
        <v>73</v>
      </c>
      <c r="C136" s="29" t="str">
        <f t="shared" ca="1" si="6"/>
        <v xml:space="preserve">Hafer </v>
      </c>
      <c r="D136" s="29" t="str">
        <f t="shared" ca="1" si="7"/>
        <v>Drehpflug, 5 Schare</v>
      </c>
      <c r="E136" s="447">
        <f t="shared" ca="1" si="8"/>
        <v>0</v>
      </c>
      <c r="G136" s="2170"/>
    </row>
    <row r="137" spans="1:7">
      <c r="A137" s="29">
        <v>47</v>
      </c>
      <c r="B137" s="2172" t="s">
        <v>73</v>
      </c>
      <c r="C137" s="29" t="str">
        <f t="shared" ca="1" si="6"/>
        <v xml:space="preserve">Hafer </v>
      </c>
      <c r="D137" s="29" t="str">
        <f t="shared" ca="1" si="7"/>
        <v>Kreiselegge-Säkomb. 3 m</v>
      </c>
      <c r="E137" s="447">
        <f t="shared" ca="1" si="8"/>
        <v>0</v>
      </c>
      <c r="G137" s="2170"/>
    </row>
    <row r="138" spans="1:7">
      <c r="A138" s="12">
        <v>48</v>
      </c>
      <c r="B138" s="2172" t="s">
        <v>73</v>
      </c>
      <c r="C138" s="29" t="str">
        <f t="shared" ca="1" si="6"/>
        <v xml:space="preserve">Hafer </v>
      </c>
      <c r="D138" s="29" t="str">
        <f t="shared" ca="1" si="7"/>
        <v>Pflanzenschutzspritze 21 m, 300 l/ha</v>
      </c>
      <c r="E138" s="447">
        <f t="shared" ca="1" si="8"/>
        <v>0</v>
      </c>
      <c r="G138" s="2170"/>
    </row>
    <row r="139" spans="1:7">
      <c r="A139" s="29">
        <v>49</v>
      </c>
      <c r="B139" s="2172" t="s">
        <v>73</v>
      </c>
      <c r="C139" s="29" t="str">
        <f t="shared" ca="1" si="6"/>
        <v xml:space="preserve">Hafer </v>
      </c>
      <c r="D139" s="29" t="str">
        <f t="shared" ca="1" si="7"/>
        <v xml:space="preserve">Düngerstreuer ab Hof 24 m, 400 kg/ha </v>
      </c>
      <c r="E139" s="447">
        <f t="shared" ca="1" si="8"/>
        <v>0</v>
      </c>
      <c r="G139" s="2170"/>
    </row>
    <row r="140" spans="1:7">
      <c r="A140" s="12">
        <v>50</v>
      </c>
      <c r="B140" s="2172" t="s">
        <v>73</v>
      </c>
      <c r="C140" s="29" t="str">
        <f t="shared" ca="1" si="6"/>
        <v xml:space="preserve">Hafer </v>
      </c>
      <c r="D140" s="29" t="str">
        <f t="shared" ca="1" si="7"/>
        <v>Transp. u. Abkip.  (7,5 t Ki.)</v>
      </c>
      <c r="E140" s="447">
        <f t="shared" ca="1" si="8"/>
        <v>0</v>
      </c>
      <c r="G140" s="2170"/>
    </row>
    <row r="141" spans="1:7">
      <c r="A141" s="29">
        <v>51</v>
      </c>
      <c r="B141" s="2172" t="s">
        <v>73</v>
      </c>
      <c r="C141" s="29" t="str">
        <f t="shared" ca="1" si="6"/>
        <v xml:space="preserve">Hafer </v>
      </c>
      <c r="D141" s="29" t="str">
        <f t="shared" ca="1" si="7"/>
        <v>Schwergrubber 3 m</v>
      </c>
      <c r="E141" s="447">
        <f t="shared" ca="1" si="8"/>
        <v>0</v>
      </c>
      <c r="G141" s="2170"/>
    </row>
    <row r="142" spans="1:7">
      <c r="A142" s="12">
        <v>52</v>
      </c>
      <c r="B142" s="2172" t="s">
        <v>73</v>
      </c>
      <c r="C142" s="29" t="str">
        <f t="shared" ca="1" si="6"/>
        <v xml:space="preserve">Hafer </v>
      </c>
      <c r="D142" s="29">
        <f t="shared" ca="1" si="7"/>
        <v>0</v>
      </c>
      <c r="E142" s="447">
        <f t="shared" ca="1" si="8"/>
        <v>0</v>
      </c>
      <c r="G142" s="2170"/>
    </row>
    <row r="143" spans="1:7">
      <c r="A143" s="29">
        <v>53</v>
      </c>
      <c r="B143" s="2172" t="s">
        <v>73</v>
      </c>
      <c r="C143" s="29" t="str">
        <f t="shared" ca="1" si="6"/>
        <v xml:space="preserve">Hafer </v>
      </c>
      <c r="D143" s="29">
        <f t="shared" ca="1" si="7"/>
        <v>0</v>
      </c>
      <c r="E143" s="447">
        <f t="shared" ca="1" si="8"/>
        <v>0</v>
      </c>
      <c r="G143" s="2170"/>
    </row>
    <row r="144" spans="1:7">
      <c r="A144" s="12">
        <v>54</v>
      </c>
      <c r="B144" s="2172" t="s">
        <v>73</v>
      </c>
      <c r="C144" s="29" t="str">
        <f t="shared" ca="1" si="6"/>
        <v xml:space="preserve">Hafer </v>
      </c>
      <c r="D144" s="29">
        <f t="shared" ca="1" si="7"/>
        <v>0</v>
      </c>
      <c r="E144" s="447">
        <f t="shared" ca="1" si="8"/>
        <v>0</v>
      </c>
      <c r="G144" s="2170"/>
    </row>
    <row r="145" spans="1:7">
      <c r="A145" s="29">
        <v>55</v>
      </c>
      <c r="B145" s="2172" t="s">
        <v>73</v>
      </c>
      <c r="C145" s="29" t="str">
        <f t="shared" ca="1" si="6"/>
        <v xml:space="preserve">Hafer </v>
      </c>
      <c r="D145" s="29">
        <f t="shared" ca="1" si="7"/>
        <v>0</v>
      </c>
      <c r="E145" s="447">
        <f t="shared" ca="1" si="8"/>
        <v>0</v>
      </c>
      <c r="G145" s="2170"/>
    </row>
    <row r="146" spans="1:7">
      <c r="A146" s="12">
        <v>56</v>
      </c>
      <c r="B146" s="2172" t="s">
        <v>73</v>
      </c>
      <c r="C146" s="29" t="str">
        <f t="shared" ca="1" si="6"/>
        <v xml:space="preserve">Hafer </v>
      </c>
      <c r="D146" s="29">
        <f t="shared" ca="1" si="7"/>
        <v>0</v>
      </c>
      <c r="E146" s="447">
        <f t="shared" ca="1" si="8"/>
        <v>0</v>
      </c>
      <c r="G146" s="2170"/>
    </row>
    <row r="147" spans="1:7">
      <c r="A147" s="29">
        <v>57</v>
      </c>
      <c r="B147" s="2172" t="s">
        <v>73</v>
      </c>
      <c r="C147" s="29" t="str">
        <f t="shared" ca="1" si="6"/>
        <v xml:space="preserve">Hafer </v>
      </c>
      <c r="D147" s="29" t="str">
        <f t="shared" ca="1" si="7"/>
        <v>Stroh-Rundballen 4 t/ha laden, abfahren, stapeln, 3-S-Kipp.</v>
      </c>
      <c r="E147" s="447">
        <f t="shared" ca="1" si="8"/>
        <v>0</v>
      </c>
      <c r="G147" s="2170"/>
    </row>
    <row r="148" spans="1:7" s="2170" customFormat="1">
      <c r="A148" s="2172">
        <v>46</v>
      </c>
      <c r="B148" s="2172" t="s">
        <v>71</v>
      </c>
      <c r="C148" s="2170" t="str">
        <f t="shared" ca="1" si="6"/>
        <v>Durum</v>
      </c>
      <c r="D148" s="2170" t="str">
        <f t="shared" ca="1" si="7"/>
        <v>Drehpflug, 5 Schare</v>
      </c>
      <c r="E148" s="2171">
        <f t="shared" ca="1" si="8"/>
        <v>0</v>
      </c>
    </row>
    <row r="149" spans="1:7" s="2170" customFormat="1">
      <c r="A149" s="2170">
        <v>47</v>
      </c>
      <c r="B149" s="2172" t="s">
        <v>71</v>
      </c>
      <c r="C149" s="2170" t="str">
        <f t="shared" ca="1" si="6"/>
        <v>Durum</v>
      </c>
      <c r="D149" s="2170" t="str">
        <f t="shared" ca="1" si="7"/>
        <v>Kreiselegge-Säkomb. 3 m</v>
      </c>
      <c r="E149" s="2171">
        <f t="shared" ca="1" si="8"/>
        <v>0</v>
      </c>
    </row>
    <row r="150" spans="1:7" s="2170" customFormat="1">
      <c r="A150" s="2172">
        <v>48</v>
      </c>
      <c r="B150" s="2172" t="s">
        <v>71</v>
      </c>
      <c r="C150" s="2170" t="str">
        <f t="shared" ca="1" si="6"/>
        <v>Durum</v>
      </c>
      <c r="D150" s="2170" t="str">
        <f t="shared" ca="1" si="7"/>
        <v>Hackstriegel 9 m</v>
      </c>
      <c r="E150" s="2171">
        <f t="shared" ca="1" si="8"/>
        <v>0</v>
      </c>
    </row>
    <row r="151" spans="1:7" s="2170" customFormat="1">
      <c r="A151" s="2170">
        <v>49</v>
      </c>
      <c r="B151" s="2172" t="s">
        <v>71</v>
      </c>
      <c r="C151" s="2170" t="str">
        <f t="shared" ca="1" si="6"/>
        <v>Durum</v>
      </c>
      <c r="D151" s="2170" t="str">
        <f t="shared" ca="1" si="7"/>
        <v>Pflanzenschutzspritze 21 m, 300 l/ha</v>
      </c>
      <c r="E151" s="2171">
        <f t="shared" ca="1" si="8"/>
        <v>0</v>
      </c>
    </row>
    <row r="152" spans="1:7" s="2170" customFormat="1">
      <c r="A152" s="2172">
        <v>50</v>
      </c>
      <c r="B152" s="2172" t="s">
        <v>71</v>
      </c>
      <c r="C152" s="2170" t="str">
        <f t="shared" ca="1" si="6"/>
        <v>Durum</v>
      </c>
      <c r="D152" s="2170" t="str">
        <f t="shared" ca="1" si="7"/>
        <v xml:space="preserve">Düngerstreuer ab Hof 24 m, 400 kg/ha </v>
      </c>
      <c r="E152" s="2171">
        <f t="shared" ca="1" si="8"/>
        <v>0</v>
      </c>
    </row>
    <row r="153" spans="1:7" s="2170" customFormat="1">
      <c r="A153" s="2170">
        <v>51</v>
      </c>
      <c r="B153" s="2172" t="s">
        <v>71</v>
      </c>
      <c r="C153" s="2170" t="str">
        <f t="shared" ca="1" si="6"/>
        <v>Durum</v>
      </c>
      <c r="D153" s="2170" t="str">
        <f t="shared" ca="1" si="7"/>
        <v>Transp. u. Abkip.  (7,5 t Ki.)</v>
      </c>
      <c r="E153" s="2171">
        <f t="shared" ca="1" si="8"/>
        <v>0</v>
      </c>
    </row>
    <row r="154" spans="1:7" s="2170" customFormat="1">
      <c r="A154" s="2172">
        <v>52</v>
      </c>
      <c r="B154" s="2172" t="s">
        <v>71</v>
      </c>
      <c r="C154" s="2170" t="str">
        <f t="shared" ca="1" si="6"/>
        <v>Durum</v>
      </c>
      <c r="D154" s="2170" t="str">
        <f t="shared" ca="1" si="7"/>
        <v>Schwergrubber 3 m</v>
      </c>
      <c r="E154" s="2171">
        <f t="shared" ca="1" si="8"/>
        <v>0</v>
      </c>
    </row>
    <row r="155" spans="1:7" s="2170" customFormat="1">
      <c r="A155" s="2170">
        <v>53</v>
      </c>
      <c r="B155" s="2172" t="s">
        <v>71</v>
      </c>
      <c r="C155" s="2170" t="str">
        <f t="shared" ca="1" si="6"/>
        <v>Durum</v>
      </c>
      <c r="D155" s="2170">
        <f t="shared" ca="1" si="7"/>
        <v>0</v>
      </c>
      <c r="E155" s="2171">
        <f t="shared" ca="1" si="8"/>
        <v>0</v>
      </c>
    </row>
    <row r="156" spans="1:7" s="2170" customFormat="1">
      <c r="A156" s="2172">
        <v>54</v>
      </c>
      <c r="B156" s="2172" t="s">
        <v>71</v>
      </c>
      <c r="C156" s="2170" t="str">
        <f t="shared" ca="1" si="6"/>
        <v>Durum</v>
      </c>
      <c r="D156" s="2170">
        <f t="shared" ca="1" si="7"/>
        <v>0</v>
      </c>
      <c r="E156" s="2171">
        <f t="shared" ca="1" si="8"/>
        <v>0</v>
      </c>
    </row>
    <row r="157" spans="1:7" s="2170" customFormat="1">
      <c r="A157" s="2170">
        <v>55</v>
      </c>
      <c r="B157" s="2172" t="s">
        <v>71</v>
      </c>
      <c r="C157" s="2170" t="str">
        <f t="shared" ca="1" si="6"/>
        <v>Durum</v>
      </c>
      <c r="D157" s="2170">
        <f t="shared" ca="1" si="7"/>
        <v>0</v>
      </c>
      <c r="E157" s="2171">
        <f t="shared" ca="1" si="8"/>
        <v>0</v>
      </c>
    </row>
    <row r="158" spans="1:7" s="2170" customFormat="1">
      <c r="A158" s="2172">
        <v>56</v>
      </c>
      <c r="B158" s="2172" t="s">
        <v>71</v>
      </c>
      <c r="C158" s="2170" t="str">
        <f t="shared" ca="1" si="6"/>
        <v>Durum</v>
      </c>
      <c r="D158" s="2170">
        <f t="shared" ca="1" si="7"/>
        <v>0</v>
      </c>
      <c r="E158" s="2171">
        <f t="shared" ca="1" si="8"/>
        <v>0</v>
      </c>
    </row>
    <row r="159" spans="1:7" s="2170" customFormat="1">
      <c r="A159" s="2170">
        <v>57</v>
      </c>
      <c r="B159" s="2172" t="s">
        <v>71</v>
      </c>
      <c r="C159" s="2170" t="str">
        <f t="shared" ca="1" si="6"/>
        <v>Durum</v>
      </c>
      <c r="D159" s="2170" t="str">
        <f t="shared" ca="1" si="7"/>
        <v>Stroh-Rundballen 4 t/ha laden, abfahren, stapeln, 3-S-Kipp.</v>
      </c>
      <c r="E159" s="2171">
        <f t="shared" ca="1" si="8"/>
        <v>0</v>
      </c>
    </row>
    <row r="160" spans="1:7">
      <c r="A160" s="12">
        <v>46</v>
      </c>
      <c r="B160" s="2172" t="s">
        <v>68</v>
      </c>
      <c r="C160" s="29" t="str">
        <f t="shared" ca="1" si="6"/>
        <v xml:space="preserve">Körnermais </v>
      </c>
      <c r="D160" s="29" t="str">
        <f t="shared" ca="1" si="7"/>
        <v>Drehpflug, 5 Schare</v>
      </c>
      <c r="E160" s="447">
        <f t="shared" ca="1" si="8"/>
        <v>30</v>
      </c>
      <c r="G160" s="2170"/>
    </row>
    <row r="161" spans="1:7">
      <c r="A161" s="29">
        <v>47</v>
      </c>
      <c r="B161" s="2172" t="s">
        <v>68</v>
      </c>
      <c r="C161" s="29" t="str">
        <f t="shared" ca="1" si="6"/>
        <v xml:space="preserve">Körnermais </v>
      </c>
      <c r="D161" s="29" t="str">
        <f t="shared" ca="1" si="7"/>
        <v>Kreiselegge 3 m</v>
      </c>
      <c r="E161" s="447">
        <f t="shared" ca="1" si="8"/>
        <v>0</v>
      </c>
      <c r="G161" s="2170"/>
    </row>
    <row r="162" spans="1:7">
      <c r="A162" s="12">
        <v>48</v>
      </c>
      <c r="B162" s="2172" t="s">
        <v>68</v>
      </c>
      <c r="C162" s="29" t="str">
        <f t="shared" ca="1" si="6"/>
        <v xml:space="preserve">Körnermais </v>
      </c>
      <c r="D162" s="29" t="str">
        <f t="shared" ca="1" si="7"/>
        <v>Einzelkornsaat 4 r (Mais, Sonnenblume)</v>
      </c>
      <c r="E162" s="447">
        <f t="shared" ca="1" si="8"/>
        <v>0</v>
      </c>
      <c r="G162" s="2170"/>
    </row>
    <row r="163" spans="1:7">
      <c r="A163" s="29">
        <v>49</v>
      </c>
      <c r="B163" s="2172" t="s">
        <v>68</v>
      </c>
      <c r="C163" s="29" t="str">
        <f t="shared" ca="1" si="6"/>
        <v xml:space="preserve">Körnermais </v>
      </c>
      <c r="D163" s="29" t="str">
        <f t="shared" ca="1" si="7"/>
        <v xml:space="preserve">Düngerstreuer ab Hof 24 m, 400 kg/ha </v>
      </c>
      <c r="E163" s="447">
        <f t="shared" ca="1" si="8"/>
        <v>0</v>
      </c>
      <c r="G163" s="2170"/>
    </row>
    <row r="164" spans="1:7">
      <c r="A164" s="12">
        <v>50</v>
      </c>
      <c r="B164" s="2172" t="s">
        <v>68</v>
      </c>
      <c r="C164" s="29" t="str">
        <f t="shared" ca="1" si="6"/>
        <v xml:space="preserve">Körnermais </v>
      </c>
      <c r="D164" s="29" t="str">
        <f t="shared" ca="1" si="7"/>
        <v>Pflanzenschutzspritze 21 m, 300 l/ha</v>
      </c>
      <c r="E164" s="447">
        <f t="shared" ca="1" si="8"/>
        <v>0</v>
      </c>
      <c r="G164" s="2170"/>
    </row>
    <row r="165" spans="1:7">
      <c r="A165" s="29">
        <v>51</v>
      </c>
      <c r="B165" s="2172" t="s">
        <v>68</v>
      </c>
      <c r="C165" s="29" t="str">
        <f t="shared" ca="1" si="6"/>
        <v xml:space="preserve">Körnermais </v>
      </c>
      <c r="D165" s="29" t="str">
        <f t="shared" ca="1" si="7"/>
        <v>Transp. u. Abkip.  (7,5 t Ki.)</v>
      </c>
      <c r="E165" s="447">
        <f t="shared" ca="1" si="8"/>
        <v>0</v>
      </c>
      <c r="G165" s="2170"/>
    </row>
    <row r="166" spans="1:7">
      <c r="A166" s="12">
        <v>52</v>
      </c>
      <c r="B166" s="2172" t="s">
        <v>68</v>
      </c>
      <c r="C166" s="29" t="str">
        <f t="shared" ca="1" si="6"/>
        <v xml:space="preserve">Körnermais </v>
      </c>
      <c r="D166" s="29">
        <f t="shared" ca="1" si="7"/>
        <v>0</v>
      </c>
      <c r="E166" s="447">
        <f t="shared" ca="1" si="8"/>
        <v>0</v>
      </c>
      <c r="G166" s="2170"/>
    </row>
    <row r="167" spans="1:7">
      <c r="A167" s="29">
        <v>53</v>
      </c>
      <c r="B167" s="2172" t="s">
        <v>68</v>
      </c>
      <c r="C167" s="29" t="str">
        <f t="shared" ca="1" si="6"/>
        <v xml:space="preserve">Körnermais </v>
      </c>
      <c r="D167" s="29">
        <f t="shared" ca="1" si="7"/>
        <v>0</v>
      </c>
      <c r="E167" s="447">
        <f t="shared" ca="1" si="8"/>
        <v>0</v>
      </c>
      <c r="G167" s="2170"/>
    </row>
    <row r="168" spans="1:7">
      <c r="A168" s="12">
        <v>54</v>
      </c>
      <c r="B168" s="2172" t="s">
        <v>68</v>
      </c>
      <c r="C168" s="29" t="str">
        <f t="shared" ca="1" si="6"/>
        <v xml:space="preserve">Körnermais </v>
      </c>
      <c r="D168" s="29">
        <f t="shared" ca="1" si="7"/>
        <v>0</v>
      </c>
      <c r="E168" s="447">
        <f t="shared" ca="1" si="8"/>
        <v>0</v>
      </c>
      <c r="G168" s="2170"/>
    </row>
    <row r="169" spans="1:7">
      <c r="A169" s="29">
        <v>55</v>
      </c>
      <c r="B169" s="2172" t="s">
        <v>68</v>
      </c>
      <c r="C169" s="29" t="str">
        <f t="shared" ca="1" si="6"/>
        <v xml:space="preserve">Körnermais </v>
      </c>
      <c r="D169" s="29">
        <f t="shared" ca="1" si="7"/>
        <v>0</v>
      </c>
      <c r="E169" s="447">
        <f t="shared" ca="1" si="8"/>
        <v>0</v>
      </c>
      <c r="G169" s="2170"/>
    </row>
    <row r="170" spans="1:7">
      <c r="A170" s="12">
        <v>56</v>
      </c>
      <c r="B170" s="2172" t="s">
        <v>68</v>
      </c>
      <c r="C170" s="29" t="str">
        <f t="shared" ca="1" si="6"/>
        <v xml:space="preserve">Körnermais </v>
      </c>
      <c r="D170" s="29">
        <f t="shared" ca="1" si="7"/>
        <v>0</v>
      </c>
      <c r="E170" s="447">
        <f t="shared" ca="1" si="8"/>
        <v>0</v>
      </c>
      <c r="G170" s="2170"/>
    </row>
    <row r="171" spans="1:7">
      <c r="A171" s="29">
        <v>57</v>
      </c>
      <c r="B171" s="2172" t="s">
        <v>68</v>
      </c>
      <c r="C171" s="29" t="str">
        <f t="shared" ca="1" si="6"/>
        <v xml:space="preserve">Körnermais </v>
      </c>
      <c r="D171" s="29">
        <f t="shared" ca="1" si="7"/>
        <v>0</v>
      </c>
      <c r="E171" s="447">
        <f t="shared" ca="1" si="8"/>
        <v>0</v>
      </c>
      <c r="G171" s="2170"/>
    </row>
    <row r="172" spans="1:7" s="2170" customFormat="1">
      <c r="A172" s="2172">
        <v>46</v>
      </c>
      <c r="B172" s="2172" t="s">
        <v>65</v>
      </c>
      <c r="C172" s="2170" t="str">
        <f t="shared" ca="1" si="6"/>
        <v>Körnerhirse (Lebens-/Futtermittel)</v>
      </c>
      <c r="D172" s="2170" t="str">
        <f t="shared" ca="1" si="7"/>
        <v>Drehpflug, 5 Schare</v>
      </c>
      <c r="E172" s="2171">
        <f t="shared" ca="1" si="8"/>
        <v>0</v>
      </c>
    </row>
    <row r="173" spans="1:7" s="2170" customFormat="1">
      <c r="A173" s="2170">
        <v>47</v>
      </c>
      <c r="B173" s="2172" t="s">
        <v>65</v>
      </c>
      <c r="C173" s="2170" t="str">
        <f t="shared" ca="1" si="6"/>
        <v>Körnerhirse (Lebens-/Futtermittel)</v>
      </c>
      <c r="D173" s="2170" t="str">
        <f t="shared" ca="1" si="7"/>
        <v>Kreiselegge-Säkomb. 3 m</v>
      </c>
      <c r="E173" s="2171">
        <f t="shared" ca="1" si="8"/>
        <v>0</v>
      </c>
    </row>
    <row r="174" spans="1:7" s="2170" customFormat="1">
      <c r="A174" s="2172">
        <v>48</v>
      </c>
      <c r="B174" s="2172" t="s">
        <v>65</v>
      </c>
      <c r="C174" s="2170" t="str">
        <f t="shared" ca="1" si="6"/>
        <v>Körnerhirse (Lebens-/Futtermittel)</v>
      </c>
      <c r="D174" s="2170" t="str">
        <f t="shared" ca="1" si="7"/>
        <v xml:space="preserve">Düngerstreuer ab Hof 24 m, 400 kg/ha </v>
      </c>
      <c r="E174" s="2171">
        <f t="shared" ca="1" si="8"/>
        <v>0</v>
      </c>
    </row>
    <row r="175" spans="1:7" s="2170" customFormat="1">
      <c r="A175" s="2170">
        <v>49</v>
      </c>
      <c r="B175" s="2172" t="s">
        <v>65</v>
      </c>
      <c r="C175" s="2170" t="str">
        <f t="shared" ca="1" si="6"/>
        <v>Körnerhirse (Lebens-/Futtermittel)</v>
      </c>
      <c r="D175" s="2170" t="str">
        <f t="shared" ca="1" si="7"/>
        <v>Pflanzenschutzspritze 21 m, 300 l/ha</v>
      </c>
      <c r="E175" s="2171">
        <f t="shared" ca="1" si="8"/>
        <v>0</v>
      </c>
    </row>
    <row r="176" spans="1:7" s="2170" customFormat="1">
      <c r="A176" s="2172">
        <v>50</v>
      </c>
      <c r="B176" s="2172" t="s">
        <v>65</v>
      </c>
      <c r="C176" s="2170" t="str">
        <f t="shared" ca="1" si="6"/>
        <v>Körnerhirse (Lebens-/Futtermittel)</v>
      </c>
      <c r="D176" s="2170" t="str">
        <f t="shared" ca="1" si="7"/>
        <v>Transp. u. Abkip.  (7,5 t Ki.)</v>
      </c>
      <c r="E176" s="2171">
        <f t="shared" ca="1" si="8"/>
        <v>0</v>
      </c>
    </row>
    <row r="177" spans="1:7" s="2170" customFormat="1">
      <c r="A177" s="2170">
        <v>51</v>
      </c>
      <c r="B177" s="2172" t="s">
        <v>65</v>
      </c>
      <c r="C177" s="2170" t="str">
        <f t="shared" ca="1" si="6"/>
        <v>Körnerhirse (Lebens-/Futtermittel)</v>
      </c>
      <c r="D177" s="2170" t="str">
        <f t="shared" ca="1" si="7"/>
        <v>Schwergrubber 3 m</v>
      </c>
      <c r="E177" s="2171">
        <f t="shared" ca="1" si="8"/>
        <v>0</v>
      </c>
    </row>
    <row r="178" spans="1:7" s="2170" customFormat="1">
      <c r="A178" s="2172">
        <v>52</v>
      </c>
      <c r="B178" s="2172" t="s">
        <v>65</v>
      </c>
      <c r="C178" s="2170" t="str">
        <f t="shared" ca="1" si="6"/>
        <v>Körnerhirse (Lebens-/Futtermittel)</v>
      </c>
      <c r="D178" s="2170">
        <f t="shared" ca="1" si="7"/>
        <v>0</v>
      </c>
      <c r="E178" s="2171">
        <f t="shared" ca="1" si="8"/>
        <v>0</v>
      </c>
    </row>
    <row r="179" spans="1:7" s="2170" customFormat="1">
      <c r="A179" s="2170">
        <v>53</v>
      </c>
      <c r="B179" s="2172" t="s">
        <v>65</v>
      </c>
      <c r="C179" s="2170" t="str">
        <f t="shared" ca="1" si="6"/>
        <v>Körnerhirse (Lebens-/Futtermittel)</v>
      </c>
      <c r="D179" s="2170">
        <f t="shared" ca="1" si="7"/>
        <v>0</v>
      </c>
      <c r="E179" s="2171">
        <f t="shared" ca="1" si="8"/>
        <v>0</v>
      </c>
    </row>
    <row r="180" spans="1:7" s="2170" customFormat="1">
      <c r="A180" s="2172">
        <v>54</v>
      </c>
      <c r="B180" s="2172" t="s">
        <v>65</v>
      </c>
      <c r="C180" s="2170" t="str">
        <f t="shared" ca="1" si="6"/>
        <v>Körnerhirse (Lebens-/Futtermittel)</v>
      </c>
      <c r="D180" s="2170">
        <f t="shared" ca="1" si="7"/>
        <v>0</v>
      </c>
      <c r="E180" s="2171">
        <f t="shared" ca="1" si="8"/>
        <v>0</v>
      </c>
    </row>
    <row r="181" spans="1:7" s="2170" customFormat="1">
      <c r="A181" s="2170">
        <v>55</v>
      </c>
      <c r="B181" s="2172" t="s">
        <v>65</v>
      </c>
      <c r="C181" s="2170" t="str">
        <f t="shared" ca="1" si="6"/>
        <v>Körnerhirse (Lebens-/Futtermittel)</v>
      </c>
      <c r="D181" s="2170">
        <f t="shared" ca="1" si="7"/>
        <v>0</v>
      </c>
      <c r="E181" s="2171">
        <f t="shared" ca="1" si="8"/>
        <v>0</v>
      </c>
    </row>
    <row r="182" spans="1:7" s="2170" customFormat="1">
      <c r="A182" s="2172">
        <v>56</v>
      </c>
      <c r="B182" s="2172" t="s">
        <v>65</v>
      </c>
      <c r="C182" s="2170" t="str">
        <f t="shared" ca="1" si="6"/>
        <v>Körnerhirse (Lebens-/Futtermittel)</v>
      </c>
      <c r="D182" s="2170">
        <f t="shared" ca="1" si="7"/>
        <v>0</v>
      </c>
      <c r="E182" s="2171">
        <f t="shared" ca="1" si="8"/>
        <v>0</v>
      </c>
    </row>
    <row r="183" spans="1:7" s="2170" customFormat="1">
      <c r="A183" s="2170">
        <v>57</v>
      </c>
      <c r="B183" s="2172" t="s">
        <v>65</v>
      </c>
      <c r="C183" s="2170" t="str">
        <f t="shared" ca="1" si="6"/>
        <v>Körnerhirse (Lebens-/Futtermittel)</v>
      </c>
      <c r="D183" s="2170">
        <f t="shared" ca="1" si="7"/>
        <v>0</v>
      </c>
      <c r="E183" s="2171">
        <f t="shared" ca="1" si="8"/>
        <v>0</v>
      </c>
    </row>
    <row r="184" spans="1:7">
      <c r="A184" s="12">
        <v>46</v>
      </c>
      <c r="B184" s="2172" t="s">
        <v>62</v>
      </c>
      <c r="C184" s="29" t="str">
        <f t="shared" ca="1" si="6"/>
        <v>Winterraps</v>
      </c>
      <c r="D184" s="29" t="str">
        <f t="shared" ca="1" si="7"/>
        <v>Drehpflug, 5 Schare</v>
      </c>
      <c r="E184" s="447">
        <f t="shared" ca="1" si="8"/>
        <v>20</v>
      </c>
      <c r="G184" s="2170"/>
    </row>
    <row r="185" spans="1:7">
      <c r="A185" s="29">
        <v>47</v>
      </c>
      <c r="B185" s="2172" t="s">
        <v>62</v>
      </c>
      <c r="C185" s="29" t="str">
        <f t="shared" ca="1" si="6"/>
        <v>Winterraps</v>
      </c>
      <c r="D185" s="29" t="str">
        <f t="shared" ca="1" si="7"/>
        <v>Kreiselegge-Säkomb. 3 m</v>
      </c>
      <c r="E185" s="447">
        <f t="shared" ca="1" si="8"/>
        <v>0</v>
      </c>
      <c r="G185" s="2170"/>
    </row>
    <row r="186" spans="1:7">
      <c r="A186" s="12">
        <v>48</v>
      </c>
      <c r="B186" s="2172" t="s">
        <v>62</v>
      </c>
      <c r="C186" s="29" t="str">
        <f t="shared" ca="1" si="6"/>
        <v>Winterraps</v>
      </c>
      <c r="D186" s="29" t="str">
        <f t="shared" ca="1" si="7"/>
        <v xml:space="preserve">Düngerstreuer ab Hof 24 m, 400 kg/ha </v>
      </c>
      <c r="E186" s="447">
        <f t="shared" ca="1" si="8"/>
        <v>0</v>
      </c>
      <c r="G186" s="2170"/>
    </row>
    <row r="187" spans="1:7">
      <c r="A187" s="29">
        <v>49</v>
      </c>
      <c r="B187" s="2172" t="s">
        <v>62</v>
      </c>
      <c r="C187" s="29" t="str">
        <f t="shared" ca="1" si="6"/>
        <v>Winterraps</v>
      </c>
      <c r="D187" s="29" t="str">
        <f t="shared" ca="1" si="7"/>
        <v>Pflanzenschutzspritze 21 m, 300 l/ha</v>
      </c>
      <c r="E187" s="447">
        <f t="shared" ca="1" si="8"/>
        <v>0</v>
      </c>
      <c r="G187" s="2170"/>
    </row>
    <row r="188" spans="1:7">
      <c r="A188" s="12">
        <v>50</v>
      </c>
      <c r="B188" s="2172" t="s">
        <v>62</v>
      </c>
      <c r="C188" s="29" t="str">
        <f t="shared" ca="1" si="6"/>
        <v>Winterraps</v>
      </c>
      <c r="D188" s="29" t="str">
        <f t="shared" ca="1" si="7"/>
        <v>Transp. u. Abkip.  (7,5 t Ki.)</v>
      </c>
      <c r="E188" s="447">
        <f t="shared" ca="1" si="8"/>
        <v>0</v>
      </c>
      <c r="G188" s="2170"/>
    </row>
    <row r="189" spans="1:7">
      <c r="A189" s="29">
        <v>51</v>
      </c>
      <c r="B189" s="2172" t="s">
        <v>62</v>
      </c>
      <c r="C189" s="29" t="str">
        <f t="shared" ca="1" si="6"/>
        <v>Winterraps</v>
      </c>
      <c r="D189" s="29" t="str">
        <f t="shared" ca="1" si="7"/>
        <v>Schwergrubber 3 m</v>
      </c>
      <c r="E189" s="447">
        <f t="shared" ca="1" si="8"/>
        <v>0</v>
      </c>
      <c r="G189" s="2170"/>
    </row>
    <row r="190" spans="1:7">
      <c r="A190" s="12">
        <v>52</v>
      </c>
      <c r="B190" s="2172" t="s">
        <v>62</v>
      </c>
      <c r="C190" s="29" t="str">
        <f t="shared" ca="1" si="6"/>
        <v>Winterraps</v>
      </c>
      <c r="D190" s="29">
        <f t="shared" ca="1" si="7"/>
        <v>0</v>
      </c>
      <c r="E190" s="447">
        <f t="shared" ca="1" si="8"/>
        <v>0</v>
      </c>
      <c r="G190" s="2170"/>
    </row>
    <row r="191" spans="1:7">
      <c r="A191" s="29">
        <v>53</v>
      </c>
      <c r="B191" s="2172" t="s">
        <v>62</v>
      </c>
      <c r="C191" s="29" t="str">
        <f t="shared" ca="1" si="6"/>
        <v>Winterraps</v>
      </c>
      <c r="D191" s="29">
        <f t="shared" ca="1" si="7"/>
        <v>0</v>
      </c>
      <c r="E191" s="447">
        <f t="shared" ca="1" si="8"/>
        <v>0</v>
      </c>
      <c r="G191" s="2170"/>
    </row>
    <row r="192" spans="1:7">
      <c r="A192" s="12">
        <v>54</v>
      </c>
      <c r="B192" s="2172" t="s">
        <v>62</v>
      </c>
      <c r="C192" s="29" t="str">
        <f t="shared" ca="1" si="6"/>
        <v>Winterraps</v>
      </c>
      <c r="D192" s="29">
        <f t="shared" ca="1" si="7"/>
        <v>0</v>
      </c>
      <c r="E192" s="447">
        <f t="shared" ca="1" si="8"/>
        <v>0</v>
      </c>
      <c r="G192" s="2170"/>
    </row>
    <row r="193" spans="1:7">
      <c r="A193" s="29">
        <v>55</v>
      </c>
      <c r="B193" s="2172" t="s">
        <v>62</v>
      </c>
      <c r="C193" s="29" t="str">
        <f t="shared" ca="1" si="6"/>
        <v>Winterraps</v>
      </c>
      <c r="D193" s="29">
        <f t="shared" ca="1" si="7"/>
        <v>0</v>
      </c>
      <c r="E193" s="447">
        <f t="shared" ca="1" si="8"/>
        <v>0</v>
      </c>
      <c r="G193" s="2170"/>
    </row>
    <row r="194" spans="1:7">
      <c r="A194" s="12">
        <v>56</v>
      </c>
      <c r="B194" s="2172" t="s">
        <v>62</v>
      </c>
      <c r="C194" s="29" t="str">
        <f t="shared" ca="1" si="6"/>
        <v>Winterraps</v>
      </c>
      <c r="D194" s="29">
        <f t="shared" ca="1" si="7"/>
        <v>0</v>
      </c>
      <c r="E194" s="447">
        <f t="shared" ca="1" si="8"/>
        <v>0</v>
      </c>
      <c r="G194" s="2170"/>
    </row>
    <row r="195" spans="1:7">
      <c r="A195" s="29">
        <v>57</v>
      </c>
      <c r="B195" s="2172" t="s">
        <v>62</v>
      </c>
      <c r="C195" s="29" t="str">
        <f t="shared" ca="1" si="6"/>
        <v>Winterraps</v>
      </c>
      <c r="D195" s="29">
        <f t="shared" ca="1" si="7"/>
        <v>0</v>
      </c>
      <c r="E195" s="447">
        <f t="shared" ca="1" si="8"/>
        <v>0</v>
      </c>
      <c r="G195" s="2170"/>
    </row>
    <row r="196" spans="1:7" s="2170" customFormat="1">
      <c r="A196" s="2172">
        <v>46</v>
      </c>
      <c r="B196" s="2172" t="s">
        <v>60</v>
      </c>
      <c r="C196" s="2170" t="str">
        <f t="shared" ref="C196:C259" ca="1" si="9">INDIRECT("'"&amp;B196&amp;"'!$K$2")</f>
        <v xml:space="preserve">Sommerraps </v>
      </c>
      <c r="D196" s="2170" t="str">
        <f t="shared" ref="D196:D259" ca="1" si="10">INDIRECT("'"&amp;B196&amp;"'!C"&amp;A196)</f>
        <v>Drehpflug, 5 Schare</v>
      </c>
      <c r="E196" s="2171">
        <f t="shared" ref="E196:E259" ca="1" si="11">INDIRECT("'"&amp;B196&amp;"'!Q"&amp;A196)</f>
        <v>0</v>
      </c>
    </row>
    <row r="197" spans="1:7" s="2170" customFormat="1">
      <c r="A197" s="2170">
        <v>47</v>
      </c>
      <c r="B197" s="2172" t="s">
        <v>60</v>
      </c>
      <c r="C197" s="2170" t="str">
        <f t="shared" ca="1" si="9"/>
        <v xml:space="preserve">Sommerraps </v>
      </c>
      <c r="D197" s="2170" t="str">
        <f t="shared" ca="1" si="10"/>
        <v>Kreiselegge-Säkomb. 3 m</v>
      </c>
      <c r="E197" s="2171">
        <f t="shared" ca="1" si="11"/>
        <v>0</v>
      </c>
    </row>
    <row r="198" spans="1:7" s="2170" customFormat="1">
      <c r="A198" s="2172">
        <v>48</v>
      </c>
      <c r="B198" s="2172" t="s">
        <v>60</v>
      </c>
      <c r="C198" s="2170" t="str">
        <f t="shared" ca="1" si="9"/>
        <v xml:space="preserve">Sommerraps </v>
      </c>
      <c r="D198" s="2170" t="str">
        <f t="shared" ca="1" si="10"/>
        <v xml:space="preserve">Düngerstreuer ab Hof 24 m, 400 kg/ha </v>
      </c>
      <c r="E198" s="2171">
        <f t="shared" ca="1" si="11"/>
        <v>0</v>
      </c>
    </row>
    <row r="199" spans="1:7" s="2170" customFormat="1">
      <c r="A199" s="2170">
        <v>49</v>
      </c>
      <c r="B199" s="2172" t="s">
        <v>60</v>
      </c>
      <c r="C199" s="2170" t="str">
        <f t="shared" ca="1" si="9"/>
        <v xml:space="preserve">Sommerraps </v>
      </c>
      <c r="D199" s="2170" t="str">
        <f t="shared" ca="1" si="10"/>
        <v>Pflanzenschutzspritze 21 m, 300 l/ha</v>
      </c>
      <c r="E199" s="2171">
        <f t="shared" ca="1" si="11"/>
        <v>0</v>
      </c>
    </row>
    <row r="200" spans="1:7" s="2170" customFormat="1">
      <c r="A200" s="2172">
        <v>50</v>
      </c>
      <c r="B200" s="2172" t="s">
        <v>60</v>
      </c>
      <c r="C200" s="2170" t="str">
        <f t="shared" ca="1" si="9"/>
        <v xml:space="preserve">Sommerraps </v>
      </c>
      <c r="D200" s="2170" t="str">
        <f t="shared" ca="1" si="10"/>
        <v>Transp. u. Abkip.  (7,5 t Ki.)</v>
      </c>
      <c r="E200" s="2171">
        <f t="shared" ca="1" si="11"/>
        <v>0</v>
      </c>
    </row>
    <row r="201" spans="1:7" s="2170" customFormat="1">
      <c r="A201" s="2170">
        <v>51</v>
      </c>
      <c r="B201" s="2172" t="s">
        <v>60</v>
      </c>
      <c r="C201" s="2170" t="str">
        <f t="shared" ca="1" si="9"/>
        <v xml:space="preserve">Sommerraps </v>
      </c>
      <c r="D201" s="2170" t="str">
        <f t="shared" ca="1" si="10"/>
        <v>Schwergrubber 3 m</v>
      </c>
      <c r="E201" s="2171">
        <f t="shared" ca="1" si="11"/>
        <v>0</v>
      </c>
    </row>
    <row r="202" spans="1:7" s="2170" customFormat="1">
      <c r="A202" s="2172">
        <v>52</v>
      </c>
      <c r="B202" s="2172" t="s">
        <v>60</v>
      </c>
      <c r="C202" s="2170" t="str">
        <f t="shared" ca="1" si="9"/>
        <v xml:space="preserve">Sommerraps </v>
      </c>
      <c r="D202" s="2170">
        <f t="shared" ca="1" si="10"/>
        <v>0</v>
      </c>
      <c r="E202" s="2171">
        <f t="shared" ca="1" si="11"/>
        <v>0</v>
      </c>
    </row>
    <row r="203" spans="1:7" s="2170" customFormat="1">
      <c r="A203" s="2170">
        <v>53</v>
      </c>
      <c r="B203" s="2172" t="s">
        <v>60</v>
      </c>
      <c r="C203" s="2170" t="str">
        <f t="shared" ca="1" si="9"/>
        <v xml:space="preserve">Sommerraps </v>
      </c>
      <c r="D203" s="2170">
        <f t="shared" ca="1" si="10"/>
        <v>0</v>
      </c>
      <c r="E203" s="2171">
        <f t="shared" ca="1" si="11"/>
        <v>0</v>
      </c>
    </row>
    <row r="204" spans="1:7" s="2170" customFormat="1">
      <c r="A204" s="2172">
        <v>54</v>
      </c>
      <c r="B204" s="2172" t="s">
        <v>60</v>
      </c>
      <c r="C204" s="2170" t="str">
        <f t="shared" ca="1" si="9"/>
        <v xml:space="preserve">Sommerraps </v>
      </c>
      <c r="D204" s="2170">
        <f t="shared" ca="1" si="10"/>
        <v>0</v>
      </c>
      <c r="E204" s="2171">
        <f t="shared" ca="1" si="11"/>
        <v>0</v>
      </c>
    </row>
    <row r="205" spans="1:7" s="2170" customFormat="1">
      <c r="A205" s="2170">
        <v>55</v>
      </c>
      <c r="B205" s="2172" t="s">
        <v>60</v>
      </c>
      <c r="C205" s="2170" t="str">
        <f t="shared" ca="1" si="9"/>
        <v xml:space="preserve">Sommerraps </v>
      </c>
      <c r="D205" s="2170">
        <f t="shared" ca="1" si="10"/>
        <v>0</v>
      </c>
      <c r="E205" s="2171">
        <f t="shared" ca="1" si="11"/>
        <v>0</v>
      </c>
    </row>
    <row r="206" spans="1:7" s="2170" customFormat="1">
      <c r="A206" s="2172">
        <v>56</v>
      </c>
      <c r="B206" s="2172" t="s">
        <v>60</v>
      </c>
      <c r="C206" s="2170" t="str">
        <f t="shared" ca="1" si="9"/>
        <v xml:space="preserve">Sommerraps </v>
      </c>
      <c r="D206" s="2170">
        <f t="shared" ca="1" si="10"/>
        <v>0</v>
      </c>
      <c r="E206" s="2171">
        <f t="shared" ca="1" si="11"/>
        <v>0</v>
      </c>
    </row>
    <row r="207" spans="1:7" s="2170" customFormat="1">
      <c r="A207" s="2170">
        <v>57</v>
      </c>
      <c r="B207" s="2172" t="s">
        <v>60</v>
      </c>
      <c r="C207" s="2170" t="str">
        <f t="shared" ca="1" si="9"/>
        <v xml:space="preserve">Sommerraps </v>
      </c>
      <c r="D207" s="2170" t="str">
        <f t="shared" ca="1" si="10"/>
        <v>Stroh-Rundballen 4 t/ha laden, abfahren, stapeln, 3-S-Kipp.</v>
      </c>
      <c r="E207" s="2171">
        <f t="shared" ca="1" si="11"/>
        <v>0</v>
      </c>
    </row>
    <row r="208" spans="1:7">
      <c r="A208" s="12">
        <v>46</v>
      </c>
      <c r="B208" s="2172" t="s">
        <v>58</v>
      </c>
      <c r="C208" s="29" t="str">
        <f t="shared" ca="1" si="9"/>
        <v xml:space="preserve">Sonnenblumen </v>
      </c>
      <c r="D208" s="29" t="str">
        <f t="shared" ca="1" si="10"/>
        <v>Drehpflug, 5 Schare</v>
      </c>
      <c r="E208" s="447">
        <f t="shared" ca="1" si="11"/>
        <v>0</v>
      </c>
      <c r="G208" s="2170"/>
    </row>
    <row r="209" spans="1:7">
      <c r="A209" s="29">
        <v>47</v>
      </c>
      <c r="B209" s="2172" t="s">
        <v>58</v>
      </c>
      <c r="C209" s="29" t="str">
        <f t="shared" ca="1" si="9"/>
        <v xml:space="preserve">Sonnenblumen </v>
      </c>
      <c r="D209" s="29" t="str">
        <f t="shared" ca="1" si="10"/>
        <v>Kreiselegge 3 m</v>
      </c>
      <c r="E209" s="447">
        <f t="shared" ca="1" si="11"/>
        <v>0</v>
      </c>
      <c r="G209" s="2170"/>
    </row>
    <row r="210" spans="1:7">
      <c r="A210" s="12">
        <v>48</v>
      </c>
      <c r="B210" s="2172" t="s">
        <v>58</v>
      </c>
      <c r="C210" s="29" t="str">
        <f t="shared" ca="1" si="9"/>
        <v xml:space="preserve">Sonnenblumen </v>
      </c>
      <c r="D210" s="29" t="str">
        <f t="shared" ca="1" si="10"/>
        <v>Einzelkornsaat 4 r (Mais, Sonnenblume)</v>
      </c>
      <c r="E210" s="447">
        <f t="shared" ca="1" si="11"/>
        <v>0</v>
      </c>
      <c r="G210" s="2170"/>
    </row>
    <row r="211" spans="1:7">
      <c r="A211" s="29">
        <v>49</v>
      </c>
      <c r="B211" s="2172" t="s">
        <v>58</v>
      </c>
      <c r="C211" s="29" t="str">
        <f t="shared" ca="1" si="9"/>
        <v xml:space="preserve">Sonnenblumen </v>
      </c>
      <c r="D211" s="29" t="str">
        <f t="shared" ca="1" si="10"/>
        <v xml:space="preserve">Düngerstreuer ab Hof 24 m, 400 kg/ha </v>
      </c>
      <c r="E211" s="447">
        <f t="shared" ca="1" si="11"/>
        <v>0</v>
      </c>
      <c r="G211" s="2170"/>
    </row>
    <row r="212" spans="1:7">
      <c r="A212" s="12">
        <v>50</v>
      </c>
      <c r="B212" s="2172" t="s">
        <v>58</v>
      </c>
      <c r="C212" s="29" t="str">
        <f t="shared" ca="1" si="9"/>
        <v xml:space="preserve">Sonnenblumen </v>
      </c>
      <c r="D212" s="29" t="str">
        <f t="shared" ca="1" si="10"/>
        <v>Pflanzenschutzspritze 21 m, 300 l/ha</v>
      </c>
      <c r="E212" s="447">
        <f t="shared" ca="1" si="11"/>
        <v>0</v>
      </c>
      <c r="G212" s="2170"/>
    </row>
    <row r="213" spans="1:7">
      <c r="A213" s="29">
        <v>51</v>
      </c>
      <c r="B213" s="2172" t="s">
        <v>58</v>
      </c>
      <c r="C213" s="29" t="str">
        <f t="shared" ca="1" si="9"/>
        <v xml:space="preserve">Sonnenblumen </v>
      </c>
      <c r="D213" s="29" t="str">
        <f t="shared" ca="1" si="10"/>
        <v>Transp. u. Abkip.  (7,5 t Ki.)</v>
      </c>
      <c r="E213" s="447">
        <f t="shared" ca="1" si="11"/>
        <v>0</v>
      </c>
      <c r="G213" s="2170"/>
    </row>
    <row r="214" spans="1:7">
      <c r="A214" s="12">
        <v>52</v>
      </c>
      <c r="B214" s="2172" t="s">
        <v>58</v>
      </c>
      <c r="C214" s="29" t="str">
        <f t="shared" ca="1" si="9"/>
        <v xml:space="preserve">Sonnenblumen </v>
      </c>
      <c r="D214" s="29" t="str">
        <f t="shared" ca="1" si="10"/>
        <v>Schwergrubber 3 m</v>
      </c>
      <c r="E214" s="447">
        <f t="shared" ca="1" si="11"/>
        <v>0</v>
      </c>
      <c r="G214" s="2170"/>
    </row>
    <row r="215" spans="1:7">
      <c r="A215" s="29">
        <v>53</v>
      </c>
      <c r="B215" s="2172" t="s">
        <v>58</v>
      </c>
      <c r="C215" s="29" t="str">
        <f t="shared" ca="1" si="9"/>
        <v xml:space="preserve">Sonnenblumen </v>
      </c>
      <c r="D215" s="29">
        <f t="shared" ca="1" si="10"/>
        <v>0</v>
      </c>
      <c r="E215" s="447">
        <f t="shared" ca="1" si="11"/>
        <v>0</v>
      </c>
      <c r="G215" s="2170"/>
    </row>
    <row r="216" spans="1:7">
      <c r="A216" s="12">
        <v>54</v>
      </c>
      <c r="B216" s="2172" t="s">
        <v>58</v>
      </c>
      <c r="C216" s="29" t="str">
        <f t="shared" ca="1" si="9"/>
        <v xml:space="preserve">Sonnenblumen </v>
      </c>
      <c r="D216" s="29">
        <f t="shared" ca="1" si="10"/>
        <v>0</v>
      </c>
      <c r="E216" s="447">
        <f t="shared" ca="1" si="11"/>
        <v>0</v>
      </c>
      <c r="G216" s="2170"/>
    </row>
    <row r="217" spans="1:7">
      <c r="A217" s="29">
        <v>55</v>
      </c>
      <c r="B217" s="2172" t="s">
        <v>58</v>
      </c>
      <c r="C217" s="29" t="str">
        <f t="shared" ca="1" si="9"/>
        <v xml:space="preserve">Sonnenblumen </v>
      </c>
      <c r="D217" s="29">
        <f t="shared" ca="1" si="10"/>
        <v>0</v>
      </c>
      <c r="E217" s="447">
        <f t="shared" ca="1" si="11"/>
        <v>0</v>
      </c>
      <c r="G217" s="2170"/>
    </row>
    <row r="218" spans="1:7">
      <c r="A218" s="12">
        <v>56</v>
      </c>
      <c r="B218" s="2172" t="s">
        <v>58</v>
      </c>
      <c r="C218" s="29" t="str">
        <f t="shared" ca="1" si="9"/>
        <v xml:space="preserve">Sonnenblumen </v>
      </c>
      <c r="D218" s="29">
        <f t="shared" ca="1" si="10"/>
        <v>0</v>
      </c>
      <c r="E218" s="447">
        <f t="shared" ca="1" si="11"/>
        <v>0</v>
      </c>
      <c r="G218" s="2170"/>
    </row>
    <row r="219" spans="1:7">
      <c r="A219" s="29">
        <v>57</v>
      </c>
      <c r="B219" s="2172" t="s">
        <v>58</v>
      </c>
      <c r="C219" s="29" t="str">
        <f t="shared" ca="1" si="9"/>
        <v xml:space="preserve">Sonnenblumen </v>
      </c>
      <c r="D219" s="29" t="str">
        <f t="shared" ca="1" si="10"/>
        <v>Stroh-Rundballen 4 t/ha laden, abfahren, stapeln, 3-S-Kipp.</v>
      </c>
      <c r="E219" s="447">
        <f t="shared" ca="1" si="11"/>
        <v>0</v>
      </c>
      <c r="G219" s="2170"/>
    </row>
    <row r="220" spans="1:7" s="2170" customFormat="1">
      <c r="A220" s="2172">
        <v>46</v>
      </c>
      <c r="B220" s="2172" t="s">
        <v>57</v>
      </c>
      <c r="C220" s="2170" t="str">
        <f t="shared" ca="1" si="9"/>
        <v xml:space="preserve">Sojabohne </v>
      </c>
      <c r="D220" s="2170" t="str">
        <f t="shared" ca="1" si="10"/>
        <v>Drehpflug, 5 Schare</v>
      </c>
      <c r="E220" s="2171">
        <f t="shared" ca="1" si="11"/>
        <v>0</v>
      </c>
    </row>
    <row r="221" spans="1:7" s="2170" customFormat="1">
      <c r="A221" s="2170">
        <v>47</v>
      </c>
      <c r="B221" s="2172" t="s">
        <v>57</v>
      </c>
      <c r="C221" s="2170" t="str">
        <f t="shared" ca="1" si="9"/>
        <v xml:space="preserve">Sojabohne </v>
      </c>
      <c r="D221" s="2170" t="str">
        <f t="shared" ca="1" si="10"/>
        <v>Kreiselegge-Säkomb. 3 m</v>
      </c>
      <c r="E221" s="2171">
        <f t="shared" ca="1" si="11"/>
        <v>0</v>
      </c>
    </row>
    <row r="222" spans="1:7" s="2170" customFormat="1">
      <c r="A222" s="2172">
        <v>48</v>
      </c>
      <c r="B222" s="2172" t="s">
        <v>57</v>
      </c>
      <c r="C222" s="2170" t="str">
        <f t="shared" ca="1" si="9"/>
        <v xml:space="preserve">Sojabohne </v>
      </c>
      <c r="D222" s="2170" t="str">
        <f t="shared" ca="1" si="10"/>
        <v xml:space="preserve">Düngerstreuer ab Hof 24 m, 400 kg/ha </v>
      </c>
      <c r="E222" s="2171">
        <f t="shared" ca="1" si="11"/>
        <v>0</v>
      </c>
    </row>
    <row r="223" spans="1:7" s="2170" customFormat="1">
      <c r="A223" s="2170">
        <v>49</v>
      </c>
      <c r="B223" s="2172" t="s">
        <v>57</v>
      </c>
      <c r="C223" s="2170" t="str">
        <f t="shared" ca="1" si="9"/>
        <v xml:space="preserve">Sojabohne </v>
      </c>
      <c r="D223" s="2170" t="str">
        <f t="shared" ca="1" si="10"/>
        <v>Pflanzenschutzspritze 21 m, 300 l/ha</v>
      </c>
      <c r="E223" s="2171">
        <f t="shared" ca="1" si="11"/>
        <v>0</v>
      </c>
    </row>
    <row r="224" spans="1:7" s="2170" customFormat="1">
      <c r="A224" s="2172">
        <v>50</v>
      </c>
      <c r="B224" s="2172" t="s">
        <v>57</v>
      </c>
      <c r="C224" s="2170" t="str">
        <f t="shared" ca="1" si="9"/>
        <v xml:space="preserve">Sojabohne </v>
      </c>
      <c r="D224" s="2170" t="str">
        <f t="shared" ca="1" si="10"/>
        <v>Transp. u. Abkip.  (7,5 t Ki.)</v>
      </c>
      <c r="E224" s="2171">
        <f t="shared" ca="1" si="11"/>
        <v>0</v>
      </c>
    </row>
    <row r="225" spans="1:7" s="2170" customFormat="1">
      <c r="A225" s="2170">
        <v>51</v>
      </c>
      <c r="B225" s="2172" t="s">
        <v>57</v>
      </c>
      <c r="C225" s="2170" t="str">
        <f t="shared" ca="1" si="9"/>
        <v xml:space="preserve">Sojabohne </v>
      </c>
      <c r="D225" s="2170" t="str">
        <f t="shared" ca="1" si="10"/>
        <v>Schwergrubber 3 m</v>
      </c>
      <c r="E225" s="2171">
        <f t="shared" ca="1" si="11"/>
        <v>0</v>
      </c>
    </row>
    <row r="226" spans="1:7" s="2170" customFormat="1">
      <c r="A226" s="2172">
        <v>52</v>
      </c>
      <c r="B226" s="2172" t="s">
        <v>57</v>
      </c>
      <c r="C226" s="2170" t="str">
        <f t="shared" ca="1" si="9"/>
        <v xml:space="preserve">Sojabohne </v>
      </c>
      <c r="D226" s="2170">
        <f t="shared" ca="1" si="10"/>
        <v>0</v>
      </c>
      <c r="E226" s="2171">
        <f t="shared" ca="1" si="11"/>
        <v>0</v>
      </c>
    </row>
    <row r="227" spans="1:7" s="2170" customFormat="1">
      <c r="A227" s="2170">
        <v>53</v>
      </c>
      <c r="B227" s="2172" t="s">
        <v>57</v>
      </c>
      <c r="C227" s="2170" t="str">
        <f t="shared" ca="1" si="9"/>
        <v xml:space="preserve">Sojabohne </v>
      </c>
      <c r="D227" s="2170">
        <f t="shared" ca="1" si="10"/>
        <v>0</v>
      </c>
      <c r="E227" s="2171">
        <f t="shared" ca="1" si="11"/>
        <v>0</v>
      </c>
    </row>
    <row r="228" spans="1:7" s="2170" customFormat="1">
      <c r="A228" s="2172">
        <v>54</v>
      </c>
      <c r="B228" s="2172" t="s">
        <v>57</v>
      </c>
      <c r="C228" s="2170" t="str">
        <f t="shared" ca="1" si="9"/>
        <v xml:space="preserve">Sojabohne </v>
      </c>
      <c r="D228" s="2170">
        <f t="shared" ca="1" si="10"/>
        <v>0</v>
      </c>
      <c r="E228" s="2171">
        <f t="shared" ca="1" si="11"/>
        <v>0</v>
      </c>
    </row>
    <row r="229" spans="1:7" s="2170" customFormat="1">
      <c r="A229" s="2170">
        <v>55</v>
      </c>
      <c r="B229" s="2172" t="s">
        <v>57</v>
      </c>
      <c r="C229" s="2170" t="str">
        <f t="shared" ca="1" si="9"/>
        <v xml:space="preserve">Sojabohne </v>
      </c>
      <c r="D229" s="2170">
        <f t="shared" ca="1" si="10"/>
        <v>0</v>
      </c>
      <c r="E229" s="2171">
        <f t="shared" ca="1" si="11"/>
        <v>0</v>
      </c>
    </row>
    <row r="230" spans="1:7" s="2170" customFormat="1">
      <c r="A230" s="2172">
        <v>56</v>
      </c>
      <c r="B230" s="2172" t="s">
        <v>57</v>
      </c>
      <c r="C230" s="2170" t="str">
        <f t="shared" ca="1" si="9"/>
        <v xml:space="preserve">Sojabohne </v>
      </c>
      <c r="D230" s="2170">
        <f t="shared" ca="1" si="10"/>
        <v>0</v>
      </c>
      <c r="E230" s="2171">
        <f t="shared" ca="1" si="11"/>
        <v>0</v>
      </c>
    </row>
    <row r="231" spans="1:7" s="2170" customFormat="1">
      <c r="A231" s="2170">
        <v>57</v>
      </c>
      <c r="B231" s="2172" t="s">
        <v>57</v>
      </c>
      <c r="C231" s="2170" t="str">
        <f t="shared" ca="1" si="9"/>
        <v xml:space="preserve">Sojabohne </v>
      </c>
      <c r="D231" s="2170" t="str">
        <f t="shared" ca="1" si="10"/>
        <v>Stroh-Rundballen 4 t/ha laden, abfahren, stapeln, 3-S-Kipp.</v>
      </c>
      <c r="E231" s="2171">
        <f t="shared" ca="1" si="11"/>
        <v>0</v>
      </c>
    </row>
    <row r="232" spans="1:7">
      <c r="A232" s="12">
        <v>46</v>
      </c>
      <c r="B232" s="2172" t="s">
        <v>55</v>
      </c>
      <c r="C232" s="29" t="str">
        <f t="shared" ca="1" si="9"/>
        <v xml:space="preserve">Öllein (Industrie) </v>
      </c>
      <c r="D232" s="29" t="str">
        <f t="shared" ca="1" si="10"/>
        <v>Drehpflug, 5 Schare</v>
      </c>
      <c r="E232" s="447">
        <f t="shared" ca="1" si="11"/>
        <v>0</v>
      </c>
      <c r="G232" s="2170"/>
    </row>
    <row r="233" spans="1:7">
      <c r="A233" s="29">
        <v>47</v>
      </c>
      <c r="B233" s="2172" t="s">
        <v>55</v>
      </c>
      <c r="C233" s="29" t="str">
        <f t="shared" ca="1" si="9"/>
        <v xml:space="preserve">Öllein (Industrie) </v>
      </c>
      <c r="D233" s="29">
        <f t="shared" ca="1" si="10"/>
        <v>0</v>
      </c>
      <c r="E233" s="447">
        <f t="shared" ca="1" si="11"/>
        <v>0</v>
      </c>
      <c r="G233" s="2170"/>
    </row>
    <row r="234" spans="1:7">
      <c r="A234" s="12">
        <v>48</v>
      </c>
      <c r="B234" s="2172" t="s">
        <v>55</v>
      </c>
      <c r="C234" s="29" t="str">
        <f t="shared" ca="1" si="9"/>
        <v xml:space="preserve">Öllein (Industrie) </v>
      </c>
      <c r="D234" s="29" t="str">
        <f t="shared" ca="1" si="10"/>
        <v>Kreiselegge-Säkomb. 3 m</v>
      </c>
      <c r="E234" s="447">
        <f t="shared" ca="1" si="11"/>
        <v>0</v>
      </c>
      <c r="G234" s="2170"/>
    </row>
    <row r="235" spans="1:7">
      <c r="A235" s="29">
        <v>49</v>
      </c>
      <c r="B235" s="2172" t="s">
        <v>55</v>
      </c>
      <c r="C235" s="29" t="str">
        <f t="shared" ca="1" si="9"/>
        <v xml:space="preserve">Öllein (Industrie) </v>
      </c>
      <c r="D235" s="29" t="str">
        <f t="shared" ca="1" si="10"/>
        <v>Cambridgewalze 4,5 m</v>
      </c>
      <c r="E235" s="447">
        <f t="shared" ca="1" si="11"/>
        <v>0</v>
      </c>
      <c r="G235" s="2170"/>
    </row>
    <row r="236" spans="1:7">
      <c r="A236" s="12">
        <v>50</v>
      </c>
      <c r="B236" s="2172" t="s">
        <v>55</v>
      </c>
      <c r="C236" s="29" t="str">
        <f t="shared" ca="1" si="9"/>
        <v xml:space="preserve">Öllein (Industrie) </v>
      </c>
      <c r="D236" s="29" t="str">
        <f t="shared" ca="1" si="10"/>
        <v>Hackstriegel 9 m</v>
      </c>
      <c r="E236" s="447">
        <f t="shared" ca="1" si="11"/>
        <v>0</v>
      </c>
      <c r="G236" s="2170"/>
    </row>
    <row r="237" spans="1:7">
      <c r="A237" s="29">
        <v>51</v>
      </c>
      <c r="B237" s="2172" t="s">
        <v>55</v>
      </c>
      <c r="C237" s="29" t="str">
        <f t="shared" ca="1" si="9"/>
        <v xml:space="preserve">Öllein (Industrie) </v>
      </c>
      <c r="D237" s="29" t="str">
        <f t="shared" ca="1" si="10"/>
        <v xml:space="preserve">Düngerstreuer ab Hof 24 m, 400 kg/ha </v>
      </c>
      <c r="E237" s="447">
        <f t="shared" ca="1" si="11"/>
        <v>0</v>
      </c>
      <c r="G237" s="2170"/>
    </row>
    <row r="238" spans="1:7">
      <c r="A238" s="12">
        <v>52</v>
      </c>
      <c r="B238" s="2172" t="s">
        <v>55</v>
      </c>
      <c r="C238" s="29" t="str">
        <f t="shared" ca="1" si="9"/>
        <v xml:space="preserve">Öllein (Industrie) </v>
      </c>
      <c r="D238" s="29" t="str">
        <f t="shared" ca="1" si="10"/>
        <v>Transp. u. Abkip.  (7,5 t Ki.)</v>
      </c>
      <c r="E238" s="447">
        <f t="shared" ca="1" si="11"/>
        <v>0</v>
      </c>
      <c r="G238" s="2170"/>
    </row>
    <row r="239" spans="1:7">
      <c r="A239" s="29">
        <v>53</v>
      </c>
      <c r="B239" s="2172" t="s">
        <v>55</v>
      </c>
      <c r="C239" s="29" t="str">
        <f t="shared" ca="1" si="9"/>
        <v xml:space="preserve">Öllein (Industrie) </v>
      </c>
      <c r="D239" s="29" t="str">
        <f t="shared" ca="1" si="10"/>
        <v>Pflanzenschutzspritze 21 m, 300 l/ha</v>
      </c>
      <c r="E239" s="447">
        <f t="shared" ca="1" si="11"/>
        <v>0</v>
      </c>
      <c r="G239" s="2170"/>
    </row>
    <row r="240" spans="1:7">
      <c r="A240" s="12">
        <v>54</v>
      </c>
      <c r="B240" s="2172" t="s">
        <v>55</v>
      </c>
      <c r="C240" s="29" t="str">
        <f t="shared" ca="1" si="9"/>
        <v xml:space="preserve">Öllein (Industrie) </v>
      </c>
      <c r="D240" s="29" t="str">
        <f t="shared" ca="1" si="10"/>
        <v>Schwergrubber 3 m</v>
      </c>
      <c r="E240" s="447">
        <f t="shared" ca="1" si="11"/>
        <v>0</v>
      </c>
      <c r="G240" s="2170"/>
    </row>
    <row r="241" spans="1:7">
      <c r="A241" s="29">
        <v>55</v>
      </c>
      <c r="B241" s="2172" t="s">
        <v>55</v>
      </c>
      <c r="C241" s="29" t="str">
        <f t="shared" ca="1" si="9"/>
        <v xml:space="preserve">Öllein (Industrie) </v>
      </c>
      <c r="D241" s="29">
        <f t="shared" ca="1" si="10"/>
        <v>0</v>
      </c>
      <c r="E241" s="447">
        <f t="shared" ca="1" si="11"/>
        <v>0</v>
      </c>
      <c r="G241" s="2170"/>
    </row>
    <row r="242" spans="1:7">
      <c r="A242" s="12">
        <v>56</v>
      </c>
      <c r="B242" s="2172" t="s">
        <v>55</v>
      </c>
      <c r="C242" s="29" t="str">
        <f t="shared" ca="1" si="9"/>
        <v xml:space="preserve">Öllein (Industrie) </v>
      </c>
      <c r="D242" s="29">
        <f t="shared" ca="1" si="10"/>
        <v>0</v>
      </c>
      <c r="E242" s="447">
        <f t="shared" ca="1" si="11"/>
        <v>0</v>
      </c>
      <c r="G242" s="2170"/>
    </row>
    <row r="243" spans="1:7">
      <c r="A243" s="29">
        <v>57</v>
      </c>
      <c r="B243" s="2172" t="s">
        <v>55</v>
      </c>
      <c r="C243" s="29" t="str">
        <f t="shared" ca="1" si="9"/>
        <v xml:space="preserve">Öllein (Industrie) </v>
      </c>
      <c r="D243" s="29" t="str">
        <f t="shared" ca="1" si="10"/>
        <v>Stroh-Rundballen 4 t/ha laden, abfahren, stapeln, 3-S-Kipp.</v>
      </c>
      <c r="E243" s="447">
        <f t="shared" ca="1" si="11"/>
        <v>0</v>
      </c>
      <c r="G243" s="2170"/>
    </row>
    <row r="244" spans="1:7" s="2170" customFormat="1">
      <c r="A244" s="2172">
        <v>46</v>
      </c>
      <c r="B244" s="2172" t="s">
        <v>52</v>
      </c>
      <c r="C244" s="2170" t="str">
        <f t="shared" ca="1" si="9"/>
        <v xml:space="preserve">Futtererbsen </v>
      </c>
      <c r="D244" s="2170" t="str">
        <f t="shared" ca="1" si="10"/>
        <v>Drehpflug, 5 Schare</v>
      </c>
      <c r="E244" s="2171">
        <f t="shared" ca="1" si="11"/>
        <v>10</v>
      </c>
    </row>
    <row r="245" spans="1:7" s="2170" customFormat="1">
      <c r="A245" s="2170">
        <v>47</v>
      </c>
      <c r="B245" s="2172" t="s">
        <v>52</v>
      </c>
      <c r="C245" s="2170" t="str">
        <f t="shared" ca="1" si="9"/>
        <v xml:space="preserve">Futtererbsen </v>
      </c>
      <c r="D245" s="2170" t="str">
        <f t="shared" ca="1" si="10"/>
        <v>Kreiselegge-Säkomb. 3 m</v>
      </c>
      <c r="E245" s="2171">
        <f t="shared" ca="1" si="11"/>
        <v>0</v>
      </c>
    </row>
    <row r="246" spans="1:7" s="2170" customFormat="1">
      <c r="A246" s="2172">
        <v>48</v>
      </c>
      <c r="B246" s="2172" t="s">
        <v>52</v>
      </c>
      <c r="C246" s="2170" t="str">
        <f t="shared" ca="1" si="9"/>
        <v xml:space="preserve">Futtererbsen </v>
      </c>
      <c r="D246" s="2170" t="str">
        <f t="shared" ca="1" si="10"/>
        <v xml:space="preserve">Düngerstreuer ab Hof 24 m, 400 kg/ha </v>
      </c>
      <c r="E246" s="2171">
        <f t="shared" ca="1" si="11"/>
        <v>0</v>
      </c>
    </row>
    <row r="247" spans="1:7" s="2170" customFormat="1">
      <c r="A247" s="2170">
        <v>49</v>
      </c>
      <c r="B247" s="2172" t="s">
        <v>52</v>
      </c>
      <c r="C247" s="2170" t="str">
        <f t="shared" ca="1" si="9"/>
        <v xml:space="preserve">Futtererbsen </v>
      </c>
      <c r="D247" s="2170" t="str">
        <f t="shared" ca="1" si="10"/>
        <v>Pflanzenschutzspritze 21 m, 300 l/ha</v>
      </c>
      <c r="E247" s="2171">
        <f t="shared" ca="1" si="11"/>
        <v>0</v>
      </c>
    </row>
    <row r="248" spans="1:7" s="2170" customFormat="1">
      <c r="A248" s="2172">
        <v>50</v>
      </c>
      <c r="B248" s="2172" t="s">
        <v>52</v>
      </c>
      <c r="C248" s="2170" t="str">
        <f t="shared" ca="1" si="9"/>
        <v xml:space="preserve">Futtererbsen </v>
      </c>
      <c r="D248" s="2170" t="str">
        <f t="shared" ca="1" si="10"/>
        <v>Transp. u. Abkip.  (7,5 t Ki.)</v>
      </c>
      <c r="E248" s="2171">
        <f t="shared" ca="1" si="11"/>
        <v>0</v>
      </c>
    </row>
    <row r="249" spans="1:7" s="2170" customFormat="1">
      <c r="A249" s="2170">
        <v>51</v>
      </c>
      <c r="B249" s="2172" t="s">
        <v>52</v>
      </c>
      <c r="C249" s="2170" t="str">
        <f t="shared" ca="1" si="9"/>
        <v xml:space="preserve">Futtererbsen </v>
      </c>
      <c r="D249" s="2170" t="str">
        <f t="shared" ca="1" si="10"/>
        <v>Schwergrubber 3 m</v>
      </c>
      <c r="E249" s="2171">
        <f t="shared" ca="1" si="11"/>
        <v>0</v>
      </c>
    </row>
    <row r="250" spans="1:7" s="2170" customFormat="1">
      <c r="A250" s="2172">
        <v>52</v>
      </c>
      <c r="B250" s="2172" t="s">
        <v>52</v>
      </c>
      <c r="C250" s="2170" t="str">
        <f t="shared" ca="1" si="9"/>
        <v xml:space="preserve">Futtererbsen </v>
      </c>
      <c r="D250" s="2170">
        <f t="shared" ca="1" si="10"/>
        <v>0</v>
      </c>
      <c r="E250" s="2171">
        <f t="shared" ca="1" si="11"/>
        <v>0</v>
      </c>
    </row>
    <row r="251" spans="1:7" s="2170" customFormat="1">
      <c r="A251" s="2170">
        <v>53</v>
      </c>
      <c r="B251" s="2172" t="s">
        <v>52</v>
      </c>
      <c r="C251" s="2170" t="str">
        <f t="shared" ca="1" si="9"/>
        <v xml:space="preserve">Futtererbsen </v>
      </c>
      <c r="D251" s="2170">
        <f t="shared" ca="1" si="10"/>
        <v>0</v>
      </c>
      <c r="E251" s="2171">
        <f t="shared" ca="1" si="11"/>
        <v>0</v>
      </c>
    </row>
    <row r="252" spans="1:7" s="2170" customFormat="1">
      <c r="A252" s="2172">
        <v>54</v>
      </c>
      <c r="B252" s="2172" t="s">
        <v>52</v>
      </c>
      <c r="C252" s="2170" t="str">
        <f t="shared" ca="1" si="9"/>
        <v xml:space="preserve">Futtererbsen </v>
      </c>
      <c r="D252" s="2170">
        <f t="shared" ca="1" si="10"/>
        <v>0</v>
      </c>
      <c r="E252" s="2171">
        <f t="shared" ca="1" si="11"/>
        <v>0</v>
      </c>
    </row>
    <row r="253" spans="1:7" s="2170" customFormat="1">
      <c r="A253" s="2170">
        <v>55</v>
      </c>
      <c r="B253" s="2172" t="s">
        <v>52</v>
      </c>
      <c r="C253" s="2170" t="str">
        <f t="shared" ca="1" si="9"/>
        <v xml:space="preserve">Futtererbsen </v>
      </c>
      <c r="D253" s="2170">
        <f t="shared" ca="1" si="10"/>
        <v>0</v>
      </c>
      <c r="E253" s="2171">
        <f t="shared" ca="1" si="11"/>
        <v>0</v>
      </c>
    </row>
    <row r="254" spans="1:7" s="2170" customFormat="1">
      <c r="A254" s="2172">
        <v>56</v>
      </c>
      <c r="B254" s="2172" t="s">
        <v>52</v>
      </c>
      <c r="C254" s="2170" t="str">
        <f t="shared" ca="1" si="9"/>
        <v xml:space="preserve">Futtererbsen </v>
      </c>
      <c r="D254" s="2170">
        <f t="shared" ca="1" si="10"/>
        <v>0</v>
      </c>
      <c r="E254" s="2171">
        <f t="shared" ca="1" si="11"/>
        <v>0</v>
      </c>
    </row>
    <row r="255" spans="1:7" s="2170" customFormat="1">
      <c r="A255" s="2170">
        <v>57</v>
      </c>
      <c r="B255" s="2172" t="s">
        <v>52</v>
      </c>
      <c r="C255" s="2170" t="str">
        <f t="shared" ca="1" si="9"/>
        <v xml:space="preserve">Futtererbsen </v>
      </c>
      <c r="D255" s="2170" t="str">
        <f t="shared" ca="1" si="10"/>
        <v>Stroh-Rundballen 4 t/ha laden, abfahren, stapeln, 3-S-Kipp.</v>
      </c>
      <c r="E255" s="2171">
        <f t="shared" ca="1" si="11"/>
        <v>0</v>
      </c>
    </row>
    <row r="256" spans="1:7">
      <c r="A256" s="12">
        <v>46</v>
      </c>
      <c r="B256" s="2172" t="s">
        <v>50</v>
      </c>
      <c r="C256" s="29" t="str">
        <f t="shared" ca="1" si="9"/>
        <v xml:space="preserve">Ackerbohnen </v>
      </c>
      <c r="D256" s="29" t="str">
        <f t="shared" ca="1" si="10"/>
        <v>Drehpflug, 5 Schare</v>
      </c>
      <c r="E256" s="447">
        <f t="shared" ca="1" si="11"/>
        <v>0</v>
      </c>
      <c r="G256" s="2170"/>
    </row>
    <row r="257" spans="1:7">
      <c r="A257" s="29">
        <v>47</v>
      </c>
      <c r="B257" s="2172" t="s">
        <v>50</v>
      </c>
      <c r="C257" s="29" t="str">
        <f t="shared" ca="1" si="9"/>
        <v xml:space="preserve">Ackerbohnen </v>
      </c>
      <c r="D257" s="29" t="str">
        <f t="shared" ca="1" si="10"/>
        <v>Kreiselegge-Säkomb. 3 m</v>
      </c>
      <c r="E257" s="447">
        <f t="shared" ca="1" si="11"/>
        <v>0</v>
      </c>
      <c r="G257" s="2170"/>
    </row>
    <row r="258" spans="1:7">
      <c r="A258" s="12">
        <v>48</v>
      </c>
      <c r="B258" s="2172" t="s">
        <v>50</v>
      </c>
      <c r="C258" s="29" t="str">
        <f t="shared" ca="1" si="9"/>
        <v xml:space="preserve">Ackerbohnen </v>
      </c>
      <c r="D258" s="29" t="str">
        <f t="shared" ca="1" si="10"/>
        <v xml:space="preserve">Düngerstreuer ab Hof 24 m, 400 kg/ha </v>
      </c>
      <c r="E258" s="447">
        <f t="shared" ca="1" si="11"/>
        <v>0</v>
      </c>
      <c r="G258" s="2170"/>
    </row>
    <row r="259" spans="1:7">
      <c r="A259" s="29">
        <v>49</v>
      </c>
      <c r="B259" s="2172" t="s">
        <v>50</v>
      </c>
      <c r="C259" s="29" t="str">
        <f t="shared" ca="1" si="9"/>
        <v xml:space="preserve">Ackerbohnen </v>
      </c>
      <c r="D259" s="29" t="str">
        <f t="shared" ca="1" si="10"/>
        <v>Pflanzenschutzspritze 21 m, 300 l/ha</v>
      </c>
      <c r="E259" s="447">
        <f t="shared" ca="1" si="11"/>
        <v>0</v>
      </c>
      <c r="G259" s="2170"/>
    </row>
    <row r="260" spans="1:7">
      <c r="A260" s="12">
        <v>50</v>
      </c>
      <c r="B260" s="2172" t="s">
        <v>50</v>
      </c>
      <c r="C260" s="29" t="str">
        <f t="shared" ref="C260:C323" ca="1" si="12">INDIRECT("'"&amp;B260&amp;"'!$K$2")</f>
        <v xml:space="preserve">Ackerbohnen </v>
      </c>
      <c r="D260" s="29" t="str">
        <f t="shared" ref="D260:D323" ca="1" si="13">INDIRECT("'"&amp;B260&amp;"'!C"&amp;A260)</f>
        <v>Transp. u. Abkip.  (7,5 t Ki.)</v>
      </c>
      <c r="E260" s="447">
        <f t="shared" ref="E260:E323" ca="1" si="14">INDIRECT("'"&amp;B260&amp;"'!Q"&amp;A260)</f>
        <v>0</v>
      </c>
      <c r="G260" s="2170"/>
    </row>
    <row r="261" spans="1:7">
      <c r="A261" s="29">
        <v>51</v>
      </c>
      <c r="B261" s="2172" t="s">
        <v>50</v>
      </c>
      <c r="C261" s="29" t="str">
        <f t="shared" ca="1" si="12"/>
        <v xml:space="preserve">Ackerbohnen </v>
      </c>
      <c r="D261" s="29" t="str">
        <f t="shared" ca="1" si="13"/>
        <v>Schwergrubber 3 m</v>
      </c>
      <c r="E261" s="447">
        <f t="shared" ca="1" si="14"/>
        <v>0</v>
      </c>
      <c r="G261" s="2170"/>
    </row>
    <row r="262" spans="1:7">
      <c r="A262" s="12">
        <v>52</v>
      </c>
      <c r="B262" s="2172" t="s">
        <v>50</v>
      </c>
      <c r="C262" s="29" t="str">
        <f t="shared" ca="1" si="12"/>
        <v xml:space="preserve">Ackerbohnen </v>
      </c>
      <c r="D262" s="29">
        <f t="shared" ca="1" si="13"/>
        <v>0</v>
      </c>
      <c r="E262" s="447">
        <f t="shared" ca="1" si="14"/>
        <v>0</v>
      </c>
      <c r="G262" s="2170"/>
    </row>
    <row r="263" spans="1:7">
      <c r="A263" s="29">
        <v>53</v>
      </c>
      <c r="B263" s="2172" t="s">
        <v>50</v>
      </c>
      <c r="C263" s="29" t="str">
        <f t="shared" ca="1" si="12"/>
        <v xml:space="preserve">Ackerbohnen </v>
      </c>
      <c r="D263" s="29">
        <f t="shared" ca="1" si="13"/>
        <v>0</v>
      </c>
      <c r="E263" s="447">
        <f t="shared" ca="1" si="14"/>
        <v>0</v>
      </c>
      <c r="G263" s="2170"/>
    </row>
    <row r="264" spans="1:7">
      <c r="A264" s="12">
        <v>54</v>
      </c>
      <c r="B264" s="2172" t="s">
        <v>50</v>
      </c>
      <c r="C264" s="29" t="str">
        <f t="shared" ca="1" si="12"/>
        <v xml:space="preserve">Ackerbohnen </v>
      </c>
      <c r="D264" s="29">
        <f t="shared" ca="1" si="13"/>
        <v>0</v>
      </c>
      <c r="E264" s="447">
        <f t="shared" ca="1" si="14"/>
        <v>0</v>
      </c>
      <c r="G264" s="2170"/>
    </row>
    <row r="265" spans="1:7">
      <c r="A265" s="29">
        <v>55</v>
      </c>
      <c r="B265" s="2172" t="s">
        <v>50</v>
      </c>
      <c r="C265" s="29" t="str">
        <f t="shared" ca="1" si="12"/>
        <v xml:space="preserve">Ackerbohnen </v>
      </c>
      <c r="D265" s="29">
        <f t="shared" ca="1" si="13"/>
        <v>0</v>
      </c>
      <c r="E265" s="447">
        <f t="shared" ca="1" si="14"/>
        <v>0</v>
      </c>
      <c r="G265" s="2170"/>
    </row>
    <row r="266" spans="1:7">
      <c r="A266" s="12">
        <v>56</v>
      </c>
      <c r="B266" s="2172" t="s">
        <v>50</v>
      </c>
      <c r="C266" s="29" t="str">
        <f t="shared" ca="1" si="12"/>
        <v xml:space="preserve">Ackerbohnen </v>
      </c>
      <c r="D266" s="29">
        <f t="shared" ca="1" si="13"/>
        <v>0</v>
      </c>
      <c r="E266" s="447">
        <f t="shared" ca="1" si="14"/>
        <v>0</v>
      </c>
      <c r="G266" s="2170"/>
    </row>
    <row r="267" spans="1:7">
      <c r="A267" s="29">
        <v>57</v>
      </c>
      <c r="B267" s="2172" t="s">
        <v>50</v>
      </c>
      <c r="C267" s="29" t="str">
        <f t="shared" ca="1" si="12"/>
        <v xml:space="preserve">Ackerbohnen </v>
      </c>
      <c r="D267" s="29" t="str">
        <f t="shared" ca="1" si="13"/>
        <v>Stroh-Rundballen 4 t/ha laden, abfahren, stapeln, 3-S-Kipp.</v>
      </c>
      <c r="E267" s="447">
        <f t="shared" ca="1" si="14"/>
        <v>0</v>
      </c>
      <c r="G267" s="2170"/>
    </row>
    <row r="268" spans="1:7" s="2170" customFormat="1">
      <c r="A268" s="2172">
        <v>46</v>
      </c>
      <c r="B268" s="2172" t="s">
        <v>48</v>
      </c>
      <c r="C268" s="2170" t="str">
        <f t="shared" ca="1" si="12"/>
        <v xml:space="preserve">Blaue Lupine </v>
      </c>
      <c r="D268" s="2170" t="str">
        <f t="shared" ca="1" si="13"/>
        <v>Drehpflug, 5 Schare</v>
      </c>
      <c r="E268" s="2171">
        <f t="shared" ca="1" si="14"/>
        <v>0</v>
      </c>
    </row>
    <row r="269" spans="1:7" s="2170" customFormat="1">
      <c r="A269" s="2170">
        <v>47</v>
      </c>
      <c r="B269" s="2172" t="s">
        <v>48</v>
      </c>
      <c r="C269" s="2170" t="str">
        <f t="shared" ca="1" si="12"/>
        <v xml:space="preserve">Blaue Lupine </v>
      </c>
      <c r="D269" s="2170" t="str">
        <f t="shared" ca="1" si="13"/>
        <v>Kreiselegge-Säkomb. 3 m</v>
      </c>
      <c r="E269" s="2171">
        <f t="shared" ca="1" si="14"/>
        <v>0</v>
      </c>
    </row>
    <row r="270" spans="1:7" s="2170" customFormat="1">
      <c r="A270" s="2172">
        <v>48</v>
      </c>
      <c r="B270" s="2172" t="s">
        <v>48</v>
      </c>
      <c r="C270" s="2170" t="str">
        <f t="shared" ca="1" si="12"/>
        <v xml:space="preserve">Blaue Lupine </v>
      </c>
      <c r="D270" s="2170" t="str">
        <f t="shared" ca="1" si="13"/>
        <v>Pflanzenschutzspritze 21 m, 300 l/ha</v>
      </c>
      <c r="E270" s="2171">
        <f t="shared" ca="1" si="14"/>
        <v>0</v>
      </c>
    </row>
    <row r="271" spans="1:7" s="2170" customFormat="1">
      <c r="A271" s="2170">
        <v>49</v>
      </c>
      <c r="B271" s="2172" t="s">
        <v>48</v>
      </c>
      <c r="C271" s="2170" t="str">
        <f t="shared" ca="1" si="12"/>
        <v xml:space="preserve">Blaue Lupine </v>
      </c>
      <c r="D271" s="2170" t="str">
        <f t="shared" ca="1" si="13"/>
        <v xml:space="preserve">Düngerstreuer ab Hof 24 m, 400 kg/ha </v>
      </c>
      <c r="E271" s="2171">
        <f t="shared" ca="1" si="14"/>
        <v>0</v>
      </c>
    </row>
    <row r="272" spans="1:7" s="2170" customFormat="1">
      <c r="A272" s="2172">
        <v>50</v>
      </c>
      <c r="B272" s="2172" t="s">
        <v>48</v>
      </c>
      <c r="C272" s="2170" t="str">
        <f t="shared" ca="1" si="12"/>
        <v xml:space="preserve">Blaue Lupine </v>
      </c>
      <c r="D272" s="2170" t="str">
        <f t="shared" ca="1" si="13"/>
        <v>Transp. u. Abkip.  (7,5 t Ki.)</v>
      </c>
      <c r="E272" s="2171">
        <f t="shared" ca="1" si="14"/>
        <v>0</v>
      </c>
    </row>
    <row r="273" spans="1:7" s="2170" customFormat="1">
      <c r="A273" s="2170">
        <v>51</v>
      </c>
      <c r="B273" s="2172" t="s">
        <v>48</v>
      </c>
      <c r="C273" s="2170" t="str">
        <f t="shared" ca="1" si="12"/>
        <v xml:space="preserve">Blaue Lupine </v>
      </c>
      <c r="D273" s="2170" t="str">
        <f t="shared" ca="1" si="13"/>
        <v>Schwergrubber 3 m</v>
      </c>
      <c r="E273" s="2171">
        <f t="shared" ca="1" si="14"/>
        <v>0</v>
      </c>
    </row>
    <row r="274" spans="1:7" s="2170" customFormat="1">
      <c r="A274" s="2172">
        <v>52</v>
      </c>
      <c r="B274" s="2172" t="s">
        <v>48</v>
      </c>
      <c r="C274" s="2170" t="str">
        <f t="shared" ca="1" si="12"/>
        <v xml:space="preserve">Blaue Lupine </v>
      </c>
      <c r="D274" s="2170">
        <f t="shared" ca="1" si="13"/>
        <v>0</v>
      </c>
      <c r="E274" s="2171">
        <f t="shared" ca="1" si="14"/>
        <v>0</v>
      </c>
    </row>
    <row r="275" spans="1:7" s="2170" customFormat="1">
      <c r="A275" s="2170">
        <v>53</v>
      </c>
      <c r="B275" s="2172" t="s">
        <v>48</v>
      </c>
      <c r="C275" s="2170" t="str">
        <f t="shared" ca="1" si="12"/>
        <v xml:space="preserve">Blaue Lupine </v>
      </c>
      <c r="D275" s="2170">
        <f t="shared" ca="1" si="13"/>
        <v>0</v>
      </c>
      <c r="E275" s="2171">
        <f t="shared" ca="1" si="14"/>
        <v>0</v>
      </c>
    </row>
    <row r="276" spans="1:7" s="2170" customFormat="1">
      <c r="A276" s="2172">
        <v>54</v>
      </c>
      <c r="B276" s="2172" t="s">
        <v>48</v>
      </c>
      <c r="C276" s="2170" t="str">
        <f t="shared" ca="1" si="12"/>
        <v xml:space="preserve">Blaue Lupine </v>
      </c>
      <c r="D276" s="2170">
        <f t="shared" ca="1" si="13"/>
        <v>0</v>
      </c>
      <c r="E276" s="2171">
        <f t="shared" ca="1" si="14"/>
        <v>0</v>
      </c>
    </row>
    <row r="277" spans="1:7" s="2170" customFormat="1">
      <c r="A277" s="2170">
        <v>55</v>
      </c>
      <c r="B277" s="2172" t="s">
        <v>48</v>
      </c>
      <c r="C277" s="2170" t="str">
        <f t="shared" ca="1" si="12"/>
        <v xml:space="preserve">Blaue Lupine </v>
      </c>
      <c r="D277" s="2170">
        <f t="shared" ca="1" si="13"/>
        <v>0</v>
      </c>
      <c r="E277" s="2171">
        <f t="shared" ca="1" si="14"/>
        <v>0</v>
      </c>
    </row>
    <row r="278" spans="1:7" s="2170" customFormat="1">
      <c r="A278" s="2172">
        <v>56</v>
      </c>
      <c r="B278" s="2172" t="s">
        <v>48</v>
      </c>
      <c r="C278" s="2170" t="str">
        <f t="shared" ca="1" si="12"/>
        <v xml:space="preserve">Blaue Lupine </v>
      </c>
      <c r="D278" s="2170">
        <f t="shared" ca="1" si="13"/>
        <v>0</v>
      </c>
      <c r="E278" s="2171">
        <f t="shared" ca="1" si="14"/>
        <v>0</v>
      </c>
    </row>
    <row r="279" spans="1:7" s="2170" customFormat="1">
      <c r="A279" s="2170">
        <v>57</v>
      </c>
      <c r="B279" s="2172" t="s">
        <v>48</v>
      </c>
      <c r="C279" s="2170" t="str">
        <f t="shared" ca="1" si="12"/>
        <v xml:space="preserve">Blaue Lupine </v>
      </c>
      <c r="D279" s="2170" t="str">
        <f t="shared" ca="1" si="13"/>
        <v>Stroh-Rundballen 4 t/ha laden, abfahren, stapeln, 3-S-Kipp.</v>
      </c>
      <c r="E279" s="2171">
        <f t="shared" ca="1" si="14"/>
        <v>0</v>
      </c>
    </row>
    <row r="280" spans="1:7">
      <c r="A280" s="12">
        <v>46</v>
      </c>
      <c r="B280" s="2172" t="s">
        <v>43</v>
      </c>
      <c r="C280" s="29" t="str">
        <f t="shared" ca="1" si="12"/>
        <v xml:space="preserve">Zuckerrüben </v>
      </c>
      <c r="D280" s="29" t="str">
        <f t="shared" ca="1" si="13"/>
        <v>Drehpflug, 5 Schare</v>
      </c>
      <c r="E280" s="447">
        <f t="shared" ca="1" si="14"/>
        <v>0</v>
      </c>
      <c r="G280" s="2170"/>
    </row>
    <row r="281" spans="1:7">
      <c r="A281" s="29">
        <v>47</v>
      </c>
      <c r="B281" s="2172" t="s">
        <v>43</v>
      </c>
      <c r="C281" s="29" t="str">
        <f t="shared" ca="1" si="12"/>
        <v xml:space="preserve">Zuckerrüben </v>
      </c>
      <c r="D281" s="29" t="str">
        <f t="shared" ca="1" si="13"/>
        <v>Saatbettkombination 4,5 m</v>
      </c>
      <c r="E281" s="447">
        <f t="shared" ca="1" si="14"/>
        <v>0</v>
      </c>
      <c r="G281" s="2170"/>
    </row>
    <row r="282" spans="1:7">
      <c r="A282" s="12">
        <v>48</v>
      </c>
      <c r="B282" s="2172" t="s">
        <v>43</v>
      </c>
      <c r="C282" s="29" t="str">
        <f t="shared" ca="1" si="12"/>
        <v xml:space="preserve">Zuckerrüben </v>
      </c>
      <c r="D282" s="29" t="str">
        <f t="shared" ca="1" si="13"/>
        <v>Einzelkornsaat 4 r (Mais, Sonnenblume)</v>
      </c>
      <c r="E282" s="447">
        <f t="shared" ca="1" si="14"/>
        <v>0</v>
      </c>
      <c r="G282" s="2170"/>
    </row>
    <row r="283" spans="1:7">
      <c r="A283" s="29">
        <v>49</v>
      </c>
      <c r="B283" s="2172" t="s">
        <v>43</v>
      </c>
      <c r="C283" s="29" t="str">
        <f t="shared" ca="1" si="12"/>
        <v xml:space="preserve">Zuckerrüben </v>
      </c>
      <c r="D283" s="29" t="str">
        <f t="shared" ca="1" si="13"/>
        <v xml:space="preserve">Düngerstreuer ab Hof 24 m, 400 kg/ha </v>
      </c>
      <c r="E283" s="447">
        <f t="shared" ca="1" si="14"/>
        <v>0</v>
      </c>
      <c r="G283" s="2170"/>
    </row>
    <row r="284" spans="1:7">
      <c r="A284" s="12">
        <v>50</v>
      </c>
      <c r="B284" s="2172" t="s">
        <v>43</v>
      </c>
      <c r="C284" s="29" t="str">
        <f t="shared" ca="1" si="12"/>
        <v xml:space="preserve">Zuckerrüben </v>
      </c>
      <c r="D284" s="29" t="str">
        <f t="shared" ca="1" si="13"/>
        <v>Pflanzenschutzspritze 21 m, 300 l/ha</v>
      </c>
      <c r="E284" s="447">
        <f t="shared" ca="1" si="14"/>
        <v>0</v>
      </c>
      <c r="G284" s="2170"/>
    </row>
    <row r="285" spans="1:7">
      <c r="A285" s="29">
        <v>51</v>
      </c>
      <c r="B285" s="2172" t="s">
        <v>43</v>
      </c>
      <c r="C285" s="29" t="str">
        <f t="shared" ca="1" si="12"/>
        <v xml:space="preserve">Zuckerrüben </v>
      </c>
      <c r="D285" s="29">
        <f t="shared" ca="1" si="13"/>
        <v>0</v>
      </c>
      <c r="E285" s="447">
        <f t="shared" ca="1" si="14"/>
        <v>0</v>
      </c>
      <c r="G285" s="2170"/>
    </row>
    <row r="286" spans="1:7">
      <c r="A286" s="12">
        <v>52</v>
      </c>
      <c r="B286" s="2172" t="s">
        <v>43</v>
      </c>
      <c r="C286" s="29" t="str">
        <f t="shared" ca="1" si="12"/>
        <v xml:space="preserve">Zuckerrüben </v>
      </c>
      <c r="D286" s="29">
        <f t="shared" ca="1" si="13"/>
        <v>0</v>
      </c>
      <c r="E286" s="447">
        <f t="shared" ca="1" si="14"/>
        <v>0</v>
      </c>
      <c r="G286" s="2170"/>
    </row>
    <row r="287" spans="1:7">
      <c r="A287" s="29">
        <v>53</v>
      </c>
      <c r="B287" s="2172" t="s">
        <v>43</v>
      </c>
      <c r="C287" s="29" t="str">
        <f t="shared" ca="1" si="12"/>
        <v xml:space="preserve">Zuckerrüben </v>
      </c>
      <c r="D287" s="29">
        <f t="shared" ca="1" si="13"/>
        <v>0</v>
      </c>
      <c r="E287" s="447">
        <f t="shared" ca="1" si="14"/>
        <v>0</v>
      </c>
      <c r="G287" s="2170"/>
    </row>
    <row r="288" spans="1:7">
      <c r="A288" s="12">
        <v>54</v>
      </c>
      <c r="B288" s="2172" t="s">
        <v>43</v>
      </c>
      <c r="C288" s="29" t="str">
        <f t="shared" ca="1" si="12"/>
        <v xml:space="preserve">Zuckerrüben </v>
      </c>
      <c r="D288" s="29">
        <f t="shared" ca="1" si="13"/>
        <v>0</v>
      </c>
      <c r="E288" s="447">
        <f t="shared" ca="1" si="14"/>
        <v>0</v>
      </c>
      <c r="G288" s="2170"/>
    </row>
    <row r="289" spans="1:7">
      <c r="A289" s="29">
        <v>55</v>
      </c>
      <c r="B289" s="2172" t="s">
        <v>43</v>
      </c>
      <c r="C289" s="29" t="str">
        <f t="shared" ca="1" si="12"/>
        <v xml:space="preserve">Zuckerrüben </v>
      </c>
      <c r="D289" s="29">
        <f t="shared" ca="1" si="13"/>
        <v>0</v>
      </c>
      <c r="E289" s="447">
        <f t="shared" ca="1" si="14"/>
        <v>0</v>
      </c>
      <c r="G289" s="2170"/>
    </row>
    <row r="290" spans="1:7">
      <c r="A290" s="12">
        <v>56</v>
      </c>
      <c r="B290" s="2172" t="s">
        <v>43</v>
      </c>
      <c r="C290" s="29" t="str">
        <f t="shared" ca="1" si="12"/>
        <v xml:space="preserve">Zuckerrüben </v>
      </c>
      <c r="D290" s="29">
        <f t="shared" ca="1" si="13"/>
        <v>0</v>
      </c>
      <c r="E290" s="447">
        <f t="shared" ca="1" si="14"/>
        <v>0</v>
      </c>
      <c r="G290" s="2170"/>
    </row>
    <row r="291" spans="1:7">
      <c r="A291" s="29">
        <v>57</v>
      </c>
      <c r="B291" s="2172" t="s">
        <v>43</v>
      </c>
      <c r="C291" s="29" t="str">
        <f t="shared" ca="1" si="12"/>
        <v xml:space="preserve">Zuckerrüben </v>
      </c>
      <c r="D291" s="29">
        <f t="shared" ca="1" si="13"/>
        <v>0</v>
      </c>
      <c r="E291" s="447">
        <f t="shared" ca="1" si="14"/>
        <v>0</v>
      </c>
      <c r="G291" s="2170"/>
    </row>
    <row r="292" spans="1:7" s="2170" customFormat="1">
      <c r="A292" s="2172">
        <v>46</v>
      </c>
      <c r="B292" s="2172" t="s">
        <v>41</v>
      </c>
      <c r="C292" s="2170" t="str">
        <f t="shared" ca="1" si="12"/>
        <v>Frühkartoffeln</v>
      </c>
      <c r="D292" s="2170" t="str">
        <f t="shared" ca="1" si="13"/>
        <v>Drehpflug, 5 Schare</v>
      </c>
      <c r="E292" s="2171">
        <f t="shared" ca="1" si="14"/>
        <v>0</v>
      </c>
    </row>
    <row r="293" spans="1:7" s="2170" customFormat="1">
      <c r="A293" s="2170">
        <v>47</v>
      </c>
      <c r="B293" s="2172" t="s">
        <v>41</v>
      </c>
      <c r="C293" s="2170" t="str">
        <f t="shared" ca="1" si="12"/>
        <v>Frühkartoffeln</v>
      </c>
      <c r="D293" s="2170" t="str">
        <f t="shared" ca="1" si="13"/>
        <v>Kreiselegge-Säkomb. 3 m</v>
      </c>
      <c r="E293" s="2171">
        <f t="shared" ca="1" si="14"/>
        <v>0</v>
      </c>
    </row>
    <row r="294" spans="1:7" s="2170" customFormat="1">
      <c r="A294" s="2172">
        <v>48</v>
      </c>
      <c r="B294" s="2172" t="s">
        <v>41</v>
      </c>
      <c r="C294" s="2170" t="str">
        <f t="shared" ca="1" si="12"/>
        <v>Frühkartoffeln</v>
      </c>
      <c r="D294" s="2170" t="str">
        <f t="shared" ca="1" si="13"/>
        <v>Legemaschine mit Kippbunker 4 r (Kartoffel)</v>
      </c>
      <c r="E294" s="2171">
        <f t="shared" ca="1" si="14"/>
        <v>0</v>
      </c>
    </row>
    <row r="295" spans="1:7" s="2170" customFormat="1">
      <c r="A295" s="2170">
        <v>49</v>
      </c>
      <c r="B295" s="2172" t="s">
        <v>41</v>
      </c>
      <c r="C295" s="2170" t="str">
        <f t="shared" ca="1" si="12"/>
        <v>Frühkartoffeln</v>
      </c>
      <c r="D295" s="2170" t="str">
        <f t="shared" ca="1" si="13"/>
        <v>Häufeln 4 r, Vorauflauf (Kartoffel)</v>
      </c>
      <c r="E295" s="2171">
        <f t="shared" ca="1" si="14"/>
        <v>0</v>
      </c>
    </row>
    <row r="296" spans="1:7" s="2170" customFormat="1">
      <c r="A296" s="2172">
        <v>50</v>
      </c>
      <c r="B296" s="2172" t="s">
        <v>41</v>
      </c>
      <c r="C296" s="2170" t="str">
        <f t="shared" ca="1" si="12"/>
        <v>Frühkartoffeln</v>
      </c>
      <c r="D296" s="2170" t="str">
        <f t="shared" ca="1" si="13"/>
        <v xml:space="preserve">Düngerstreuer ab Hof 24 m, 400 kg/ha </v>
      </c>
      <c r="E296" s="2171">
        <f t="shared" ca="1" si="14"/>
        <v>0</v>
      </c>
    </row>
    <row r="297" spans="1:7" s="2170" customFormat="1">
      <c r="A297" s="2170">
        <v>51</v>
      </c>
      <c r="B297" s="2172" t="s">
        <v>41</v>
      </c>
      <c r="C297" s="2170" t="str">
        <f t="shared" ca="1" si="12"/>
        <v>Frühkartoffeln</v>
      </c>
      <c r="D297" s="2170" t="str">
        <f t="shared" ca="1" si="13"/>
        <v>Pflanzenschutzspritze 21 m, 300 l/ha</v>
      </c>
      <c r="E297" s="2171">
        <f t="shared" ca="1" si="14"/>
        <v>0</v>
      </c>
    </row>
    <row r="298" spans="1:7" s="2170" customFormat="1">
      <c r="A298" s="2172">
        <v>52</v>
      </c>
      <c r="B298" s="2172" t="s">
        <v>41</v>
      </c>
      <c r="C298" s="2170" t="str">
        <f t="shared" ca="1" si="12"/>
        <v>Frühkartoffeln</v>
      </c>
      <c r="D298" s="2170" t="str">
        <f t="shared" ca="1" si="13"/>
        <v>Kartoff. Transp. z. Hof 45 t/ha (10,5 t Kipper)</v>
      </c>
      <c r="E298" s="2171">
        <f t="shared" ca="1" si="14"/>
        <v>0</v>
      </c>
    </row>
    <row r="299" spans="1:7" s="2170" customFormat="1">
      <c r="A299" s="2170">
        <v>53</v>
      </c>
      <c r="B299" s="2172" t="s">
        <v>41</v>
      </c>
      <c r="C299" s="2170" t="str">
        <f t="shared" ca="1" si="12"/>
        <v>Frühkartoffeln</v>
      </c>
      <c r="D299" s="2170" t="str">
        <f t="shared" ca="1" si="13"/>
        <v xml:space="preserve">2 Hand AK Bunkerroder </v>
      </c>
      <c r="E299" s="2171">
        <f t="shared" ca="1" si="14"/>
        <v>0</v>
      </c>
    </row>
    <row r="300" spans="1:7" s="2170" customFormat="1">
      <c r="A300" s="2172">
        <v>54</v>
      </c>
      <c r="B300" s="2172" t="s">
        <v>41</v>
      </c>
      <c r="C300" s="2170" t="str">
        <f t="shared" ca="1" si="12"/>
        <v>Frühkartoffeln</v>
      </c>
      <c r="D300" s="2170">
        <f t="shared" ca="1" si="13"/>
        <v>0</v>
      </c>
      <c r="E300" s="2171">
        <f t="shared" ca="1" si="14"/>
        <v>0</v>
      </c>
    </row>
    <row r="301" spans="1:7" s="2170" customFormat="1">
      <c r="A301" s="2170">
        <v>55</v>
      </c>
      <c r="B301" s="2172" t="s">
        <v>41</v>
      </c>
      <c r="C301" s="2170" t="str">
        <f t="shared" ca="1" si="12"/>
        <v>Frühkartoffeln</v>
      </c>
      <c r="D301" s="2170">
        <f t="shared" ca="1" si="13"/>
        <v>0</v>
      </c>
      <c r="E301" s="2171">
        <f t="shared" ca="1" si="14"/>
        <v>0</v>
      </c>
    </row>
    <row r="302" spans="1:7" s="2170" customFormat="1">
      <c r="A302" s="2172">
        <v>56</v>
      </c>
      <c r="B302" s="2172" t="s">
        <v>41</v>
      </c>
      <c r="C302" s="2170" t="str">
        <f t="shared" ca="1" si="12"/>
        <v>Frühkartoffeln</v>
      </c>
      <c r="D302" s="2170">
        <f t="shared" ca="1" si="13"/>
        <v>0</v>
      </c>
      <c r="E302" s="2171">
        <f t="shared" ca="1" si="14"/>
        <v>0</v>
      </c>
    </row>
    <row r="303" spans="1:7" s="2170" customFormat="1">
      <c r="A303" s="2170">
        <v>57</v>
      </c>
      <c r="B303" s="2172" t="s">
        <v>41</v>
      </c>
      <c r="C303" s="2170" t="str">
        <f t="shared" ca="1" si="12"/>
        <v>Frühkartoffeln</v>
      </c>
      <c r="D303" s="2170">
        <f t="shared" ca="1" si="13"/>
        <v>0</v>
      </c>
      <c r="E303" s="2171">
        <f t="shared" ca="1" si="14"/>
        <v>0</v>
      </c>
    </row>
    <row r="304" spans="1:7">
      <c r="A304" s="12">
        <v>46</v>
      </c>
      <c r="B304" s="2172" t="s">
        <v>39</v>
      </c>
      <c r="C304" s="29" t="str">
        <f t="shared" ca="1" si="12"/>
        <v>Frühkartoffeln, Folie, beregnet</v>
      </c>
      <c r="D304" s="29" t="str">
        <f t="shared" ca="1" si="13"/>
        <v>Drehpflug, 5 Schare</v>
      </c>
      <c r="E304" s="447">
        <f t="shared" ca="1" si="14"/>
        <v>0</v>
      </c>
      <c r="G304" s="2170"/>
    </row>
    <row r="305" spans="1:7">
      <c r="A305" s="29">
        <v>47</v>
      </c>
      <c r="B305" s="2172" t="s">
        <v>39</v>
      </c>
      <c r="C305" s="29" t="str">
        <f t="shared" ca="1" si="12"/>
        <v>Frühkartoffeln, Folie, beregnet</v>
      </c>
      <c r="D305" s="29" t="str">
        <f t="shared" ca="1" si="13"/>
        <v>Kreiselegge-Säkomb. 3 m</v>
      </c>
      <c r="E305" s="447">
        <f t="shared" ca="1" si="14"/>
        <v>0</v>
      </c>
      <c r="G305" s="2170"/>
    </row>
    <row r="306" spans="1:7">
      <c r="A306" s="12">
        <v>48</v>
      </c>
      <c r="B306" s="2172" t="s">
        <v>39</v>
      </c>
      <c r="C306" s="29" t="str">
        <f t="shared" ca="1" si="12"/>
        <v>Frühkartoffeln, Folie, beregnet</v>
      </c>
      <c r="D306" s="29" t="str">
        <f t="shared" ca="1" si="13"/>
        <v>Legemaschine mit Kippbunker 4 r (Kartoffel)</v>
      </c>
      <c r="E306" s="447">
        <f t="shared" ca="1" si="14"/>
        <v>0</v>
      </c>
      <c r="G306" s="2170"/>
    </row>
    <row r="307" spans="1:7">
      <c r="A307" s="29">
        <v>49</v>
      </c>
      <c r="B307" s="2172" t="s">
        <v>39</v>
      </c>
      <c r="C307" s="29" t="str">
        <f t="shared" ca="1" si="12"/>
        <v>Frühkartoffeln, Folie, beregnet</v>
      </c>
      <c r="D307" s="29" t="str">
        <f t="shared" ca="1" si="13"/>
        <v>Häufeln 4 r, Vorauflauf (Kartoffel)</v>
      </c>
      <c r="E307" s="447">
        <f t="shared" ca="1" si="14"/>
        <v>0</v>
      </c>
      <c r="G307" s="2170"/>
    </row>
    <row r="308" spans="1:7">
      <c r="A308" s="12">
        <v>50</v>
      </c>
      <c r="B308" s="2172" t="s">
        <v>39</v>
      </c>
      <c r="C308" s="29" t="str">
        <f t="shared" ca="1" si="12"/>
        <v>Frühkartoffeln, Folie, beregnet</v>
      </c>
      <c r="D308" s="29" t="str">
        <f t="shared" ca="1" si="13"/>
        <v>Beregnung (Mobile Beregnungsmaschinen mit Einzelregnern)</v>
      </c>
      <c r="E308" s="447">
        <f t="shared" ca="1" si="14"/>
        <v>0</v>
      </c>
      <c r="G308" s="2170"/>
    </row>
    <row r="309" spans="1:7">
      <c r="A309" s="29">
        <v>51</v>
      </c>
      <c r="B309" s="2172" t="s">
        <v>39</v>
      </c>
      <c r="C309" s="29" t="str">
        <f t="shared" ca="1" si="12"/>
        <v>Frühkartoffeln, Folie, beregnet</v>
      </c>
      <c r="D309" s="29" t="str">
        <f t="shared" ca="1" si="13"/>
        <v>Folie legen, entfernen, entsorgen</v>
      </c>
      <c r="E309" s="447">
        <f t="shared" ca="1" si="14"/>
        <v>0</v>
      </c>
      <c r="G309" s="2170"/>
    </row>
    <row r="310" spans="1:7">
      <c r="A310" s="12">
        <v>52</v>
      </c>
      <c r="B310" s="2172" t="s">
        <v>39</v>
      </c>
      <c r="C310" s="29" t="str">
        <f t="shared" ca="1" si="12"/>
        <v>Frühkartoffeln, Folie, beregnet</v>
      </c>
      <c r="D310" s="29" t="str">
        <f t="shared" ca="1" si="13"/>
        <v xml:space="preserve">Düngerstreuer ab Hof 24 m, 400 kg/ha </v>
      </c>
      <c r="E310" s="447">
        <f t="shared" ca="1" si="14"/>
        <v>0</v>
      </c>
      <c r="G310" s="2170"/>
    </row>
    <row r="311" spans="1:7">
      <c r="A311" s="29">
        <v>53</v>
      </c>
      <c r="B311" s="2172" t="s">
        <v>39</v>
      </c>
      <c r="C311" s="29" t="str">
        <f t="shared" ca="1" si="12"/>
        <v>Frühkartoffeln, Folie, beregnet</v>
      </c>
      <c r="D311" s="29" t="str">
        <f t="shared" ca="1" si="13"/>
        <v>Pflanzenschutzspritze 21 m, 300 l/ha</v>
      </c>
      <c r="E311" s="447">
        <f t="shared" ca="1" si="14"/>
        <v>0</v>
      </c>
      <c r="G311" s="2170"/>
    </row>
    <row r="312" spans="1:7">
      <c r="A312" s="12">
        <v>54</v>
      </c>
      <c r="B312" s="2172" t="s">
        <v>39</v>
      </c>
      <c r="C312" s="29" t="str">
        <f t="shared" ca="1" si="12"/>
        <v>Frühkartoffeln, Folie, beregnet</v>
      </c>
      <c r="D312" s="29" t="str">
        <f t="shared" ca="1" si="13"/>
        <v>Kartoff. Transp. z. Hof 45 t/ha (10,5 t Kipper)</v>
      </c>
      <c r="E312" s="447">
        <f t="shared" ca="1" si="14"/>
        <v>0</v>
      </c>
      <c r="G312" s="2170"/>
    </row>
    <row r="313" spans="1:7">
      <c r="A313" s="29">
        <v>55</v>
      </c>
      <c r="B313" s="2172" t="s">
        <v>39</v>
      </c>
      <c r="C313" s="29" t="str">
        <f t="shared" ca="1" si="12"/>
        <v>Frühkartoffeln, Folie, beregnet</v>
      </c>
      <c r="D313" s="29" t="str">
        <f t="shared" ca="1" si="13"/>
        <v xml:space="preserve">2 Hand AK Bunkerroder </v>
      </c>
      <c r="E313" s="447">
        <f t="shared" ca="1" si="14"/>
        <v>0</v>
      </c>
      <c r="G313" s="2170"/>
    </row>
    <row r="314" spans="1:7">
      <c r="A314" s="12">
        <v>56</v>
      </c>
      <c r="B314" s="2172" t="s">
        <v>39</v>
      </c>
      <c r="C314" s="29" t="str">
        <f t="shared" ca="1" si="12"/>
        <v>Frühkartoffeln, Folie, beregnet</v>
      </c>
      <c r="D314" s="29">
        <f t="shared" ca="1" si="13"/>
        <v>0</v>
      </c>
      <c r="E314" s="447">
        <f t="shared" ca="1" si="14"/>
        <v>0</v>
      </c>
      <c r="G314" s="2170"/>
    </row>
    <row r="315" spans="1:7">
      <c r="A315" s="29">
        <v>57</v>
      </c>
      <c r="B315" s="2172" t="s">
        <v>39</v>
      </c>
      <c r="C315" s="29" t="str">
        <f t="shared" ca="1" si="12"/>
        <v>Frühkartoffeln, Folie, beregnet</v>
      </c>
      <c r="D315" s="29">
        <f t="shared" ca="1" si="13"/>
        <v>0</v>
      </c>
      <c r="E315" s="447">
        <f t="shared" ca="1" si="14"/>
        <v>0</v>
      </c>
      <c r="G315" s="2170"/>
    </row>
    <row r="316" spans="1:7" s="2170" customFormat="1">
      <c r="A316" s="2172">
        <v>46</v>
      </c>
      <c r="B316" s="2172" t="s">
        <v>37</v>
      </c>
      <c r="C316" s="2170" t="str">
        <f t="shared" ca="1" si="12"/>
        <v>Speisekartoffeln spät</v>
      </c>
      <c r="D316" s="2170" t="str">
        <f t="shared" ca="1" si="13"/>
        <v>Drehpflug, 5 Schare</v>
      </c>
      <c r="E316" s="2171">
        <f t="shared" ca="1" si="14"/>
        <v>10</v>
      </c>
    </row>
    <row r="317" spans="1:7" s="2170" customFormat="1">
      <c r="A317" s="2170">
        <v>47</v>
      </c>
      <c r="B317" s="2172" t="s">
        <v>37</v>
      </c>
      <c r="C317" s="2170" t="str">
        <f t="shared" ca="1" si="12"/>
        <v>Speisekartoffeln spät</v>
      </c>
      <c r="D317" s="2170" t="str">
        <f t="shared" ca="1" si="13"/>
        <v>Kreiselegge-Säkomb. 3 m</v>
      </c>
      <c r="E317" s="2171">
        <f t="shared" ca="1" si="14"/>
        <v>10</v>
      </c>
    </row>
    <row r="318" spans="1:7" s="2170" customFormat="1">
      <c r="A318" s="2172">
        <v>48</v>
      </c>
      <c r="B318" s="2172" t="s">
        <v>37</v>
      </c>
      <c r="C318" s="2170" t="str">
        <f t="shared" ca="1" si="12"/>
        <v>Speisekartoffeln spät</v>
      </c>
      <c r="D318" s="2170" t="str">
        <f t="shared" ca="1" si="13"/>
        <v>Legemaschine mit Kippbunker 4 r (Kartoffel)</v>
      </c>
      <c r="E318" s="2171">
        <f t="shared" ca="1" si="14"/>
        <v>10</v>
      </c>
    </row>
    <row r="319" spans="1:7" s="2170" customFormat="1">
      <c r="A319" s="2170">
        <v>49</v>
      </c>
      <c r="B319" s="2172" t="s">
        <v>37</v>
      </c>
      <c r="C319" s="2170" t="str">
        <f t="shared" ca="1" si="12"/>
        <v>Speisekartoffeln spät</v>
      </c>
      <c r="D319" s="2170" t="str">
        <f t="shared" ca="1" si="13"/>
        <v>Häufeln 4 r, Vorauflauf (Kartoffel)</v>
      </c>
      <c r="E319" s="2171">
        <f t="shared" ca="1" si="14"/>
        <v>10</v>
      </c>
    </row>
    <row r="320" spans="1:7" s="2170" customFormat="1">
      <c r="A320" s="2172">
        <v>50</v>
      </c>
      <c r="B320" s="2172" t="s">
        <v>37</v>
      </c>
      <c r="C320" s="2170" t="str">
        <f t="shared" ca="1" si="12"/>
        <v>Speisekartoffeln spät</v>
      </c>
      <c r="D320" s="2170" t="str">
        <f t="shared" ca="1" si="13"/>
        <v xml:space="preserve">Düngerstreuer ab Hof 24 m, 400 kg/ha </v>
      </c>
      <c r="E320" s="2171">
        <f t="shared" ca="1" si="14"/>
        <v>20</v>
      </c>
    </row>
    <row r="321" spans="1:7" s="2170" customFormat="1">
      <c r="A321" s="2170">
        <v>51</v>
      </c>
      <c r="B321" s="2172" t="s">
        <v>37</v>
      </c>
      <c r="C321" s="2170" t="str">
        <f t="shared" ca="1" si="12"/>
        <v>Speisekartoffeln spät</v>
      </c>
      <c r="D321" s="2170" t="str">
        <f t="shared" ca="1" si="13"/>
        <v>Pflanzenschutzspritze 21 m, 300 l/ha</v>
      </c>
      <c r="E321" s="2171">
        <f t="shared" ca="1" si="14"/>
        <v>100</v>
      </c>
    </row>
    <row r="322" spans="1:7" s="2170" customFormat="1">
      <c r="A322" s="2172">
        <v>52</v>
      </c>
      <c r="B322" s="2172" t="s">
        <v>37</v>
      </c>
      <c r="C322" s="2170" t="str">
        <f t="shared" ca="1" si="12"/>
        <v>Speisekartoffeln spät</v>
      </c>
      <c r="D322" s="2170" t="str">
        <f t="shared" ca="1" si="13"/>
        <v>Kartoff. Transp. z. Hof 45 t/ha (10,5 t Kipper)</v>
      </c>
      <c r="E322" s="2171">
        <f t="shared" ca="1" si="14"/>
        <v>22.285714285714285</v>
      </c>
    </row>
    <row r="323" spans="1:7" s="2170" customFormat="1">
      <c r="A323" s="2170">
        <v>53</v>
      </c>
      <c r="B323" s="2172" t="s">
        <v>37</v>
      </c>
      <c r="C323" s="2170" t="str">
        <f t="shared" ca="1" si="12"/>
        <v>Speisekartoffeln spät</v>
      </c>
      <c r="D323" s="2170" t="str">
        <f t="shared" ca="1" si="13"/>
        <v xml:space="preserve">2 Hand AK Bunkerroder </v>
      </c>
      <c r="E323" s="2171">
        <f t="shared" ca="1" si="14"/>
        <v>10</v>
      </c>
    </row>
    <row r="324" spans="1:7" s="2170" customFormat="1">
      <c r="A324" s="2172">
        <v>54</v>
      </c>
      <c r="B324" s="2172" t="s">
        <v>37</v>
      </c>
      <c r="C324" s="2170" t="str">
        <f t="shared" ref="C324:C375" ca="1" si="15">INDIRECT("'"&amp;B324&amp;"'!$K$2")</f>
        <v>Speisekartoffeln spät</v>
      </c>
      <c r="D324" s="2170">
        <f t="shared" ref="D324:D375" ca="1" si="16">INDIRECT("'"&amp;B324&amp;"'!C"&amp;A324)</f>
        <v>0</v>
      </c>
      <c r="E324" s="2171">
        <f t="shared" ref="E324:E375" ca="1" si="17">INDIRECT("'"&amp;B324&amp;"'!Q"&amp;A324)</f>
        <v>0</v>
      </c>
    </row>
    <row r="325" spans="1:7" s="2170" customFormat="1">
      <c r="A325" s="2170">
        <v>55</v>
      </c>
      <c r="B325" s="2172" t="s">
        <v>37</v>
      </c>
      <c r="C325" s="2170" t="str">
        <f t="shared" ca="1" si="15"/>
        <v>Speisekartoffeln spät</v>
      </c>
      <c r="D325" s="2170">
        <f t="shared" ca="1" si="16"/>
        <v>0</v>
      </c>
      <c r="E325" s="2171">
        <f t="shared" ca="1" si="17"/>
        <v>0</v>
      </c>
    </row>
    <row r="326" spans="1:7" s="2170" customFormat="1">
      <c r="A326" s="2172">
        <v>56</v>
      </c>
      <c r="B326" s="2172" t="s">
        <v>37</v>
      </c>
      <c r="C326" s="2170" t="str">
        <f t="shared" ca="1" si="15"/>
        <v>Speisekartoffeln spät</v>
      </c>
      <c r="D326" s="2170">
        <f t="shared" ca="1" si="16"/>
        <v>0</v>
      </c>
      <c r="E326" s="2171">
        <f t="shared" ca="1" si="17"/>
        <v>0</v>
      </c>
    </row>
    <row r="327" spans="1:7" s="2170" customFormat="1">
      <c r="A327" s="2170">
        <v>57</v>
      </c>
      <c r="B327" s="2172" t="s">
        <v>37</v>
      </c>
      <c r="C327" s="2170" t="str">
        <f t="shared" ca="1" si="15"/>
        <v>Speisekartoffeln spät</v>
      </c>
      <c r="D327" s="2170">
        <f t="shared" ca="1" si="16"/>
        <v>0</v>
      </c>
      <c r="E327" s="2171">
        <f t="shared" ca="1" si="17"/>
        <v>0</v>
      </c>
    </row>
    <row r="328" spans="1:7">
      <c r="A328" s="12">
        <v>46</v>
      </c>
      <c r="B328" s="2172" t="s">
        <v>35</v>
      </c>
      <c r="C328" s="29" t="str">
        <f t="shared" ca="1" si="15"/>
        <v>Speisekartoffeln spät, beregnet</v>
      </c>
      <c r="D328" s="29" t="str">
        <f t="shared" ca="1" si="16"/>
        <v>Drehpflug, 5 Schare</v>
      </c>
      <c r="E328" s="447">
        <f t="shared" ca="1" si="17"/>
        <v>0</v>
      </c>
      <c r="G328" s="2170"/>
    </row>
    <row r="329" spans="1:7">
      <c r="A329" s="29">
        <v>47</v>
      </c>
      <c r="B329" s="2172" t="s">
        <v>35</v>
      </c>
      <c r="C329" s="29" t="str">
        <f t="shared" ca="1" si="15"/>
        <v>Speisekartoffeln spät, beregnet</v>
      </c>
      <c r="D329" s="29" t="str">
        <f t="shared" ca="1" si="16"/>
        <v>Kreiselegge-Säkomb. 3 m</v>
      </c>
      <c r="E329" s="447">
        <f t="shared" ca="1" si="17"/>
        <v>0</v>
      </c>
      <c r="G329" s="2170"/>
    </row>
    <row r="330" spans="1:7">
      <c r="A330" s="12">
        <v>48</v>
      </c>
      <c r="B330" s="2172" t="s">
        <v>35</v>
      </c>
      <c r="C330" s="29" t="str">
        <f t="shared" ca="1" si="15"/>
        <v>Speisekartoffeln spät, beregnet</v>
      </c>
      <c r="D330" s="29" t="str">
        <f t="shared" ca="1" si="16"/>
        <v>Legemaschine mit Kippbunker 4 r (Kartoffel)</v>
      </c>
      <c r="E330" s="447">
        <f t="shared" ca="1" si="17"/>
        <v>0</v>
      </c>
      <c r="G330" s="2170"/>
    </row>
    <row r="331" spans="1:7">
      <c r="A331" s="29">
        <v>49</v>
      </c>
      <c r="B331" s="2172" t="s">
        <v>35</v>
      </c>
      <c r="C331" s="29" t="str">
        <f t="shared" ca="1" si="15"/>
        <v>Speisekartoffeln spät, beregnet</v>
      </c>
      <c r="D331" s="29" t="str">
        <f t="shared" ca="1" si="16"/>
        <v>Häufeln 4 r, Vorauflauf (Kartoffel)</v>
      </c>
      <c r="E331" s="447">
        <f t="shared" ca="1" si="17"/>
        <v>0</v>
      </c>
      <c r="G331" s="2170"/>
    </row>
    <row r="332" spans="1:7">
      <c r="A332" s="12">
        <v>50</v>
      </c>
      <c r="B332" s="2172" t="s">
        <v>35</v>
      </c>
      <c r="C332" s="29" t="str">
        <f t="shared" ca="1" si="15"/>
        <v>Speisekartoffeln spät, beregnet</v>
      </c>
      <c r="D332" s="29" t="str">
        <f t="shared" ca="1" si="16"/>
        <v>Beregnung (Mobile Beregnungsmaschinen mit Einzelregnern)</v>
      </c>
      <c r="E332" s="447">
        <f t="shared" ca="1" si="17"/>
        <v>0</v>
      </c>
      <c r="G332" s="2170"/>
    </row>
    <row r="333" spans="1:7">
      <c r="A333" s="29">
        <v>51</v>
      </c>
      <c r="B333" s="2172" t="s">
        <v>35</v>
      </c>
      <c r="C333" s="29" t="str">
        <f t="shared" ca="1" si="15"/>
        <v>Speisekartoffeln spät, beregnet</v>
      </c>
      <c r="D333" s="29" t="str">
        <f t="shared" ca="1" si="16"/>
        <v xml:space="preserve">Düngerstreuer ab Hof 24 m, 400 kg/ha </v>
      </c>
      <c r="E333" s="447">
        <f t="shared" ca="1" si="17"/>
        <v>0</v>
      </c>
      <c r="G333" s="2170"/>
    </row>
    <row r="334" spans="1:7">
      <c r="A334" s="12">
        <v>52</v>
      </c>
      <c r="B334" s="2172" t="s">
        <v>35</v>
      </c>
      <c r="C334" s="29" t="str">
        <f t="shared" ca="1" si="15"/>
        <v>Speisekartoffeln spät, beregnet</v>
      </c>
      <c r="D334" s="29" t="str">
        <f t="shared" ca="1" si="16"/>
        <v>Pflanzenschutzspritze 21 m, 300 l/ha</v>
      </c>
      <c r="E334" s="447">
        <f t="shared" ca="1" si="17"/>
        <v>0</v>
      </c>
      <c r="G334" s="2170"/>
    </row>
    <row r="335" spans="1:7">
      <c r="A335" s="29">
        <v>53</v>
      </c>
      <c r="B335" s="2172" t="s">
        <v>35</v>
      </c>
      <c r="C335" s="29" t="str">
        <f t="shared" ca="1" si="15"/>
        <v>Speisekartoffeln spät, beregnet</v>
      </c>
      <c r="D335" s="29" t="str">
        <f t="shared" ca="1" si="16"/>
        <v>Kartoff. Transp. z. Hof 45 t/ha (10,5 t Kipper)</v>
      </c>
      <c r="E335" s="447">
        <f t="shared" ca="1" si="17"/>
        <v>0</v>
      </c>
      <c r="G335" s="2170"/>
    </row>
    <row r="336" spans="1:7">
      <c r="A336" s="12">
        <v>54</v>
      </c>
      <c r="B336" s="2172" t="s">
        <v>35</v>
      </c>
      <c r="C336" s="29" t="str">
        <f t="shared" ca="1" si="15"/>
        <v>Speisekartoffeln spät, beregnet</v>
      </c>
      <c r="D336" s="29" t="str">
        <f t="shared" ca="1" si="16"/>
        <v xml:space="preserve">2 Hand AK Bunkerroder </v>
      </c>
      <c r="E336" s="447">
        <f t="shared" ca="1" si="17"/>
        <v>0</v>
      </c>
      <c r="G336" s="2170"/>
    </row>
    <row r="337" spans="1:7">
      <c r="A337" s="29">
        <v>55</v>
      </c>
      <c r="B337" s="2172" t="s">
        <v>35</v>
      </c>
      <c r="C337" s="29" t="str">
        <f t="shared" ca="1" si="15"/>
        <v>Speisekartoffeln spät, beregnet</v>
      </c>
      <c r="D337" s="29">
        <f t="shared" ca="1" si="16"/>
        <v>0</v>
      </c>
      <c r="E337" s="447">
        <f t="shared" ca="1" si="17"/>
        <v>0</v>
      </c>
      <c r="G337" s="2170"/>
    </row>
    <row r="338" spans="1:7">
      <c r="A338" s="12">
        <v>56</v>
      </c>
      <c r="B338" s="2172" t="s">
        <v>35</v>
      </c>
      <c r="C338" s="29" t="str">
        <f t="shared" ca="1" si="15"/>
        <v>Speisekartoffeln spät, beregnet</v>
      </c>
      <c r="D338" s="29">
        <f t="shared" ca="1" si="16"/>
        <v>0</v>
      </c>
      <c r="E338" s="447">
        <f t="shared" ca="1" si="17"/>
        <v>0</v>
      </c>
      <c r="G338" s="2170"/>
    </row>
    <row r="339" spans="1:7">
      <c r="A339" s="29">
        <v>57</v>
      </c>
      <c r="B339" s="2172" t="s">
        <v>35</v>
      </c>
      <c r="C339" s="29" t="str">
        <f t="shared" ca="1" si="15"/>
        <v>Speisekartoffeln spät, beregnet</v>
      </c>
      <c r="D339" s="29">
        <f t="shared" ca="1" si="16"/>
        <v>0</v>
      </c>
      <c r="E339" s="447">
        <f t="shared" ca="1" si="17"/>
        <v>0</v>
      </c>
      <c r="G339" s="2170"/>
    </row>
    <row r="340" spans="1:7" s="2170" customFormat="1">
      <c r="A340" s="2172">
        <v>46</v>
      </c>
      <c r="B340" s="2172" t="s">
        <v>675</v>
      </c>
      <c r="C340" s="2170" t="e">
        <f t="shared" ca="1" si="15"/>
        <v>#REF!</v>
      </c>
      <c r="D340" s="2170" t="e">
        <f t="shared" ca="1" si="16"/>
        <v>#REF!</v>
      </c>
      <c r="E340" s="2171" t="e">
        <f t="shared" ca="1" si="17"/>
        <v>#REF!</v>
      </c>
    </row>
    <row r="341" spans="1:7" s="2170" customFormat="1">
      <c r="A341" s="2170">
        <v>47</v>
      </c>
      <c r="B341" s="2172" t="s">
        <v>675</v>
      </c>
      <c r="C341" s="2170" t="e">
        <f t="shared" ca="1" si="15"/>
        <v>#REF!</v>
      </c>
      <c r="D341" s="2170" t="e">
        <f t="shared" ca="1" si="16"/>
        <v>#REF!</v>
      </c>
      <c r="E341" s="2171" t="e">
        <f t="shared" ca="1" si="17"/>
        <v>#REF!</v>
      </c>
    </row>
    <row r="342" spans="1:7" s="2170" customFormat="1">
      <c r="A342" s="2172">
        <v>48</v>
      </c>
      <c r="B342" s="2172" t="s">
        <v>675</v>
      </c>
      <c r="C342" s="2170" t="e">
        <f t="shared" ca="1" si="15"/>
        <v>#REF!</v>
      </c>
      <c r="D342" s="2170" t="e">
        <f t="shared" ca="1" si="16"/>
        <v>#REF!</v>
      </c>
      <c r="E342" s="2171" t="e">
        <f t="shared" ca="1" si="17"/>
        <v>#REF!</v>
      </c>
    </row>
    <row r="343" spans="1:7" s="2170" customFormat="1">
      <c r="A343" s="2170">
        <v>49</v>
      </c>
      <c r="B343" s="2172" t="s">
        <v>675</v>
      </c>
      <c r="C343" s="2170" t="e">
        <f t="shared" ca="1" si="15"/>
        <v>#REF!</v>
      </c>
      <c r="D343" s="2170" t="e">
        <f t="shared" ca="1" si="16"/>
        <v>#REF!</v>
      </c>
      <c r="E343" s="2171" t="e">
        <f t="shared" ca="1" si="17"/>
        <v>#REF!</v>
      </c>
    </row>
    <row r="344" spans="1:7" s="2170" customFormat="1">
      <c r="A344" s="2172">
        <v>50</v>
      </c>
      <c r="B344" s="2172" t="s">
        <v>675</v>
      </c>
      <c r="C344" s="2170" t="e">
        <f t="shared" ca="1" si="15"/>
        <v>#REF!</v>
      </c>
      <c r="D344" s="2170" t="e">
        <f t="shared" ca="1" si="16"/>
        <v>#REF!</v>
      </c>
      <c r="E344" s="2171" t="e">
        <f t="shared" ca="1" si="17"/>
        <v>#REF!</v>
      </c>
    </row>
    <row r="345" spans="1:7" s="2170" customFormat="1">
      <c r="A345" s="2170">
        <v>51</v>
      </c>
      <c r="B345" s="2172" t="s">
        <v>675</v>
      </c>
      <c r="C345" s="2170" t="e">
        <f t="shared" ca="1" si="15"/>
        <v>#REF!</v>
      </c>
      <c r="D345" s="2170" t="e">
        <f t="shared" ca="1" si="16"/>
        <v>#REF!</v>
      </c>
      <c r="E345" s="2171" t="e">
        <f t="shared" ca="1" si="17"/>
        <v>#REF!</v>
      </c>
    </row>
    <row r="346" spans="1:7" s="2170" customFormat="1">
      <c r="A346" s="2172">
        <v>52</v>
      </c>
      <c r="B346" s="2172" t="s">
        <v>675</v>
      </c>
      <c r="C346" s="2170" t="e">
        <f t="shared" ca="1" si="15"/>
        <v>#REF!</v>
      </c>
      <c r="D346" s="2170" t="e">
        <f t="shared" ca="1" si="16"/>
        <v>#REF!</v>
      </c>
      <c r="E346" s="2171" t="e">
        <f t="shared" ca="1" si="17"/>
        <v>#REF!</v>
      </c>
    </row>
    <row r="347" spans="1:7" s="2170" customFormat="1">
      <c r="A347" s="2170">
        <v>53</v>
      </c>
      <c r="B347" s="2172" t="s">
        <v>675</v>
      </c>
      <c r="C347" s="2170" t="e">
        <f t="shared" ca="1" si="15"/>
        <v>#REF!</v>
      </c>
      <c r="D347" s="2170" t="e">
        <f t="shared" ca="1" si="16"/>
        <v>#REF!</v>
      </c>
      <c r="E347" s="2171" t="e">
        <f t="shared" ca="1" si="17"/>
        <v>#REF!</v>
      </c>
    </row>
    <row r="348" spans="1:7" s="2170" customFormat="1">
      <c r="A348" s="2172">
        <v>54</v>
      </c>
      <c r="B348" s="2172" t="s">
        <v>675</v>
      </c>
      <c r="C348" s="2170" t="e">
        <f t="shared" ca="1" si="15"/>
        <v>#REF!</v>
      </c>
      <c r="D348" s="2170" t="e">
        <f t="shared" ca="1" si="16"/>
        <v>#REF!</v>
      </c>
      <c r="E348" s="2171" t="e">
        <f t="shared" ca="1" si="17"/>
        <v>#REF!</v>
      </c>
    </row>
    <row r="349" spans="1:7" s="2170" customFormat="1">
      <c r="A349" s="2170">
        <v>55</v>
      </c>
      <c r="B349" s="2172" t="s">
        <v>675</v>
      </c>
      <c r="C349" s="2170" t="e">
        <f t="shared" ca="1" si="15"/>
        <v>#REF!</v>
      </c>
      <c r="D349" s="2170" t="e">
        <f t="shared" ca="1" si="16"/>
        <v>#REF!</v>
      </c>
      <c r="E349" s="2171" t="e">
        <f t="shared" ca="1" si="17"/>
        <v>#REF!</v>
      </c>
    </row>
    <row r="350" spans="1:7" s="2170" customFormat="1">
      <c r="A350" s="2172">
        <v>56</v>
      </c>
      <c r="B350" s="2172" t="s">
        <v>675</v>
      </c>
      <c r="C350" s="2170" t="e">
        <f t="shared" ca="1" si="15"/>
        <v>#REF!</v>
      </c>
      <c r="D350" s="2170" t="e">
        <f t="shared" ca="1" si="16"/>
        <v>#REF!</v>
      </c>
      <c r="E350" s="2171" t="e">
        <f t="shared" ca="1" si="17"/>
        <v>#REF!</v>
      </c>
    </row>
    <row r="351" spans="1:7" s="2170" customFormat="1">
      <c r="A351" s="2170">
        <v>57</v>
      </c>
      <c r="B351" s="2172" t="s">
        <v>675</v>
      </c>
      <c r="C351" s="2170" t="e">
        <f t="shared" ca="1" si="15"/>
        <v>#REF!</v>
      </c>
      <c r="D351" s="2170" t="e">
        <f t="shared" ca="1" si="16"/>
        <v>#REF!</v>
      </c>
      <c r="E351" s="2171" t="e">
        <f t="shared" ca="1" si="17"/>
        <v>#REF!</v>
      </c>
    </row>
    <row r="352" spans="1:7">
      <c r="A352" s="12">
        <v>46</v>
      </c>
      <c r="B352" s="2172" t="s">
        <v>27</v>
      </c>
      <c r="C352" s="29" t="e">
        <f t="shared" ca="1" si="15"/>
        <v>#REF!</v>
      </c>
      <c r="D352" s="29" t="e">
        <f t="shared" ca="1" si="16"/>
        <v>#REF!</v>
      </c>
      <c r="E352" s="447" t="e">
        <f t="shared" ca="1" si="17"/>
        <v>#REF!</v>
      </c>
      <c r="G352" s="2170"/>
    </row>
    <row r="353" spans="1:7">
      <c r="A353" s="29">
        <v>47</v>
      </c>
      <c r="B353" s="2172" t="s">
        <v>27</v>
      </c>
      <c r="C353" s="29" t="e">
        <f t="shared" ca="1" si="15"/>
        <v>#REF!</v>
      </c>
      <c r="D353" s="29" t="e">
        <f t="shared" ca="1" si="16"/>
        <v>#REF!</v>
      </c>
      <c r="E353" s="447" t="e">
        <f t="shared" ca="1" si="17"/>
        <v>#REF!</v>
      </c>
      <c r="G353" s="2170"/>
    </row>
    <row r="354" spans="1:7">
      <c r="A354" s="12">
        <v>48</v>
      </c>
      <c r="B354" s="2172" t="s">
        <v>27</v>
      </c>
      <c r="C354" s="29" t="e">
        <f t="shared" ca="1" si="15"/>
        <v>#REF!</v>
      </c>
      <c r="D354" s="29" t="e">
        <f t="shared" ca="1" si="16"/>
        <v>#REF!</v>
      </c>
      <c r="E354" s="447" t="e">
        <f t="shared" ca="1" si="17"/>
        <v>#REF!</v>
      </c>
      <c r="G354" s="2170"/>
    </row>
    <row r="355" spans="1:7">
      <c r="A355" s="29">
        <v>49</v>
      </c>
      <c r="B355" s="2172" t="s">
        <v>27</v>
      </c>
      <c r="C355" s="29" t="e">
        <f t="shared" ca="1" si="15"/>
        <v>#REF!</v>
      </c>
      <c r="D355" s="29" t="e">
        <f t="shared" ca="1" si="16"/>
        <v>#REF!</v>
      </c>
      <c r="E355" s="447" t="e">
        <f t="shared" ca="1" si="17"/>
        <v>#REF!</v>
      </c>
      <c r="G355" s="2170"/>
    </row>
    <row r="356" spans="1:7">
      <c r="A356" s="12">
        <v>50</v>
      </c>
      <c r="B356" s="2172" t="s">
        <v>27</v>
      </c>
      <c r="C356" s="29" t="e">
        <f t="shared" ca="1" si="15"/>
        <v>#REF!</v>
      </c>
      <c r="D356" s="29" t="e">
        <f t="shared" ca="1" si="16"/>
        <v>#REF!</v>
      </c>
      <c r="E356" s="447" t="e">
        <f t="shared" ca="1" si="17"/>
        <v>#REF!</v>
      </c>
      <c r="G356" s="2170"/>
    </row>
    <row r="357" spans="1:7">
      <c r="A357" s="29">
        <v>51</v>
      </c>
      <c r="B357" s="2172" t="s">
        <v>27</v>
      </c>
      <c r="C357" s="29" t="e">
        <f t="shared" ca="1" si="15"/>
        <v>#REF!</v>
      </c>
      <c r="D357" s="29" t="e">
        <f t="shared" ca="1" si="16"/>
        <v>#REF!</v>
      </c>
      <c r="E357" s="447" t="e">
        <f t="shared" ca="1" si="17"/>
        <v>#REF!</v>
      </c>
      <c r="G357" s="2170"/>
    </row>
    <row r="358" spans="1:7">
      <c r="A358" s="12">
        <v>52</v>
      </c>
      <c r="B358" s="2172" t="s">
        <v>27</v>
      </c>
      <c r="C358" s="29" t="e">
        <f t="shared" ca="1" si="15"/>
        <v>#REF!</v>
      </c>
      <c r="D358" s="29" t="e">
        <f t="shared" ca="1" si="16"/>
        <v>#REF!</v>
      </c>
      <c r="E358" s="447" t="e">
        <f t="shared" ca="1" si="17"/>
        <v>#REF!</v>
      </c>
      <c r="G358" s="2170"/>
    </row>
    <row r="359" spans="1:7">
      <c r="A359" s="29">
        <v>53</v>
      </c>
      <c r="B359" s="2172" t="s">
        <v>27</v>
      </c>
      <c r="C359" s="29" t="e">
        <f t="shared" ca="1" si="15"/>
        <v>#REF!</v>
      </c>
      <c r="D359" s="29" t="e">
        <f t="shared" ca="1" si="16"/>
        <v>#REF!</v>
      </c>
      <c r="E359" s="447" t="e">
        <f t="shared" ca="1" si="17"/>
        <v>#REF!</v>
      </c>
      <c r="G359" s="2170"/>
    </row>
    <row r="360" spans="1:7">
      <c r="A360" s="12">
        <v>54</v>
      </c>
      <c r="B360" s="2172" t="s">
        <v>27</v>
      </c>
      <c r="C360" s="29" t="e">
        <f t="shared" ca="1" si="15"/>
        <v>#REF!</v>
      </c>
      <c r="D360" s="29" t="e">
        <f t="shared" ca="1" si="16"/>
        <v>#REF!</v>
      </c>
      <c r="E360" s="447" t="e">
        <f t="shared" ca="1" si="17"/>
        <v>#REF!</v>
      </c>
      <c r="G360" s="2170"/>
    </row>
    <row r="361" spans="1:7">
      <c r="A361" s="29">
        <v>55</v>
      </c>
      <c r="B361" s="2172" t="s">
        <v>27</v>
      </c>
      <c r="C361" s="29" t="e">
        <f t="shared" ca="1" si="15"/>
        <v>#REF!</v>
      </c>
      <c r="D361" s="29" t="e">
        <f t="shared" ca="1" si="16"/>
        <v>#REF!</v>
      </c>
      <c r="E361" s="447" t="e">
        <f t="shared" ca="1" si="17"/>
        <v>#REF!</v>
      </c>
      <c r="G361" s="2170"/>
    </row>
    <row r="362" spans="1:7">
      <c r="A362" s="12">
        <v>56</v>
      </c>
      <c r="B362" s="2172" t="s">
        <v>27</v>
      </c>
      <c r="C362" s="29" t="e">
        <f t="shared" ca="1" si="15"/>
        <v>#REF!</v>
      </c>
      <c r="D362" s="29" t="e">
        <f t="shared" ca="1" si="16"/>
        <v>#REF!</v>
      </c>
      <c r="E362" s="447" t="e">
        <f t="shared" ca="1" si="17"/>
        <v>#REF!</v>
      </c>
      <c r="G362" s="2170"/>
    </row>
    <row r="363" spans="1:7">
      <c r="A363" s="29">
        <v>57</v>
      </c>
      <c r="B363" s="2172" t="s">
        <v>27</v>
      </c>
      <c r="C363" s="29" t="e">
        <f t="shared" ca="1" si="15"/>
        <v>#REF!</v>
      </c>
      <c r="D363" s="29" t="e">
        <f t="shared" ca="1" si="16"/>
        <v>#REF!</v>
      </c>
      <c r="E363" s="447" t="e">
        <f t="shared" ca="1" si="17"/>
        <v>#REF!</v>
      </c>
      <c r="G363" s="2170"/>
    </row>
    <row r="364" spans="1:7" s="2170" customFormat="1">
      <c r="A364" s="2172">
        <v>46</v>
      </c>
      <c r="B364" s="2172" t="s">
        <v>674</v>
      </c>
      <c r="C364" s="2170" t="str">
        <f t="shared" ca="1" si="15"/>
        <v>Begrünung</v>
      </c>
      <c r="D364" s="2170" t="str">
        <f t="shared" ca="1" si="16"/>
        <v>Schwergrubber 3 m</v>
      </c>
      <c r="E364" s="2171">
        <f t="shared" ca="1" si="17"/>
        <v>0</v>
      </c>
    </row>
    <row r="365" spans="1:7" s="2170" customFormat="1">
      <c r="A365" s="2170">
        <v>47</v>
      </c>
      <c r="B365" s="2172" t="s">
        <v>674</v>
      </c>
      <c r="C365" s="2170" t="str">
        <f t="shared" ca="1" si="15"/>
        <v>Begrünung</v>
      </c>
      <c r="D365" s="2170" t="str">
        <f t="shared" ca="1" si="16"/>
        <v>Kreiselegge-Säkomb. 3 m</v>
      </c>
      <c r="E365" s="2171">
        <f t="shared" ca="1" si="17"/>
        <v>0</v>
      </c>
    </row>
    <row r="366" spans="1:7" s="2170" customFormat="1">
      <c r="A366" s="2172">
        <v>48</v>
      </c>
      <c r="B366" s="2172" t="s">
        <v>674</v>
      </c>
      <c r="C366" s="2170" t="str">
        <f t="shared" ca="1" si="15"/>
        <v>Begrünung</v>
      </c>
      <c r="D366" s="2170" t="str">
        <f t="shared" ca="1" si="16"/>
        <v>Cambridgewalze 4,5 m</v>
      </c>
      <c r="E366" s="2171">
        <f t="shared" ca="1" si="17"/>
        <v>0</v>
      </c>
    </row>
    <row r="367" spans="1:7" s="2170" customFormat="1">
      <c r="A367" s="2170">
        <v>49</v>
      </c>
      <c r="B367" s="2172" t="s">
        <v>674</v>
      </c>
      <c r="C367" s="2170" t="str">
        <f t="shared" ca="1" si="15"/>
        <v>Begrünung</v>
      </c>
      <c r="D367" s="2170" t="str">
        <f t="shared" ca="1" si="16"/>
        <v>Mulchgerät 3 m</v>
      </c>
      <c r="E367" s="2171">
        <f t="shared" ca="1" si="17"/>
        <v>0</v>
      </c>
    </row>
    <row r="368" spans="1:7" s="2170" customFormat="1">
      <c r="A368" s="2172">
        <v>50</v>
      </c>
      <c r="B368" s="2172" t="s">
        <v>674</v>
      </c>
      <c r="C368" s="2170" t="str">
        <f t="shared" ca="1" si="15"/>
        <v>Begrünung</v>
      </c>
      <c r="D368" s="2170">
        <f t="shared" ca="1" si="16"/>
        <v>0</v>
      </c>
      <c r="E368" s="2171">
        <f t="shared" ca="1" si="17"/>
        <v>0</v>
      </c>
    </row>
    <row r="369" spans="1:7" s="2170" customFormat="1">
      <c r="A369" s="2170">
        <v>51</v>
      </c>
      <c r="B369" s="2172" t="s">
        <v>674</v>
      </c>
      <c r="C369" s="2170" t="str">
        <f t="shared" ca="1" si="15"/>
        <v>Begrünung</v>
      </c>
      <c r="D369" s="2170">
        <f t="shared" ca="1" si="16"/>
        <v>0</v>
      </c>
      <c r="E369" s="2171">
        <f t="shared" ca="1" si="17"/>
        <v>0</v>
      </c>
    </row>
    <row r="370" spans="1:7" s="2170" customFormat="1">
      <c r="A370" s="2172">
        <v>52</v>
      </c>
      <c r="B370" s="2172" t="s">
        <v>674</v>
      </c>
      <c r="C370" s="2170" t="str">
        <f t="shared" ca="1" si="15"/>
        <v>Begrünung</v>
      </c>
      <c r="D370" s="2170">
        <f t="shared" ca="1" si="16"/>
        <v>0</v>
      </c>
      <c r="E370" s="2171">
        <f t="shared" ca="1" si="17"/>
        <v>0</v>
      </c>
    </row>
    <row r="371" spans="1:7" s="2170" customFormat="1">
      <c r="A371" s="2170">
        <v>53</v>
      </c>
      <c r="B371" s="2172" t="s">
        <v>674</v>
      </c>
      <c r="C371" s="2170" t="str">
        <f t="shared" ca="1" si="15"/>
        <v>Begrünung</v>
      </c>
      <c r="D371" s="2170">
        <f t="shared" ca="1" si="16"/>
        <v>0</v>
      </c>
      <c r="E371" s="2171">
        <f t="shared" ca="1" si="17"/>
        <v>0</v>
      </c>
    </row>
    <row r="372" spans="1:7" s="2170" customFormat="1">
      <c r="A372" s="2172">
        <v>54</v>
      </c>
      <c r="B372" s="2172" t="s">
        <v>674</v>
      </c>
      <c r="C372" s="2170" t="str">
        <f t="shared" ca="1" si="15"/>
        <v>Begrünung</v>
      </c>
      <c r="D372" s="2170">
        <f t="shared" ca="1" si="16"/>
        <v>0</v>
      </c>
      <c r="E372" s="2171">
        <f t="shared" ca="1" si="17"/>
        <v>0</v>
      </c>
    </row>
    <row r="373" spans="1:7" s="2170" customFormat="1">
      <c r="A373" s="2170">
        <v>55</v>
      </c>
      <c r="B373" s="2172" t="s">
        <v>674</v>
      </c>
      <c r="C373" s="2170" t="str">
        <f t="shared" ca="1" si="15"/>
        <v>Begrünung</v>
      </c>
      <c r="D373" s="2170">
        <f t="shared" ca="1" si="16"/>
        <v>0</v>
      </c>
      <c r="E373" s="2171">
        <f t="shared" ca="1" si="17"/>
        <v>0</v>
      </c>
    </row>
    <row r="374" spans="1:7" s="2170" customFormat="1">
      <c r="A374" s="2172">
        <v>56</v>
      </c>
      <c r="B374" s="2172" t="s">
        <v>674</v>
      </c>
      <c r="C374" s="2170" t="str">
        <f t="shared" ca="1" si="15"/>
        <v>Begrünung</v>
      </c>
      <c r="D374" s="2170">
        <f t="shared" ca="1" si="16"/>
        <v>0</v>
      </c>
      <c r="E374" s="2171">
        <f t="shared" ca="1" si="17"/>
        <v>0</v>
      </c>
    </row>
    <row r="375" spans="1:7" s="2170" customFormat="1">
      <c r="A375" s="2170">
        <v>57</v>
      </c>
      <c r="B375" s="2172" t="s">
        <v>674</v>
      </c>
      <c r="C375" s="2170" t="str">
        <f t="shared" ca="1" si="15"/>
        <v>Begrünung</v>
      </c>
      <c r="D375" s="2170">
        <f t="shared" ca="1" si="16"/>
        <v>0</v>
      </c>
      <c r="E375" s="2171">
        <f t="shared" ca="1" si="17"/>
        <v>0</v>
      </c>
    </row>
    <row r="376" spans="1:7">
      <c r="A376" s="12"/>
      <c r="B376" s="12"/>
      <c r="G376" s="2170"/>
    </row>
    <row r="377" spans="1:7">
      <c r="B377" s="12"/>
      <c r="G377" s="2170"/>
    </row>
    <row r="378" spans="1:7">
      <c r="A378" s="12"/>
      <c r="B378" s="12"/>
      <c r="G378" s="2170"/>
    </row>
    <row r="379" spans="1:7">
      <c r="B379" s="12"/>
      <c r="G379" s="2170"/>
    </row>
    <row r="380" spans="1:7">
      <c r="A380" s="12"/>
      <c r="B380" s="12"/>
      <c r="G380" s="2170"/>
    </row>
    <row r="381" spans="1:7">
      <c r="B381" s="12"/>
      <c r="G381" s="2170"/>
    </row>
    <row r="382" spans="1:7">
      <c r="A382" s="12"/>
      <c r="B382" s="12"/>
      <c r="G382" s="2170"/>
    </row>
    <row r="383" spans="1:7">
      <c r="B383" s="12"/>
      <c r="G383" s="2170"/>
    </row>
    <row r="384" spans="1:7">
      <c r="A384" s="12"/>
      <c r="B384" s="12"/>
      <c r="G384" s="2170"/>
    </row>
    <row r="385" spans="1:7">
      <c r="B385" s="12"/>
      <c r="G385" s="2170"/>
    </row>
    <row r="386" spans="1:7">
      <c r="A386" s="12"/>
      <c r="B386" s="12"/>
      <c r="G386" s="2170"/>
    </row>
    <row r="387" spans="1:7">
      <c r="B387" s="12"/>
      <c r="G387" s="2170"/>
    </row>
  </sheetData>
  <customSheetViews>
    <customSheetView guid="{8063F48F-80B5-4ECD-B18A-51CBF126E780}" state="hidden">
      <pageMargins left="0.7" right="0.7" top="0.78740157499999996" bottom="0.78740157499999996" header="0.3" footer="0.3"/>
    </customSheetView>
    <customSheetView guid="{5D5C9B61-9ABD-4513-AAEB-8333A9D6196C}" state="hidden">
      <pageMargins left="0.7" right="0.7" top="0.78740157499999996" bottom="0.78740157499999996" header="0.3" footer="0.3"/>
    </customSheetView>
    <customSheetView guid="{22A73C4F-9004-4CEF-8499-B1F91BE1B569}" state="hidden">
      <pageMargins left="0.7" right="0.7" top="0.78740157499999996" bottom="0.78740157499999996" header="0.3" footer="0.3"/>
    </customSheetView>
  </customSheetViews>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Tabelle86">
    <tabColor rgb="FFFFC000"/>
    <pageSetUpPr fitToPage="1"/>
  </sheetPr>
  <dimension ref="A1:AO206"/>
  <sheetViews>
    <sheetView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25.59765625" style="28" hidden="1" customWidth="1"/>
    <col min="18" max="26" width="10.5" style="27" hidden="1" customWidth="1"/>
    <col min="27" max="28" width="10.5" style="27" customWidth="1"/>
    <col min="29" max="16384" width="10.5" style="27"/>
  </cols>
  <sheetData>
    <row r="1" spans="1:41" s="219" customFormat="1" ht="30.15" customHeight="1">
      <c r="A1" s="1681"/>
      <c r="B1" s="258"/>
      <c r="C1" s="1333"/>
      <c r="D1" s="100"/>
      <c r="E1" s="255"/>
      <c r="F1" s="255"/>
      <c r="G1" s="3207"/>
      <c r="H1" s="3207"/>
      <c r="I1" s="3208" t="s">
        <v>1679</v>
      </c>
      <c r="J1" s="3210">
        <f>(J7+J13+J18+J22+I11+I12)-(J23+J27+J34+J43+J60+J65+J67+J69+J71+J75)</f>
        <v>702.09129923516684</v>
      </c>
      <c r="K1" s="4360">
        <f>M1-J1</f>
        <v>355.51766647794466</v>
      </c>
      <c r="L1" s="4360"/>
      <c r="M1" s="3210">
        <f>(M7+M13+M18+M22+L11+L12)-(M23+M27+M34+M43+M60+M65+M67+M69+M71+M75)</f>
        <v>1057.6089657131115</v>
      </c>
      <c r="N1" s="4360">
        <f>P1-M1</f>
        <v>337.87183314461095</v>
      </c>
      <c r="O1" s="4360"/>
      <c r="P1" s="3210">
        <f>(P7+P13+P18+P22+O11+O12)-(P23+P27+P34+P43+P60+P65+P67+P69+P71+P75)</f>
        <v>1395.4807988577224</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1393</v>
      </c>
      <c r="L2" s="4372"/>
      <c r="M2" s="4372"/>
      <c r="N2" s="4372"/>
      <c r="O2" s="4372"/>
      <c r="P2" s="4372"/>
      <c r="Q2" s="1681"/>
    </row>
    <row r="3" spans="1:41" s="219" customFormat="1" ht="32.4" customHeight="1">
      <c r="A3" s="1681"/>
      <c r="B3" s="4405" t="s">
        <v>1727</v>
      </c>
      <c r="C3" s="4405"/>
      <c r="D3" s="4405"/>
      <c r="E3" s="4405"/>
      <c r="F3" s="4405"/>
      <c r="G3" s="4405"/>
      <c r="H3" s="4405"/>
      <c r="N3" s="4444"/>
      <c r="O3" s="4374"/>
      <c r="P3" s="1326"/>
      <c r="Q3" s="1681"/>
      <c r="T3" s="1343" t="b">
        <v>0</v>
      </c>
      <c r="X3" s="4368" t="s">
        <v>886</v>
      </c>
      <c r="Y3" s="4447"/>
      <c r="Z3" s="4447"/>
    </row>
    <row r="4" spans="1:41" s="219" customFormat="1" ht="20.25" customHeight="1">
      <c r="A4" s="1681"/>
      <c r="B4" s="309" t="s">
        <v>779</v>
      </c>
      <c r="C4" s="27"/>
      <c r="D4" s="27"/>
      <c r="E4" s="1697" t="s">
        <v>1144</v>
      </c>
      <c r="F4" s="1697"/>
      <c r="G4" s="1697"/>
      <c r="H4" s="1697"/>
      <c r="I4" s="1697"/>
      <c r="J4" s="1697"/>
      <c r="N4" s="4374"/>
      <c r="O4" s="4374"/>
      <c r="P4" s="1322">
        <f>SDÖ1!O3</f>
        <v>2024</v>
      </c>
      <c r="Q4" s="1681"/>
      <c r="T4" s="1343" t="b">
        <v>0</v>
      </c>
      <c r="X4" s="4368" t="s">
        <v>875</v>
      </c>
      <c r="Y4" s="4447"/>
      <c r="Z4" s="4447"/>
    </row>
    <row r="5" spans="1:41" ht="6" customHeight="1">
      <c r="AA5" s="219"/>
    </row>
    <row r="6" spans="1:41" s="1311" customFormat="1" ht="24" customHeight="1">
      <c r="A6" s="41"/>
      <c r="B6" s="1316" t="s">
        <v>832</v>
      </c>
      <c r="C6" s="1315"/>
      <c r="D6" s="1315"/>
      <c r="E6" s="1315"/>
      <c r="F6" s="1315"/>
      <c r="G6" s="1314" t="s">
        <v>1141</v>
      </c>
      <c r="H6" s="4366" t="s">
        <v>171</v>
      </c>
      <c r="I6" s="4367"/>
      <c r="J6" s="1313">
        <f>M6*0.75</f>
        <v>52.5</v>
      </c>
      <c r="K6" s="4379" t="s">
        <v>144</v>
      </c>
      <c r="L6" s="4380"/>
      <c r="M6" s="1313">
        <v>70</v>
      </c>
      <c r="N6" s="4366" t="s">
        <v>170</v>
      </c>
      <c r="O6" s="4367"/>
      <c r="P6" s="1312">
        <f>M6*1.25</f>
        <v>87.5</v>
      </c>
      <c r="Q6" s="1695"/>
      <c r="AA6" s="219"/>
    </row>
    <row r="7" spans="1:41" s="196" customFormat="1" ht="18.75" customHeight="1">
      <c r="A7" s="40"/>
      <c r="B7" s="245" t="s">
        <v>1133</v>
      </c>
      <c r="C7" s="40"/>
      <c r="D7" s="40"/>
      <c r="E7" s="40"/>
      <c r="F7" s="40"/>
      <c r="G7" s="1310" t="s">
        <v>163</v>
      </c>
      <c r="H7" s="1307"/>
      <c r="I7" s="1306"/>
      <c r="J7" s="1041">
        <f>SUM(I9:I10)</f>
        <v>1761.9</v>
      </c>
      <c r="K7" s="1309"/>
      <c r="L7" s="1308"/>
      <c r="M7" s="1044">
        <f>SUM(L9:L10)</f>
        <v>2349.2000000000003</v>
      </c>
      <c r="N7" s="1307"/>
      <c r="O7" s="1306"/>
      <c r="P7" s="1041">
        <f>SUM(O9:O10)</f>
        <v>2936.5</v>
      </c>
      <c r="Q7" s="28"/>
      <c r="AA7" s="219"/>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t="s">
        <v>882</v>
      </c>
      <c r="G9" s="1221">
        <f>SDÖ1!O27</f>
        <v>33.56</v>
      </c>
      <c r="H9" s="1303">
        <f>J6-H10</f>
        <v>52.5</v>
      </c>
      <c r="I9" s="1299">
        <f>H9*G9</f>
        <v>1761.9</v>
      </c>
      <c r="J9" s="37"/>
      <c r="K9" s="1302">
        <f>M6-K10</f>
        <v>70</v>
      </c>
      <c r="L9" s="1301">
        <f>K9*G9</f>
        <v>2349.2000000000003</v>
      </c>
      <c r="M9" s="1280"/>
      <c r="N9" s="1300">
        <f>P6-N10</f>
        <v>87.5</v>
      </c>
      <c r="O9" s="1299">
        <f>N9*G9</f>
        <v>2936.5</v>
      </c>
      <c r="P9" s="37"/>
      <c r="Q9" s="28"/>
      <c r="R9" s="517"/>
      <c r="S9" s="208" t="s">
        <v>887</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309"/>
      <c r="B11" s="3147"/>
      <c r="C11" s="1006" t="s">
        <v>878</v>
      </c>
      <c r="D11" s="3148"/>
      <c r="E11" s="3149">
        <v>0</v>
      </c>
      <c r="F11" s="1006" t="s">
        <v>877</v>
      </c>
      <c r="G11" s="3150">
        <f>SDÖ1!$O$52</f>
        <v>12</v>
      </c>
      <c r="H11" s="3151">
        <f>IF($T$3=FALSE,0,J6*$E$11)</f>
        <v>0</v>
      </c>
      <c r="I11" s="3152">
        <f>H11*$G$11</f>
        <v>0</v>
      </c>
      <c r="J11" s="3153"/>
      <c r="K11" s="3154">
        <f>IF($T$3=FALSE,0,M6*$E$11)</f>
        <v>0</v>
      </c>
      <c r="L11" s="3155">
        <f>K11*$G$11</f>
        <v>0</v>
      </c>
      <c r="M11" s="3156"/>
      <c r="N11" s="3157">
        <f>IF($T$3=FALSE,0,P6*$E$11)</f>
        <v>0</v>
      </c>
      <c r="O11" s="3152">
        <f>N11*$G$11</f>
        <v>0</v>
      </c>
      <c r="P11" s="3158"/>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t="str">
        <f>IF(OR(T3=TRUE,T4=TRUE),J6*$E$11,"0")</f>
        <v>0</v>
      </c>
      <c r="Y12" s="1265" t="str">
        <f>IF(OR(T3=TRUE,T4=TRUE),M6*$E$11,"0")</f>
        <v>0</v>
      </c>
      <c r="Z12" s="1264" t="str">
        <f>IF(OR(T3=TRUE,T4=TRUE),P6*$E$11,"0")</f>
        <v>0</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W13" s="36" t="s">
        <v>236</v>
      </c>
      <c r="X13" s="1260">
        <f>$X$12*F30</f>
        <v>0</v>
      </c>
      <c r="Y13" s="1260">
        <f>$Y$12*F30</f>
        <v>0</v>
      </c>
      <c r="Z13" s="1260">
        <f>$Z$12*F30</f>
        <v>0</v>
      </c>
    </row>
    <row r="14" spans="1:41" s="36" customFormat="1" ht="15" customHeight="1">
      <c r="A14" s="39"/>
      <c r="B14" s="1247"/>
      <c r="C14" s="4365" t="s">
        <v>1511</v>
      </c>
      <c r="D14" s="4365"/>
      <c r="E14" s="4365"/>
      <c r="F14" s="4365"/>
      <c r="G14" s="1263"/>
      <c r="H14" s="1391" t="s">
        <v>919</v>
      </c>
      <c r="I14" s="2827">
        <f>IF(H14="ja",Q14,0)</f>
        <v>240</v>
      </c>
      <c r="J14" s="39"/>
      <c r="K14" s="1262" t="s">
        <v>919</v>
      </c>
      <c r="L14" s="1098">
        <f>IF(K14="ja",Q14,0)</f>
        <v>240</v>
      </c>
      <c r="M14" s="1016"/>
      <c r="N14" s="1262" t="s">
        <v>919</v>
      </c>
      <c r="O14" s="2827">
        <f>IF(N14="ja",Q14,0)</f>
        <v>240</v>
      </c>
      <c r="P14" s="2826"/>
      <c r="Q14" s="1261">
        <f>IF(C14=0,0,VLOOKUP(C14,'SD2'!$C$11:$O$50,'SD2'!$O$1,FALSE))</f>
        <v>240</v>
      </c>
      <c r="R14" s="1350"/>
      <c r="S14" s="1349"/>
      <c r="T14" s="1348"/>
      <c r="W14" s="36" t="s">
        <v>685</v>
      </c>
      <c r="X14" s="1260">
        <f>$X$12*F31</f>
        <v>0</v>
      </c>
      <c r="Y14" s="1260">
        <f>$Y$12*F31</f>
        <v>0</v>
      </c>
      <c r="Z14" s="1260">
        <f>$Z$12*F31</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347"/>
      <c r="S15" s="1343"/>
      <c r="T15" s="1346"/>
      <c r="W15" s="36" t="s">
        <v>684</v>
      </c>
      <c r="X15" s="1260">
        <f>$X$12*F32</f>
        <v>0</v>
      </c>
      <c r="Y15" s="1260">
        <f>$Y$12*F32</f>
        <v>0</v>
      </c>
      <c r="Z15" s="1260">
        <f>$Z$12*F32</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347"/>
      <c r="S16" s="1343"/>
      <c r="T16" s="1346"/>
      <c r="W16" s="36" t="s">
        <v>230</v>
      </c>
      <c r="X16" s="1260">
        <f>$X$12*F33</f>
        <v>0</v>
      </c>
      <c r="Y16" s="1260">
        <f>$Y$12*F33</f>
        <v>0</v>
      </c>
      <c r="Z16" s="1260">
        <f>$Z$12*F33</f>
        <v>0</v>
      </c>
    </row>
    <row r="17" spans="1:33" s="511" customFormat="1" ht="15" customHeight="1">
      <c r="A17" s="40"/>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row>
    <row r="18" spans="1:33" s="36" customFormat="1" ht="18.75" customHeight="1">
      <c r="A18" s="39"/>
      <c r="B18" s="209" t="s">
        <v>1563</v>
      </c>
      <c r="C18" s="1672"/>
      <c r="D18" s="1672"/>
      <c r="E18" s="1672"/>
      <c r="F18" s="1672"/>
      <c r="G18" s="2464"/>
      <c r="H18" s="2249"/>
      <c r="I18" s="3474"/>
      <c r="J18" s="1041">
        <f>SUM(I19:I21)</f>
        <v>177</v>
      </c>
      <c r="K18" s="2250"/>
      <c r="L18" s="2466"/>
      <c r="M18" s="1044">
        <f>SUM(L19:L21)</f>
        <v>177</v>
      </c>
      <c r="N18" s="2249"/>
      <c r="O18" s="3474"/>
      <c r="P18" s="1111">
        <f>SUM(O19:O21)</f>
        <v>177</v>
      </c>
      <c r="Q18" s="28"/>
      <c r="R18" s="514" t="s">
        <v>870</v>
      </c>
      <c r="S18" s="308"/>
      <c r="T18" s="1248"/>
    </row>
    <row r="19" spans="1:33" ht="15.6" customHeight="1">
      <c r="A19" s="309"/>
      <c r="B19" s="1247"/>
      <c r="C19" s="4365" t="s">
        <v>1560</v>
      </c>
      <c r="D19" s="4365"/>
      <c r="E19" s="4365"/>
      <c r="F19" s="4365"/>
      <c r="G19" s="1246" t="s">
        <v>163</v>
      </c>
      <c r="H19" s="1244"/>
      <c r="I19" s="2827">
        <f>IF(OR($C19=0,$J$6=0),0,VLOOKUP($C19,'SD2'!C60:O78,12,FALSE))</f>
        <v>155</v>
      </c>
      <c r="J19" s="39"/>
      <c r="K19" s="1245"/>
      <c r="L19" s="1098">
        <f>IF(OR($C19=0,$M$6=0),0,VLOOKUP($C19,'SD2'!$C$60:$O$78,12,FALSE))</f>
        <v>155</v>
      </c>
      <c r="M19" s="1016"/>
      <c r="N19" s="1244"/>
      <c r="O19" s="2827">
        <f>IF(OR($C19=0,$P$6=0),0,VLOOKUP($C19,'SD2'!C60:O78,12,FALSE))</f>
        <v>155</v>
      </c>
      <c r="P19" s="2826"/>
      <c r="R19" s="1242">
        <f>J13+J18</f>
        <v>417</v>
      </c>
      <c r="S19" s="1242">
        <f>M13+M18</f>
        <v>417</v>
      </c>
      <c r="T19" s="1242">
        <f>P13+P18</f>
        <v>417</v>
      </c>
      <c r="AF19" s="36"/>
      <c r="AG19" s="36"/>
    </row>
    <row r="20" spans="1:33" s="2894" customFormat="1" ht="15.6" customHeight="1">
      <c r="A20" s="2788"/>
      <c r="B20" s="1247"/>
      <c r="C20" s="4365" t="s">
        <v>1675</v>
      </c>
      <c r="D20" s="4365"/>
      <c r="E20" s="4365"/>
      <c r="F20" s="4365"/>
      <c r="G20" s="2914"/>
      <c r="H20" s="1244"/>
      <c r="I20" s="2827">
        <f>IF(OR($C20=0,$J$6=0),0,VLOOKUP($C20,'SD2'!C61:O79,12,FALSE))</f>
        <v>22</v>
      </c>
      <c r="J20" s="2783"/>
      <c r="K20" s="1245"/>
      <c r="L20" s="2829">
        <f>IF(OR($C20=0,$M$6=0),0,VLOOKUP($C20,'SD2'!$C$60:$O$78,12,FALSE))</f>
        <v>22</v>
      </c>
      <c r="M20" s="2795"/>
      <c r="N20" s="1244"/>
      <c r="O20" s="2827">
        <f>IF(OR($C20=0,$P$6=0),0,VLOOKUP($C20,'SD2'!C61:O79,12,FALSE))</f>
        <v>22</v>
      </c>
      <c r="P20" s="2826"/>
      <c r="Q20" s="2895"/>
      <c r="R20" s="2888"/>
      <c r="S20" s="2888"/>
      <c r="T20" s="2888"/>
      <c r="AF20" s="36"/>
      <c r="AG20" s="36"/>
    </row>
    <row r="21" spans="1:33" s="2894" customFormat="1" ht="15.6" customHeight="1">
      <c r="A21" s="2788"/>
      <c r="B21" s="1247"/>
      <c r="C21" s="4365"/>
      <c r="D21" s="4365"/>
      <c r="E21" s="4365"/>
      <c r="F21" s="4365"/>
      <c r="G21" s="2914"/>
      <c r="H21" s="1244"/>
      <c r="I21" s="2827">
        <f>IF(OR($C21=0,$J$6=0),0,VLOOKUP($C21,'SD2'!C62:O79,12,FALSE))</f>
        <v>0</v>
      </c>
      <c r="J21" s="2783"/>
      <c r="K21" s="1245"/>
      <c r="L21" s="2829">
        <f>IF(OR($C21=0,$M$6=0),0,VLOOKUP($C21,'SD2'!$C$60:$O$78,12,FALSE))</f>
        <v>0</v>
      </c>
      <c r="M21" s="2795"/>
      <c r="N21" s="1244"/>
      <c r="O21" s="2827">
        <f>IF(OR($C21=0,$P$6=0),0,VLOOKUP($C21,'SD2'!C62:O79,12,FALSE))</f>
        <v>0</v>
      </c>
      <c r="P21" s="2808"/>
      <c r="Q21" s="2895"/>
      <c r="R21" s="2888"/>
      <c r="S21" s="2888"/>
      <c r="T21" s="2888"/>
      <c r="AF21" s="36"/>
      <c r="AG21" s="36"/>
    </row>
    <row r="22" spans="1:33" ht="15.6" customHeight="1">
      <c r="A22" s="309"/>
      <c r="B22" s="245" t="s">
        <v>869</v>
      </c>
      <c r="C22" s="39"/>
      <c r="D22" s="1234"/>
      <c r="E22" s="4370" t="s">
        <v>868</v>
      </c>
      <c r="F22" s="4370"/>
      <c r="G22" s="4371"/>
      <c r="H22" s="1231"/>
      <c r="I22" s="1230"/>
      <c r="J22" s="1229"/>
      <c r="K22" s="1233"/>
      <c r="L22" s="1232"/>
      <c r="M22" s="1229"/>
      <c r="N22" s="1231"/>
      <c r="O22" s="1230"/>
      <c r="P22" s="1229"/>
    </row>
    <row r="23" spans="1:33" s="36" customFormat="1" ht="18.75" customHeight="1">
      <c r="A23" s="746"/>
      <c r="B23" s="209" t="s">
        <v>214</v>
      </c>
      <c r="C23" s="1228"/>
      <c r="D23" s="1228"/>
      <c r="E23" s="34"/>
      <c r="F23" s="4381"/>
      <c r="G23" s="4382" t="s">
        <v>163</v>
      </c>
      <c r="H23" s="1043"/>
      <c r="I23" s="1042"/>
      <c r="J23" s="1026">
        <f>SUM(I25:I26)</f>
        <v>292</v>
      </c>
      <c r="K23" s="1046"/>
      <c r="L23" s="1045"/>
      <c r="M23" s="1227">
        <f>SUM(L25:L26)</f>
        <v>292</v>
      </c>
      <c r="N23" s="1043"/>
      <c r="O23" s="1042"/>
      <c r="P23" s="1026">
        <f>SUM(O25:O26)</f>
        <v>292</v>
      </c>
      <c r="Q23" s="28"/>
    </row>
    <row r="24" spans="1:33"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33" s="511" customFormat="1" ht="18.75" customHeight="1">
      <c r="A25" s="711"/>
      <c r="B25" s="1223"/>
      <c r="C25" s="746" t="s">
        <v>866</v>
      </c>
      <c r="D25" s="4383"/>
      <c r="E25" s="4384"/>
      <c r="F25" s="1222">
        <f>SDÖ7!F19</f>
        <v>146</v>
      </c>
      <c r="G25" s="1221">
        <f>F25*(100+$D$24)/100</f>
        <v>146</v>
      </c>
      <c r="H25" s="1220">
        <v>2</v>
      </c>
      <c r="I25" s="1181">
        <f>H25*$G25</f>
        <v>292</v>
      </c>
      <c r="J25" s="39"/>
      <c r="K25" s="1220">
        <f>H25</f>
        <v>2</v>
      </c>
      <c r="L25" s="1023">
        <f>K25*$G25</f>
        <v>292</v>
      </c>
      <c r="M25" s="1016"/>
      <c r="N25" s="1220">
        <f>H25</f>
        <v>2</v>
      </c>
      <c r="O25" s="1181">
        <f>N25*$G25</f>
        <v>292</v>
      </c>
      <c r="P25" s="1145"/>
      <c r="Q25" s="28"/>
    </row>
    <row r="26" spans="1:33"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33" s="511" customFormat="1" ht="17.399999999999999" customHeight="1">
      <c r="A27" s="711"/>
      <c r="B27" s="1215" t="s">
        <v>213</v>
      </c>
      <c r="C27" s="711"/>
      <c r="D27" s="51"/>
      <c r="E27" s="34"/>
      <c r="F27" s="34"/>
      <c r="G27" s="1214" t="s">
        <v>163</v>
      </c>
      <c r="H27" s="1173"/>
      <c r="I27" s="1172"/>
      <c r="J27" s="1041">
        <f>SUM(I30:I32)</f>
        <v>585.25599999999997</v>
      </c>
      <c r="K27" s="1175"/>
      <c r="L27" s="1174"/>
      <c r="M27" s="1044">
        <f>SUM(L30:L32)</f>
        <v>745.80799999999988</v>
      </c>
      <c r="N27" s="1173"/>
      <c r="O27" s="1172"/>
      <c r="P27" s="1041">
        <f>SUM(O30:O32)</f>
        <v>906.3599999999999</v>
      </c>
      <c r="Q27" s="28"/>
    </row>
    <row r="28" spans="1:33" s="36" customFormat="1" ht="15" customHeight="1">
      <c r="A28" s="746"/>
      <c r="B28" s="774"/>
      <c r="C28" s="2238"/>
      <c r="D28" s="1213" t="s">
        <v>706</v>
      </c>
      <c r="E28" s="1213" t="s">
        <v>864</v>
      </c>
      <c r="F28" s="1213" t="s">
        <v>864</v>
      </c>
      <c r="G28" s="1212" t="s">
        <v>863</v>
      </c>
      <c r="H28" s="1172"/>
      <c r="I28" s="1209"/>
      <c r="J28" s="2239"/>
      <c r="K28" s="1175"/>
      <c r="L28" s="1105"/>
      <c r="M28" s="1210"/>
      <c r="N28" s="1173"/>
      <c r="O28" s="1209"/>
      <c r="P28" s="1026"/>
      <c r="Q28" s="28"/>
    </row>
    <row r="29" spans="1:33" s="36" customFormat="1" ht="15" customHeight="1">
      <c r="A29" s="746"/>
      <c r="B29" s="1208"/>
      <c r="C29" s="747" t="s">
        <v>862</v>
      </c>
      <c r="D29" s="1034" t="s">
        <v>611</v>
      </c>
      <c r="E29" s="1034" t="s">
        <v>861</v>
      </c>
      <c r="F29" s="1034" t="s">
        <v>860</v>
      </c>
      <c r="G29" s="1034" t="s">
        <v>1128</v>
      </c>
      <c r="H29" s="1205" t="s">
        <v>612</v>
      </c>
      <c r="I29" s="1027" t="s">
        <v>163</v>
      </c>
      <c r="J29" s="2238"/>
      <c r="K29" s="1207" t="s">
        <v>612</v>
      </c>
      <c r="L29" s="1030" t="s">
        <v>163</v>
      </c>
      <c r="M29" s="1206"/>
      <c r="N29" s="1205" t="s">
        <v>612</v>
      </c>
      <c r="O29" s="1027" t="s">
        <v>163</v>
      </c>
      <c r="P29" s="1204"/>
      <c r="Q29" s="28"/>
    </row>
    <row r="30" spans="1:33" s="36" customFormat="1" ht="15" customHeight="1">
      <c r="A30" s="746"/>
      <c r="B30" s="1203"/>
      <c r="C30" s="1202" t="s">
        <v>236</v>
      </c>
      <c r="D30" s="1150">
        <f>SDÖ1!O56</f>
        <v>5.18</v>
      </c>
      <c r="E30" s="1201">
        <f>VLOOKUP('SD8'!B23,'SD8'!B9:K44,3,FALSE)</f>
        <v>1.38</v>
      </c>
      <c r="F30" s="1201"/>
      <c r="G30" s="1200">
        <v>20</v>
      </c>
      <c r="H30" s="1198">
        <f>IF(J$6=0,0,(J$6*$E30+$G30+X13))</f>
        <v>92.449999999999989</v>
      </c>
      <c r="I30" s="1181">
        <f>H30*$D30</f>
        <v>478.89099999999991</v>
      </c>
      <c r="J30" s="39"/>
      <c r="K30" s="1199">
        <f>IF(M$6=0,0,(M$6*$E30+$G30+AA14))</f>
        <v>116.6</v>
      </c>
      <c r="L30" s="1023">
        <f>K30*$D30</f>
        <v>603.98799999999994</v>
      </c>
      <c r="M30" s="1016"/>
      <c r="N30" s="1198">
        <f>IF(P$6=0,0,(P$6*$E30+$G30+AD14))</f>
        <v>140.75</v>
      </c>
      <c r="O30" s="1181">
        <f>N30*$D30</f>
        <v>729.08499999999992</v>
      </c>
      <c r="P30" s="1145"/>
      <c r="Q30" s="28"/>
    </row>
    <row r="31" spans="1:33" s="36" customFormat="1" ht="15" customHeight="1">
      <c r="A31" s="746"/>
      <c r="B31" s="217"/>
      <c r="C31" s="746" t="s">
        <v>234</v>
      </c>
      <c r="D31" s="1150">
        <f>SDÖ1!O57</f>
        <v>1.42</v>
      </c>
      <c r="E31" s="1201">
        <f>VLOOKUP('SD8'!B23,'SD8'!B9:K44,4,FALSE)</f>
        <v>0.8</v>
      </c>
      <c r="F31" s="1201"/>
      <c r="G31" s="1200"/>
      <c r="H31" s="1198">
        <f>IF(J$6=0,0,(J$6*$E31+$G31+X14))</f>
        <v>42</v>
      </c>
      <c r="I31" s="1181">
        <f>H31*$D31</f>
        <v>59.64</v>
      </c>
      <c r="J31" s="39"/>
      <c r="K31" s="1199">
        <f>IF(M$6=0,0,(M$6*$E31+$G31+Y14))</f>
        <v>56</v>
      </c>
      <c r="L31" s="1023">
        <f>K31*$D31</f>
        <v>79.52</v>
      </c>
      <c r="M31" s="1016"/>
      <c r="N31" s="1198">
        <f>IF(P$6=0,0,(P$6*$E31+$G31+Z14))</f>
        <v>70</v>
      </c>
      <c r="O31" s="1181">
        <f>N31*$D31</f>
        <v>99.399999999999991</v>
      </c>
      <c r="P31" s="1145"/>
      <c r="Q31" s="28"/>
    </row>
    <row r="32" spans="1:33" s="511" customFormat="1" ht="18.75" customHeight="1">
      <c r="A32" s="711"/>
      <c r="B32" s="185"/>
      <c r="C32" s="2791" t="s">
        <v>232</v>
      </c>
      <c r="D32" s="1133">
        <f>SDÖ1!O58</f>
        <v>1.78</v>
      </c>
      <c r="E32" s="1197">
        <f>VLOOKUP('SD8'!B23,'SD8'!B9:K44,5,FALSE)</f>
        <v>0.5</v>
      </c>
      <c r="F32" s="1197"/>
      <c r="G32" s="1196"/>
      <c r="H32" s="1194">
        <f>IF(J$6=0,0,(J$6*$E32+$G32+X15))</f>
        <v>26.25</v>
      </c>
      <c r="I32" s="1177">
        <f>H32*$D32</f>
        <v>46.725000000000001</v>
      </c>
      <c r="J32" s="223"/>
      <c r="K32" s="1195">
        <f>IF(M$6=0,0,(M$6*$E32+$G32+Y15))</f>
        <v>35</v>
      </c>
      <c r="L32" s="1017">
        <f>K32*$D32</f>
        <v>62.300000000000004</v>
      </c>
      <c r="M32" s="1256"/>
      <c r="N32" s="1194">
        <f>IF(P$6=0,0,(P$6*$E32+$G32+Z15))</f>
        <v>43.75</v>
      </c>
      <c r="O32" s="1177">
        <f>N32*$D32</f>
        <v>77.875</v>
      </c>
      <c r="P32" s="1176"/>
      <c r="Q32" s="28"/>
    </row>
    <row r="33" spans="1:17" s="511" customFormat="1" ht="13.2" hidden="1" customHeight="1">
      <c r="A33" s="711"/>
      <c r="B33" s="185"/>
      <c r="C33" s="771" t="s">
        <v>230</v>
      </c>
      <c r="D33" s="1133">
        <f>SDÖ1!P59</f>
        <v>0.5</v>
      </c>
      <c r="E33" s="1197">
        <f>VLOOKUP('SD8'!B23,'SD8'!B9:K44,6,FALSE)</f>
        <v>0.2</v>
      </c>
      <c r="F33" s="1197"/>
      <c r="G33" s="1196"/>
      <c r="H33" s="1194">
        <f>IF(J$6=0,0,(J$6*$E33+$G33+X16))</f>
        <v>10.5</v>
      </c>
      <c r="I33" s="1177">
        <f>H33*$D33</f>
        <v>5.25</v>
      </c>
      <c r="J33" s="39"/>
      <c r="K33" s="1195">
        <f>IF(M$6=0,0,(M$6*$E33+$G33+Y16))</f>
        <v>14</v>
      </c>
      <c r="L33" s="1017">
        <f>K33*$D33</f>
        <v>7</v>
      </c>
      <c r="M33" s="1016"/>
      <c r="N33" s="1194">
        <f>IF(P$6=0,0,(P$6*$E33+$G33+Z16))</f>
        <v>17.5</v>
      </c>
      <c r="O33" s="1177">
        <f>N33*$D33</f>
        <v>8.75</v>
      </c>
      <c r="P33" s="1176"/>
      <c r="Q33" s="28"/>
    </row>
    <row r="34" spans="1:17" s="36" customFormat="1" ht="15" customHeight="1">
      <c r="A34" s="746"/>
      <c r="B34" s="716" t="s">
        <v>212</v>
      </c>
      <c r="C34" s="711"/>
      <c r="D34" s="2238"/>
      <c r="E34" s="2238"/>
      <c r="F34" s="4381"/>
      <c r="G34" s="4382" t="s">
        <v>163</v>
      </c>
      <c r="H34" s="1191"/>
      <c r="I34" s="1190"/>
      <c r="J34" s="1041">
        <f>SUM(I36:I42)</f>
        <v>0</v>
      </c>
      <c r="K34" s="1193"/>
      <c r="L34" s="1192"/>
      <c r="M34" s="1044">
        <f>SUM(L36:L42)</f>
        <v>0</v>
      </c>
      <c r="N34" s="1191"/>
      <c r="O34" s="1190"/>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3744"/>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187.63347017999996</v>
      </c>
      <c r="K43" s="1175"/>
      <c r="L43" s="1174"/>
      <c r="M43" s="1044">
        <f>SUM(M46:M57)</f>
        <v>190.37684722666665</v>
      </c>
      <c r="N43" s="1173"/>
      <c r="O43" s="1172"/>
      <c r="P43" s="1041">
        <f>SUM(P46:P57)</f>
        <v>193.12022427333329</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7"/>
      <c r="C46" s="4363"/>
      <c r="D46" s="4364"/>
      <c r="E46" s="1152">
        <f>IF($C46=0,0,VLOOKUP($C46,'SD3'!$C$24:$O$71,4,FALSE))</f>
        <v>0</v>
      </c>
      <c r="F46" s="1151">
        <f>IF($C46=0,0,VLOOKUP($C46,'SD3'!$C$24:$O$71,12,FALSE))</f>
        <v>0</v>
      </c>
      <c r="G46" s="1150">
        <f>IF($C46=0,0,VLOOKUP($C46,'SD3'!$C$24:$O$71,13,FALSE))</f>
        <v>0</v>
      </c>
      <c r="H46" s="1155"/>
      <c r="I46" s="1154">
        <f t="shared" ref="I46:I57" si="4">$F46*H46</f>
        <v>0</v>
      </c>
      <c r="J46" s="1145">
        <f t="shared" ref="J46:J57" si="5">H46*$G46</f>
        <v>0</v>
      </c>
      <c r="K46" s="1155"/>
      <c r="L46" s="1156">
        <f t="shared" ref="L46:L57" si="6">$F46*K46</f>
        <v>0</v>
      </c>
      <c r="M46" s="1148">
        <f t="shared" ref="M46:M57" si="7">K46*$G46</f>
        <v>0</v>
      </c>
      <c r="N46" s="1155"/>
      <c r="O46" s="1154">
        <f t="shared" ref="O46:O57" si="8">$F46*N46</f>
        <v>0</v>
      </c>
      <c r="P46" s="1145">
        <f t="shared" ref="P46:P57" si="9">N46*$G46</f>
        <v>0</v>
      </c>
      <c r="Q46" s="28"/>
    </row>
    <row r="47" spans="1:17" s="36" customFormat="1" ht="15" customHeight="1">
      <c r="A47" s="746"/>
      <c r="B47" s="1153"/>
      <c r="C47" s="4387" t="s">
        <v>1589</v>
      </c>
      <c r="D47" s="4388"/>
      <c r="E47" s="1152">
        <f>IF($C47=0,0,VLOOKUP($C47,'SD3'!$C$24:$O$71,4,FALSE))</f>
        <v>120</v>
      </c>
      <c r="F47" s="1151">
        <f>IF($C47=0,0,VLOOKUP($C47,'SD3'!$C$24:$O$71,12,FALSE))</f>
        <v>1.38</v>
      </c>
      <c r="G47" s="1150">
        <f>IF($C47=0,0,VLOOKUP($C47,'SD3'!$C$24:$O$71,13,FALSE))</f>
        <v>64.642445999999993</v>
      </c>
      <c r="H47" s="1147">
        <v>1</v>
      </c>
      <c r="I47" s="1146">
        <f t="shared" si="4"/>
        <v>1.38</v>
      </c>
      <c r="J47" s="1145">
        <f t="shared" si="5"/>
        <v>64.642445999999993</v>
      </c>
      <c r="K47" s="1147">
        <v>1</v>
      </c>
      <c r="L47" s="1149">
        <f t="shared" si="6"/>
        <v>1.38</v>
      </c>
      <c r="M47" s="1148">
        <f t="shared" si="7"/>
        <v>64.642445999999993</v>
      </c>
      <c r="N47" s="1147">
        <v>1</v>
      </c>
      <c r="O47" s="1146">
        <f t="shared" si="8"/>
        <v>1.38</v>
      </c>
      <c r="P47" s="1145">
        <f t="shared" si="9"/>
        <v>64.642445999999993</v>
      </c>
    </row>
    <row r="48" spans="1:17" s="36" customFormat="1" ht="15" customHeight="1">
      <c r="A48" s="746"/>
      <c r="B48" s="1153"/>
      <c r="C48" s="4387"/>
      <c r="D48" s="4388"/>
      <c r="E48" s="1152">
        <f>IF($C48=0,0,VLOOKUP($C48,'SD3'!$C$24:$O$71,4,FALSE))</f>
        <v>0</v>
      </c>
      <c r="F48" s="1151">
        <f>IF($C48=0,0,VLOOKUP($C48,'SD3'!$C$24:$O$71,12,FALSE))</f>
        <v>0</v>
      </c>
      <c r="G48" s="1150">
        <f>IF($C48=0,0,VLOOKUP($C48,'SD3'!$C$24:$O$71,13,FALSE))</f>
        <v>0</v>
      </c>
      <c r="H48" s="1147"/>
      <c r="I48" s="1146">
        <f t="shared" si="4"/>
        <v>0</v>
      </c>
      <c r="J48" s="1145">
        <f t="shared" si="5"/>
        <v>0</v>
      </c>
      <c r="K48" s="1147"/>
      <c r="L48" s="1149">
        <f t="shared" si="6"/>
        <v>0</v>
      </c>
      <c r="M48" s="1148">
        <f t="shared" si="7"/>
        <v>0</v>
      </c>
      <c r="N48" s="1147"/>
      <c r="O48" s="1146">
        <f t="shared" si="8"/>
        <v>0</v>
      </c>
      <c r="P48" s="1145">
        <f t="shared" si="9"/>
        <v>0</v>
      </c>
      <c r="Q48" s="28"/>
    </row>
    <row r="49" spans="1:22" s="36" customFormat="1" ht="15" customHeight="1">
      <c r="A49" s="746"/>
      <c r="B49" s="1153"/>
      <c r="C49" s="4387" t="s">
        <v>1588</v>
      </c>
      <c r="D49" s="4388"/>
      <c r="E49" s="1152">
        <f>IF($C49=0,0,VLOOKUP($C49,'SD3'!$C$24:$O$71,4,FALSE))</f>
        <v>83</v>
      </c>
      <c r="F49" s="1151">
        <f>IF($C49=0,0,VLOOKUP($C49,'SD3'!$C$24:$O$71,12,FALSE))</f>
        <v>0.53</v>
      </c>
      <c r="G49" s="1150">
        <f>IF($C49=0,0,VLOOKUP($C49,'SD3'!$C$24:$O$71,13,FALSE))</f>
        <v>15.733770700000001</v>
      </c>
      <c r="H49" s="1147">
        <v>1</v>
      </c>
      <c r="I49" s="1146">
        <f t="shared" si="4"/>
        <v>0.53</v>
      </c>
      <c r="J49" s="1145">
        <f t="shared" si="5"/>
        <v>15.733770700000001</v>
      </c>
      <c r="K49" s="1147">
        <v>1</v>
      </c>
      <c r="L49" s="1149">
        <f t="shared" si="6"/>
        <v>0.53</v>
      </c>
      <c r="M49" s="1148">
        <f t="shared" si="7"/>
        <v>15.733770700000001</v>
      </c>
      <c r="N49" s="1147">
        <v>1</v>
      </c>
      <c r="O49" s="1146">
        <f t="shared" si="8"/>
        <v>0.53</v>
      </c>
      <c r="P49" s="1145">
        <f t="shared" si="9"/>
        <v>15.733770700000001</v>
      </c>
      <c r="Q49" s="28"/>
    </row>
    <row r="50" spans="1:22" s="36" customFormat="1" ht="15" customHeight="1">
      <c r="A50" s="746"/>
      <c r="B50" s="1153"/>
      <c r="C50" s="4387" t="s">
        <v>351</v>
      </c>
      <c r="D50" s="4388"/>
      <c r="E50" s="1152">
        <f>IF($C50=0,0,VLOOKUP($C50,'SD3'!$C$24:$O$71,4,FALSE))</f>
        <v>83</v>
      </c>
      <c r="F50" s="1151">
        <f>IF($C50=0,0,VLOOKUP($C50,'SD3'!$C$24:$O$71,12,FALSE))</f>
        <v>0.78</v>
      </c>
      <c r="G50" s="1150">
        <f>IF($C50=0,0,VLOOKUP($C50,'SD3'!$C$24:$O$71,13,FALSE))</f>
        <v>31.33439774</v>
      </c>
      <c r="H50" s="1147">
        <v>1</v>
      </c>
      <c r="I50" s="1146">
        <f t="shared" si="4"/>
        <v>0.78</v>
      </c>
      <c r="J50" s="1145">
        <f t="shared" si="5"/>
        <v>31.33439774</v>
      </c>
      <c r="K50" s="1147">
        <v>1</v>
      </c>
      <c r="L50" s="1149">
        <f t="shared" si="6"/>
        <v>0.78</v>
      </c>
      <c r="M50" s="1148">
        <f t="shared" si="7"/>
        <v>31.33439774</v>
      </c>
      <c r="N50" s="1147">
        <v>1</v>
      </c>
      <c r="O50" s="1146">
        <f t="shared" si="8"/>
        <v>0.78</v>
      </c>
      <c r="P50" s="1145">
        <f t="shared" si="9"/>
        <v>31.33439774</v>
      </c>
      <c r="Q50" s="28"/>
    </row>
    <row r="51" spans="1:22" s="36" customFormat="1" ht="15" customHeight="1">
      <c r="A51" s="746"/>
      <c r="B51" s="1153"/>
      <c r="C51" s="4387"/>
      <c r="D51" s="4388"/>
      <c r="E51" s="1152">
        <f>IF($C51=0,0,VLOOKUP($C51,'SD3'!$C$24:$O$71,4,FALSE))</f>
        <v>0</v>
      </c>
      <c r="F51" s="1151">
        <f>IF($C51=0,0,VLOOKUP($C51,'SD3'!$C$24:$O$71,12,FALSE))</f>
        <v>0</v>
      </c>
      <c r="G51" s="1150">
        <f>IF($C51=0,0,VLOOKUP($C51,'SD3'!$C$24:$O$71,13,FALSE))</f>
        <v>0</v>
      </c>
      <c r="H51" s="1147"/>
      <c r="I51" s="1146">
        <f t="shared" si="4"/>
        <v>0</v>
      </c>
      <c r="J51" s="1145">
        <f t="shared" si="5"/>
        <v>0</v>
      </c>
      <c r="K51" s="1147"/>
      <c r="L51" s="1149">
        <f t="shared" si="6"/>
        <v>0</v>
      </c>
      <c r="M51" s="1148">
        <f t="shared" si="7"/>
        <v>0</v>
      </c>
      <c r="N51" s="1147"/>
      <c r="O51" s="1146">
        <f t="shared" si="8"/>
        <v>0</v>
      </c>
      <c r="P51" s="1145">
        <f t="shared" si="9"/>
        <v>0</v>
      </c>
      <c r="Q51" s="28"/>
    </row>
    <row r="52" spans="1:22" s="36" customFormat="1" ht="15" customHeight="1">
      <c r="A52" s="746"/>
      <c r="B52" s="1153"/>
      <c r="C52" s="4387" t="s">
        <v>338</v>
      </c>
      <c r="D52" s="4388"/>
      <c r="E52" s="1152">
        <f>IF($C52=0,0,VLOOKUP($C52,'SD3'!$C$24:$O$71,4,FALSE))</f>
        <v>54</v>
      </c>
      <c r="F52" s="1151">
        <f>IF($C52=0,0,VLOOKUP($C52,'SD3'!$C$24:$O$71,12,FALSE))</f>
        <v>1.1299999999999999</v>
      </c>
      <c r="G52" s="1150">
        <f>IF($C52=0,0,VLOOKUP($C52,'SD3'!$C$24:$O$71,13,FALSE))</f>
        <v>19.852731299999999</v>
      </c>
      <c r="H52" s="1147">
        <v>2</v>
      </c>
      <c r="I52" s="1146">
        <f t="shared" si="4"/>
        <v>2.2599999999999998</v>
      </c>
      <c r="J52" s="1145">
        <f t="shared" si="5"/>
        <v>39.705462599999997</v>
      </c>
      <c r="K52" s="1147">
        <v>2</v>
      </c>
      <c r="L52" s="1149">
        <f t="shared" si="6"/>
        <v>2.2599999999999998</v>
      </c>
      <c r="M52" s="1148">
        <f t="shared" si="7"/>
        <v>39.705462599999997</v>
      </c>
      <c r="N52" s="1147">
        <v>2</v>
      </c>
      <c r="O52" s="1146">
        <f t="shared" si="8"/>
        <v>2.2599999999999998</v>
      </c>
      <c r="P52" s="1145">
        <f t="shared" si="9"/>
        <v>39.705462599999997</v>
      </c>
      <c r="Q52" s="28"/>
    </row>
    <row r="53" spans="1:22" s="36" customFormat="1" ht="15" customHeight="1">
      <c r="A53" s="746"/>
      <c r="B53" s="1153"/>
      <c r="C53" s="4387"/>
      <c r="D53" s="4388"/>
      <c r="E53" s="1152">
        <f>IF($C53=0,0,VLOOKUP($C53,'SD3'!$C$24:$O$71,4,FALSE))</f>
        <v>0</v>
      </c>
      <c r="F53" s="1151">
        <f>IF($C53=0,0,VLOOKUP($C53,'SD3'!$C$24:$O$71,12,FALSE))</f>
        <v>0</v>
      </c>
      <c r="G53" s="1150">
        <f>IF($C53=0,0,VLOOKUP($C53,'SD3'!$C$24:$O$71,13,FALSE))</f>
        <v>0</v>
      </c>
      <c r="H53" s="1147"/>
      <c r="I53" s="1146">
        <f t="shared" si="4"/>
        <v>0</v>
      </c>
      <c r="J53" s="1145">
        <f t="shared" si="5"/>
        <v>0</v>
      </c>
      <c r="K53" s="1147"/>
      <c r="L53" s="1149">
        <f t="shared" si="6"/>
        <v>0</v>
      </c>
      <c r="M53" s="1148">
        <f t="shared" si="7"/>
        <v>0</v>
      </c>
      <c r="N53" s="1147"/>
      <c r="O53" s="1146">
        <f t="shared" si="8"/>
        <v>0</v>
      </c>
      <c r="P53" s="1145">
        <f t="shared" si="9"/>
        <v>0</v>
      </c>
      <c r="Q53" s="28"/>
    </row>
    <row r="54" spans="1:22" s="36" customFormat="1" ht="15" customHeight="1">
      <c r="A54" s="746"/>
      <c r="B54" s="1153"/>
      <c r="C54" s="4387"/>
      <c r="D54" s="4388"/>
      <c r="E54" s="1152">
        <f>IF($C54=0,0,VLOOKUP($C54,'SD3'!$C$24:$O$71,4,FALSE))</f>
        <v>0</v>
      </c>
      <c r="F54" s="1151">
        <f>IF($C54=0,0,VLOOKUP($C54,'SD3'!$C$24:$O$71,12,FALSE))</f>
        <v>0</v>
      </c>
      <c r="G54" s="1150">
        <f>IF($C54=0,0,VLOOKUP($C54,'SD3'!$C$24:$O$71,13,FALSE))</f>
        <v>0</v>
      </c>
      <c r="H54" s="1147">
        <v>2</v>
      </c>
      <c r="I54" s="1146">
        <f t="shared" si="4"/>
        <v>0</v>
      </c>
      <c r="J54" s="1145">
        <f t="shared" si="5"/>
        <v>0</v>
      </c>
      <c r="K54" s="1147">
        <v>2</v>
      </c>
      <c r="L54" s="1149">
        <f t="shared" si="6"/>
        <v>0</v>
      </c>
      <c r="M54" s="1148">
        <f t="shared" si="7"/>
        <v>0</v>
      </c>
      <c r="N54" s="1147">
        <v>2</v>
      </c>
      <c r="O54" s="1146">
        <f t="shared" si="8"/>
        <v>0</v>
      </c>
      <c r="P54" s="1145">
        <f t="shared" si="9"/>
        <v>0</v>
      </c>
      <c r="Q54" s="28"/>
    </row>
    <row r="55" spans="1:22" s="36" customFormat="1" ht="15" customHeight="1">
      <c r="A55" s="746"/>
      <c r="B55" s="1153"/>
      <c r="C55" s="4403" t="s">
        <v>1748</v>
      </c>
      <c r="D55" s="4404"/>
      <c r="E55" s="1152">
        <f>IF($C55=0,0,VLOOKUP($C55,'SD3'!$C$24:$O$71,4,FALSE))</f>
        <v>120</v>
      </c>
      <c r="F55" s="1151">
        <f>IF($C55=0,0,VLOOKUP($C55,'SD3'!$C$24:$O$71,12,FALSE))</f>
        <v>0.37</v>
      </c>
      <c r="G55" s="1150">
        <f>IF($C55=0,0,VLOOKUP($C55,'SD3'!$C$24:$O$71,13,FALSE))</f>
        <v>11.7573302</v>
      </c>
      <c r="H55" s="3654">
        <f>J6/75</f>
        <v>0.7</v>
      </c>
      <c r="I55" s="1146">
        <f t="shared" si="4"/>
        <v>0.25900000000000001</v>
      </c>
      <c r="J55" s="1145">
        <f t="shared" si="5"/>
        <v>8.2301311399999992</v>
      </c>
      <c r="K55" s="3654">
        <f>M6/75</f>
        <v>0.93333333333333335</v>
      </c>
      <c r="L55" s="1149">
        <f t="shared" si="6"/>
        <v>0.34533333333333333</v>
      </c>
      <c r="M55" s="1148">
        <f t="shared" si="7"/>
        <v>10.973508186666667</v>
      </c>
      <c r="N55" s="3654">
        <f>P6/75</f>
        <v>1.1666666666666667</v>
      </c>
      <c r="O55" s="1146">
        <f t="shared" si="8"/>
        <v>0.4316666666666667</v>
      </c>
      <c r="P55" s="1145">
        <f t="shared" si="9"/>
        <v>13.716885233333334</v>
      </c>
      <c r="Q55" s="28"/>
    </row>
    <row r="56" spans="1:22" s="36" customFormat="1" ht="24.75" customHeight="1">
      <c r="A56" s="746"/>
      <c r="B56" s="1342"/>
      <c r="C56" s="4394" t="s">
        <v>360</v>
      </c>
      <c r="D56" s="4395"/>
      <c r="E56" s="1152">
        <f>IF($C56=0,0,VLOOKUP($C56,'SD3'!$C$24:$O$71,4,FALSE))</f>
        <v>120</v>
      </c>
      <c r="F56" s="1151">
        <f>IF($C56=0,0,VLOOKUP($C56,'SD3'!$C$24:$O$71,12,FALSE))</f>
        <v>0.79</v>
      </c>
      <c r="G56" s="1150">
        <f>IF($C56=0,0,VLOOKUP($C56,'SD3'!$C$24:$O$71,13,FALSE))</f>
        <v>27.987262000000001</v>
      </c>
      <c r="H56" s="1336">
        <v>1</v>
      </c>
      <c r="I56" s="1335">
        <f t="shared" si="4"/>
        <v>0.79</v>
      </c>
      <c r="J56" s="1334">
        <f t="shared" si="5"/>
        <v>27.987262000000001</v>
      </c>
      <c r="K56" s="1336">
        <v>1</v>
      </c>
      <c r="L56" s="1338">
        <f t="shared" si="6"/>
        <v>0.79</v>
      </c>
      <c r="M56" s="1337">
        <f t="shared" si="7"/>
        <v>27.987262000000001</v>
      </c>
      <c r="N56" s="1336">
        <v>1</v>
      </c>
      <c r="O56" s="1335">
        <f t="shared" si="8"/>
        <v>0.79</v>
      </c>
      <c r="P56" s="1334">
        <f t="shared" si="9"/>
        <v>27.987262000000001</v>
      </c>
      <c r="Q56" s="28"/>
    </row>
    <row r="57" spans="1:22" s="36" customFormat="1" ht="24.75" customHeight="1">
      <c r="A57" s="746"/>
      <c r="B57" s="1084"/>
      <c r="C57" s="4461" t="s">
        <v>332</v>
      </c>
      <c r="D57" s="4462"/>
      <c r="E57" s="2589">
        <f>IF($C57=0,0,VLOOKUP($C57,'SD3'!$C$24:$O$71,4,FALSE))</f>
        <v>83</v>
      </c>
      <c r="F57" s="2590">
        <f>IF($C57=0,0,VLOOKUP($C57,'SD3'!$C$24:$O$71,12,FALSE))</f>
        <v>1.3</v>
      </c>
      <c r="G57" s="2591">
        <f>IF($C57=0,0,VLOOKUP($C57,'SD3'!$C$24:$O$71,13,FALSE))</f>
        <v>25.970662899999994</v>
      </c>
      <c r="H57" s="3745">
        <f>H11/35</f>
        <v>0</v>
      </c>
      <c r="I57" s="1130">
        <f t="shared" si="4"/>
        <v>0</v>
      </c>
      <c r="J57" s="1129">
        <f t="shared" si="5"/>
        <v>0</v>
      </c>
      <c r="K57" s="3746">
        <f>K11/35</f>
        <v>0</v>
      </c>
      <c r="L57" s="1132">
        <f t="shared" si="6"/>
        <v>0</v>
      </c>
      <c r="M57" s="1079">
        <f t="shared" si="7"/>
        <v>0</v>
      </c>
      <c r="N57" s="3745">
        <f>N11/35</f>
        <v>0</v>
      </c>
      <c r="O57" s="1130">
        <f t="shared" si="8"/>
        <v>0</v>
      </c>
      <c r="P57" s="1129">
        <f t="shared" si="9"/>
        <v>0</v>
      </c>
      <c r="Q57" s="2636"/>
    </row>
    <row r="58" spans="1:22" s="511" customFormat="1" ht="18.75" customHeight="1">
      <c r="A58" s="711"/>
      <c r="B58" s="716" t="s">
        <v>848</v>
      </c>
      <c r="C58" s="811"/>
      <c r="D58" s="811"/>
      <c r="E58" s="811"/>
      <c r="F58" s="34"/>
      <c r="G58" s="1047"/>
      <c r="H58" s="1124"/>
      <c r="I58" s="1123">
        <f>SUM($I$46:$I$57)</f>
        <v>5.9989999999999997</v>
      </c>
      <c r="J58" s="1128"/>
      <c r="K58" s="1127"/>
      <c r="L58" s="1126">
        <f>SUM($L$46:$L$57)</f>
        <v>6.0853333333333328</v>
      </c>
      <c r="M58" s="1125"/>
      <c r="N58" s="1124"/>
      <c r="O58" s="1123">
        <f>SUM($O$46:$O$57)</f>
        <v>6.171666666666666</v>
      </c>
      <c r="P58" s="1122"/>
      <c r="Q58" s="28"/>
    </row>
    <row r="59" spans="1:22" s="511" customFormat="1" ht="15" customHeight="1">
      <c r="A59" s="711"/>
      <c r="B59" s="1121"/>
      <c r="C59" s="285"/>
      <c r="D59" s="222" t="s">
        <v>847</v>
      </c>
      <c r="E59" s="1120">
        <v>80</v>
      </c>
      <c r="F59" s="285" t="s">
        <v>846</v>
      </c>
      <c r="G59" s="1119"/>
      <c r="H59" s="1115"/>
      <c r="I59" s="1114">
        <f>IF(I58+SUM($I$46:$I$57)*$E$59%&gt;I58+10,I58+10,I58+SUM($I$46:$I$57)*$E$59%)</f>
        <v>10.7982</v>
      </c>
      <c r="J59" s="1113"/>
      <c r="K59" s="1118"/>
      <c r="L59" s="1117">
        <f>IF(L58+SUM($L$46:$L$57)*$E$59%&gt;L58+10,L58+10,L58+SUM($L$46:$L$57)*$E$59%)</f>
        <v>10.9536</v>
      </c>
      <c r="M59" s="1116"/>
      <c r="N59" s="1115"/>
      <c r="O59" s="1114">
        <f>IF(O58+SUM($O$46:$O$57)*$E$59%&gt;O58+10,O58+10,O58+SUM($O$46:$O$57)*$E$59%)</f>
        <v>11.108999999999998</v>
      </c>
      <c r="P59" s="1113"/>
      <c r="Q59" s="28"/>
      <c r="S59" s="486">
        <f>COLUMNS($S$59:S59)</f>
        <v>1</v>
      </c>
      <c r="T59" s="486">
        <f>COLUMNS($S$59:T59)</f>
        <v>2</v>
      </c>
      <c r="U59" s="486">
        <f>COLUMNS($S$59:U59)</f>
        <v>3</v>
      </c>
      <c r="V59" s="486">
        <f>COLUMNS($S$59:V59)</f>
        <v>4</v>
      </c>
    </row>
    <row r="60" spans="1:22" s="46" customFormat="1" ht="18.75" customHeight="1">
      <c r="A60" s="811"/>
      <c r="B60" s="716" t="s">
        <v>845</v>
      </c>
      <c r="C60" s="811"/>
      <c r="D60" s="811"/>
      <c r="E60" s="39"/>
      <c r="F60" s="39"/>
      <c r="G60" s="1112"/>
      <c r="H60" s="1104"/>
      <c r="I60" s="1103"/>
      <c r="J60" s="1111">
        <f>IF(J6=0,0,SUM(I62:I64))</f>
        <v>200</v>
      </c>
      <c r="K60" s="1107"/>
      <c r="L60" s="1106"/>
      <c r="M60" s="1044">
        <f>IF(M6=0,0,SUM(L62:L64))</f>
        <v>200</v>
      </c>
      <c r="N60" s="1104"/>
      <c r="O60" s="1103"/>
      <c r="P60" s="1111">
        <f>IF(P6=0,0,SUM(O62:O64))</f>
        <v>200</v>
      </c>
      <c r="Q60" s="28"/>
    </row>
    <row r="61" spans="1:22"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8"/>
    </row>
    <row r="62" spans="1:22" s="36" customFormat="1" ht="18.75" customHeight="1">
      <c r="A62" s="746"/>
      <c r="B62" s="1021"/>
      <c r="C62" s="4365" t="s">
        <v>297</v>
      </c>
      <c r="D62" s="4365"/>
      <c r="E62" s="4365"/>
      <c r="F62" s="1101">
        <f>IF($C62=0,0,VLOOKUP($C62,'SD3'!$C$90:$D$104,2,FALSE))</f>
        <v>200</v>
      </c>
      <c r="G62" s="1100">
        <f>(100+$D$61)/100*F62</f>
        <v>200</v>
      </c>
      <c r="H62" s="173"/>
      <c r="I62" s="1096">
        <f>$G$62</f>
        <v>200</v>
      </c>
      <c r="J62" s="173"/>
      <c r="K62" s="1099"/>
      <c r="L62" s="1098">
        <f>$G$62</f>
        <v>200</v>
      </c>
      <c r="M62" s="1016"/>
      <c r="N62" s="1097"/>
      <c r="O62" s="1096">
        <f>$G$62</f>
        <v>200</v>
      </c>
      <c r="P62" s="1095"/>
      <c r="Q62" s="28"/>
    </row>
    <row r="63" spans="1:22"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22" s="36" customFormat="1" ht="15" customHeight="1">
      <c r="A64" s="746"/>
      <c r="B64" s="1084"/>
      <c r="C64" s="4396" t="s">
        <v>289</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28"/>
    </row>
    <row r="65" spans="1:23"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3" s="36" customFormat="1" ht="15" customHeight="1">
      <c r="A66" s="746"/>
      <c r="B66" s="1075"/>
      <c r="C66" s="815"/>
      <c r="D66" s="222" t="s">
        <v>691</v>
      </c>
      <c r="E66" s="1074"/>
      <c r="F66" s="1049"/>
      <c r="G66" s="1073" t="s">
        <v>362</v>
      </c>
      <c r="H66" s="1071"/>
      <c r="I66" s="1070"/>
      <c r="J66" s="1059"/>
      <c r="K66" s="1071"/>
      <c r="L66" s="1072"/>
      <c r="M66" s="1062"/>
      <c r="N66" s="1071"/>
      <c r="O66" s="1070"/>
      <c r="P66" s="1059"/>
      <c r="Q66" s="28"/>
    </row>
    <row r="67" spans="1:23" s="511" customFormat="1" ht="22.95" customHeight="1">
      <c r="A67" s="711"/>
      <c r="B67" s="716" t="s">
        <v>843</v>
      </c>
      <c r="C67" s="711"/>
      <c r="D67" s="711"/>
      <c r="E67" s="175"/>
      <c r="F67" s="1069"/>
      <c r="G67" s="1047"/>
      <c r="H67" s="1066" t="s">
        <v>842</v>
      </c>
      <c r="I67" s="1065" t="s">
        <v>841</v>
      </c>
      <c r="J67" s="1041">
        <f>R68*(H9+H10)*I68%+F68</f>
        <v>168</v>
      </c>
      <c r="K67" s="1068" t="s">
        <v>842</v>
      </c>
      <c r="L67" s="1067" t="s">
        <v>841</v>
      </c>
      <c r="M67" s="1044">
        <f>S68*(K9+K10)*L68%+F68</f>
        <v>224</v>
      </c>
      <c r="N67" s="1066" t="s">
        <v>842</v>
      </c>
      <c r="O67" s="1065" t="s">
        <v>841</v>
      </c>
      <c r="P67" s="1041">
        <f>T68*(N9+N10)*O68%+F68</f>
        <v>297.5</v>
      </c>
      <c r="Q67" s="28"/>
      <c r="R67" s="29"/>
      <c r="S67" s="29"/>
      <c r="T67" s="29"/>
      <c r="U67" s="29"/>
      <c r="V67" s="29"/>
      <c r="W67" s="29"/>
    </row>
    <row r="68" spans="1:23" s="511" customFormat="1" ht="15" customHeight="1">
      <c r="A68" s="711"/>
      <c r="B68" s="1064"/>
      <c r="C68" s="4393" t="s">
        <v>564</v>
      </c>
      <c r="D68" s="4393"/>
      <c r="E68" s="4393"/>
      <c r="F68" s="1063"/>
      <c r="G68" s="1054" t="s">
        <v>163</v>
      </c>
      <c r="H68" s="1061">
        <v>25</v>
      </c>
      <c r="I68" s="1060">
        <v>100</v>
      </c>
      <c r="J68" s="1059"/>
      <c r="K68" s="1061">
        <v>25</v>
      </c>
      <c r="L68" s="1060">
        <v>100</v>
      </c>
      <c r="M68" s="1062"/>
      <c r="N68" s="1061">
        <v>27</v>
      </c>
      <c r="O68" s="1060">
        <v>100</v>
      </c>
      <c r="P68" s="1059"/>
      <c r="Q68" s="28"/>
      <c r="R68" s="1369">
        <f>IF($H$68=0,0,VLOOKUP($H$68,'SD6'!H8:I356,'SD6'!I1,FALSE))*(1+'SDK1'!O11/100)</f>
        <v>3.2</v>
      </c>
      <c r="S68" s="1369">
        <f>IF($K$68=0,0,VLOOKUP($K$68,'SD6'!H8:I356,'SD6'!I1,FALSE))*(1+'SDK1'!O11/100)</f>
        <v>3.2</v>
      </c>
      <c r="T68" s="1369">
        <f>IF($N$68=0,0,VLOOKUP($N$68,'SD6'!H8:I356,'SD6'!I1,FALSE))*(1+'SDK1'!O11/100)</f>
        <v>3.4</v>
      </c>
      <c r="U68" s="29"/>
      <c r="V68" s="29"/>
      <c r="W68" s="29"/>
    </row>
    <row r="69" spans="1:23" s="511" customFormat="1" ht="18.75" customHeight="1">
      <c r="A69" s="711"/>
      <c r="B69" s="716" t="s">
        <v>839</v>
      </c>
      <c r="C69" s="711"/>
      <c r="D69" s="711"/>
      <c r="E69" s="34"/>
      <c r="F69" s="34"/>
      <c r="G69" s="1047"/>
      <c r="H69" s="38"/>
      <c r="I69" s="51"/>
      <c r="J69" s="1041">
        <f>H70*$F70/1000</f>
        <v>31.714200000000002</v>
      </c>
      <c r="K69" s="1057"/>
      <c r="L69" s="1056"/>
      <c r="M69" s="1044">
        <f>K70*$F70/1000</f>
        <v>42.285600000000002</v>
      </c>
      <c r="N69" s="38"/>
      <c r="O69" s="51"/>
      <c r="P69" s="1041">
        <f>N70*$F70/1000</f>
        <v>52.856999999999999</v>
      </c>
      <c r="Q69" s="28"/>
      <c r="R69" s="29"/>
      <c r="S69" s="29"/>
      <c r="T69" s="29"/>
      <c r="U69" s="29"/>
      <c r="V69" s="29"/>
      <c r="W69" s="29"/>
    </row>
    <row r="70" spans="1:23" s="511" customFormat="1" ht="15" customHeight="1">
      <c r="A70" s="711"/>
      <c r="B70" s="772"/>
      <c r="C70" s="771" t="s">
        <v>606</v>
      </c>
      <c r="D70" s="285"/>
      <c r="E70" s="222"/>
      <c r="F70" s="3742">
        <f>SDÖ7!F64</f>
        <v>18</v>
      </c>
      <c r="G70" s="1054" t="s">
        <v>163</v>
      </c>
      <c r="H70" s="1357">
        <f>J7</f>
        <v>1761.9</v>
      </c>
      <c r="I70" s="1049"/>
      <c r="J70" s="1048"/>
      <c r="K70" s="1053">
        <f>M7</f>
        <v>2349.2000000000003</v>
      </c>
      <c r="L70" s="1052"/>
      <c r="M70" s="1051"/>
      <c r="N70" s="1357">
        <f>P7</f>
        <v>2936.5</v>
      </c>
      <c r="O70" s="1049"/>
      <c r="P70" s="1048"/>
      <c r="Q70" s="28"/>
      <c r="R70" s="29"/>
      <c r="S70" s="29"/>
      <c r="T70" s="29"/>
      <c r="U70" s="29"/>
      <c r="V70" s="29"/>
      <c r="W70" s="29"/>
    </row>
    <row r="71" spans="1:23"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c r="R71" s="29"/>
      <c r="S71" s="29"/>
      <c r="T71" s="29"/>
      <c r="U71" s="29"/>
      <c r="V71" s="29"/>
      <c r="W71" s="29"/>
    </row>
    <row r="72" spans="1:23"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c r="R72" s="29"/>
      <c r="S72" s="29"/>
      <c r="T72" s="29"/>
      <c r="U72" s="29"/>
      <c r="V72" s="29"/>
      <c r="W72" s="29"/>
    </row>
    <row r="73" spans="1:23"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c r="R73" s="29"/>
      <c r="S73" s="29"/>
      <c r="T73" s="29"/>
      <c r="U73" s="29"/>
      <c r="V73" s="29"/>
      <c r="W73" s="29"/>
    </row>
    <row r="74" spans="1:23"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c r="R74" s="29"/>
      <c r="S74" s="29"/>
      <c r="T74" s="29"/>
      <c r="U74" s="29"/>
      <c r="V74" s="29"/>
      <c r="W74" s="29"/>
    </row>
    <row r="75" spans="1:23" s="511" customFormat="1" ht="30.15" customHeight="1">
      <c r="A75" s="711"/>
      <c r="B75" s="4391" t="s">
        <v>835</v>
      </c>
      <c r="C75" s="4392"/>
      <c r="D75" s="1012" t="s">
        <v>834</v>
      </c>
      <c r="E75" s="1011">
        <f>'SDK1'!$O$59/100</f>
        <v>0.02</v>
      </c>
      <c r="F75" s="1010" t="s">
        <v>833</v>
      </c>
      <c r="G75" s="1009">
        <v>5</v>
      </c>
      <c r="H75" s="1007"/>
      <c r="I75" s="1008"/>
      <c r="J75" s="1005">
        <f>(J23+J27+J34+J43+J60+J65+J67+J69+J71)*('SDK1'!$O$59%*$G$75/12)</f>
        <v>12.205030584833333</v>
      </c>
      <c r="K75" s="2223"/>
      <c r="L75" s="522"/>
      <c r="M75" s="1005">
        <f>(M23+M27+M34+M43+M60+M65+M67+M69+M71)*('SDK1'!$O$59%*$G$75/12)</f>
        <v>14.120587060222221</v>
      </c>
      <c r="N75" s="1007"/>
      <c r="O75" s="1006"/>
      <c r="P75" s="1005">
        <f>(P23+P27+P34+P43+P60+P65+P67+P69+P71)*('SDK1'!$O$59%*$G$75/12)</f>
        <v>16.181976868944442</v>
      </c>
      <c r="Q75" s="28"/>
    </row>
    <row r="76" spans="1:23">
      <c r="L76" s="29"/>
      <c r="M76" s="2608"/>
      <c r="N76" s="2608"/>
      <c r="O76" s="2608"/>
      <c r="P76" s="2608"/>
      <c r="Q76" s="2608"/>
    </row>
    <row r="77" spans="1:23">
      <c r="B77" s="2919"/>
      <c r="C77" s="2919"/>
      <c r="D77" s="2919"/>
      <c r="E77" s="2919"/>
      <c r="F77" s="2919"/>
      <c r="G77" s="2919"/>
      <c r="L77" s="29"/>
      <c r="M77" s="2608"/>
      <c r="N77" s="2608"/>
      <c r="O77" s="2608"/>
      <c r="P77" s="2608"/>
      <c r="Q77" s="2608"/>
    </row>
    <row r="78" spans="1:23">
      <c r="B78" s="2919"/>
      <c r="C78" s="2919"/>
      <c r="D78" s="2919"/>
      <c r="E78" s="2919"/>
      <c r="F78" s="2919"/>
      <c r="G78" s="2919"/>
      <c r="H78" s="2608"/>
      <c r="I78" s="2608"/>
      <c r="J78" s="2608"/>
      <c r="K78" s="2608"/>
      <c r="L78" s="2608"/>
      <c r="M78" s="2608"/>
      <c r="N78" s="2608"/>
      <c r="O78" s="2608"/>
      <c r="P78" s="2608"/>
      <c r="Q78" s="2608"/>
    </row>
    <row r="79" spans="1:23">
      <c r="B79" s="2919"/>
      <c r="C79" s="2919"/>
      <c r="D79" s="2919"/>
      <c r="E79" s="2919"/>
      <c r="F79" s="2919"/>
      <c r="G79" s="2919"/>
      <c r="H79" s="2608"/>
      <c r="I79" s="2608"/>
      <c r="J79" s="2608"/>
      <c r="K79" s="2608"/>
      <c r="L79" s="2608"/>
      <c r="M79" s="2608"/>
      <c r="N79" s="2608"/>
      <c r="O79" s="2608"/>
      <c r="P79" s="2608"/>
      <c r="Q79" s="2608"/>
    </row>
    <row r="80" spans="1:23">
      <c r="B80" s="2919"/>
      <c r="C80" s="2919"/>
      <c r="D80" s="2919"/>
      <c r="E80" s="2919"/>
      <c r="F80" s="2919"/>
      <c r="G80" s="2919"/>
      <c r="H80" s="2608"/>
      <c r="I80" s="2608"/>
      <c r="J80" s="2608"/>
      <c r="K80" s="2608"/>
      <c r="L80" s="2608"/>
      <c r="M80" s="2608"/>
      <c r="N80" s="2608"/>
      <c r="O80" s="2608"/>
      <c r="P80" s="2608"/>
    </row>
    <row r="81" spans="2:16">
      <c r="B81" s="2919"/>
      <c r="C81" s="2919"/>
      <c r="D81" s="2919"/>
      <c r="E81" s="2919"/>
      <c r="F81" s="2919"/>
      <c r="G81" s="2919"/>
      <c r="H81" s="2608"/>
      <c r="I81" s="2608"/>
      <c r="J81" s="2608"/>
      <c r="K81" s="2608"/>
      <c r="L81" s="2608"/>
      <c r="M81" s="2608"/>
      <c r="N81" s="2608"/>
      <c r="O81" s="2608"/>
      <c r="P81" s="2608"/>
    </row>
    <row r="82" spans="2:16">
      <c r="B82" s="2919"/>
      <c r="C82" s="2919"/>
      <c r="D82" s="2919"/>
      <c r="E82" s="2919"/>
      <c r="F82" s="2919"/>
      <c r="G82" s="2919"/>
      <c r="H82" s="2608"/>
      <c r="I82" s="2608"/>
      <c r="J82" s="2608"/>
      <c r="K82" s="2608"/>
      <c r="L82" s="2608"/>
      <c r="M82" s="2608"/>
      <c r="N82" s="2608"/>
      <c r="O82" s="2608"/>
      <c r="P82" s="2608"/>
    </row>
    <row r="83" spans="2:16">
      <c r="B83" s="2919"/>
      <c r="C83" s="2919"/>
      <c r="D83" s="2919"/>
      <c r="E83" s="2919"/>
      <c r="F83" s="2919"/>
      <c r="G83" s="2919"/>
      <c r="H83" s="2608"/>
      <c r="I83" s="2608"/>
      <c r="J83" s="2608"/>
      <c r="K83" s="2608"/>
      <c r="L83" s="2608"/>
      <c r="M83" s="2608"/>
      <c r="N83" s="2608"/>
      <c r="O83" s="2608"/>
      <c r="P83" s="2608"/>
    </row>
    <row r="84" spans="2:16">
      <c r="B84" s="2919"/>
      <c r="C84" s="2919"/>
      <c r="D84" s="2919"/>
      <c r="E84" s="2919"/>
      <c r="F84" s="2919"/>
      <c r="G84" s="2919"/>
      <c r="H84" s="2608"/>
      <c r="I84" s="2608"/>
      <c r="J84" s="2608"/>
      <c r="K84" s="2608"/>
      <c r="L84" s="2608"/>
      <c r="M84" s="2608"/>
      <c r="N84" s="2608"/>
      <c r="O84" s="2608"/>
      <c r="P84" s="2608"/>
    </row>
    <row r="85" spans="2:16">
      <c r="B85" s="2919"/>
      <c r="C85" s="2919"/>
      <c r="D85" s="2919"/>
      <c r="E85" s="2919"/>
      <c r="F85" s="2919"/>
      <c r="G85" s="2919"/>
      <c r="H85" s="2608"/>
      <c r="I85" s="2608"/>
      <c r="J85" s="2608"/>
      <c r="K85" s="2608"/>
      <c r="L85" s="2608"/>
      <c r="M85" s="2608"/>
      <c r="N85" s="2608"/>
      <c r="O85" s="2608"/>
      <c r="P85" s="2608"/>
    </row>
    <row r="86" spans="2:16">
      <c r="B86" s="2919"/>
      <c r="C86" s="2919"/>
      <c r="D86" s="2919"/>
      <c r="E86" s="2919"/>
      <c r="F86" s="2919"/>
      <c r="G86" s="2919"/>
      <c r="H86" s="2608"/>
      <c r="I86" s="2608"/>
      <c r="J86" s="2608"/>
      <c r="K86" s="2608"/>
      <c r="L86" s="2608"/>
      <c r="M86" s="2608"/>
      <c r="N86" s="2608"/>
      <c r="O86" s="2608"/>
      <c r="P86" s="2608"/>
    </row>
    <row r="87" spans="2:16">
      <c r="B87" s="2919"/>
      <c r="C87" s="2919"/>
      <c r="D87" s="2919"/>
      <c r="E87" s="2919"/>
      <c r="F87" s="2919"/>
      <c r="G87" s="2919"/>
      <c r="H87" s="2608"/>
      <c r="I87" s="2608"/>
      <c r="J87" s="2608"/>
      <c r="K87" s="2608"/>
      <c r="L87" s="2608"/>
      <c r="M87" s="2608"/>
      <c r="N87" s="2608"/>
      <c r="O87" s="2608"/>
      <c r="P87" s="2608"/>
    </row>
    <row r="88" spans="2:16" ht="13.2" customHeight="1">
      <c r="B88" s="2919"/>
      <c r="C88" s="2919"/>
      <c r="D88" s="2919"/>
      <c r="E88" s="2919"/>
      <c r="F88" s="2919"/>
      <c r="G88" s="2919"/>
      <c r="H88" s="2608"/>
      <c r="I88" s="2608"/>
      <c r="J88" s="2608"/>
      <c r="K88" s="2608"/>
      <c r="L88" s="2608"/>
      <c r="M88" s="2608"/>
      <c r="N88" s="2608"/>
      <c r="O88" s="2608"/>
      <c r="P88" s="2608"/>
    </row>
    <row r="89" spans="2:16">
      <c r="B89" s="2919"/>
      <c r="C89" s="2919"/>
      <c r="D89" s="2919"/>
      <c r="E89" s="2919"/>
      <c r="F89" s="2919"/>
      <c r="G89" s="2919"/>
      <c r="H89" s="2608"/>
      <c r="I89" s="2608"/>
      <c r="J89" s="2608"/>
      <c r="K89" s="2608"/>
      <c r="L89" s="2608"/>
      <c r="M89" s="2608"/>
      <c r="N89" s="2608"/>
      <c r="O89" s="2608"/>
      <c r="P89" s="2608"/>
    </row>
    <row r="90" spans="2:16">
      <c r="B90" s="2919"/>
      <c r="C90" s="2919"/>
      <c r="D90" s="2919"/>
      <c r="E90" s="2919"/>
      <c r="F90" s="2919"/>
      <c r="G90" s="2919"/>
      <c r="H90" s="2608"/>
      <c r="I90" s="2608"/>
      <c r="J90" s="2608"/>
      <c r="L90" s="2608"/>
      <c r="M90" s="2608"/>
      <c r="N90" s="2608"/>
      <c r="O90" s="2608"/>
      <c r="P90" s="2608"/>
    </row>
    <row r="91" spans="2:16">
      <c r="B91" s="2919"/>
      <c r="C91" s="2919"/>
      <c r="D91" s="2919"/>
      <c r="E91" s="2919"/>
      <c r="F91" s="2919"/>
      <c r="G91" s="2919"/>
      <c r="H91" s="2608"/>
      <c r="I91" s="2608"/>
      <c r="J91" s="2608"/>
      <c r="K91" s="2608"/>
      <c r="L91" s="2608"/>
      <c r="M91" s="2608"/>
      <c r="N91" s="2608"/>
      <c r="O91" s="2608"/>
      <c r="P91" s="2608"/>
    </row>
    <row r="92" spans="2:16">
      <c r="B92" s="2919"/>
      <c r="C92" s="2919"/>
      <c r="D92" s="2919"/>
      <c r="E92" s="2919"/>
      <c r="F92" s="2919"/>
      <c r="G92" s="2919"/>
      <c r="H92" s="2608"/>
      <c r="I92" s="2608"/>
      <c r="J92" s="2608"/>
      <c r="K92" s="2608"/>
      <c r="L92" s="2608"/>
      <c r="M92" s="2608"/>
      <c r="N92" s="2608"/>
      <c r="O92" s="2608"/>
      <c r="P92" s="2608"/>
    </row>
    <row r="93" spans="2:16">
      <c r="C93" s="29"/>
      <c r="D93" s="29"/>
      <c r="E93" s="29"/>
      <c r="F93" s="1712"/>
      <c r="G93" s="2608"/>
      <c r="H93" s="2608"/>
      <c r="I93" s="2608"/>
      <c r="J93" s="2608"/>
      <c r="K93" s="2608"/>
      <c r="L93" s="2608"/>
      <c r="M93" s="2608"/>
      <c r="N93" s="2608"/>
      <c r="O93" s="2608"/>
      <c r="P93" s="2608"/>
    </row>
    <row r="94" spans="2:16">
      <c r="C94" s="29"/>
      <c r="D94" s="29"/>
      <c r="E94" s="29"/>
      <c r="F94" s="1712"/>
      <c r="G94" s="2608"/>
      <c r="H94" s="2608"/>
      <c r="I94" s="2608"/>
      <c r="J94" s="2608"/>
      <c r="K94" s="2608"/>
      <c r="L94" s="2608"/>
      <c r="M94" s="2608"/>
      <c r="N94" s="2608"/>
      <c r="O94" s="2608"/>
      <c r="P94" s="2608"/>
    </row>
    <row r="95" spans="2:16">
      <c r="C95" s="29"/>
      <c r="D95" s="29"/>
      <c r="E95" s="29"/>
      <c r="F95" s="1712"/>
      <c r="G95" s="2608"/>
      <c r="H95" s="2608"/>
      <c r="I95" s="2608"/>
      <c r="J95" s="2608"/>
      <c r="K95" s="2608"/>
      <c r="L95" s="2608"/>
      <c r="M95" s="2608"/>
      <c r="N95" s="2608"/>
      <c r="O95" s="2608"/>
      <c r="P95" s="2608"/>
    </row>
    <row r="96" spans="2:16">
      <c r="C96" s="29"/>
      <c r="D96" s="29"/>
      <c r="E96" s="29"/>
      <c r="F96" s="1712"/>
      <c r="G96" s="2608"/>
      <c r="H96" s="2608"/>
      <c r="I96" s="2608"/>
      <c r="J96" s="2608"/>
      <c r="K96" s="2608"/>
      <c r="L96" s="2608"/>
      <c r="M96" s="2608"/>
      <c r="N96" s="2608"/>
      <c r="O96" s="2608"/>
      <c r="P96" s="2608"/>
    </row>
    <row r="97" spans="2:16">
      <c r="C97" s="29"/>
      <c r="D97" s="29"/>
      <c r="E97" s="29"/>
      <c r="G97" s="2608"/>
      <c r="H97" s="2608"/>
      <c r="I97" s="2608"/>
      <c r="J97" s="2608"/>
      <c r="K97" s="2608"/>
      <c r="L97" s="2608"/>
      <c r="M97" s="2608"/>
      <c r="N97" s="2608"/>
      <c r="O97" s="2608"/>
      <c r="P97" s="2608"/>
    </row>
    <row r="98" spans="2:16">
      <c r="C98" s="29"/>
      <c r="D98" s="29"/>
      <c r="E98" s="29"/>
      <c r="G98" s="2608"/>
      <c r="H98" s="2608"/>
      <c r="I98" s="2608"/>
      <c r="J98" s="2608"/>
      <c r="K98" s="2608"/>
      <c r="L98" s="2608"/>
      <c r="M98" s="2608"/>
      <c r="N98" s="2608"/>
      <c r="O98" s="2608"/>
      <c r="P98" s="2608"/>
    </row>
    <row r="99" spans="2:16">
      <c r="B99" s="29"/>
      <c r="C99" s="29"/>
      <c r="D99" s="29"/>
      <c r="E99" s="29"/>
      <c r="G99" s="2608"/>
      <c r="H99" s="2608"/>
      <c r="I99" s="2608"/>
      <c r="J99" s="2608"/>
      <c r="K99" s="2608"/>
      <c r="L99" s="2608"/>
      <c r="M99" s="2608"/>
      <c r="N99" s="2608"/>
      <c r="O99" s="2608"/>
      <c r="P99" s="2608"/>
    </row>
    <row r="100" spans="2:16">
      <c r="B100" s="29"/>
      <c r="C100" s="29"/>
      <c r="D100" s="29"/>
      <c r="G100" s="2608"/>
      <c r="H100" s="2608"/>
      <c r="I100" s="2608"/>
      <c r="J100" s="2608"/>
      <c r="K100" s="2608"/>
      <c r="L100" s="2608"/>
      <c r="M100" s="2608"/>
      <c r="N100" s="2608"/>
      <c r="O100" s="2608"/>
      <c r="P100" s="2608"/>
    </row>
    <row r="101" spans="2:16">
      <c r="B101" s="29"/>
      <c r="C101" s="29"/>
      <c r="D101" s="29"/>
      <c r="G101" s="2608"/>
      <c r="H101" s="2608"/>
      <c r="I101" s="2608"/>
      <c r="J101" s="2608"/>
      <c r="K101" s="2608"/>
      <c r="L101" s="2608"/>
      <c r="M101" s="2608"/>
      <c r="N101" s="2608"/>
      <c r="O101" s="2608"/>
      <c r="P101" s="2608"/>
    </row>
    <row r="102" spans="2:16">
      <c r="B102" s="29"/>
      <c r="C102" s="29"/>
      <c r="D102" s="29"/>
      <c r="G102" s="2608"/>
      <c r="H102" s="2608"/>
      <c r="I102" s="2608"/>
      <c r="J102" s="2608"/>
      <c r="K102" s="2608"/>
      <c r="L102" s="2608"/>
      <c r="M102" s="2608"/>
      <c r="N102" s="2608"/>
      <c r="O102" s="2608"/>
      <c r="P102" s="2608"/>
    </row>
    <row r="103" spans="2:16">
      <c r="B103" s="29"/>
      <c r="C103" s="29"/>
      <c r="D103" s="29"/>
      <c r="G103" s="2608"/>
      <c r="H103" s="2608"/>
      <c r="I103" s="2608"/>
      <c r="J103" s="2608"/>
      <c r="K103" s="2608"/>
      <c r="L103" s="2608"/>
      <c r="M103" s="2608"/>
      <c r="N103" s="2608"/>
      <c r="O103" s="2608"/>
      <c r="P103" s="2608"/>
    </row>
    <row r="104" spans="2:16">
      <c r="B104" s="29"/>
      <c r="C104" s="29"/>
      <c r="D104" s="29"/>
      <c r="G104" s="2608"/>
      <c r="H104" s="2608"/>
      <c r="I104" s="2608"/>
      <c r="J104" s="2608"/>
      <c r="K104" s="2608"/>
      <c r="L104" s="2608"/>
      <c r="M104" s="2608"/>
      <c r="N104" s="2608"/>
      <c r="O104" s="2608"/>
      <c r="P104" s="2608"/>
    </row>
    <row r="105" spans="2:16">
      <c r="B105" s="29"/>
      <c r="C105" s="29"/>
      <c r="D105" s="29"/>
      <c r="G105" s="2608"/>
      <c r="H105" s="2608"/>
      <c r="I105" s="2608"/>
      <c r="J105" s="2608"/>
      <c r="K105" s="2608"/>
      <c r="L105" s="2608"/>
      <c r="M105" s="2608"/>
      <c r="N105" s="2608"/>
      <c r="O105" s="2608"/>
      <c r="P105" s="2608"/>
    </row>
    <row r="106" spans="2:16">
      <c r="B106" s="29"/>
      <c r="C106" s="29"/>
      <c r="D106" s="29"/>
      <c r="G106" s="2608"/>
      <c r="H106" s="2608"/>
      <c r="I106" s="2608"/>
      <c r="J106" s="2608"/>
      <c r="K106" s="2608"/>
      <c r="L106" s="2608"/>
      <c r="M106" s="2608"/>
      <c r="N106" s="2608"/>
      <c r="O106" s="2608"/>
      <c r="P106" s="2608"/>
    </row>
    <row r="107" spans="2:16">
      <c r="G107" s="2608"/>
      <c r="H107" s="2608"/>
      <c r="I107" s="2608"/>
      <c r="J107" s="2608"/>
      <c r="K107" s="2608"/>
      <c r="L107" s="2608"/>
      <c r="M107" s="2608"/>
      <c r="N107" s="2608"/>
      <c r="O107" s="2608"/>
      <c r="P107" s="2608"/>
    </row>
    <row r="108" spans="2:16">
      <c r="G108" s="2608"/>
      <c r="H108" s="2608"/>
      <c r="I108" s="2608"/>
      <c r="J108" s="2608"/>
      <c r="K108" s="2608"/>
      <c r="L108" s="2608"/>
      <c r="M108" s="2608"/>
      <c r="N108" s="2608"/>
      <c r="O108" s="2608"/>
      <c r="P108" s="2608"/>
    </row>
    <row r="109" spans="2:16">
      <c r="G109" s="2608"/>
      <c r="H109" s="2608"/>
      <c r="I109" s="2608"/>
      <c r="J109" s="2608"/>
      <c r="K109" s="2608"/>
      <c r="L109" s="2608"/>
      <c r="M109" s="2608"/>
      <c r="N109" s="2608"/>
      <c r="O109" s="2608"/>
      <c r="P109" s="2608"/>
    </row>
    <row r="110" spans="2:16">
      <c r="G110" s="2608"/>
      <c r="H110" s="2608"/>
      <c r="I110" s="2608"/>
      <c r="J110" s="2608"/>
      <c r="K110" s="2608"/>
      <c r="L110" s="2608"/>
      <c r="M110" s="2608"/>
      <c r="N110" s="2608"/>
      <c r="O110" s="2608"/>
      <c r="P110" s="2608"/>
    </row>
    <row r="111" spans="2:16">
      <c r="G111" s="2608"/>
      <c r="H111" s="2608"/>
      <c r="I111" s="2608"/>
      <c r="J111" s="2608"/>
      <c r="K111" s="2608"/>
      <c r="L111" s="2608"/>
      <c r="M111" s="2608"/>
      <c r="N111" s="2608"/>
      <c r="O111" s="2608"/>
      <c r="P111" s="2608"/>
    </row>
    <row r="112" spans="2:16">
      <c r="G112" s="2608"/>
      <c r="H112" s="2608"/>
      <c r="I112" s="2608"/>
      <c r="J112" s="2608"/>
      <c r="K112" s="2608"/>
      <c r="L112" s="2608"/>
      <c r="M112" s="2608"/>
      <c r="N112" s="2608"/>
      <c r="O112" s="2608"/>
      <c r="P112" s="2608"/>
    </row>
    <row r="113" spans="2:16">
      <c r="G113" s="2608"/>
      <c r="H113" s="2608"/>
      <c r="I113" s="2608"/>
      <c r="J113" s="2608"/>
      <c r="K113" s="2608"/>
      <c r="L113" s="2608"/>
      <c r="M113" s="2608"/>
      <c r="N113" s="2608"/>
      <c r="O113" s="2608"/>
      <c r="P113" s="2608"/>
    </row>
    <row r="114" spans="2:16">
      <c r="G114" s="2608"/>
      <c r="H114" s="2608"/>
      <c r="I114" s="2608"/>
      <c r="J114" s="2608"/>
      <c r="K114" s="2608"/>
      <c r="L114" s="2608"/>
      <c r="M114" s="2608"/>
      <c r="N114" s="2608"/>
      <c r="O114" s="2608"/>
      <c r="P114" s="2608"/>
    </row>
    <row r="115" spans="2:16">
      <c r="G115" s="2608"/>
      <c r="H115" s="2608"/>
      <c r="I115" s="2608"/>
      <c r="J115" s="2608"/>
      <c r="K115" s="2608"/>
      <c r="L115" s="2608"/>
      <c r="M115" s="2608"/>
      <c r="N115" s="2608"/>
      <c r="O115" s="2608"/>
      <c r="P115" s="2608"/>
    </row>
    <row r="116" spans="2:16">
      <c r="G116" s="2608"/>
      <c r="H116" s="2608"/>
      <c r="I116" s="2608"/>
      <c r="J116" s="2608"/>
      <c r="K116" s="2608"/>
      <c r="L116" s="2608"/>
      <c r="M116" s="2608"/>
      <c r="N116" s="2608"/>
      <c r="O116" s="2608"/>
      <c r="P116" s="2608"/>
    </row>
    <row r="117" spans="2:16">
      <c r="G117" s="2608"/>
      <c r="H117" s="2608"/>
      <c r="I117" s="2608"/>
      <c r="J117" s="2608"/>
      <c r="K117" s="2608"/>
      <c r="L117" s="2608"/>
      <c r="M117" s="2608"/>
      <c r="N117" s="2608"/>
      <c r="O117" s="2608"/>
      <c r="P117" s="2608"/>
    </row>
    <row r="118" spans="2:16">
      <c r="B118" s="440"/>
      <c r="C118" s="29"/>
      <c r="G118" s="2608"/>
      <c r="H118" s="2608"/>
      <c r="I118" s="2608"/>
      <c r="J118" s="2608"/>
      <c r="K118" s="2608"/>
      <c r="L118" s="2608"/>
      <c r="M118" s="2608"/>
      <c r="N118" s="2608"/>
      <c r="O118" s="2608"/>
      <c r="P118" s="2608"/>
    </row>
    <row r="119" spans="2:16">
      <c r="B119" s="440"/>
      <c r="C119" s="29"/>
      <c r="G119" s="2608"/>
      <c r="H119" s="2608"/>
      <c r="I119" s="2608"/>
      <c r="J119" s="2608"/>
      <c r="K119" s="2608"/>
      <c r="L119" s="2608"/>
      <c r="M119" s="2608"/>
      <c r="N119" s="2608"/>
      <c r="O119" s="2608"/>
      <c r="P119" s="2608"/>
    </row>
    <row r="120" spans="2:16">
      <c r="B120" s="440"/>
      <c r="C120" s="29"/>
      <c r="G120" s="2608"/>
      <c r="H120" s="2608"/>
      <c r="I120" s="2608"/>
      <c r="J120" s="2608"/>
      <c r="K120" s="2608"/>
      <c r="L120" s="2608"/>
      <c r="M120" s="2608"/>
      <c r="N120" s="2608"/>
      <c r="O120" s="2608"/>
      <c r="P120" s="2608"/>
    </row>
    <row r="121" spans="2:16">
      <c r="B121" s="440"/>
      <c r="C121" s="29"/>
      <c r="G121" s="2608"/>
      <c r="H121" s="2608"/>
      <c r="I121" s="2608"/>
      <c r="J121" s="2608"/>
      <c r="K121" s="2608"/>
      <c r="L121" s="2608"/>
      <c r="M121" s="2608"/>
      <c r="N121" s="2608"/>
      <c r="O121" s="2608"/>
      <c r="P121" s="2608"/>
    </row>
    <row r="122" spans="2:16">
      <c r="B122" s="440"/>
      <c r="C122" s="29"/>
      <c r="G122" s="2608"/>
      <c r="H122" s="2608"/>
      <c r="I122" s="2608"/>
      <c r="J122" s="2608"/>
      <c r="K122" s="2608"/>
      <c r="L122" s="2608"/>
      <c r="M122" s="2608"/>
      <c r="N122" s="2608"/>
      <c r="O122" s="2608"/>
      <c r="P122" s="2608"/>
    </row>
    <row r="123" spans="2:16">
      <c r="B123" s="440"/>
      <c r="C123" s="29"/>
      <c r="G123" s="2608"/>
      <c r="H123" s="2608"/>
      <c r="I123" s="2608"/>
      <c r="J123" s="2608"/>
      <c r="K123" s="2608"/>
      <c r="L123" s="2608"/>
      <c r="M123" s="2608"/>
      <c r="N123" s="2608"/>
      <c r="O123" s="2608"/>
      <c r="P123" s="2608"/>
    </row>
    <row r="124" spans="2:16">
      <c r="B124" s="440"/>
      <c r="C124" s="29"/>
      <c r="G124" s="2608"/>
      <c r="H124" s="2608"/>
      <c r="I124" s="2608"/>
      <c r="J124" s="2608"/>
      <c r="K124" s="2608"/>
      <c r="L124" s="2608"/>
      <c r="M124" s="2608"/>
      <c r="N124" s="2608"/>
      <c r="O124" s="2608"/>
      <c r="P124" s="2608"/>
    </row>
    <row r="125" spans="2:16">
      <c r="B125" s="440"/>
      <c r="C125" s="29"/>
      <c r="G125" s="2608"/>
      <c r="H125" s="2608"/>
      <c r="I125" s="2608"/>
      <c r="J125" s="2608"/>
      <c r="K125" s="2608"/>
      <c r="L125" s="2608"/>
      <c r="M125" s="2608"/>
      <c r="N125" s="2608"/>
      <c r="O125" s="2608"/>
      <c r="P125" s="2608"/>
    </row>
    <row r="126" spans="2:16">
      <c r="B126" s="440"/>
      <c r="C126" s="29"/>
      <c r="G126" s="2608"/>
      <c r="H126" s="2608"/>
      <c r="I126" s="2608"/>
      <c r="J126" s="2608"/>
      <c r="K126" s="2608"/>
      <c r="L126" s="2608"/>
      <c r="M126" s="2608"/>
      <c r="N126" s="2608"/>
      <c r="O126" s="2608"/>
      <c r="P126" s="2608"/>
    </row>
    <row r="127" spans="2:16">
      <c r="B127" s="440"/>
      <c r="C127" s="29"/>
      <c r="G127" s="2608"/>
      <c r="H127" s="2608"/>
      <c r="I127" s="2608"/>
      <c r="J127" s="2608"/>
      <c r="K127" s="2608"/>
      <c r="L127" s="2608"/>
      <c r="M127" s="2608"/>
      <c r="N127" s="2608"/>
      <c r="O127" s="2608"/>
      <c r="P127" s="2608"/>
    </row>
    <row r="128" spans="2:16">
      <c r="B128" s="440"/>
      <c r="C128" s="29"/>
      <c r="G128" s="2608"/>
      <c r="H128" s="2608"/>
      <c r="I128" s="2608"/>
      <c r="J128" s="2608"/>
      <c r="K128" s="2608"/>
      <c r="L128" s="2608"/>
      <c r="M128" s="2608"/>
      <c r="N128" s="2608"/>
      <c r="O128" s="2608"/>
      <c r="P128" s="2608"/>
    </row>
    <row r="129" spans="2:16">
      <c r="B129" s="440"/>
      <c r="C129" s="29"/>
      <c r="G129" s="2608"/>
      <c r="H129" s="2608"/>
      <c r="I129" s="2608"/>
      <c r="J129" s="2608"/>
      <c r="K129" s="2608"/>
      <c r="L129" s="2608"/>
      <c r="M129" s="2608"/>
      <c r="N129" s="2608"/>
      <c r="O129" s="2608"/>
      <c r="P129" s="2608"/>
    </row>
    <row r="130" spans="2:16">
      <c r="B130" s="440"/>
      <c r="C130" s="29"/>
      <c r="G130" s="2608"/>
      <c r="H130" s="2608"/>
      <c r="I130" s="2608"/>
      <c r="J130" s="2608"/>
      <c r="K130" s="2608"/>
      <c r="L130" s="2608"/>
      <c r="M130" s="2608"/>
      <c r="N130" s="2608"/>
      <c r="O130" s="2608"/>
      <c r="P130" s="2608"/>
    </row>
    <row r="131" spans="2:16">
      <c r="B131" s="440"/>
      <c r="C131" s="29"/>
      <c r="G131" s="2608"/>
      <c r="H131" s="2608"/>
      <c r="I131" s="2608"/>
      <c r="J131" s="2608"/>
      <c r="K131" s="2608"/>
      <c r="L131" s="2608"/>
      <c r="M131" s="2608"/>
      <c r="N131" s="2608"/>
      <c r="O131" s="2608"/>
      <c r="P131" s="2608"/>
    </row>
    <row r="132" spans="2:16">
      <c r="B132" s="440"/>
      <c r="C132" s="29"/>
      <c r="G132" s="2608"/>
      <c r="H132" s="2608"/>
      <c r="I132" s="2608"/>
      <c r="J132" s="2608"/>
      <c r="K132" s="2608"/>
      <c r="L132" s="2608"/>
      <c r="M132" s="2608"/>
      <c r="N132" s="2608"/>
      <c r="O132" s="2608"/>
      <c r="P132" s="2608"/>
    </row>
    <row r="133" spans="2:16">
      <c r="B133" s="440"/>
      <c r="C133" s="29"/>
      <c r="G133" s="2608"/>
      <c r="H133" s="2608"/>
      <c r="I133" s="2608"/>
      <c r="J133" s="2608"/>
      <c r="K133" s="2608"/>
      <c r="L133" s="2608"/>
      <c r="M133" s="2608"/>
      <c r="N133" s="2608"/>
      <c r="O133" s="2608"/>
      <c r="P133" s="2608"/>
    </row>
    <row r="134" spans="2:16">
      <c r="B134" s="440"/>
      <c r="C134" s="29"/>
      <c r="G134" s="2608"/>
      <c r="H134" s="2608"/>
      <c r="I134" s="2608"/>
      <c r="J134" s="2608"/>
      <c r="K134" s="2608"/>
      <c r="L134" s="2608"/>
      <c r="M134" s="2608"/>
      <c r="N134" s="2608"/>
      <c r="O134" s="2608"/>
      <c r="P134" s="2608"/>
    </row>
    <row r="135" spans="2:16">
      <c r="B135" s="440"/>
      <c r="C135" s="29"/>
      <c r="G135" s="2608"/>
      <c r="H135" s="2608"/>
      <c r="I135" s="2608"/>
      <c r="J135" s="2608"/>
      <c r="K135" s="2608"/>
      <c r="L135" s="2608"/>
      <c r="M135" s="2608"/>
      <c r="N135" s="2608"/>
      <c r="O135" s="2608"/>
      <c r="P135" s="2608"/>
    </row>
    <row r="136" spans="2:16">
      <c r="B136" s="440"/>
      <c r="C136" s="29"/>
      <c r="G136" s="2608"/>
      <c r="H136" s="2608"/>
      <c r="I136" s="2608"/>
      <c r="J136" s="2608"/>
      <c r="K136" s="2608"/>
      <c r="L136" s="2608"/>
      <c r="M136" s="2608"/>
      <c r="N136" s="2608"/>
      <c r="O136" s="2608"/>
      <c r="P136" s="2608"/>
    </row>
    <row r="137" spans="2:16">
      <c r="B137" s="440"/>
      <c r="C137" s="29"/>
      <c r="L137" s="29"/>
    </row>
    <row r="138" spans="2:16">
      <c r="B138" s="440"/>
      <c r="C138" s="29"/>
      <c r="L138" s="29"/>
    </row>
    <row r="139" spans="2:16">
      <c r="B139" s="440"/>
      <c r="C139" s="29"/>
      <c r="L139" s="29"/>
    </row>
    <row r="140" spans="2:16">
      <c r="B140" s="440"/>
      <c r="C140" s="29"/>
      <c r="L140" s="29"/>
    </row>
    <row r="141" spans="2:16">
      <c r="B141" s="440"/>
      <c r="C141" s="29"/>
      <c r="L141" s="29"/>
    </row>
    <row r="142" spans="2:16">
      <c r="B142" s="440"/>
      <c r="C142" s="29"/>
      <c r="L142" s="29"/>
    </row>
    <row r="143" spans="2:16">
      <c r="B143" s="440"/>
      <c r="C143" s="29"/>
      <c r="L143" s="29"/>
    </row>
    <row r="144" spans="2:16">
      <c r="B144" s="440"/>
      <c r="C144" s="29"/>
      <c r="L144" s="29"/>
    </row>
    <row r="145" spans="2:12">
      <c r="B145" s="440"/>
      <c r="C145" s="29"/>
      <c r="L145" s="29"/>
    </row>
    <row r="146" spans="2:12">
      <c r="B146" s="440"/>
      <c r="C146" s="29"/>
      <c r="L146" s="29"/>
    </row>
    <row r="147" spans="2:12">
      <c r="B147" s="440"/>
      <c r="C147" s="29"/>
    </row>
    <row r="148" spans="2:12">
      <c r="B148" s="440"/>
      <c r="C148" s="29"/>
      <c r="D148" s="31"/>
    </row>
    <row r="149" spans="2:12">
      <c r="B149" s="440"/>
      <c r="C149" s="29"/>
      <c r="H149" s="1354"/>
      <c r="J149" s="1563"/>
    </row>
    <row r="150" spans="2:12">
      <c r="B150" s="440"/>
      <c r="C150" s="29"/>
      <c r="H150" s="1354"/>
      <c r="J150" s="1563"/>
    </row>
    <row r="151" spans="2:12">
      <c r="B151" s="440"/>
      <c r="C151" s="29"/>
      <c r="H151" s="1354"/>
      <c r="J151" s="1563"/>
    </row>
    <row r="152" spans="2:12">
      <c r="B152" s="440"/>
      <c r="C152" s="29"/>
      <c r="H152" s="1354"/>
      <c r="J152" s="1563"/>
    </row>
    <row r="153" spans="2:12">
      <c r="B153" s="440"/>
      <c r="C153" s="29"/>
      <c r="H153" s="1354"/>
      <c r="J153" s="1563"/>
    </row>
    <row r="154" spans="2:12">
      <c r="B154" s="440"/>
      <c r="C154" s="29"/>
      <c r="D154" s="29"/>
      <c r="F154" s="29"/>
      <c r="G154" s="29"/>
      <c r="H154" s="29"/>
      <c r="I154" s="29"/>
      <c r="J154" s="29"/>
      <c r="K154" s="29"/>
    </row>
    <row r="155" spans="2:12">
      <c r="B155" s="440"/>
      <c r="C155" s="29"/>
      <c r="D155" s="29"/>
      <c r="F155" s="29"/>
      <c r="G155" s="29"/>
      <c r="H155" s="29"/>
      <c r="I155" s="29"/>
      <c r="J155" s="29"/>
      <c r="K155" s="29"/>
    </row>
    <row r="156" spans="2:12">
      <c r="B156" s="440"/>
      <c r="C156" s="29"/>
      <c r="D156" s="29"/>
      <c r="F156" s="29"/>
      <c r="G156" s="29"/>
      <c r="H156" s="29"/>
      <c r="I156" s="29"/>
      <c r="J156" s="29"/>
      <c r="K156" s="29"/>
    </row>
    <row r="157" spans="2:12">
      <c r="B157" s="440"/>
      <c r="C157" s="29"/>
    </row>
    <row r="158" spans="2:12">
      <c r="B158" s="440"/>
      <c r="C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heet="1" selectLockedCells="1"/>
  <customSheetViews>
    <customSheetView guid="{8063F48F-80B5-4ECD-B18A-51CBF126E780}" fitToPage="1" printArea="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42" orientation="portrait" r:id="rId1"/>
      <headerFooter alignWithMargins="0">
        <oddFooter>&amp;L&amp;11LEL Schwäbisch Gmünd&amp;R&amp;11&amp;F</oddFooter>
      </headerFooter>
    </customSheetView>
    <customSheetView guid="{5D5C9B61-9ABD-4513-AAEB-8333A9D6196C}"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42" orientation="portrait" r:id="rId2"/>
      <headerFooter alignWithMargins="0">
        <oddFooter>&amp;L&amp;11LEL Schwäbisch Gmünd&amp;R&amp;11&amp;F</oddFooter>
      </headerFooter>
    </customSheetView>
    <customSheetView guid="{22A73C4F-9004-4CEF-8499-B1F91BE1B569}"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42" orientation="portrait" r:id="rId3"/>
      <headerFooter alignWithMargins="0">
        <oddFooter>&amp;L&amp;11LEL Schwäbisch Gmünd&amp;R&amp;11&amp;F</oddFooter>
      </headerFooter>
    </customSheetView>
  </customSheetViews>
  <mergeCells count="49">
    <mergeCell ref="N1:O1"/>
    <mergeCell ref="K1:L1"/>
    <mergeCell ref="C37:E37"/>
    <mergeCell ref="C16:F16"/>
    <mergeCell ref="D25:E25"/>
    <mergeCell ref="D26:E26"/>
    <mergeCell ref="F34:G34"/>
    <mergeCell ref="H6:I6"/>
    <mergeCell ref="C20:F20"/>
    <mergeCell ref="C21:F21"/>
    <mergeCell ref="K2:P2"/>
    <mergeCell ref="B3:H3"/>
    <mergeCell ref="C48:D48"/>
    <mergeCell ref="C53:D53"/>
    <mergeCell ref="C50:D50"/>
    <mergeCell ref="C74:E74"/>
    <mergeCell ref="C41:E41"/>
    <mergeCell ref="C54:D54"/>
    <mergeCell ref="C51:D51"/>
    <mergeCell ref="C49:D49"/>
    <mergeCell ref="C47:D47"/>
    <mergeCell ref="C52:D52"/>
    <mergeCell ref="C46:D46"/>
    <mergeCell ref="C42:E42"/>
    <mergeCell ref="B75:C75"/>
    <mergeCell ref="C55:D55"/>
    <mergeCell ref="C63:E63"/>
    <mergeCell ref="C68:E68"/>
    <mergeCell ref="C73:E73"/>
    <mergeCell ref="C56:D56"/>
    <mergeCell ref="C64:E64"/>
    <mergeCell ref="C57:D57"/>
    <mergeCell ref="C62:E62"/>
    <mergeCell ref="X3:Z3"/>
    <mergeCell ref="X4:Z4"/>
    <mergeCell ref="E10:F10"/>
    <mergeCell ref="C14:F14"/>
    <mergeCell ref="C40:E40"/>
    <mergeCell ref="N3:O4"/>
    <mergeCell ref="N6:O6"/>
    <mergeCell ref="K6:L6"/>
    <mergeCell ref="C39:E39"/>
    <mergeCell ref="C15:F15"/>
    <mergeCell ref="C17:F17"/>
    <mergeCell ref="C19:F19"/>
    <mergeCell ref="F23:G23"/>
    <mergeCell ref="E22:G22"/>
    <mergeCell ref="C36:E36"/>
    <mergeCell ref="C38:E38"/>
  </mergeCells>
  <dataValidations count="6">
    <dataValidation type="whole" allowBlank="1" showInputMessage="1" showErrorMessage="1" errorTitle="Anteil Erntegut" error="Prozentwert darf nur zwischen 0 und 100 liegen." sqref="O68 L68 I68" xr:uid="{00000000-0002-0000-4700-000000000000}">
      <formula1>0</formula1>
      <formula2>100</formula2>
    </dataValidation>
    <dataValidation type="decimal" allowBlank="1" showInputMessage="1" showErrorMessage="1" errorTitle="Wassergehalt Getreide" error="Zulässig sind nur Werte zwischen 14,1 und 22,0 % Wassergehalt." sqref="H68 N68" xr:uid="{00000000-0002-0000-4700-000001000000}">
      <formula1>14.1</formula1>
      <formula2>28.9</formula2>
    </dataValidation>
    <dataValidation type="list" showInputMessage="1" showErrorMessage="1" sqref="H14 K14 N14" xr:uid="{00000000-0002-0000-4700-000002000000}">
      <formula1>"ja,nein"</formula1>
    </dataValidation>
    <dataValidation type="list" allowBlank="1" showInputMessage="1" showErrorMessage="1" sqref="H15:H17 K15:K17 N15:N17" xr:uid="{00000000-0002-0000-4700-000003000000}">
      <formula1>"ja,nein"</formula1>
    </dataValidation>
    <dataValidation type="decimal" allowBlank="1" showInputMessage="1" showErrorMessage="1" errorTitle="Wassergehalt Getreide" error="Zulässig sind nur Werte zwischen 14,1 und 22,0 % Wassergehalt." sqref="K68" xr:uid="{00000000-0002-0000-4700-000004000000}">
      <formula1>14.1</formula1>
      <formula2>39.9</formula2>
    </dataValidation>
    <dataValidation type="list" allowBlank="1" showInputMessage="1" showErrorMessage="1" sqref="D19:F19" xr:uid="{00000000-0002-0000-4700-000005000000}">
      <formula1>$C$60:$C$75</formula1>
    </dataValidation>
  </dataValidations>
  <hyperlinks>
    <hyperlink ref="F9" location="SDÖ1!A1" display="Preis ändern" xr:uid="{00000000-0004-0000-4700-000000000000}"/>
  </hyperlinks>
  <printOptions horizontalCentered="1"/>
  <pageMargins left="0.59055118110236227" right="0.57999999999999996" top="0.59055118110236227" bottom="0.59055118110236227" header="0.39370078740157483" footer="0.39370078740157483"/>
  <pageSetup paperSize="9" scale="70" firstPageNumber="42" orientation="portrait" r:id="rId4"/>
  <headerFooter alignWithMargins="0">
    <oddFooter>&amp;L&amp;11LEL Schwäbisch Gmünd&amp;R&amp;11&amp;F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700-000006000000}">
          <x14:formula1>
            <xm:f>'SD2'!$C$11:$C$50</xm:f>
          </x14:formula1>
          <xm:sqref>C14:F17</xm:sqref>
        </x14:dataValidation>
        <x14:dataValidation type="list" allowBlank="1" showInputMessage="1" showErrorMessage="1" xr:uid="{00000000-0002-0000-4700-000007000000}">
          <x14:formula1>
            <xm:f>'SD2'!$C$60:$C$77</xm:f>
          </x14:formula1>
          <xm:sqref>C19:C21</xm:sqref>
        </x14:dataValidation>
        <x14:dataValidation type="list" allowBlank="1" showInputMessage="1" showErrorMessage="1" errorTitle="Arbeitsgänge" error="Bitte aus Dropdownliste auswählen." xr:uid="{00000000-0002-0000-4700-000008000000}">
          <x14:formula1>
            <xm:f>'SD3'!$C$23:$C$75</xm:f>
          </x14:formula1>
          <xm:sqref>C46:D57</xm:sqref>
        </x14:dataValidation>
        <x14:dataValidation type="list" allowBlank="1" showInputMessage="1" showErrorMessage="1" xr:uid="{00000000-0002-0000-4700-000009000000}">
          <x14:formula1>
            <xm:f>SDÖ5!$C$5:$C$16</xm:f>
          </x14:formula1>
          <xm:sqref>C36:E42</xm:sqref>
        </x14:dataValidation>
        <x14:dataValidation type="list" allowBlank="1" showInputMessage="1" showErrorMessage="1" errorTitle="Lohnmaschinen" error="Bitte aus Dropdownliste auswählen." xr:uid="{00000000-0002-0000-4700-00000A000000}">
          <x14:formula1>
            <xm:f>'SD3'!$C$90:$C$104</xm:f>
          </x14:formula1>
          <xm:sqref>C62:E64</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Tabelle87">
    <tabColor rgb="FF00B050"/>
    <pageSetUpPr fitToPage="1"/>
  </sheetPr>
  <dimension ref="A1:AO206"/>
  <sheetViews>
    <sheetView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25.59765625" style="28" hidden="1" customWidth="1"/>
    <col min="18" max="26" width="10.5" style="27" hidden="1" customWidth="1"/>
    <col min="27" max="28" width="10.5" style="27" customWidth="1"/>
    <col min="29" max="16384" width="10.5" style="27"/>
  </cols>
  <sheetData>
    <row r="1" spans="1:41" s="219" customFormat="1" ht="30.15" customHeight="1">
      <c r="A1" s="1681"/>
      <c r="B1" s="258"/>
      <c r="C1" s="1333"/>
      <c r="D1" s="100"/>
      <c r="E1" s="255"/>
      <c r="F1" s="255"/>
      <c r="G1" s="3207"/>
      <c r="H1" s="3207"/>
      <c r="I1" s="3208" t="s">
        <v>1679</v>
      </c>
      <c r="J1" s="3210">
        <f>(J7+J13+J18+J22+I11+I12)-(J23+J27+J34+J43+J60+J65+J67+J69+J71+J75)</f>
        <v>681.14531100033332</v>
      </c>
      <c r="K1" s="4360">
        <f>M1-J1</f>
        <v>307.8120472540279</v>
      </c>
      <c r="L1" s="4360"/>
      <c r="M1" s="3210">
        <f>(M7+M13+M18+M22+L11+L12)-(M23+M27+M34+M43+M60+M65+M67+M69+M71+M75)</f>
        <v>988.95735825436122</v>
      </c>
      <c r="N1" s="4360">
        <f>P1-M1</f>
        <v>307.81204725402768</v>
      </c>
      <c r="O1" s="4360"/>
      <c r="P1" s="3210">
        <f>(P7+P13+P18+P22+O11+O12)-(P23+P27+P34+P43+P60+P65+P67+P69+P71+P75)</f>
        <v>1296.7694055083889</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1394</v>
      </c>
      <c r="L2" s="4372"/>
      <c r="M2" s="4372"/>
      <c r="N2" s="4372"/>
      <c r="O2" s="4372"/>
      <c r="P2" s="4372"/>
      <c r="Q2" s="1681"/>
    </row>
    <row r="3" spans="1:41" s="219" customFormat="1" ht="32.4" customHeight="1">
      <c r="A3" s="1681"/>
      <c r="B3" s="4405" t="s">
        <v>1727</v>
      </c>
      <c r="C3" s="4405"/>
      <c r="D3" s="4405"/>
      <c r="E3" s="4405"/>
      <c r="F3" s="4405"/>
      <c r="G3" s="4405"/>
      <c r="H3" s="4405"/>
      <c r="N3" s="4444"/>
      <c r="O3" s="4374"/>
      <c r="P3" s="1326"/>
      <c r="Q3" s="1681"/>
      <c r="T3" s="1343" t="b">
        <v>0</v>
      </c>
      <c r="W3" s="4368" t="s">
        <v>886</v>
      </c>
      <c r="X3" s="4447"/>
      <c r="Y3" s="4447"/>
      <c r="Z3" s="1327"/>
    </row>
    <row r="4" spans="1:41" s="219" customFormat="1" ht="20.25" customHeight="1">
      <c r="A4" s="1681"/>
      <c r="B4" s="309" t="s">
        <v>779</v>
      </c>
      <c r="C4" s="27"/>
      <c r="D4" s="27"/>
      <c r="E4" s="4467" t="s">
        <v>1145</v>
      </c>
      <c r="F4" s="4467"/>
      <c r="G4" s="4467"/>
      <c r="H4" s="4467"/>
      <c r="I4" s="4467"/>
      <c r="N4" s="4374"/>
      <c r="O4" s="4374"/>
      <c r="P4" s="1322">
        <f>SDÖ1!O3</f>
        <v>2024</v>
      </c>
      <c r="Q4" s="1681"/>
      <c r="T4" s="1343" t="b">
        <v>0</v>
      </c>
      <c r="W4" s="4368" t="s">
        <v>875</v>
      </c>
      <c r="X4" s="4447"/>
      <c r="Y4" s="4447"/>
      <c r="Z4" s="1696"/>
    </row>
    <row r="5" spans="1:41" ht="6" customHeight="1"/>
    <row r="6" spans="1:41" s="1311" customFormat="1" ht="24" customHeight="1">
      <c r="A6" s="41"/>
      <c r="B6" s="1316" t="s">
        <v>832</v>
      </c>
      <c r="C6" s="1315"/>
      <c r="D6" s="1315"/>
      <c r="E6" s="1315"/>
      <c r="F6" s="1315"/>
      <c r="G6" s="1314" t="s">
        <v>1141</v>
      </c>
      <c r="H6" s="4366" t="s">
        <v>171</v>
      </c>
      <c r="I6" s="4367"/>
      <c r="J6" s="1313">
        <f>M6*0.75</f>
        <v>18.75</v>
      </c>
      <c r="K6" s="4379" t="s">
        <v>144</v>
      </c>
      <c r="L6" s="4380"/>
      <c r="M6" s="1313">
        <v>25</v>
      </c>
      <c r="N6" s="4366" t="s">
        <v>170</v>
      </c>
      <c r="O6" s="4367"/>
      <c r="P6" s="1312">
        <f>M6*1.25</f>
        <v>31.25</v>
      </c>
      <c r="Q6" s="49"/>
    </row>
    <row r="7" spans="1:41" s="196" customFormat="1" ht="18.75" customHeight="1">
      <c r="A7" s="40"/>
      <c r="B7" s="245" t="s">
        <v>1133</v>
      </c>
      <c r="C7" s="40"/>
      <c r="D7" s="40"/>
      <c r="E7" s="40"/>
      <c r="F7" s="40"/>
      <c r="G7" s="1310" t="s">
        <v>163</v>
      </c>
      <c r="H7" s="1307"/>
      <c r="I7" s="1306"/>
      <c r="J7" s="1041">
        <f>SUM(I9:I10)</f>
        <v>1007.625</v>
      </c>
      <c r="K7" s="1309"/>
      <c r="L7" s="1308"/>
      <c r="M7" s="1044">
        <f>SUM(L9:L10)</f>
        <v>1343.5</v>
      </c>
      <c r="N7" s="1307"/>
      <c r="O7" s="1306"/>
      <c r="P7" s="1041">
        <f>SUM(O9:O10)</f>
        <v>1679.375</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t="s">
        <v>882</v>
      </c>
      <c r="G9" s="1221">
        <f>SDÖ1!O23</f>
        <v>53.74</v>
      </c>
      <c r="H9" s="1303">
        <f>J6-H10</f>
        <v>18.75</v>
      </c>
      <c r="I9" s="1299">
        <f>H9*G9</f>
        <v>1007.625</v>
      </c>
      <c r="J9" s="37"/>
      <c r="K9" s="1302">
        <f>M6-K10</f>
        <v>25</v>
      </c>
      <c r="L9" s="1301">
        <f>K9*G9</f>
        <v>1343.5</v>
      </c>
      <c r="M9" s="1280"/>
      <c r="N9" s="1300">
        <f>P6-N10</f>
        <v>31.25</v>
      </c>
      <c r="O9" s="1299">
        <f>N9*G9</f>
        <v>1679.375</v>
      </c>
      <c r="P9" s="37"/>
      <c r="Q9" s="28"/>
      <c r="R9" s="517"/>
      <c r="S9" s="208" t="s">
        <v>887</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309"/>
      <c r="B11" s="217"/>
      <c r="C11" s="39" t="s">
        <v>878</v>
      </c>
      <c r="D11" s="309"/>
      <c r="E11" s="1286"/>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37"/>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t="str">
        <f>IF(OR(T3=TRUE,T4=TRUE),J6*$E$11,"0")</f>
        <v>0</v>
      </c>
      <c r="Y12" s="1265" t="str">
        <f>IF(OR(T3=TRUE,T4=TRUE),M6*$E$11,"0")</f>
        <v>0</v>
      </c>
      <c r="Z12" s="1264" t="str">
        <f>IF(OR(T3=TRUE,T4=TRUE),P6*$E$11,"0")</f>
        <v>0</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W13" s="36"/>
      <c r="X13" s="1264" t="str">
        <f>IF(OR(T4=TRUE,T5=TRUE),J7*$E$11,"0")</f>
        <v>0</v>
      </c>
      <c r="Y13" s="1265" t="str">
        <f>IF(OR(T4=TRUE,T5=TRUE),M7*$E$11,"0")</f>
        <v>0</v>
      </c>
      <c r="Z13" s="1264" t="str">
        <f>IF(OR(T4=TRUE,T5=TRUE),P7*$E$11,"0")</f>
        <v>0</v>
      </c>
    </row>
    <row r="14" spans="1:41" s="36" customFormat="1" ht="15" customHeight="1">
      <c r="A14" s="39"/>
      <c r="B14" s="1247"/>
      <c r="C14" s="4365" t="s">
        <v>1511</v>
      </c>
      <c r="D14" s="4365"/>
      <c r="E14" s="4365"/>
      <c r="F14" s="4365"/>
      <c r="G14" s="1263"/>
      <c r="H14" s="1391" t="s">
        <v>919</v>
      </c>
      <c r="I14" s="2827">
        <f>IF(H14="ja",Q14,0)</f>
        <v>240</v>
      </c>
      <c r="J14" s="39"/>
      <c r="K14" s="1262" t="s">
        <v>919</v>
      </c>
      <c r="L14" s="1098">
        <f>IF(K14="ja",Q14,0)</f>
        <v>240</v>
      </c>
      <c r="M14" s="1016"/>
      <c r="N14" s="1262" t="s">
        <v>919</v>
      </c>
      <c r="O14" s="2827">
        <f>IF(N14="ja",Q14,0)</f>
        <v>240</v>
      </c>
      <c r="P14" s="2826"/>
      <c r="Q14" s="1261">
        <f>IF(C14=0,0,VLOOKUP(C14,'SD2'!$C$11:$O$50,'SD2'!$O$1,FALSE))</f>
        <v>240</v>
      </c>
      <c r="R14" s="1350"/>
      <c r="S14" s="1349"/>
      <c r="T14" s="1348"/>
      <c r="W14" s="36" t="s">
        <v>236</v>
      </c>
      <c r="X14" s="1260">
        <f>$X$12*F31</f>
        <v>0</v>
      </c>
      <c r="Y14" s="1260">
        <f>$Y$12*F31</f>
        <v>0</v>
      </c>
      <c r="Z14" s="1260">
        <f>$Z$12*F31</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347"/>
      <c r="S15" s="1343"/>
      <c r="T15" s="1346"/>
      <c r="W15" s="36" t="s">
        <v>685</v>
      </c>
      <c r="X15" s="1260">
        <f>$X$12*F32</f>
        <v>0</v>
      </c>
      <c r="Y15" s="1260">
        <f>$Y$12*F32</f>
        <v>0</v>
      </c>
      <c r="Z15" s="1260">
        <f>$Z$12*F32</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347"/>
      <c r="S16" s="1343"/>
      <c r="T16" s="1346"/>
      <c r="W16" s="36" t="s">
        <v>684</v>
      </c>
      <c r="X16" s="1260">
        <f>$X$12*F33</f>
        <v>0</v>
      </c>
      <c r="Y16" s="1260">
        <f>$Y$12*F33</f>
        <v>0</v>
      </c>
      <c r="Z16" s="1260">
        <f>$Z$12*F33</f>
        <v>0</v>
      </c>
    </row>
    <row r="17" spans="1:26" s="511" customFormat="1" ht="15" customHeight="1">
      <c r="A17" s="40"/>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W17" s="36" t="s">
        <v>230</v>
      </c>
      <c r="X17" s="1260">
        <f>$X$12*F34</f>
        <v>0</v>
      </c>
      <c r="Y17" s="1260">
        <f>$Y$12*F34</f>
        <v>0</v>
      </c>
      <c r="Z17" s="1260">
        <f>$Z$12*F34</f>
        <v>0</v>
      </c>
    </row>
    <row r="18" spans="1:26" s="36" customFormat="1" ht="18.75" customHeight="1">
      <c r="A18" s="39"/>
      <c r="B18" s="209" t="s">
        <v>1563</v>
      </c>
      <c r="C18" s="1672"/>
      <c r="D18" s="1672"/>
      <c r="E18" s="1672"/>
      <c r="F18" s="1672"/>
      <c r="G18" s="2464"/>
      <c r="H18" s="2249"/>
      <c r="I18" s="3474"/>
      <c r="J18" s="1041">
        <f>SUM(I19:I21)</f>
        <v>177</v>
      </c>
      <c r="K18" s="2250"/>
      <c r="L18" s="2466"/>
      <c r="M18" s="1044">
        <f>SUM(L19:L21)</f>
        <v>177</v>
      </c>
      <c r="N18" s="2249"/>
      <c r="O18" s="3474"/>
      <c r="P18" s="1111">
        <f>SUM(O19:O21)</f>
        <v>177</v>
      </c>
      <c r="Q18" s="28"/>
      <c r="R18" s="514" t="s">
        <v>870</v>
      </c>
      <c r="S18" s="308"/>
      <c r="T18" s="1248"/>
    </row>
    <row r="19" spans="1:26" ht="15.6" customHeight="1">
      <c r="A19" s="309"/>
      <c r="B19" s="1247"/>
      <c r="C19" s="4365" t="s">
        <v>1560</v>
      </c>
      <c r="D19" s="4365"/>
      <c r="E19" s="4365"/>
      <c r="F19" s="4365"/>
      <c r="G19" s="2914" t="s">
        <v>163</v>
      </c>
      <c r="H19" s="1244"/>
      <c r="I19" s="2827">
        <f>IF(OR($C19=0,$J$6=0),0,VLOOKUP($C19,'SD2'!C60:O78,12,FALSE))</f>
        <v>155</v>
      </c>
      <c r="J19" s="39"/>
      <c r="K19" s="1245"/>
      <c r="L19" s="1098">
        <f>IF(OR($C19=0,$M$6=0),0,VLOOKUP($C19,'SD2'!$C$60:$O$78,12,FALSE))</f>
        <v>155</v>
      </c>
      <c r="M19" s="1016"/>
      <c r="N19" s="1244"/>
      <c r="O19" s="2827">
        <f>IF(OR($C19=0,$P$6=0),0,VLOOKUP($C19,'SD2'!C60:O78,12,FALSE))</f>
        <v>155</v>
      </c>
      <c r="P19" s="2826"/>
      <c r="R19" s="1242">
        <f>J13+J18</f>
        <v>417</v>
      </c>
      <c r="S19" s="1242">
        <f>M13+M18</f>
        <v>417</v>
      </c>
      <c r="T19" s="1242">
        <f>P13+P18</f>
        <v>417</v>
      </c>
    </row>
    <row r="20" spans="1:26" s="2894" customFormat="1" ht="15.6" customHeight="1">
      <c r="A20" s="2788"/>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2895"/>
      <c r="R20" s="2888"/>
      <c r="S20" s="2888"/>
      <c r="T20" s="2888"/>
    </row>
    <row r="21" spans="1:26" s="2894" customFormat="1" ht="15.6" customHeight="1">
      <c r="A21" s="2788"/>
      <c r="B21" s="1247"/>
      <c r="C21" s="4365"/>
      <c r="D21" s="4365"/>
      <c r="E21" s="4365"/>
      <c r="F21" s="4365"/>
      <c r="G21" s="2914"/>
      <c r="H21" s="1244"/>
      <c r="I21" s="2827">
        <f>IF(OR($C21=0,$J$6=0),0,VLOOKUP($C21,'SD2'!C62:O79,12,FALSE))</f>
        <v>0</v>
      </c>
      <c r="J21" s="2783"/>
      <c r="K21" s="1245"/>
      <c r="L21" s="2829">
        <f>IF(OR($C21=0,$M$6=0),0,VLOOKUP($C21,'SD2'!$C$60:$O$78,12,FALSE))</f>
        <v>0</v>
      </c>
      <c r="M21" s="2795"/>
      <c r="N21" s="1244"/>
      <c r="O21" s="2827">
        <f>IF(OR($C21=0,$P$6=0),0,VLOOKUP($C21,'SD2'!C62:O79,12,FALSE))</f>
        <v>0</v>
      </c>
      <c r="P21" s="2826"/>
      <c r="Q21" s="2895"/>
      <c r="R21" s="2888"/>
      <c r="S21" s="2888"/>
      <c r="T21" s="2888"/>
    </row>
    <row r="22" spans="1:26" ht="15.6" customHeight="1">
      <c r="A22" s="309"/>
      <c r="B22" s="245" t="s">
        <v>869</v>
      </c>
      <c r="C22" s="39"/>
      <c r="D22" s="1234"/>
      <c r="E22" s="4370" t="s">
        <v>868</v>
      </c>
      <c r="F22" s="4370"/>
      <c r="G22" s="4371"/>
      <c r="H22" s="1231"/>
      <c r="I22" s="1230"/>
      <c r="J22" s="1229"/>
      <c r="K22" s="1233"/>
      <c r="L22" s="1232"/>
      <c r="M22" s="1229"/>
      <c r="N22" s="1231"/>
      <c r="O22" s="1230"/>
      <c r="P22" s="1229"/>
    </row>
    <row r="23" spans="1:26" s="36" customFormat="1" ht="18.75" customHeight="1">
      <c r="A23" s="746"/>
      <c r="B23" s="209" t="s">
        <v>214</v>
      </c>
      <c r="C23" s="1228"/>
      <c r="D23" s="1228"/>
      <c r="E23" s="34"/>
      <c r="F23" s="4381"/>
      <c r="G23" s="4382" t="s">
        <v>163</v>
      </c>
      <c r="H23" s="1043"/>
      <c r="I23" s="1042"/>
      <c r="J23" s="1026">
        <f>SUM(I25:I26)</f>
        <v>284</v>
      </c>
      <c r="K23" s="1046"/>
      <c r="L23" s="1045"/>
      <c r="M23" s="1227">
        <f>SUM(L25:L26)</f>
        <v>284</v>
      </c>
      <c r="N23" s="1043"/>
      <c r="O23" s="1042"/>
      <c r="P23" s="1026">
        <f>SUM(O25:O26)</f>
        <v>284</v>
      </c>
      <c r="Q23" s="28"/>
    </row>
    <row r="24" spans="1:26"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26" s="511" customFormat="1" ht="18.75" customHeight="1">
      <c r="A25" s="711"/>
      <c r="B25" s="1223"/>
      <c r="C25" s="746" t="s">
        <v>866</v>
      </c>
      <c r="D25" s="4383"/>
      <c r="E25" s="4384"/>
      <c r="F25" s="1222">
        <f>SDÖ7!F22/100</f>
        <v>1.42</v>
      </c>
      <c r="G25" s="1221">
        <f>F25*(100+$D$24)/100</f>
        <v>1.42</v>
      </c>
      <c r="H25" s="1220">
        <v>200</v>
      </c>
      <c r="I25" s="1181">
        <f>H25*$G25</f>
        <v>284</v>
      </c>
      <c r="J25" s="39"/>
      <c r="K25" s="1220">
        <f>H25</f>
        <v>200</v>
      </c>
      <c r="L25" s="1023">
        <f>K25*$G25</f>
        <v>284</v>
      </c>
      <c r="M25" s="1016"/>
      <c r="N25" s="1220">
        <f>H25</f>
        <v>200</v>
      </c>
      <c r="O25" s="1181">
        <f>N25*$G25</f>
        <v>284</v>
      </c>
      <c r="P25" s="1145"/>
      <c r="Q25" s="28"/>
    </row>
    <row r="26" spans="1:26"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26" s="511" customFormat="1" ht="17.399999999999999" customHeight="1">
      <c r="A27" s="711"/>
      <c r="B27" s="1215" t="s">
        <v>213</v>
      </c>
      <c r="C27" s="711"/>
      <c r="D27" s="51"/>
      <c r="E27" s="34"/>
      <c r="F27" s="34"/>
      <c r="G27" s="1214" t="s">
        <v>163</v>
      </c>
      <c r="H27" s="1173"/>
      <c r="I27" s="1172"/>
      <c r="J27" s="1041">
        <f>SUM(I30:I32)</f>
        <v>-8.7375000000000327</v>
      </c>
      <c r="K27" s="1175"/>
      <c r="L27" s="1174"/>
      <c r="M27" s="1044">
        <f>SUM(L30:L32)</f>
        <v>-11.650000000000027</v>
      </c>
      <c r="N27" s="1173"/>
      <c r="O27" s="1172"/>
      <c r="P27" s="1041">
        <f>SUM(O30:O32)</f>
        <v>-14.562500000000057</v>
      </c>
      <c r="Q27" s="28"/>
    </row>
    <row r="28" spans="1:26" s="36" customFormat="1" ht="15" customHeight="1">
      <c r="A28" s="746"/>
      <c r="B28" s="774"/>
      <c r="C28" s="2373"/>
      <c r="D28" s="1213" t="s">
        <v>706</v>
      </c>
      <c r="E28" s="1213" t="s">
        <v>864</v>
      </c>
      <c r="F28" s="1213" t="s">
        <v>864</v>
      </c>
      <c r="G28" s="1212" t="s">
        <v>863</v>
      </c>
      <c r="H28" s="1172"/>
      <c r="I28" s="1209"/>
      <c r="J28" s="2374"/>
      <c r="K28" s="1175"/>
      <c r="L28" s="1105"/>
      <c r="M28" s="1210"/>
      <c r="N28" s="1173"/>
      <c r="O28" s="1209"/>
      <c r="P28" s="1026"/>
      <c r="Q28" s="28"/>
    </row>
    <row r="29" spans="1:26" s="36" customFormat="1" ht="15" customHeight="1">
      <c r="A29" s="746"/>
      <c r="B29" s="1208"/>
      <c r="C29" s="747" t="s">
        <v>862</v>
      </c>
      <c r="D29" s="1034" t="s">
        <v>611</v>
      </c>
      <c r="E29" s="1034" t="s">
        <v>861</v>
      </c>
      <c r="F29" s="1034" t="s">
        <v>860</v>
      </c>
      <c r="G29" s="1034" t="s">
        <v>1128</v>
      </c>
      <c r="H29" s="1205" t="s">
        <v>612</v>
      </c>
      <c r="I29" s="1027" t="s">
        <v>163</v>
      </c>
      <c r="J29" s="2373"/>
      <c r="K29" s="1207" t="s">
        <v>612</v>
      </c>
      <c r="L29" s="1030" t="s">
        <v>163</v>
      </c>
      <c r="M29" s="1206"/>
      <c r="N29" s="1205" t="s">
        <v>612</v>
      </c>
      <c r="O29" s="1027" t="s">
        <v>163</v>
      </c>
      <c r="P29" s="1204"/>
      <c r="Q29" s="28"/>
    </row>
    <row r="30" spans="1:26" s="36" customFormat="1" ht="15" customHeight="1">
      <c r="A30" s="746"/>
      <c r="B30" s="1203"/>
      <c r="C30" s="1202" t="s">
        <v>236</v>
      </c>
      <c r="D30" s="1150">
        <f>SDÖ1!O56</f>
        <v>5.18</v>
      </c>
      <c r="E30" s="1201">
        <f>VLOOKUP('SD8'!B31,'SD8'!B9:K44,3,FALSE)</f>
        <v>-0.90000000000000036</v>
      </c>
      <c r="F30" s="1201"/>
      <c r="G30" s="1200"/>
      <c r="H30" s="1198">
        <f>IF(J$6=0,0,(J$6*$E30+$G30+X13))</f>
        <v>-16.875000000000007</v>
      </c>
      <c r="I30" s="1181">
        <f>H30*$D30</f>
        <v>-87.412500000000037</v>
      </c>
      <c r="J30" s="39"/>
      <c r="K30" s="1199">
        <f>IF(M$6=0,0,(M$6*$E30+$G30+AA14))</f>
        <v>-22.500000000000007</v>
      </c>
      <c r="L30" s="1023">
        <f>K30*$D30</f>
        <v>-116.55000000000003</v>
      </c>
      <c r="M30" s="1016"/>
      <c r="N30" s="1198">
        <f>IF(P$6=0,0,(P$6*$E30+$G30+AD14))</f>
        <v>-28.125000000000011</v>
      </c>
      <c r="O30" s="1181">
        <f>N30*$D30</f>
        <v>-145.68750000000006</v>
      </c>
      <c r="P30" s="1145"/>
      <c r="Q30" s="28"/>
    </row>
    <row r="31" spans="1:26" s="36" customFormat="1" ht="15" customHeight="1">
      <c r="A31" s="746"/>
      <c r="B31" s="217"/>
      <c r="C31" s="746" t="s">
        <v>234</v>
      </c>
      <c r="D31" s="1150">
        <f>SDÖ1!O57</f>
        <v>1.42</v>
      </c>
      <c r="E31" s="1201">
        <f>VLOOKUP('SD8'!B31,'SD8'!B9:K44,4,FALSE)</f>
        <v>1.2</v>
      </c>
      <c r="F31" s="1201"/>
      <c r="G31" s="1200"/>
      <c r="H31" s="1198">
        <f>IF(J$6=0,0,(J$6*$E31+$G31+X14))</f>
        <v>22.5</v>
      </c>
      <c r="I31" s="1181">
        <f>H31*$D31</f>
        <v>31.95</v>
      </c>
      <c r="J31" s="39"/>
      <c r="K31" s="1199">
        <f>IF(M$6=0,0,(M$6*$E31+$G31+Y14))</f>
        <v>30</v>
      </c>
      <c r="L31" s="1023">
        <f>K31*$D31</f>
        <v>42.599999999999994</v>
      </c>
      <c r="M31" s="1016"/>
      <c r="N31" s="1198">
        <f>IF(P$6=0,0,(P$6*$E31+$G31+Z14))</f>
        <v>37.5</v>
      </c>
      <c r="O31" s="1181">
        <f>N31*$D31</f>
        <v>53.25</v>
      </c>
      <c r="P31" s="1145"/>
      <c r="Q31" s="28"/>
    </row>
    <row r="32" spans="1:26" s="511" customFormat="1" ht="18.75" customHeight="1">
      <c r="A32" s="711"/>
      <c r="B32" s="185"/>
      <c r="C32" s="2791" t="s">
        <v>232</v>
      </c>
      <c r="D32" s="1133">
        <f>SDÖ1!O58</f>
        <v>1.78</v>
      </c>
      <c r="E32" s="1197">
        <f>VLOOKUP('SD8'!B31,'SD8'!B9:K44,5,FALSE)</f>
        <v>1.4</v>
      </c>
      <c r="F32" s="1197"/>
      <c r="G32" s="1196"/>
      <c r="H32" s="1194">
        <f>IF(J$6=0,0,(J$6*$E32+$G32+X15))</f>
        <v>26.25</v>
      </c>
      <c r="I32" s="1177">
        <f>H32*$D32</f>
        <v>46.725000000000001</v>
      </c>
      <c r="J32" s="223"/>
      <c r="K32" s="1195">
        <f>IF(M$6=0,0,(M$6*$E32+$G32+Y15))</f>
        <v>35</v>
      </c>
      <c r="L32" s="1017">
        <f>K32*$D32</f>
        <v>62.300000000000004</v>
      </c>
      <c r="M32" s="1256"/>
      <c r="N32" s="1194">
        <f>IF(P$6=0,0,(P$6*$E32+$G32+Z15))</f>
        <v>43.75</v>
      </c>
      <c r="O32" s="1177">
        <f>N32*$D32</f>
        <v>77.875</v>
      </c>
      <c r="P32" s="1176"/>
      <c r="Q32" s="28"/>
    </row>
    <row r="33" spans="1:17" s="511" customFormat="1" ht="13.2" hidden="1" customHeight="1">
      <c r="A33" s="711"/>
      <c r="B33" s="185"/>
      <c r="C33" s="771" t="s">
        <v>230</v>
      </c>
      <c r="D33" s="1133">
        <f>SDÖ1!P59</f>
        <v>0.5</v>
      </c>
      <c r="E33" s="1197">
        <f>VLOOKUP('SD8'!B31,'SD8'!B9:K44,6,FALSE)</f>
        <v>0.2</v>
      </c>
      <c r="F33" s="1197"/>
      <c r="G33" s="1196"/>
      <c r="H33" s="1194">
        <f>IF(J$6=0,0,(J$6*$E33+$G33+X16))</f>
        <v>3.75</v>
      </c>
      <c r="I33" s="1177">
        <f>H33*$D33</f>
        <v>1.875</v>
      </c>
      <c r="J33" s="39"/>
      <c r="K33" s="1195">
        <f>IF(M$6=0,0,(M$6*$E33+$G33+Y16))</f>
        <v>5</v>
      </c>
      <c r="L33" s="1017">
        <f>K33*$D33</f>
        <v>2.5</v>
      </c>
      <c r="M33" s="1016"/>
      <c r="N33" s="1194">
        <f>IF(P$6=0,0,(P$6*$E33+$G33+Z16))</f>
        <v>6.25</v>
      </c>
      <c r="O33" s="1177">
        <f>N33*$D33</f>
        <v>3.125</v>
      </c>
      <c r="P33" s="1176"/>
      <c r="Q33" s="28"/>
    </row>
    <row r="34" spans="1:17" s="36" customFormat="1" ht="15" customHeight="1">
      <c r="A34" s="746"/>
      <c r="B34" s="716" t="s">
        <v>212</v>
      </c>
      <c r="C34" s="711"/>
      <c r="D34" s="2373"/>
      <c r="E34" s="2373"/>
      <c r="F34" s="4381"/>
      <c r="G34" s="4382" t="s">
        <v>163</v>
      </c>
      <c r="H34" s="1191"/>
      <c r="I34" s="1190"/>
      <c r="J34" s="1041">
        <f>SUM(I36:I42)</f>
        <v>0</v>
      </c>
      <c r="K34" s="1193"/>
      <c r="L34" s="1192"/>
      <c r="M34" s="1044">
        <f>SUM(L36:L42)</f>
        <v>0</v>
      </c>
      <c r="N34" s="1191"/>
      <c r="O34" s="1190"/>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3744"/>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168.48147875999999</v>
      </c>
      <c r="K43" s="1175"/>
      <c r="L43" s="1174"/>
      <c r="M43" s="1044">
        <f>SUM(M46:M57)</f>
        <v>169.46125627666663</v>
      </c>
      <c r="N43" s="1173"/>
      <c r="O43" s="1172"/>
      <c r="P43" s="1041">
        <f>SUM(P46:P57)</f>
        <v>170.4410337933333</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3"/>
      <c r="C46" s="4387" t="s">
        <v>1589</v>
      </c>
      <c r="D46" s="4388"/>
      <c r="E46" s="1152">
        <f>IF($C46=0,0,VLOOKUP($C46,'SD3'!$C$24:$O$71,4,FALSE))</f>
        <v>120</v>
      </c>
      <c r="F46" s="1151">
        <f>IF($C46=0,0,VLOOKUP($C46,'SD3'!$C$24:$O$71,12,FALSE))</f>
        <v>1.38</v>
      </c>
      <c r="G46" s="1150">
        <f>IF($C46=0,0,VLOOKUP($C46,'SD3'!$C$24:$O$71,13,FALSE))</f>
        <v>64.642445999999993</v>
      </c>
      <c r="H46" s="1147">
        <v>1</v>
      </c>
      <c r="I46" s="1146">
        <f t="shared" ref="I46:I57" si="4">$F46*H46</f>
        <v>1.38</v>
      </c>
      <c r="J46" s="1145">
        <f t="shared" ref="J46:J57" si="5">H46*$G46</f>
        <v>64.642445999999993</v>
      </c>
      <c r="K46" s="1147">
        <v>1</v>
      </c>
      <c r="L46" s="1149">
        <f>$F46*K46</f>
        <v>1.38</v>
      </c>
      <c r="M46" s="1148">
        <f t="shared" ref="M46:M57" si="6">K46*$G46</f>
        <v>64.642445999999993</v>
      </c>
      <c r="N46" s="1147">
        <v>1</v>
      </c>
      <c r="O46" s="1146">
        <f t="shared" ref="O46:O57" si="7">$F46*N46</f>
        <v>1.38</v>
      </c>
      <c r="P46" s="1145">
        <f t="shared" ref="P46:P57" si="8">N46*$G46</f>
        <v>64.642445999999993</v>
      </c>
      <c r="Q46" s="28"/>
    </row>
    <row r="47" spans="1:17" s="36" customFormat="1" ht="15" customHeight="1">
      <c r="A47" s="746"/>
      <c r="B47" s="1153"/>
      <c r="C47" s="4387"/>
      <c r="D47" s="4388"/>
      <c r="E47" s="1152">
        <f>IF($C47=0,0,VLOOKUP($C47,'SD3'!$C$24:$O$71,4,FALSE))</f>
        <v>0</v>
      </c>
      <c r="F47" s="1151">
        <f>IF($C47=0,0,VLOOKUP($C47,'SD3'!$C$24:$O$71,12,FALSE))</f>
        <v>0</v>
      </c>
      <c r="G47" s="1150">
        <f>IF($C47=0,0,VLOOKUP($C47,'SD3'!$C$24:$O$71,13,FALSE))</f>
        <v>0</v>
      </c>
      <c r="H47" s="1147"/>
      <c r="I47" s="1146">
        <f t="shared" si="4"/>
        <v>0</v>
      </c>
      <c r="J47" s="1145">
        <f t="shared" si="5"/>
        <v>0</v>
      </c>
      <c r="K47" s="1147"/>
      <c r="L47" s="1149">
        <f>$F47*K47</f>
        <v>0</v>
      </c>
      <c r="M47" s="1148">
        <f t="shared" si="6"/>
        <v>0</v>
      </c>
      <c r="N47" s="1147"/>
      <c r="O47" s="1146">
        <f t="shared" si="7"/>
        <v>0</v>
      </c>
      <c r="P47" s="1145">
        <f t="shared" si="8"/>
        <v>0</v>
      </c>
      <c r="Q47" s="28"/>
    </row>
    <row r="48" spans="1:17" s="36" customFormat="1" ht="15" customHeight="1">
      <c r="A48" s="746"/>
      <c r="B48" s="1153"/>
      <c r="C48" s="4387" t="s">
        <v>354</v>
      </c>
      <c r="D48" s="4388"/>
      <c r="E48" s="1152">
        <f>IF($C48=0,0,VLOOKUP($C48,'SD3'!$C$24:$O$71,4,FALSE))</f>
        <v>120</v>
      </c>
      <c r="F48" s="1151">
        <f>IF($C48=0,0,VLOOKUP($C48,'SD3'!$C$24:$O$71,12,FALSE))</f>
        <v>0.71</v>
      </c>
      <c r="G48" s="1150">
        <f>IF($C48=0,0,VLOOKUP($C48,'SD3'!$C$24:$O$71,13,FALSE))</f>
        <v>30.659437999999998</v>
      </c>
      <c r="H48" s="1147">
        <v>1</v>
      </c>
      <c r="I48" s="1146">
        <f t="shared" si="4"/>
        <v>0.71</v>
      </c>
      <c r="J48" s="1145">
        <f t="shared" si="5"/>
        <v>30.659437999999998</v>
      </c>
      <c r="K48" s="1147">
        <v>1</v>
      </c>
      <c r="L48" s="1149">
        <f>$F48*K48</f>
        <v>0.71</v>
      </c>
      <c r="M48" s="1148">
        <f t="shared" si="6"/>
        <v>30.659437999999998</v>
      </c>
      <c r="N48" s="1147">
        <v>1</v>
      </c>
      <c r="O48" s="1146">
        <f t="shared" si="7"/>
        <v>0.71</v>
      </c>
      <c r="P48" s="1145">
        <f t="shared" si="8"/>
        <v>30.659437999999998</v>
      </c>
      <c r="Q48" s="28"/>
    </row>
    <row r="49" spans="1:17" s="36" customFormat="1" ht="15" customHeight="1">
      <c r="A49" s="746"/>
      <c r="B49" s="1153"/>
      <c r="C49" s="4387"/>
      <c r="D49" s="4388"/>
      <c r="E49" s="1152">
        <f>IF($C49=0,0,VLOOKUP($C49,'SD3'!$C$24:$O$71,4,FALSE))</f>
        <v>0</v>
      </c>
      <c r="F49" s="1151">
        <f>IF($C49=0,0,VLOOKUP($C49,'SD3'!$C$24:$O$71,12,FALSE))</f>
        <v>0</v>
      </c>
      <c r="G49" s="1150">
        <f>IF($C49=0,0,VLOOKUP($C49,'SD3'!$C$24:$O$71,13,FALSE))</f>
        <v>0</v>
      </c>
      <c r="H49" s="1147"/>
      <c r="I49" s="1146">
        <f t="shared" si="4"/>
        <v>0</v>
      </c>
      <c r="J49" s="1145">
        <f t="shared" si="5"/>
        <v>0</v>
      </c>
      <c r="K49" s="1147"/>
      <c r="L49" s="1149"/>
      <c r="M49" s="1148">
        <f t="shared" si="6"/>
        <v>0</v>
      </c>
      <c r="N49" s="1147"/>
      <c r="O49" s="1146">
        <f t="shared" si="7"/>
        <v>0</v>
      </c>
      <c r="P49" s="1145">
        <f t="shared" si="8"/>
        <v>0</v>
      </c>
      <c r="Q49" s="28"/>
    </row>
    <row r="50" spans="1:17" s="36" customFormat="1" ht="15" customHeight="1">
      <c r="A50" s="746"/>
      <c r="B50" s="1153"/>
      <c r="C50" s="4387" t="s">
        <v>339</v>
      </c>
      <c r="D50" s="4388"/>
      <c r="E50" s="1152">
        <f>IF($C50=0,0,VLOOKUP($C50,'SD3'!$C$24:$O$71,4,FALSE))</f>
        <v>83</v>
      </c>
      <c r="F50" s="1151">
        <f>IF($C50=0,0,VLOOKUP($C50,'SD3'!$C$24:$O$71,12,FALSE))</f>
        <v>0.27</v>
      </c>
      <c r="G50" s="1150">
        <f>IF($C50=0,0,VLOOKUP($C50,'SD3'!$C$24:$O$71,13,FALSE))</f>
        <v>6.9619069099999997</v>
      </c>
      <c r="H50" s="1147">
        <v>1</v>
      </c>
      <c r="I50" s="1146">
        <f t="shared" si="4"/>
        <v>0.27</v>
      </c>
      <c r="J50" s="1145">
        <f t="shared" si="5"/>
        <v>6.9619069099999997</v>
      </c>
      <c r="K50" s="1147">
        <v>1</v>
      </c>
      <c r="L50" s="1149">
        <f t="shared" ref="L50:L57" si="9">$F50*K50</f>
        <v>0.27</v>
      </c>
      <c r="M50" s="1148">
        <f t="shared" si="6"/>
        <v>6.9619069099999997</v>
      </c>
      <c r="N50" s="1147">
        <v>1</v>
      </c>
      <c r="O50" s="1146">
        <f t="shared" si="7"/>
        <v>0.27</v>
      </c>
      <c r="P50" s="1145">
        <f t="shared" si="8"/>
        <v>6.9619069099999997</v>
      </c>
      <c r="Q50" s="28"/>
    </row>
    <row r="51" spans="1:17" s="36" customFormat="1" ht="15" customHeight="1">
      <c r="A51" s="746"/>
      <c r="B51" s="1153"/>
      <c r="C51" s="4387"/>
      <c r="D51" s="4388"/>
      <c r="E51" s="1152">
        <f>IF($C51=0,0,VLOOKUP($C51,'SD3'!$C$24:$O$71,4,FALSE))</f>
        <v>0</v>
      </c>
      <c r="F51" s="1151">
        <f>IF($C51=0,0,VLOOKUP($C51,'SD3'!$C$24:$O$71,12,FALSE))</f>
        <v>0</v>
      </c>
      <c r="G51" s="1150">
        <f>IF($C51=0,0,VLOOKUP($C51,'SD3'!$C$24:$O$71,13,FALSE))</f>
        <v>0</v>
      </c>
      <c r="H51" s="1147"/>
      <c r="I51" s="1146">
        <f t="shared" si="4"/>
        <v>0</v>
      </c>
      <c r="J51" s="1145">
        <f t="shared" si="5"/>
        <v>0</v>
      </c>
      <c r="K51" s="1147"/>
      <c r="L51" s="1149">
        <f t="shared" si="9"/>
        <v>0</v>
      </c>
      <c r="M51" s="1148">
        <f t="shared" si="6"/>
        <v>0</v>
      </c>
      <c r="N51" s="1147"/>
      <c r="O51" s="1146">
        <f t="shared" si="7"/>
        <v>0</v>
      </c>
      <c r="P51" s="1145">
        <f t="shared" si="8"/>
        <v>0</v>
      </c>
      <c r="Q51" s="28"/>
    </row>
    <row r="52" spans="1:17" s="36" customFormat="1" ht="15" customHeight="1">
      <c r="A52" s="746"/>
      <c r="B52" s="1153"/>
      <c r="C52" s="4387" t="s">
        <v>338</v>
      </c>
      <c r="D52" s="4388"/>
      <c r="E52" s="1152">
        <f>IF($C52=0,0,VLOOKUP($C52,'SD3'!$C$24:$O$71,4,FALSE))</f>
        <v>54</v>
      </c>
      <c r="F52" s="1151">
        <f>IF($C52=0,0,VLOOKUP($C52,'SD3'!$C$24:$O$71,12,FALSE))</f>
        <v>1.1299999999999999</v>
      </c>
      <c r="G52" s="1150">
        <f>IF($C52=0,0,VLOOKUP($C52,'SD3'!$C$24:$O$71,13,FALSE))</f>
        <v>19.852731299999999</v>
      </c>
      <c r="H52" s="1147">
        <v>1</v>
      </c>
      <c r="I52" s="1146">
        <f t="shared" si="4"/>
        <v>1.1299999999999999</v>
      </c>
      <c r="J52" s="1145">
        <f t="shared" si="5"/>
        <v>19.852731299999999</v>
      </c>
      <c r="K52" s="1147">
        <v>1</v>
      </c>
      <c r="L52" s="1149">
        <f t="shared" si="9"/>
        <v>1.1299999999999999</v>
      </c>
      <c r="M52" s="1148">
        <f t="shared" si="6"/>
        <v>19.852731299999999</v>
      </c>
      <c r="N52" s="1147">
        <v>1</v>
      </c>
      <c r="O52" s="1146">
        <f t="shared" si="7"/>
        <v>1.1299999999999999</v>
      </c>
      <c r="P52" s="1145">
        <f t="shared" si="8"/>
        <v>19.852731299999999</v>
      </c>
      <c r="Q52" s="28"/>
    </row>
    <row r="53" spans="1:17" s="36" customFormat="1" ht="15" customHeight="1">
      <c r="A53" s="746"/>
      <c r="B53" s="1153"/>
      <c r="C53" s="4387"/>
      <c r="D53" s="4388"/>
      <c r="E53" s="1152">
        <f>IF($C53=0,0,VLOOKUP($C53,'SD3'!$C$24:$O$71,4,FALSE))</f>
        <v>0</v>
      </c>
      <c r="F53" s="1151">
        <f>IF($C53=0,0,VLOOKUP($C53,'SD3'!$C$24:$O$71,12,FALSE))</f>
        <v>0</v>
      </c>
      <c r="G53" s="1150">
        <f>IF($C53=0,0,VLOOKUP($C53,'SD3'!$C$24:$O$71,13,FALSE))</f>
        <v>0</v>
      </c>
      <c r="H53" s="1147"/>
      <c r="I53" s="1146">
        <f t="shared" si="4"/>
        <v>0</v>
      </c>
      <c r="J53" s="1145">
        <f t="shared" si="5"/>
        <v>0</v>
      </c>
      <c r="K53" s="1147"/>
      <c r="L53" s="1149">
        <f t="shared" si="9"/>
        <v>0</v>
      </c>
      <c r="M53" s="1148">
        <f t="shared" si="6"/>
        <v>0</v>
      </c>
      <c r="N53" s="1147"/>
      <c r="O53" s="1146">
        <f t="shared" si="7"/>
        <v>0</v>
      </c>
      <c r="P53" s="1145">
        <f t="shared" si="8"/>
        <v>0</v>
      </c>
      <c r="Q53" s="28"/>
    </row>
    <row r="54" spans="1:17" s="36" customFormat="1" ht="15" customHeight="1">
      <c r="A54" s="746"/>
      <c r="B54" s="1153"/>
      <c r="C54" s="4403" t="s">
        <v>1748</v>
      </c>
      <c r="D54" s="4404"/>
      <c r="E54" s="1152">
        <f>IF($C54=0,0,VLOOKUP($C54,'SD3'!$C$24:$O$71,4,FALSE))</f>
        <v>120</v>
      </c>
      <c r="F54" s="1151">
        <f>IF($C54=0,0,VLOOKUP($C54,'SD3'!$C$24:$O$71,12,FALSE))</f>
        <v>0.37</v>
      </c>
      <c r="G54" s="1150">
        <f>IF($C54=0,0,VLOOKUP($C54,'SD3'!$C$24:$O$71,13,FALSE))</f>
        <v>11.7573302</v>
      </c>
      <c r="H54" s="3654">
        <f>J6/75</f>
        <v>0.25</v>
      </c>
      <c r="I54" s="1146">
        <f t="shared" si="4"/>
        <v>9.2499999999999999E-2</v>
      </c>
      <c r="J54" s="1145">
        <f t="shared" si="5"/>
        <v>2.93933255</v>
      </c>
      <c r="K54" s="3654">
        <f>M6/75</f>
        <v>0.33333333333333331</v>
      </c>
      <c r="L54" s="1149">
        <f t="shared" si="9"/>
        <v>0.12333333333333332</v>
      </c>
      <c r="M54" s="1148">
        <f t="shared" si="6"/>
        <v>3.9191100666666667</v>
      </c>
      <c r="N54" s="3654">
        <f>P6/75</f>
        <v>0.41666666666666669</v>
      </c>
      <c r="O54" s="1146">
        <f t="shared" si="7"/>
        <v>0.15416666666666667</v>
      </c>
      <c r="P54" s="1145">
        <f t="shared" si="8"/>
        <v>4.8988875833333339</v>
      </c>
      <c r="Q54" s="28"/>
    </row>
    <row r="55" spans="1:17" s="36" customFormat="1" ht="15" customHeight="1">
      <c r="A55" s="746"/>
      <c r="B55" s="1153"/>
      <c r="C55" s="4387" t="s">
        <v>359</v>
      </c>
      <c r="D55" s="4388"/>
      <c r="E55" s="1152">
        <f>IF($C55=0,0,VLOOKUP($C55,'SD3'!$C$24:$O$71,4,FALSE))</f>
        <v>120</v>
      </c>
      <c r="F55" s="1151">
        <f>IF($C55=0,0,VLOOKUP($C55,'SD3'!$C$24:$O$71,12,FALSE))</f>
        <v>0.54</v>
      </c>
      <c r="G55" s="1150">
        <f>IF($C55=0,0,VLOOKUP($C55,'SD3'!$C$24:$O$71,13,FALSE))</f>
        <v>21.712812</v>
      </c>
      <c r="H55" s="1147">
        <v>2</v>
      </c>
      <c r="I55" s="1146">
        <f t="shared" si="4"/>
        <v>1.08</v>
      </c>
      <c r="J55" s="1145">
        <f t="shared" si="5"/>
        <v>43.425623999999999</v>
      </c>
      <c r="K55" s="1147">
        <v>2</v>
      </c>
      <c r="L55" s="1149">
        <f t="shared" si="9"/>
        <v>1.08</v>
      </c>
      <c r="M55" s="1148">
        <f t="shared" si="6"/>
        <v>43.425623999999999</v>
      </c>
      <c r="N55" s="1147">
        <v>2</v>
      </c>
      <c r="O55" s="1146">
        <f t="shared" si="7"/>
        <v>1.08</v>
      </c>
      <c r="P55" s="1145">
        <f t="shared" si="8"/>
        <v>43.425623999999999</v>
      </c>
      <c r="Q55" s="28"/>
    </row>
    <row r="56" spans="1:17" s="36" customFormat="1" ht="13.8">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9"/>
        <v>0</v>
      </c>
      <c r="M56" s="1337">
        <f t="shared" si="6"/>
        <v>0</v>
      </c>
      <c r="N56" s="1336"/>
      <c r="O56" s="1335">
        <f t="shared" si="7"/>
        <v>0</v>
      </c>
      <c r="P56" s="1334">
        <f t="shared" si="8"/>
        <v>0</v>
      </c>
      <c r="Q56" s="28"/>
    </row>
    <row r="57" spans="1:17" s="36" customFormat="1" ht="24.75" customHeight="1">
      <c r="A57" s="746"/>
      <c r="B57" s="1084"/>
      <c r="C57" s="4461" t="s">
        <v>332</v>
      </c>
      <c r="D57" s="4462"/>
      <c r="E57" s="2589">
        <f>IF($C57=0,0,VLOOKUP($C57,'SD3'!$C$24:$O$71,4,FALSE))</f>
        <v>83</v>
      </c>
      <c r="F57" s="2590">
        <f>IF($C57=0,0,VLOOKUP($C57,'SD3'!$C$24:$O$71,12,FALSE))</f>
        <v>1.3</v>
      </c>
      <c r="G57" s="2591">
        <f>IF($C57=0,0,VLOOKUP($C57,'SD3'!$C$24:$O$71,13,FALSE))</f>
        <v>25.970662899999994</v>
      </c>
      <c r="H57" s="3745">
        <f>H11/35</f>
        <v>0</v>
      </c>
      <c r="I57" s="1130">
        <f t="shared" si="4"/>
        <v>0</v>
      </c>
      <c r="J57" s="1129">
        <f t="shared" si="5"/>
        <v>0</v>
      </c>
      <c r="K57" s="3746">
        <f>K11/35</f>
        <v>0</v>
      </c>
      <c r="L57" s="1132">
        <f t="shared" si="9"/>
        <v>0</v>
      </c>
      <c r="M57" s="1079">
        <f t="shared" si="6"/>
        <v>0</v>
      </c>
      <c r="N57" s="3745">
        <f>N11/35</f>
        <v>0</v>
      </c>
      <c r="O57" s="1130">
        <f t="shared" si="7"/>
        <v>0</v>
      </c>
      <c r="P57" s="1129">
        <f t="shared" si="8"/>
        <v>0</v>
      </c>
      <c r="Q57" s="2636"/>
    </row>
    <row r="58" spans="1:17" s="511" customFormat="1" ht="18.75" customHeight="1">
      <c r="A58" s="711"/>
      <c r="B58" s="716" t="s">
        <v>848</v>
      </c>
      <c r="C58" s="811"/>
      <c r="D58" s="811"/>
      <c r="E58" s="811"/>
      <c r="F58" s="34"/>
      <c r="G58" s="1047"/>
      <c r="H58" s="1124"/>
      <c r="I58" s="1123">
        <f>SUM($I$46:$I$57)</f>
        <v>4.6624999999999996</v>
      </c>
      <c r="J58" s="1128"/>
      <c r="K58" s="1127"/>
      <c r="L58" s="1126">
        <f>SUM($L$46:$L$57)</f>
        <v>4.6933333333333334</v>
      </c>
      <c r="M58" s="1125"/>
      <c r="N58" s="1124"/>
      <c r="O58" s="1123">
        <f>SUM($O$46:$O$57)</f>
        <v>4.7241666666666671</v>
      </c>
      <c r="P58" s="1122"/>
      <c r="Q58" s="28"/>
    </row>
    <row r="59" spans="1:17" s="511" customFormat="1" ht="15" customHeight="1">
      <c r="A59" s="711"/>
      <c r="B59" s="1121"/>
      <c r="C59" s="285"/>
      <c r="D59" s="222" t="s">
        <v>847</v>
      </c>
      <c r="E59" s="1120">
        <v>80</v>
      </c>
      <c r="F59" s="285" t="s">
        <v>846</v>
      </c>
      <c r="G59" s="1119"/>
      <c r="H59" s="1115"/>
      <c r="I59" s="1114">
        <f>IF(I58+SUM($I$46:$I$57)*$E$59%&gt;I58+10,I58+10,I58+SUM($I$46:$I$57)*$E$59%)</f>
        <v>8.3925000000000001</v>
      </c>
      <c r="J59" s="1113"/>
      <c r="K59" s="1118"/>
      <c r="L59" s="1117">
        <f>IF(L58+SUM($L$46:$L$57)*$E$59%&gt;L58+10,L58+10,L58+SUM($L$46:$L$57)*$E$59%)</f>
        <v>8.4480000000000004</v>
      </c>
      <c r="M59" s="1116"/>
      <c r="N59" s="1115"/>
      <c r="O59" s="1114">
        <f>IF(O58+SUM($O$46:$O$57)*$E$59%&gt;O58+10,O58+10,O58+SUM($O$46:$O$57)*$E$59%)</f>
        <v>8.5035000000000007</v>
      </c>
      <c r="P59" s="1113"/>
      <c r="Q59" s="28"/>
    </row>
    <row r="60" spans="1:17" s="46" customFormat="1" ht="18.75" customHeight="1">
      <c r="A60" s="811"/>
      <c r="B60" s="716" t="s">
        <v>845</v>
      </c>
      <c r="C60" s="811"/>
      <c r="D60" s="811"/>
      <c r="E60" s="39"/>
      <c r="F60" s="39"/>
      <c r="G60" s="1112"/>
      <c r="H60" s="1104"/>
      <c r="I60" s="1103"/>
      <c r="J60" s="1111">
        <f>IF(J6=0,0,SUM(I62:I64))</f>
        <v>204.3</v>
      </c>
      <c r="K60" s="1107"/>
      <c r="L60" s="1106"/>
      <c r="M60" s="1044">
        <f>IF(M6=0,0,SUM(L62:L64))</f>
        <v>204.3</v>
      </c>
      <c r="N60" s="1104"/>
      <c r="O60" s="1103"/>
      <c r="P60" s="1111">
        <f>IF(P6=0,0,SUM(O62:O64))</f>
        <v>204.3</v>
      </c>
      <c r="Q60" s="28"/>
    </row>
    <row r="61" spans="1:17"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t="s">
        <v>298</v>
      </c>
      <c r="D62" s="4365"/>
      <c r="E62" s="4365"/>
      <c r="F62" s="1101">
        <f>IF($C62=0,0,VLOOKUP($C62,'SD3'!$C$90:$D$104,2,FALSE))</f>
        <v>204.3</v>
      </c>
      <c r="G62" s="1100">
        <f>(100+$D$61)/100*F62</f>
        <v>204.3</v>
      </c>
      <c r="H62" s="173"/>
      <c r="I62" s="1096">
        <f>$G$62</f>
        <v>204.3</v>
      </c>
      <c r="J62" s="173"/>
      <c r="K62" s="1099"/>
      <c r="L62" s="1098">
        <f>$G$62</f>
        <v>204.3</v>
      </c>
      <c r="M62" s="1016"/>
      <c r="N62" s="1097"/>
      <c r="O62" s="1096">
        <f>$G$62</f>
        <v>204.3</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t="s">
        <v>289</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5"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22.95" customHeight="1">
      <c r="A67" s="711"/>
      <c r="B67" s="716" t="s">
        <v>843</v>
      </c>
      <c r="C67" s="711"/>
      <c r="D67" s="711"/>
      <c r="E67" s="175"/>
      <c r="F67" s="1069"/>
      <c r="G67" s="1047"/>
      <c r="H67" s="1066" t="s">
        <v>842</v>
      </c>
      <c r="I67" s="1065" t="s">
        <v>841</v>
      </c>
      <c r="J67" s="1041">
        <f>R68*(H9+H10)*I68%+F68</f>
        <v>59.062500000000021</v>
      </c>
      <c r="K67" s="1068" t="s">
        <v>842</v>
      </c>
      <c r="L67" s="1067" t="s">
        <v>841</v>
      </c>
      <c r="M67" s="1044">
        <f>S68*(K9+K10)*L68%+F68</f>
        <v>78.750000000000028</v>
      </c>
      <c r="N67" s="1066" t="s">
        <v>842</v>
      </c>
      <c r="O67" s="1065" t="s">
        <v>841</v>
      </c>
      <c r="P67" s="1041">
        <f>T68*(N9+N10)*O68%+F68</f>
        <v>98.437500000000043</v>
      </c>
      <c r="Q67" s="28"/>
    </row>
    <row r="68" spans="1:20" s="511" customFormat="1" ht="15" customHeight="1">
      <c r="A68" s="711"/>
      <c r="B68" s="1064"/>
      <c r="C68" s="4393" t="s">
        <v>564</v>
      </c>
      <c r="D68" s="4393"/>
      <c r="E68" s="4393"/>
      <c r="F68" s="1063"/>
      <c r="G68" s="1054" t="s">
        <v>163</v>
      </c>
      <c r="H68" s="1061">
        <v>16</v>
      </c>
      <c r="I68" s="1060">
        <v>100</v>
      </c>
      <c r="J68" s="1059"/>
      <c r="K68" s="1061">
        <v>16</v>
      </c>
      <c r="L68" s="1060">
        <v>100</v>
      </c>
      <c r="M68" s="1062"/>
      <c r="N68" s="1061">
        <v>16</v>
      </c>
      <c r="O68" s="1060">
        <v>100</v>
      </c>
      <c r="P68" s="1059"/>
      <c r="Q68" s="28"/>
      <c r="R68" s="1058">
        <f>IF($H$68=0,0,VLOOKUP($H$68,'SD6'!D8:E256,'SD6'!I1,FALSE))*(1+'SDK1'!O11/100)</f>
        <v>3.1500000000000012</v>
      </c>
      <c r="S68" s="1058">
        <f>IF($K$68=0,0,VLOOKUP($K$68,'SD6'!D8:E256,'SD6'!I1,FALSE))*(1+'SDK1'!O11/100)</f>
        <v>3.1500000000000012</v>
      </c>
      <c r="T68" s="1058">
        <f>IF($N$68=0,0,VLOOKUP($N$68,'SD6'!D8:E256,'SD6'!I1,FALSE))*(1+'SDK1'!O11/100)</f>
        <v>3.1500000000000012</v>
      </c>
    </row>
    <row r="69" spans="1:20" s="511" customFormat="1" ht="18.75" customHeight="1">
      <c r="A69" s="711"/>
      <c r="B69" s="716" t="s">
        <v>839</v>
      </c>
      <c r="C69" s="711"/>
      <c r="D69" s="711"/>
      <c r="E69" s="34"/>
      <c r="F69" s="34"/>
      <c r="G69" s="1047"/>
      <c r="H69" s="38"/>
      <c r="I69" s="51"/>
      <c r="J69" s="1041">
        <f>H70*$F70/1000</f>
        <v>30.228750000000002</v>
      </c>
      <c r="K69" s="1057"/>
      <c r="L69" s="1056"/>
      <c r="M69" s="1044">
        <f>K70*$F70/1000</f>
        <v>40.305</v>
      </c>
      <c r="N69" s="38"/>
      <c r="O69" s="51"/>
      <c r="P69" s="1041">
        <f>N70*$F70/1000</f>
        <v>50.381250000000001</v>
      </c>
      <c r="Q69" s="28"/>
    </row>
    <row r="70" spans="1:20" s="511" customFormat="1" ht="15" customHeight="1">
      <c r="A70" s="711"/>
      <c r="B70" s="772"/>
      <c r="C70" s="771" t="s">
        <v>606</v>
      </c>
      <c r="D70" s="285"/>
      <c r="E70" s="222"/>
      <c r="F70" s="3742">
        <f>SDÖ7!F69</f>
        <v>30</v>
      </c>
      <c r="G70" s="1054" t="s">
        <v>163</v>
      </c>
      <c r="H70" s="1357">
        <f>J7</f>
        <v>1007.625</v>
      </c>
      <c r="I70" s="1049"/>
      <c r="J70" s="1048"/>
      <c r="K70" s="1053">
        <f>M7</f>
        <v>1343.5</v>
      </c>
      <c r="L70" s="1052"/>
      <c r="M70" s="1051"/>
      <c r="N70" s="1357">
        <f>P7</f>
        <v>1679.375</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5</v>
      </c>
      <c r="H75" s="1007"/>
      <c r="I75" s="1008"/>
      <c r="J75" s="1005">
        <f>(J23+J27+J34+J43+J60+J65+J67+J69+J71)*('SDK1'!$O$59%*$G$75/12)</f>
        <v>6.1444602396666674</v>
      </c>
      <c r="K75" s="2223"/>
      <c r="L75" s="522"/>
      <c r="M75" s="1005">
        <f>(M23+M27+M34+M43+M60+M65+M67+M69+M71)*('SDK1'!$O$59%*$G$75/12)</f>
        <v>6.376385468972221</v>
      </c>
      <c r="N75" s="1007"/>
      <c r="O75" s="1006"/>
      <c r="P75" s="1005">
        <f>(P23+P27+P34+P43+P60+P65+P67+P69+P71)*('SDK1'!$O$59%*$G$75/12)</f>
        <v>6.6083106982777773</v>
      </c>
      <c r="Q75" s="28"/>
    </row>
    <row r="76" spans="1:20">
      <c r="L76" s="29"/>
    </row>
    <row r="77" spans="1:20">
      <c r="B77" s="29"/>
      <c r="C77" s="29"/>
      <c r="D77" s="29"/>
      <c r="E77" s="29"/>
      <c r="F77" s="29"/>
      <c r="L77" s="29"/>
      <c r="M77" s="29"/>
      <c r="N77" s="29"/>
      <c r="O77" s="29"/>
      <c r="P77" s="29"/>
    </row>
    <row r="78" spans="1:20">
      <c r="B78" s="29"/>
      <c r="C78" s="29"/>
      <c r="D78" s="29"/>
      <c r="E78" s="29"/>
      <c r="F78" s="29"/>
      <c r="G78" s="29"/>
      <c r="H78" s="29"/>
      <c r="I78" s="29"/>
      <c r="J78" s="29"/>
      <c r="K78" s="29"/>
      <c r="L78" s="29"/>
      <c r="M78" s="29"/>
      <c r="N78" s="29"/>
      <c r="O78" s="29"/>
      <c r="P78" s="29"/>
      <c r="Q78" s="29"/>
    </row>
    <row r="79" spans="1:20">
      <c r="B79" s="29"/>
      <c r="C79" s="29"/>
      <c r="D79" s="29"/>
      <c r="E79" s="29"/>
      <c r="F79" s="29"/>
      <c r="G79" s="29"/>
      <c r="H79" s="29"/>
      <c r="I79" s="29"/>
      <c r="J79" s="29"/>
      <c r="K79" s="29"/>
      <c r="L79" s="29"/>
      <c r="M79" s="29"/>
      <c r="N79" s="29"/>
      <c r="O79" s="29"/>
      <c r="P79" s="29"/>
      <c r="Q79" s="29"/>
    </row>
    <row r="80" spans="1:20">
      <c r="B80" s="29"/>
      <c r="C80" s="29"/>
      <c r="D80" s="29"/>
      <c r="E80" s="29"/>
      <c r="F80" s="29"/>
      <c r="G80" s="29"/>
      <c r="H80" s="29"/>
      <c r="I80" s="29"/>
      <c r="J80" s="29"/>
      <c r="K80" s="29"/>
      <c r="L80" s="29"/>
      <c r="M80" s="29"/>
      <c r="N80" s="29"/>
      <c r="O80" s="29"/>
      <c r="P80" s="29"/>
      <c r="Q80" s="29"/>
    </row>
    <row r="81" spans="2:17">
      <c r="B81" s="29"/>
      <c r="C81" s="29"/>
      <c r="D81" s="29"/>
      <c r="E81" s="29"/>
      <c r="F81" s="29"/>
      <c r="G81" s="29"/>
      <c r="H81" s="29"/>
      <c r="I81" s="29"/>
      <c r="J81" s="29"/>
      <c r="K81" s="29"/>
      <c r="L81" s="29"/>
      <c r="M81" s="29"/>
      <c r="N81" s="29"/>
      <c r="O81" s="29"/>
      <c r="P81" s="29"/>
      <c r="Q81" s="29"/>
    </row>
    <row r="82" spans="2:17">
      <c r="B82" s="29"/>
      <c r="C82" s="29"/>
      <c r="D82" s="29"/>
      <c r="E82" s="29"/>
      <c r="F82" s="29"/>
      <c r="G82" s="29"/>
      <c r="H82" s="29"/>
      <c r="I82" s="29"/>
      <c r="J82" s="29"/>
      <c r="K82" s="29"/>
      <c r="L82" s="29"/>
      <c r="M82" s="29"/>
      <c r="N82" s="29"/>
      <c r="O82" s="29"/>
      <c r="P82" s="29"/>
      <c r="Q82" s="29"/>
    </row>
    <row r="83" spans="2:17">
      <c r="B83" s="29"/>
      <c r="C83" s="29"/>
      <c r="D83" s="29"/>
      <c r="E83" s="29"/>
      <c r="F83" s="29"/>
      <c r="G83" s="29"/>
      <c r="H83" s="29"/>
      <c r="I83" s="29"/>
      <c r="J83" s="29"/>
      <c r="K83" s="29"/>
      <c r="L83" s="29"/>
      <c r="M83" s="29"/>
      <c r="N83" s="29"/>
      <c r="O83" s="29"/>
      <c r="P83" s="29"/>
      <c r="Q83" s="29"/>
    </row>
    <row r="84" spans="2:17">
      <c r="B84" s="29"/>
      <c r="C84" s="29"/>
      <c r="D84" s="29"/>
      <c r="E84" s="29"/>
      <c r="F84" s="29"/>
      <c r="G84" s="29"/>
      <c r="H84" s="29"/>
      <c r="I84" s="29"/>
      <c r="J84" s="29"/>
      <c r="K84" s="29"/>
      <c r="L84" s="29"/>
      <c r="M84" s="29"/>
      <c r="N84" s="29"/>
      <c r="O84" s="29"/>
      <c r="P84" s="29"/>
      <c r="Q84" s="29"/>
    </row>
    <row r="85" spans="2:17">
      <c r="B85" s="29"/>
      <c r="C85" s="29"/>
      <c r="D85" s="29"/>
      <c r="E85" s="29"/>
      <c r="F85" s="29"/>
      <c r="G85" s="29"/>
      <c r="H85" s="29"/>
      <c r="I85" s="29"/>
      <c r="J85" s="29"/>
      <c r="K85" s="29"/>
      <c r="L85" s="29"/>
      <c r="M85" s="29"/>
      <c r="N85" s="29"/>
      <c r="O85" s="29"/>
      <c r="P85" s="29"/>
      <c r="Q85" s="29"/>
    </row>
    <row r="86" spans="2:17">
      <c r="B86" s="29"/>
      <c r="C86" s="29"/>
      <c r="D86" s="29"/>
      <c r="E86" s="29"/>
      <c r="F86" s="29"/>
      <c r="G86" s="29"/>
      <c r="H86" s="29"/>
      <c r="I86" s="29"/>
      <c r="J86" s="29"/>
      <c r="K86" s="29"/>
      <c r="L86" s="29"/>
      <c r="M86" s="29"/>
      <c r="N86" s="29"/>
      <c r="O86" s="29"/>
      <c r="P86" s="29"/>
      <c r="Q86" s="29"/>
    </row>
    <row r="87" spans="2:17">
      <c r="B87" s="29"/>
      <c r="C87" s="29"/>
      <c r="D87" s="29"/>
      <c r="E87" s="29"/>
      <c r="F87" s="29"/>
      <c r="G87" s="29"/>
      <c r="H87" s="29"/>
      <c r="I87" s="29"/>
      <c r="J87" s="29"/>
      <c r="K87" s="29"/>
      <c r="L87" s="29"/>
      <c r="M87" s="29"/>
      <c r="N87" s="29"/>
      <c r="O87" s="29"/>
      <c r="P87" s="29"/>
      <c r="Q87" s="29"/>
    </row>
    <row r="88" spans="2:17" ht="13.2" customHeight="1">
      <c r="B88" s="29"/>
      <c r="C88" s="29"/>
      <c r="D88" s="29"/>
      <c r="E88" s="29"/>
      <c r="F88" s="29"/>
      <c r="G88" s="29"/>
      <c r="H88" s="29"/>
      <c r="I88" s="29"/>
      <c r="J88" s="29"/>
      <c r="K88" s="29"/>
      <c r="L88" s="29"/>
      <c r="M88" s="29"/>
      <c r="N88" s="29"/>
      <c r="O88" s="29"/>
      <c r="P88" s="29"/>
      <c r="Q88" s="29"/>
    </row>
    <row r="89" spans="2:17">
      <c r="B89" s="29"/>
      <c r="C89" s="29"/>
      <c r="D89" s="29"/>
      <c r="E89" s="29"/>
      <c r="F89" s="29"/>
      <c r="G89" s="29"/>
      <c r="H89" s="29"/>
      <c r="I89" s="29"/>
      <c r="J89" s="29"/>
      <c r="K89" s="29"/>
      <c r="L89" s="29"/>
      <c r="M89" s="29"/>
      <c r="N89" s="29"/>
      <c r="O89" s="29"/>
      <c r="P89" s="29"/>
      <c r="Q89" s="29"/>
    </row>
    <row r="90" spans="2:17">
      <c r="B90" s="29"/>
      <c r="C90" s="29"/>
      <c r="D90" s="29"/>
      <c r="E90" s="29"/>
      <c r="F90" s="29"/>
      <c r="G90" s="29"/>
      <c r="H90" s="29"/>
      <c r="I90" s="29"/>
      <c r="J90" s="29"/>
      <c r="K90" s="29"/>
      <c r="L90" s="29"/>
      <c r="M90" s="29"/>
      <c r="N90" s="29"/>
      <c r="O90" s="29"/>
      <c r="P90" s="29"/>
      <c r="Q90" s="29"/>
    </row>
    <row r="91" spans="2:17">
      <c r="B91" s="29"/>
      <c r="C91" s="29"/>
      <c r="D91" s="29"/>
      <c r="E91" s="29"/>
      <c r="F91" s="29"/>
      <c r="G91" s="29"/>
      <c r="H91" s="29"/>
      <c r="I91" s="29"/>
      <c r="J91" s="29"/>
      <c r="K91" s="29"/>
      <c r="L91" s="29"/>
      <c r="M91" s="29"/>
      <c r="N91" s="29"/>
      <c r="O91" s="29"/>
      <c r="P91" s="29"/>
      <c r="Q91" s="29"/>
    </row>
    <row r="92" spans="2:17">
      <c r="B92" s="29"/>
      <c r="C92" s="29"/>
      <c r="D92" s="29"/>
      <c r="E92" s="29"/>
      <c r="F92" s="29"/>
      <c r="G92" s="29"/>
      <c r="H92" s="29"/>
      <c r="I92" s="29"/>
      <c r="J92" s="29"/>
      <c r="K92" s="29"/>
      <c r="L92" s="29"/>
      <c r="M92" s="29"/>
      <c r="N92" s="29"/>
      <c r="O92" s="29"/>
      <c r="P92" s="29"/>
      <c r="Q92" s="29"/>
    </row>
    <row r="93" spans="2:17">
      <c r="B93" s="29"/>
      <c r="C93" s="29"/>
      <c r="D93" s="29"/>
      <c r="E93" s="29"/>
      <c r="F93" s="29"/>
      <c r="G93" s="29"/>
      <c r="H93" s="29"/>
      <c r="I93" s="29"/>
      <c r="J93" s="29"/>
      <c r="K93" s="29"/>
      <c r="L93" s="29"/>
      <c r="M93" s="29"/>
      <c r="N93" s="29"/>
      <c r="O93" s="29"/>
      <c r="P93" s="29"/>
      <c r="Q93" s="29"/>
    </row>
    <row r="94" spans="2:17">
      <c r="B94" s="29"/>
      <c r="C94" s="29"/>
      <c r="D94" s="29"/>
      <c r="E94" s="29"/>
      <c r="F94" s="29"/>
      <c r="G94" s="29"/>
      <c r="H94" s="29"/>
      <c r="I94" s="29"/>
      <c r="J94" s="29"/>
      <c r="K94" s="29"/>
      <c r="L94" s="29"/>
      <c r="M94" s="29"/>
      <c r="N94" s="29"/>
      <c r="O94" s="29"/>
      <c r="P94" s="29"/>
      <c r="Q94" s="29"/>
    </row>
    <row r="95" spans="2:17">
      <c r="C95" s="29"/>
      <c r="D95" s="29"/>
      <c r="E95" s="29"/>
      <c r="F95" s="1712"/>
      <c r="G95" s="29"/>
      <c r="H95" s="29"/>
      <c r="I95" s="29"/>
      <c r="J95" s="29"/>
      <c r="K95" s="29"/>
      <c r="L95" s="29"/>
      <c r="M95" s="29"/>
      <c r="N95" s="29"/>
      <c r="O95" s="29"/>
      <c r="P95" s="29"/>
      <c r="Q95" s="29"/>
    </row>
    <row r="96" spans="2:17">
      <c r="C96" s="29"/>
      <c r="D96" s="29"/>
      <c r="E96" s="29"/>
      <c r="F96" s="1712"/>
      <c r="G96" s="29"/>
      <c r="H96" s="29"/>
      <c r="I96" s="29"/>
      <c r="J96" s="29"/>
      <c r="K96" s="29"/>
      <c r="L96" s="29"/>
      <c r="M96" s="29"/>
      <c r="N96" s="29"/>
      <c r="O96" s="29"/>
      <c r="P96" s="29"/>
      <c r="Q96" s="29"/>
    </row>
    <row r="97" spans="3:17">
      <c r="C97" s="29"/>
      <c r="D97" s="29"/>
      <c r="E97" s="29"/>
      <c r="G97" s="29"/>
      <c r="H97" s="29"/>
      <c r="I97" s="29"/>
      <c r="J97" s="29"/>
      <c r="K97" s="29"/>
      <c r="L97" s="29"/>
      <c r="M97" s="29"/>
      <c r="N97" s="29"/>
      <c r="O97" s="29"/>
      <c r="P97" s="29"/>
      <c r="Q97" s="29"/>
    </row>
    <row r="98" spans="3:17">
      <c r="C98" s="29"/>
      <c r="D98" s="29"/>
      <c r="E98" s="29"/>
      <c r="G98" s="29"/>
      <c r="H98" s="29"/>
      <c r="I98" s="29"/>
      <c r="J98" s="29"/>
      <c r="K98" s="29"/>
      <c r="L98" s="29"/>
      <c r="M98" s="29"/>
      <c r="N98" s="29"/>
      <c r="O98" s="29"/>
      <c r="P98" s="29"/>
      <c r="Q98" s="29"/>
    </row>
    <row r="99" spans="3:17">
      <c r="C99" s="29"/>
      <c r="D99" s="29"/>
      <c r="E99" s="29"/>
      <c r="G99" s="29"/>
      <c r="H99" s="29"/>
      <c r="I99" s="29"/>
      <c r="J99" s="29"/>
      <c r="K99" s="29"/>
      <c r="L99" s="29"/>
      <c r="M99" s="29"/>
      <c r="N99" s="29"/>
      <c r="O99" s="29"/>
      <c r="P99" s="29"/>
      <c r="Q99" s="29"/>
    </row>
    <row r="100" spans="3:17">
      <c r="C100" s="29"/>
      <c r="D100" s="29"/>
      <c r="G100" s="29"/>
      <c r="H100" s="29"/>
      <c r="I100" s="29"/>
      <c r="J100" s="29"/>
      <c r="K100" s="29"/>
      <c r="L100" s="29"/>
      <c r="M100" s="29"/>
      <c r="N100" s="29"/>
      <c r="O100" s="29"/>
      <c r="P100" s="29"/>
      <c r="Q100" s="29"/>
    </row>
    <row r="101" spans="3:17">
      <c r="C101" s="29"/>
      <c r="D101" s="29"/>
      <c r="G101" s="29"/>
      <c r="H101" s="29"/>
      <c r="I101" s="29"/>
      <c r="J101" s="29"/>
      <c r="K101" s="29"/>
      <c r="L101" s="29"/>
      <c r="M101" s="29"/>
      <c r="N101" s="29"/>
      <c r="O101" s="29"/>
      <c r="P101" s="29"/>
      <c r="Q101" s="29"/>
    </row>
    <row r="102" spans="3:17">
      <c r="C102" s="29"/>
      <c r="D102" s="29"/>
      <c r="F102" s="29"/>
      <c r="G102" s="29"/>
      <c r="H102" s="29"/>
      <c r="I102" s="29"/>
      <c r="J102" s="29"/>
      <c r="K102" s="29"/>
      <c r="L102" s="29"/>
      <c r="M102" s="29"/>
      <c r="N102" s="29"/>
      <c r="O102" s="29"/>
      <c r="P102" s="29"/>
      <c r="Q102" s="29"/>
    </row>
    <row r="103" spans="3:17">
      <c r="C103" s="29"/>
      <c r="D103" s="29"/>
      <c r="F103" s="29"/>
      <c r="G103" s="29"/>
      <c r="H103" s="29"/>
      <c r="I103" s="29"/>
      <c r="J103" s="29"/>
      <c r="K103" s="29"/>
      <c r="L103" s="29"/>
      <c r="M103" s="29"/>
      <c r="N103" s="29"/>
      <c r="O103" s="29"/>
      <c r="P103" s="29"/>
      <c r="Q103" s="29"/>
    </row>
    <row r="104" spans="3:17">
      <c r="C104" s="29"/>
      <c r="D104" s="29"/>
      <c r="F104" s="29"/>
      <c r="G104" s="29"/>
      <c r="H104" s="29"/>
      <c r="I104" s="29"/>
      <c r="J104" s="29"/>
      <c r="K104" s="29"/>
      <c r="L104" s="29"/>
      <c r="M104" s="29"/>
      <c r="N104" s="29"/>
      <c r="O104" s="29"/>
      <c r="P104" s="29"/>
      <c r="Q104" s="29"/>
    </row>
    <row r="105" spans="3:17">
      <c r="C105" s="29"/>
      <c r="D105" s="29"/>
      <c r="F105" s="29"/>
      <c r="G105" s="29"/>
      <c r="H105" s="29"/>
      <c r="I105" s="29"/>
      <c r="J105" s="29"/>
      <c r="K105" s="29"/>
      <c r="L105" s="29"/>
      <c r="M105" s="29"/>
      <c r="N105" s="29"/>
      <c r="O105" s="29"/>
      <c r="P105" s="29"/>
      <c r="Q105" s="29"/>
    </row>
    <row r="106" spans="3:17">
      <c r="C106" s="29"/>
      <c r="D106" s="29"/>
      <c r="F106" s="29"/>
      <c r="G106" s="29"/>
      <c r="H106" s="29"/>
      <c r="I106" s="29"/>
      <c r="J106" s="29"/>
      <c r="K106" s="29"/>
      <c r="L106" s="29"/>
      <c r="M106" s="29"/>
      <c r="N106" s="29"/>
      <c r="O106" s="29"/>
      <c r="P106" s="29"/>
      <c r="Q106" s="29"/>
    </row>
    <row r="107" spans="3:17">
      <c r="F107" s="29"/>
      <c r="G107" s="29"/>
      <c r="H107" s="29"/>
      <c r="I107" s="29"/>
      <c r="J107" s="29"/>
      <c r="K107" s="29"/>
      <c r="L107" s="29"/>
      <c r="M107" s="29"/>
      <c r="N107" s="29"/>
      <c r="O107" s="29"/>
      <c r="P107" s="29"/>
      <c r="Q107" s="29"/>
    </row>
    <row r="108" spans="3:17">
      <c r="F108" s="29"/>
      <c r="G108" s="29"/>
      <c r="H108" s="29"/>
      <c r="I108" s="29"/>
      <c r="J108" s="29"/>
      <c r="K108" s="29"/>
      <c r="L108" s="29"/>
      <c r="M108" s="29"/>
      <c r="N108" s="29"/>
      <c r="O108" s="29"/>
      <c r="P108" s="29"/>
      <c r="Q108" s="29"/>
    </row>
    <row r="109" spans="3:17">
      <c r="F109" s="29"/>
      <c r="G109" s="29"/>
      <c r="H109" s="29"/>
      <c r="I109" s="29"/>
      <c r="J109" s="29"/>
      <c r="K109" s="29"/>
      <c r="L109" s="29"/>
      <c r="M109" s="29"/>
      <c r="N109" s="29"/>
      <c r="O109" s="29"/>
      <c r="P109" s="29"/>
      <c r="Q109" s="29"/>
    </row>
    <row r="110" spans="3:17">
      <c r="F110" s="29"/>
      <c r="G110" s="29"/>
      <c r="H110" s="29"/>
      <c r="I110" s="29"/>
      <c r="J110" s="29"/>
      <c r="K110" s="29"/>
      <c r="L110" s="29"/>
      <c r="M110" s="29"/>
      <c r="N110" s="29"/>
      <c r="O110" s="29"/>
      <c r="P110" s="29"/>
      <c r="Q110" s="29"/>
    </row>
    <row r="111" spans="3:17">
      <c r="F111" s="29"/>
      <c r="G111" s="29"/>
      <c r="H111" s="29"/>
      <c r="I111" s="29"/>
      <c r="J111" s="29"/>
      <c r="K111" s="29"/>
      <c r="L111" s="29"/>
      <c r="M111" s="29"/>
      <c r="N111" s="29"/>
      <c r="O111" s="29"/>
      <c r="P111" s="29"/>
      <c r="Q111" s="29"/>
    </row>
    <row r="112" spans="3:17">
      <c r="F112" s="29"/>
      <c r="G112" s="29"/>
      <c r="H112" s="29"/>
      <c r="I112" s="29"/>
      <c r="J112" s="29"/>
      <c r="K112" s="29"/>
      <c r="L112" s="29"/>
      <c r="M112" s="29"/>
      <c r="N112" s="29"/>
      <c r="O112" s="29"/>
      <c r="P112" s="29"/>
      <c r="Q112" s="29"/>
    </row>
    <row r="113" spans="2:17">
      <c r="F113" s="29"/>
      <c r="G113" s="29"/>
      <c r="H113" s="29"/>
      <c r="I113" s="29"/>
      <c r="J113" s="29"/>
      <c r="K113" s="29"/>
      <c r="L113" s="29"/>
      <c r="M113" s="29"/>
      <c r="N113" s="29"/>
      <c r="O113" s="29"/>
      <c r="P113" s="29"/>
      <c r="Q113" s="29"/>
    </row>
    <row r="114" spans="2:17">
      <c r="F114" s="29"/>
      <c r="G114" s="29"/>
      <c r="H114" s="29"/>
      <c r="I114" s="29"/>
      <c r="J114" s="29"/>
      <c r="K114" s="29"/>
      <c r="L114" s="29"/>
      <c r="M114" s="29"/>
      <c r="N114" s="29"/>
      <c r="O114" s="29"/>
      <c r="P114" s="29"/>
      <c r="Q114" s="29"/>
    </row>
    <row r="115" spans="2:17">
      <c r="F115" s="29"/>
      <c r="G115" s="29"/>
      <c r="H115" s="29"/>
      <c r="I115" s="29"/>
      <c r="J115" s="29"/>
      <c r="K115" s="29"/>
      <c r="L115" s="29"/>
      <c r="M115" s="29"/>
      <c r="N115" s="29"/>
      <c r="O115" s="29"/>
      <c r="P115" s="29"/>
      <c r="Q115" s="29"/>
    </row>
    <row r="116" spans="2:17">
      <c r="F116" s="29"/>
      <c r="G116" s="29"/>
      <c r="H116" s="29"/>
      <c r="I116" s="29"/>
      <c r="J116" s="29"/>
      <c r="K116" s="29"/>
      <c r="L116" s="29"/>
      <c r="M116" s="29"/>
      <c r="N116" s="29"/>
      <c r="O116" s="29"/>
      <c r="P116" s="29"/>
      <c r="Q116" s="29"/>
    </row>
    <row r="117" spans="2:17">
      <c r="F117" s="29"/>
      <c r="G117" s="29"/>
      <c r="H117" s="29"/>
      <c r="I117" s="29"/>
      <c r="J117" s="29"/>
      <c r="K117" s="29"/>
      <c r="L117" s="29"/>
      <c r="M117" s="29"/>
      <c r="N117" s="29"/>
      <c r="O117" s="29"/>
      <c r="P117" s="29"/>
      <c r="Q117" s="29"/>
    </row>
    <row r="118" spans="2:17">
      <c r="B118" s="440"/>
      <c r="C118" s="29"/>
      <c r="F118" s="29"/>
      <c r="G118" s="29"/>
      <c r="H118" s="29"/>
      <c r="I118" s="29"/>
      <c r="J118" s="29"/>
      <c r="K118" s="29"/>
      <c r="L118" s="29"/>
      <c r="M118" s="29"/>
      <c r="N118" s="29"/>
      <c r="O118" s="29"/>
      <c r="P118" s="29"/>
      <c r="Q118" s="29"/>
    </row>
    <row r="119" spans="2:17">
      <c r="B119" s="440"/>
      <c r="C119" s="29"/>
      <c r="F119" s="29"/>
      <c r="G119" s="29"/>
      <c r="H119" s="29"/>
      <c r="I119" s="29"/>
      <c r="J119" s="29"/>
      <c r="K119" s="29"/>
      <c r="L119" s="29"/>
      <c r="M119" s="29"/>
      <c r="N119" s="29"/>
      <c r="O119" s="29"/>
      <c r="P119" s="29"/>
      <c r="Q119" s="29"/>
    </row>
    <row r="120" spans="2:17">
      <c r="B120" s="440"/>
      <c r="C120" s="29"/>
      <c r="F120" s="29"/>
      <c r="G120" s="29"/>
      <c r="H120" s="29"/>
      <c r="I120" s="29"/>
      <c r="J120" s="29"/>
      <c r="K120" s="29"/>
      <c r="L120" s="29"/>
      <c r="M120" s="29"/>
      <c r="N120" s="29"/>
      <c r="O120" s="29"/>
      <c r="P120" s="29"/>
      <c r="Q120" s="29"/>
    </row>
    <row r="121" spans="2:17">
      <c r="B121" s="440"/>
      <c r="C121" s="29"/>
      <c r="F121" s="29"/>
      <c r="G121" s="29"/>
      <c r="H121" s="29"/>
      <c r="I121" s="29"/>
      <c r="J121" s="29"/>
      <c r="K121" s="29"/>
      <c r="L121" s="29"/>
      <c r="M121" s="29"/>
      <c r="N121" s="29"/>
      <c r="O121" s="29"/>
      <c r="P121" s="29"/>
      <c r="Q121" s="29"/>
    </row>
    <row r="122" spans="2:17">
      <c r="B122" s="440"/>
      <c r="C122" s="29"/>
      <c r="F122" s="29"/>
      <c r="G122" s="29"/>
      <c r="H122" s="29"/>
      <c r="I122" s="29"/>
      <c r="J122" s="29"/>
      <c r="K122" s="29"/>
      <c r="L122" s="29"/>
      <c r="M122" s="29"/>
      <c r="N122" s="29"/>
      <c r="O122" s="29"/>
      <c r="P122" s="29"/>
      <c r="Q122" s="29"/>
    </row>
    <row r="123" spans="2:17">
      <c r="B123" s="440"/>
      <c r="C123" s="29"/>
      <c r="F123" s="29"/>
      <c r="G123" s="29"/>
      <c r="H123" s="29"/>
      <c r="I123" s="29"/>
      <c r="J123" s="29"/>
      <c r="K123" s="29"/>
      <c r="L123" s="29"/>
      <c r="M123" s="29"/>
      <c r="N123" s="29"/>
      <c r="O123" s="29"/>
      <c r="P123" s="29"/>
      <c r="Q123" s="29"/>
    </row>
    <row r="124" spans="2:17">
      <c r="B124" s="440"/>
      <c r="C124" s="29"/>
      <c r="F124" s="29"/>
      <c r="G124" s="29"/>
      <c r="H124" s="29"/>
      <c r="I124" s="29"/>
      <c r="J124" s="29"/>
      <c r="K124" s="29"/>
      <c r="L124" s="29"/>
      <c r="M124" s="29"/>
      <c r="N124" s="29"/>
      <c r="O124" s="29"/>
      <c r="P124" s="29"/>
      <c r="Q124" s="29"/>
    </row>
    <row r="125" spans="2:17">
      <c r="B125" s="440"/>
      <c r="C125" s="29"/>
      <c r="F125" s="29"/>
      <c r="G125" s="29"/>
      <c r="H125" s="29"/>
      <c r="I125" s="29"/>
      <c r="J125" s="29"/>
      <c r="K125" s="29"/>
      <c r="L125" s="29"/>
      <c r="M125" s="29"/>
      <c r="N125" s="29"/>
      <c r="O125" s="29"/>
      <c r="P125" s="29"/>
      <c r="Q125" s="29"/>
    </row>
    <row r="126" spans="2:17">
      <c r="B126" s="440"/>
      <c r="C126" s="29"/>
      <c r="F126" s="29"/>
      <c r="G126" s="29"/>
      <c r="H126" s="29"/>
      <c r="I126" s="29"/>
      <c r="J126" s="29"/>
      <c r="K126" s="29"/>
      <c r="L126" s="29"/>
      <c r="M126" s="29"/>
      <c r="N126" s="29"/>
      <c r="O126" s="29"/>
      <c r="P126" s="29"/>
      <c r="Q126" s="29"/>
    </row>
    <row r="127" spans="2:17">
      <c r="B127" s="440"/>
      <c r="C127" s="29"/>
      <c r="F127" s="29"/>
      <c r="G127" s="29"/>
      <c r="H127" s="29"/>
      <c r="I127" s="29"/>
      <c r="J127" s="29"/>
      <c r="K127" s="29"/>
      <c r="L127" s="29"/>
      <c r="M127" s="29"/>
      <c r="N127" s="29"/>
      <c r="O127" s="29"/>
      <c r="P127" s="29"/>
      <c r="Q127" s="29"/>
    </row>
    <row r="128" spans="2:17">
      <c r="B128" s="440"/>
      <c r="C128" s="29"/>
      <c r="F128" s="29"/>
      <c r="G128" s="29"/>
      <c r="H128" s="29"/>
      <c r="I128" s="29"/>
      <c r="J128" s="29"/>
      <c r="K128" s="29"/>
      <c r="L128" s="29"/>
      <c r="M128" s="29"/>
      <c r="N128" s="29"/>
      <c r="O128" s="29"/>
      <c r="P128" s="29"/>
      <c r="Q128" s="29"/>
    </row>
    <row r="129" spans="2:17">
      <c r="B129" s="440"/>
      <c r="C129" s="29"/>
      <c r="F129" s="29"/>
      <c r="G129" s="29"/>
      <c r="H129" s="29"/>
      <c r="I129" s="29"/>
      <c r="J129" s="29"/>
      <c r="K129" s="29"/>
      <c r="L129" s="29"/>
      <c r="M129" s="29"/>
      <c r="N129" s="29"/>
      <c r="O129" s="29"/>
      <c r="P129" s="29"/>
      <c r="Q129" s="29"/>
    </row>
    <row r="130" spans="2:17">
      <c r="B130" s="440"/>
      <c r="C130" s="29"/>
      <c r="F130" s="29"/>
      <c r="G130" s="29"/>
      <c r="H130" s="29"/>
      <c r="I130" s="29"/>
      <c r="J130" s="29"/>
      <c r="K130" s="29"/>
      <c r="L130" s="29"/>
      <c r="M130" s="29"/>
      <c r="N130" s="29"/>
      <c r="O130" s="29"/>
      <c r="P130" s="29"/>
      <c r="Q130" s="29"/>
    </row>
    <row r="131" spans="2:17">
      <c r="B131" s="440"/>
      <c r="C131" s="29"/>
      <c r="F131" s="29"/>
      <c r="G131" s="29"/>
      <c r="H131" s="29"/>
      <c r="I131" s="29"/>
      <c r="J131" s="29"/>
      <c r="K131" s="29"/>
      <c r="L131" s="29"/>
      <c r="M131" s="29"/>
      <c r="N131" s="29"/>
      <c r="O131" s="29"/>
      <c r="P131" s="29"/>
      <c r="Q131" s="29"/>
    </row>
    <row r="132" spans="2:17">
      <c r="B132" s="440"/>
      <c r="C132" s="29"/>
      <c r="F132" s="29"/>
      <c r="G132" s="29"/>
      <c r="H132" s="29"/>
      <c r="I132" s="29"/>
      <c r="J132" s="29"/>
      <c r="K132" s="29"/>
      <c r="L132" s="29"/>
      <c r="M132" s="29"/>
      <c r="N132" s="29"/>
      <c r="O132" s="29"/>
      <c r="P132" s="29"/>
      <c r="Q132" s="29"/>
    </row>
    <row r="133" spans="2:17">
      <c r="B133" s="440"/>
      <c r="C133" s="29"/>
      <c r="F133" s="29"/>
      <c r="G133" s="29"/>
      <c r="H133" s="29"/>
      <c r="I133" s="29"/>
      <c r="J133" s="29"/>
      <c r="K133" s="29"/>
      <c r="L133" s="29"/>
      <c r="M133" s="29"/>
      <c r="N133" s="29"/>
      <c r="O133" s="29"/>
      <c r="P133" s="29"/>
      <c r="Q133" s="29"/>
    </row>
    <row r="134" spans="2:17">
      <c r="B134" s="440"/>
      <c r="C134" s="29"/>
      <c r="F134" s="29"/>
      <c r="G134" s="29"/>
      <c r="H134" s="29"/>
      <c r="I134" s="29"/>
      <c r="J134" s="29"/>
      <c r="K134" s="29"/>
      <c r="L134" s="29"/>
      <c r="M134" s="29"/>
      <c r="N134" s="29"/>
      <c r="O134" s="29"/>
      <c r="P134" s="29"/>
      <c r="Q134" s="29"/>
    </row>
    <row r="135" spans="2:17">
      <c r="B135" s="440"/>
      <c r="C135" s="29"/>
      <c r="F135" s="29"/>
      <c r="G135" s="29"/>
      <c r="H135" s="29"/>
      <c r="I135" s="29"/>
      <c r="J135" s="29"/>
      <c r="K135" s="29"/>
      <c r="L135" s="29"/>
      <c r="M135" s="29"/>
      <c r="N135" s="29"/>
      <c r="O135" s="29"/>
      <c r="P135" s="29"/>
      <c r="Q135" s="29"/>
    </row>
    <row r="136" spans="2:17">
      <c r="B136" s="440"/>
      <c r="C136" s="29"/>
      <c r="F136" s="29"/>
      <c r="G136" s="29"/>
      <c r="H136" s="29"/>
      <c r="I136" s="29"/>
      <c r="J136" s="29"/>
      <c r="K136" s="29"/>
      <c r="L136" s="29"/>
      <c r="M136" s="29"/>
      <c r="N136" s="29"/>
      <c r="O136" s="29"/>
      <c r="P136" s="29"/>
      <c r="Q136" s="29"/>
    </row>
    <row r="137" spans="2:17">
      <c r="B137" s="440"/>
      <c r="C137" s="29"/>
      <c r="F137" s="29"/>
      <c r="G137" s="29"/>
      <c r="H137" s="29"/>
      <c r="I137" s="29"/>
      <c r="J137" s="29"/>
      <c r="K137" s="29"/>
      <c r="L137" s="29"/>
      <c r="M137" s="29"/>
      <c r="N137" s="29"/>
      <c r="O137" s="29"/>
      <c r="P137" s="29"/>
      <c r="Q137" s="29"/>
    </row>
    <row r="138" spans="2:17">
      <c r="B138" s="440"/>
      <c r="C138" s="29"/>
      <c r="L138" s="29"/>
    </row>
    <row r="139" spans="2:17">
      <c r="B139" s="440"/>
      <c r="C139" s="29"/>
      <c r="L139" s="29"/>
    </row>
    <row r="140" spans="2:17">
      <c r="B140" s="440"/>
      <c r="C140" s="29"/>
      <c r="L140" s="29"/>
    </row>
    <row r="141" spans="2:17">
      <c r="B141" s="440"/>
      <c r="C141" s="29"/>
      <c r="L141" s="29"/>
    </row>
    <row r="142" spans="2:17">
      <c r="B142" s="440"/>
      <c r="C142" s="29"/>
      <c r="L142" s="29"/>
    </row>
    <row r="143" spans="2:17">
      <c r="B143" s="440"/>
      <c r="C143" s="29"/>
      <c r="L143" s="29"/>
    </row>
    <row r="144" spans="2:17">
      <c r="B144" s="440"/>
      <c r="C144" s="29"/>
      <c r="L144" s="29"/>
    </row>
    <row r="145" spans="2:12">
      <c r="B145" s="440"/>
      <c r="C145" s="29"/>
      <c r="L145" s="29"/>
    </row>
    <row r="146" spans="2:12">
      <c r="B146" s="440"/>
      <c r="C146" s="29"/>
      <c r="L146" s="29"/>
    </row>
    <row r="147" spans="2:12">
      <c r="B147" s="440"/>
      <c r="C147" s="29"/>
    </row>
    <row r="148" spans="2:12">
      <c r="B148" s="440"/>
      <c r="C148" s="29"/>
    </row>
    <row r="149" spans="2:12">
      <c r="B149" s="440"/>
      <c r="C149" s="29"/>
      <c r="H149" s="1354"/>
      <c r="J149" s="1563"/>
    </row>
    <row r="150" spans="2:12">
      <c r="B150" s="440"/>
      <c r="C150" s="29"/>
      <c r="H150" s="1354"/>
      <c r="J150" s="1563"/>
    </row>
    <row r="151" spans="2:12">
      <c r="B151" s="440"/>
      <c r="C151" s="29"/>
      <c r="H151" s="1354"/>
      <c r="J151" s="1563"/>
    </row>
    <row r="152" spans="2:12">
      <c r="B152" s="440"/>
      <c r="C152" s="29"/>
      <c r="H152" s="1354"/>
      <c r="J152" s="1563"/>
    </row>
    <row r="153" spans="2:12">
      <c r="B153" s="440"/>
      <c r="C153" s="29"/>
      <c r="H153" s="1354"/>
      <c r="J153" s="1563"/>
    </row>
    <row r="154" spans="2:12">
      <c r="B154" s="440"/>
      <c r="C154" s="29"/>
      <c r="D154" s="29"/>
      <c r="F154" s="29"/>
      <c r="G154" s="29"/>
      <c r="H154" s="29"/>
      <c r="I154" s="29"/>
      <c r="J154" s="29"/>
      <c r="K154" s="29"/>
    </row>
    <row r="155" spans="2:12">
      <c r="B155" s="440"/>
      <c r="C155" s="29"/>
      <c r="D155" s="29"/>
      <c r="F155" s="29"/>
      <c r="G155" s="29"/>
      <c r="H155" s="29"/>
      <c r="I155" s="29"/>
      <c r="J155" s="29"/>
      <c r="K155" s="29"/>
    </row>
    <row r="156" spans="2:12">
      <c r="B156" s="440"/>
      <c r="C156" s="29"/>
      <c r="D156" s="29"/>
      <c r="F156" s="29"/>
      <c r="G156" s="29"/>
      <c r="H156" s="29"/>
      <c r="I156" s="29"/>
      <c r="J156" s="29"/>
      <c r="K156" s="29"/>
    </row>
    <row r="157" spans="2:12">
      <c r="B157" s="440"/>
      <c r="C157" s="29"/>
    </row>
    <row r="158" spans="2:12">
      <c r="B158" s="440"/>
      <c r="C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heet="1" selectLockedCells="1"/>
  <customSheetViews>
    <customSheetView guid="{8063F48F-80B5-4ECD-B18A-51CBF126E780}" fitToPage="1" printArea="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56" orientation="portrait" r:id="rId1"/>
      <headerFooter alignWithMargins="0">
        <oddFooter>&amp;L&amp;11LEL Schwäbisch Gmünd&amp;R&amp;11&amp;F</oddFooter>
      </headerFooter>
    </customSheetView>
    <customSheetView guid="{5D5C9B61-9ABD-4513-AAEB-8333A9D6196C}"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56" orientation="portrait" r:id="rId2"/>
      <headerFooter alignWithMargins="0">
        <oddFooter>&amp;L&amp;11LEL Schwäbisch Gmünd&amp;R&amp;11&amp;F</oddFooter>
      </headerFooter>
    </customSheetView>
    <customSheetView guid="{22A73C4F-9004-4CEF-8499-B1F91BE1B569}"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56" orientation="portrait" r:id="rId3"/>
      <headerFooter alignWithMargins="0">
        <oddFooter>&amp;L&amp;11LEL Schwäbisch Gmünd&amp;R&amp;11&amp;F</oddFooter>
      </headerFooter>
    </customSheetView>
  </customSheetViews>
  <mergeCells count="50">
    <mergeCell ref="B75:C75"/>
    <mergeCell ref="C57:D57"/>
    <mergeCell ref="C55:D55"/>
    <mergeCell ref="C62:E62"/>
    <mergeCell ref="C63:E63"/>
    <mergeCell ref="C68:E68"/>
    <mergeCell ref="C64:E64"/>
    <mergeCell ref="C73:E73"/>
    <mergeCell ref="C74:E74"/>
    <mergeCell ref="N1:O1"/>
    <mergeCell ref="K6:L6"/>
    <mergeCell ref="N3:O4"/>
    <mergeCell ref="K1:L1"/>
    <mergeCell ref="E4:I4"/>
    <mergeCell ref="K2:P2"/>
    <mergeCell ref="B3:H3"/>
    <mergeCell ref="C16:F16"/>
    <mergeCell ref="C15:F15"/>
    <mergeCell ref="W3:Y3"/>
    <mergeCell ref="W4:Y4"/>
    <mergeCell ref="H6:I6"/>
    <mergeCell ref="C14:F14"/>
    <mergeCell ref="N6:O6"/>
    <mergeCell ref="E10:F10"/>
    <mergeCell ref="C17:F17"/>
    <mergeCell ref="C19:F19"/>
    <mergeCell ref="C40:E40"/>
    <mergeCell ref="C37:E37"/>
    <mergeCell ref="E22:G22"/>
    <mergeCell ref="C36:E36"/>
    <mergeCell ref="F23:G23"/>
    <mergeCell ref="D25:E25"/>
    <mergeCell ref="D26:E26"/>
    <mergeCell ref="F34:G34"/>
    <mergeCell ref="C21:F21"/>
    <mergeCell ref="C20:F20"/>
    <mergeCell ref="C42:E42"/>
    <mergeCell ref="C38:E38"/>
    <mergeCell ref="C46:D46"/>
    <mergeCell ref="C54:D54"/>
    <mergeCell ref="C56:D56"/>
    <mergeCell ref="C50:D50"/>
    <mergeCell ref="C53:D53"/>
    <mergeCell ref="C47:D47"/>
    <mergeCell ref="C51:D51"/>
    <mergeCell ref="C41:E41"/>
    <mergeCell ref="C39:E39"/>
    <mergeCell ref="C52:D52"/>
    <mergeCell ref="C48:D48"/>
    <mergeCell ref="C49:D49"/>
  </mergeCells>
  <dataValidations count="5">
    <dataValidation type="whole" allowBlank="1" showInputMessage="1" showErrorMessage="1" errorTitle="Anteil Erntegut" error="Prozentwert darf nur zwischen 0 und 100 liegen." sqref="O68 L68 I68" xr:uid="{00000000-0002-0000-4800-000000000000}">
      <formula1>0</formula1>
      <formula2>100</formula2>
    </dataValidation>
    <dataValidation type="decimal" allowBlank="1" showInputMessage="1" showErrorMessage="1" errorTitle="Wassergehalt Getreide" error="Zulässig sind nur Werte zwischen 15,1 und 29,9 % Wassergehalt." sqref="H68 K68 N68" xr:uid="{00000000-0002-0000-4800-000001000000}">
      <formula1>15.1</formula1>
      <formula2>29.9</formula2>
    </dataValidation>
    <dataValidation type="list" showInputMessage="1" showErrorMessage="1" sqref="H14 K14 N14" xr:uid="{00000000-0002-0000-4800-000002000000}">
      <formula1>"ja,nein"</formula1>
    </dataValidation>
    <dataValidation type="list" allowBlank="1" showInputMessage="1" showErrorMessage="1" sqref="H15:H17 K15:K17 N15:N17" xr:uid="{00000000-0002-0000-4800-000003000000}">
      <formula1>"ja,nein"</formula1>
    </dataValidation>
    <dataValidation type="list" allowBlank="1" showInputMessage="1" showErrorMessage="1" sqref="D19:F19" xr:uid="{00000000-0002-0000-4800-000004000000}">
      <formula1>$C$60:$C$75</formula1>
    </dataValidation>
  </dataValidations>
  <hyperlinks>
    <hyperlink ref="F9" location="SDÖ1!A1" display="Preis ändern" xr:uid="{00000000-0004-0000-4800-000000000000}"/>
  </hyperlinks>
  <printOptions horizontalCentered="1"/>
  <pageMargins left="0.59055118110236227" right="0.57999999999999996" top="0.59055118110236227" bottom="0.59055118110236227" header="0.39370078740157483" footer="0.39370078740157483"/>
  <pageSetup paperSize="9" scale="70" firstPageNumber="56" orientation="portrait" r:id="rId4"/>
  <headerFooter alignWithMargins="0">
    <oddFooter>&amp;L&amp;11LEL Schwäbisch Gmünd&amp;R&amp;11&amp;F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800-000005000000}">
          <x14:formula1>
            <xm:f>'SD2'!$C$11:$C$50</xm:f>
          </x14:formula1>
          <xm:sqref>C14:F17</xm:sqref>
        </x14:dataValidation>
        <x14:dataValidation type="list" allowBlank="1" showInputMessage="1" showErrorMessage="1" xr:uid="{00000000-0002-0000-4800-000006000000}">
          <x14:formula1>
            <xm:f>'SD2'!$C$60:$C$77</xm:f>
          </x14:formula1>
          <xm:sqref>C19:C21</xm:sqref>
        </x14:dataValidation>
        <x14:dataValidation type="list" allowBlank="1" showInputMessage="1" showErrorMessage="1" errorTitle="Arbeitsgänge" error="Bitte aus Dropdownliste auswählen." xr:uid="{00000000-0002-0000-4800-000007000000}">
          <x14:formula1>
            <xm:f>'SD3'!$C$23:$C$75</xm:f>
          </x14:formula1>
          <xm:sqref>C46:D57</xm:sqref>
        </x14:dataValidation>
        <x14:dataValidation type="list" allowBlank="1" showInputMessage="1" showErrorMessage="1" xr:uid="{00000000-0002-0000-4800-000008000000}">
          <x14:formula1>
            <xm:f>SDÖ5!$C$5:$C$16</xm:f>
          </x14:formula1>
          <xm:sqref>C36:E42</xm:sqref>
        </x14:dataValidation>
        <x14:dataValidation type="list" allowBlank="1" showInputMessage="1" showErrorMessage="1" errorTitle="Lohnmaschinen" error="Bitte aus Dropdownliste auswählen." xr:uid="{00000000-0002-0000-4800-000009000000}">
          <x14:formula1>
            <xm:f>'SD3'!$C$90:$C$104</xm:f>
          </x14:formula1>
          <xm:sqref>C62:E64</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Tabelle61">
    <tabColor rgb="FF00B050"/>
    <pageSetUpPr fitToPage="1"/>
  </sheetPr>
  <dimension ref="A1:AO218"/>
  <sheetViews>
    <sheetView workbookViewId="0">
      <selection activeCell="E4" sqref="E4:I4"/>
    </sheetView>
  </sheetViews>
  <sheetFormatPr baseColWidth="10" defaultColWidth="10.5" defaultRowHeight="13.2"/>
  <cols>
    <col min="1" max="1" width="1.5" style="34" customWidth="1"/>
    <col min="2" max="2" width="3.19921875" style="34" customWidth="1"/>
    <col min="3" max="3" width="13.19921875" style="34" customWidth="1"/>
    <col min="4" max="5" width="9.19921875" style="34" customWidth="1"/>
    <col min="6" max="6" width="9.59765625" style="34" customWidth="1"/>
    <col min="7" max="7" width="9.19921875" style="35" customWidth="1"/>
    <col min="8" max="8" width="8.09765625" style="34" customWidth="1"/>
    <col min="9" max="10" width="7.19921875" style="34" customWidth="1"/>
    <col min="11" max="11" width="8" style="34" customWidth="1"/>
    <col min="12" max="13" width="7.19921875" style="34" customWidth="1"/>
    <col min="14" max="14" width="8" style="34" customWidth="1"/>
    <col min="15" max="16" width="7.19921875" style="34" customWidth="1"/>
    <col min="17" max="17" width="19.69921875" style="34" hidden="1" customWidth="1"/>
    <col min="18" max="18" width="12" style="31" hidden="1" customWidth="1"/>
    <col min="19" max="21" width="10.5" style="31" hidden="1" customWidth="1"/>
    <col min="22" max="22" width="12.8984375" style="31" hidden="1" customWidth="1"/>
    <col min="23" max="26" width="10.5" style="31" hidden="1" customWidth="1"/>
    <col min="27" max="28" width="10.5" style="31" customWidth="1"/>
    <col min="29" max="16384" width="10.5" style="31"/>
  </cols>
  <sheetData>
    <row r="1" spans="1:41" s="1317" customFormat="1" ht="30.45" customHeight="1">
      <c r="A1" s="1321"/>
      <c r="B1" s="258"/>
      <c r="C1" s="1333"/>
      <c r="D1" s="1253"/>
      <c r="E1" s="255"/>
      <c r="F1" s="255"/>
      <c r="G1" s="1321"/>
      <c r="H1" s="3206"/>
      <c r="I1" s="3232" t="s">
        <v>1679</v>
      </c>
      <c r="J1" s="3210">
        <f>(J7+J13+J18+J22+I11+I12)-(J23+J27+J34+J43+J60+J65+J67+J69+J71+J75)</f>
        <v>560.82374308124986</v>
      </c>
      <c r="K1" s="4360">
        <f>M1-J1</f>
        <v>260.42374613655568</v>
      </c>
      <c r="L1" s="4360"/>
      <c r="M1" s="3210">
        <f>(M7+M13+M18+M22+L11+L12)-(M23+M27+M34+M43+M60+M65+M67+M69+M71+M75)</f>
        <v>821.24748921780554</v>
      </c>
      <c r="N1" s="4360">
        <f>P1-M1</f>
        <v>260.42374613655545</v>
      </c>
      <c r="O1" s="4360"/>
      <c r="P1" s="3210">
        <f>(P7+P13+P18+P22+O11+O12)-(P23+P27+P34+P43+P60+P65+P67+P69+P71+P75)</f>
        <v>1081.671235354361</v>
      </c>
      <c r="Q1" s="132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1317" customFormat="1" ht="24.6" customHeight="1">
      <c r="A2" s="1321"/>
      <c r="B2" s="437" t="str">
        <f>"Berechnungsgrundlagen (Deckungsbeitrag "&amp;'SDK1'!O14 &amp;")"</f>
        <v>Berechnungsgrundlagen (Deckungsbeitrag ohne MwSt.)</v>
      </c>
      <c r="H2" s="1328"/>
      <c r="K2" s="4372" t="s">
        <v>1647</v>
      </c>
      <c r="L2" s="4372"/>
      <c r="M2" s="4372"/>
      <c r="N2" s="4372"/>
      <c r="O2" s="4372"/>
      <c r="P2" s="4372"/>
      <c r="Q2" s="1345">
        <v>0</v>
      </c>
    </row>
    <row r="3" spans="1:41" s="1317" customFormat="1" ht="32.4" customHeight="1">
      <c r="A3" s="1321"/>
      <c r="B3" s="4405" t="s">
        <v>1727</v>
      </c>
      <c r="C3" s="4405"/>
      <c r="D3" s="4405"/>
      <c r="E3" s="4405"/>
      <c r="F3" s="4405"/>
      <c r="G3" s="4405"/>
      <c r="H3" s="4405"/>
      <c r="J3" s="4368"/>
      <c r="K3" s="4418"/>
      <c r="L3" s="4418"/>
      <c r="M3" s="3138"/>
      <c r="N3" s="4421"/>
      <c r="O3" s="4422"/>
      <c r="P3" s="1326"/>
      <c r="Q3" s="1321"/>
      <c r="T3" s="1343" t="b">
        <v>0</v>
      </c>
    </row>
    <row r="4" spans="1:41" s="1317" customFormat="1" ht="20.25" customHeight="1">
      <c r="A4" s="1321"/>
      <c r="B4" s="2788" t="s">
        <v>779</v>
      </c>
      <c r="C4" s="31"/>
      <c r="D4" s="31"/>
      <c r="E4" s="4406" t="s">
        <v>890</v>
      </c>
      <c r="F4" s="4406"/>
      <c r="G4" s="4406"/>
      <c r="H4" s="4406"/>
      <c r="I4" s="4406"/>
      <c r="J4" s="4368"/>
      <c r="K4" s="4418"/>
      <c r="L4" s="4418"/>
      <c r="M4" s="1367"/>
      <c r="N4" s="4422"/>
      <c r="O4" s="4422"/>
      <c r="P4" s="1322">
        <f>'SDK1'!O3</f>
        <v>2024</v>
      </c>
      <c r="Q4" s="1321"/>
      <c r="T4" s="1343"/>
    </row>
    <row r="5" spans="1:41" ht="6" customHeight="1"/>
    <row r="6" spans="1:41" s="1311" customFormat="1" ht="24" customHeight="1">
      <c r="A6" s="41"/>
      <c r="B6" s="1316" t="s">
        <v>832</v>
      </c>
      <c r="C6" s="1315"/>
      <c r="D6" s="1315"/>
      <c r="E6" s="1315"/>
      <c r="F6" s="1315"/>
      <c r="G6" s="1314"/>
      <c r="H6" s="4366" t="s">
        <v>171</v>
      </c>
      <c r="I6" s="4367"/>
      <c r="J6" s="1313">
        <f>M6*0.75</f>
        <v>15</v>
      </c>
      <c r="K6" s="4379" t="s">
        <v>144</v>
      </c>
      <c r="L6" s="4380"/>
      <c r="M6" s="1313">
        <v>20</v>
      </c>
      <c r="N6" s="4366" t="s">
        <v>170</v>
      </c>
      <c r="O6" s="4367"/>
      <c r="P6" s="1312">
        <f>M6*1.25</f>
        <v>25</v>
      </c>
      <c r="Q6" s="49"/>
    </row>
    <row r="7" spans="1:41" s="196" customFormat="1" ht="18.75" customHeight="1">
      <c r="A7" s="40"/>
      <c r="B7" s="2787" t="s">
        <v>883</v>
      </c>
      <c r="C7" s="40"/>
      <c r="D7" s="40"/>
      <c r="E7" s="40"/>
      <c r="F7" s="40"/>
      <c r="G7" s="1310"/>
      <c r="H7" s="1307"/>
      <c r="I7" s="1306"/>
      <c r="J7" s="1041">
        <f>SUM(I9:I10)</f>
        <v>870</v>
      </c>
      <c r="K7" s="1309"/>
      <c r="L7" s="1308"/>
      <c r="M7" s="1044">
        <f>SUM(L9:L10)</f>
        <v>1160</v>
      </c>
      <c r="N7" s="1307"/>
      <c r="O7" s="1306"/>
      <c r="P7" s="1041">
        <f>SUM(O9:O10)</f>
        <v>1450</v>
      </c>
      <c r="Q7" s="34"/>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34"/>
    </row>
    <row r="9" spans="1:41" s="196" customFormat="1" ht="16.5" customHeight="1">
      <c r="A9" s="40"/>
      <c r="B9" s="2787"/>
      <c r="C9" s="2783" t="str">
        <f>IF('SDK1'!O9&gt;0,"Hauptprodukt (incl. MwSt.)","Hauptprodukt (ohne MwSt)")</f>
        <v>Hauptprodukt (ohne MwSt)</v>
      </c>
      <c r="D9" s="40"/>
      <c r="E9" s="40"/>
      <c r="F9" s="1304" t="s">
        <v>882</v>
      </c>
      <c r="G9" s="1221">
        <f>SDÖ1!O24</f>
        <v>58</v>
      </c>
      <c r="H9" s="1303">
        <f>J6-H10</f>
        <v>15</v>
      </c>
      <c r="I9" s="1299">
        <f>H9*G9</f>
        <v>870</v>
      </c>
      <c r="J9" s="37"/>
      <c r="K9" s="1302">
        <f>M6-K10</f>
        <v>20</v>
      </c>
      <c r="L9" s="1301">
        <f>K9*G9</f>
        <v>1160</v>
      </c>
      <c r="M9" s="1280"/>
      <c r="N9" s="1300">
        <f>P6-N10</f>
        <v>25</v>
      </c>
      <c r="O9" s="1299">
        <f>N9*G9</f>
        <v>1450</v>
      </c>
      <c r="P9" s="37"/>
      <c r="Q9" s="34"/>
      <c r="R9" s="517"/>
      <c r="S9" s="208" t="s">
        <v>887</v>
      </c>
      <c r="T9" s="1298"/>
    </row>
    <row r="10" spans="1:41" s="1268" customFormat="1" ht="15" customHeight="1">
      <c r="A10" s="2788"/>
      <c r="B10" s="185"/>
      <c r="C10" s="223" t="str">
        <f>IF('SDK1'!O9&gt;0,"Nebenprodukt (incl. MwSt.)","Nebenprodukt (ohne MwSt)")</f>
        <v>Nebenprodukt (ohne MwSt)</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2788"/>
      <c r="B11" s="217"/>
      <c r="C11" s="2783" t="s">
        <v>878</v>
      </c>
      <c r="D11" s="2788"/>
      <c r="E11" s="1286">
        <v>1</v>
      </c>
      <c r="F11" s="2783" t="s">
        <v>877</v>
      </c>
      <c r="G11" s="1285">
        <f>'SDK1'!$O$48</f>
        <v>10.7</v>
      </c>
      <c r="H11" s="1284">
        <f>IF($T$3=FALSE,0,J6*$E$11)</f>
        <v>0</v>
      </c>
      <c r="I11" s="1278">
        <f>H11*$G$11</f>
        <v>0</v>
      </c>
      <c r="J11" s="1283"/>
      <c r="K11" s="1282">
        <f>IF($T$3=FALSE,0,M6*$E$11)</f>
        <v>0</v>
      </c>
      <c r="L11" s="1281">
        <f>K11*$G$11</f>
        <v>0</v>
      </c>
      <c r="M11" s="1280"/>
      <c r="N11" s="1279">
        <f>IF($T$3=FALSE,0,P6*$E$11)</f>
        <v>0</v>
      </c>
      <c r="O11" s="1278">
        <f>N11*$G$11</f>
        <v>0</v>
      </c>
      <c r="P11" s="37"/>
      <c r="Q11" s="34"/>
      <c r="W11" s="1268" t="s">
        <v>876</v>
      </c>
    </row>
    <row r="12" spans="1:41" s="1268" customFormat="1" ht="15" hidden="1" customHeight="1">
      <c r="A12" s="2788"/>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row>
    <row r="13" spans="1:41" s="196" customFormat="1" ht="18.75" customHeight="1">
      <c r="A13" s="40"/>
      <c r="B13" s="209" t="s">
        <v>873</v>
      </c>
      <c r="C13" s="40"/>
      <c r="D13" s="40"/>
      <c r="E13" s="40"/>
      <c r="F13" s="40"/>
      <c r="G13" s="1267"/>
      <c r="H13" s="1351"/>
      <c r="I13" s="1249"/>
      <c r="J13" s="1041">
        <f>SUM(I14:I17)</f>
        <v>240</v>
      </c>
      <c r="K13" s="1352"/>
      <c r="L13" s="1251"/>
      <c r="M13" s="1044">
        <f>SUM(L14:L17)</f>
        <v>240</v>
      </c>
      <c r="N13" s="1351"/>
      <c r="O13" s="1249"/>
      <c r="P13" s="1041">
        <f>SUM(O14:O17)</f>
        <v>240</v>
      </c>
      <c r="Q13" s="34"/>
      <c r="R13" s="1253"/>
      <c r="W13" s="1266" t="s">
        <v>872</v>
      </c>
      <c r="X13" s="1264" t="str">
        <f>IF(OR(T3=TRUE,T4=TRUE),J6*$E$11,"0")</f>
        <v>0</v>
      </c>
      <c r="Y13" s="1265" t="str">
        <f>IF(OR(T3=TRUE,T4=TRUE),M6*$E$11,"0")</f>
        <v>0</v>
      </c>
      <c r="Z13" s="1264" t="str">
        <f>IF(OR(T3=TRUE,T4=TRUE),P6*$E$11,"0")</f>
        <v>0</v>
      </c>
    </row>
    <row r="14" spans="1:41" s="36" customFormat="1" ht="15" customHeight="1">
      <c r="A14" s="2783"/>
      <c r="B14" s="1247"/>
      <c r="C14" s="4365" t="s">
        <v>1511</v>
      </c>
      <c r="D14" s="4365"/>
      <c r="E14" s="4365"/>
      <c r="F14" s="4365"/>
      <c r="G14" s="1263"/>
      <c r="H14" s="1262" t="s">
        <v>919</v>
      </c>
      <c r="I14" s="2827">
        <f>IF(H14="ja",Q14,0)</f>
        <v>240</v>
      </c>
      <c r="J14" s="2783"/>
      <c r="K14" s="1262" t="s">
        <v>919</v>
      </c>
      <c r="L14" s="2829">
        <f>IF(K14="ja",Q14,0)</f>
        <v>240</v>
      </c>
      <c r="M14" s="2795"/>
      <c r="N14" s="1262" t="s">
        <v>919</v>
      </c>
      <c r="O14" s="2827">
        <f>IF(N14="ja",Q14,0)</f>
        <v>240</v>
      </c>
      <c r="P14" s="2826"/>
      <c r="Q14" s="1261">
        <f>IF(C14=0,0,VLOOKUP(C14,'SD2'!$C$11:$O$50,'SD2'!$O$1,FALSE))</f>
        <v>240</v>
      </c>
      <c r="R14" s="1253"/>
      <c r="S14" s="196"/>
      <c r="T14" s="196"/>
      <c r="W14" s="36" t="s">
        <v>236</v>
      </c>
      <c r="X14" s="1260">
        <f>$X$13*F30</f>
        <v>0</v>
      </c>
      <c r="Y14" s="1260">
        <f>$Y$13*F30</f>
        <v>0</v>
      </c>
      <c r="Z14" s="1260">
        <f>$Z$13*F30</f>
        <v>0</v>
      </c>
    </row>
    <row r="15" spans="1:41" s="36" customFormat="1" ht="15" customHeight="1">
      <c r="A15" s="2783"/>
      <c r="B15" s="1247"/>
      <c r="C15" s="4365"/>
      <c r="D15" s="4365"/>
      <c r="E15" s="4365"/>
      <c r="F15" s="4365"/>
      <c r="G15" s="1263"/>
      <c r="H15" s="1262" t="s">
        <v>871</v>
      </c>
      <c r="I15" s="2827">
        <f>IF(H15="ja",Q15,0)</f>
        <v>0</v>
      </c>
      <c r="J15" s="2783"/>
      <c r="K15" s="1262" t="s">
        <v>871</v>
      </c>
      <c r="L15" s="2829">
        <f>IF(K15="ja",Q15,0)</f>
        <v>0</v>
      </c>
      <c r="M15" s="2795"/>
      <c r="N15" s="1262" t="s">
        <v>871</v>
      </c>
      <c r="O15" s="2827">
        <f>IF(N15="ja",Q15,0)</f>
        <v>0</v>
      </c>
      <c r="P15" s="2826"/>
      <c r="Q15" s="1261">
        <f>IF(C15=0,0,VLOOKUP(C15,'SD2'!$C$11:$O$50,'SD2'!$O$1,FALSE))</f>
        <v>0</v>
      </c>
      <c r="R15" s="1253"/>
      <c r="S15" s="196"/>
      <c r="T15" s="196"/>
      <c r="W15" s="36" t="s">
        <v>685</v>
      </c>
      <c r="X15" s="1260">
        <f>$X$13*F31</f>
        <v>0</v>
      </c>
      <c r="Y15" s="1260">
        <f>$Y$13*F31</f>
        <v>0</v>
      </c>
      <c r="Z15" s="1260">
        <f>$Z$13*F31</f>
        <v>0</v>
      </c>
    </row>
    <row r="16" spans="1:41" s="36" customFormat="1" ht="15" customHeight="1">
      <c r="A16" s="2783"/>
      <c r="B16" s="1247"/>
      <c r="C16" s="4365"/>
      <c r="D16" s="4365"/>
      <c r="E16" s="4365"/>
      <c r="F16" s="4365"/>
      <c r="G16" s="1263"/>
      <c r="H16" s="1262" t="s">
        <v>871</v>
      </c>
      <c r="I16" s="2827">
        <f>IF(H16="ja",Q16,0)</f>
        <v>0</v>
      </c>
      <c r="J16" s="2783"/>
      <c r="K16" s="1262" t="s">
        <v>871</v>
      </c>
      <c r="L16" s="2829">
        <f>IF(K16="ja",Q16,0)</f>
        <v>0</v>
      </c>
      <c r="M16" s="2795"/>
      <c r="N16" s="1262" t="s">
        <v>871</v>
      </c>
      <c r="O16" s="2827">
        <f>IF(N16="ja",Q16,0)</f>
        <v>0</v>
      </c>
      <c r="P16" s="2826"/>
      <c r="Q16" s="1261">
        <f>IF(C16=0,0,VLOOKUP(C16,'SD2'!$C$11:$O$50,'SD2'!$O$1,FALSE))</f>
        <v>0</v>
      </c>
      <c r="R16" s="1253"/>
      <c r="S16" s="196"/>
      <c r="T16" s="196"/>
      <c r="W16" s="36" t="s">
        <v>684</v>
      </c>
      <c r="X16" s="1260">
        <f>$X$13*F32</f>
        <v>0</v>
      </c>
      <c r="Y16" s="1260">
        <f>$Y$13*F32</f>
        <v>0</v>
      </c>
      <c r="Z16" s="1260">
        <f>$Z$13*F32</f>
        <v>0</v>
      </c>
    </row>
    <row r="17" spans="1:26" s="36" customFormat="1" ht="15" customHeight="1">
      <c r="A17" s="2783"/>
      <c r="B17" s="1247"/>
      <c r="C17" s="4365"/>
      <c r="D17" s="4365"/>
      <c r="E17" s="4365"/>
      <c r="F17" s="4365"/>
      <c r="G17" s="1263"/>
      <c r="H17" s="1262" t="s">
        <v>871</v>
      </c>
      <c r="I17" s="2827">
        <f>IF(H17="ja",Q17,0)</f>
        <v>0</v>
      </c>
      <c r="J17" s="2783"/>
      <c r="K17" s="1262" t="s">
        <v>871</v>
      </c>
      <c r="L17" s="2829">
        <f>IF(K17="ja",Q17,0)</f>
        <v>0</v>
      </c>
      <c r="M17" s="2795"/>
      <c r="N17" s="1262" t="s">
        <v>871</v>
      </c>
      <c r="O17" s="2827">
        <f>IF(N17="ja",Q17,0)</f>
        <v>0</v>
      </c>
      <c r="P17" s="2826"/>
      <c r="Q17" s="1261">
        <f>IF(C17=0,0,VLOOKUP(C17,'SD2'!$C$11:$O$50,'SD2'!$O$1,FALSE))</f>
        <v>0</v>
      </c>
      <c r="R17" s="1253"/>
      <c r="S17" s="196"/>
      <c r="T17" s="196"/>
      <c r="W17" s="36" t="s">
        <v>230</v>
      </c>
      <c r="X17" s="1260">
        <f>$X$13*F33</f>
        <v>0</v>
      </c>
      <c r="Y17" s="1260">
        <f>$Y$13*F33</f>
        <v>0</v>
      </c>
      <c r="Z17" s="1260">
        <f>$Z$13*F33</f>
        <v>0</v>
      </c>
    </row>
    <row r="18" spans="1:26" s="2593" customFormat="1" ht="18.75" customHeight="1">
      <c r="A18" s="40"/>
      <c r="B18" s="209" t="s">
        <v>1563</v>
      </c>
      <c r="C18" s="1672"/>
      <c r="D18" s="1672"/>
      <c r="E18" s="1672"/>
      <c r="F18" s="1672"/>
      <c r="G18" s="2240"/>
      <c r="H18" s="1351"/>
      <c r="I18" s="3468"/>
      <c r="J18" s="1041">
        <f>SUM(I19:I21)</f>
        <v>177</v>
      </c>
      <c r="K18" s="1352"/>
      <c r="L18" s="2242"/>
      <c r="M18" s="1044">
        <f>SUM(L19:L21)</f>
        <v>177</v>
      </c>
      <c r="N18" s="1351"/>
      <c r="O18" s="3468"/>
      <c r="P18" s="1111">
        <f>SUM(O19:O21)</f>
        <v>177</v>
      </c>
      <c r="Q18" s="34"/>
      <c r="R18" s="514" t="s">
        <v>870</v>
      </c>
      <c r="S18" s="308"/>
      <c r="T18" s="1248"/>
    </row>
    <row r="19" spans="1:26" s="36" customFormat="1" ht="15.6" customHeight="1">
      <c r="A19" s="2783"/>
      <c r="B19" s="1247"/>
      <c r="C19" s="4365" t="s">
        <v>1560</v>
      </c>
      <c r="D19" s="4365"/>
      <c r="E19" s="4365"/>
      <c r="F19" s="4365"/>
      <c r="G19" s="1246"/>
      <c r="H19" s="1244"/>
      <c r="I19" s="2827">
        <f>IF(OR($C19=0,$J$6=0),0,VLOOKUP($C19,'SD2'!C60:O78,12,FALSE))</f>
        <v>155</v>
      </c>
      <c r="J19" s="2783"/>
      <c r="K19" s="1245"/>
      <c r="L19" s="2829">
        <f>IF(OR($C19=0,$M$6=0),0,VLOOKUP($C19,'SD2'!$C$60:$O$78,12,FALSE))</f>
        <v>155</v>
      </c>
      <c r="M19" s="2795"/>
      <c r="N19" s="1244"/>
      <c r="O19" s="2827">
        <f>IF(OR($C19=0,$P$6=0),0,VLOOKUP($C19,'SD2'!C60:O78,12,FALSE))</f>
        <v>155</v>
      </c>
      <c r="P19" s="2826"/>
      <c r="Q19" s="34"/>
      <c r="R19" s="1242">
        <f>J13+J18</f>
        <v>417</v>
      </c>
      <c r="S19" s="1241">
        <f>M13+M18</f>
        <v>417</v>
      </c>
      <c r="T19" s="1240">
        <f>P13+P18</f>
        <v>417</v>
      </c>
    </row>
    <row r="20" spans="1:26" s="36" customFormat="1" ht="15.6" customHeight="1">
      <c r="A20" s="2783"/>
      <c r="B20" s="1247"/>
      <c r="C20" s="4365" t="s">
        <v>1675</v>
      </c>
      <c r="D20" s="4365"/>
      <c r="E20" s="4365"/>
      <c r="F20" s="4365"/>
      <c r="G20" s="1246"/>
      <c r="H20" s="1244"/>
      <c r="I20" s="2827">
        <f>IF(OR($C20=0,$J$6=0),0,VLOOKUP($C20,'SD2'!C61:O79,12,FALSE))</f>
        <v>22</v>
      </c>
      <c r="J20" s="2783"/>
      <c r="K20" s="1245"/>
      <c r="L20" s="2829">
        <f>IF(OR($C20=0,$M$6=0),0,VLOOKUP($C20,'SD2'!$C$60:$O$78,12,FALSE))</f>
        <v>22</v>
      </c>
      <c r="M20" s="2795"/>
      <c r="N20" s="1244"/>
      <c r="O20" s="2827">
        <f>IF(OR($C20=0,$P$6=0),0,VLOOKUP($C20,'SD2'!C61:O79,12,FALSE))</f>
        <v>22</v>
      </c>
      <c r="P20" s="2826"/>
      <c r="Q20" s="34"/>
      <c r="R20" s="2888"/>
      <c r="S20" s="2888"/>
      <c r="T20" s="2888"/>
    </row>
    <row r="21" spans="1:26" s="36" customFormat="1" ht="15.6" customHeight="1">
      <c r="A21" s="2783"/>
      <c r="B21" s="1247"/>
      <c r="C21" s="4365"/>
      <c r="D21" s="4365"/>
      <c r="E21" s="4365"/>
      <c r="F21" s="4365"/>
      <c r="G21" s="1246"/>
      <c r="H21" s="1244"/>
      <c r="I21" s="2827">
        <f>IF(OR($C21=0,$J$6=0),0,VLOOKUP($C21,'SD2'!C62:O79,12,FALSE))</f>
        <v>0</v>
      </c>
      <c r="J21" s="2783"/>
      <c r="K21" s="1245"/>
      <c r="L21" s="2829">
        <f>IF(OR($C21=0,$M$6=0),0,VLOOKUP($C21,'SD2'!$C$60:$O$78,12,FALSE))</f>
        <v>0</v>
      </c>
      <c r="M21" s="2795"/>
      <c r="N21" s="1244"/>
      <c r="O21" s="2827">
        <f>IF(OR($C21=0,$P$6=0),0,VLOOKUP($C21,'SD2'!C62:O79,12,FALSE))</f>
        <v>0</v>
      </c>
      <c r="P21" s="2826"/>
      <c r="Q21" s="34"/>
      <c r="R21" s="2888"/>
      <c r="S21" s="2888"/>
      <c r="T21" s="2888"/>
    </row>
    <row r="22" spans="1:26" ht="15.6">
      <c r="A22" s="2788"/>
      <c r="B22" s="2787" t="s">
        <v>869</v>
      </c>
      <c r="C22" s="2783"/>
      <c r="D22" s="1234"/>
      <c r="E22" s="4370" t="s">
        <v>868</v>
      </c>
      <c r="F22" s="4370"/>
      <c r="G22" s="4371"/>
      <c r="H22" s="1231"/>
      <c r="I22" s="1230"/>
      <c r="J22" s="1229"/>
      <c r="K22" s="1233"/>
      <c r="L22" s="1232"/>
      <c r="M22" s="1229"/>
      <c r="N22" s="1231"/>
      <c r="O22" s="1230"/>
      <c r="P22" s="1229"/>
      <c r="R22" s="34"/>
      <c r="S22" s="34"/>
      <c r="T22" s="34"/>
    </row>
    <row r="23" spans="1:26" ht="18.75" customHeight="1">
      <c r="A23" s="2788"/>
      <c r="B23" s="209" t="s">
        <v>867</v>
      </c>
      <c r="C23" s="1228"/>
      <c r="D23" s="1228"/>
      <c r="F23" s="4381" t="s">
        <v>858</v>
      </c>
      <c r="G23" s="4382"/>
      <c r="H23" s="1043"/>
      <c r="I23" s="1042"/>
      <c r="J23" s="1026">
        <f>SUM(I25:I26)</f>
        <v>209.25</v>
      </c>
      <c r="K23" s="1046"/>
      <c r="L23" s="1045"/>
      <c r="M23" s="1227">
        <f>SUM(L25:L26)</f>
        <v>209.25</v>
      </c>
      <c r="N23" s="1043"/>
      <c r="O23" s="1042"/>
      <c r="P23" s="1026">
        <f>SUM(O25:O26)</f>
        <v>209.25</v>
      </c>
    </row>
    <row r="24" spans="1:26" ht="13.2" customHeight="1">
      <c r="A24" s="2788"/>
      <c r="B24" s="1226"/>
      <c r="C24" s="2801" t="s">
        <v>837</v>
      </c>
      <c r="D24" s="2837">
        <f>'SDK1'!$O$10</f>
        <v>0</v>
      </c>
      <c r="E24" s="1225"/>
      <c r="F24" s="1033" t="s">
        <v>239</v>
      </c>
      <c r="G24" s="1109" t="s">
        <v>836</v>
      </c>
      <c r="H24" s="1205" t="s">
        <v>857</v>
      </c>
      <c r="I24" s="1027" t="s">
        <v>163</v>
      </c>
      <c r="K24" s="1207" t="s">
        <v>857</v>
      </c>
      <c r="L24" s="1030" t="s">
        <v>163</v>
      </c>
      <c r="M24" s="1224"/>
      <c r="N24" s="1205" t="s">
        <v>857</v>
      </c>
      <c r="O24" s="1027" t="s">
        <v>163</v>
      </c>
      <c r="P24" s="1185"/>
    </row>
    <row r="25" spans="1:26" s="36" customFormat="1" ht="15" customHeight="1">
      <c r="A25" s="746"/>
      <c r="B25" s="1223"/>
      <c r="C25" s="746" t="s">
        <v>866</v>
      </c>
      <c r="D25" s="4383"/>
      <c r="E25" s="4384"/>
      <c r="F25" s="1222">
        <f>SDÖ7!F23/100</f>
        <v>1.35</v>
      </c>
      <c r="G25" s="1221">
        <f>F25*(100+$D$24)/100</f>
        <v>1.35</v>
      </c>
      <c r="H25" s="1220">
        <v>155</v>
      </c>
      <c r="I25" s="1181">
        <f>H25*$G25</f>
        <v>209.25</v>
      </c>
      <c r="J25" s="2783"/>
      <c r="K25" s="1220">
        <v>155</v>
      </c>
      <c r="L25" s="1023">
        <f>K25*$G25</f>
        <v>209.25</v>
      </c>
      <c r="M25" s="2795"/>
      <c r="N25" s="1220">
        <v>155</v>
      </c>
      <c r="O25" s="1181">
        <f>N25*$G25</f>
        <v>209.25</v>
      </c>
      <c r="P25" s="1145"/>
      <c r="Q25" s="34"/>
    </row>
    <row r="26" spans="1:26" s="36" customFormat="1" ht="15" customHeight="1">
      <c r="A26" s="746"/>
      <c r="B26" s="2792"/>
      <c r="C26" s="1219"/>
      <c r="D26" s="4385"/>
      <c r="E26" s="4386"/>
      <c r="F26" s="1218"/>
      <c r="G26" s="1217">
        <f>F26*(100+$D$24)/100</f>
        <v>0</v>
      </c>
      <c r="H26" s="1216"/>
      <c r="I26" s="1177">
        <f>H26*$G26</f>
        <v>0</v>
      </c>
      <c r="J26" s="2783"/>
      <c r="K26" s="1216">
        <f>H26</f>
        <v>0</v>
      </c>
      <c r="L26" s="1017">
        <f>K26*$G26</f>
        <v>0</v>
      </c>
      <c r="M26" s="2795"/>
      <c r="N26" s="1216">
        <f>H26</f>
        <v>0</v>
      </c>
      <c r="O26" s="1177">
        <f>N26*$G26</f>
        <v>0</v>
      </c>
      <c r="P26" s="1176"/>
      <c r="Q26" s="34"/>
    </row>
    <row r="27" spans="1:26" s="2593" customFormat="1" ht="18.75" customHeight="1">
      <c r="A27" s="2789"/>
      <c r="B27" s="1215" t="s">
        <v>865</v>
      </c>
      <c r="C27" s="2789"/>
      <c r="D27" s="51"/>
      <c r="E27" s="34"/>
      <c r="F27" s="34"/>
      <c r="G27" s="1214"/>
      <c r="H27" s="1173"/>
      <c r="I27" s="1172"/>
      <c r="J27" s="1041">
        <f>SUM(I30:I32)</f>
        <v>129.24400000000003</v>
      </c>
      <c r="K27" s="1175"/>
      <c r="L27" s="1174"/>
      <c r="M27" s="1044">
        <f>SUM(L30:L32)</f>
        <v>137.79200000000003</v>
      </c>
      <c r="N27" s="1173"/>
      <c r="O27" s="1172"/>
      <c r="P27" s="1041">
        <f>SUM(O30:O32)</f>
        <v>146.34000000000006</v>
      </c>
      <c r="Q27" s="34"/>
    </row>
    <row r="28" spans="1:26" s="2593" customFormat="1" ht="13.65" customHeight="1">
      <c r="A28" s="2789"/>
      <c r="B28" s="774"/>
      <c r="C28" s="2597"/>
      <c r="D28" s="1213" t="s">
        <v>706</v>
      </c>
      <c r="E28" s="1213" t="s">
        <v>864</v>
      </c>
      <c r="F28" s="1213" t="s">
        <v>864</v>
      </c>
      <c r="G28" s="1212" t="s">
        <v>863</v>
      </c>
      <c r="H28" s="1172"/>
      <c r="I28" s="1209"/>
      <c r="J28" s="2598"/>
      <c r="K28" s="1175"/>
      <c r="L28" s="1105"/>
      <c r="M28" s="1210"/>
      <c r="N28" s="1173"/>
      <c r="O28" s="1209"/>
      <c r="P28" s="1026"/>
      <c r="Q28" s="34"/>
    </row>
    <row r="29" spans="1:26" s="2593" customFormat="1" ht="15" customHeight="1">
      <c r="A29" s="2789"/>
      <c r="B29" s="1208"/>
      <c r="C29" s="747" t="s">
        <v>862</v>
      </c>
      <c r="D29" s="1034" t="s">
        <v>611</v>
      </c>
      <c r="E29" s="1034" t="s">
        <v>861</v>
      </c>
      <c r="F29" s="1034" t="s">
        <v>860</v>
      </c>
      <c r="G29" s="1034" t="s">
        <v>612</v>
      </c>
      <c r="H29" s="1205" t="s">
        <v>612</v>
      </c>
      <c r="I29" s="1027" t="s">
        <v>163</v>
      </c>
      <c r="J29" s="2597"/>
      <c r="K29" s="1207" t="s">
        <v>612</v>
      </c>
      <c r="L29" s="1030" t="s">
        <v>163</v>
      </c>
      <c r="M29" s="1206"/>
      <c r="N29" s="1205" t="s">
        <v>612</v>
      </c>
      <c r="O29" s="1027" t="s">
        <v>163</v>
      </c>
      <c r="P29" s="1204"/>
      <c r="Q29" s="34"/>
    </row>
    <row r="30" spans="1:26" s="36" customFormat="1" ht="15" customHeight="1">
      <c r="A30" s="746"/>
      <c r="B30" s="1203"/>
      <c r="C30" s="1202" t="s">
        <v>236</v>
      </c>
      <c r="D30" s="1150">
        <f>SDÖ1!O56</f>
        <v>5.18</v>
      </c>
      <c r="E30" s="1201">
        <f>VLOOKUP('SD8'!B32,'SD8'!B9:L42,3,FALSE)</f>
        <v>-0.51999999999999957</v>
      </c>
      <c r="F30" s="1201">
        <f>VLOOKUP('SD8'!B32,'SD8'!B9:L42,7,FALSE)</f>
        <v>1.5</v>
      </c>
      <c r="G30" s="1200">
        <v>20</v>
      </c>
      <c r="H30" s="1198">
        <f>IF(J$6=0,0,(J$6*$E30+$G30+X14))</f>
        <v>12.200000000000006</v>
      </c>
      <c r="I30" s="1181">
        <f>H30*$D30</f>
        <v>63.196000000000026</v>
      </c>
      <c r="J30" s="2783"/>
      <c r="K30" s="1199">
        <f>IF(M$6=0,0,(M$6*$E30+$G30+Y14))</f>
        <v>9.6000000000000085</v>
      </c>
      <c r="L30" s="1023">
        <f>K30*$D30</f>
        <v>49.728000000000044</v>
      </c>
      <c r="M30" s="2795"/>
      <c r="N30" s="1198">
        <f>IF(P$6=0,0,(P$6*$E30+$G30+Z14))</f>
        <v>7.0000000000000107</v>
      </c>
      <c r="O30" s="1181">
        <f>N30*$D30</f>
        <v>36.260000000000055</v>
      </c>
      <c r="P30" s="1145"/>
      <c r="Q30" s="34"/>
    </row>
    <row r="31" spans="1:26" s="36" customFormat="1" ht="15" customHeight="1">
      <c r="A31" s="746"/>
      <c r="B31" s="217"/>
      <c r="C31" s="746" t="s">
        <v>234</v>
      </c>
      <c r="D31" s="1150">
        <f>SDÖ1!O57</f>
        <v>1.42</v>
      </c>
      <c r="E31" s="1201">
        <f>VLOOKUP('SD8'!B32,'SD8'!B9:L42,4,FALSE)</f>
        <v>1.02</v>
      </c>
      <c r="F31" s="1201">
        <f>VLOOKUP('SD8'!B32,'SD8'!B9:L42,8,FALSE)</f>
        <v>0.3</v>
      </c>
      <c r="G31" s="1200"/>
      <c r="H31" s="1198">
        <f>IF(J$6=0,0,(J$6*$E31+$G31+X15))</f>
        <v>15.3</v>
      </c>
      <c r="I31" s="1181">
        <f>H31*$D31</f>
        <v>21.725999999999999</v>
      </c>
      <c r="J31" s="2783"/>
      <c r="K31" s="1199">
        <f>IF(M$6=0,0,(M$6*$E31+$G31+Y15))</f>
        <v>20.399999999999999</v>
      </c>
      <c r="L31" s="1023">
        <f>K31*$D31</f>
        <v>28.967999999999996</v>
      </c>
      <c r="M31" s="2795"/>
      <c r="N31" s="1198">
        <f>IF(P$6=0,0,(P$6*$E31+$G31+Z15))</f>
        <v>25.5</v>
      </c>
      <c r="O31" s="1181">
        <f>N31*$D31</f>
        <v>36.21</v>
      </c>
      <c r="P31" s="1145"/>
      <c r="Q31" s="34"/>
    </row>
    <row r="32" spans="1:26" s="36" customFormat="1" ht="15" customHeight="1">
      <c r="A32" s="746"/>
      <c r="B32" s="185"/>
      <c r="C32" s="2791" t="s">
        <v>232</v>
      </c>
      <c r="D32" s="1133">
        <f>SDÖ1!O58</f>
        <v>1.78</v>
      </c>
      <c r="E32" s="1197">
        <f>VLOOKUP('SD8'!B32,'SD8'!B9:L42,5,FALSE)</f>
        <v>1.66</v>
      </c>
      <c r="F32" s="1197">
        <f>VLOOKUP('SD8'!B32,'SD8'!B9:L42,9,FALSE)</f>
        <v>1.7</v>
      </c>
      <c r="G32" s="1196"/>
      <c r="H32" s="1194">
        <f>IF(J$6=0,0,(J$6*$E32+$G32+X16))</f>
        <v>24.9</v>
      </c>
      <c r="I32" s="1177">
        <f>H32*$D32</f>
        <v>44.321999999999996</v>
      </c>
      <c r="J32" s="223"/>
      <c r="K32" s="1195">
        <f>IF(M$6=0,0,(M$6*$E32+$G32+Y16))</f>
        <v>33.199999999999996</v>
      </c>
      <c r="L32" s="1017">
        <f>K32*$D32</f>
        <v>59.095999999999997</v>
      </c>
      <c r="M32" s="1256"/>
      <c r="N32" s="1194">
        <f>IF(P$6=0,0,(P$6*$E32+$G32+Z16))</f>
        <v>41.5</v>
      </c>
      <c r="O32" s="1177">
        <f>N32*$D32</f>
        <v>73.87</v>
      </c>
      <c r="P32" s="1176"/>
      <c r="Q32" s="34"/>
    </row>
    <row r="33" spans="1:17" s="36" customFormat="1" ht="15" hidden="1" customHeight="1">
      <c r="A33" s="746"/>
      <c r="B33" s="185"/>
      <c r="C33" s="2791" t="s">
        <v>230</v>
      </c>
      <c r="D33" s="1133">
        <f>SDÖ1!P59</f>
        <v>0.5</v>
      </c>
      <c r="E33" s="1197">
        <f>VLOOKUP('SD8'!B32,'SD8'!B9:L42,6,FALSE)</f>
        <v>0.2</v>
      </c>
      <c r="F33" s="1197">
        <f>VLOOKUP('SD8'!B32,'SD8'!B9:L42,10,FALSE)</f>
        <v>0.15</v>
      </c>
      <c r="G33" s="1196"/>
      <c r="H33" s="1194">
        <f>IF(J$6=0,0,(J$6*$E33+$G33+X17))</f>
        <v>3</v>
      </c>
      <c r="I33" s="1177">
        <f>H33*$D33</f>
        <v>1.5</v>
      </c>
      <c r="J33" s="2783"/>
      <c r="K33" s="1195">
        <f>IF(M$6=0,0,(M$6*$E33+$G33+Y17))</f>
        <v>4</v>
      </c>
      <c r="L33" s="1017">
        <f>K33*$D33</f>
        <v>2</v>
      </c>
      <c r="M33" s="2795"/>
      <c r="N33" s="1194">
        <f>IF(P$6=0,0,(P$6*$E33+$G33+Z17))</f>
        <v>5</v>
      </c>
      <c r="O33" s="1177">
        <f>N33*$D33</f>
        <v>2.5</v>
      </c>
      <c r="P33" s="1176"/>
      <c r="Q33" s="34"/>
    </row>
    <row r="34" spans="1:17" s="2593" customFormat="1" ht="18.75" customHeight="1">
      <c r="A34" s="2789"/>
      <c r="B34" s="2790" t="s">
        <v>212</v>
      </c>
      <c r="C34" s="2789"/>
      <c r="D34" s="2597"/>
      <c r="E34" s="2597"/>
      <c r="F34" s="4381" t="s">
        <v>858</v>
      </c>
      <c r="G34" s="4382"/>
      <c r="H34" s="1191"/>
      <c r="I34" s="1190"/>
      <c r="J34" s="1041">
        <f>SUM(I36:I42)</f>
        <v>0</v>
      </c>
      <c r="K34" s="1193"/>
      <c r="L34" s="1192"/>
      <c r="M34" s="1044">
        <f>SUM(L36:L42)</f>
        <v>0</v>
      </c>
      <c r="N34" s="1191"/>
      <c r="O34" s="1190"/>
      <c r="P34" s="1041">
        <f>SUM(O36:O42)</f>
        <v>0</v>
      </c>
      <c r="Q34" s="34"/>
    </row>
    <row r="35" spans="1:17" s="2593" customFormat="1" ht="13.2" customHeight="1">
      <c r="A35" s="2789"/>
      <c r="B35" s="2802"/>
      <c r="C35" s="2801" t="s">
        <v>837</v>
      </c>
      <c r="D35" s="2837">
        <f>'SDK1'!$O$11</f>
        <v>0</v>
      </c>
      <c r="E35" s="1037"/>
      <c r="F35" s="1033" t="s">
        <v>239</v>
      </c>
      <c r="G35" s="1109" t="s">
        <v>836</v>
      </c>
      <c r="H35" s="1186" t="s">
        <v>857</v>
      </c>
      <c r="I35" s="1027" t="s">
        <v>163</v>
      </c>
      <c r="J35" s="3137"/>
      <c r="K35" s="1188" t="s">
        <v>857</v>
      </c>
      <c r="L35" s="1030" t="s">
        <v>163</v>
      </c>
      <c r="M35" s="1187"/>
      <c r="N35" s="1186" t="s">
        <v>857</v>
      </c>
      <c r="O35" s="1027" t="s">
        <v>163</v>
      </c>
      <c r="P35" s="1026"/>
      <c r="Q35" s="34"/>
    </row>
    <row r="36" spans="1:17" s="36" customFormat="1" ht="15" customHeight="1">
      <c r="A36" s="746"/>
      <c r="B36" s="2797"/>
      <c r="C36" s="4389" t="s">
        <v>311</v>
      </c>
      <c r="D36" s="4389"/>
      <c r="E36" s="4390"/>
      <c r="F36" s="1183">
        <f>IF(C36="",0,VLOOKUP(C36,'SDK5'!C3:AF83,2,FALSE))</f>
        <v>0</v>
      </c>
      <c r="G36" s="1183">
        <f t="shared" ref="G36:G42" si="0">F36*(100+$D$35)/100</f>
        <v>0</v>
      </c>
      <c r="H36" s="1182"/>
      <c r="I36" s="1181">
        <f t="shared" ref="I36:I42" si="1">$G36*H36</f>
        <v>0</v>
      </c>
      <c r="J36" s="2783"/>
      <c r="K36" s="1182"/>
      <c r="L36" s="1023">
        <f t="shared" ref="L36:L42" si="2">$G36*K36</f>
        <v>0</v>
      </c>
      <c r="M36" s="2795"/>
      <c r="N36" s="1182"/>
      <c r="O36" s="1181">
        <f t="shared" ref="O36:O42" si="3">$G36*N36</f>
        <v>0</v>
      </c>
      <c r="P36" s="1185"/>
      <c r="Q36" s="34"/>
    </row>
    <row r="37" spans="1:17" s="36" customFormat="1" ht="15" customHeight="1">
      <c r="A37" s="746"/>
      <c r="B37" s="2797"/>
      <c r="C37" s="4375" t="s">
        <v>311</v>
      </c>
      <c r="D37" s="4375"/>
      <c r="E37" s="4376"/>
      <c r="F37" s="1183">
        <f>IF(C37="",0,VLOOKUP(C37,'SDK5'!C4:AF84,2,FALSE))</f>
        <v>0</v>
      </c>
      <c r="G37" s="1183">
        <f t="shared" si="0"/>
        <v>0</v>
      </c>
      <c r="H37" s="1182"/>
      <c r="I37" s="1181">
        <f t="shared" si="1"/>
        <v>0</v>
      </c>
      <c r="J37" s="2783"/>
      <c r="K37" s="1182"/>
      <c r="L37" s="1023">
        <f t="shared" si="2"/>
        <v>0</v>
      </c>
      <c r="M37" s="2795"/>
      <c r="N37" s="1182"/>
      <c r="O37" s="1181">
        <f t="shared" si="3"/>
        <v>0</v>
      </c>
      <c r="P37" s="1145"/>
      <c r="Q37" s="34"/>
    </row>
    <row r="38" spans="1:17" s="36" customFormat="1" ht="15" customHeight="1">
      <c r="A38" s="746"/>
      <c r="B38" s="1184"/>
      <c r="C38" s="4375"/>
      <c r="D38" s="4375"/>
      <c r="E38" s="4376"/>
      <c r="F38" s="1183">
        <f>IF(C38="",0,VLOOKUP(C38,'SDK5'!C5:AF85,2,FALSE))</f>
        <v>0</v>
      </c>
      <c r="G38" s="1183">
        <f t="shared" si="0"/>
        <v>0</v>
      </c>
      <c r="H38" s="1182"/>
      <c r="I38" s="1181">
        <f t="shared" si="1"/>
        <v>0</v>
      </c>
      <c r="J38" s="2783"/>
      <c r="K38" s="1182"/>
      <c r="L38" s="1023">
        <f t="shared" si="2"/>
        <v>0</v>
      </c>
      <c r="M38" s="2795"/>
      <c r="N38" s="1182"/>
      <c r="O38" s="1181">
        <f t="shared" si="3"/>
        <v>0</v>
      </c>
      <c r="P38" s="1145"/>
      <c r="Q38" s="34"/>
    </row>
    <row r="39" spans="1:17" s="36" customFormat="1" ht="15" customHeight="1">
      <c r="A39" s="746"/>
      <c r="B39" s="2797"/>
      <c r="C39" s="4375"/>
      <c r="D39" s="4375"/>
      <c r="E39" s="4376"/>
      <c r="F39" s="1183">
        <f>IF(C39="",0,VLOOKUP(C39,'SDK5'!C6:AF86,2,FALSE))</f>
        <v>0</v>
      </c>
      <c r="G39" s="1183">
        <f t="shared" si="0"/>
        <v>0</v>
      </c>
      <c r="H39" s="1182"/>
      <c r="I39" s="1181">
        <f t="shared" si="1"/>
        <v>0</v>
      </c>
      <c r="J39" s="2783"/>
      <c r="K39" s="1182"/>
      <c r="L39" s="1023">
        <f t="shared" si="2"/>
        <v>0</v>
      </c>
      <c r="M39" s="2795"/>
      <c r="N39" s="1182"/>
      <c r="O39" s="1181">
        <f t="shared" si="3"/>
        <v>0</v>
      </c>
      <c r="P39" s="1145"/>
      <c r="Q39" s="34"/>
    </row>
    <row r="40" spans="1:17" s="36" customFormat="1" ht="15" customHeight="1">
      <c r="A40" s="746"/>
      <c r="B40" s="2797"/>
      <c r="C40" s="4375"/>
      <c r="D40" s="4375"/>
      <c r="E40" s="4376"/>
      <c r="F40" s="1183">
        <f>IF(C40="",0,VLOOKUP(C40,'SDK5'!C7:AF87,2,FALSE))</f>
        <v>0</v>
      </c>
      <c r="G40" s="1183">
        <f t="shared" si="0"/>
        <v>0</v>
      </c>
      <c r="H40" s="1182"/>
      <c r="I40" s="1181">
        <f t="shared" si="1"/>
        <v>0</v>
      </c>
      <c r="J40" s="2783"/>
      <c r="K40" s="1182"/>
      <c r="L40" s="1023">
        <f t="shared" si="2"/>
        <v>0</v>
      </c>
      <c r="M40" s="2795"/>
      <c r="N40" s="1182"/>
      <c r="O40" s="1181">
        <f t="shared" si="3"/>
        <v>0</v>
      </c>
      <c r="P40" s="1145"/>
      <c r="Q40" s="34"/>
    </row>
    <row r="41" spans="1:17" s="36" customFormat="1" ht="15" customHeight="1">
      <c r="A41" s="746"/>
      <c r="B41" s="2797"/>
      <c r="C41" s="4375"/>
      <c r="D41" s="4375"/>
      <c r="E41" s="4376"/>
      <c r="F41" s="1183">
        <f>IF(C41="",0,VLOOKUP(C41,'SDK5'!C8:AF88,2,FALSE))</f>
        <v>0</v>
      </c>
      <c r="G41" s="1183">
        <f t="shared" si="0"/>
        <v>0</v>
      </c>
      <c r="H41" s="1182"/>
      <c r="I41" s="1181">
        <f t="shared" si="1"/>
        <v>0</v>
      </c>
      <c r="J41" s="2783"/>
      <c r="K41" s="1182"/>
      <c r="L41" s="1023">
        <f t="shared" si="2"/>
        <v>0</v>
      </c>
      <c r="M41" s="2795"/>
      <c r="N41" s="1182"/>
      <c r="O41" s="1181">
        <f t="shared" si="3"/>
        <v>0</v>
      </c>
      <c r="P41" s="1145"/>
      <c r="Q41" s="34"/>
    </row>
    <row r="42" spans="1:17" s="36" customFormat="1" ht="15" customHeight="1">
      <c r="A42" s="746"/>
      <c r="B42" s="1180"/>
      <c r="C42" s="4361"/>
      <c r="D42" s="4361"/>
      <c r="E42" s="4362"/>
      <c r="F42" s="1179">
        <f>IF(C42="",0,VLOOKUP(C42,'SDK5'!C9:AF89,2,FALSE))</f>
        <v>0</v>
      </c>
      <c r="G42" s="1179">
        <f t="shared" si="0"/>
        <v>0</v>
      </c>
      <c r="H42" s="1178"/>
      <c r="I42" s="1177">
        <f t="shared" si="1"/>
        <v>0</v>
      </c>
      <c r="J42" s="2783"/>
      <c r="K42" s="1178"/>
      <c r="L42" s="1017">
        <f t="shared" si="2"/>
        <v>0</v>
      </c>
      <c r="M42" s="2795"/>
      <c r="N42" s="1178"/>
      <c r="O42" s="1177">
        <f t="shared" si="3"/>
        <v>0</v>
      </c>
      <c r="P42" s="1176"/>
      <c r="Q42" s="34"/>
    </row>
    <row r="43" spans="1:17" s="2593" customFormat="1" ht="18.75" customHeight="1">
      <c r="A43" s="2789"/>
      <c r="B43" s="2790" t="s">
        <v>856</v>
      </c>
      <c r="C43" s="2789"/>
      <c r="D43" s="2789"/>
      <c r="E43" s="2789"/>
      <c r="F43" s="2789"/>
      <c r="G43" s="1047"/>
      <c r="H43" s="1173"/>
      <c r="I43" s="1172"/>
      <c r="J43" s="1041">
        <f>SUM(J46:J57)</f>
        <v>146.18080025</v>
      </c>
      <c r="K43" s="1175"/>
      <c r="L43" s="1174"/>
      <c r="M43" s="1044">
        <f>SUM(M46:M57)</f>
        <v>146.9646222633333</v>
      </c>
      <c r="N43" s="1173"/>
      <c r="O43" s="1172"/>
      <c r="P43" s="1041">
        <f>SUM(P46:P57)</f>
        <v>147.74844427666665</v>
      </c>
      <c r="Q43" s="34"/>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34"/>
    </row>
    <row r="45" spans="1:17" s="36" customFormat="1" ht="15" customHeight="1">
      <c r="A45" s="746"/>
      <c r="B45" s="400"/>
      <c r="C45" s="381"/>
      <c r="D45" s="1163"/>
      <c r="E45" s="1034" t="s">
        <v>851</v>
      </c>
      <c r="F45" s="1034" t="s">
        <v>850</v>
      </c>
      <c r="G45" s="1034" t="s">
        <v>441</v>
      </c>
      <c r="H45" s="1159" t="s">
        <v>849</v>
      </c>
      <c r="I45" s="1033" t="s">
        <v>113</v>
      </c>
      <c r="J45" s="1158" t="s">
        <v>163</v>
      </c>
      <c r="K45" s="1162" t="s">
        <v>849</v>
      </c>
      <c r="L45" s="1161" t="s">
        <v>113</v>
      </c>
      <c r="M45" s="1160" t="s">
        <v>163</v>
      </c>
      <c r="N45" s="1159" t="s">
        <v>849</v>
      </c>
      <c r="O45" s="1033" t="s">
        <v>113</v>
      </c>
      <c r="P45" s="1158" t="s">
        <v>163</v>
      </c>
      <c r="Q45" s="34"/>
    </row>
    <row r="46" spans="1:17" s="36" customFormat="1" ht="15" customHeight="1">
      <c r="A46" s="746"/>
      <c r="B46" s="1157"/>
      <c r="C46" s="4363" t="s">
        <v>1589</v>
      </c>
      <c r="D46" s="4364"/>
      <c r="E46" s="1152">
        <f>IF($C46=0,0,VLOOKUP($C46,'SD3'!$C$24:$O$85,4,FALSE))</f>
        <v>120</v>
      </c>
      <c r="F46" s="1151">
        <f>IF($C46=0,0,VLOOKUP($C46,'SD3'!$C$24:$O$85,12,FALSE))</f>
        <v>1.38</v>
      </c>
      <c r="G46" s="1150">
        <f>IF($C46=0,0,VLOOKUP($C46,'SD3'!$C$24:$O$85,13,FALSE))</f>
        <v>64.642445999999993</v>
      </c>
      <c r="H46" s="1147">
        <v>1</v>
      </c>
      <c r="I46" s="1154">
        <f t="shared" ref="I46:I57" si="4">$F46*H46</f>
        <v>1.38</v>
      </c>
      <c r="J46" s="1145">
        <f t="shared" ref="J46:J57" si="5">H46*$G46</f>
        <v>64.642445999999993</v>
      </c>
      <c r="K46" s="1147">
        <v>1</v>
      </c>
      <c r="L46" s="1156">
        <f t="shared" ref="L46:L57" si="6">$F46*K46</f>
        <v>1.38</v>
      </c>
      <c r="M46" s="1148">
        <f t="shared" ref="M46:M57" si="7">K46*$G46</f>
        <v>64.642445999999993</v>
      </c>
      <c r="N46" s="1147">
        <v>1</v>
      </c>
      <c r="O46" s="1154">
        <f t="shared" ref="O46:O57" si="8">$F46*N46</f>
        <v>1.38</v>
      </c>
      <c r="P46" s="1145">
        <f t="shared" ref="P46:P57" si="9">N46*$G46</f>
        <v>64.642445999999993</v>
      </c>
      <c r="Q46" s="34">
        <f>$Q$2*H46</f>
        <v>0</v>
      </c>
    </row>
    <row r="47" spans="1:17" s="36" customFormat="1" ht="15" customHeight="1">
      <c r="A47" s="746"/>
      <c r="B47" s="1153"/>
      <c r="C47" s="4387" t="s">
        <v>354</v>
      </c>
      <c r="D47" s="4388"/>
      <c r="E47" s="1152">
        <f>IF($C47=0,0,VLOOKUP($C47,'SD3'!$C$24:$O$85,4,FALSE))</f>
        <v>120</v>
      </c>
      <c r="F47" s="1151">
        <f>IF($C47=0,0,VLOOKUP($C47,'SD3'!$C$24:$O$85,12,FALSE))</f>
        <v>0.71</v>
      </c>
      <c r="G47" s="1150">
        <f>IF($C47=0,0,VLOOKUP($C47,'SD3'!$C$24:$O$85,13,FALSE))</f>
        <v>30.659437999999998</v>
      </c>
      <c r="H47" s="1147">
        <v>1</v>
      </c>
      <c r="I47" s="1146">
        <f t="shared" si="4"/>
        <v>0.71</v>
      </c>
      <c r="J47" s="1145">
        <f t="shared" si="5"/>
        <v>30.659437999999998</v>
      </c>
      <c r="K47" s="1147">
        <v>1</v>
      </c>
      <c r="L47" s="1149">
        <f t="shared" si="6"/>
        <v>0.71</v>
      </c>
      <c r="M47" s="1148">
        <f t="shared" si="7"/>
        <v>30.659437999999998</v>
      </c>
      <c r="N47" s="1147">
        <v>1</v>
      </c>
      <c r="O47" s="1146">
        <f t="shared" si="8"/>
        <v>0.71</v>
      </c>
      <c r="P47" s="1145">
        <f t="shared" si="9"/>
        <v>30.659437999999998</v>
      </c>
      <c r="Q47" s="34"/>
    </row>
    <row r="48" spans="1:17" s="36" customFormat="1" ht="15" customHeight="1">
      <c r="A48" s="746"/>
      <c r="B48" s="1153"/>
      <c r="C48" s="4387" t="s">
        <v>339</v>
      </c>
      <c r="D48" s="4388"/>
      <c r="E48" s="1152">
        <f>IF($C48=0,0,VLOOKUP($C48,'SD3'!$C$24:$O$85,4,FALSE))</f>
        <v>83</v>
      </c>
      <c r="F48" s="1151">
        <f>IF($C48=0,0,VLOOKUP($C48,'SD3'!$C$24:$O$85,12,FALSE))</f>
        <v>0.27</v>
      </c>
      <c r="G48" s="1150">
        <f>IF($C48=0,0,VLOOKUP($C48,'SD3'!$C$24:$O$85,13,FALSE))</f>
        <v>6.9619069099999997</v>
      </c>
      <c r="H48" s="1147">
        <v>1</v>
      </c>
      <c r="I48" s="1146">
        <f t="shared" si="4"/>
        <v>0.27</v>
      </c>
      <c r="J48" s="1145">
        <f t="shared" si="5"/>
        <v>6.9619069099999997</v>
      </c>
      <c r="K48" s="1147">
        <v>1</v>
      </c>
      <c r="L48" s="1149">
        <f t="shared" si="6"/>
        <v>0.27</v>
      </c>
      <c r="M48" s="1148">
        <f t="shared" si="7"/>
        <v>6.9619069099999997</v>
      </c>
      <c r="N48" s="1147">
        <v>1</v>
      </c>
      <c r="O48" s="1146">
        <f t="shared" si="8"/>
        <v>0.27</v>
      </c>
      <c r="P48" s="1145">
        <f t="shared" si="9"/>
        <v>6.9619069099999997</v>
      </c>
      <c r="Q48" s="34"/>
    </row>
    <row r="49" spans="1:17" s="36" customFormat="1" ht="15" customHeight="1">
      <c r="A49" s="746"/>
      <c r="B49" s="1153"/>
      <c r="C49" s="4387" t="s">
        <v>338</v>
      </c>
      <c r="D49" s="4388"/>
      <c r="E49" s="1152">
        <f>IF($C49=0,0,VLOOKUP($C49,'SD3'!$C$24:$O$85,4,FALSE))</f>
        <v>54</v>
      </c>
      <c r="F49" s="1151">
        <f>IF($C49=0,0,VLOOKUP($C49,'SD3'!$C$24:$O$85,12,FALSE))</f>
        <v>1.1299999999999999</v>
      </c>
      <c r="G49" s="1150">
        <f>IF($C49=0,0,VLOOKUP($C49,'SD3'!$C$24:$O$85,13,FALSE))</f>
        <v>19.852731299999999</v>
      </c>
      <c r="H49" s="1147">
        <v>1</v>
      </c>
      <c r="I49" s="1146">
        <f t="shared" si="4"/>
        <v>1.1299999999999999</v>
      </c>
      <c r="J49" s="1145">
        <f t="shared" si="5"/>
        <v>19.852731299999999</v>
      </c>
      <c r="K49" s="1147">
        <v>1</v>
      </c>
      <c r="L49" s="1149">
        <f t="shared" si="6"/>
        <v>1.1299999999999999</v>
      </c>
      <c r="M49" s="1148">
        <f t="shared" si="7"/>
        <v>19.852731299999999</v>
      </c>
      <c r="N49" s="1147">
        <v>1</v>
      </c>
      <c r="O49" s="1146">
        <f t="shared" si="8"/>
        <v>1.1299999999999999</v>
      </c>
      <c r="P49" s="1145">
        <f t="shared" si="9"/>
        <v>19.852731299999999</v>
      </c>
      <c r="Q49" s="34"/>
    </row>
    <row r="50" spans="1:17" s="36" customFormat="1" ht="15" customHeight="1">
      <c r="A50" s="746"/>
      <c r="B50" s="1153"/>
      <c r="C50" s="4403" t="s">
        <v>1748</v>
      </c>
      <c r="D50" s="4404"/>
      <c r="E50" s="1152">
        <f>IF($C50=0,0,VLOOKUP($C50,'SD3'!$C$24:$O$85,4,FALSE))</f>
        <v>120</v>
      </c>
      <c r="F50" s="1151">
        <f>IF($C50=0,0,VLOOKUP($C50,'SD3'!$C$24:$O$85,12,FALSE))</f>
        <v>0.37</v>
      </c>
      <c r="G50" s="1150">
        <f>IF($C50=0,0,VLOOKUP($C50,'SD3'!$C$24:$O$85,13,FALSE))</f>
        <v>11.7573302</v>
      </c>
      <c r="H50" s="3654">
        <f>$J$6/75</f>
        <v>0.2</v>
      </c>
      <c r="I50" s="1146">
        <f t="shared" si="4"/>
        <v>7.3999999999999996E-2</v>
      </c>
      <c r="J50" s="1145">
        <f t="shared" si="5"/>
        <v>2.35146604</v>
      </c>
      <c r="K50" s="3654">
        <f>$M$6/75</f>
        <v>0.26666666666666666</v>
      </c>
      <c r="L50" s="1149">
        <f t="shared" si="6"/>
        <v>9.8666666666666666E-2</v>
      </c>
      <c r="M50" s="1148">
        <f t="shared" si="7"/>
        <v>3.1352880533333334</v>
      </c>
      <c r="N50" s="3654">
        <f>$P$6/75</f>
        <v>0.33333333333333331</v>
      </c>
      <c r="O50" s="1146">
        <f t="shared" si="8"/>
        <v>0.12333333333333332</v>
      </c>
      <c r="P50" s="1145">
        <f t="shared" si="9"/>
        <v>3.9191100666666667</v>
      </c>
      <c r="Q50" s="34"/>
    </row>
    <row r="51" spans="1:17" s="36" customFormat="1" ht="15" customHeight="1">
      <c r="A51" s="746"/>
      <c r="B51" s="1153"/>
      <c r="C51" s="4387" t="s">
        <v>359</v>
      </c>
      <c r="D51" s="4388"/>
      <c r="E51" s="1152">
        <f>IF($C51=0,0,VLOOKUP($C51,'SD3'!$C$24:$O$85,4,FALSE))</f>
        <v>120</v>
      </c>
      <c r="F51" s="1151">
        <f>IF($C51=0,0,VLOOKUP($C51,'SD3'!$C$24:$O$85,12,FALSE))</f>
        <v>0.54</v>
      </c>
      <c r="G51" s="1150">
        <f>IF($C51=0,0,VLOOKUP($C51,'SD3'!$C$24:$O$85,13,FALSE))</f>
        <v>21.712812</v>
      </c>
      <c r="H51" s="1147">
        <v>1</v>
      </c>
      <c r="I51" s="1146">
        <f t="shared" si="4"/>
        <v>0.54</v>
      </c>
      <c r="J51" s="1145">
        <f t="shared" si="5"/>
        <v>21.712812</v>
      </c>
      <c r="K51" s="1147">
        <v>1</v>
      </c>
      <c r="L51" s="1149">
        <f t="shared" si="6"/>
        <v>0.54</v>
      </c>
      <c r="M51" s="1148">
        <f t="shared" si="7"/>
        <v>21.712812</v>
      </c>
      <c r="N51" s="1147">
        <v>1</v>
      </c>
      <c r="O51" s="1146">
        <f t="shared" si="8"/>
        <v>0.54</v>
      </c>
      <c r="P51" s="1145">
        <f t="shared" si="9"/>
        <v>21.712812</v>
      </c>
      <c r="Q51" s="34"/>
    </row>
    <row r="52" spans="1:17" s="36" customFormat="1" ht="15" customHeight="1">
      <c r="A52" s="746"/>
      <c r="B52" s="1153"/>
      <c r="C52" s="4387"/>
      <c r="D52" s="4388"/>
      <c r="E52" s="1152">
        <f>IF($C52=0,0,VLOOKUP($C52,'SD3'!$C$24:$O$85,4,FALSE))</f>
        <v>0</v>
      </c>
      <c r="F52" s="1151">
        <f>IF($C52=0,0,VLOOKUP($C52,'SD3'!$C$24:$O$85,12,FALSE))</f>
        <v>0</v>
      </c>
      <c r="G52" s="1150">
        <f>IF($C52=0,0,VLOOKUP($C52,'SD3'!$C$24:$O$85,13,FALSE))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c r="D53" s="4388"/>
      <c r="E53" s="1152">
        <f>IF($C53=0,0,VLOOKUP($C53,'SD3'!$C$24:$O$85,4,FALSE))</f>
        <v>0</v>
      </c>
      <c r="F53" s="1151">
        <f>IF($C53=0,0,VLOOKUP($C53,'SD3'!$C$24:$O$85,12,FALSE))</f>
        <v>0</v>
      </c>
      <c r="G53" s="1150">
        <f>IF($C53=0,0,VLOOKUP($C53,'SD3'!$C$24:$O$85,13,FALSE))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387"/>
      <c r="D54" s="4388"/>
      <c r="E54" s="1152">
        <f>IF($C54=0,0,VLOOKUP($C54,'SD3'!$C$24:$O$85,4,FALSE))</f>
        <v>0</v>
      </c>
      <c r="F54" s="1151">
        <f>IF($C54=0,0,VLOOKUP($C54,'SD3'!$C$24:$O$85,12,FALSE))</f>
        <v>0</v>
      </c>
      <c r="G54" s="1150">
        <f>IF($C54=0,0,VLOOKUP($C54,'SD3'!$C$24:$O$85,13,FALSE))</f>
        <v>0</v>
      </c>
      <c r="H54" s="1147"/>
      <c r="I54" s="1146">
        <f t="shared" si="4"/>
        <v>0</v>
      </c>
      <c r="J54" s="1145">
        <f t="shared" si="5"/>
        <v>0</v>
      </c>
      <c r="K54" s="1147"/>
      <c r="L54" s="1149">
        <f t="shared" si="6"/>
        <v>0</v>
      </c>
      <c r="M54" s="1148">
        <f t="shared" si="7"/>
        <v>0</v>
      </c>
      <c r="N54" s="1147"/>
      <c r="O54" s="1146">
        <f t="shared" si="8"/>
        <v>0</v>
      </c>
      <c r="P54" s="1145">
        <f t="shared" si="9"/>
        <v>0</v>
      </c>
      <c r="Q54" s="34"/>
    </row>
    <row r="55" spans="1:17" s="36" customFormat="1" ht="15" customHeight="1">
      <c r="A55" s="746"/>
      <c r="B55" s="1153"/>
      <c r="C55" s="4387"/>
      <c r="D55" s="4388"/>
      <c r="E55" s="1152">
        <f>IF($C55=0,0,VLOOKUP($C55,'SD3'!$C$24:$O$85,4,FALSE))</f>
        <v>0</v>
      </c>
      <c r="F55" s="1151">
        <f>IF($C55=0,0,VLOOKUP($C55,'SD3'!$C$24:$O$85,12,FALSE))</f>
        <v>0</v>
      </c>
      <c r="G55" s="1150">
        <f>IF($C55=0,0,VLOOKUP($C55,'SD3'!$C$24:$O$85,13,FALSE))</f>
        <v>0</v>
      </c>
      <c r="H55" s="1147"/>
      <c r="I55" s="1146">
        <f t="shared" si="4"/>
        <v>0</v>
      </c>
      <c r="J55" s="1145">
        <f t="shared" si="5"/>
        <v>0</v>
      </c>
      <c r="K55" s="1147"/>
      <c r="L55" s="1149">
        <f t="shared" si="6"/>
        <v>0</v>
      </c>
      <c r="M55" s="1148">
        <f t="shared" si="7"/>
        <v>0</v>
      </c>
      <c r="N55" s="1147"/>
      <c r="O55" s="1146">
        <f t="shared" si="8"/>
        <v>0</v>
      </c>
      <c r="P55" s="1145">
        <f t="shared" si="9"/>
        <v>0</v>
      </c>
      <c r="Q55" s="34"/>
    </row>
    <row r="56" spans="1:17" s="36" customFormat="1" ht="15" customHeight="1">
      <c r="A56" s="746"/>
      <c r="B56" s="1144"/>
      <c r="C56" s="4425"/>
      <c r="D56" s="4426"/>
      <c r="E56" s="1341">
        <f>IF($C56=0,0,VLOOKUP($C56,'SD3'!$C$24:$O$85,4,FALSE))</f>
        <v>0</v>
      </c>
      <c r="F56" s="1340">
        <f>IF($C56=0,0,VLOOKUP($C56,'SD3'!$C$24:$O$85,12,FALSE))</f>
        <v>0</v>
      </c>
      <c r="G56" s="1339">
        <f>IF($C56=0,0,VLOOKUP($C56,'SD3'!$C$24:$O$85,13,FALSE))</f>
        <v>0</v>
      </c>
      <c r="H56" s="1336"/>
      <c r="I56" s="1335">
        <f t="shared" si="4"/>
        <v>0</v>
      </c>
      <c r="J56" s="1334">
        <f t="shared" si="5"/>
        <v>0</v>
      </c>
      <c r="K56" s="1336"/>
      <c r="L56" s="1338">
        <f t="shared" si="6"/>
        <v>0</v>
      </c>
      <c r="M56" s="1337">
        <f t="shared" si="7"/>
        <v>0</v>
      </c>
      <c r="N56" s="1336"/>
      <c r="O56" s="1335">
        <f t="shared" si="8"/>
        <v>0</v>
      </c>
      <c r="P56" s="1334">
        <f t="shared" si="9"/>
        <v>0</v>
      </c>
      <c r="Q56" s="34"/>
    </row>
    <row r="57" spans="1:17" s="36" customFormat="1" ht="47.25" customHeight="1">
      <c r="A57" s="746"/>
      <c r="B57" s="2815"/>
      <c r="C57" s="4423"/>
      <c r="D57" s="4424"/>
      <c r="E57" s="1135">
        <f>IF($C57=0,0,VLOOKUP($C57,'SD3'!$C$24:$O$85,4,FALSE))</f>
        <v>0</v>
      </c>
      <c r="F57" s="1134">
        <f>IF($C57=0,0,VLOOKUP($C57,'SD3'!$C$24:$O$85,12,FALSE))</f>
        <v>0</v>
      </c>
      <c r="G57" s="1133">
        <f>IF($C57=0,0,VLOOKUP($C57,'SD3'!$C$24:$O$85,13,FALSE))</f>
        <v>0</v>
      </c>
      <c r="H57" s="1131">
        <f>H11/50</f>
        <v>0</v>
      </c>
      <c r="I57" s="1130">
        <f t="shared" si="4"/>
        <v>0</v>
      </c>
      <c r="J57" s="1129">
        <f t="shared" si="5"/>
        <v>0</v>
      </c>
      <c r="K57" s="1131">
        <f>K11/50</f>
        <v>0</v>
      </c>
      <c r="L57" s="1132">
        <f t="shared" si="6"/>
        <v>0</v>
      </c>
      <c r="M57" s="1079">
        <f t="shared" si="7"/>
        <v>0</v>
      </c>
      <c r="N57" s="1131">
        <f>N11/50</f>
        <v>0</v>
      </c>
      <c r="O57" s="1130">
        <f t="shared" si="8"/>
        <v>0</v>
      </c>
      <c r="P57" s="1129">
        <f t="shared" si="9"/>
        <v>0</v>
      </c>
      <c r="Q57" s="34"/>
    </row>
    <row r="58" spans="1:17" s="46" customFormat="1" ht="18.75" customHeight="1">
      <c r="A58" s="2793"/>
      <c r="B58" s="2790" t="s">
        <v>848</v>
      </c>
      <c r="C58" s="2793"/>
      <c r="D58" s="2793"/>
      <c r="E58" s="2793"/>
      <c r="F58" s="34"/>
      <c r="G58" s="1047"/>
      <c r="H58" s="1124"/>
      <c r="I58" s="1123">
        <f>SUM($I$46:$I$57)</f>
        <v>4.1039999999999992</v>
      </c>
      <c r="J58" s="1128"/>
      <c r="K58" s="1127"/>
      <c r="L58" s="1126">
        <f>SUM($L$46:$L$57)</f>
        <v>4.1286666666666658</v>
      </c>
      <c r="M58" s="1125"/>
      <c r="N58" s="1124"/>
      <c r="O58" s="1123">
        <f>SUM($O$46:$O$57)</f>
        <v>4.1533333333333333</v>
      </c>
      <c r="P58" s="1122"/>
      <c r="Q58" s="34"/>
    </row>
    <row r="59" spans="1:17" s="46" customFormat="1" ht="15" customHeight="1">
      <c r="A59" s="2793"/>
      <c r="B59" s="1121"/>
      <c r="C59" s="285"/>
      <c r="D59" s="2786" t="s">
        <v>847</v>
      </c>
      <c r="E59" s="1120">
        <v>80</v>
      </c>
      <c r="F59" s="285" t="s">
        <v>846</v>
      </c>
      <c r="G59" s="1119"/>
      <c r="H59" s="1115"/>
      <c r="I59" s="1114">
        <f>IF(I58+SUM($I$46:$I$57)*$E$59%&gt;I58+10,I58+10,I58+SUM($I$46:$I$57)*$E$59%)</f>
        <v>7.3871999999999982</v>
      </c>
      <c r="J59" s="1113"/>
      <c r="K59" s="1118"/>
      <c r="L59" s="1117">
        <f>IF(L58+SUM($L$46:$L$57)*$E$59%&gt;L58+10,L58+10,L58+SUM($L$46:$L$57)*$E$59%)</f>
        <v>7.4315999999999987</v>
      </c>
      <c r="M59" s="1116"/>
      <c r="N59" s="1115"/>
      <c r="O59" s="1114">
        <f>IF(O58+SUM($O$46:$O$57)*$E$59%&gt;O58+10,O58+10,O58+SUM($O$46:$O$57)*$E$59%)</f>
        <v>7.476</v>
      </c>
      <c r="P59" s="1113"/>
      <c r="Q59" s="34"/>
    </row>
    <row r="60" spans="1:17" s="36" customFormat="1" ht="18.75" customHeight="1">
      <c r="A60" s="746"/>
      <c r="B60" s="2790" t="s">
        <v>845</v>
      </c>
      <c r="C60" s="2793"/>
      <c r="D60" s="2793"/>
      <c r="E60" s="2783"/>
      <c r="F60" s="2783"/>
      <c r="G60" s="2838"/>
      <c r="H60" s="2834"/>
      <c r="I60" s="2833"/>
      <c r="J60" s="1111">
        <f>IF(J6=0,0,SUM(I62:I64))</f>
        <v>175.5</v>
      </c>
      <c r="K60" s="2836"/>
      <c r="L60" s="2835"/>
      <c r="M60" s="1044">
        <f>IF(M6=0,0,SUM(L62:L64))</f>
        <v>175.5</v>
      </c>
      <c r="N60" s="2834"/>
      <c r="O60" s="2833"/>
      <c r="P60" s="1111">
        <f>IF(P6=0,0,SUM(O62:O64))</f>
        <v>175.5</v>
      </c>
      <c r="Q60" s="34"/>
    </row>
    <row r="61" spans="1:17" s="36" customFormat="1" ht="13.2" customHeight="1">
      <c r="A61" s="746"/>
      <c r="B61" s="2802"/>
      <c r="C61" s="2801" t="s">
        <v>837</v>
      </c>
      <c r="D61" s="2837">
        <f>'SDK1'!$O$11</f>
        <v>0</v>
      </c>
      <c r="E61" s="1037"/>
      <c r="F61" s="1033" t="s">
        <v>239</v>
      </c>
      <c r="G61" s="1109" t="s">
        <v>836</v>
      </c>
      <c r="H61" s="2834"/>
      <c r="I61" s="2833"/>
      <c r="J61" s="1108"/>
      <c r="K61" s="2836"/>
      <c r="L61" s="2835"/>
      <c r="M61" s="1105"/>
      <c r="N61" s="2834"/>
      <c r="O61" s="2833"/>
      <c r="P61" s="1102"/>
      <c r="Q61" s="34"/>
    </row>
    <row r="62" spans="1:17" s="36" customFormat="1" ht="15" customHeight="1">
      <c r="A62" s="746"/>
      <c r="B62" s="2797"/>
      <c r="C62" s="4365" t="s">
        <v>296</v>
      </c>
      <c r="D62" s="4365"/>
      <c r="E62" s="4365"/>
      <c r="F62" s="2832">
        <f>IF($C62=0,0,VLOOKUP($C62,'SD3'!$C$90:$D$104,2,FALSE))</f>
        <v>175.5</v>
      </c>
      <c r="G62" s="2831">
        <f>(100+$D$61)/100*F62</f>
        <v>175.5</v>
      </c>
      <c r="H62" s="2784"/>
      <c r="I62" s="2827">
        <f>$G$62</f>
        <v>175.5</v>
      </c>
      <c r="J62" s="2784"/>
      <c r="K62" s="2830"/>
      <c r="L62" s="2829">
        <f>$G$62</f>
        <v>175.5</v>
      </c>
      <c r="M62" s="2795"/>
      <c r="N62" s="2828"/>
      <c r="O62" s="2827">
        <f>$G$62</f>
        <v>175.5</v>
      </c>
      <c r="P62" s="2826"/>
      <c r="Q62" s="34"/>
    </row>
    <row r="63" spans="1:17" s="36" customFormat="1" ht="15" customHeight="1">
      <c r="A63" s="746"/>
      <c r="B63" s="2825"/>
      <c r="C63" s="4397"/>
      <c r="D63" s="4397"/>
      <c r="E63" s="4398"/>
      <c r="F63" s="2824">
        <f>IF($C63=0,0,VLOOKUP($C63,'SD3'!$C$90:$D$104,2,FALSE))</f>
        <v>0</v>
      </c>
      <c r="G63" s="2823">
        <f>(100+$D$61)/100*F63</f>
        <v>0</v>
      </c>
      <c r="H63" s="2822"/>
      <c r="I63" s="2817">
        <f>$G$63</f>
        <v>0</v>
      </c>
      <c r="J63" s="2822"/>
      <c r="K63" s="2821"/>
      <c r="L63" s="2820">
        <f>$G$63</f>
        <v>0</v>
      </c>
      <c r="M63" s="2819"/>
      <c r="N63" s="2818"/>
      <c r="O63" s="2817">
        <f>$G$63</f>
        <v>0</v>
      </c>
      <c r="P63" s="2816"/>
      <c r="Q63" s="34"/>
    </row>
    <row r="64" spans="1:17" s="36" customFormat="1" ht="15" customHeight="1">
      <c r="A64" s="746"/>
      <c r="B64" s="2815"/>
      <c r="C64" s="4407" t="s">
        <v>289</v>
      </c>
      <c r="D64" s="4407"/>
      <c r="E64" s="4427"/>
      <c r="F64" s="2814">
        <f>IF($T$3=FALSE,0,VLOOKUP($C64,'SD3'!$C$90:$D$104,2,FALSE))</f>
        <v>0</v>
      </c>
      <c r="G64" s="2813">
        <f>(100+$D$61)/100*F64</f>
        <v>0</v>
      </c>
      <c r="H64" s="2810"/>
      <c r="I64" s="2809">
        <f>H11*$G$64</f>
        <v>0</v>
      </c>
      <c r="J64" s="184"/>
      <c r="K64" s="2812"/>
      <c r="L64" s="2811">
        <f>K11*$G$64</f>
        <v>0</v>
      </c>
      <c r="M64" s="1079"/>
      <c r="N64" s="2810"/>
      <c r="O64" s="2809">
        <f>N11*$G$64</f>
        <v>0</v>
      </c>
      <c r="P64" s="2808"/>
      <c r="Q64" s="34"/>
    </row>
    <row r="65" spans="1:20" s="2593" customFormat="1" ht="18.75" customHeight="1">
      <c r="A65" s="2789"/>
      <c r="B65" s="2790" t="s">
        <v>844</v>
      </c>
      <c r="C65" s="2789"/>
      <c r="D65" s="2789"/>
      <c r="E65" s="2789"/>
      <c r="F65" s="34"/>
      <c r="G65" s="1047"/>
      <c r="H65" s="51"/>
      <c r="I65" s="51"/>
      <c r="J65" s="1041">
        <f>H66*$E66</f>
        <v>0</v>
      </c>
      <c r="K65" s="1056"/>
      <c r="L65" s="1056"/>
      <c r="M65" s="1044">
        <f>K66*$E66</f>
        <v>0</v>
      </c>
      <c r="N65" s="51"/>
      <c r="O65" s="51"/>
      <c r="P65" s="1041">
        <f>N66*$E66</f>
        <v>0</v>
      </c>
      <c r="Q65" s="34"/>
    </row>
    <row r="66" spans="1:20" s="2593" customFormat="1" ht="15" customHeight="1">
      <c r="A66" s="2789"/>
      <c r="B66" s="2807"/>
      <c r="C66" s="2794"/>
      <c r="D66" s="2786" t="s">
        <v>691</v>
      </c>
      <c r="E66" s="2806"/>
      <c r="F66" s="2803"/>
      <c r="G66" s="1073" t="s">
        <v>362</v>
      </c>
      <c r="H66" s="1071"/>
      <c r="I66" s="1070"/>
      <c r="J66" s="1059"/>
      <c r="K66" s="1071"/>
      <c r="L66" s="1072"/>
      <c r="M66" s="1062"/>
      <c r="N66" s="1071"/>
      <c r="O66" s="1070"/>
      <c r="P66" s="1059"/>
      <c r="Q66" s="34"/>
    </row>
    <row r="67" spans="1:20" s="2593" customFormat="1" ht="22.95" customHeight="1">
      <c r="A67" s="2789"/>
      <c r="B67" s="2790" t="s">
        <v>843</v>
      </c>
      <c r="C67" s="2789"/>
      <c r="D67" s="2789"/>
      <c r="E67" s="2785"/>
      <c r="F67" s="2805"/>
      <c r="G67" s="1047"/>
      <c r="H67" s="1066" t="s">
        <v>842</v>
      </c>
      <c r="I67" s="1065" t="s">
        <v>841</v>
      </c>
      <c r="J67" s="1041">
        <f>R68*(H9+H10)*I68%+F68</f>
        <v>60.000000000000043</v>
      </c>
      <c r="K67" s="1068" t="s">
        <v>842</v>
      </c>
      <c r="L67" s="1067" t="s">
        <v>841</v>
      </c>
      <c r="M67" s="1044">
        <f>S68*(K9+K10)*L68%+F68</f>
        <v>80.000000000000057</v>
      </c>
      <c r="N67" s="1066" t="s">
        <v>842</v>
      </c>
      <c r="O67" s="1065" t="s">
        <v>841</v>
      </c>
      <c r="P67" s="1041">
        <f>T68*(N9+N10)*O68%+F68</f>
        <v>100.00000000000007</v>
      </c>
      <c r="Q67" s="34"/>
    </row>
    <row r="68" spans="1:20" s="2593" customFormat="1" ht="15" customHeight="1">
      <c r="A68" s="2789"/>
      <c r="B68" s="1064"/>
      <c r="C68" s="4393" t="s">
        <v>564</v>
      </c>
      <c r="D68" s="4393"/>
      <c r="E68" s="4393"/>
      <c r="F68" s="2804"/>
      <c r="G68" s="1054" t="s">
        <v>163</v>
      </c>
      <c r="H68" s="1061">
        <v>17</v>
      </c>
      <c r="I68" s="1060">
        <v>100</v>
      </c>
      <c r="J68" s="1059"/>
      <c r="K68" s="1061">
        <v>17</v>
      </c>
      <c r="L68" s="1060">
        <v>100</v>
      </c>
      <c r="M68" s="1062"/>
      <c r="N68" s="1061">
        <v>17</v>
      </c>
      <c r="O68" s="1060">
        <v>100</v>
      </c>
      <c r="P68" s="1059"/>
      <c r="Q68" s="34"/>
      <c r="R68" s="1369">
        <f>IF($H$68=0,0,VLOOKUP($H$68,'SD6'!N8:O154,'SD6'!I1,FALSE))*(1+'SDK1'!O11/100)</f>
        <v>4.0000000000000027</v>
      </c>
      <c r="S68" s="1058">
        <f>IF($K$68=0,0,VLOOKUP($K$68,'SD6'!N8:O154,'SD6'!I1,FALSE))*(1+'SDK1'!O11/100)</f>
        <v>4.0000000000000027</v>
      </c>
      <c r="T68" s="1369">
        <f>IF($N$68=0,0,VLOOKUP($N$68,'SD6'!N8:O154,'SD6'!I1,FALSE))*(1+'SDK1'!O11/100)</f>
        <v>4.0000000000000027</v>
      </c>
    </row>
    <row r="69" spans="1:20" s="2593" customFormat="1" ht="18.75" customHeight="1">
      <c r="A69" s="2789"/>
      <c r="B69" s="2790" t="s">
        <v>839</v>
      </c>
      <c r="C69" s="2789"/>
      <c r="D69" s="2789"/>
      <c r="E69" s="34"/>
      <c r="F69" s="34"/>
      <c r="G69" s="1047"/>
      <c r="H69" s="38"/>
      <c r="I69" s="51"/>
      <c r="J69" s="1041">
        <f>H70*$F70/1000</f>
        <v>0</v>
      </c>
      <c r="K69" s="1057"/>
      <c r="L69" s="1056"/>
      <c r="M69" s="1044">
        <f>K70*$F70/1000</f>
        <v>0</v>
      </c>
      <c r="N69" s="38"/>
      <c r="O69" s="51"/>
      <c r="P69" s="1041">
        <f>N70*$F70/1000</f>
        <v>0</v>
      </c>
      <c r="Q69" s="34"/>
    </row>
    <row r="70" spans="1:20" s="2593" customFormat="1" ht="15" customHeight="1">
      <c r="A70" s="2789"/>
      <c r="B70" s="2792"/>
      <c r="C70" s="2791" t="s">
        <v>606</v>
      </c>
      <c r="D70" s="285"/>
      <c r="E70" s="2786"/>
      <c r="F70" s="3742">
        <f>SDÖ7!K74</f>
        <v>0</v>
      </c>
      <c r="G70" s="1054" t="s">
        <v>163</v>
      </c>
      <c r="H70" s="1357">
        <f>J7</f>
        <v>870</v>
      </c>
      <c r="I70" s="2803"/>
      <c r="J70" s="1048"/>
      <c r="K70" s="1053">
        <f>M7</f>
        <v>1160</v>
      </c>
      <c r="L70" s="1052"/>
      <c r="M70" s="1051"/>
      <c r="N70" s="1357">
        <f>P7</f>
        <v>1450</v>
      </c>
      <c r="O70" s="2803"/>
      <c r="P70" s="1048"/>
      <c r="Q70" s="34"/>
    </row>
    <row r="71" spans="1:20" ht="18.75" customHeight="1">
      <c r="A71" s="2788"/>
      <c r="B71" s="2787" t="s">
        <v>838</v>
      </c>
      <c r="C71" s="2788"/>
      <c r="D71" s="2788"/>
      <c r="E71" s="2785"/>
      <c r="G71" s="1047"/>
      <c r="H71" s="1043"/>
      <c r="I71" s="1042"/>
      <c r="J71" s="1041">
        <f>SUM(I73:I74)</f>
        <v>0</v>
      </c>
      <c r="K71" s="1046"/>
      <c r="L71" s="1045"/>
      <c r="M71" s="1044">
        <f>SUM(L73:L74)</f>
        <v>0</v>
      </c>
      <c r="N71" s="1043"/>
      <c r="O71" s="1042"/>
      <c r="P71" s="1041">
        <f>SUM(O73:O74)</f>
        <v>0</v>
      </c>
    </row>
    <row r="72" spans="1:20" ht="13.2" customHeight="1">
      <c r="A72" s="2788"/>
      <c r="B72" s="2802"/>
      <c r="C72" s="2801" t="s">
        <v>837</v>
      </c>
      <c r="D72" s="2800">
        <f>'SDK1'!$O$12</f>
        <v>0</v>
      </c>
      <c r="E72" s="1037"/>
      <c r="F72" s="2799"/>
      <c r="G72" s="1035"/>
      <c r="H72" s="1034" t="s">
        <v>239</v>
      </c>
      <c r="I72" s="1033" t="s">
        <v>836</v>
      </c>
      <c r="J72" s="1032"/>
      <c r="K72" s="1031" t="s">
        <v>239</v>
      </c>
      <c r="L72" s="1030" t="s">
        <v>836</v>
      </c>
      <c r="M72" s="1029"/>
      <c r="N72" s="1028" t="s">
        <v>239</v>
      </c>
      <c r="O72" s="1027" t="s">
        <v>836</v>
      </c>
      <c r="P72" s="1026"/>
    </row>
    <row r="73" spans="1:20" s="36" customFormat="1" ht="15" customHeight="1">
      <c r="A73" s="746"/>
      <c r="B73" s="2797"/>
      <c r="C73" s="4400"/>
      <c r="D73" s="4400"/>
      <c r="E73" s="4400"/>
      <c r="F73" s="2798"/>
      <c r="G73" s="1024"/>
      <c r="H73" s="1018"/>
      <c r="I73" s="1022">
        <f>(100+$D$72)/100*H73</f>
        <v>0</v>
      </c>
      <c r="J73" s="2783"/>
      <c r="K73" s="1018"/>
      <c r="L73" s="1023">
        <f>(100+$D$72)/100*K73</f>
        <v>0</v>
      </c>
      <c r="M73" s="2795"/>
      <c r="N73" s="1018"/>
      <c r="O73" s="1022">
        <f>(100+$D$72)/100*N73</f>
        <v>0</v>
      </c>
      <c r="P73" s="1013"/>
      <c r="Q73" s="34"/>
    </row>
    <row r="74" spans="1:20" s="36" customFormat="1" ht="15" customHeight="1">
      <c r="A74" s="746"/>
      <c r="B74" s="2797"/>
      <c r="C74" s="4399"/>
      <c r="D74" s="4399"/>
      <c r="E74" s="4399"/>
      <c r="F74" s="2796"/>
      <c r="G74" s="1019"/>
      <c r="H74" s="1015"/>
      <c r="I74" s="1014">
        <f>(100+$D$72)/100*H74</f>
        <v>0</v>
      </c>
      <c r="J74" s="2783"/>
      <c r="K74" s="1018"/>
      <c r="L74" s="1017">
        <f>(100+$D$72)/100*K74</f>
        <v>0</v>
      </c>
      <c r="M74" s="2795"/>
      <c r="N74" s="1015"/>
      <c r="O74" s="1014">
        <f>(100+$D$72)/100*N74</f>
        <v>0</v>
      </c>
      <c r="P74" s="1013"/>
      <c r="Q74" s="34"/>
    </row>
    <row r="75" spans="1:20" s="2593" customFormat="1" ht="30.45" customHeight="1">
      <c r="A75" s="2789"/>
      <c r="B75" s="4391" t="s">
        <v>835</v>
      </c>
      <c r="C75" s="4392"/>
      <c r="D75" s="1012" t="s">
        <v>834</v>
      </c>
      <c r="E75" s="1011">
        <f>'SDK1'!$O$59/100</f>
        <v>0.02</v>
      </c>
      <c r="F75" s="1010" t="s">
        <v>833</v>
      </c>
      <c r="G75" s="1009">
        <v>5</v>
      </c>
      <c r="H75" s="1007"/>
      <c r="I75" s="1008"/>
      <c r="J75" s="1005">
        <f>(J23+J27+J34+J43+J60+J65+J67+J69+J71)*('SDK1'!$O$59%*$G$75/12)</f>
        <v>6.0014566687500004</v>
      </c>
      <c r="K75" s="2595"/>
      <c r="L75" s="522"/>
      <c r="M75" s="1005">
        <f>(M23+M27+M34+M43+M60+M65+M67+M69+M71)*('SDK1'!$O$59%*$G$75/12)</f>
        <v>6.2458885188611113</v>
      </c>
      <c r="N75" s="1007"/>
      <c r="O75" s="1006"/>
      <c r="P75" s="1005">
        <f>(P23+P27+P34+P43+P60+P65+P67+P69+P71)*('SDK1'!$O$59%*$G$75/12)</f>
        <v>6.4903203689722231</v>
      </c>
      <c r="Q75" s="34"/>
    </row>
    <row r="78" spans="1:20">
      <c r="L78" s="12"/>
    </row>
    <row r="79" spans="1:20">
      <c r="L79" s="12"/>
    </row>
    <row r="80" spans="1:20">
      <c r="L80" s="12"/>
    </row>
    <row r="81" spans="1:12">
      <c r="A81" s="31"/>
      <c r="L81" s="12"/>
    </row>
    <row r="82" spans="1:12">
      <c r="A82" s="31"/>
      <c r="L82" s="12"/>
    </row>
    <row r="83" spans="1:12">
      <c r="A83" s="31"/>
      <c r="L83" s="12"/>
    </row>
    <row r="84" spans="1:12">
      <c r="A84" s="31"/>
      <c r="L84" s="12"/>
    </row>
    <row r="85" spans="1:12">
      <c r="A85" s="31"/>
      <c r="L85" s="12"/>
    </row>
    <row r="86" spans="1:12">
      <c r="A86" s="31"/>
      <c r="L86" s="12"/>
    </row>
    <row r="87" spans="1:12">
      <c r="A87" s="31"/>
      <c r="L87" s="12"/>
    </row>
    <row r="88" spans="1:12">
      <c r="A88" s="31"/>
      <c r="L88" s="12"/>
    </row>
    <row r="89" spans="1:12">
      <c r="A89" s="31"/>
      <c r="L89" s="12"/>
    </row>
    <row r="90" spans="1:12">
      <c r="A90" s="31"/>
      <c r="L90" s="12"/>
    </row>
    <row r="91" spans="1:12">
      <c r="A91" s="31"/>
      <c r="L91" s="12"/>
    </row>
    <row r="92" spans="1:12">
      <c r="A92" s="31"/>
      <c r="L92" s="12"/>
    </row>
    <row r="93" spans="1:12">
      <c r="A93" s="31"/>
      <c r="L93" s="12"/>
    </row>
    <row r="94" spans="1:12">
      <c r="A94" s="31"/>
      <c r="L94" s="12"/>
    </row>
    <row r="95" spans="1:12">
      <c r="A95" s="31"/>
      <c r="L95" s="12"/>
    </row>
    <row r="96" spans="1:12">
      <c r="A96" s="31"/>
      <c r="L96" s="12"/>
    </row>
    <row r="97" spans="1:12">
      <c r="A97" s="31"/>
      <c r="L97" s="12"/>
    </row>
    <row r="98" spans="1:12">
      <c r="A98" s="31"/>
      <c r="L98" s="12"/>
    </row>
    <row r="99" spans="1:12">
      <c r="A99" s="31"/>
      <c r="L99" s="12"/>
    </row>
    <row r="100" spans="1:12">
      <c r="A100" s="31"/>
      <c r="L100" s="12"/>
    </row>
    <row r="101" spans="1:12">
      <c r="A101" s="31"/>
      <c r="B101" s="31"/>
      <c r="L101" s="12"/>
    </row>
    <row r="102" spans="1:12">
      <c r="A102" s="31"/>
      <c r="B102" s="31"/>
      <c r="L102" s="12"/>
    </row>
    <row r="103" spans="1:12">
      <c r="A103" s="31"/>
      <c r="B103" s="31"/>
      <c r="L103" s="12"/>
    </row>
    <row r="104" spans="1:12">
      <c r="A104" s="31"/>
      <c r="B104" s="31"/>
      <c r="L104" s="12"/>
    </row>
    <row r="105" spans="1:12">
      <c r="A105" s="31"/>
      <c r="B105" s="31"/>
      <c r="L105" s="12"/>
    </row>
    <row r="106" spans="1:12">
      <c r="A106" s="31"/>
      <c r="B106" s="31"/>
      <c r="L106" s="12"/>
    </row>
    <row r="107" spans="1:12">
      <c r="A107" s="31"/>
      <c r="B107" s="31"/>
      <c r="L107" s="12"/>
    </row>
    <row r="108" spans="1:12">
      <c r="A108" s="31"/>
      <c r="B108" s="31"/>
      <c r="L108" s="12"/>
    </row>
    <row r="109" spans="1:12">
      <c r="A109" s="31"/>
      <c r="B109" s="31"/>
      <c r="L109" s="12"/>
    </row>
    <row r="110" spans="1:12">
      <c r="A110" s="31"/>
      <c r="B110" s="31"/>
      <c r="L110" s="12"/>
    </row>
    <row r="111" spans="1:12">
      <c r="A111" s="31"/>
      <c r="B111" s="31"/>
      <c r="L111" s="12"/>
    </row>
    <row r="112" spans="1:12">
      <c r="A112" s="31"/>
      <c r="B112" s="31"/>
      <c r="L112" s="12"/>
    </row>
    <row r="113" spans="1:12">
      <c r="A113" s="31"/>
      <c r="L113" s="12"/>
    </row>
    <row r="114" spans="1:12">
      <c r="A114" s="31"/>
      <c r="L114" s="12"/>
    </row>
    <row r="115" spans="1:12">
      <c r="A115" s="31"/>
      <c r="L115" s="12"/>
    </row>
    <row r="116" spans="1:12">
      <c r="A116" s="31"/>
      <c r="L116" s="12"/>
    </row>
    <row r="117" spans="1:12">
      <c r="A117" s="31"/>
      <c r="L117" s="12"/>
    </row>
    <row r="118" spans="1:12">
      <c r="A118" s="31"/>
      <c r="L118" s="12"/>
    </row>
    <row r="119" spans="1:12">
      <c r="A119" s="31"/>
      <c r="L119" s="12"/>
    </row>
    <row r="120" spans="1:12">
      <c r="A120" s="31"/>
      <c r="B120" s="441"/>
      <c r="C120" s="12"/>
      <c r="L120" s="12"/>
    </row>
    <row r="121" spans="1:12">
      <c r="A121" s="31"/>
      <c r="B121" s="441"/>
      <c r="C121" s="12"/>
      <c r="L121" s="12"/>
    </row>
    <row r="122" spans="1:12">
      <c r="A122" s="31"/>
      <c r="B122" s="441"/>
      <c r="C122" s="12"/>
      <c r="L122" s="12"/>
    </row>
    <row r="123" spans="1:12">
      <c r="A123" s="31"/>
      <c r="B123" s="441"/>
      <c r="C123" s="12"/>
      <c r="L123" s="12"/>
    </row>
    <row r="124" spans="1:12">
      <c r="A124" s="31"/>
      <c r="B124" s="441"/>
      <c r="C124" s="12"/>
      <c r="L124" s="12"/>
    </row>
    <row r="125" spans="1:12">
      <c r="A125" s="31"/>
      <c r="B125" s="441"/>
      <c r="C125" s="12"/>
      <c r="L125" s="12"/>
    </row>
    <row r="126" spans="1:12">
      <c r="A126" s="31"/>
      <c r="B126" s="441"/>
      <c r="C126" s="12"/>
      <c r="L126" s="12"/>
    </row>
    <row r="127" spans="1:12">
      <c r="A127" s="31"/>
      <c r="B127" s="441"/>
      <c r="C127" s="12"/>
      <c r="L127" s="12"/>
    </row>
    <row r="128" spans="1:12">
      <c r="A128" s="31"/>
      <c r="B128" s="441"/>
      <c r="C128" s="12"/>
      <c r="L128" s="12"/>
    </row>
    <row r="129" spans="1:12">
      <c r="A129" s="31"/>
      <c r="B129" s="441"/>
      <c r="C129" s="12"/>
      <c r="L129" s="12"/>
    </row>
    <row r="130" spans="1:12">
      <c r="A130" s="31"/>
      <c r="B130" s="441"/>
      <c r="C130" s="12"/>
      <c r="L130" s="12"/>
    </row>
    <row r="131" spans="1:12">
      <c r="A131" s="31"/>
      <c r="B131" s="441"/>
      <c r="C131" s="12"/>
      <c r="L131" s="12"/>
    </row>
    <row r="132" spans="1:12">
      <c r="A132" s="31"/>
      <c r="B132" s="441"/>
      <c r="C132" s="12"/>
      <c r="L132" s="12"/>
    </row>
    <row r="133" spans="1:12">
      <c r="A133" s="31"/>
      <c r="B133" s="441"/>
      <c r="C133" s="12"/>
      <c r="L133" s="12"/>
    </row>
    <row r="134" spans="1:12">
      <c r="A134" s="31"/>
      <c r="B134" s="441"/>
      <c r="C134" s="12"/>
      <c r="L134" s="12"/>
    </row>
    <row r="135" spans="1:12">
      <c r="A135" s="31"/>
      <c r="B135" s="441"/>
      <c r="C135" s="12"/>
      <c r="L135" s="12"/>
    </row>
    <row r="136" spans="1:12">
      <c r="A136" s="31"/>
      <c r="B136" s="441"/>
      <c r="C136" s="12"/>
      <c r="L136" s="12"/>
    </row>
    <row r="137" spans="1:12">
      <c r="A137" s="31"/>
      <c r="B137" s="441"/>
      <c r="C137" s="12"/>
      <c r="L137" s="12"/>
    </row>
    <row r="138" spans="1:12">
      <c r="A138" s="31"/>
      <c r="B138" s="441"/>
      <c r="C138" s="12"/>
      <c r="L138" s="12"/>
    </row>
    <row r="139" spans="1:12">
      <c r="A139" s="31"/>
      <c r="B139" s="441"/>
      <c r="C139" s="12"/>
      <c r="L139" s="12"/>
    </row>
    <row r="140" spans="1:12">
      <c r="A140" s="31"/>
      <c r="B140" s="441"/>
      <c r="C140" s="12"/>
      <c r="L140" s="12"/>
    </row>
    <row r="141" spans="1:12">
      <c r="A141" s="31"/>
      <c r="B141" s="441"/>
      <c r="C141" s="12"/>
      <c r="L141" s="12"/>
    </row>
    <row r="142" spans="1:12">
      <c r="A142" s="31"/>
      <c r="B142" s="441"/>
      <c r="C142" s="12"/>
      <c r="L142" s="12"/>
    </row>
    <row r="143" spans="1:12">
      <c r="A143" s="31"/>
      <c r="B143" s="441"/>
      <c r="C143" s="12"/>
      <c r="L143" s="12"/>
    </row>
    <row r="144" spans="1:12">
      <c r="A144" s="31"/>
      <c r="B144" s="441"/>
      <c r="C144" s="12"/>
      <c r="L144" s="12"/>
    </row>
    <row r="145" spans="1:17">
      <c r="A145" s="31"/>
      <c r="B145" s="441"/>
      <c r="C145" s="12"/>
      <c r="L145" s="12"/>
      <c r="M145" s="31"/>
      <c r="N145" s="31"/>
      <c r="O145" s="31"/>
      <c r="P145" s="31"/>
      <c r="Q145" s="31"/>
    </row>
    <row r="146" spans="1:17">
      <c r="A146" s="31"/>
      <c r="B146" s="441"/>
      <c r="C146" s="12"/>
      <c r="L146" s="12"/>
      <c r="M146" s="31"/>
      <c r="N146" s="31"/>
      <c r="O146" s="31"/>
      <c r="P146" s="31"/>
      <c r="Q146" s="31"/>
    </row>
    <row r="147" spans="1:17">
      <c r="A147" s="31"/>
      <c r="B147" s="441"/>
      <c r="C147" s="12"/>
      <c r="L147" s="12"/>
      <c r="M147" s="31"/>
      <c r="N147" s="31"/>
      <c r="O147" s="31"/>
      <c r="P147" s="31"/>
      <c r="Q147" s="31"/>
    </row>
    <row r="148" spans="1:17">
      <c r="A148" s="31"/>
      <c r="B148" s="441"/>
      <c r="C148" s="12"/>
      <c r="L148" s="12"/>
      <c r="M148" s="31"/>
      <c r="N148" s="31"/>
      <c r="O148" s="31"/>
      <c r="P148" s="31"/>
      <c r="Q148" s="31"/>
    </row>
    <row r="149" spans="1:17">
      <c r="A149" s="31"/>
      <c r="B149" s="441"/>
      <c r="C149" s="12"/>
      <c r="M149" s="31"/>
      <c r="N149" s="31"/>
      <c r="O149" s="31"/>
      <c r="P149" s="31"/>
      <c r="Q149" s="31"/>
    </row>
    <row r="150" spans="1:17">
      <c r="A150" s="31"/>
      <c r="B150" s="441"/>
      <c r="C150" s="12"/>
      <c r="H150" s="1354"/>
      <c r="J150" s="1353"/>
      <c r="M150" s="31"/>
      <c r="N150" s="31"/>
      <c r="O150" s="31"/>
      <c r="P150" s="31"/>
      <c r="Q150" s="31"/>
    </row>
    <row r="151" spans="1:17">
      <c r="A151" s="31"/>
      <c r="B151" s="441"/>
      <c r="C151" s="12"/>
      <c r="H151" s="1354"/>
      <c r="J151" s="1353"/>
      <c r="M151" s="31"/>
      <c r="N151" s="31"/>
      <c r="O151" s="31"/>
      <c r="P151" s="31"/>
      <c r="Q151" s="31"/>
    </row>
    <row r="152" spans="1:17">
      <c r="A152" s="31"/>
      <c r="B152" s="441"/>
      <c r="C152" s="12"/>
      <c r="H152" s="1354"/>
      <c r="J152" s="1353"/>
      <c r="M152" s="31"/>
      <c r="N152" s="31"/>
      <c r="O152" s="31"/>
      <c r="P152" s="31"/>
      <c r="Q152" s="31"/>
    </row>
    <row r="153" spans="1:17">
      <c r="A153" s="31"/>
      <c r="B153" s="441"/>
      <c r="C153" s="12"/>
      <c r="H153" s="1354"/>
      <c r="J153" s="1353"/>
      <c r="M153" s="31"/>
      <c r="N153" s="31"/>
      <c r="O153" s="31"/>
      <c r="P153" s="31"/>
      <c r="Q153" s="31"/>
    </row>
    <row r="154" spans="1:17">
      <c r="A154" s="31"/>
      <c r="B154" s="441"/>
      <c r="C154" s="12"/>
      <c r="H154" s="1354"/>
      <c r="J154" s="1353"/>
      <c r="M154" s="31"/>
      <c r="N154" s="31"/>
      <c r="O154" s="31"/>
      <c r="P154" s="31"/>
      <c r="Q154" s="31"/>
    </row>
    <row r="155" spans="1:17">
      <c r="A155" s="31"/>
      <c r="B155" s="441"/>
      <c r="C155" s="12"/>
      <c r="D155" s="12"/>
      <c r="F155" s="12"/>
      <c r="G155" s="12"/>
      <c r="H155" s="12"/>
      <c r="I155" s="12"/>
      <c r="J155" s="12"/>
      <c r="K155" s="12"/>
      <c r="M155" s="31"/>
      <c r="N155" s="31"/>
      <c r="O155" s="31"/>
      <c r="P155" s="31"/>
      <c r="Q155" s="31"/>
    </row>
    <row r="156" spans="1:17">
      <c r="A156" s="31"/>
      <c r="B156" s="441"/>
      <c r="C156" s="12"/>
      <c r="D156" s="12"/>
      <c r="F156" s="12"/>
      <c r="G156" s="12"/>
      <c r="H156" s="12"/>
      <c r="I156" s="12"/>
      <c r="J156" s="12"/>
      <c r="K156" s="12"/>
      <c r="M156" s="31"/>
      <c r="N156" s="31"/>
      <c r="O156" s="31"/>
      <c r="P156" s="31"/>
      <c r="Q156" s="31"/>
    </row>
    <row r="157" spans="1:17">
      <c r="A157" s="31"/>
      <c r="B157" s="441"/>
      <c r="C157" s="12"/>
      <c r="D157" s="12"/>
      <c r="F157" s="12"/>
      <c r="G157" s="12"/>
      <c r="H157" s="12"/>
      <c r="I157" s="12"/>
      <c r="J157" s="12"/>
      <c r="K157" s="12"/>
      <c r="M157" s="31"/>
      <c r="N157" s="31"/>
      <c r="O157" s="31"/>
      <c r="P157" s="31"/>
      <c r="Q157" s="31"/>
    </row>
    <row r="158" spans="1:17">
      <c r="A158" s="31"/>
      <c r="B158" s="441"/>
      <c r="C158" s="12"/>
      <c r="D158" s="12"/>
      <c r="F158" s="12"/>
      <c r="G158" s="12"/>
      <c r="H158" s="12"/>
      <c r="I158" s="12"/>
      <c r="J158" s="12"/>
      <c r="K158" s="12"/>
      <c r="M158" s="31"/>
      <c r="N158" s="31"/>
      <c r="O158" s="31"/>
      <c r="P158" s="31"/>
      <c r="Q158" s="31"/>
    </row>
    <row r="159" spans="1:17">
      <c r="A159" s="31"/>
      <c r="B159" s="441"/>
      <c r="C159" s="12"/>
      <c r="M159" s="31"/>
      <c r="N159" s="31"/>
      <c r="O159" s="31"/>
      <c r="P159" s="31"/>
      <c r="Q159" s="31"/>
    </row>
    <row r="160" spans="1:17">
      <c r="A160" s="31"/>
      <c r="B160" s="441"/>
      <c r="C160" s="12"/>
      <c r="M160" s="31"/>
      <c r="N160" s="31"/>
      <c r="O160" s="31"/>
      <c r="P160" s="31"/>
      <c r="Q160" s="31"/>
    </row>
    <row r="161" spans="2:5" s="31" customFormat="1">
      <c r="B161" s="441"/>
      <c r="C161" s="12"/>
      <c r="D161" s="34"/>
      <c r="E161" s="34"/>
    </row>
    <row r="162" spans="2:5" s="31" customFormat="1">
      <c r="B162" s="441"/>
      <c r="C162" s="12"/>
      <c r="D162" s="34"/>
      <c r="E162" s="34"/>
    </row>
    <row r="163" spans="2:5" s="31" customFormat="1">
      <c r="B163" s="441"/>
      <c r="C163" s="12"/>
      <c r="D163" s="34"/>
      <c r="E163" s="34"/>
    </row>
    <row r="164" spans="2:5" s="31" customFormat="1">
      <c r="B164" s="441"/>
      <c r="C164" s="12"/>
      <c r="D164" s="34"/>
      <c r="E164" s="34"/>
    </row>
    <row r="165" spans="2:5" s="31" customFormat="1">
      <c r="B165" s="441"/>
      <c r="C165" s="12"/>
      <c r="D165" s="34"/>
      <c r="E165" s="34"/>
    </row>
    <row r="166" spans="2:5" s="31" customFormat="1">
      <c r="B166" s="441"/>
      <c r="C166" s="12"/>
      <c r="D166" s="34"/>
      <c r="E166" s="34"/>
    </row>
    <row r="167" spans="2:5" s="31" customFormat="1">
      <c r="B167" s="441"/>
      <c r="C167" s="12"/>
      <c r="D167" s="34"/>
      <c r="E167" s="34"/>
    </row>
    <row r="168" spans="2:5" s="31" customFormat="1">
      <c r="B168" s="441"/>
      <c r="C168" s="12"/>
      <c r="D168" s="34"/>
      <c r="E168" s="34"/>
    </row>
    <row r="169" spans="2:5" s="31" customFormat="1">
      <c r="B169" s="441"/>
      <c r="C169" s="12"/>
      <c r="D169" s="34"/>
      <c r="E169" s="34"/>
    </row>
    <row r="170" spans="2:5" s="31" customFormat="1">
      <c r="B170" s="441"/>
      <c r="C170" s="12"/>
      <c r="D170" s="34"/>
      <c r="E170" s="34"/>
    </row>
    <row r="171" spans="2:5" s="31" customFormat="1">
      <c r="B171" s="441"/>
      <c r="C171" s="12"/>
      <c r="D171" s="34"/>
      <c r="E171" s="34"/>
    </row>
    <row r="172" spans="2:5" s="31" customFormat="1">
      <c r="B172" s="441"/>
      <c r="C172" s="12"/>
      <c r="D172" s="34"/>
      <c r="E172" s="34"/>
    </row>
    <row r="173" spans="2:5" s="31" customFormat="1">
      <c r="B173" s="441"/>
      <c r="C173" s="12"/>
      <c r="D173" s="34"/>
      <c r="E173" s="34"/>
    </row>
    <row r="174" spans="2:5" s="31" customFormat="1">
      <c r="B174" s="441"/>
      <c r="C174" s="12"/>
      <c r="D174" s="34"/>
      <c r="E174" s="34"/>
    </row>
    <row r="175" spans="2:5" s="31" customFormat="1">
      <c r="B175" s="441"/>
      <c r="C175" s="12"/>
      <c r="D175" s="34"/>
      <c r="E175" s="34"/>
    </row>
    <row r="176" spans="2:5" s="31" customFormat="1">
      <c r="B176" s="441"/>
      <c r="C176" s="12"/>
      <c r="D176" s="34"/>
      <c r="E176" s="34"/>
    </row>
    <row r="177" spans="2:5" s="31" customFormat="1">
      <c r="B177" s="441"/>
      <c r="C177" s="12"/>
      <c r="D177" s="34"/>
      <c r="E177" s="34"/>
    </row>
    <row r="178" spans="2:5" s="31" customFormat="1">
      <c r="B178" s="441"/>
      <c r="C178" s="12"/>
      <c r="D178" s="34"/>
      <c r="E178" s="34"/>
    </row>
    <row r="179" spans="2:5" s="31" customFormat="1">
      <c r="B179" s="441"/>
      <c r="C179" s="12"/>
      <c r="D179" s="34"/>
      <c r="E179" s="34"/>
    </row>
    <row r="180" spans="2:5" s="31" customFormat="1">
      <c r="B180" s="441"/>
      <c r="C180" s="12"/>
      <c r="D180" s="34"/>
      <c r="E180" s="34"/>
    </row>
    <row r="181" spans="2:5" s="31" customFormat="1">
      <c r="B181" s="441"/>
      <c r="C181" s="12"/>
      <c r="D181" s="34"/>
      <c r="E181" s="34"/>
    </row>
    <row r="182" spans="2:5" s="31" customFormat="1">
      <c r="B182" s="441"/>
      <c r="C182" s="12"/>
      <c r="D182" s="34"/>
      <c r="E182" s="34"/>
    </row>
    <row r="183" spans="2:5" s="31" customFormat="1">
      <c r="B183" s="441"/>
      <c r="C183" s="12"/>
      <c r="D183" s="34"/>
      <c r="E183" s="34"/>
    </row>
    <row r="184" spans="2:5" s="31" customFormat="1">
      <c r="B184" s="441"/>
      <c r="C184" s="12"/>
      <c r="D184" s="34"/>
      <c r="E184" s="34"/>
    </row>
    <row r="185" spans="2:5" s="31" customFormat="1">
      <c r="B185" s="441"/>
      <c r="C185" s="12"/>
      <c r="D185" s="34"/>
      <c r="E185" s="34"/>
    </row>
    <row r="186" spans="2:5" s="31" customFormat="1">
      <c r="B186" s="441"/>
      <c r="C186" s="12"/>
      <c r="D186" s="34"/>
      <c r="E186" s="34"/>
    </row>
    <row r="187" spans="2:5" s="31" customFormat="1">
      <c r="B187" s="441"/>
      <c r="C187" s="12"/>
      <c r="D187" s="34"/>
      <c r="E187" s="34"/>
    </row>
    <row r="188" spans="2:5" s="31" customFormat="1">
      <c r="B188" s="441"/>
      <c r="C188" s="12"/>
      <c r="D188" s="34"/>
      <c r="E188" s="34"/>
    </row>
    <row r="189" spans="2:5" s="31" customFormat="1">
      <c r="B189" s="441"/>
      <c r="C189" s="12"/>
      <c r="D189" s="34"/>
      <c r="E189" s="34"/>
    </row>
    <row r="190" spans="2:5" s="31" customFormat="1">
      <c r="B190" s="441"/>
      <c r="C190" s="12"/>
      <c r="D190" s="34"/>
      <c r="E190" s="34"/>
    </row>
    <row r="191" spans="2:5" s="31" customFormat="1">
      <c r="B191" s="441"/>
      <c r="C191" s="12"/>
      <c r="D191" s="34"/>
      <c r="E191" s="34"/>
    </row>
    <row r="192" spans="2:5" s="31" customFormat="1">
      <c r="B192" s="441"/>
      <c r="C192" s="12"/>
      <c r="D192" s="34"/>
      <c r="E192" s="34"/>
    </row>
    <row r="193" spans="2:5" s="31" customFormat="1">
      <c r="B193" s="441"/>
      <c r="C193" s="12"/>
      <c r="D193" s="34"/>
      <c r="E193" s="34"/>
    </row>
    <row r="194" spans="2:5" s="31" customFormat="1">
      <c r="B194" s="441"/>
      <c r="C194" s="12"/>
      <c r="D194" s="34"/>
      <c r="E194" s="34"/>
    </row>
    <row r="195" spans="2:5" s="31" customFormat="1">
      <c r="B195" s="441"/>
      <c r="C195" s="12"/>
      <c r="D195" s="34"/>
      <c r="E195" s="34"/>
    </row>
    <row r="196" spans="2:5" s="31" customFormat="1">
      <c r="B196" s="441"/>
      <c r="C196" s="12"/>
      <c r="D196" s="34"/>
      <c r="E196" s="34"/>
    </row>
    <row r="197" spans="2:5" s="31" customFormat="1">
      <c r="B197" s="441"/>
      <c r="C197" s="12"/>
      <c r="D197" s="34"/>
      <c r="E197" s="34"/>
    </row>
    <row r="198" spans="2:5" s="31" customFormat="1">
      <c r="B198" s="441"/>
      <c r="C198" s="12"/>
      <c r="D198" s="34"/>
      <c r="E198" s="34"/>
    </row>
    <row r="199" spans="2:5" s="31" customFormat="1">
      <c r="B199" s="441"/>
      <c r="C199" s="12"/>
      <c r="D199" s="34"/>
      <c r="E199" s="34"/>
    </row>
    <row r="200" spans="2:5" s="31" customFormat="1">
      <c r="B200" s="441"/>
      <c r="C200" s="12"/>
      <c r="D200" s="34"/>
      <c r="E200" s="34"/>
    </row>
    <row r="201" spans="2:5" s="31" customFormat="1">
      <c r="B201" s="441"/>
      <c r="C201" s="12"/>
      <c r="D201" s="34"/>
      <c r="E201" s="34"/>
    </row>
    <row r="202" spans="2:5" s="31" customFormat="1">
      <c r="B202" s="441"/>
      <c r="C202" s="12"/>
      <c r="D202" s="34"/>
      <c r="E202" s="34"/>
    </row>
    <row r="203" spans="2:5" s="31" customFormat="1">
      <c r="B203" s="441"/>
      <c r="C203" s="12"/>
      <c r="D203" s="34"/>
      <c r="E203" s="34"/>
    </row>
    <row r="204" spans="2:5" s="31" customFormat="1">
      <c r="B204" s="441"/>
      <c r="C204" s="12"/>
      <c r="D204" s="34"/>
      <c r="E204" s="34"/>
    </row>
    <row r="205" spans="2:5" s="31" customFormat="1">
      <c r="B205" s="441"/>
      <c r="C205" s="12"/>
      <c r="D205" s="34"/>
      <c r="E205" s="34"/>
    </row>
    <row r="206" spans="2:5" s="31" customFormat="1">
      <c r="B206" s="441"/>
      <c r="C206" s="12"/>
      <c r="D206" s="34"/>
      <c r="E206" s="34"/>
    </row>
    <row r="207" spans="2:5" s="31" customFormat="1">
      <c r="B207" s="441"/>
      <c r="C207" s="12"/>
      <c r="D207" s="34"/>
      <c r="E207" s="34"/>
    </row>
    <row r="208" spans="2:5" s="31" customFormat="1">
      <c r="B208" s="441"/>
      <c r="C208" s="12"/>
      <c r="D208" s="34"/>
      <c r="E208" s="34"/>
    </row>
    <row r="209" spans="2:5" s="31" customFormat="1">
      <c r="B209" s="441"/>
      <c r="C209" s="12"/>
      <c r="D209" s="34"/>
      <c r="E209" s="34"/>
    </row>
    <row r="210" spans="2:5" s="31" customFormat="1">
      <c r="B210" s="441"/>
      <c r="C210" s="12"/>
      <c r="D210" s="34"/>
      <c r="E210" s="34"/>
    </row>
    <row r="211" spans="2:5" s="31" customFormat="1">
      <c r="B211" s="441"/>
      <c r="C211" s="12"/>
      <c r="D211" s="34"/>
      <c r="E211" s="34"/>
    </row>
    <row r="212" spans="2:5" s="31" customFormat="1">
      <c r="B212" s="441"/>
      <c r="C212" s="12"/>
      <c r="D212" s="34"/>
      <c r="E212" s="34"/>
    </row>
    <row r="213" spans="2:5" s="31" customFormat="1">
      <c r="B213" s="441"/>
      <c r="C213" s="12"/>
      <c r="D213" s="34"/>
      <c r="E213" s="34"/>
    </row>
    <row r="214" spans="2:5" s="31" customFormat="1">
      <c r="B214" s="441"/>
      <c r="C214" s="12"/>
      <c r="D214" s="34"/>
      <c r="E214" s="34"/>
    </row>
    <row r="215" spans="2:5" s="31" customFormat="1">
      <c r="B215" s="441"/>
      <c r="C215" s="12"/>
      <c r="D215" s="34"/>
      <c r="E215" s="34"/>
    </row>
    <row r="216" spans="2:5" s="31" customFormat="1">
      <c r="B216" s="441"/>
      <c r="C216" s="12"/>
      <c r="D216" s="34"/>
      <c r="E216" s="34"/>
    </row>
    <row r="217" spans="2:5" s="31" customFormat="1">
      <c r="B217" s="441"/>
      <c r="C217" s="12"/>
      <c r="D217" s="34"/>
      <c r="E217" s="34"/>
    </row>
    <row r="218" spans="2:5" s="31" customFormat="1">
      <c r="B218" s="441"/>
      <c r="C218" s="12"/>
      <c r="D218" s="34"/>
      <c r="E218" s="34"/>
    </row>
  </sheetData>
  <sheetProtection sheet="1" objects="1" scenarios="1"/>
  <customSheetViews>
    <customSheetView guid="{8063F48F-80B5-4ECD-B18A-51CBF126E780}" fitToPage="1" printArea="1" hiddenRows="1" hiddenColumns="1">
      <selection activeCell="C20" sqref="C20:F20"/>
      <pageMargins left="0.59055118110236227" right="0.59055118110236227" top="0.59055118110236227" bottom="0.59055118110236227" header="0.39370078740157483" footer="0.39370078740157483"/>
      <printOptions horizontalCentered="1"/>
      <pageSetup paperSize="9" scale="65" firstPageNumber="58" orientation="portrait" r:id="rId1"/>
      <headerFooter alignWithMargins="0">
        <oddFooter>&amp;L&amp;11LEL Schwäbisch Gmünd&amp;C71&amp;R&amp;11&amp;F</oddFooter>
      </headerFooter>
    </customSheetView>
    <customSheetView guid="{5D5C9B61-9ABD-4513-AAEB-8333A9D6196C}" fitToPage="1" hiddenRows="1" hiddenColumns="1">
      <selection activeCell="J6" sqref="J6"/>
      <pageMargins left="0.59055118110236227" right="0.59055118110236227" top="0.59055118110236227" bottom="0.59055118110236227" header="0.39370078740157483" footer="0.39370078740157483"/>
      <printOptions horizontalCentered="1"/>
      <pageSetup paperSize="9" scale="65" firstPageNumber="58" orientation="portrait" r:id="rId2"/>
      <headerFooter alignWithMargins="0">
        <oddFooter>&amp;L&amp;11LEL Schwäbisch Gmünd&amp;C71&amp;R&amp;11&amp;F</oddFooter>
      </headerFooter>
    </customSheetView>
    <customSheetView guid="{22A73C4F-9004-4CEF-8499-B1F91BE1B569}" fitToPage="1" hiddenRows="1" hiddenColumns="1">
      <selection activeCell="C20" sqref="C20:F20"/>
      <pageMargins left="0.59055118110236227" right="0.59055118110236227" top="0.59055118110236227" bottom="0.59055118110236227" header="0.39370078740157483" footer="0.39370078740157483"/>
      <printOptions horizontalCentered="1"/>
      <pageSetup paperSize="9" scale="65" firstPageNumber="58" orientation="portrait" r:id="rId3"/>
      <headerFooter alignWithMargins="0">
        <oddFooter>&amp;L&amp;11LEL Schwäbisch Gmünd&amp;C71&amp;R&amp;11&amp;F</oddFooter>
      </headerFooter>
    </customSheetView>
  </customSheetViews>
  <mergeCells count="50">
    <mergeCell ref="B75:C75"/>
    <mergeCell ref="C53:D53"/>
    <mergeCell ref="C54:D54"/>
    <mergeCell ref="C55:D55"/>
    <mergeCell ref="C56:D56"/>
    <mergeCell ref="C57:D57"/>
    <mergeCell ref="C62:E62"/>
    <mergeCell ref="C63:E63"/>
    <mergeCell ref="C64:E64"/>
    <mergeCell ref="C68:E68"/>
    <mergeCell ref="C73:E73"/>
    <mergeCell ref="C74:E74"/>
    <mergeCell ref="C52:D52"/>
    <mergeCell ref="C38:E38"/>
    <mergeCell ref="C39:E39"/>
    <mergeCell ref="C40:E40"/>
    <mergeCell ref="C41:E41"/>
    <mergeCell ref="C42:E42"/>
    <mergeCell ref="C46:D46"/>
    <mergeCell ref="C47:D47"/>
    <mergeCell ref="C48:D48"/>
    <mergeCell ref="C49:D49"/>
    <mergeCell ref="C50:D50"/>
    <mergeCell ref="C51:D51"/>
    <mergeCell ref="C37:E37"/>
    <mergeCell ref="C16:F16"/>
    <mergeCell ref="C17:F17"/>
    <mergeCell ref="C19:F19"/>
    <mergeCell ref="C20:F20"/>
    <mergeCell ref="C21:F21"/>
    <mergeCell ref="E22:G22"/>
    <mergeCell ref="F23:G23"/>
    <mergeCell ref="D25:E25"/>
    <mergeCell ref="D26:E26"/>
    <mergeCell ref="F34:G34"/>
    <mergeCell ref="C36:E36"/>
    <mergeCell ref="C15:F15"/>
    <mergeCell ref="K1:L1"/>
    <mergeCell ref="N1:O1"/>
    <mergeCell ref="K2:P2"/>
    <mergeCell ref="J3:L3"/>
    <mergeCell ref="N3:O4"/>
    <mergeCell ref="E4:I4"/>
    <mergeCell ref="J4:L4"/>
    <mergeCell ref="H6:I6"/>
    <mergeCell ref="K6:L6"/>
    <mergeCell ref="N6:O6"/>
    <mergeCell ref="E10:F10"/>
    <mergeCell ref="C14:F14"/>
    <mergeCell ref="B3:H3"/>
  </mergeCells>
  <dataValidations count="5">
    <dataValidation type="list" allowBlank="1" showInputMessage="1" showErrorMessage="1" errorTitle="Organisationsabh. Ausgleichsl." error="Bitte aus Dropdownliste auswählen." sqref="D19:F19" xr:uid="{00000000-0002-0000-4900-000000000000}">
      <formula1>$C$60:$C$75</formula1>
    </dataValidation>
    <dataValidation type="decimal" allowBlank="1" showInputMessage="1" showErrorMessage="1" errorTitle="Wassergehalt Getreide" error="Zulässig sind nur Werte zwischen 15,1 und 29,9 % Wassergehalt." sqref="H68 K68 N68" xr:uid="{00000000-0002-0000-4900-000001000000}">
      <formula1>15.1</formula1>
      <formula2>29.9</formula2>
    </dataValidation>
    <dataValidation type="whole" allowBlank="1" showInputMessage="1" showErrorMessage="1" errorTitle="Anteil Erntegut" error="Prozentwert darf nur zwischen 0 und 100 liegen." sqref="O68 L68 I68" xr:uid="{00000000-0002-0000-4900-000002000000}">
      <formula1>0</formula1>
      <formula2>100</formula2>
    </dataValidation>
    <dataValidation type="list" allowBlank="1" showInputMessage="1" showErrorMessage="1" sqref="H15:H17 K15:K17 N15:N17" xr:uid="{00000000-0002-0000-4900-000003000000}">
      <formula1>"ja,nein"</formula1>
    </dataValidation>
    <dataValidation type="list" showInputMessage="1" showErrorMessage="1" sqref="H14 K14 N14" xr:uid="{00000000-0002-0000-4900-000004000000}">
      <formula1>"ja,nein"</formula1>
    </dataValidation>
  </dataValidations>
  <hyperlinks>
    <hyperlink ref="F9" location="'SDK1'!A1" display="Preis ändern" xr:uid="{00000000-0004-0000-4900-000000000000}"/>
  </hyperlinks>
  <printOptions horizontalCentered="1"/>
  <pageMargins left="0.59055118110236227" right="0.59055118110236227" top="0.59055118110236227" bottom="0.59055118110236227" header="0.39370078740157483" footer="0.39370078740157483"/>
  <pageSetup paperSize="9" scale="65" firstPageNumber="58" orientation="portrait" r:id="rId4"/>
  <headerFooter alignWithMargins="0">
    <oddFooter>&amp;L&amp;11LEL Schwäbisch Gmünd&amp;C71&amp;R&amp;11&amp;F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900-000005000000}">
          <x14:formula1>
            <xm:f>'SD2'!$C$11:$C$50</xm:f>
          </x14:formula1>
          <xm:sqref>C14:F17</xm:sqref>
        </x14:dataValidation>
        <x14:dataValidation type="list" allowBlank="1" showInputMessage="1" showErrorMessage="1" errorTitle="Pflanzenschutzmittel" error="Bitte aus Dropdownliste auswählen." xr:uid="{00000000-0002-0000-4900-000006000000}">
          <x14:formula1>
            <xm:f>'SDK5'!$Z$214:$Z$313</xm:f>
          </x14:formula1>
          <xm:sqref>C36:E42</xm:sqref>
        </x14:dataValidation>
        <x14:dataValidation type="list" allowBlank="1" showInputMessage="1" showErrorMessage="1" errorTitle="Organisationsabh. Ausgleichsl." error="Bitte aus Dropdownliste auswählen." xr:uid="{00000000-0002-0000-4900-000007000000}">
          <x14:formula1>
            <xm:f>'SD2'!$C$60:$C$77</xm:f>
          </x14:formula1>
          <xm:sqref>C19:C21</xm:sqref>
        </x14:dataValidation>
        <x14:dataValidation type="list" allowBlank="1" showInputMessage="1" showErrorMessage="1" errorTitle="Arbeitsgänge" error="Bitte aus Dropdownliste auswählen." xr:uid="{00000000-0002-0000-4900-000008000000}">
          <x14:formula1>
            <xm:f>'SD3'!$C$23:$C$75</xm:f>
          </x14:formula1>
          <xm:sqref>C46:D57</xm:sqref>
        </x14:dataValidation>
        <x14:dataValidation type="list" allowBlank="1" showInputMessage="1" showErrorMessage="1" errorTitle="Lohnmaschinen" error="Bitte aus Dropdownliste auswählen." xr:uid="{00000000-0002-0000-4900-000009000000}">
          <x14:formula1>
            <xm:f>'SD3'!$C$90:$C$104</xm:f>
          </x14:formula1>
          <xm:sqref>C62:E64</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Tabelle88">
    <tabColor rgb="FF00B050"/>
    <pageSetUpPr fitToPage="1"/>
  </sheetPr>
  <dimension ref="A1:AO206"/>
  <sheetViews>
    <sheetView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25.59765625" style="28" hidden="1" customWidth="1"/>
    <col min="18" max="26" width="10.5" style="27" hidden="1" customWidth="1"/>
    <col min="27" max="31" width="10.5" style="27" customWidth="1"/>
    <col min="32" max="16384" width="10.5" style="27"/>
  </cols>
  <sheetData>
    <row r="1" spans="1:41" s="219" customFormat="1" ht="30.15" customHeight="1">
      <c r="A1" s="1681"/>
      <c r="B1" s="258"/>
      <c r="C1" s="1333"/>
      <c r="D1" s="100"/>
      <c r="E1" s="255"/>
      <c r="F1" s="255"/>
      <c r="G1" s="3207"/>
      <c r="H1" s="3207"/>
      <c r="I1" s="3208" t="s">
        <v>1679</v>
      </c>
      <c r="J1" s="3210">
        <f>(J7+J13+J18+J22+I11+I12)-(J23+J27+J34+J43+J60+J65+J67+J69+J71+J75)</f>
        <v>640.97147559358348</v>
      </c>
      <c r="K1" s="4360">
        <f>M1-J1</f>
        <v>294.1549639206944</v>
      </c>
      <c r="L1" s="4360"/>
      <c r="M1" s="3210">
        <f>(M7+M13+M18+M22+L11+L12)-(M23+M27+M34+M43+M60+M65+M67+M69+M71+M75)</f>
        <v>935.12643951427788</v>
      </c>
      <c r="N1" s="4360">
        <f>P1-M1</f>
        <v>324.13679319319442</v>
      </c>
      <c r="O1" s="4360"/>
      <c r="P1" s="3210">
        <f>(P7+P13+P18+P22+O11+O12)-(P23+P27+P34+P43+P60+P65+P67+P69+P71+P75)</f>
        <v>1259.2632327074723</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1395</v>
      </c>
      <c r="L2" s="4372"/>
      <c r="M2" s="4372"/>
      <c r="N2" s="4372"/>
      <c r="O2" s="4372"/>
      <c r="P2" s="4372"/>
      <c r="Q2" s="1681"/>
    </row>
    <row r="3" spans="1:41" s="219" customFormat="1" ht="32.4" customHeight="1">
      <c r="A3" s="1681"/>
      <c r="B3" s="4405" t="s">
        <v>1727</v>
      </c>
      <c r="C3" s="4405"/>
      <c r="D3" s="4405"/>
      <c r="E3" s="4405"/>
      <c r="F3" s="4405"/>
      <c r="G3" s="4405"/>
      <c r="H3" s="4405"/>
      <c r="N3" s="4444"/>
      <c r="O3" s="4374"/>
      <c r="P3" s="1326"/>
      <c r="Q3" s="1681"/>
      <c r="T3" s="1343" t="b">
        <v>0</v>
      </c>
      <c r="W3" s="4368" t="s">
        <v>886</v>
      </c>
      <c r="X3" s="4447"/>
      <c r="Y3" s="4447"/>
      <c r="Z3" s="1327"/>
    </row>
    <row r="4" spans="1:41" s="219" customFormat="1" ht="20.25" customHeight="1">
      <c r="A4" s="1681"/>
      <c r="B4" s="309" t="s">
        <v>779</v>
      </c>
      <c r="C4" s="27"/>
      <c r="D4" s="27"/>
      <c r="E4" s="4406" t="s">
        <v>890</v>
      </c>
      <c r="F4" s="4406"/>
      <c r="G4" s="4406"/>
      <c r="H4" s="4406"/>
      <c r="I4" s="4406"/>
      <c r="N4" s="4374"/>
      <c r="O4" s="4374"/>
      <c r="P4" s="1322">
        <f>SDÖ1!O3</f>
        <v>2024</v>
      </c>
      <c r="Q4" s="1681"/>
      <c r="T4" s="1343"/>
      <c r="W4" s="4368" t="s">
        <v>875</v>
      </c>
      <c r="X4" s="4447"/>
      <c r="Y4" s="4447"/>
      <c r="Z4" s="1696"/>
    </row>
    <row r="5" spans="1:41" ht="6" customHeight="1"/>
    <row r="6" spans="1:41" s="1311" customFormat="1" ht="24" customHeight="1">
      <c r="A6" s="41"/>
      <c r="B6" s="1316" t="s">
        <v>832</v>
      </c>
      <c r="C6" s="1315"/>
      <c r="D6" s="1315"/>
      <c r="E6" s="1315"/>
      <c r="F6" s="1315"/>
      <c r="G6" s="1314" t="s">
        <v>1141</v>
      </c>
      <c r="H6" s="4366" t="s">
        <v>171</v>
      </c>
      <c r="I6" s="4367"/>
      <c r="J6" s="1313">
        <f>M6*0.75</f>
        <v>18.75</v>
      </c>
      <c r="K6" s="4379" t="s">
        <v>144</v>
      </c>
      <c r="L6" s="4380"/>
      <c r="M6" s="1313">
        <v>25</v>
      </c>
      <c r="N6" s="4366" t="s">
        <v>170</v>
      </c>
      <c r="O6" s="4367"/>
      <c r="P6" s="1312">
        <f>M6*1.25</f>
        <v>31.25</v>
      </c>
      <c r="Q6" s="49"/>
    </row>
    <row r="7" spans="1:41" s="196" customFormat="1" ht="18.75" customHeight="1">
      <c r="A7" s="40"/>
      <c r="B7" s="245" t="s">
        <v>1133</v>
      </c>
      <c r="C7" s="40"/>
      <c r="D7" s="40"/>
      <c r="E7" s="40"/>
      <c r="F7" s="40"/>
      <c r="G7" s="1310" t="s">
        <v>163</v>
      </c>
      <c r="H7" s="1307"/>
      <c r="I7" s="1306"/>
      <c r="J7" s="1041">
        <f>SUM(I9:I10)</f>
        <v>942</v>
      </c>
      <c r="K7" s="1309"/>
      <c r="L7" s="1308"/>
      <c r="M7" s="1044">
        <f>SUM(L9:L10)</f>
        <v>1256</v>
      </c>
      <c r="N7" s="1307"/>
      <c r="O7" s="1306"/>
      <c r="P7" s="1041">
        <f>SUM(O9:O10)</f>
        <v>1570</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t="s">
        <v>882</v>
      </c>
      <c r="G9" s="1221">
        <f>SDÖ1!O25</f>
        <v>50.24</v>
      </c>
      <c r="H9" s="1303">
        <f>J6-H10</f>
        <v>18.75</v>
      </c>
      <c r="I9" s="1299">
        <f>H9*G9</f>
        <v>942</v>
      </c>
      <c r="J9" s="37"/>
      <c r="K9" s="1302">
        <f>M6-K10</f>
        <v>25</v>
      </c>
      <c r="L9" s="1301">
        <f>K9*G9</f>
        <v>1256</v>
      </c>
      <c r="M9" s="1280"/>
      <c r="N9" s="1300">
        <f>P6-N10</f>
        <v>31.25</v>
      </c>
      <c r="O9" s="1299">
        <f>N9*G9</f>
        <v>1570</v>
      </c>
      <c r="P9" s="37"/>
      <c r="Q9" s="28"/>
      <c r="R9" s="517"/>
      <c r="S9" s="208" t="s">
        <v>887</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309"/>
      <c r="B11" s="217"/>
      <c r="C11" s="39" t="s">
        <v>878</v>
      </c>
      <c r="D11" s="309"/>
      <c r="E11" s="1286"/>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37"/>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t="str">
        <f>IF(OR(T3=TRUE,T4=TRUE),J6*$E$11,"0")</f>
        <v>0</v>
      </c>
      <c r="Y12" s="1265" t="str">
        <f>IF(OR(T3=TRUE,T4=TRUE),M6*$E$11,"0")</f>
        <v>0</v>
      </c>
      <c r="Z12" s="1264" t="str">
        <f>IF(OR(T3=TRUE,T4=TRUE),P6*$E$11,"0")</f>
        <v>0</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X13" s="1264" t="str">
        <f>IF(OR(T4=TRUE,T5=TRUE),J7*$E$11,"0")</f>
        <v>0</v>
      </c>
      <c r="Y13" s="1265" t="str">
        <f>IF(OR(T4=TRUE,T5=TRUE),M7*$E$11,"0")</f>
        <v>0</v>
      </c>
      <c r="Z13" s="1264" t="str">
        <f>IF(OR(T4=TRUE,T5=TRUE),P7*$E$11,"0")</f>
        <v>0</v>
      </c>
    </row>
    <row r="14" spans="1:41" s="36" customFormat="1" ht="15" customHeight="1">
      <c r="A14" s="39"/>
      <c r="B14" s="1247"/>
      <c r="C14" s="4365" t="s">
        <v>1511</v>
      </c>
      <c r="D14" s="4365"/>
      <c r="E14" s="4365"/>
      <c r="F14" s="4365"/>
      <c r="G14" s="1263"/>
      <c r="H14" s="1391" t="s">
        <v>919</v>
      </c>
      <c r="I14" s="2827">
        <f>IF(H14="ja",Q14,0)</f>
        <v>240</v>
      </c>
      <c r="J14" s="39"/>
      <c r="K14" s="1262" t="s">
        <v>919</v>
      </c>
      <c r="L14" s="1098">
        <f>IF(K14="ja",Q14,0)</f>
        <v>240</v>
      </c>
      <c r="M14" s="1016"/>
      <c r="N14" s="1262" t="s">
        <v>919</v>
      </c>
      <c r="O14" s="2827">
        <f>IF(N14="ja",Q14,0)</f>
        <v>240</v>
      </c>
      <c r="P14" s="2826"/>
      <c r="Q14" s="1261">
        <f>IF(C14=0,0,VLOOKUP(C14,'SD2'!$C$11:$O$50,'SD2'!$O$1,FALSE))</f>
        <v>240</v>
      </c>
      <c r="R14" s="1350"/>
      <c r="S14" s="1349"/>
      <c r="T14" s="1348"/>
      <c r="W14" s="36" t="s">
        <v>236</v>
      </c>
      <c r="X14" s="1260">
        <f>$X$12*F31</f>
        <v>0</v>
      </c>
      <c r="Y14" s="1260">
        <f>$Y$12*F31</f>
        <v>0</v>
      </c>
      <c r="Z14" s="1260">
        <f>$Z$12*F31</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347"/>
      <c r="S15" s="1343"/>
      <c r="T15" s="1346"/>
      <c r="W15" s="36" t="s">
        <v>685</v>
      </c>
      <c r="X15" s="1260">
        <f>$X$12*F32</f>
        <v>0</v>
      </c>
      <c r="Y15" s="1260">
        <f>$Y$12*F32</f>
        <v>0</v>
      </c>
      <c r="Z15" s="1260">
        <f>$Z$12*F32</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347"/>
      <c r="S16" s="1343"/>
      <c r="T16" s="1346"/>
      <c r="W16" s="36" t="s">
        <v>684</v>
      </c>
      <c r="X16" s="1260">
        <f>$X$12*F33</f>
        <v>0</v>
      </c>
      <c r="Y16" s="1260">
        <f>$Y$12*F33</f>
        <v>0</v>
      </c>
      <c r="Z16" s="1260">
        <f>$Z$12*F33</f>
        <v>0</v>
      </c>
    </row>
    <row r="17" spans="1:26" s="511" customFormat="1" ht="15" customHeight="1">
      <c r="A17" s="40"/>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W17" s="36" t="s">
        <v>230</v>
      </c>
      <c r="X17" s="1260">
        <f>$X$12*F34</f>
        <v>0</v>
      </c>
      <c r="Y17" s="1260">
        <f>$Y$12*F34</f>
        <v>0</v>
      </c>
      <c r="Z17" s="1260">
        <f>$Z$12*F34</f>
        <v>0</v>
      </c>
    </row>
    <row r="18" spans="1:26" s="36" customFormat="1" ht="18.75" customHeight="1">
      <c r="A18" s="39"/>
      <c r="B18" s="209" t="s">
        <v>1563</v>
      </c>
      <c r="C18" s="1672"/>
      <c r="D18" s="1672"/>
      <c r="E18" s="1672"/>
      <c r="F18" s="1672"/>
      <c r="G18" s="2464"/>
      <c r="H18" s="2249"/>
      <c r="I18" s="3474"/>
      <c r="J18" s="1041">
        <f>SUM(I19:I21)</f>
        <v>177</v>
      </c>
      <c r="K18" s="2250"/>
      <c r="L18" s="2466"/>
      <c r="M18" s="1044">
        <f>SUM(L19:L21)</f>
        <v>177</v>
      </c>
      <c r="N18" s="2249"/>
      <c r="O18" s="3474"/>
      <c r="P18" s="1111">
        <f>SUM(O19:O21)</f>
        <v>177</v>
      </c>
      <c r="Q18" s="28"/>
      <c r="R18" s="514" t="s">
        <v>870</v>
      </c>
      <c r="S18" s="308"/>
      <c r="T18" s="1248"/>
    </row>
    <row r="19" spans="1:26" ht="15.6" customHeight="1">
      <c r="A19" s="309"/>
      <c r="B19" s="1239"/>
      <c r="C19" s="4365" t="s">
        <v>1560</v>
      </c>
      <c r="D19" s="4365"/>
      <c r="E19" s="4365"/>
      <c r="F19" s="4365"/>
      <c r="G19" s="2914" t="s">
        <v>163</v>
      </c>
      <c r="H19" s="1244"/>
      <c r="I19" s="2827">
        <f>IF(OR($C19=0,$J$6=0),0,VLOOKUP($C19,'SD2'!C60:O78,12,FALSE))</f>
        <v>155</v>
      </c>
      <c r="J19" s="2783"/>
      <c r="K19" s="1245"/>
      <c r="L19" s="2829">
        <f>IF(OR($C19=0,$M$6=0),0,VLOOKUP($C19,'SD2'!$C$60:$O$78,12,FALSE))</f>
        <v>155</v>
      </c>
      <c r="M19" s="2795"/>
      <c r="N19" s="1244"/>
      <c r="O19" s="2827">
        <f>IF(OR($C19=0,$P$6=0),0,VLOOKUP($C19,'SD2'!C60:O78,12,FALSE))</f>
        <v>155</v>
      </c>
      <c r="P19" s="2826"/>
      <c r="R19" s="1242">
        <f>J13+J18</f>
        <v>417</v>
      </c>
      <c r="S19" s="1242">
        <f>M13+M18</f>
        <v>417</v>
      </c>
      <c r="T19" s="1242">
        <f>P13+P18</f>
        <v>417</v>
      </c>
    </row>
    <row r="20" spans="1:26" s="2894" customFormat="1" ht="15.6" customHeight="1">
      <c r="A20" s="2788"/>
      <c r="B20" s="1247"/>
      <c r="C20" s="4365" t="s">
        <v>1675</v>
      </c>
      <c r="D20" s="4365"/>
      <c r="E20" s="4365"/>
      <c r="F20" s="4365"/>
      <c r="G20" s="1246"/>
      <c r="H20" s="1244"/>
      <c r="I20" s="2827">
        <f>IF(OR($C20=0,$J$6=0),0,VLOOKUP($C20,'SD2'!C61:O79,12,FALSE))</f>
        <v>22</v>
      </c>
      <c r="J20" s="37"/>
      <c r="K20" s="1245"/>
      <c r="L20" s="2829">
        <f>IF(OR($C20=0,$M$6=0),0,VLOOKUP($C20,'SD2'!$C$60:$O$78,12,FALSE))</f>
        <v>22</v>
      </c>
      <c r="M20" s="1280"/>
      <c r="N20" s="1244"/>
      <c r="O20" s="2827">
        <f>IF(OR($C20=0,$P$6=0),0,VLOOKUP($C20,'SD2'!C61:O79,12,FALSE))</f>
        <v>22</v>
      </c>
      <c r="P20" s="2826"/>
      <c r="Q20" s="2895"/>
      <c r="R20" s="2888"/>
      <c r="S20" s="2888"/>
      <c r="T20" s="2888"/>
    </row>
    <row r="21" spans="1:26" s="2894" customFormat="1" ht="15.6" customHeight="1">
      <c r="A21" s="2788"/>
      <c r="B21" s="1247"/>
      <c r="C21" s="4365"/>
      <c r="D21" s="4365"/>
      <c r="E21" s="4365"/>
      <c r="F21" s="4365"/>
      <c r="G21" s="2914"/>
      <c r="H21" s="1244"/>
      <c r="I21" s="2827">
        <f>IF(OR($C21=0,$J$6=0),0,VLOOKUP($C21,'SD2'!C62:O79,12,FALSE))</f>
        <v>0</v>
      </c>
      <c r="J21" s="37"/>
      <c r="K21" s="1245"/>
      <c r="L21" s="2829">
        <f>IF(OR($C21=0,$M$6=0),0,VLOOKUP($C21,'SD2'!$C$60:$O$78,12,FALSE))</f>
        <v>0</v>
      </c>
      <c r="M21" s="2795"/>
      <c r="N21" s="1244"/>
      <c r="O21" s="2827">
        <f>IF(OR($C21=0,$P$6=0),0,VLOOKUP($C21,'SD2'!C62:O79,12,FALSE))</f>
        <v>0</v>
      </c>
      <c r="P21" s="2826"/>
      <c r="Q21" s="2895"/>
      <c r="R21" s="2888"/>
      <c r="S21" s="2888"/>
      <c r="T21" s="2888"/>
    </row>
    <row r="22" spans="1:26" ht="15.6" customHeight="1">
      <c r="A22" s="309"/>
      <c r="B22" s="245" t="s">
        <v>869</v>
      </c>
      <c r="C22" s="39"/>
      <c r="D22" s="1234"/>
      <c r="E22" s="4370" t="s">
        <v>868</v>
      </c>
      <c r="F22" s="4370"/>
      <c r="G22" s="4371"/>
      <c r="H22" s="1231"/>
      <c r="I22" s="1230"/>
      <c r="J22" s="1229"/>
      <c r="K22" s="1233"/>
      <c r="L22" s="1232"/>
      <c r="M22" s="1229"/>
      <c r="N22" s="1231"/>
      <c r="O22" s="1230"/>
      <c r="P22" s="1229">
        <v>50</v>
      </c>
    </row>
    <row r="23" spans="1:26" s="36" customFormat="1" ht="18.75" customHeight="1">
      <c r="A23" s="746"/>
      <c r="B23" s="209" t="s">
        <v>214</v>
      </c>
      <c r="C23" s="1228"/>
      <c r="D23" s="1228"/>
      <c r="E23" s="34"/>
      <c r="F23" s="4381"/>
      <c r="G23" s="4382" t="s">
        <v>163</v>
      </c>
      <c r="H23" s="1043"/>
      <c r="I23" s="1042"/>
      <c r="J23" s="1026">
        <f>SUM(I25:I26)</f>
        <v>296.09999999999997</v>
      </c>
      <c r="K23" s="1046"/>
      <c r="L23" s="1045"/>
      <c r="M23" s="1227">
        <f>SUM(L25:L26)</f>
        <v>296.09999999999997</v>
      </c>
      <c r="N23" s="1043"/>
      <c r="O23" s="1042"/>
      <c r="P23" s="1026">
        <f>SUM(O25:O26)</f>
        <v>296.09999999999997</v>
      </c>
      <c r="Q23" s="28"/>
    </row>
    <row r="24" spans="1:26"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26" s="511" customFormat="1" ht="18.75" customHeight="1">
      <c r="A25" s="711"/>
      <c r="B25" s="1223"/>
      <c r="C25" s="746" t="s">
        <v>866</v>
      </c>
      <c r="D25" s="4383"/>
      <c r="E25" s="4384"/>
      <c r="F25" s="1222">
        <f>SDÖ7!F21/100</f>
        <v>1.41</v>
      </c>
      <c r="G25" s="1221">
        <f>F25*(100+$D$24)/100</f>
        <v>1.41</v>
      </c>
      <c r="H25" s="1220">
        <v>210</v>
      </c>
      <c r="I25" s="1181">
        <f>H25*$G25</f>
        <v>296.09999999999997</v>
      </c>
      <c r="J25" s="39"/>
      <c r="K25" s="1220">
        <f>H25</f>
        <v>210</v>
      </c>
      <c r="L25" s="1023">
        <f>K25*$G25</f>
        <v>296.09999999999997</v>
      </c>
      <c r="M25" s="1016"/>
      <c r="N25" s="1220">
        <f>H25</f>
        <v>210</v>
      </c>
      <c r="O25" s="1181">
        <f>N25*$G25</f>
        <v>296.09999999999997</v>
      </c>
      <c r="P25" s="1145"/>
      <c r="Q25" s="28"/>
    </row>
    <row r="26" spans="1:26"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26" s="511" customFormat="1" ht="17.399999999999999" customHeight="1">
      <c r="A27" s="711"/>
      <c r="B27" s="1215" t="s">
        <v>213</v>
      </c>
      <c r="C27" s="711"/>
      <c r="D27" s="51"/>
      <c r="E27" s="34"/>
      <c r="F27" s="34"/>
      <c r="G27" s="1214" t="s">
        <v>163</v>
      </c>
      <c r="H27" s="1173"/>
      <c r="I27" s="1172"/>
      <c r="J27" s="1041">
        <f>SUM(I30:I32)</f>
        <v>-1.6875000000000213</v>
      </c>
      <c r="K27" s="1175"/>
      <c r="L27" s="1174"/>
      <c r="M27" s="1044">
        <f>SUM(L30:L32)</f>
        <v>-2.2500000000000355</v>
      </c>
      <c r="N27" s="1173"/>
      <c r="O27" s="1172"/>
      <c r="P27" s="1041">
        <f>SUM(O30:O32)</f>
        <v>-2.8125000000000284</v>
      </c>
      <c r="Q27" s="28"/>
    </row>
    <row r="28" spans="1:26" s="36" customFormat="1" ht="15" customHeight="1">
      <c r="A28" s="746"/>
      <c r="B28" s="774"/>
      <c r="C28" s="2373"/>
      <c r="D28" s="1213" t="s">
        <v>706</v>
      </c>
      <c r="E28" s="1213" t="s">
        <v>864</v>
      </c>
      <c r="F28" s="1213" t="s">
        <v>864</v>
      </c>
      <c r="G28" s="1212" t="s">
        <v>863</v>
      </c>
      <c r="H28" s="1172"/>
      <c r="I28" s="1209"/>
      <c r="J28" s="2374"/>
      <c r="K28" s="1175"/>
      <c r="L28" s="1105"/>
      <c r="M28" s="1210"/>
      <c r="N28" s="1173"/>
      <c r="O28" s="1209"/>
      <c r="P28" s="1026"/>
      <c r="Q28" s="28"/>
    </row>
    <row r="29" spans="1:26" s="36" customFormat="1" ht="15" customHeight="1">
      <c r="A29" s="746"/>
      <c r="B29" s="1208"/>
      <c r="C29" s="747" t="s">
        <v>862</v>
      </c>
      <c r="D29" s="1034" t="s">
        <v>611</v>
      </c>
      <c r="E29" s="1034" t="s">
        <v>861</v>
      </c>
      <c r="F29" s="1034" t="s">
        <v>860</v>
      </c>
      <c r="G29" s="1034" t="s">
        <v>1128</v>
      </c>
      <c r="H29" s="1205" t="s">
        <v>612</v>
      </c>
      <c r="I29" s="1027" t="s">
        <v>163</v>
      </c>
      <c r="J29" s="2373"/>
      <c r="K29" s="1207" t="s">
        <v>612</v>
      </c>
      <c r="L29" s="1030" t="s">
        <v>163</v>
      </c>
      <c r="M29" s="1206"/>
      <c r="N29" s="1205" t="s">
        <v>612</v>
      </c>
      <c r="O29" s="1027" t="s">
        <v>163</v>
      </c>
      <c r="P29" s="1204"/>
      <c r="Q29" s="28"/>
    </row>
    <row r="30" spans="1:26" s="36" customFormat="1" ht="15" customHeight="1">
      <c r="A30" s="746"/>
      <c r="B30" s="1203"/>
      <c r="C30" s="1202" t="s">
        <v>236</v>
      </c>
      <c r="D30" s="1150">
        <f>SDÖ1!O56</f>
        <v>5.18</v>
      </c>
      <c r="E30" s="1201">
        <f>VLOOKUP('SD8'!B30,'SD8'!B9:K44,3,FALSE)</f>
        <v>-0.80000000000000027</v>
      </c>
      <c r="F30" s="1201"/>
      <c r="G30" s="1200">
        <v>0</v>
      </c>
      <c r="H30" s="1198">
        <f>IF(J$6=0,0,(J$6*$E30+$G30+X13))</f>
        <v>-15.000000000000005</v>
      </c>
      <c r="I30" s="1181">
        <f>H30*$D30</f>
        <v>-77.700000000000017</v>
      </c>
      <c r="J30" s="39"/>
      <c r="K30" s="1199">
        <f>IF(M$6=0,0,(M$6*$E30+$G30+AA14))</f>
        <v>-20.000000000000007</v>
      </c>
      <c r="L30" s="1023">
        <f>K30*$D30</f>
        <v>-103.60000000000004</v>
      </c>
      <c r="M30" s="1016"/>
      <c r="N30" s="1198">
        <f>IF(P$6=0,0,(P$6*$E30+$G30+AD14))</f>
        <v>-25.000000000000007</v>
      </c>
      <c r="O30" s="1181">
        <f>N30*$D30</f>
        <v>-129.50000000000003</v>
      </c>
      <c r="P30" s="1145"/>
      <c r="Q30" s="28"/>
    </row>
    <row r="31" spans="1:26" s="36" customFormat="1" ht="15" customHeight="1">
      <c r="A31" s="746"/>
      <c r="B31" s="217"/>
      <c r="C31" s="746" t="s">
        <v>234</v>
      </c>
      <c r="D31" s="1150">
        <f>SDÖ1!O57</f>
        <v>1.42</v>
      </c>
      <c r="E31" s="1201">
        <f>VLOOKUP('SD8'!B30,'SD8'!B9:K44,4,FALSE)</f>
        <v>1.1000000000000001</v>
      </c>
      <c r="F31" s="1201"/>
      <c r="G31" s="1200"/>
      <c r="H31" s="1198">
        <f>IF(J$6=0,0,(J$6*$E31+$G31+X14))</f>
        <v>20.625</v>
      </c>
      <c r="I31" s="1181">
        <f>H31*$D31</f>
        <v>29.287499999999998</v>
      </c>
      <c r="J31" s="39"/>
      <c r="K31" s="1199">
        <f>IF(M$6=0,0,(M$6*$E31+$G31+Y14))</f>
        <v>27.500000000000004</v>
      </c>
      <c r="L31" s="1023">
        <f>K31*$D31</f>
        <v>39.050000000000004</v>
      </c>
      <c r="M31" s="1016"/>
      <c r="N31" s="1198">
        <f>IF(P$6=0,0,(P$6*$E31+$G31+Z14))</f>
        <v>34.375</v>
      </c>
      <c r="O31" s="1181">
        <f>N31*$D31</f>
        <v>48.8125</v>
      </c>
      <c r="P31" s="1145"/>
      <c r="Q31" s="28"/>
    </row>
    <row r="32" spans="1:26" s="511" customFormat="1" ht="18.75" customHeight="1">
      <c r="A32" s="711"/>
      <c r="B32" s="185"/>
      <c r="C32" s="2791" t="s">
        <v>232</v>
      </c>
      <c r="D32" s="1133">
        <f>SDÖ1!O58</f>
        <v>1.78</v>
      </c>
      <c r="E32" s="1197">
        <f>VLOOKUP('SD8'!B30,'SD8'!B9:K44,5,FALSE)</f>
        <v>1.4</v>
      </c>
      <c r="F32" s="1197"/>
      <c r="G32" s="1196"/>
      <c r="H32" s="1194">
        <f>IF(J$6=0,0,(J$6*$E32+$G32+X15))</f>
        <v>26.25</v>
      </c>
      <c r="I32" s="1177">
        <f>H32*$D32</f>
        <v>46.725000000000001</v>
      </c>
      <c r="J32" s="223"/>
      <c r="K32" s="1195">
        <f>IF(M$6=0,0,(M$6*$E32+$G32+Y15))</f>
        <v>35</v>
      </c>
      <c r="L32" s="1017">
        <f>K32*$D32</f>
        <v>62.300000000000004</v>
      </c>
      <c r="M32" s="1256"/>
      <c r="N32" s="1194">
        <f>IF(P$6=0,0,(P$6*$E32+$G32+Z15))</f>
        <v>43.75</v>
      </c>
      <c r="O32" s="1177">
        <f>N32*$D32</f>
        <v>77.875</v>
      </c>
      <c r="P32" s="1176"/>
      <c r="Q32" s="28"/>
    </row>
    <row r="33" spans="1:17" s="511" customFormat="1" ht="13.2" hidden="1" customHeight="1">
      <c r="A33" s="711"/>
      <c r="B33" s="185"/>
      <c r="C33" s="771" t="s">
        <v>230</v>
      </c>
      <c r="D33" s="1133">
        <f>SDÖ1!P59</f>
        <v>0.5</v>
      </c>
      <c r="E33" s="1197">
        <f>VLOOKUP('SD8'!B30,'SD8'!B9:K44,6,FALSE)</f>
        <v>0.2</v>
      </c>
      <c r="F33" s="1197"/>
      <c r="G33" s="1196"/>
      <c r="H33" s="1194">
        <f>IF(J$6=0,0,(J$6*$E33+$G33+X16))</f>
        <v>3.75</v>
      </c>
      <c r="I33" s="1177">
        <f>H33*$D33</f>
        <v>1.875</v>
      </c>
      <c r="J33" s="39"/>
      <c r="K33" s="1195">
        <f>IF(M$6=0,0,(M$6*$E33+$G33+Y16))</f>
        <v>5</v>
      </c>
      <c r="L33" s="1017">
        <f>K33*$D33</f>
        <v>2.5</v>
      </c>
      <c r="M33" s="1016"/>
      <c r="N33" s="1194">
        <f>IF(P$6=0,0,(P$6*$E33+$G33+Z16))</f>
        <v>6.25</v>
      </c>
      <c r="O33" s="1177">
        <f>N33*$D33</f>
        <v>3.125</v>
      </c>
      <c r="P33" s="1176"/>
      <c r="Q33" s="28"/>
    </row>
    <row r="34" spans="1:17" s="36" customFormat="1" ht="15" customHeight="1">
      <c r="A34" s="746"/>
      <c r="B34" s="716" t="s">
        <v>212</v>
      </c>
      <c r="C34" s="711"/>
      <c r="D34" s="2373"/>
      <c r="E34" s="2373"/>
      <c r="F34" s="4381"/>
      <c r="G34" s="4382" t="s">
        <v>163</v>
      </c>
      <c r="H34" s="1191"/>
      <c r="I34" s="1190"/>
      <c r="J34" s="1041">
        <f>SUM(I36:I42)</f>
        <v>0</v>
      </c>
      <c r="K34" s="1193"/>
      <c r="L34" s="1192"/>
      <c r="M34" s="1044">
        <f>SUM(L36:L42)</f>
        <v>0</v>
      </c>
      <c r="N34" s="1191"/>
      <c r="O34" s="1190"/>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1182"/>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155.59065436999998</v>
      </c>
      <c r="K43" s="1175"/>
      <c r="L43" s="1174"/>
      <c r="M43" s="1044">
        <f>SUM(M46:M57)</f>
        <v>156.57043188666665</v>
      </c>
      <c r="N43" s="1173"/>
      <c r="O43" s="1172"/>
      <c r="P43" s="1041">
        <f>SUM(P46:P57)</f>
        <v>177.40294070333331</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3"/>
      <c r="C46" s="4387" t="s">
        <v>1589</v>
      </c>
      <c r="D46" s="4388"/>
      <c r="E46" s="1152">
        <f>IF($C46=0,0,VLOOKUP($C46,'SD3'!$C$24:$O$71,4,FALSE))</f>
        <v>120</v>
      </c>
      <c r="F46" s="1151">
        <f>IF($C46=0,0,VLOOKUP($C46,'SD3'!$C$24:$O$71,12,FALSE))</f>
        <v>1.38</v>
      </c>
      <c r="G46" s="1150">
        <f>IF($C46=0,0,VLOOKUP($C46,'SD3'!$C$24:$O$71,13,FALSE))</f>
        <v>64.642445999999993</v>
      </c>
      <c r="H46" s="1147">
        <v>1</v>
      </c>
      <c r="I46" s="1146">
        <f t="shared" ref="I46:I57" si="4">$F46*H46</f>
        <v>1.38</v>
      </c>
      <c r="J46" s="1145">
        <f t="shared" ref="J46:J57" si="5">H46*$G46</f>
        <v>64.642445999999993</v>
      </c>
      <c r="K46" s="1147">
        <v>1</v>
      </c>
      <c r="L46" s="1149">
        <f>$F46*K46</f>
        <v>1.38</v>
      </c>
      <c r="M46" s="1148">
        <f>K46*$G46</f>
        <v>64.642445999999993</v>
      </c>
      <c r="N46" s="1147">
        <v>1</v>
      </c>
      <c r="O46" s="1146">
        <f>$F46*N46</f>
        <v>1.38</v>
      </c>
      <c r="P46" s="1145">
        <f>N46*$G46</f>
        <v>64.642445999999993</v>
      </c>
      <c r="Q46" s="28"/>
    </row>
    <row r="47" spans="1:17" s="36" customFormat="1" ht="15" customHeight="1">
      <c r="A47" s="746"/>
      <c r="B47" s="1153"/>
      <c r="C47" s="4387"/>
      <c r="D47" s="4388"/>
      <c r="E47" s="1152">
        <f>IF($C47=0,0,VLOOKUP($C47,'SD3'!$C$24:$O$71,4,FALSE))</f>
        <v>0</v>
      </c>
      <c r="F47" s="1151">
        <f>IF($C47=0,0,VLOOKUP($C47,'SD3'!$C$24:$O$71,12,FALSE))</f>
        <v>0</v>
      </c>
      <c r="G47" s="1150">
        <f>IF($C47=0,0,VLOOKUP($C47,'SD3'!$C$24:$O$71,13,FALSE))</f>
        <v>0</v>
      </c>
      <c r="H47" s="1147">
        <v>0</v>
      </c>
      <c r="I47" s="1146">
        <f t="shared" si="4"/>
        <v>0</v>
      </c>
      <c r="J47" s="1145">
        <f t="shared" si="5"/>
        <v>0</v>
      </c>
      <c r="K47" s="1147"/>
      <c r="L47" s="1149">
        <f>$F47*K47</f>
        <v>0</v>
      </c>
      <c r="M47" s="1148">
        <f>K47*$G47</f>
        <v>0</v>
      </c>
      <c r="N47" s="1147"/>
      <c r="O47" s="1146">
        <f>$F47*N47</f>
        <v>0</v>
      </c>
      <c r="P47" s="1145">
        <f>N47*$G47</f>
        <v>0</v>
      </c>
      <c r="Q47" s="28"/>
    </row>
    <row r="48" spans="1:17" s="36" customFormat="1" ht="15" customHeight="1">
      <c r="A48" s="746"/>
      <c r="B48" s="1153"/>
      <c r="C48" s="4387" t="s">
        <v>354</v>
      </c>
      <c r="D48" s="4388"/>
      <c r="E48" s="1152">
        <f>IF($C48=0,0,VLOOKUP($C48,'SD3'!$C$24:$O$71,4,FALSE))</f>
        <v>120</v>
      </c>
      <c r="F48" s="1151">
        <f>IF($C48=0,0,VLOOKUP($C48,'SD3'!$C$24:$O$71,12,FALSE))</f>
        <v>0.71</v>
      </c>
      <c r="G48" s="1150">
        <f>IF($C48=0,0,VLOOKUP($C48,'SD3'!$C$24:$O$71,13,FALSE))</f>
        <v>30.659437999999998</v>
      </c>
      <c r="H48" s="1147">
        <v>1</v>
      </c>
      <c r="I48" s="1146">
        <f t="shared" si="4"/>
        <v>0.71</v>
      </c>
      <c r="J48" s="1145">
        <f t="shared" si="5"/>
        <v>30.659437999999998</v>
      </c>
      <c r="K48" s="1147">
        <v>1</v>
      </c>
      <c r="L48" s="1149">
        <f>$F48*K48</f>
        <v>0.71</v>
      </c>
      <c r="M48" s="1148">
        <f>K48*$G48</f>
        <v>30.659437999999998</v>
      </c>
      <c r="N48" s="1147">
        <v>1</v>
      </c>
      <c r="O48" s="1146">
        <f>$F48*N48</f>
        <v>0.71</v>
      </c>
      <c r="P48" s="1145">
        <f>N48*$G48</f>
        <v>30.659437999999998</v>
      </c>
      <c r="Q48" s="28"/>
    </row>
    <row r="49" spans="1:17" s="36" customFormat="1" ht="15" customHeight="1">
      <c r="A49" s="746"/>
      <c r="B49" s="1153"/>
      <c r="C49" s="4387" t="s">
        <v>339</v>
      </c>
      <c r="D49" s="4388"/>
      <c r="E49" s="1152">
        <f>IF($C49=0,0,VLOOKUP($C49,'SD3'!$C$24:$O$71,4,FALSE))</f>
        <v>83</v>
      </c>
      <c r="F49" s="1151">
        <f>IF($C49=0,0,VLOOKUP($C49,'SD3'!$C$24:$O$71,12,FALSE))</f>
        <v>0.27</v>
      </c>
      <c r="G49" s="1150">
        <f>IF($C49=0,0,VLOOKUP($C49,'SD3'!$C$24:$O$71,13,FALSE))</f>
        <v>6.9619069099999997</v>
      </c>
      <c r="H49" s="1147">
        <v>2</v>
      </c>
      <c r="I49" s="1146">
        <f t="shared" si="4"/>
        <v>0.54</v>
      </c>
      <c r="J49" s="1145">
        <f t="shared" si="5"/>
        <v>13.923813819999999</v>
      </c>
      <c r="K49" s="1147">
        <v>2</v>
      </c>
      <c r="L49" s="1149">
        <f>$F49*K49</f>
        <v>0.54</v>
      </c>
      <c r="M49" s="1148">
        <f>K49*$G49</f>
        <v>13.923813819999999</v>
      </c>
      <c r="N49" s="1147">
        <v>2</v>
      </c>
      <c r="O49" s="1146">
        <f>$F49*N49</f>
        <v>0.54</v>
      </c>
      <c r="P49" s="1145">
        <f>N49*$G49</f>
        <v>13.923813819999999</v>
      </c>
      <c r="Q49" s="28"/>
    </row>
    <row r="50" spans="1:17" s="36" customFormat="1" ht="15" customHeight="1">
      <c r="A50" s="746"/>
      <c r="B50" s="1153"/>
      <c r="C50" s="4387" t="s">
        <v>338</v>
      </c>
      <c r="D50" s="4388"/>
      <c r="E50" s="1152">
        <f>IF($C50=0,0,VLOOKUP($C50,'SD3'!$C$24:$O$71,4,FALSE))</f>
        <v>54</v>
      </c>
      <c r="F50" s="1151">
        <f>IF($C50=0,0,VLOOKUP($C50,'SD3'!$C$24:$O$71,12,FALSE))</f>
        <v>1.1299999999999999</v>
      </c>
      <c r="G50" s="1150">
        <f>IF($C50=0,0,VLOOKUP($C50,'SD3'!$C$24:$O$71,13,FALSE))</f>
        <v>19.852731299999999</v>
      </c>
      <c r="H50" s="1147"/>
      <c r="I50" s="1146">
        <f t="shared" si="4"/>
        <v>0</v>
      </c>
      <c r="J50" s="1145">
        <f t="shared" si="5"/>
        <v>0</v>
      </c>
      <c r="K50" s="1147"/>
      <c r="L50" s="1149">
        <f t="shared" ref="L50:L57" si="6">$F50*K50</f>
        <v>0</v>
      </c>
      <c r="M50" s="1148">
        <f t="shared" ref="M50:M57" si="7">K50*$G50</f>
        <v>0</v>
      </c>
      <c r="N50" s="1147">
        <v>1</v>
      </c>
      <c r="O50" s="1146">
        <f t="shared" ref="O50:O57" si="8">$F50*N50</f>
        <v>1.1299999999999999</v>
      </c>
      <c r="P50" s="1145">
        <f t="shared" ref="P50:P57" si="9">N50*$G50</f>
        <v>19.852731299999999</v>
      </c>
      <c r="Q50" s="28"/>
    </row>
    <row r="51" spans="1:17" s="36" customFormat="1" ht="15" customHeight="1">
      <c r="A51" s="746"/>
      <c r="B51" s="1153"/>
      <c r="C51" s="4387"/>
      <c r="D51" s="4388"/>
      <c r="E51" s="1152">
        <f>IF($C51=0,0,VLOOKUP($C51,'SD3'!$C$24:$O$71,4,FALSE))</f>
        <v>0</v>
      </c>
      <c r="F51" s="1151">
        <f>IF($C51=0,0,VLOOKUP($C51,'SD3'!$C$24:$O$71,12,FALSE))</f>
        <v>0</v>
      </c>
      <c r="G51" s="1150">
        <f>IF($C51=0,0,VLOOKUP($C51,'SD3'!$C$24:$O$71,13,FALSE))</f>
        <v>0</v>
      </c>
      <c r="H51" s="1147"/>
      <c r="I51" s="1146">
        <f t="shared" si="4"/>
        <v>0</v>
      </c>
      <c r="J51" s="1145">
        <f t="shared" si="5"/>
        <v>0</v>
      </c>
      <c r="K51" s="1147"/>
      <c r="L51" s="1149">
        <f t="shared" si="6"/>
        <v>0</v>
      </c>
      <c r="M51" s="1148">
        <f t="shared" si="7"/>
        <v>0</v>
      </c>
      <c r="N51" s="1147"/>
      <c r="O51" s="1146">
        <f t="shared" si="8"/>
        <v>0</v>
      </c>
      <c r="P51" s="1145">
        <f t="shared" si="9"/>
        <v>0</v>
      </c>
      <c r="Q51" s="28"/>
    </row>
    <row r="52" spans="1:17" s="36" customFormat="1" ht="15" customHeight="1">
      <c r="A52" s="746"/>
      <c r="B52" s="1153"/>
      <c r="C52" s="4387"/>
      <c r="D52" s="4388"/>
      <c r="E52" s="1152">
        <f>IF($C52=0,0,VLOOKUP($C52,'SD3'!$C$24:$O$71,4,FALSE))</f>
        <v>0</v>
      </c>
      <c r="F52" s="1151">
        <f>IF($C52=0,0,VLOOKUP($C52,'SD3'!$C$24:$O$71,12,FALSE))</f>
        <v>0</v>
      </c>
      <c r="G52" s="1150">
        <f>IF($C52=0,0,VLOOKUP($C52,'SD3'!$C$24:$O$71,13,FALSE))</f>
        <v>0</v>
      </c>
      <c r="H52" s="1147"/>
      <c r="I52" s="1146">
        <f t="shared" si="4"/>
        <v>0</v>
      </c>
      <c r="J52" s="1145">
        <f t="shared" si="5"/>
        <v>0</v>
      </c>
      <c r="K52" s="1147"/>
      <c r="L52" s="1149">
        <f t="shared" si="6"/>
        <v>0</v>
      </c>
      <c r="M52" s="1148">
        <f t="shared" si="7"/>
        <v>0</v>
      </c>
      <c r="N52" s="1147"/>
      <c r="O52" s="1146">
        <f t="shared" si="8"/>
        <v>0</v>
      </c>
      <c r="P52" s="1145">
        <f t="shared" si="9"/>
        <v>0</v>
      </c>
      <c r="Q52" s="28"/>
    </row>
    <row r="53" spans="1:17" s="36" customFormat="1" ht="15" customHeight="1">
      <c r="A53" s="746"/>
      <c r="B53" s="1153"/>
      <c r="C53" s="4403" t="s">
        <v>1748</v>
      </c>
      <c r="D53" s="4404"/>
      <c r="E53" s="1152">
        <f>IF($C53=0,0,VLOOKUP($C53,'SD3'!$C$24:$O$71,4,FALSE))</f>
        <v>120</v>
      </c>
      <c r="F53" s="1151">
        <f>IF($C53=0,0,VLOOKUP($C53,'SD3'!$C$24:$O$71,12,FALSE))</f>
        <v>0.37</v>
      </c>
      <c r="G53" s="1150">
        <f>IF($C53=0,0,VLOOKUP($C53,'SD3'!$C$24:$O$71,13,FALSE))</f>
        <v>11.7573302</v>
      </c>
      <c r="H53" s="3654">
        <f>J6/75</f>
        <v>0.25</v>
      </c>
      <c r="I53" s="1146">
        <f t="shared" si="4"/>
        <v>9.2499999999999999E-2</v>
      </c>
      <c r="J53" s="1145">
        <f t="shared" si="5"/>
        <v>2.93933255</v>
      </c>
      <c r="K53" s="3654">
        <f>M6/75</f>
        <v>0.33333333333333331</v>
      </c>
      <c r="L53" s="1149">
        <f t="shared" si="6"/>
        <v>0.12333333333333332</v>
      </c>
      <c r="M53" s="1148">
        <f t="shared" si="7"/>
        <v>3.9191100666666667</v>
      </c>
      <c r="N53" s="3654">
        <f>P6/75</f>
        <v>0.41666666666666669</v>
      </c>
      <c r="O53" s="1146">
        <f t="shared" si="8"/>
        <v>0.15416666666666667</v>
      </c>
      <c r="P53" s="1145">
        <f t="shared" si="9"/>
        <v>4.8988875833333339</v>
      </c>
      <c r="Q53" s="28"/>
    </row>
    <row r="54" spans="1:17" s="36" customFormat="1" ht="15" customHeight="1">
      <c r="A54" s="746"/>
      <c r="B54" s="1153"/>
      <c r="C54" s="4387" t="s">
        <v>359</v>
      </c>
      <c r="D54" s="4388"/>
      <c r="E54" s="1152">
        <f>IF($C54=0,0,VLOOKUP($C54,'SD3'!$C$24:$O$71,4,FALSE))</f>
        <v>120</v>
      </c>
      <c r="F54" s="1151">
        <f>IF($C54=0,0,VLOOKUP($C54,'SD3'!$C$24:$O$71,12,FALSE))</f>
        <v>0.54</v>
      </c>
      <c r="G54" s="1150">
        <f>IF($C54=0,0,VLOOKUP($C54,'SD3'!$C$24:$O$71,13,FALSE))</f>
        <v>21.712812</v>
      </c>
      <c r="H54" s="1147">
        <v>2</v>
      </c>
      <c r="I54" s="1146">
        <f t="shared" si="4"/>
        <v>1.08</v>
      </c>
      <c r="J54" s="1145">
        <f t="shared" si="5"/>
        <v>43.425623999999999</v>
      </c>
      <c r="K54" s="1147">
        <v>2</v>
      </c>
      <c r="L54" s="1149">
        <f t="shared" si="6"/>
        <v>1.08</v>
      </c>
      <c r="M54" s="1148">
        <f t="shared" si="7"/>
        <v>43.425623999999999</v>
      </c>
      <c r="N54" s="1147">
        <v>2</v>
      </c>
      <c r="O54" s="1146">
        <f t="shared" si="8"/>
        <v>1.08</v>
      </c>
      <c r="P54" s="1145">
        <f t="shared" si="9"/>
        <v>43.425623999999999</v>
      </c>
      <c r="Q54" s="28"/>
    </row>
    <row r="55" spans="1:17" s="36" customFormat="1" ht="15" customHeight="1">
      <c r="A55" s="746"/>
      <c r="B55" s="1153"/>
      <c r="C55" s="4445"/>
      <c r="D55" s="4446"/>
      <c r="E55" s="1152">
        <f>IF($C55=0,0,VLOOKUP($C55,'SD3'!$C$24:$O$71,4,FALSE))</f>
        <v>0</v>
      </c>
      <c r="F55" s="1151">
        <f>IF($C55=0,0,VLOOKUP($C55,'SD3'!$C$24:$O$71,12,FALSE))</f>
        <v>0</v>
      </c>
      <c r="G55" s="1150">
        <f>IF($C55=0,0,VLOOKUP($C55,'SD3'!$C$24:$O$71,13,FALSE))</f>
        <v>0</v>
      </c>
      <c r="H55" s="1147"/>
      <c r="I55" s="1146">
        <f t="shared" si="4"/>
        <v>0</v>
      </c>
      <c r="J55" s="1145">
        <f t="shared" si="5"/>
        <v>0</v>
      </c>
      <c r="K55" s="1147"/>
      <c r="L55" s="1149">
        <f t="shared" si="6"/>
        <v>0</v>
      </c>
      <c r="M55" s="1148">
        <f t="shared" si="7"/>
        <v>0</v>
      </c>
      <c r="N55" s="1147"/>
      <c r="O55" s="1146">
        <f t="shared" si="8"/>
        <v>0</v>
      </c>
      <c r="P55" s="1145">
        <f t="shared" si="9"/>
        <v>0</v>
      </c>
      <c r="Q55" s="28"/>
    </row>
    <row r="56" spans="1:17" s="36" customFormat="1" ht="13.8">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8"/>
    </row>
    <row r="57" spans="1:17" s="36" customFormat="1" ht="24.75" customHeight="1">
      <c r="A57" s="746"/>
      <c r="B57" s="1084"/>
      <c r="C57" s="4461" t="s">
        <v>332</v>
      </c>
      <c r="D57" s="4462"/>
      <c r="E57" s="2589">
        <f>IF($C57=0,0,VLOOKUP($C57,'SD3'!$C$24:$O$71,4,FALSE))</f>
        <v>83</v>
      </c>
      <c r="F57" s="2590">
        <f>IF($C57=0,0,VLOOKUP($C57,'SD3'!$C$24:$O$71,12,FALSE))</f>
        <v>1.3</v>
      </c>
      <c r="G57" s="2591">
        <f>IF($C57=0,0,VLOOKUP($C57,'SD3'!$C$24:$O$71,13,FALSE))</f>
        <v>25.970662899999994</v>
      </c>
      <c r="H57" s="3745">
        <f>H11/35</f>
        <v>0</v>
      </c>
      <c r="I57" s="1130">
        <f t="shared" si="4"/>
        <v>0</v>
      </c>
      <c r="J57" s="1129">
        <f t="shared" si="5"/>
        <v>0</v>
      </c>
      <c r="K57" s="3746">
        <f>K11/35</f>
        <v>0</v>
      </c>
      <c r="L57" s="1132">
        <f t="shared" si="6"/>
        <v>0</v>
      </c>
      <c r="M57" s="1079">
        <f t="shared" si="7"/>
        <v>0</v>
      </c>
      <c r="N57" s="3745">
        <f>N11/35</f>
        <v>0</v>
      </c>
      <c r="O57" s="1130">
        <f t="shared" si="8"/>
        <v>0</v>
      </c>
      <c r="P57" s="1129">
        <f t="shared" si="9"/>
        <v>0</v>
      </c>
      <c r="Q57" s="2636"/>
    </row>
    <row r="58" spans="1:17" s="511" customFormat="1" ht="18.75" customHeight="1">
      <c r="A58" s="711"/>
      <c r="B58" s="716" t="s">
        <v>848</v>
      </c>
      <c r="C58" s="811"/>
      <c r="D58" s="811"/>
      <c r="E58" s="811"/>
      <c r="F58" s="34"/>
      <c r="G58" s="1047"/>
      <c r="H58" s="1124"/>
      <c r="I58" s="1123">
        <f>SUM($I$46:$I$57)</f>
        <v>3.8024999999999998</v>
      </c>
      <c r="J58" s="1128"/>
      <c r="K58" s="1127"/>
      <c r="L58" s="1126">
        <f>SUM($L$46:$L$57)</f>
        <v>3.8333333333333335</v>
      </c>
      <c r="M58" s="1125"/>
      <c r="N58" s="1124"/>
      <c r="O58" s="1123">
        <f>SUM($O$46:$O$57)</f>
        <v>4.9941666666666666</v>
      </c>
      <c r="P58" s="1122"/>
      <c r="Q58" s="28"/>
    </row>
    <row r="59" spans="1:17" s="511" customFormat="1" ht="15" customHeight="1">
      <c r="A59" s="711"/>
      <c r="B59" s="1121"/>
      <c r="C59" s="285"/>
      <c r="D59" s="222" t="s">
        <v>847</v>
      </c>
      <c r="E59" s="1120">
        <v>80</v>
      </c>
      <c r="F59" s="285" t="s">
        <v>846</v>
      </c>
      <c r="G59" s="1119"/>
      <c r="H59" s="1115"/>
      <c r="I59" s="1114">
        <f>IF(I58+SUM($I$46:$I$57)*$E$59%&gt;I58+10,I58+10,I58+SUM($I$46:$I$57)*$E$59%)</f>
        <v>6.8445</v>
      </c>
      <c r="J59" s="1113"/>
      <c r="K59" s="1118"/>
      <c r="L59" s="1117">
        <f>IF(L58+SUM($L$46:$L$57)*$E$59%&gt;L58+10,L58+10,L58+SUM($L$46:$L$57)*$E$59%)</f>
        <v>6.9</v>
      </c>
      <c r="M59" s="1116"/>
      <c r="N59" s="1115"/>
      <c r="O59" s="1114">
        <f>IF(O58+SUM($O$46:$O$57)*$E$59%&gt;O58+10,O58+10,O58+SUM($O$46:$O$57)*$E$59%)</f>
        <v>8.9894999999999996</v>
      </c>
      <c r="P59" s="1113"/>
      <c r="Q59" s="28"/>
    </row>
    <row r="60" spans="1:17" s="46" customFormat="1" ht="18.75" customHeight="1">
      <c r="A60" s="811"/>
      <c r="B60" s="716" t="s">
        <v>845</v>
      </c>
      <c r="C60" s="811"/>
      <c r="D60" s="811"/>
      <c r="E60" s="39"/>
      <c r="F60" s="39"/>
      <c r="G60" s="1112"/>
      <c r="H60" s="1104"/>
      <c r="I60" s="1103"/>
      <c r="J60" s="1111">
        <f>IF(J6=0,0,SUM(I62:I64))</f>
        <v>204.3</v>
      </c>
      <c r="K60" s="1107"/>
      <c r="L60" s="1106"/>
      <c r="M60" s="1044">
        <f>IF(M6=0,0,SUM(L62:L64))</f>
        <v>204.3</v>
      </c>
      <c r="N60" s="1104"/>
      <c r="O60" s="1103"/>
      <c r="P60" s="1111">
        <f>IF(P6=0,0,SUM(O62:O64))</f>
        <v>204.3</v>
      </c>
      <c r="Q60" s="28"/>
    </row>
    <row r="61" spans="1:17"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t="s">
        <v>298</v>
      </c>
      <c r="D62" s="4365"/>
      <c r="E62" s="4365"/>
      <c r="F62" s="1101">
        <f>IF($C62=0,0,VLOOKUP($C62,'SD3'!$C$90:$D$104,2,FALSE))</f>
        <v>204.3</v>
      </c>
      <c r="G62" s="1100">
        <f>(100+$D$61)/100*F62</f>
        <v>204.3</v>
      </c>
      <c r="H62" s="173"/>
      <c r="I62" s="1096">
        <f>$G$62</f>
        <v>204.3</v>
      </c>
      <c r="J62" s="173"/>
      <c r="K62" s="1099"/>
      <c r="L62" s="1098">
        <f>$G$62</f>
        <v>204.3</v>
      </c>
      <c r="M62" s="1016"/>
      <c r="N62" s="1097"/>
      <c r="O62" s="1096">
        <f>$G$62</f>
        <v>204.3</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t="s">
        <v>289</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5"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22.95" customHeight="1">
      <c r="A67" s="711"/>
      <c r="B67" s="716" t="s">
        <v>843</v>
      </c>
      <c r="C67" s="711"/>
      <c r="D67" s="711"/>
      <c r="E67" s="175"/>
      <c r="F67" s="1069"/>
      <c r="G67" s="1047"/>
      <c r="H67" s="1066" t="s">
        <v>842</v>
      </c>
      <c r="I67" s="1065" t="s">
        <v>841</v>
      </c>
      <c r="J67" s="1041">
        <f>R68*(H9+H10)*I68%+F68</f>
        <v>29.531250000000011</v>
      </c>
      <c r="K67" s="1068" t="s">
        <v>842</v>
      </c>
      <c r="L67" s="1067" t="s">
        <v>841</v>
      </c>
      <c r="M67" s="1044">
        <f>S68*(K9+K10)*L68%+F68</f>
        <v>39.375000000000014</v>
      </c>
      <c r="N67" s="1066" t="s">
        <v>842</v>
      </c>
      <c r="O67" s="1065" t="s">
        <v>841</v>
      </c>
      <c r="P67" s="1041">
        <f>T68*(N9+N10)*O68%+F68</f>
        <v>49.218750000000021</v>
      </c>
      <c r="Q67" s="28"/>
    </row>
    <row r="68" spans="1:20" s="511" customFormat="1" ht="15" customHeight="1">
      <c r="A68" s="711"/>
      <c r="B68" s="1064"/>
      <c r="C68" s="4393" t="s">
        <v>564</v>
      </c>
      <c r="D68" s="4393"/>
      <c r="E68" s="4393"/>
      <c r="F68" s="1063"/>
      <c r="G68" s="1054" t="s">
        <v>163</v>
      </c>
      <c r="H68" s="1061">
        <v>16</v>
      </c>
      <c r="I68" s="1060">
        <v>50</v>
      </c>
      <c r="J68" s="1059"/>
      <c r="K68" s="1061">
        <v>16</v>
      </c>
      <c r="L68" s="1060">
        <v>50</v>
      </c>
      <c r="M68" s="1062"/>
      <c r="N68" s="1061">
        <v>16</v>
      </c>
      <c r="O68" s="1060">
        <v>50</v>
      </c>
      <c r="P68" s="1059"/>
      <c r="Q68" s="28"/>
      <c r="R68" s="1058">
        <f>IF($H$68=0,0,VLOOKUP($H$68,'SD6'!D8:E256,'SD6'!I1,FALSE))*(1+'SDK1'!O11/100)</f>
        <v>3.1500000000000012</v>
      </c>
      <c r="S68" s="1058">
        <f>IF($K$68=0,0,VLOOKUP($K$68,'SD6'!D8:E256,'SD6'!I1,FALSE))*(1+'SDK1'!O11/100)</f>
        <v>3.1500000000000012</v>
      </c>
      <c r="T68" s="1058">
        <f>IF($N$68=0,0,VLOOKUP($N$68,'SD6'!D8:E256,'SD6'!I1,FALSE))*(1+'SDK1'!O11/100)</f>
        <v>3.1500000000000012</v>
      </c>
    </row>
    <row r="69" spans="1:20" s="511" customFormat="1" ht="18.75" customHeight="1">
      <c r="A69" s="711"/>
      <c r="B69" s="716" t="s">
        <v>839</v>
      </c>
      <c r="C69" s="711"/>
      <c r="D69" s="711"/>
      <c r="E69" s="34"/>
      <c r="F69" s="34"/>
      <c r="G69" s="1047"/>
      <c r="H69" s="38"/>
      <c r="I69" s="51"/>
      <c r="J69" s="1041">
        <f>H70*$F70/1000</f>
        <v>28.26</v>
      </c>
      <c r="K69" s="1057"/>
      <c r="L69" s="1056"/>
      <c r="M69" s="1044">
        <f>K70*$F70/1000</f>
        <v>37.68</v>
      </c>
      <c r="N69" s="38"/>
      <c r="O69" s="51"/>
      <c r="P69" s="1041">
        <f>N70*$F70/1000</f>
        <v>47.1</v>
      </c>
      <c r="Q69" s="28"/>
    </row>
    <row r="70" spans="1:20" s="511" customFormat="1" ht="15" customHeight="1">
      <c r="A70" s="711"/>
      <c r="B70" s="772"/>
      <c r="C70" s="771" t="s">
        <v>606</v>
      </c>
      <c r="D70" s="285"/>
      <c r="E70" s="222"/>
      <c r="F70" s="3742">
        <f>SDÖ7!F70</f>
        <v>30</v>
      </c>
      <c r="G70" s="1054" t="s">
        <v>163</v>
      </c>
      <c r="H70" s="1357">
        <f>J7</f>
        <v>942</v>
      </c>
      <c r="I70" s="1049"/>
      <c r="J70" s="1048"/>
      <c r="K70" s="1053">
        <f>M7</f>
        <v>1256</v>
      </c>
      <c r="L70" s="1052"/>
      <c r="M70" s="1051"/>
      <c r="N70" s="1357">
        <f>P7</f>
        <v>1570</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5</v>
      </c>
      <c r="H75" s="1007"/>
      <c r="I75" s="1008"/>
      <c r="J75" s="1005">
        <f>(J23+J27+J34+J43+J60+J65+J67+J69+J71)*('SDK1'!$O$59%*$G$75/12)</f>
        <v>5.9341200364166653</v>
      </c>
      <c r="K75" s="2223"/>
      <c r="L75" s="522"/>
      <c r="M75" s="1005">
        <f>(M23+M27+M34+M43+M60+M65+M67+M69+M71)*('SDK1'!$O$59%*$G$75/12)</f>
        <v>6.0981285990555545</v>
      </c>
      <c r="N75" s="1007"/>
      <c r="O75" s="1006"/>
      <c r="P75" s="1005">
        <f>(P23+P27+P34+P43+P60+P65+P67+P69+P71)*('SDK1'!$O$59%*$G$75/12)</f>
        <v>6.4275765891944436</v>
      </c>
      <c r="Q75" s="28"/>
    </row>
    <row r="76" spans="1:20">
      <c r="L76" s="29"/>
    </row>
    <row r="77" spans="1:20">
      <c r="B77" s="2919"/>
      <c r="C77" s="2919"/>
      <c r="D77" s="2919"/>
      <c r="E77" s="2919"/>
      <c r="F77" s="2919"/>
      <c r="G77" s="2919"/>
      <c r="H77" s="2919"/>
      <c r="I77" s="2608"/>
      <c r="J77" s="2608"/>
      <c r="K77" s="2608"/>
      <c r="L77" s="2608"/>
      <c r="M77" s="2608"/>
      <c r="N77" s="2608"/>
      <c r="O77" s="2608"/>
      <c r="P77" s="2608"/>
    </row>
    <row r="78" spans="1:20">
      <c r="B78" s="2919"/>
      <c r="C78" s="2919"/>
      <c r="D78" s="2919"/>
      <c r="E78" s="2919"/>
      <c r="F78" s="2919"/>
      <c r="G78" s="2919"/>
      <c r="H78" s="2919"/>
      <c r="I78" s="2608"/>
      <c r="J78" s="2608"/>
      <c r="K78" s="2608"/>
      <c r="L78" s="2608"/>
      <c r="M78" s="2608"/>
      <c r="N78" s="2608"/>
      <c r="O78" s="2608"/>
      <c r="P78" s="2608"/>
    </row>
    <row r="79" spans="1:20">
      <c r="B79" s="2919"/>
      <c r="C79" s="2919"/>
      <c r="D79" s="2919"/>
      <c r="E79" s="2919"/>
      <c r="F79" s="2919"/>
      <c r="G79" s="2919"/>
      <c r="H79" s="2919"/>
      <c r="I79" s="2608"/>
      <c r="J79" s="2608"/>
      <c r="K79" s="2608"/>
      <c r="L79" s="2608"/>
      <c r="M79" s="2608"/>
      <c r="N79" s="2608"/>
      <c r="O79" s="2608"/>
      <c r="P79" s="2608"/>
    </row>
    <row r="80" spans="1:20">
      <c r="B80" s="2919"/>
      <c r="C80" s="2919"/>
      <c r="D80" s="2919"/>
      <c r="E80" s="2919"/>
      <c r="F80" s="2919"/>
      <c r="G80" s="2919"/>
      <c r="H80" s="2919"/>
      <c r="I80" s="2608"/>
      <c r="J80" s="2608"/>
      <c r="K80" s="2608"/>
      <c r="L80" s="2608"/>
      <c r="M80" s="2608"/>
      <c r="N80" s="2608"/>
      <c r="O80" s="2608"/>
      <c r="P80" s="2608"/>
    </row>
    <row r="81" spans="2:16">
      <c r="B81" s="2919"/>
      <c r="C81" s="2919"/>
      <c r="D81" s="2919"/>
      <c r="E81" s="2919"/>
      <c r="F81" s="2919"/>
      <c r="G81" s="2919"/>
      <c r="H81" s="2919"/>
      <c r="I81" s="2608"/>
      <c r="J81" s="2608"/>
      <c r="K81" s="2608"/>
      <c r="L81" s="2608"/>
      <c r="M81" s="2608"/>
      <c r="N81" s="2608"/>
      <c r="O81" s="2608"/>
      <c r="P81" s="2608"/>
    </row>
    <row r="82" spans="2:16">
      <c r="B82" s="2919"/>
      <c r="C82" s="2919"/>
      <c r="D82" s="2919"/>
      <c r="E82" s="2919"/>
      <c r="F82" s="2919"/>
      <c r="G82" s="2919"/>
      <c r="H82" s="2919"/>
      <c r="I82" s="2608"/>
      <c r="J82" s="2608"/>
      <c r="K82" s="2608"/>
      <c r="L82" s="2608"/>
      <c r="M82" s="2608"/>
      <c r="N82" s="2608"/>
      <c r="O82" s="2608"/>
      <c r="P82" s="2608"/>
    </row>
    <row r="83" spans="2:16">
      <c r="B83" s="2919"/>
      <c r="C83" s="2919"/>
      <c r="D83" s="2919"/>
      <c r="E83" s="2919"/>
      <c r="F83" s="2919"/>
      <c r="G83" s="2919"/>
      <c r="H83" s="2919"/>
      <c r="I83" s="2608"/>
      <c r="J83" s="2608"/>
      <c r="K83" s="2608"/>
      <c r="L83" s="2608"/>
      <c r="M83" s="2608"/>
      <c r="N83" s="2608"/>
      <c r="O83" s="2608"/>
      <c r="P83" s="2608"/>
    </row>
    <row r="84" spans="2:16">
      <c r="B84" s="2919"/>
      <c r="C84" s="2919"/>
      <c r="D84" s="2919"/>
      <c r="E84" s="2919"/>
      <c r="F84" s="2919"/>
      <c r="G84" s="2919"/>
      <c r="H84" s="2919"/>
      <c r="I84" s="2608"/>
      <c r="J84" s="2608"/>
      <c r="K84" s="2608"/>
      <c r="L84" s="2608"/>
      <c r="M84" s="2608"/>
      <c r="N84" s="2608"/>
      <c r="O84" s="2608"/>
      <c r="P84" s="2608"/>
    </row>
    <row r="85" spans="2:16">
      <c r="B85" s="2919"/>
      <c r="C85" s="2919"/>
      <c r="D85" s="2919"/>
      <c r="E85" s="2919"/>
      <c r="F85" s="2919"/>
      <c r="G85" s="2919"/>
      <c r="H85" s="2919"/>
      <c r="I85" s="2608"/>
      <c r="J85" s="2608"/>
      <c r="K85" s="2608"/>
      <c r="L85" s="2608"/>
      <c r="M85" s="2608"/>
      <c r="N85" s="2608"/>
      <c r="O85" s="2608"/>
      <c r="P85" s="2608"/>
    </row>
    <row r="86" spans="2:16">
      <c r="B86" s="2919"/>
      <c r="C86" s="2919"/>
      <c r="D86" s="2919"/>
      <c r="E86" s="2919"/>
      <c r="F86" s="2919"/>
      <c r="G86" s="2919"/>
      <c r="H86" s="2919"/>
      <c r="I86" s="2608"/>
      <c r="J86" s="2608"/>
      <c r="K86" s="2608"/>
      <c r="L86" s="2608"/>
      <c r="M86" s="2608"/>
      <c r="N86" s="2608"/>
      <c r="O86" s="2608"/>
      <c r="P86" s="2608"/>
    </row>
    <row r="87" spans="2:16">
      <c r="B87" s="2919"/>
      <c r="C87" s="2919"/>
      <c r="D87" s="2919"/>
      <c r="E87" s="2919"/>
      <c r="F87" s="2919"/>
      <c r="G87" s="2919"/>
      <c r="H87" s="2919"/>
      <c r="I87" s="2608"/>
      <c r="J87" s="2608"/>
      <c r="K87" s="2608"/>
      <c r="L87" s="2608"/>
      <c r="M87" s="2608"/>
      <c r="N87" s="2608"/>
      <c r="O87" s="2608"/>
      <c r="P87" s="2608"/>
    </row>
    <row r="88" spans="2:16" ht="13.2" customHeight="1">
      <c r="B88" s="2919"/>
      <c r="C88" s="2919"/>
      <c r="D88" s="2919"/>
      <c r="E88" s="2919"/>
      <c r="F88" s="2919"/>
      <c r="G88" s="2919"/>
      <c r="H88" s="2919"/>
      <c r="I88" s="2608"/>
      <c r="J88" s="2608"/>
      <c r="K88" s="2608"/>
      <c r="L88" s="2608"/>
      <c r="M88" s="2608"/>
      <c r="N88" s="2608"/>
      <c r="O88" s="2608"/>
      <c r="P88" s="2608"/>
    </row>
    <row r="89" spans="2:16">
      <c r="B89" s="2919"/>
      <c r="C89" s="2919"/>
      <c r="D89" s="2919"/>
      <c r="E89" s="2919"/>
      <c r="F89" s="2919"/>
      <c r="G89" s="2919"/>
      <c r="H89" s="2919"/>
      <c r="I89" s="2608"/>
      <c r="J89" s="2608"/>
      <c r="K89" s="2608"/>
      <c r="L89" s="2608"/>
      <c r="M89" s="2608"/>
      <c r="N89" s="2608"/>
      <c r="O89" s="2608"/>
      <c r="P89" s="2608"/>
    </row>
    <row r="90" spans="2:16">
      <c r="B90" s="2919"/>
      <c r="C90" s="2919"/>
      <c r="D90" s="2919"/>
      <c r="E90" s="2919"/>
      <c r="F90" s="2919"/>
      <c r="G90" s="2919"/>
      <c r="H90" s="2919"/>
      <c r="I90" s="2608"/>
      <c r="J90" s="2608"/>
      <c r="K90" s="2608"/>
      <c r="L90" s="2608"/>
      <c r="M90" s="2608"/>
      <c r="N90" s="2608"/>
      <c r="O90" s="2608"/>
      <c r="P90" s="2608"/>
    </row>
    <row r="91" spans="2:16">
      <c r="B91" s="2919"/>
      <c r="C91" s="2919"/>
      <c r="D91" s="2919"/>
      <c r="E91" s="2919"/>
      <c r="F91" s="2919"/>
      <c r="G91" s="2919"/>
      <c r="H91" s="2919"/>
      <c r="I91" s="2608"/>
      <c r="J91" s="2608"/>
      <c r="K91" s="2608"/>
      <c r="L91" s="2608"/>
      <c r="M91" s="2608"/>
      <c r="N91" s="2608"/>
      <c r="O91" s="2608"/>
      <c r="P91" s="2608"/>
    </row>
    <row r="92" spans="2:16">
      <c r="B92" s="2919"/>
      <c r="C92" s="2919"/>
      <c r="D92" s="2919"/>
      <c r="E92" s="2919"/>
      <c r="F92" s="2919"/>
      <c r="G92" s="2919"/>
      <c r="H92" s="2919"/>
      <c r="I92" s="2608"/>
      <c r="J92" s="2608"/>
      <c r="K92" s="2608"/>
      <c r="L92" s="2608"/>
      <c r="M92" s="2608"/>
      <c r="N92" s="2608"/>
      <c r="O92" s="2608"/>
      <c r="P92" s="2608"/>
    </row>
    <row r="93" spans="2:16">
      <c r="B93" s="2919"/>
      <c r="C93" s="2919"/>
      <c r="D93" s="2919"/>
      <c r="E93" s="2919"/>
      <c r="F93" s="2919"/>
      <c r="G93" s="2919"/>
      <c r="H93" s="2919"/>
      <c r="I93" s="2608"/>
      <c r="J93" s="2608"/>
      <c r="K93" s="2608"/>
      <c r="L93" s="2608"/>
      <c r="M93" s="2608"/>
      <c r="N93" s="2608"/>
      <c r="O93" s="2608"/>
      <c r="P93" s="2608"/>
    </row>
    <row r="94" spans="2:16">
      <c r="B94" s="2919"/>
      <c r="C94" s="2919"/>
      <c r="D94" s="2919"/>
      <c r="E94" s="2919"/>
      <c r="F94" s="2919"/>
      <c r="G94" s="2919"/>
      <c r="H94" s="2919"/>
      <c r="I94" s="2608"/>
      <c r="J94" s="2608"/>
      <c r="K94" s="2608"/>
      <c r="L94" s="2608"/>
      <c r="M94" s="2608"/>
      <c r="N94" s="2608"/>
      <c r="O94" s="2608"/>
      <c r="P94" s="2608"/>
    </row>
    <row r="95" spans="2:16">
      <c r="B95" s="2919"/>
      <c r="C95" s="2919"/>
      <c r="D95" s="2919"/>
      <c r="E95" s="2919"/>
      <c r="F95" s="2919"/>
      <c r="G95" s="2919"/>
      <c r="H95" s="2919"/>
      <c r="I95" s="2608"/>
      <c r="J95" s="2608"/>
      <c r="K95" s="2608"/>
      <c r="L95" s="2608"/>
      <c r="M95" s="2608"/>
      <c r="N95" s="2608"/>
      <c r="O95" s="2608"/>
      <c r="P95" s="2608"/>
    </row>
    <row r="96" spans="2:16">
      <c r="B96" s="2919"/>
      <c r="C96" s="2919"/>
      <c r="D96" s="2919"/>
      <c r="E96" s="2919"/>
      <c r="F96" s="2919"/>
      <c r="G96" s="2919"/>
      <c r="H96" s="2919"/>
      <c r="I96" s="2608"/>
      <c r="J96" s="2608"/>
      <c r="K96" s="2608"/>
      <c r="L96" s="2608"/>
      <c r="M96" s="2608"/>
      <c r="N96" s="2608"/>
      <c r="O96" s="2608"/>
      <c r="P96" s="2608"/>
    </row>
    <row r="97" spans="2:17">
      <c r="C97" s="29"/>
      <c r="D97" s="1712"/>
      <c r="E97" s="1712"/>
      <c r="G97" s="2608"/>
      <c r="H97" s="2608"/>
      <c r="I97" s="2608"/>
      <c r="J97" s="2608"/>
      <c r="K97" s="2608"/>
      <c r="L97" s="2608"/>
      <c r="M97" s="2608"/>
      <c r="N97" s="2608"/>
      <c r="O97" s="2608"/>
      <c r="P97" s="2608"/>
    </row>
    <row r="98" spans="2:17">
      <c r="C98" s="29"/>
      <c r="D98" s="1712"/>
      <c r="E98" s="1712"/>
      <c r="G98" s="2608"/>
      <c r="H98" s="2608"/>
      <c r="I98" s="2608"/>
      <c r="J98" s="2608"/>
      <c r="K98" s="2608"/>
      <c r="L98" s="2608"/>
      <c r="M98" s="2608"/>
      <c r="N98" s="2608"/>
      <c r="O98" s="2608"/>
      <c r="P98" s="2608"/>
    </row>
    <row r="99" spans="2:17">
      <c r="B99" s="29"/>
      <c r="C99" s="29"/>
      <c r="D99" s="2608"/>
      <c r="E99" s="1712"/>
      <c r="G99" s="2608"/>
      <c r="H99" s="2608"/>
      <c r="I99" s="2608"/>
      <c r="J99" s="2608"/>
      <c r="K99" s="2608"/>
      <c r="L99" s="2608"/>
      <c r="M99" s="2608"/>
      <c r="N99" s="2608"/>
      <c r="O99" s="2608"/>
      <c r="P99" s="2608"/>
    </row>
    <row r="100" spans="2:17">
      <c r="B100" s="29"/>
      <c r="C100" s="29"/>
      <c r="D100" s="29"/>
      <c r="G100" s="2608"/>
      <c r="H100" s="2608"/>
      <c r="I100" s="2608"/>
      <c r="J100" s="2608"/>
      <c r="K100" s="2608"/>
      <c r="L100" s="2608"/>
      <c r="M100" s="2608"/>
      <c r="N100" s="2608"/>
      <c r="O100" s="2608"/>
      <c r="P100" s="2608"/>
    </row>
    <row r="101" spans="2:17">
      <c r="B101" s="29"/>
      <c r="C101" s="29"/>
      <c r="D101" s="29"/>
      <c r="G101" s="2608"/>
      <c r="H101" s="2608"/>
      <c r="I101" s="2608"/>
      <c r="J101" s="2608"/>
      <c r="K101" s="2608"/>
      <c r="L101" s="2608"/>
      <c r="M101" s="2608"/>
      <c r="N101" s="2608"/>
      <c r="O101" s="2608"/>
      <c r="P101" s="2608"/>
    </row>
    <row r="102" spans="2:17">
      <c r="B102" s="29"/>
      <c r="C102" s="29"/>
      <c r="D102" s="29"/>
      <c r="G102" s="2608"/>
      <c r="H102" s="2608"/>
      <c r="I102" s="2608"/>
      <c r="J102" s="2608"/>
      <c r="K102" s="2608"/>
      <c r="L102" s="2608"/>
      <c r="M102" s="2608"/>
      <c r="N102" s="2608"/>
      <c r="O102" s="2608"/>
      <c r="P102" s="2608"/>
    </row>
    <row r="103" spans="2:17">
      <c r="B103" s="29"/>
      <c r="C103" s="29"/>
      <c r="D103" s="29"/>
      <c r="G103" s="2608"/>
      <c r="H103" s="2608"/>
      <c r="I103" s="2608"/>
      <c r="J103" s="2608"/>
      <c r="K103" s="2608"/>
      <c r="L103" s="2608"/>
      <c r="M103" s="2608"/>
      <c r="N103" s="2608"/>
      <c r="O103" s="2608"/>
      <c r="P103" s="2608"/>
    </row>
    <row r="104" spans="2:17">
      <c r="B104" s="29"/>
      <c r="C104" s="29"/>
      <c r="D104" s="29"/>
      <c r="G104" s="2608"/>
      <c r="H104" s="2608"/>
      <c r="I104" s="2608"/>
      <c r="J104" s="2608"/>
      <c r="K104" s="2608"/>
      <c r="L104" s="2608"/>
      <c r="M104" s="2608"/>
      <c r="N104" s="2608"/>
      <c r="O104" s="2608"/>
      <c r="P104" s="2608"/>
    </row>
    <row r="105" spans="2:17">
      <c r="B105" s="29"/>
      <c r="C105" s="29"/>
      <c r="D105" s="29"/>
      <c r="G105" s="2608"/>
      <c r="H105" s="2608"/>
      <c r="I105" s="2608"/>
      <c r="J105" s="2608"/>
      <c r="K105" s="2608"/>
      <c r="L105" s="2608"/>
      <c r="M105" s="2608"/>
      <c r="N105" s="2608"/>
      <c r="O105" s="2608"/>
      <c r="P105" s="2608"/>
    </row>
    <row r="106" spans="2:17">
      <c r="B106" s="29"/>
      <c r="C106" s="29"/>
      <c r="D106" s="29"/>
      <c r="F106" s="2608"/>
      <c r="G106" s="2608"/>
      <c r="H106" s="2608"/>
      <c r="I106" s="2608"/>
      <c r="J106" s="2608"/>
      <c r="K106" s="2608"/>
      <c r="L106" s="2608"/>
      <c r="M106" s="2608"/>
      <c r="N106" s="2608"/>
      <c r="O106" s="2608"/>
      <c r="P106" s="2608"/>
    </row>
    <row r="107" spans="2:17">
      <c r="G107" s="2608"/>
      <c r="H107" s="2608"/>
      <c r="I107" s="2608"/>
      <c r="J107" s="2608"/>
      <c r="K107" s="2608"/>
      <c r="L107" s="2608"/>
      <c r="M107" s="2608"/>
      <c r="N107" s="2608"/>
      <c r="O107" s="2608"/>
      <c r="P107" s="2608"/>
    </row>
    <row r="108" spans="2:17">
      <c r="G108" s="2608"/>
      <c r="H108" s="2608"/>
      <c r="I108" s="2608"/>
      <c r="J108" s="2608"/>
      <c r="K108" s="2608"/>
      <c r="L108" s="2608"/>
      <c r="M108" s="2608"/>
      <c r="N108" s="2608"/>
      <c r="O108" s="2608"/>
      <c r="P108" s="2608"/>
      <c r="Q108" s="2608"/>
    </row>
    <row r="109" spans="2:17">
      <c r="G109" s="2608"/>
      <c r="H109" s="2608"/>
      <c r="I109" s="2608"/>
      <c r="J109" s="2608"/>
      <c r="K109" s="2608"/>
      <c r="L109" s="2608"/>
      <c r="M109" s="2608"/>
      <c r="N109" s="2608"/>
      <c r="O109" s="2608"/>
      <c r="P109" s="2608"/>
      <c r="Q109" s="2608"/>
    </row>
    <row r="110" spans="2:17">
      <c r="G110" s="2608"/>
      <c r="H110" s="2608"/>
      <c r="I110" s="2608"/>
      <c r="J110" s="2608"/>
      <c r="K110" s="2608"/>
      <c r="L110" s="2608"/>
      <c r="M110" s="2608"/>
      <c r="N110" s="2608"/>
      <c r="O110" s="2608"/>
      <c r="P110" s="2608"/>
      <c r="Q110" s="2608"/>
    </row>
    <row r="111" spans="2:17">
      <c r="G111" s="2608"/>
      <c r="H111" s="2608"/>
      <c r="I111" s="2608"/>
      <c r="J111" s="2608"/>
      <c r="K111" s="2608"/>
      <c r="L111" s="2608"/>
      <c r="M111" s="2608"/>
      <c r="N111" s="2608"/>
      <c r="O111" s="2608"/>
      <c r="P111" s="2608"/>
      <c r="Q111" s="2608"/>
    </row>
    <row r="112" spans="2:17">
      <c r="G112" s="2608"/>
      <c r="H112" s="2608"/>
      <c r="I112" s="2608"/>
      <c r="J112" s="2608"/>
      <c r="K112" s="2608"/>
      <c r="L112" s="2608"/>
      <c r="M112" s="2608"/>
      <c r="N112" s="2608"/>
      <c r="O112" s="2608"/>
      <c r="P112" s="2608"/>
      <c r="Q112" s="2608"/>
    </row>
    <row r="113" spans="2:17">
      <c r="G113" s="2608"/>
      <c r="H113" s="2608"/>
      <c r="I113" s="2608"/>
      <c r="J113" s="2608"/>
      <c r="K113" s="2608"/>
      <c r="L113" s="2608"/>
      <c r="M113" s="2608"/>
      <c r="N113" s="2608"/>
      <c r="O113" s="2608"/>
      <c r="P113" s="2608"/>
      <c r="Q113" s="2608"/>
    </row>
    <row r="114" spans="2:17">
      <c r="G114" s="2608"/>
      <c r="H114" s="2608"/>
      <c r="I114" s="2608"/>
      <c r="J114" s="2608"/>
      <c r="K114" s="2608"/>
      <c r="L114" s="2608"/>
      <c r="M114" s="2608"/>
      <c r="N114" s="2608"/>
      <c r="O114" s="2608"/>
      <c r="P114" s="2608"/>
      <c r="Q114" s="2608"/>
    </row>
    <row r="115" spans="2:17">
      <c r="G115" s="2608"/>
      <c r="H115" s="2608"/>
      <c r="I115" s="2608"/>
      <c r="J115" s="2608"/>
      <c r="K115" s="2608"/>
      <c r="L115" s="2608"/>
      <c r="M115" s="2608"/>
      <c r="N115" s="2608"/>
      <c r="O115" s="2608"/>
      <c r="P115" s="2608"/>
      <c r="Q115" s="2608"/>
    </row>
    <row r="116" spans="2:17">
      <c r="G116" s="2608"/>
      <c r="H116" s="2608"/>
      <c r="I116" s="2608"/>
      <c r="J116" s="2608"/>
      <c r="K116" s="2608"/>
      <c r="L116" s="2608"/>
      <c r="M116" s="2608"/>
      <c r="N116" s="2608"/>
      <c r="O116" s="2608"/>
      <c r="P116" s="2608"/>
      <c r="Q116" s="2608"/>
    </row>
    <row r="117" spans="2:17">
      <c r="L117" s="2608"/>
      <c r="M117" s="2608"/>
      <c r="N117" s="2608"/>
      <c r="O117" s="2608"/>
      <c r="P117" s="2608"/>
      <c r="Q117" s="2608"/>
    </row>
    <row r="118" spans="2:17">
      <c r="B118" s="440"/>
      <c r="C118" s="29"/>
      <c r="L118" s="2608"/>
      <c r="M118" s="2608"/>
      <c r="N118" s="2608"/>
      <c r="O118" s="2608"/>
      <c r="P118" s="2608"/>
      <c r="Q118" s="2608"/>
    </row>
    <row r="119" spans="2:17">
      <c r="B119" s="440"/>
      <c r="C119" s="29"/>
      <c r="L119" s="2608"/>
      <c r="M119" s="2608"/>
      <c r="N119" s="2608"/>
      <c r="O119" s="2608"/>
      <c r="P119" s="2608"/>
      <c r="Q119" s="2608"/>
    </row>
    <row r="120" spans="2:17">
      <c r="B120" s="440"/>
      <c r="C120" s="29"/>
      <c r="L120" s="2608"/>
      <c r="M120" s="2608"/>
      <c r="N120" s="2608"/>
      <c r="O120" s="2608"/>
      <c r="P120" s="2608"/>
      <c r="Q120" s="2608"/>
    </row>
    <row r="121" spans="2:17">
      <c r="B121" s="440"/>
      <c r="C121" s="29"/>
      <c r="L121" s="2608"/>
      <c r="M121" s="2608"/>
      <c r="N121" s="2608"/>
      <c r="O121" s="2608"/>
      <c r="P121" s="2608"/>
      <c r="Q121" s="2608"/>
    </row>
    <row r="122" spans="2:17">
      <c r="B122" s="440"/>
      <c r="C122" s="29"/>
      <c r="L122" s="2608"/>
      <c r="M122" s="2608"/>
      <c r="N122" s="2608"/>
      <c r="O122" s="2608"/>
      <c r="P122" s="2608"/>
      <c r="Q122" s="2608"/>
    </row>
    <row r="123" spans="2:17">
      <c r="B123" s="440"/>
      <c r="C123" s="29"/>
      <c r="L123" s="2608"/>
      <c r="M123" s="2608"/>
      <c r="N123" s="2608"/>
      <c r="O123" s="2608"/>
      <c r="P123" s="2608"/>
      <c r="Q123" s="2608"/>
    </row>
    <row r="124" spans="2:17">
      <c r="B124" s="440"/>
      <c r="C124" s="29"/>
      <c r="L124" s="2608"/>
      <c r="M124" s="2608"/>
      <c r="N124" s="2608"/>
      <c r="O124" s="2608"/>
      <c r="P124" s="2608"/>
      <c r="Q124" s="2608"/>
    </row>
    <row r="125" spans="2:17">
      <c r="B125" s="440"/>
      <c r="C125" s="29"/>
      <c r="L125" s="2608"/>
      <c r="M125" s="2608"/>
      <c r="N125" s="2608"/>
      <c r="O125" s="2608"/>
      <c r="P125" s="2608"/>
      <c r="Q125" s="2608"/>
    </row>
    <row r="126" spans="2:17">
      <c r="B126" s="440"/>
      <c r="C126" s="29"/>
      <c r="L126" s="2608"/>
      <c r="M126" s="2608"/>
      <c r="N126" s="2608"/>
      <c r="O126" s="2608"/>
      <c r="P126" s="2608"/>
      <c r="Q126" s="2608"/>
    </row>
    <row r="127" spans="2:17">
      <c r="B127" s="440"/>
      <c r="C127" s="29"/>
      <c r="L127" s="2608"/>
      <c r="M127" s="2608"/>
      <c r="N127" s="2608"/>
      <c r="O127" s="2608"/>
      <c r="P127" s="2608"/>
      <c r="Q127" s="2608"/>
    </row>
    <row r="128" spans="2:17">
      <c r="B128" s="440"/>
      <c r="C128" s="29"/>
      <c r="L128" s="2608"/>
      <c r="M128" s="2608"/>
      <c r="N128" s="2608"/>
      <c r="O128" s="2608"/>
      <c r="P128" s="2608"/>
      <c r="Q128" s="2608"/>
    </row>
    <row r="129" spans="2:17">
      <c r="B129" s="440"/>
      <c r="C129" s="29"/>
      <c r="L129" s="2608"/>
      <c r="M129" s="2608"/>
      <c r="N129" s="2608"/>
      <c r="O129" s="2608"/>
      <c r="P129" s="2608"/>
      <c r="Q129" s="2608"/>
    </row>
    <row r="130" spans="2:17">
      <c r="B130" s="440"/>
      <c r="C130" s="29"/>
      <c r="L130" s="2608"/>
      <c r="M130" s="2608"/>
      <c r="N130" s="2608"/>
      <c r="O130" s="2608"/>
      <c r="P130" s="2608"/>
      <c r="Q130" s="2608"/>
    </row>
    <row r="131" spans="2:17">
      <c r="B131" s="440"/>
      <c r="C131" s="29"/>
      <c r="L131" s="2608"/>
      <c r="M131" s="2608"/>
      <c r="N131" s="2608"/>
      <c r="O131" s="2608"/>
      <c r="P131" s="2608"/>
      <c r="Q131" s="2608"/>
    </row>
    <row r="132" spans="2:17">
      <c r="B132" s="440"/>
      <c r="C132" s="29"/>
      <c r="L132" s="2608"/>
      <c r="M132" s="2608"/>
      <c r="N132" s="2608"/>
      <c r="O132" s="2608"/>
      <c r="P132" s="2608"/>
      <c r="Q132" s="2608"/>
    </row>
    <row r="133" spans="2:17">
      <c r="B133" s="440"/>
      <c r="C133" s="29"/>
      <c r="L133" s="2608"/>
      <c r="M133" s="2608"/>
      <c r="N133" s="2608"/>
      <c r="O133" s="2608"/>
      <c r="P133" s="2608"/>
      <c r="Q133" s="2608"/>
    </row>
    <row r="134" spans="2:17">
      <c r="B134" s="440"/>
      <c r="C134" s="29"/>
      <c r="L134" s="2608"/>
      <c r="M134" s="2608"/>
      <c r="N134" s="2608"/>
      <c r="O134" s="2608"/>
      <c r="P134" s="2608"/>
      <c r="Q134" s="2608"/>
    </row>
    <row r="135" spans="2:17">
      <c r="B135" s="440"/>
      <c r="C135" s="29"/>
      <c r="L135" s="2608"/>
      <c r="M135" s="2608"/>
      <c r="N135" s="2608"/>
      <c r="O135" s="2608"/>
      <c r="P135" s="2608"/>
      <c r="Q135" s="2608"/>
    </row>
    <row r="136" spans="2:17">
      <c r="B136" s="440"/>
      <c r="C136" s="29"/>
      <c r="L136" s="2608"/>
      <c r="M136" s="2608"/>
      <c r="N136" s="2608"/>
      <c r="O136" s="2608"/>
      <c r="P136" s="2608"/>
      <c r="Q136" s="2608"/>
    </row>
    <row r="137" spans="2:17">
      <c r="B137" s="440"/>
      <c r="C137" s="29"/>
      <c r="L137" s="2608"/>
      <c r="M137" s="2608"/>
      <c r="N137" s="2608"/>
      <c r="O137" s="2608"/>
      <c r="P137" s="2608"/>
      <c r="Q137" s="2608"/>
    </row>
    <row r="138" spans="2:17">
      <c r="B138" s="440"/>
      <c r="C138" s="29"/>
      <c r="L138" s="2608"/>
      <c r="M138" s="2608"/>
      <c r="N138" s="2608"/>
      <c r="O138" s="2608"/>
      <c r="P138" s="2608"/>
      <c r="Q138" s="2608"/>
    </row>
    <row r="139" spans="2:17">
      <c r="B139" s="440"/>
      <c r="C139" s="29"/>
      <c r="L139" s="2608"/>
      <c r="M139" s="2608"/>
      <c r="N139" s="2608"/>
      <c r="O139" s="2608"/>
      <c r="P139" s="2608"/>
      <c r="Q139" s="2608"/>
    </row>
    <row r="140" spans="2:17">
      <c r="B140" s="440"/>
      <c r="C140" s="29"/>
      <c r="L140" s="2608"/>
      <c r="M140" s="2608"/>
      <c r="N140" s="2608"/>
      <c r="O140" s="2608"/>
      <c r="P140" s="2608"/>
      <c r="Q140" s="2608"/>
    </row>
    <row r="141" spans="2:17">
      <c r="B141" s="440"/>
      <c r="C141" s="29"/>
      <c r="L141" s="2608"/>
      <c r="M141" s="2608"/>
      <c r="N141" s="2608"/>
      <c r="O141" s="2608"/>
      <c r="P141" s="2608"/>
      <c r="Q141" s="2608"/>
    </row>
    <row r="142" spans="2:17">
      <c r="B142" s="440"/>
      <c r="C142" s="29"/>
      <c r="L142" s="2608"/>
      <c r="M142" s="2608"/>
      <c r="N142" s="2608"/>
      <c r="O142" s="2608"/>
      <c r="P142" s="2608"/>
      <c r="Q142" s="2608"/>
    </row>
    <row r="143" spans="2:17">
      <c r="B143" s="440"/>
      <c r="C143" s="29"/>
      <c r="L143" s="2608"/>
      <c r="M143" s="2608"/>
      <c r="N143" s="2608"/>
      <c r="O143" s="2608"/>
      <c r="P143" s="2608"/>
      <c r="Q143" s="2608"/>
    </row>
    <row r="144" spans="2:17">
      <c r="B144" s="440"/>
      <c r="C144" s="29"/>
      <c r="L144" s="2608"/>
      <c r="M144" s="2608"/>
      <c r="N144" s="2608"/>
      <c r="O144" s="2608"/>
      <c r="P144" s="2608"/>
      <c r="Q144" s="2608"/>
    </row>
    <row r="145" spans="2:12">
      <c r="B145" s="440"/>
      <c r="C145" s="29"/>
      <c r="L145" s="29"/>
    </row>
    <row r="146" spans="2:12">
      <c r="B146" s="440"/>
      <c r="C146" s="29"/>
      <c r="L146" s="29"/>
    </row>
    <row r="147" spans="2:12">
      <c r="B147" s="440"/>
      <c r="C147" s="29"/>
    </row>
    <row r="148" spans="2:12">
      <c r="B148" s="440"/>
      <c r="C148" s="29"/>
    </row>
    <row r="149" spans="2:12">
      <c r="B149" s="440"/>
      <c r="C149" s="29"/>
    </row>
    <row r="150" spans="2:12">
      <c r="B150" s="440"/>
      <c r="C150" s="29"/>
    </row>
    <row r="151" spans="2:12">
      <c r="B151" s="440"/>
      <c r="C151" s="29"/>
      <c r="H151" s="1354"/>
      <c r="J151" s="1563"/>
    </row>
    <row r="152" spans="2:12">
      <c r="B152" s="440"/>
      <c r="C152" s="29"/>
      <c r="H152" s="1354"/>
      <c r="J152" s="1563"/>
    </row>
    <row r="153" spans="2:12">
      <c r="B153" s="440"/>
      <c r="C153" s="29"/>
      <c r="H153" s="1354"/>
      <c r="J153" s="1563"/>
    </row>
    <row r="154" spans="2:12">
      <c r="B154" s="440"/>
      <c r="C154" s="29"/>
      <c r="D154" s="29"/>
      <c r="F154" s="29"/>
      <c r="G154" s="29"/>
      <c r="H154" s="29"/>
      <c r="I154" s="29"/>
      <c r="J154" s="29"/>
      <c r="K154" s="29"/>
    </row>
    <row r="155" spans="2:12">
      <c r="B155" s="440"/>
      <c r="C155" s="29"/>
      <c r="D155" s="29"/>
      <c r="F155" s="29"/>
      <c r="G155" s="29"/>
      <c r="H155" s="29"/>
      <c r="I155" s="29"/>
      <c r="J155" s="29"/>
      <c r="K155" s="29"/>
    </row>
    <row r="156" spans="2:12">
      <c r="B156" s="440"/>
      <c r="C156" s="29"/>
      <c r="D156" s="29"/>
      <c r="F156" s="29"/>
      <c r="G156" s="29"/>
      <c r="H156" s="29"/>
      <c r="I156" s="29"/>
      <c r="J156" s="29"/>
      <c r="K156" s="29"/>
    </row>
    <row r="157" spans="2:12">
      <c r="B157" s="440"/>
      <c r="C157" s="29"/>
      <c r="H157" s="1354"/>
      <c r="J157" s="1563"/>
    </row>
    <row r="158" spans="2:12">
      <c r="B158" s="440"/>
      <c r="C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heet="1" selectLockedCells="1"/>
  <customSheetViews>
    <customSheetView guid="{8063F48F-80B5-4ECD-B18A-51CBF126E780}" fitToPage="1" printArea="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54" orientation="portrait" r:id="rId1"/>
      <headerFooter alignWithMargins="0">
        <oddFooter>&amp;L&amp;11LEL Schwäbisch Gmünd&amp;C38&amp;R&amp;11&amp;F</oddFooter>
      </headerFooter>
    </customSheetView>
    <customSheetView guid="{5D5C9B61-9ABD-4513-AAEB-8333A9D6196C}"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54" orientation="portrait" r:id="rId2"/>
      <headerFooter alignWithMargins="0">
        <oddFooter>&amp;L&amp;11LEL Schwäbisch Gmünd&amp;C38&amp;R&amp;11&amp;F</oddFooter>
      </headerFooter>
    </customSheetView>
    <customSheetView guid="{22A73C4F-9004-4CEF-8499-B1F91BE1B569}"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54" orientation="portrait" r:id="rId3"/>
      <headerFooter alignWithMargins="0">
        <oddFooter>&amp;L&amp;11LEL Schwäbisch Gmünd&amp;C38&amp;R&amp;11&amp;F</oddFooter>
      </headerFooter>
    </customSheetView>
  </customSheetViews>
  <mergeCells count="50">
    <mergeCell ref="C73:E73"/>
    <mergeCell ref="C74:E74"/>
    <mergeCell ref="B75:C75"/>
    <mergeCell ref="C62:E62"/>
    <mergeCell ref="C63:E63"/>
    <mergeCell ref="C68:E68"/>
    <mergeCell ref="C64:E64"/>
    <mergeCell ref="K1:L1"/>
    <mergeCell ref="N1:O1"/>
    <mergeCell ref="C41:E41"/>
    <mergeCell ref="H6:I6"/>
    <mergeCell ref="C37:E37"/>
    <mergeCell ref="E4:I4"/>
    <mergeCell ref="C38:E38"/>
    <mergeCell ref="C39:E39"/>
    <mergeCell ref="K2:P2"/>
    <mergeCell ref="C14:F14"/>
    <mergeCell ref="C36:E36"/>
    <mergeCell ref="F34:G34"/>
    <mergeCell ref="E22:G22"/>
    <mergeCell ref="C40:E40"/>
    <mergeCell ref="C15:F15"/>
    <mergeCell ref="C16:F16"/>
    <mergeCell ref="C17:F17"/>
    <mergeCell ref="C19:F19"/>
    <mergeCell ref="F23:G23"/>
    <mergeCell ref="W3:Y3"/>
    <mergeCell ref="W4:Y4"/>
    <mergeCell ref="E10:F10"/>
    <mergeCell ref="N6:O6"/>
    <mergeCell ref="K6:L6"/>
    <mergeCell ref="N3:O4"/>
    <mergeCell ref="C21:F21"/>
    <mergeCell ref="C20:F20"/>
    <mergeCell ref="B3:H3"/>
    <mergeCell ref="D25:E25"/>
    <mergeCell ref="D26:E26"/>
    <mergeCell ref="C42:E42"/>
    <mergeCell ref="C57:D57"/>
    <mergeCell ref="C47:D47"/>
    <mergeCell ref="C48:D48"/>
    <mergeCell ref="C49:D49"/>
    <mergeCell ref="C50:D50"/>
    <mergeCell ref="C55:D55"/>
    <mergeCell ref="C46:D46"/>
    <mergeCell ref="C53:D53"/>
    <mergeCell ref="C51:D51"/>
    <mergeCell ref="C56:D56"/>
    <mergeCell ref="C54:D54"/>
    <mergeCell ref="C52:D52"/>
  </mergeCells>
  <dataValidations count="5">
    <dataValidation type="whole" allowBlank="1" showInputMessage="1" showErrorMessage="1" errorTitle="Anteil Erntegut" error="Prozentwert darf nur zwischen 0 und 100 liegen." sqref="O68 L68 I68" xr:uid="{00000000-0002-0000-4A00-000000000000}">
      <formula1>0</formula1>
      <formula2>100</formula2>
    </dataValidation>
    <dataValidation type="decimal" allowBlank="1" showInputMessage="1" showErrorMessage="1" errorTitle="Wassergehalt Getreide" error="Zulässig sind nur Werte zwischen 15,1 und 29,9 % Wassergehalt." sqref="H68 K68 N68" xr:uid="{00000000-0002-0000-4A00-000001000000}">
      <formula1>15.1</formula1>
      <formula2>29.9</formula2>
    </dataValidation>
    <dataValidation type="list" showInputMessage="1" showErrorMessage="1" sqref="H14 K14 N14" xr:uid="{00000000-0002-0000-4A00-000002000000}">
      <formula1>"ja,nein"</formula1>
    </dataValidation>
    <dataValidation type="list" allowBlank="1" showInputMessage="1" showErrorMessage="1" sqref="H15:H17 K15:K17 N15:N17" xr:uid="{00000000-0002-0000-4A00-000003000000}">
      <formula1>"ja,nein"</formula1>
    </dataValidation>
    <dataValidation type="list" allowBlank="1" showInputMessage="1" showErrorMessage="1" sqref="D19:F19" xr:uid="{00000000-0002-0000-4A00-000004000000}">
      <formula1>$C$60:$C$75</formula1>
    </dataValidation>
  </dataValidations>
  <hyperlinks>
    <hyperlink ref="F9" location="SDÖ1!A1" display="Preis ändern" xr:uid="{00000000-0004-0000-4A00-000000000000}"/>
  </hyperlinks>
  <printOptions horizontalCentered="1"/>
  <pageMargins left="0.59055118110236227" right="0.57999999999999996" top="0.59055118110236227" bottom="0.59055118110236227" header="0.39370078740157483" footer="0.39370078740157483"/>
  <pageSetup paperSize="9" scale="70" firstPageNumber="54" orientation="portrait" r:id="rId4"/>
  <headerFooter alignWithMargins="0">
    <oddFooter>&amp;L&amp;11LEL Schwäbisch Gmünd&amp;C38&amp;R&amp;11&amp;F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A00-000005000000}">
          <x14:formula1>
            <xm:f>'SD2'!$C$11:$C$50</xm:f>
          </x14:formula1>
          <xm:sqref>C14:F17</xm:sqref>
        </x14:dataValidation>
        <x14:dataValidation type="list" allowBlank="1" showInputMessage="1" showErrorMessage="1" xr:uid="{00000000-0002-0000-4A00-000006000000}">
          <x14:formula1>
            <xm:f>'SD2'!$C$60:$C$77</xm:f>
          </x14:formula1>
          <xm:sqref>C19:C21</xm:sqref>
        </x14:dataValidation>
        <x14:dataValidation type="list" allowBlank="1" showInputMessage="1" showErrorMessage="1" errorTitle="Arbeitsgänge" error="Bitte aus Dropdownliste auswählen." xr:uid="{00000000-0002-0000-4A00-000007000000}">
          <x14:formula1>
            <xm:f>'SD3'!$C$23:$C$75</xm:f>
          </x14:formula1>
          <xm:sqref>C46:D57</xm:sqref>
        </x14:dataValidation>
        <x14:dataValidation type="list" allowBlank="1" showInputMessage="1" showErrorMessage="1" xr:uid="{00000000-0002-0000-4A00-000008000000}">
          <x14:formula1>
            <xm:f>SDÖ5!$C$5:$C$16</xm:f>
          </x14:formula1>
          <xm:sqref>C36:E42</xm:sqref>
        </x14:dataValidation>
        <x14:dataValidation type="list" allowBlank="1" showInputMessage="1" showErrorMessage="1" errorTitle="Lohnmaschinen" error="Bitte aus Dropdownliste auswählen." xr:uid="{00000000-0002-0000-4A00-000009000000}">
          <x14:formula1>
            <xm:f>'SD3'!$C$90:$C$104</xm:f>
          </x14:formula1>
          <xm:sqref>C62:E64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Tabelle89">
    <tabColor rgb="FF00B050"/>
    <pageSetUpPr fitToPage="1"/>
  </sheetPr>
  <dimension ref="A1:AO206"/>
  <sheetViews>
    <sheetView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25.59765625" style="28" hidden="1" customWidth="1"/>
    <col min="18" max="26" width="10.5" style="27" hidden="1" customWidth="1"/>
    <col min="27" max="30" width="10.5" style="27" customWidth="1"/>
    <col min="31" max="16384" width="10.5" style="27"/>
  </cols>
  <sheetData>
    <row r="1" spans="1:41" s="219" customFormat="1" ht="30.15" customHeight="1">
      <c r="A1" s="1681"/>
      <c r="B1" s="258"/>
      <c r="C1" s="1333"/>
      <c r="D1" s="100"/>
      <c r="E1" s="255"/>
      <c r="F1" s="255"/>
      <c r="G1" s="3207"/>
      <c r="H1" s="3207"/>
      <c r="I1" s="3208" t="s">
        <v>1679</v>
      </c>
      <c r="J1" s="3210">
        <f>(J7+J13+J18+J22+I11+I12)-(J23+J27+J34+J43+J60+J65+J67+J69+J71+J75)</f>
        <v>995.40993657122203</v>
      </c>
      <c r="K1" s="4360">
        <f>M1-J1</f>
        <v>352.56995280322212</v>
      </c>
      <c r="L1" s="4360"/>
      <c r="M1" s="3210">
        <f>(M7+M13+M18+M22+L11+L12)-(M23+M27+M34+M43+M60+M65+M67+M69+M71+M75)</f>
        <v>1347.9798893744442</v>
      </c>
      <c r="N1" s="4360">
        <f>P1-M1</f>
        <v>318.32503000230554</v>
      </c>
      <c r="O1" s="4360"/>
      <c r="P1" s="3210">
        <f>(P7+P13+P18+P22+O11+O12)-(P23+P27+P34+P43+P60+P65+P67+P69+P71+P75)</f>
        <v>1666.3049193767497</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1396</v>
      </c>
      <c r="L2" s="4372"/>
      <c r="M2" s="4372"/>
      <c r="N2" s="4372"/>
      <c r="O2" s="4372"/>
      <c r="P2" s="4372"/>
      <c r="Q2" s="1681"/>
    </row>
    <row r="3" spans="1:41" s="219" customFormat="1" ht="32.4" customHeight="1">
      <c r="A3" s="1681"/>
      <c r="B3" s="4405" t="s">
        <v>1727</v>
      </c>
      <c r="C3" s="4405"/>
      <c r="D3" s="4405"/>
      <c r="E3" s="4405"/>
      <c r="F3" s="4405"/>
      <c r="G3" s="4405"/>
      <c r="H3" s="4405"/>
      <c r="N3" s="4444"/>
      <c r="O3" s="4374"/>
      <c r="P3" s="1326"/>
      <c r="Q3" s="1681"/>
      <c r="T3" s="1343" t="b">
        <v>0</v>
      </c>
      <c r="W3" s="4368" t="s">
        <v>886</v>
      </c>
      <c r="X3" s="4447"/>
      <c r="Y3" s="4447"/>
      <c r="Z3" s="1327"/>
    </row>
    <row r="4" spans="1:41" s="219" customFormat="1" ht="20.25" customHeight="1">
      <c r="A4" s="1681"/>
      <c r="B4" s="309" t="s">
        <v>779</v>
      </c>
      <c r="C4" s="27"/>
      <c r="D4" s="27"/>
      <c r="E4" s="4406" t="s">
        <v>890</v>
      </c>
      <c r="F4" s="4406"/>
      <c r="G4" s="4406"/>
      <c r="H4" s="4406"/>
      <c r="I4" s="4406"/>
      <c r="N4" s="4374"/>
      <c r="O4" s="4374"/>
      <c r="P4" s="1322">
        <f>SDÖ1!O3</f>
        <v>2024</v>
      </c>
      <c r="Q4" s="1681"/>
      <c r="T4" s="1343"/>
      <c r="W4" s="4368" t="s">
        <v>875</v>
      </c>
      <c r="X4" s="4447"/>
      <c r="Y4" s="4447"/>
      <c r="Z4" s="1696"/>
    </row>
    <row r="5" spans="1:41" ht="6" customHeight="1"/>
    <row r="6" spans="1:41" s="1311" customFormat="1" ht="24" customHeight="1">
      <c r="A6" s="41"/>
      <c r="B6" s="1316" t="s">
        <v>832</v>
      </c>
      <c r="C6" s="1315"/>
      <c r="D6" s="1315"/>
      <c r="E6" s="1315"/>
      <c r="F6" s="1315"/>
      <c r="G6" s="1314" t="s">
        <v>1141</v>
      </c>
      <c r="H6" s="4366" t="s">
        <v>171</v>
      </c>
      <c r="I6" s="4367"/>
      <c r="J6" s="1313">
        <v>20</v>
      </c>
      <c r="K6" s="4379" t="s">
        <v>144</v>
      </c>
      <c r="L6" s="4380"/>
      <c r="M6" s="1313">
        <v>25</v>
      </c>
      <c r="N6" s="4366" t="s">
        <v>170</v>
      </c>
      <c r="O6" s="4367"/>
      <c r="P6" s="1312">
        <v>30</v>
      </c>
      <c r="Q6" s="49"/>
    </row>
    <row r="7" spans="1:41" s="196" customFormat="1" ht="18.75" customHeight="1">
      <c r="A7" s="40"/>
      <c r="B7" s="245" t="s">
        <v>1133</v>
      </c>
      <c r="C7" s="40"/>
      <c r="D7" s="40"/>
      <c r="E7" s="40"/>
      <c r="F7" s="40"/>
      <c r="G7" s="1310" t="s">
        <v>163</v>
      </c>
      <c r="H7" s="1307"/>
      <c r="I7" s="1306"/>
      <c r="J7" s="1041">
        <f>SUM(I9:I10)</f>
        <v>1573.4</v>
      </c>
      <c r="K7" s="1309"/>
      <c r="L7" s="1308"/>
      <c r="M7" s="1044">
        <f>SUM(L9:L10)</f>
        <v>1966.75</v>
      </c>
      <c r="N7" s="1307"/>
      <c r="O7" s="1306"/>
      <c r="P7" s="1041">
        <f>SUM(O9:O10)</f>
        <v>2360.1</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2" customHeight="1">
      <c r="A9" s="40"/>
      <c r="B9" s="245"/>
      <c r="C9" s="39" t="s">
        <v>1132</v>
      </c>
      <c r="D9" s="40"/>
      <c r="E9" s="40"/>
      <c r="F9" s="1304" t="s">
        <v>882</v>
      </c>
      <c r="G9" s="1221">
        <f>SDÖ1!O31</f>
        <v>78.67</v>
      </c>
      <c r="H9" s="1303">
        <f>J6-H10</f>
        <v>20</v>
      </c>
      <c r="I9" s="1299">
        <f>H9*G9</f>
        <v>1573.4</v>
      </c>
      <c r="J9" s="37"/>
      <c r="K9" s="1302">
        <f>M6-K10</f>
        <v>25</v>
      </c>
      <c r="L9" s="1301">
        <f>K9*G9</f>
        <v>1966.75</v>
      </c>
      <c r="M9" s="1280"/>
      <c r="N9" s="1300">
        <f>P6-N10</f>
        <v>30</v>
      </c>
      <c r="O9" s="1299">
        <f>N9*G9</f>
        <v>2360.1</v>
      </c>
      <c r="P9" s="37"/>
      <c r="Q9" s="28"/>
      <c r="R9" s="517"/>
      <c r="S9" s="208" t="s">
        <v>887</v>
      </c>
      <c r="T9" s="1298"/>
    </row>
    <row r="10" spans="1:41" s="1268" customFormat="1" ht="17.399999999999999"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6.2" customHeight="1">
      <c r="A11" s="309"/>
      <c r="B11" s="217"/>
      <c r="C11" s="39" t="s">
        <v>878</v>
      </c>
      <c r="D11" s="309"/>
      <c r="E11" s="1286"/>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37"/>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t="str">
        <f>IF(OR(T3=TRUE,T4=TRUE),J6*$E$11,"0")</f>
        <v>0</v>
      </c>
      <c r="Y12" s="1265" t="str">
        <f>IF(OR(T3=TRUE,T4=TRUE),M6*$E$11,"0")</f>
        <v>0</v>
      </c>
      <c r="Z12" s="1264" t="str">
        <f>IF(OR(T3=TRUE,T4=TRUE),P6*$E$11,"0")</f>
        <v>0</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X13" s="1264" t="str">
        <f>IF(OR(T4=TRUE,T5=TRUE),J7*$E$11,"0")</f>
        <v>0</v>
      </c>
      <c r="Y13" s="1265" t="str">
        <f>IF(OR(T4=TRUE,T5=TRUE),M7*$E$11,"0")</f>
        <v>0</v>
      </c>
      <c r="Z13" s="1264" t="str">
        <f>IF(OR(T4=TRUE,T5=TRUE),P7*$E$11,"0")</f>
        <v>0</v>
      </c>
    </row>
    <row r="14" spans="1:41" s="36" customFormat="1" ht="15" customHeight="1">
      <c r="A14" s="39"/>
      <c r="B14" s="1247"/>
      <c r="C14" s="4365" t="s">
        <v>1511</v>
      </c>
      <c r="D14" s="4365"/>
      <c r="E14" s="4365"/>
      <c r="F14" s="4365"/>
      <c r="G14" s="1263"/>
      <c r="H14" s="1391" t="s">
        <v>919</v>
      </c>
      <c r="I14" s="2827">
        <f>IF(H14="ja",Q14,0)</f>
        <v>240</v>
      </c>
      <c r="J14" s="39"/>
      <c r="K14" s="1262" t="s">
        <v>919</v>
      </c>
      <c r="L14" s="1098">
        <f>IF(K14="ja",Q14,0)</f>
        <v>240</v>
      </c>
      <c r="M14" s="1016"/>
      <c r="N14" s="1262" t="s">
        <v>919</v>
      </c>
      <c r="O14" s="2827">
        <f>IF(N14="ja",Q14,0)</f>
        <v>240</v>
      </c>
      <c r="P14" s="2826"/>
      <c r="Q14" s="1261">
        <f>IF(C14=0,0,VLOOKUP(C14,'SD2'!$C$11:$O$50,'SD2'!$O$1,FALSE))</f>
        <v>240</v>
      </c>
      <c r="R14" s="1350"/>
      <c r="S14" s="1349"/>
      <c r="T14" s="1348"/>
      <c r="W14" s="36" t="s">
        <v>236</v>
      </c>
      <c r="X14" s="1260">
        <f>$X$12*F31</f>
        <v>0</v>
      </c>
      <c r="Y14" s="1260">
        <f>$Y$12*F31</f>
        <v>0</v>
      </c>
      <c r="Z14" s="1260">
        <f>$Z$12*F31</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347"/>
      <c r="S15" s="1343"/>
      <c r="T15" s="1346"/>
      <c r="W15" s="36" t="s">
        <v>685</v>
      </c>
      <c r="X15" s="1260">
        <f>$X$12*F32</f>
        <v>0</v>
      </c>
      <c r="Y15" s="1260">
        <f>$Y$12*F32</f>
        <v>0</v>
      </c>
      <c r="Z15" s="1260">
        <f>$Z$12*F32</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347"/>
      <c r="S16" s="1343"/>
      <c r="T16" s="1346"/>
      <c r="W16" s="36" t="s">
        <v>684</v>
      </c>
      <c r="X16" s="1260">
        <f>$X$12*F33</f>
        <v>0</v>
      </c>
      <c r="Y16" s="1260">
        <f>$Y$12*F33</f>
        <v>0</v>
      </c>
      <c r="Z16" s="1260">
        <f>$Z$12*F33</f>
        <v>0</v>
      </c>
    </row>
    <row r="17" spans="1:26" s="511" customFormat="1" ht="15" customHeight="1">
      <c r="A17" s="40"/>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W17" s="36" t="s">
        <v>230</v>
      </c>
      <c r="X17" s="1260">
        <f>$X$12*F34</f>
        <v>0</v>
      </c>
      <c r="Y17" s="1260">
        <f>$Y$12*F34</f>
        <v>0</v>
      </c>
      <c r="Z17" s="1260">
        <f>$Z$12*F34</f>
        <v>0</v>
      </c>
    </row>
    <row r="18" spans="1:26" s="36" customFormat="1" ht="18.75" customHeight="1">
      <c r="A18" s="39"/>
      <c r="B18" s="209" t="s">
        <v>1563</v>
      </c>
      <c r="C18" s="1672"/>
      <c r="D18" s="1672"/>
      <c r="E18" s="1672"/>
      <c r="F18" s="1672"/>
      <c r="G18" s="2464"/>
      <c r="H18" s="2249"/>
      <c r="I18" s="3474"/>
      <c r="J18" s="1041">
        <f>SUM(I19:I21)</f>
        <v>177</v>
      </c>
      <c r="K18" s="2250"/>
      <c r="L18" s="2466"/>
      <c r="M18" s="1044">
        <f>SUM(L19:L21)</f>
        <v>177</v>
      </c>
      <c r="N18" s="2249"/>
      <c r="O18" s="3474"/>
      <c r="P18" s="1111">
        <f>SUM(O19:O21)</f>
        <v>177</v>
      </c>
      <c r="Q18" s="28"/>
      <c r="R18" s="514" t="s">
        <v>870</v>
      </c>
      <c r="S18" s="308"/>
      <c r="T18" s="1248"/>
    </row>
    <row r="19" spans="1:26" ht="15.6" customHeight="1">
      <c r="A19" s="309"/>
      <c r="B19" s="1247"/>
      <c r="C19" s="4365" t="s">
        <v>1560</v>
      </c>
      <c r="D19" s="4365"/>
      <c r="E19" s="4365"/>
      <c r="F19" s="4365"/>
      <c r="G19" s="1246" t="s">
        <v>163</v>
      </c>
      <c r="H19" s="1244"/>
      <c r="I19" s="2827">
        <f>IF(OR($C19=0,$J$6=0),0,VLOOKUP($C19,'SD2'!C60:O78,12,FALSE))</f>
        <v>155</v>
      </c>
      <c r="J19" s="39"/>
      <c r="K19" s="1245"/>
      <c r="L19" s="1098">
        <f>IF(OR($C19=0,$M$6=0),0,VLOOKUP($C19,'SD2'!$C$60:$O$78,12,FALSE))</f>
        <v>155</v>
      </c>
      <c r="M19" s="1016"/>
      <c r="N19" s="1244"/>
      <c r="O19" s="2827">
        <f>IF(OR($C19=0,$P$6=0),0,VLOOKUP($C19,'SD2'!C60:O78,12,FALSE))</f>
        <v>155</v>
      </c>
      <c r="P19" s="2826"/>
      <c r="R19" s="1242">
        <f>J13+J18</f>
        <v>417</v>
      </c>
      <c r="S19" s="1242">
        <f>M13+M18</f>
        <v>417</v>
      </c>
      <c r="T19" s="1242">
        <f>P13+P18</f>
        <v>417</v>
      </c>
    </row>
    <row r="20" spans="1:26" s="2894" customFormat="1" ht="15.6" customHeight="1">
      <c r="A20" s="2788"/>
      <c r="B20" s="1247"/>
      <c r="C20" s="4365" t="s">
        <v>1675</v>
      </c>
      <c r="D20" s="4365"/>
      <c r="E20" s="4365"/>
      <c r="F20" s="4365"/>
      <c r="G20" s="2914"/>
      <c r="H20" s="1244"/>
      <c r="I20" s="2827">
        <f>IF(OR($C20=0,$J$6=0),0,VLOOKUP($C20,'SD2'!C61:O79,12,FALSE))</f>
        <v>22</v>
      </c>
      <c r="J20" s="2783"/>
      <c r="K20" s="1245"/>
      <c r="L20" s="2829">
        <f>IF(OR($C20=0,$M$6=0),0,VLOOKUP($C20,'SD2'!$C$60:$O$78,12,FALSE))</f>
        <v>22</v>
      </c>
      <c r="M20" s="2795"/>
      <c r="N20" s="1244"/>
      <c r="O20" s="2827">
        <f>IF(OR($C20=0,$P$6=0),0,VLOOKUP($C20,'SD2'!C61:O79,12,FALSE))</f>
        <v>22</v>
      </c>
      <c r="P20" s="2826"/>
      <c r="Q20" s="2895"/>
      <c r="R20" s="2888"/>
      <c r="S20" s="2888"/>
      <c r="T20" s="2888"/>
    </row>
    <row r="21" spans="1:26" s="2894" customFormat="1" ht="15.6" customHeight="1">
      <c r="A21" s="2788"/>
      <c r="B21" s="1247"/>
      <c r="C21" s="4365"/>
      <c r="D21" s="4365"/>
      <c r="E21" s="4365"/>
      <c r="F21" s="4365"/>
      <c r="G21" s="2914"/>
      <c r="H21" s="1244"/>
      <c r="I21" s="2827">
        <f>IF(OR($C21=0,$J$6=0),0,VLOOKUP($C21,'SD2'!C62:O79,12,FALSE))</f>
        <v>0</v>
      </c>
      <c r="J21" s="2783"/>
      <c r="K21" s="1245"/>
      <c r="L21" s="2829">
        <f>IF(OR($C21=0,$M$6=0),0,VLOOKUP($C21,'SD2'!$C$60:$O$78,12,FALSE))</f>
        <v>0</v>
      </c>
      <c r="M21" s="2795"/>
      <c r="N21" s="1244"/>
      <c r="O21" s="2827">
        <f>IF(OR($C21=0,$P$6=0),0,VLOOKUP($C21,'SD2'!C62:O79,12,FALSE))</f>
        <v>0</v>
      </c>
      <c r="P21" s="2826"/>
      <c r="Q21" s="2895"/>
      <c r="R21" s="2888"/>
      <c r="S21" s="2888"/>
      <c r="T21" s="2888"/>
    </row>
    <row r="22" spans="1:26" ht="15.6" customHeight="1">
      <c r="A22" s="309"/>
      <c r="B22" s="245" t="s">
        <v>869</v>
      </c>
      <c r="C22" s="39"/>
      <c r="D22" s="1234"/>
      <c r="E22" s="4370" t="s">
        <v>868</v>
      </c>
      <c r="F22" s="4370"/>
      <c r="G22" s="4371"/>
      <c r="H22" s="1231"/>
      <c r="I22" s="1230"/>
      <c r="J22" s="1229"/>
      <c r="K22" s="1233"/>
      <c r="L22" s="1232"/>
      <c r="M22" s="1229"/>
      <c r="N22" s="1231"/>
      <c r="O22" s="1230"/>
      <c r="P22" s="1229"/>
    </row>
    <row r="23" spans="1:26" s="36" customFormat="1" ht="18.75" customHeight="1">
      <c r="A23" s="746"/>
      <c r="B23" s="209" t="s">
        <v>214</v>
      </c>
      <c r="C23" s="1228"/>
      <c r="D23" s="1228"/>
      <c r="E23" s="34"/>
      <c r="F23" s="4381"/>
      <c r="G23" s="4382" t="s">
        <v>163</v>
      </c>
      <c r="H23" s="1043"/>
      <c r="I23" s="1042"/>
      <c r="J23" s="1026">
        <f>SUM(I25:I26)</f>
        <v>422.56</v>
      </c>
      <c r="K23" s="1046"/>
      <c r="L23" s="1045"/>
      <c r="M23" s="1227">
        <f>SUM(L25:L26)</f>
        <v>422.56</v>
      </c>
      <c r="N23" s="1043"/>
      <c r="O23" s="1042"/>
      <c r="P23" s="1026">
        <f>SUM(O25:O26)</f>
        <v>422.56</v>
      </c>
      <c r="Q23" s="28"/>
    </row>
    <row r="24" spans="1:26"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26" s="511" customFormat="1" ht="18.75" customHeight="1">
      <c r="A25" s="711"/>
      <c r="B25" s="1223"/>
      <c r="C25" s="746" t="s">
        <v>866</v>
      </c>
      <c r="D25" s="4383"/>
      <c r="E25" s="4384"/>
      <c r="F25" s="1222">
        <f>SDÖ7!F20/100</f>
        <v>3.04</v>
      </c>
      <c r="G25" s="1221">
        <f>F25*(100+$D$24)/100</f>
        <v>3.04</v>
      </c>
      <c r="H25" s="1220">
        <v>139</v>
      </c>
      <c r="I25" s="1181">
        <f>H25*$G25</f>
        <v>422.56</v>
      </c>
      <c r="J25" s="39"/>
      <c r="K25" s="1220">
        <f>H25</f>
        <v>139</v>
      </c>
      <c r="L25" s="1023">
        <f>K25*$G25</f>
        <v>422.56</v>
      </c>
      <c r="M25" s="1016"/>
      <c r="N25" s="1220">
        <f>H25</f>
        <v>139</v>
      </c>
      <c r="O25" s="1181">
        <f>N25*$G25</f>
        <v>422.56</v>
      </c>
      <c r="P25" s="1145"/>
      <c r="Q25" s="28"/>
    </row>
    <row r="26" spans="1:26"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26" s="511" customFormat="1" ht="17.399999999999999" customHeight="1">
      <c r="A27" s="711"/>
      <c r="B27" s="1215" t="s">
        <v>213</v>
      </c>
      <c r="C27" s="711"/>
      <c r="D27" s="51"/>
      <c r="E27" s="34"/>
      <c r="F27" s="34"/>
      <c r="G27" s="1214" t="s">
        <v>163</v>
      </c>
      <c r="H27" s="1173"/>
      <c r="I27" s="1172"/>
      <c r="J27" s="1041">
        <f>SUM(I30:I32)</f>
        <v>18.281600000000054</v>
      </c>
      <c r="K27" s="1175"/>
      <c r="L27" s="1174"/>
      <c r="M27" s="1044">
        <f>SUM(L30:L32)</f>
        <v>22.852000000000075</v>
      </c>
      <c r="N27" s="1173"/>
      <c r="O27" s="1172"/>
      <c r="P27" s="1041">
        <f>SUM(O30:O32)</f>
        <v>27.422400000000081</v>
      </c>
      <c r="Q27" s="28"/>
    </row>
    <row r="28" spans="1:26" s="36" customFormat="1" ht="15" customHeight="1">
      <c r="A28" s="746"/>
      <c r="B28" s="774"/>
      <c r="C28" s="2373"/>
      <c r="D28" s="1213" t="s">
        <v>706</v>
      </c>
      <c r="E28" s="1213" t="s">
        <v>864</v>
      </c>
      <c r="F28" s="1213" t="s">
        <v>864</v>
      </c>
      <c r="G28" s="1212" t="s">
        <v>863</v>
      </c>
      <c r="H28" s="1172"/>
      <c r="I28" s="1209"/>
      <c r="J28" s="2374"/>
      <c r="K28" s="1175"/>
      <c r="L28" s="1105"/>
      <c r="M28" s="1210"/>
      <c r="N28" s="1173"/>
      <c r="O28" s="1209"/>
      <c r="P28" s="1026"/>
      <c r="Q28" s="28"/>
    </row>
    <row r="29" spans="1:26" s="36" customFormat="1" ht="15" customHeight="1">
      <c r="A29" s="746"/>
      <c r="B29" s="1208"/>
      <c r="C29" s="747" t="s">
        <v>862</v>
      </c>
      <c r="D29" s="1034" t="s">
        <v>611</v>
      </c>
      <c r="E29" s="1034" t="s">
        <v>861</v>
      </c>
      <c r="F29" s="1034" t="s">
        <v>860</v>
      </c>
      <c r="G29" s="1034" t="s">
        <v>1128</v>
      </c>
      <c r="H29" s="1205" t="s">
        <v>612</v>
      </c>
      <c r="I29" s="1027" t="s">
        <v>163</v>
      </c>
      <c r="J29" s="2373"/>
      <c r="K29" s="1207" t="s">
        <v>612</v>
      </c>
      <c r="L29" s="1030" t="s">
        <v>163</v>
      </c>
      <c r="M29" s="1206"/>
      <c r="N29" s="1205" t="s">
        <v>612</v>
      </c>
      <c r="O29" s="1027" t="s">
        <v>163</v>
      </c>
      <c r="P29" s="1204"/>
      <c r="Q29" s="28"/>
    </row>
    <row r="30" spans="1:26" s="36" customFormat="1" ht="15" customHeight="1">
      <c r="A30" s="746"/>
      <c r="B30" s="1203"/>
      <c r="C30" s="1202" t="s">
        <v>236</v>
      </c>
      <c r="D30" s="1150">
        <f>SDÖ1!O56</f>
        <v>5.18</v>
      </c>
      <c r="E30" s="1201">
        <f>VLOOKUP('SD8'!B28,'SD8'!B9:K44,3,FALSE)</f>
        <v>-0.89999999999999947</v>
      </c>
      <c r="F30" s="1201"/>
      <c r="G30" s="1200">
        <v>0</v>
      </c>
      <c r="H30" s="1198">
        <f>IF(J$6=0,0,(J$6*$E30+$G30+X13))</f>
        <v>-17.999999999999989</v>
      </c>
      <c r="I30" s="1181">
        <f>H30*$D30</f>
        <v>-93.239999999999938</v>
      </c>
      <c r="J30" s="39"/>
      <c r="K30" s="1199">
        <f>IF(M$6=0,0,(M$6*$E30+$G30+AA14))</f>
        <v>-22.499999999999986</v>
      </c>
      <c r="L30" s="1023">
        <f>K30*$D30</f>
        <v>-116.54999999999993</v>
      </c>
      <c r="M30" s="1016"/>
      <c r="N30" s="1198">
        <f>IF(P$6=0,0,(P$6*$E30+$G30+AD14))</f>
        <v>-26.999999999999986</v>
      </c>
      <c r="O30" s="1181">
        <f>N30*$D30</f>
        <v>-139.85999999999993</v>
      </c>
      <c r="P30" s="1145"/>
      <c r="Q30" s="28"/>
    </row>
    <row r="31" spans="1:26" s="36" customFormat="1" ht="15" customHeight="1">
      <c r="A31" s="746"/>
      <c r="B31" s="217"/>
      <c r="C31" s="746" t="s">
        <v>234</v>
      </c>
      <c r="D31" s="1150">
        <f>SDÖ1!O57</f>
        <v>1.42</v>
      </c>
      <c r="E31" s="1201">
        <f>VLOOKUP('SD8'!B28,'SD8'!B9:K44,4,FALSE)</f>
        <v>1.5</v>
      </c>
      <c r="F31" s="1201"/>
      <c r="G31" s="1200"/>
      <c r="H31" s="1198">
        <f>IF(J$6=0,0,(J$6*$E31+$G31+X14))</f>
        <v>30</v>
      </c>
      <c r="I31" s="1181">
        <f>H31*$D31</f>
        <v>42.599999999999994</v>
      </c>
      <c r="J31" s="39"/>
      <c r="K31" s="1199">
        <f>IF(M$6=0,0,(M$6*$E31+$G31+Y14))</f>
        <v>37.5</v>
      </c>
      <c r="L31" s="1023">
        <f>K31*$D31</f>
        <v>53.25</v>
      </c>
      <c r="M31" s="1016"/>
      <c r="N31" s="1198">
        <f>IF(P$6=0,0,(P$6*$E31+$G31+Z14))</f>
        <v>45</v>
      </c>
      <c r="O31" s="1181">
        <f>N31*$D31</f>
        <v>63.9</v>
      </c>
      <c r="P31" s="1145"/>
      <c r="Q31" s="28"/>
    </row>
    <row r="32" spans="1:26" s="511" customFormat="1" ht="18.75" customHeight="1">
      <c r="A32" s="711"/>
      <c r="B32" s="185"/>
      <c r="C32" s="2791" t="s">
        <v>232</v>
      </c>
      <c r="D32" s="1133">
        <f>SDÖ1!O58</f>
        <v>1.78</v>
      </c>
      <c r="E32" s="1197">
        <f>VLOOKUP('SD8'!B28,'SD8'!B9:K44,5,FALSE)</f>
        <v>1.9359999999999999</v>
      </c>
      <c r="F32" s="1197"/>
      <c r="G32" s="1196"/>
      <c r="H32" s="1194">
        <f>IF(J$6=0,0,(J$6*$E32+$G32+X15))</f>
        <v>38.72</v>
      </c>
      <c r="I32" s="1177">
        <f>H32*$D32</f>
        <v>68.921599999999998</v>
      </c>
      <c r="J32" s="223"/>
      <c r="K32" s="1195">
        <f>IF(M$6=0,0,(M$6*$E32+$G32+Y15))</f>
        <v>48.4</v>
      </c>
      <c r="L32" s="1017">
        <f>K32*$D32</f>
        <v>86.152000000000001</v>
      </c>
      <c r="M32" s="1256"/>
      <c r="N32" s="1194">
        <f>IF(P$6=0,0,(P$6*$E32+$G32+Z15))</f>
        <v>58.08</v>
      </c>
      <c r="O32" s="1177">
        <f>N32*$D32</f>
        <v>103.3824</v>
      </c>
      <c r="P32" s="1176"/>
      <c r="Q32" s="28"/>
    </row>
    <row r="33" spans="1:17" s="511" customFormat="1" ht="13.2" hidden="1" customHeight="1">
      <c r="A33" s="711"/>
      <c r="B33" s="185"/>
      <c r="C33" s="771" t="s">
        <v>230</v>
      </c>
      <c r="D33" s="1133">
        <f>SDÖ1!P59</f>
        <v>0.5</v>
      </c>
      <c r="E33" s="1197">
        <f>VLOOKUP('SD8'!B28,'SD8'!B9:K44,6,FALSE)</f>
        <v>0.3</v>
      </c>
      <c r="F33" s="1197"/>
      <c r="G33" s="1196"/>
      <c r="H33" s="1194">
        <f>IF(J$6=0,0,(J$6*$E33+$G33+X16))</f>
        <v>6</v>
      </c>
      <c r="I33" s="1177">
        <f>H33*$D33</f>
        <v>3</v>
      </c>
      <c r="J33" s="39"/>
      <c r="K33" s="1195">
        <f>IF(M$6=0,0,(M$6*$E33+$G33+Y16))</f>
        <v>7.5</v>
      </c>
      <c r="L33" s="1017">
        <f>K33*$D33</f>
        <v>3.75</v>
      </c>
      <c r="M33" s="1016"/>
      <c r="N33" s="1194">
        <f>IF(P$6=0,0,(P$6*$E33+$G33+Z16))</f>
        <v>9</v>
      </c>
      <c r="O33" s="1177">
        <f>N33*$D33</f>
        <v>4.5</v>
      </c>
      <c r="P33" s="1176"/>
      <c r="Q33" s="28"/>
    </row>
    <row r="34" spans="1:17" s="36" customFormat="1" ht="15" customHeight="1">
      <c r="A34" s="746"/>
      <c r="B34" s="716" t="s">
        <v>212</v>
      </c>
      <c r="C34" s="711"/>
      <c r="D34" s="2373"/>
      <c r="E34" s="2373"/>
      <c r="F34" s="4381"/>
      <c r="G34" s="4382" t="s">
        <v>163</v>
      </c>
      <c r="H34" s="1191"/>
      <c r="I34" s="1190"/>
      <c r="J34" s="1041">
        <f>SUM(I36:I42)</f>
        <v>0</v>
      </c>
      <c r="K34" s="1193"/>
      <c r="L34" s="1192"/>
      <c r="M34" s="1044">
        <f>SUM(L36:L42)</f>
        <v>0</v>
      </c>
      <c r="N34" s="1191"/>
      <c r="O34" s="1190"/>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1182"/>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201.27020505333331</v>
      </c>
      <c r="K43" s="1175"/>
      <c r="L43" s="1174"/>
      <c r="M43" s="1044">
        <f>SUM(M46:M57)</f>
        <v>202.05402706666663</v>
      </c>
      <c r="N43" s="1173"/>
      <c r="O43" s="1172"/>
      <c r="P43" s="1041">
        <f>SUM(P46:P57)</f>
        <v>209.79975598999999</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3"/>
      <c r="C46" s="4387"/>
      <c r="D46" s="4388"/>
      <c r="E46" s="1152">
        <f>IF($C46=0,0,VLOOKUP($C46,'SD3'!$C$24:$O$71,4,FALSE))</f>
        <v>0</v>
      </c>
      <c r="F46" s="1151">
        <f>IF($C46=0,0,VLOOKUP($C46,'SD3'!$C$24:$O$71,12,FALSE))</f>
        <v>0</v>
      </c>
      <c r="G46" s="1150">
        <f>IF($C46=0,0,VLOOKUP($C46,'SD3'!$C$24:$O$71,13,FALSE))</f>
        <v>0</v>
      </c>
      <c r="H46" s="1147"/>
      <c r="I46" s="1146">
        <f t="shared" ref="I46:I57" si="4">$F46*H46</f>
        <v>0</v>
      </c>
      <c r="J46" s="1145">
        <f t="shared" ref="J46:J55" si="5">H46*$G46</f>
        <v>0</v>
      </c>
      <c r="K46" s="1147"/>
      <c r="L46" s="1149">
        <f t="shared" ref="L46:L57" si="6">$F46*K46</f>
        <v>0</v>
      </c>
      <c r="M46" s="1148">
        <f t="shared" ref="M46:M57" si="7">K46*$G46</f>
        <v>0</v>
      </c>
      <c r="N46" s="1147"/>
      <c r="O46" s="1146">
        <f t="shared" ref="O46:O57" si="8">$F46*N46</f>
        <v>0</v>
      </c>
      <c r="P46" s="1145">
        <f t="shared" ref="P46:P57" si="9">N46*$G46</f>
        <v>0</v>
      </c>
      <c r="Q46" s="28"/>
    </row>
    <row r="47" spans="1:17" s="36" customFormat="1" ht="15" customHeight="1">
      <c r="A47" s="746"/>
      <c r="B47" s="1153"/>
      <c r="C47" s="4387" t="s">
        <v>1589</v>
      </c>
      <c r="D47" s="4388"/>
      <c r="E47" s="1152">
        <f>IF($C47=0,0,VLOOKUP($C47,'SD3'!$C$24:$O$71,4,FALSE))</f>
        <v>120</v>
      </c>
      <c r="F47" s="1151">
        <f>IF($C47=0,0,VLOOKUP($C47,'SD3'!$C$24:$O$71,12,FALSE))</f>
        <v>1.38</v>
      </c>
      <c r="G47" s="1150">
        <f>IF($C47=0,0,VLOOKUP($C47,'SD3'!$C$24:$O$71,13,FALSE))</f>
        <v>64.642445999999993</v>
      </c>
      <c r="H47" s="1147">
        <v>1</v>
      </c>
      <c r="I47" s="1146">
        <f t="shared" si="4"/>
        <v>1.38</v>
      </c>
      <c r="J47" s="1145">
        <f t="shared" si="5"/>
        <v>64.642445999999993</v>
      </c>
      <c r="K47" s="1147">
        <v>1</v>
      </c>
      <c r="L47" s="1149">
        <f t="shared" si="6"/>
        <v>1.38</v>
      </c>
      <c r="M47" s="1148">
        <f t="shared" si="7"/>
        <v>64.642445999999993</v>
      </c>
      <c r="N47" s="1147">
        <v>1</v>
      </c>
      <c r="O47" s="1146">
        <f t="shared" si="8"/>
        <v>1.38</v>
      </c>
      <c r="P47" s="1145">
        <f t="shared" si="9"/>
        <v>64.642445999999993</v>
      </c>
      <c r="Q47" s="28"/>
    </row>
    <row r="48" spans="1:17" s="36" customFormat="1" ht="15" customHeight="1">
      <c r="A48" s="746"/>
      <c r="B48" s="1153"/>
      <c r="C48" s="4387"/>
      <c r="D48" s="4388"/>
      <c r="E48" s="1152">
        <f>IF($C48=0,0,VLOOKUP($C48,'SD3'!$C$24:$O$71,4,FALSE))</f>
        <v>0</v>
      </c>
      <c r="F48" s="1151">
        <f>IF($C48=0,0,VLOOKUP($C48,'SD3'!$C$24:$O$71,12,FALSE))</f>
        <v>0</v>
      </c>
      <c r="G48" s="1150">
        <f>IF($C48=0,0,VLOOKUP($C48,'SD3'!$C$24:$O$71,13,FALSE))</f>
        <v>0</v>
      </c>
      <c r="H48" s="1147"/>
      <c r="I48" s="1146">
        <f t="shared" si="4"/>
        <v>0</v>
      </c>
      <c r="J48" s="1145">
        <f t="shared" si="5"/>
        <v>0</v>
      </c>
      <c r="K48" s="1147"/>
      <c r="L48" s="1149">
        <f t="shared" si="6"/>
        <v>0</v>
      </c>
      <c r="M48" s="1148">
        <f t="shared" si="7"/>
        <v>0</v>
      </c>
      <c r="N48" s="1147"/>
      <c r="O48" s="1146">
        <f t="shared" si="8"/>
        <v>0</v>
      </c>
      <c r="P48" s="1145">
        <f t="shared" si="9"/>
        <v>0</v>
      </c>
      <c r="Q48" s="28"/>
    </row>
    <row r="49" spans="1:17" s="36" customFormat="1" ht="15" customHeight="1">
      <c r="A49" s="746"/>
      <c r="B49" s="1153"/>
      <c r="C49" s="4387" t="s">
        <v>354</v>
      </c>
      <c r="D49" s="4388"/>
      <c r="E49" s="1152">
        <f>IF($C49=0,0,VLOOKUP($C49,'SD3'!$C$24:$O$71,4,FALSE))</f>
        <v>120</v>
      </c>
      <c r="F49" s="1151">
        <f>IF($C49=0,0,VLOOKUP($C49,'SD3'!$C$24:$O$71,12,FALSE))</f>
        <v>0.71</v>
      </c>
      <c r="G49" s="1150">
        <f>IF($C49=0,0,VLOOKUP($C49,'SD3'!$C$24:$O$71,13,FALSE))</f>
        <v>30.659437999999998</v>
      </c>
      <c r="H49" s="1147">
        <v>1</v>
      </c>
      <c r="I49" s="1146">
        <f t="shared" si="4"/>
        <v>0.71</v>
      </c>
      <c r="J49" s="1145">
        <f t="shared" si="5"/>
        <v>30.659437999999998</v>
      </c>
      <c r="K49" s="1147">
        <v>1</v>
      </c>
      <c r="L49" s="1149">
        <f t="shared" si="6"/>
        <v>0.71</v>
      </c>
      <c r="M49" s="1148">
        <f t="shared" si="7"/>
        <v>30.659437999999998</v>
      </c>
      <c r="N49" s="1147">
        <v>1</v>
      </c>
      <c r="O49" s="1146">
        <f t="shared" si="8"/>
        <v>0.71</v>
      </c>
      <c r="P49" s="1145">
        <f t="shared" si="9"/>
        <v>30.659437999999998</v>
      </c>
      <c r="Q49" s="28"/>
    </row>
    <row r="50" spans="1:17" s="36" customFormat="1" ht="15" customHeight="1">
      <c r="A50" s="746"/>
      <c r="B50" s="1153"/>
      <c r="C50" s="4387" t="s">
        <v>356</v>
      </c>
      <c r="D50" s="4388"/>
      <c r="E50" s="1152">
        <f>IF($C50=0,0,VLOOKUP($C50,'SD3'!$C$24:$O$71,4,FALSE))</f>
        <v>83</v>
      </c>
      <c r="F50" s="1151">
        <f>IF($C50=0,0,VLOOKUP($C50,'SD3'!$C$24:$O$71,12,FALSE))</f>
        <v>0.53</v>
      </c>
      <c r="G50" s="1150">
        <f>IF($C50=0,0,VLOOKUP($C50,'SD3'!$C$24:$O$71,13,FALSE))</f>
        <v>12.740039489999999</v>
      </c>
      <c r="H50" s="1147">
        <v>1</v>
      </c>
      <c r="I50" s="1146">
        <f t="shared" si="4"/>
        <v>0.53</v>
      </c>
      <c r="J50" s="1145">
        <f t="shared" si="5"/>
        <v>12.740039489999999</v>
      </c>
      <c r="K50" s="1147">
        <v>1</v>
      </c>
      <c r="L50" s="1149">
        <f t="shared" si="6"/>
        <v>0.53</v>
      </c>
      <c r="M50" s="1148">
        <f t="shared" si="7"/>
        <v>12.740039489999999</v>
      </c>
      <c r="N50" s="1147">
        <v>1</v>
      </c>
      <c r="O50" s="1146">
        <f t="shared" si="8"/>
        <v>0.53</v>
      </c>
      <c r="P50" s="1145">
        <f t="shared" si="9"/>
        <v>12.740039489999999</v>
      </c>
      <c r="Q50" s="28"/>
    </row>
    <row r="51" spans="1:17" s="36" customFormat="1" ht="15" customHeight="1">
      <c r="A51" s="746"/>
      <c r="B51" s="1153"/>
      <c r="C51" s="4387" t="s">
        <v>339</v>
      </c>
      <c r="D51" s="4388"/>
      <c r="E51" s="1152">
        <f>IF($C51=0,0,VLOOKUP($C51,'SD3'!$C$24:$O$71,4,FALSE))</f>
        <v>83</v>
      </c>
      <c r="F51" s="1151">
        <f>IF($C51=0,0,VLOOKUP($C51,'SD3'!$C$24:$O$71,12,FALSE))</f>
        <v>0.27</v>
      </c>
      <c r="G51" s="1150">
        <f>IF($C51=0,0,VLOOKUP($C51,'SD3'!$C$24:$O$71,13,FALSE))</f>
        <v>6.9619069099999997</v>
      </c>
      <c r="H51" s="1147">
        <v>1</v>
      </c>
      <c r="I51" s="1146">
        <f t="shared" si="4"/>
        <v>0.27</v>
      </c>
      <c r="J51" s="1145">
        <f t="shared" si="5"/>
        <v>6.9619069099999997</v>
      </c>
      <c r="K51" s="1147">
        <v>1</v>
      </c>
      <c r="L51" s="1149">
        <f t="shared" si="6"/>
        <v>0.27</v>
      </c>
      <c r="M51" s="1148">
        <f t="shared" si="7"/>
        <v>6.9619069099999997</v>
      </c>
      <c r="N51" s="1147">
        <v>2</v>
      </c>
      <c r="O51" s="1146">
        <f t="shared" si="8"/>
        <v>0.54</v>
      </c>
      <c r="P51" s="1145">
        <f t="shared" si="9"/>
        <v>13.923813819999999</v>
      </c>
      <c r="Q51" s="28"/>
    </row>
    <row r="52" spans="1:17" s="36" customFormat="1" ht="15" customHeight="1">
      <c r="A52" s="746"/>
      <c r="B52" s="1153"/>
      <c r="C52" s="4387" t="s">
        <v>338</v>
      </c>
      <c r="D52" s="4388"/>
      <c r="E52" s="1152">
        <f>IF($C52=0,0,VLOOKUP($C52,'SD3'!$C$24:$O$71,4,FALSE))</f>
        <v>54</v>
      </c>
      <c r="F52" s="1151">
        <f>IF($C52=0,0,VLOOKUP($C52,'SD3'!$C$24:$O$71,12,FALSE))</f>
        <v>1.1299999999999999</v>
      </c>
      <c r="G52" s="1150">
        <f>IF($C52=0,0,VLOOKUP($C52,'SD3'!$C$24:$O$71,13,FALSE))</f>
        <v>19.852731299999999</v>
      </c>
      <c r="H52" s="1147">
        <v>2</v>
      </c>
      <c r="I52" s="1146">
        <f t="shared" si="4"/>
        <v>2.2599999999999998</v>
      </c>
      <c r="J52" s="1145">
        <f t="shared" si="5"/>
        <v>39.705462599999997</v>
      </c>
      <c r="K52" s="1147">
        <v>2</v>
      </c>
      <c r="L52" s="1149">
        <f t="shared" si="6"/>
        <v>2.2599999999999998</v>
      </c>
      <c r="M52" s="1148">
        <f t="shared" si="7"/>
        <v>39.705462599999997</v>
      </c>
      <c r="N52" s="1147">
        <v>2</v>
      </c>
      <c r="O52" s="1146">
        <f t="shared" si="8"/>
        <v>2.2599999999999998</v>
      </c>
      <c r="P52" s="1145">
        <f t="shared" si="9"/>
        <v>39.705462599999997</v>
      </c>
      <c r="Q52" s="28"/>
    </row>
    <row r="53" spans="1:17" s="36" customFormat="1" ht="15" customHeight="1">
      <c r="A53" s="746"/>
      <c r="B53" s="1153"/>
      <c r="C53" s="4387"/>
      <c r="D53" s="4388"/>
      <c r="E53" s="1152">
        <f>IF($C53=0,0,VLOOKUP($C53,'SD3'!$C$24:$O$71,4,FALSE))</f>
        <v>0</v>
      </c>
      <c r="F53" s="1151">
        <f>IF($C53=0,0,VLOOKUP($C53,'SD3'!$C$24:$O$71,12,FALSE))</f>
        <v>0</v>
      </c>
      <c r="G53" s="1150">
        <f>IF($C53=0,0,VLOOKUP($C53,'SD3'!$C$24:$O$71,13,FALSE))</f>
        <v>0</v>
      </c>
      <c r="H53" s="1147"/>
      <c r="I53" s="1146">
        <f t="shared" si="4"/>
        <v>0</v>
      </c>
      <c r="J53" s="1145">
        <f t="shared" si="5"/>
        <v>0</v>
      </c>
      <c r="K53" s="1147"/>
      <c r="L53" s="1149">
        <f t="shared" si="6"/>
        <v>0</v>
      </c>
      <c r="M53" s="1148">
        <f t="shared" si="7"/>
        <v>0</v>
      </c>
      <c r="N53" s="1147"/>
      <c r="O53" s="1146">
        <f t="shared" si="8"/>
        <v>0</v>
      </c>
      <c r="P53" s="1145">
        <f t="shared" si="9"/>
        <v>0</v>
      </c>
      <c r="Q53" s="34"/>
    </row>
    <row r="54" spans="1:17" s="36" customFormat="1" ht="15" customHeight="1">
      <c r="A54" s="746"/>
      <c r="B54" s="1153"/>
      <c r="C54" s="4468" t="s">
        <v>1748</v>
      </c>
      <c r="D54" s="4469"/>
      <c r="E54" s="1152">
        <f>IF($C54=0,0,VLOOKUP($C54,'SD3'!$C$24:$O$71,4,FALSE))</f>
        <v>120</v>
      </c>
      <c r="F54" s="1151">
        <f>IF($C54=0,0,VLOOKUP($C54,'SD3'!$C$24:$O$71,12,FALSE))</f>
        <v>0.37</v>
      </c>
      <c r="G54" s="1150">
        <f>IF($C54=0,0,VLOOKUP($C54,'SD3'!$C$24:$O$71,13,FALSE))</f>
        <v>11.7573302</v>
      </c>
      <c r="H54" s="3654">
        <f>J6/75</f>
        <v>0.26666666666666666</v>
      </c>
      <c r="I54" s="1146">
        <f t="shared" si="4"/>
        <v>9.8666666666666666E-2</v>
      </c>
      <c r="J54" s="1145">
        <f t="shared" si="5"/>
        <v>3.1352880533333334</v>
      </c>
      <c r="K54" s="3654">
        <f>M6/75</f>
        <v>0.33333333333333331</v>
      </c>
      <c r="L54" s="1149">
        <f t="shared" si="6"/>
        <v>0.12333333333333332</v>
      </c>
      <c r="M54" s="1148">
        <f t="shared" si="7"/>
        <v>3.9191100666666667</v>
      </c>
      <c r="N54" s="3654">
        <f>P6/75</f>
        <v>0.4</v>
      </c>
      <c r="O54" s="1146">
        <f t="shared" si="8"/>
        <v>0.14799999999999999</v>
      </c>
      <c r="P54" s="1145">
        <f t="shared" si="9"/>
        <v>4.7029320800000001</v>
      </c>
      <c r="Q54" s="28"/>
    </row>
    <row r="55" spans="1:17" s="36" customFormat="1" ht="15" customHeight="1">
      <c r="A55" s="746"/>
      <c r="B55" s="1153"/>
      <c r="C55" s="4472" t="s">
        <v>359</v>
      </c>
      <c r="D55" s="4473"/>
      <c r="E55" s="1152">
        <f>IF($C55=0,0,VLOOKUP($C55,'SD3'!$C$24:$O$71,4,FALSE))</f>
        <v>120</v>
      </c>
      <c r="F55" s="1151">
        <f>IF($C55=0,0,VLOOKUP($C55,'SD3'!$C$24:$O$71,12,FALSE))</f>
        <v>0.54</v>
      </c>
      <c r="G55" s="1150">
        <f>IF($C55=0,0,VLOOKUP($C55,'SD3'!$C$24:$O$71,13,FALSE))</f>
        <v>21.712812</v>
      </c>
      <c r="H55" s="1147">
        <v>2</v>
      </c>
      <c r="I55" s="1146">
        <f t="shared" si="4"/>
        <v>1.08</v>
      </c>
      <c r="J55" s="1145">
        <f t="shared" si="5"/>
        <v>43.425623999999999</v>
      </c>
      <c r="K55" s="1147">
        <v>2</v>
      </c>
      <c r="L55" s="1149">
        <f t="shared" si="6"/>
        <v>1.08</v>
      </c>
      <c r="M55" s="1148">
        <f t="shared" si="7"/>
        <v>43.425623999999999</v>
      </c>
      <c r="N55" s="1147">
        <v>2</v>
      </c>
      <c r="O55" s="1146">
        <f t="shared" si="8"/>
        <v>1.08</v>
      </c>
      <c r="P55" s="1145">
        <f t="shared" si="9"/>
        <v>43.425623999999999</v>
      </c>
      <c r="Q55" s="28"/>
    </row>
    <row r="56" spans="1:17" s="36" customFormat="1" ht="13.8">
      <c r="A56" s="746"/>
      <c r="B56" s="1342"/>
      <c r="C56" s="4470"/>
      <c r="D56" s="4471"/>
      <c r="E56" s="1152">
        <f>IF($C56=0,0,VLOOKUP($C56,'SD3'!$C$24:$O$71,4,FALSE))</f>
        <v>0</v>
      </c>
      <c r="F56" s="1151">
        <f>IF($C56=0,0,VLOOKUP($C56,'SD3'!$C$24:$O$71,12,FALSE))</f>
        <v>0</v>
      </c>
      <c r="G56" s="1150">
        <f>IF($C56=0,0,VLOOKUP($C56,'SD3'!$C$24:$O$71,13,FALSE))</f>
        <v>0</v>
      </c>
      <c r="H56" s="1336"/>
      <c r="I56" s="1335">
        <f t="shared" si="4"/>
        <v>0</v>
      </c>
      <c r="J56" s="1334"/>
      <c r="K56" s="1336"/>
      <c r="L56" s="1338">
        <f t="shared" si="6"/>
        <v>0</v>
      </c>
      <c r="M56" s="1337">
        <f t="shared" si="7"/>
        <v>0</v>
      </c>
      <c r="N56" s="1336"/>
      <c r="O56" s="1335">
        <f t="shared" si="8"/>
        <v>0</v>
      </c>
      <c r="P56" s="1334">
        <f t="shared" si="9"/>
        <v>0</v>
      </c>
      <c r="Q56" s="28"/>
    </row>
    <row r="57" spans="1:17" s="36" customFormat="1" ht="24.75" customHeight="1">
      <c r="A57" s="746"/>
      <c r="B57" s="1084"/>
      <c r="C57" s="4461" t="s">
        <v>332</v>
      </c>
      <c r="D57" s="4462"/>
      <c r="E57" s="2589">
        <f>IF($C57=0,0,VLOOKUP($C57,'SD3'!$C$24:$O$71,4,FALSE))</f>
        <v>83</v>
      </c>
      <c r="F57" s="2590">
        <f>IF($C57=0,0,VLOOKUP($C57,'SD3'!$C$24:$O$71,12,FALSE))</f>
        <v>1.3</v>
      </c>
      <c r="G57" s="2591">
        <f>IF($C57=0,0,VLOOKUP($C57,'SD3'!$C$24:$O$71,13,FALSE))</f>
        <v>25.970662899999994</v>
      </c>
      <c r="H57" s="3745">
        <f>H11/35</f>
        <v>0</v>
      </c>
      <c r="I57" s="1130">
        <f t="shared" si="4"/>
        <v>0</v>
      </c>
      <c r="J57" s="1129">
        <f>H57*$G57</f>
        <v>0</v>
      </c>
      <c r="K57" s="3746">
        <f>K11/35</f>
        <v>0</v>
      </c>
      <c r="L57" s="1132">
        <f t="shared" si="6"/>
        <v>0</v>
      </c>
      <c r="M57" s="1079">
        <f t="shared" si="7"/>
        <v>0</v>
      </c>
      <c r="N57" s="3745">
        <f>N11/35</f>
        <v>0</v>
      </c>
      <c r="O57" s="1130">
        <f t="shared" si="8"/>
        <v>0</v>
      </c>
      <c r="P57" s="1129">
        <f t="shared" si="9"/>
        <v>0</v>
      </c>
      <c r="Q57" s="2636"/>
    </row>
    <row r="58" spans="1:17" s="511" customFormat="1" ht="18.75" customHeight="1">
      <c r="A58" s="711"/>
      <c r="B58" s="716" t="s">
        <v>848</v>
      </c>
      <c r="C58" s="811"/>
      <c r="D58" s="811"/>
      <c r="E58" s="811"/>
      <c r="F58" s="34"/>
      <c r="G58" s="1047"/>
      <c r="H58" s="1124"/>
      <c r="I58" s="1123">
        <f>SUM($I$46:$I$57)</f>
        <v>6.3286666666666669</v>
      </c>
      <c r="J58" s="1128"/>
      <c r="K58" s="1127"/>
      <c r="L58" s="1126">
        <f>SUM($L$46:$L$57)</f>
        <v>6.3533333333333335</v>
      </c>
      <c r="M58" s="1125"/>
      <c r="N58" s="1124"/>
      <c r="O58" s="1123">
        <f>SUM($O$46:$O$57)</f>
        <v>6.6479999999999997</v>
      </c>
      <c r="P58" s="1122"/>
      <c r="Q58" s="28"/>
    </row>
    <row r="59" spans="1:17" s="511" customFormat="1" ht="15" customHeight="1">
      <c r="A59" s="711"/>
      <c r="B59" s="1121"/>
      <c r="C59" s="285"/>
      <c r="D59" s="222" t="s">
        <v>847</v>
      </c>
      <c r="E59" s="1120">
        <v>80</v>
      </c>
      <c r="F59" s="285" t="s">
        <v>846</v>
      </c>
      <c r="G59" s="1119"/>
      <c r="H59" s="1115"/>
      <c r="I59" s="1114">
        <f>IF(I58+SUM($I$46:$I$57)*$E$59%&gt;I58+10,I58+10,I58+SUM($I$46:$I$57)*$E$59%)</f>
        <v>11.3916</v>
      </c>
      <c r="J59" s="1113"/>
      <c r="K59" s="1118"/>
      <c r="L59" s="1117">
        <f>IF(L58+SUM($L$46:$L$57)*$E$59%&gt;L58+10,L58+10,L58+SUM($L$46:$L$57)*$E$59%)</f>
        <v>11.436</v>
      </c>
      <c r="M59" s="1116"/>
      <c r="N59" s="1115"/>
      <c r="O59" s="1114">
        <f>IF(O58+SUM($O$46:$O$57)*$E$59%&gt;O58+10,O58+10,O58+SUM($O$46:$O$57)*$E$59%)</f>
        <v>11.9664</v>
      </c>
      <c r="P59" s="1113"/>
      <c r="Q59" s="28"/>
    </row>
    <row r="60" spans="1:17" s="46" customFormat="1" ht="18.75" customHeight="1">
      <c r="A60" s="811"/>
      <c r="B60" s="716" t="s">
        <v>845</v>
      </c>
      <c r="C60" s="811"/>
      <c r="D60" s="811"/>
      <c r="E60" s="39"/>
      <c r="F60" s="39"/>
      <c r="G60" s="1112"/>
      <c r="H60" s="1104"/>
      <c r="I60" s="1103"/>
      <c r="J60" s="1111">
        <f>IF(J6=0,0,SUM(I62:I64))</f>
        <v>204.3</v>
      </c>
      <c r="K60" s="1107"/>
      <c r="L60" s="1106"/>
      <c r="M60" s="1044">
        <f>IF(M6=0,0,SUM(L62:L64))</f>
        <v>204.3</v>
      </c>
      <c r="N60" s="1104"/>
      <c r="O60" s="1103"/>
      <c r="P60" s="1111">
        <f>IF(P6=0,0,SUM(O62:O64))</f>
        <v>204.3</v>
      </c>
      <c r="Q60" s="28"/>
    </row>
    <row r="61" spans="1:17"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t="s">
        <v>298</v>
      </c>
      <c r="D62" s="4365"/>
      <c r="E62" s="4365"/>
      <c r="F62" s="1101">
        <f>IF($C62=0,0,VLOOKUP($C62,'SD3'!$C$90:$D$104,2,FALSE))</f>
        <v>204.3</v>
      </c>
      <c r="G62" s="1100">
        <f>(100+$D$61)/100*F62</f>
        <v>204.3</v>
      </c>
      <c r="H62" s="173"/>
      <c r="I62" s="1096">
        <f>$G$62</f>
        <v>204.3</v>
      </c>
      <c r="J62" s="173"/>
      <c r="K62" s="1099"/>
      <c r="L62" s="1098">
        <f>$G$62</f>
        <v>204.3</v>
      </c>
      <c r="M62" s="1016"/>
      <c r="N62" s="1097"/>
      <c r="O62" s="1096">
        <f>$G$62</f>
        <v>204.3</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t="s">
        <v>289</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5"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22.95" customHeight="1">
      <c r="A67" s="711"/>
      <c r="B67" s="716" t="s">
        <v>843</v>
      </c>
      <c r="C67" s="711"/>
      <c r="D67" s="711"/>
      <c r="E67" s="175"/>
      <c r="F67" s="1069"/>
      <c r="G67" s="1047"/>
      <c r="H67" s="1066" t="s">
        <v>842</v>
      </c>
      <c r="I67" s="1065" t="s">
        <v>841</v>
      </c>
      <c r="J67" s="1041">
        <f>R68*(H9+H10)*I68%+F68</f>
        <v>96.300000000000153</v>
      </c>
      <c r="K67" s="1068" t="s">
        <v>842</v>
      </c>
      <c r="L67" s="1067" t="s">
        <v>841</v>
      </c>
      <c r="M67" s="1044">
        <f>S68*(K9+K10)*L68%+F68</f>
        <v>120.37500000000018</v>
      </c>
      <c r="N67" s="1066" t="s">
        <v>842</v>
      </c>
      <c r="O67" s="1065" t="s">
        <v>841</v>
      </c>
      <c r="P67" s="1041">
        <f>T68*(N9+N10)*O68%+F68</f>
        <v>171.45000000000039</v>
      </c>
      <c r="Q67" s="28"/>
    </row>
    <row r="68" spans="1:20" s="511" customFormat="1" ht="15" customHeight="1">
      <c r="A68" s="711"/>
      <c r="B68" s="1064"/>
      <c r="C68" s="4393" t="s">
        <v>564</v>
      </c>
      <c r="D68" s="4393"/>
      <c r="E68" s="4393"/>
      <c r="F68" s="1063"/>
      <c r="G68" s="1054" t="s">
        <v>163</v>
      </c>
      <c r="H68" s="1061">
        <v>20</v>
      </c>
      <c r="I68" s="1060">
        <v>100</v>
      </c>
      <c r="J68" s="1059"/>
      <c r="K68" s="1061">
        <v>20</v>
      </c>
      <c r="L68" s="1060">
        <v>100</v>
      </c>
      <c r="M68" s="1062"/>
      <c r="N68" s="1061">
        <v>22</v>
      </c>
      <c r="O68" s="1060">
        <v>100</v>
      </c>
      <c r="P68" s="1059"/>
      <c r="Q68" s="28"/>
      <c r="R68" s="1058">
        <f>IF($H$68=0,0,VLOOKUP($H$68,'SD6'!F8:G146,'SD6'!I1,FALSE))*(1+'SDK1'!O11/100)</f>
        <v>4.8150000000000075</v>
      </c>
      <c r="S68" s="1058">
        <f>IF($K$68=0,0,VLOOKUP($K$68,'SD6'!F8:G146,'SD6'!I1,FALSE))*(1+'SDK1'!O11/100)</f>
        <v>4.8150000000000075</v>
      </c>
      <c r="T68" s="1058">
        <f>IF($N$68=0,0,VLOOKUP($N$68,'SD6'!F8:G146,'SD6'!I1,FALSE))*(1+'SDK1'!O11/100)</f>
        <v>5.7150000000000132</v>
      </c>
    </row>
    <row r="69" spans="1:20" s="511" customFormat="1" ht="18.75" customHeight="1">
      <c r="A69" s="711"/>
      <c r="B69" s="716" t="s">
        <v>839</v>
      </c>
      <c r="C69" s="711"/>
      <c r="D69" s="711"/>
      <c r="E69" s="34"/>
      <c r="F69" s="34"/>
      <c r="G69" s="1047"/>
      <c r="H69" s="38"/>
      <c r="I69" s="51"/>
      <c r="J69" s="1041">
        <f>H70*$F70/1000</f>
        <v>44.055200000000006</v>
      </c>
      <c r="K69" s="1057"/>
      <c r="L69" s="1056"/>
      <c r="M69" s="1044">
        <f>K70*$F70/1000</f>
        <v>55.069000000000003</v>
      </c>
      <c r="N69" s="38"/>
      <c r="O69" s="51"/>
      <c r="P69" s="1041">
        <f>N70*$F70/1000</f>
        <v>66.082800000000006</v>
      </c>
      <c r="Q69" s="28"/>
    </row>
    <row r="70" spans="1:20" s="511" customFormat="1" ht="15" customHeight="1">
      <c r="A70" s="711"/>
      <c r="B70" s="772"/>
      <c r="C70" s="771" t="s">
        <v>606</v>
      </c>
      <c r="D70" s="285"/>
      <c r="E70" s="222"/>
      <c r="F70" s="3742">
        <f>SDÖ7!F71</f>
        <v>28</v>
      </c>
      <c r="G70" s="1054" t="s">
        <v>163</v>
      </c>
      <c r="H70" s="1357">
        <f>J7</f>
        <v>1573.4</v>
      </c>
      <c r="I70" s="1049"/>
      <c r="J70" s="1048"/>
      <c r="K70" s="1053">
        <f>M7</f>
        <v>1966.75</v>
      </c>
      <c r="L70" s="1052"/>
      <c r="M70" s="1051"/>
      <c r="N70" s="1357">
        <f>P7</f>
        <v>2360.1</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5</v>
      </c>
      <c r="H75" s="1007"/>
      <c r="I75" s="1008"/>
      <c r="J75" s="1005">
        <f>(J23+J27+J34+J43+J60+J65+J67+J69+J71)*('SDK1'!$O$59%*$G$75/12)</f>
        <v>8.2230583754444471</v>
      </c>
      <c r="K75" s="2223"/>
      <c r="L75" s="522"/>
      <c r="M75" s="1005">
        <f>(M23+M27+M34+M43+M60+M65+M67+M69+M71)*('SDK1'!$O$59%*$G$75/12)</f>
        <v>8.5600835588888913</v>
      </c>
      <c r="N75" s="1007"/>
      <c r="O75" s="1006"/>
      <c r="P75" s="1005">
        <f>(P23+P27+P34+P43+P60+P65+P67+P69+P71)*('SDK1'!$O$59%*$G$75/12)</f>
        <v>9.1801246332500011</v>
      </c>
      <c r="Q75" s="28"/>
    </row>
    <row r="76" spans="1:20">
      <c r="L76" s="29"/>
    </row>
    <row r="77" spans="1:20">
      <c r="B77" s="2919"/>
      <c r="C77" s="2919"/>
      <c r="D77" s="2919"/>
      <c r="E77" s="2919"/>
      <c r="F77" s="2919"/>
      <c r="G77" s="2919"/>
      <c r="H77" s="2919"/>
      <c r="L77" s="29"/>
      <c r="M77" s="2608"/>
      <c r="N77" s="2608"/>
      <c r="O77" s="2608"/>
      <c r="P77" s="2608"/>
      <c r="Q77" s="2608"/>
    </row>
    <row r="78" spans="1:20">
      <c r="B78" s="2919"/>
      <c r="C78" s="2919"/>
      <c r="D78" s="2919"/>
      <c r="E78" s="2919"/>
      <c r="F78" s="2919"/>
      <c r="G78" s="2919"/>
      <c r="H78" s="2919"/>
      <c r="I78" s="2608"/>
      <c r="J78" s="2608"/>
      <c r="K78" s="2608"/>
      <c r="L78" s="2608"/>
      <c r="M78" s="2608"/>
      <c r="N78" s="2608"/>
      <c r="O78" s="2608"/>
      <c r="P78" s="2608"/>
      <c r="Q78" s="2608"/>
    </row>
    <row r="79" spans="1:20">
      <c r="B79" s="2919"/>
      <c r="C79" s="2919"/>
      <c r="D79" s="2919"/>
      <c r="E79" s="2919"/>
      <c r="F79" s="2919"/>
      <c r="G79" s="2919"/>
      <c r="H79" s="2919"/>
      <c r="I79" s="2608"/>
      <c r="J79" s="2608"/>
      <c r="K79" s="2608"/>
      <c r="L79" s="2608"/>
      <c r="M79" s="2608"/>
      <c r="N79" s="2608"/>
      <c r="O79" s="2608"/>
      <c r="P79" s="2608"/>
      <c r="Q79" s="2608"/>
    </row>
    <row r="80" spans="1:20">
      <c r="B80" s="2919"/>
      <c r="C80" s="2919"/>
      <c r="D80" s="2919"/>
      <c r="E80" s="2919"/>
      <c r="F80" s="2919"/>
      <c r="G80" s="2919"/>
      <c r="H80" s="2919"/>
      <c r="I80" s="2608"/>
      <c r="J80" s="2608"/>
      <c r="K80" s="2608"/>
      <c r="L80" s="2608"/>
      <c r="M80" s="2608"/>
      <c r="N80" s="2608"/>
      <c r="O80" s="2608"/>
      <c r="P80" s="2608"/>
      <c r="Q80" s="2608"/>
    </row>
    <row r="81" spans="2:17">
      <c r="B81" s="2919"/>
      <c r="C81" s="2919"/>
      <c r="D81" s="2919"/>
      <c r="E81" s="2919"/>
      <c r="F81" s="2919"/>
      <c r="G81" s="2919"/>
      <c r="H81" s="2919"/>
      <c r="I81" s="2608"/>
      <c r="J81" s="2608"/>
      <c r="K81" s="2608"/>
      <c r="L81" s="2608"/>
      <c r="M81" s="2608"/>
      <c r="N81" s="2608"/>
      <c r="O81" s="2608"/>
      <c r="P81" s="2608"/>
      <c r="Q81" s="2608"/>
    </row>
    <row r="82" spans="2:17">
      <c r="B82" s="2919"/>
      <c r="C82" s="2919"/>
      <c r="D82" s="2919"/>
      <c r="E82" s="2919"/>
      <c r="F82" s="2919"/>
      <c r="G82" s="2919"/>
      <c r="H82" s="2919"/>
      <c r="I82" s="2608"/>
      <c r="J82" s="2608"/>
      <c r="K82" s="2608"/>
      <c r="L82" s="2608"/>
      <c r="M82" s="2608"/>
      <c r="N82" s="2608"/>
      <c r="O82" s="2608"/>
      <c r="P82" s="2608"/>
      <c r="Q82" s="2608"/>
    </row>
    <row r="83" spans="2:17">
      <c r="B83" s="2919"/>
      <c r="C83" s="2919"/>
      <c r="D83" s="2919"/>
      <c r="E83" s="2919"/>
      <c r="F83" s="2919"/>
      <c r="G83" s="2919"/>
      <c r="H83" s="2919"/>
      <c r="I83" s="2608"/>
      <c r="J83" s="2608"/>
      <c r="K83" s="2608"/>
      <c r="L83" s="2608"/>
      <c r="M83" s="2608"/>
      <c r="N83" s="2608"/>
      <c r="O83" s="2608"/>
      <c r="P83" s="2608"/>
      <c r="Q83" s="2608"/>
    </row>
    <row r="84" spans="2:17">
      <c r="B84" s="2919"/>
      <c r="C84" s="2919"/>
      <c r="D84" s="2919"/>
      <c r="E84" s="2919"/>
      <c r="F84" s="2919"/>
      <c r="G84" s="2919"/>
      <c r="H84" s="2919"/>
      <c r="I84" s="2608"/>
      <c r="J84" s="2608"/>
      <c r="K84" s="2608"/>
      <c r="L84" s="2608"/>
      <c r="M84" s="2608"/>
      <c r="N84" s="2608"/>
      <c r="O84" s="2608"/>
      <c r="P84" s="2608"/>
      <c r="Q84" s="2608"/>
    </row>
    <row r="85" spans="2:17">
      <c r="B85" s="2919"/>
      <c r="C85" s="2919"/>
      <c r="D85" s="2919"/>
      <c r="E85" s="2919"/>
      <c r="F85" s="2919"/>
      <c r="G85" s="2919"/>
      <c r="H85" s="2919"/>
      <c r="I85" s="2608"/>
      <c r="J85" s="2608"/>
      <c r="K85" s="2608"/>
      <c r="L85" s="2608"/>
      <c r="M85" s="2608"/>
      <c r="N85" s="2608"/>
      <c r="O85" s="2608"/>
      <c r="P85" s="2608"/>
      <c r="Q85" s="2608"/>
    </row>
    <row r="86" spans="2:17">
      <c r="B86" s="2919"/>
      <c r="C86" s="2919"/>
      <c r="D86" s="2919"/>
      <c r="E86" s="2919"/>
      <c r="F86" s="2919"/>
      <c r="G86" s="2919"/>
      <c r="H86" s="2919"/>
      <c r="I86" s="2608"/>
      <c r="J86" s="2608"/>
      <c r="K86" s="2608"/>
      <c r="L86" s="2608"/>
      <c r="M86" s="2608"/>
      <c r="N86" s="2608"/>
      <c r="O86" s="2608"/>
      <c r="P86" s="2608"/>
      <c r="Q86" s="2608"/>
    </row>
    <row r="87" spans="2:17">
      <c r="B87" s="2919"/>
      <c r="C87" s="2919"/>
      <c r="D87" s="2919"/>
      <c r="E87" s="2919"/>
      <c r="F87" s="2919"/>
      <c r="G87" s="2919"/>
      <c r="H87" s="2919"/>
      <c r="I87" s="2608"/>
      <c r="J87" s="2608"/>
      <c r="K87" s="2608"/>
      <c r="L87" s="2608"/>
      <c r="M87" s="2608"/>
      <c r="N87" s="2608"/>
      <c r="O87" s="2608"/>
      <c r="P87" s="2608"/>
      <c r="Q87" s="2608"/>
    </row>
    <row r="88" spans="2:17" ht="13.2" customHeight="1">
      <c r="B88" s="2919"/>
      <c r="C88" s="2919"/>
      <c r="D88" s="2919"/>
      <c r="E88" s="2919"/>
      <c r="F88" s="2919"/>
      <c r="G88" s="2919"/>
      <c r="H88" s="2919"/>
      <c r="I88" s="2608"/>
      <c r="J88" s="2608"/>
      <c r="K88" s="2608"/>
      <c r="L88" s="2608"/>
      <c r="M88" s="2608"/>
      <c r="N88" s="2608"/>
      <c r="O88" s="2608"/>
      <c r="P88" s="2608"/>
      <c r="Q88" s="2608"/>
    </row>
    <row r="89" spans="2:17">
      <c r="B89" s="2919"/>
      <c r="C89" s="2919"/>
      <c r="D89" s="2919"/>
      <c r="E89" s="2919"/>
      <c r="F89" s="2919"/>
      <c r="G89" s="2919"/>
      <c r="H89" s="2919"/>
      <c r="I89" s="2608"/>
      <c r="J89" s="2608"/>
      <c r="K89" s="2608"/>
      <c r="L89" s="2608"/>
      <c r="M89" s="2608"/>
      <c r="N89" s="2608"/>
      <c r="O89" s="2608"/>
      <c r="P89" s="2608"/>
      <c r="Q89" s="2608"/>
    </row>
    <row r="90" spans="2:17">
      <c r="B90" s="2919"/>
      <c r="C90" s="2919"/>
      <c r="D90" s="2919"/>
      <c r="E90" s="2919"/>
      <c r="F90" s="2919"/>
      <c r="G90" s="2919"/>
      <c r="H90" s="2919"/>
      <c r="I90" s="2608"/>
      <c r="J90" s="2608"/>
      <c r="K90" s="2608"/>
      <c r="L90" s="2608"/>
      <c r="M90" s="2608"/>
      <c r="N90" s="2608"/>
      <c r="O90" s="2608"/>
      <c r="P90" s="2608"/>
      <c r="Q90" s="2608"/>
    </row>
    <row r="91" spans="2:17">
      <c r="B91" s="2919"/>
      <c r="C91" s="2919"/>
      <c r="D91" s="2919"/>
      <c r="E91" s="2919"/>
      <c r="F91" s="2919"/>
      <c r="G91" s="2919"/>
      <c r="H91" s="2919"/>
      <c r="I91" s="2608"/>
      <c r="J91" s="2608"/>
      <c r="K91" s="2608"/>
      <c r="L91" s="2608"/>
      <c r="M91" s="2608"/>
      <c r="N91" s="2608"/>
      <c r="O91" s="2608"/>
      <c r="P91" s="2608"/>
      <c r="Q91" s="2608"/>
    </row>
    <row r="92" spans="2:17">
      <c r="B92" s="2919"/>
      <c r="C92" s="2919"/>
      <c r="D92" s="2919"/>
      <c r="E92" s="2919"/>
      <c r="F92" s="2919"/>
      <c r="G92" s="2919"/>
      <c r="H92" s="2919"/>
      <c r="I92" s="2608"/>
      <c r="J92" s="2608"/>
      <c r="K92" s="2608"/>
      <c r="L92" s="2608"/>
      <c r="M92" s="2608"/>
      <c r="N92" s="2608"/>
      <c r="O92" s="2608"/>
      <c r="P92" s="2608"/>
      <c r="Q92" s="2608"/>
    </row>
    <row r="93" spans="2:17">
      <c r="B93" s="2919"/>
      <c r="C93" s="2919"/>
      <c r="D93" s="2919"/>
      <c r="E93" s="2919"/>
      <c r="F93" s="2919"/>
      <c r="G93" s="2919"/>
      <c r="H93" s="2919"/>
      <c r="I93" s="2608"/>
      <c r="J93" s="2608"/>
      <c r="K93" s="2608"/>
      <c r="L93" s="2608"/>
      <c r="M93" s="2608"/>
      <c r="N93" s="2608"/>
      <c r="O93" s="2608"/>
      <c r="P93" s="2608"/>
      <c r="Q93" s="2608"/>
    </row>
    <row r="94" spans="2:17">
      <c r="B94" s="2919"/>
      <c r="C94" s="2919"/>
      <c r="D94" s="2919"/>
      <c r="E94" s="2919"/>
      <c r="F94" s="2919"/>
      <c r="G94" s="2919"/>
      <c r="H94" s="2919"/>
      <c r="I94" s="2608"/>
      <c r="J94" s="2608"/>
      <c r="K94" s="2608"/>
      <c r="L94" s="2608"/>
      <c r="M94" s="2608"/>
      <c r="N94" s="2608"/>
      <c r="O94" s="2608"/>
      <c r="P94" s="2608"/>
      <c r="Q94" s="2608"/>
    </row>
    <row r="95" spans="2:17">
      <c r="B95" s="2919"/>
      <c r="C95" s="2919"/>
      <c r="D95" s="2919"/>
      <c r="E95" s="2919"/>
      <c r="F95" s="2919"/>
      <c r="G95" s="2919"/>
      <c r="H95" s="2919"/>
      <c r="I95" s="2608"/>
      <c r="J95" s="2608"/>
      <c r="K95" s="2608"/>
      <c r="L95" s="2608"/>
      <c r="M95" s="2608"/>
      <c r="N95" s="2608"/>
      <c r="O95" s="2608"/>
      <c r="P95" s="2608"/>
      <c r="Q95" s="2608"/>
    </row>
    <row r="96" spans="2:17">
      <c r="B96" s="2919"/>
      <c r="C96" s="2919"/>
      <c r="D96" s="2919"/>
      <c r="E96" s="2919"/>
      <c r="F96" s="2919"/>
      <c r="G96" s="2919"/>
      <c r="H96" s="2919"/>
      <c r="I96" s="2608"/>
      <c r="J96" s="2608"/>
      <c r="K96" s="2608"/>
      <c r="L96" s="2608"/>
      <c r="M96" s="2608"/>
      <c r="N96" s="2608"/>
      <c r="O96" s="2608"/>
      <c r="P96" s="2608"/>
      <c r="Q96" s="2608"/>
    </row>
    <row r="97" spans="2:17">
      <c r="C97" s="29"/>
      <c r="D97" s="29"/>
      <c r="E97" s="29"/>
      <c r="G97" s="2608"/>
      <c r="H97" s="2608"/>
      <c r="I97" s="2608"/>
      <c r="J97" s="2608"/>
      <c r="K97" s="2608"/>
      <c r="L97" s="2608"/>
      <c r="M97" s="2608"/>
      <c r="N97" s="2608"/>
      <c r="O97" s="2608"/>
      <c r="P97" s="2608"/>
      <c r="Q97" s="2608"/>
    </row>
    <row r="98" spans="2:17">
      <c r="C98" s="29"/>
      <c r="D98" s="29"/>
      <c r="E98" s="29"/>
      <c r="G98" s="2608"/>
      <c r="H98" s="2608"/>
      <c r="I98" s="2608"/>
      <c r="J98" s="2608"/>
      <c r="K98" s="2608"/>
      <c r="L98" s="2608"/>
      <c r="M98" s="2608"/>
      <c r="N98" s="2608"/>
      <c r="O98" s="2608"/>
      <c r="P98" s="2608"/>
      <c r="Q98" s="2608"/>
    </row>
    <row r="99" spans="2:17">
      <c r="B99" s="29"/>
      <c r="C99" s="29"/>
      <c r="D99" s="29"/>
      <c r="E99" s="29"/>
      <c r="G99" s="2608"/>
      <c r="H99" s="2608"/>
      <c r="I99" s="2608"/>
      <c r="J99" s="2608"/>
      <c r="K99" s="2608"/>
      <c r="L99" s="2608"/>
      <c r="M99" s="2608"/>
      <c r="N99" s="2608"/>
      <c r="O99" s="2608"/>
      <c r="P99" s="2608"/>
      <c r="Q99" s="2608"/>
    </row>
    <row r="100" spans="2:17">
      <c r="B100" s="29"/>
      <c r="C100" s="29"/>
      <c r="D100" s="29"/>
      <c r="E100" s="29"/>
      <c r="G100" s="2608"/>
      <c r="H100" s="2608"/>
      <c r="I100" s="2608"/>
      <c r="J100" s="2608"/>
      <c r="K100" s="2608"/>
      <c r="L100" s="2608"/>
      <c r="M100" s="2608"/>
      <c r="N100" s="2608"/>
      <c r="O100" s="2608"/>
      <c r="P100" s="2608"/>
      <c r="Q100" s="2608"/>
    </row>
    <row r="101" spans="2:17">
      <c r="B101" s="29"/>
      <c r="C101" s="29"/>
      <c r="D101" s="29"/>
      <c r="E101" s="29"/>
      <c r="G101" s="2608"/>
      <c r="H101" s="2608"/>
      <c r="I101" s="2608"/>
      <c r="J101" s="2608"/>
      <c r="K101" s="2608"/>
      <c r="L101" s="2608"/>
      <c r="M101" s="2608"/>
      <c r="N101" s="2608"/>
      <c r="O101" s="2608"/>
      <c r="P101" s="2608"/>
      <c r="Q101" s="2608"/>
    </row>
    <row r="102" spans="2:17">
      <c r="B102" s="29"/>
      <c r="C102" s="29"/>
      <c r="D102" s="29"/>
      <c r="E102" s="29"/>
      <c r="G102" s="2608"/>
      <c r="H102" s="2608"/>
      <c r="I102" s="2608"/>
      <c r="J102" s="2608"/>
      <c r="K102" s="2608"/>
      <c r="L102" s="2608"/>
      <c r="M102" s="2608"/>
      <c r="N102" s="2608"/>
      <c r="O102" s="2608"/>
      <c r="P102" s="2608"/>
      <c r="Q102" s="2608"/>
    </row>
    <row r="103" spans="2:17">
      <c r="B103" s="29"/>
      <c r="C103" s="29"/>
      <c r="D103" s="29"/>
      <c r="G103" s="2608"/>
      <c r="H103" s="2608"/>
      <c r="I103" s="2608"/>
      <c r="J103" s="2608"/>
      <c r="K103" s="2608"/>
      <c r="L103" s="2608"/>
      <c r="M103" s="2608"/>
      <c r="N103" s="2608"/>
      <c r="O103" s="2608"/>
      <c r="P103" s="2608"/>
      <c r="Q103" s="2608"/>
    </row>
    <row r="104" spans="2:17">
      <c r="B104" s="29"/>
      <c r="C104" s="29"/>
      <c r="D104" s="29"/>
      <c r="G104" s="2608"/>
      <c r="H104" s="2608"/>
      <c r="I104" s="2608"/>
      <c r="J104" s="2608"/>
      <c r="K104" s="2608"/>
      <c r="L104" s="2608"/>
      <c r="M104" s="2608"/>
      <c r="N104" s="2608"/>
      <c r="O104" s="2608"/>
      <c r="P104" s="2608"/>
      <c r="Q104" s="2608"/>
    </row>
    <row r="105" spans="2:17">
      <c r="B105" s="29"/>
      <c r="C105" s="29"/>
      <c r="D105" s="29"/>
      <c r="G105" s="2608"/>
      <c r="H105" s="2608"/>
      <c r="I105" s="2608"/>
      <c r="J105" s="2608"/>
      <c r="K105" s="2608"/>
      <c r="L105" s="2608"/>
      <c r="M105" s="2608"/>
      <c r="N105" s="2608"/>
      <c r="O105" s="2608"/>
      <c r="P105" s="2608"/>
      <c r="Q105" s="2608"/>
    </row>
    <row r="106" spans="2:17">
      <c r="B106" s="29"/>
      <c r="C106" s="29"/>
      <c r="D106" s="29"/>
      <c r="G106" s="2608"/>
      <c r="H106" s="2608"/>
      <c r="I106" s="2608"/>
      <c r="J106" s="2608"/>
      <c r="K106" s="2608"/>
      <c r="L106" s="2608"/>
      <c r="M106" s="2608"/>
      <c r="N106" s="2608"/>
      <c r="O106" s="2608"/>
      <c r="P106" s="2608"/>
      <c r="Q106" s="2608"/>
    </row>
    <row r="107" spans="2:17">
      <c r="G107" s="2608"/>
      <c r="H107" s="2608"/>
      <c r="I107" s="2608"/>
      <c r="J107" s="2608"/>
      <c r="K107" s="2608"/>
      <c r="L107" s="2608"/>
      <c r="M107" s="2608"/>
      <c r="N107" s="2608"/>
      <c r="O107" s="2608"/>
      <c r="P107" s="2608"/>
    </row>
    <row r="108" spans="2:17">
      <c r="G108" s="2608"/>
      <c r="H108" s="2608"/>
      <c r="I108" s="2608"/>
      <c r="J108" s="2608"/>
      <c r="K108" s="2608"/>
      <c r="L108" s="2608"/>
      <c r="M108" s="2608"/>
      <c r="N108" s="2608"/>
      <c r="O108" s="2608"/>
      <c r="P108" s="2608"/>
      <c r="Q108" s="2608"/>
    </row>
    <row r="109" spans="2:17">
      <c r="G109" s="2608"/>
      <c r="H109" s="2608"/>
      <c r="I109" s="2608"/>
      <c r="J109" s="2608"/>
      <c r="K109" s="2608"/>
      <c r="L109" s="2608"/>
      <c r="M109" s="2608"/>
      <c r="N109" s="2608"/>
      <c r="O109" s="2608"/>
      <c r="P109" s="2608"/>
      <c r="Q109" s="2608"/>
    </row>
    <row r="110" spans="2:17">
      <c r="G110" s="2608"/>
      <c r="H110" s="2608"/>
      <c r="I110" s="2608"/>
      <c r="J110" s="2608"/>
      <c r="K110" s="2608"/>
      <c r="L110" s="2608"/>
      <c r="M110" s="2608"/>
      <c r="N110" s="2608"/>
      <c r="O110" s="2608"/>
      <c r="P110" s="2608"/>
      <c r="Q110" s="2608"/>
    </row>
    <row r="111" spans="2:17">
      <c r="G111" s="2608"/>
      <c r="H111" s="2608"/>
      <c r="I111" s="2608"/>
      <c r="J111" s="2608"/>
      <c r="K111" s="2608"/>
      <c r="L111" s="2608"/>
      <c r="M111" s="2608"/>
      <c r="N111" s="2608"/>
      <c r="O111" s="2608"/>
      <c r="P111" s="2608"/>
      <c r="Q111" s="2608"/>
    </row>
    <row r="112" spans="2:17">
      <c r="G112" s="2608"/>
      <c r="H112" s="2608"/>
      <c r="I112" s="2608"/>
      <c r="J112" s="2608"/>
      <c r="K112" s="2608"/>
      <c r="L112" s="2608"/>
      <c r="M112" s="2608"/>
      <c r="N112" s="2608"/>
      <c r="O112" s="2608"/>
      <c r="P112" s="2608"/>
      <c r="Q112" s="2608"/>
    </row>
    <row r="113" spans="2:17">
      <c r="G113" s="2608"/>
      <c r="H113" s="2608"/>
      <c r="I113" s="2608"/>
      <c r="J113" s="2608"/>
      <c r="K113" s="2608"/>
      <c r="L113" s="2608"/>
      <c r="M113" s="2608"/>
      <c r="N113" s="2608"/>
      <c r="O113" s="2608"/>
      <c r="P113" s="2608"/>
      <c r="Q113" s="2608"/>
    </row>
    <row r="114" spans="2:17">
      <c r="G114" s="2608"/>
      <c r="H114" s="2608"/>
      <c r="I114" s="2608"/>
      <c r="J114" s="2608"/>
      <c r="K114" s="2608"/>
      <c r="L114" s="2608"/>
      <c r="M114" s="2608"/>
      <c r="N114" s="2608"/>
      <c r="O114" s="2608"/>
      <c r="P114" s="2608"/>
      <c r="Q114" s="2608"/>
    </row>
    <row r="115" spans="2:17">
      <c r="G115" s="2608"/>
      <c r="H115" s="2608"/>
      <c r="I115" s="2608"/>
      <c r="J115" s="2608"/>
      <c r="K115" s="2608"/>
      <c r="L115" s="2608"/>
      <c r="M115" s="2608"/>
      <c r="N115" s="2608"/>
      <c r="O115" s="2608"/>
      <c r="P115" s="2608"/>
      <c r="Q115" s="2608"/>
    </row>
    <row r="116" spans="2:17">
      <c r="G116" s="2608"/>
      <c r="H116" s="2608"/>
      <c r="I116" s="2608"/>
      <c r="J116" s="2608"/>
      <c r="K116" s="2608"/>
      <c r="L116" s="2608"/>
      <c r="M116" s="2608"/>
      <c r="N116" s="2608"/>
      <c r="O116" s="2608"/>
      <c r="P116" s="2608"/>
      <c r="Q116" s="2608"/>
    </row>
    <row r="117" spans="2:17">
      <c r="G117" s="2608"/>
      <c r="H117" s="2608"/>
      <c r="I117" s="2608"/>
      <c r="J117" s="2608"/>
      <c r="K117" s="2608"/>
      <c r="L117" s="2608"/>
      <c r="M117" s="2608"/>
      <c r="N117" s="2608"/>
      <c r="O117" s="2608"/>
      <c r="P117" s="2608"/>
      <c r="Q117" s="2608"/>
    </row>
    <row r="118" spans="2:17">
      <c r="B118" s="440"/>
      <c r="C118" s="29"/>
      <c r="K118" s="2608"/>
      <c r="L118" s="2608"/>
      <c r="M118" s="2608"/>
      <c r="N118" s="2608"/>
      <c r="O118" s="2608"/>
      <c r="P118" s="2608"/>
      <c r="Q118" s="2608"/>
    </row>
    <row r="119" spans="2:17">
      <c r="B119" s="440"/>
      <c r="C119" s="29"/>
      <c r="K119" s="2608"/>
      <c r="L119" s="2608"/>
      <c r="M119" s="2608"/>
      <c r="N119" s="2608"/>
      <c r="O119" s="2608"/>
      <c r="P119" s="2608"/>
      <c r="Q119" s="2608"/>
    </row>
    <row r="120" spans="2:17">
      <c r="B120" s="440"/>
      <c r="C120" s="29"/>
      <c r="K120" s="2608"/>
      <c r="L120" s="2608"/>
      <c r="M120" s="2608"/>
      <c r="N120" s="2608"/>
      <c r="O120" s="2608"/>
      <c r="P120" s="2608"/>
      <c r="Q120" s="2608"/>
    </row>
    <row r="121" spans="2:17">
      <c r="B121" s="440"/>
      <c r="C121" s="29"/>
      <c r="K121" s="2608"/>
      <c r="L121" s="2608"/>
      <c r="M121" s="2608"/>
      <c r="N121" s="2608"/>
      <c r="O121" s="2608"/>
      <c r="P121" s="2608"/>
      <c r="Q121" s="2608"/>
    </row>
    <row r="122" spans="2:17">
      <c r="B122" s="440"/>
      <c r="C122" s="29"/>
      <c r="K122" s="2608"/>
      <c r="L122" s="2608"/>
      <c r="M122" s="2608"/>
      <c r="N122" s="2608"/>
      <c r="O122" s="2608"/>
      <c r="P122" s="2608"/>
      <c r="Q122" s="2608"/>
    </row>
    <row r="123" spans="2:17">
      <c r="B123" s="440"/>
      <c r="C123" s="29"/>
      <c r="K123" s="2608"/>
      <c r="L123" s="2608"/>
      <c r="M123" s="2608"/>
      <c r="N123" s="2608"/>
      <c r="O123" s="2608"/>
      <c r="P123" s="2608"/>
      <c r="Q123" s="2608"/>
    </row>
    <row r="124" spans="2:17">
      <c r="B124" s="440"/>
      <c r="C124" s="29"/>
      <c r="K124" s="2608"/>
      <c r="L124" s="2608"/>
      <c r="M124" s="2608"/>
      <c r="N124" s="2608"/>
      <c r="O124" s="2608"/>
      <c r="P124" s="2608"/>
      <c r="Q124" s="2608"/>
    </row>
    <row r="125" spans="2:17">
      <c r="B125" s="440"/>
      <c r="C125" s="29"/>
      <c r="K125" s="2608"/>
      <c r="L125" s="2608"/>
      <c r="M125" s="2608"/>
      <c r="N125" s="2608"/>
      <c r="O125" s="2608"/>
      <c r="P125" s="2608"/>
      <c r="Q125" s="2608"/>
    </row>
    <row r="126" spans="2:17">
      <c r="B126" s="440"/>
      <c r="C126" s="29"/>
      <c r="K126" s="2608"/>
      <c r="L126" s="2608"/>
      <c r="M126" s="2608"/>
      <c r="N126" s="2608"/>
      <c r="O126" s="2608"/>
      <c r="P126" s="2608"/>
      <c r="Q126" s="2608"/>
    </row>
    <row r="127" spans="2:17">
      <c r="B127" s="440"/>
      <c r="C127" s="29"/>
      <c r="K127" s="2608"/>
      <c r="L127" s="2608"/>
      <c r="M127" s="2608"/>
      <c r="N127" s="2608"/>
      <c r="O127" s="2608"/>
      <c r="P127" s="2608"/>
      <c r="Q127" s="2608"/>
    </row>
    <row r="128" spans="2:17">
      <c r="B128" s="440"/>
      <c r="C128" s="29"/>
      <c r="K128" s="2608"/>
      <c r="L128" s="2608"/>
      <c r="M128" s="2608"/>
      <c r="N128" s="2608"/>
      <c r="O128" s="2608"/>
      <c r="P128" s="2608"/>
      <c r="Q128" s="2608"/>
    </row>
    <row r="129" spans="2:17">
      <c r="B129" s="440"/>
      <c r="C129" s="29"/>
      <c r="K129" s="2608"/>
      <c r="L129" s="2608"/>
      <c r="M129" s="2608"/>
      <c r="N129" s="2608"/>
      <c r="O129" s="2608"/>
      <c r="P129" s="2608"/>
      <c r="Q129" s="2608"/>
    </row>
    <row r="130" spans="2:17">
      <c r="B130" s="440"/>
      <c r="C130" s="29"/>
      <c r="K130" s="2608"/>
      <c r="L130" s="2608"/>
      <c r="M130" s="2608"/>
      <c r="N130" s="2608"/>
      <c r="O130" s="2608"/>
      <c r="P130" s="2608"/>
      <c r="Q130" s="2608"/>
    </row>
    <row r="131" spans="2:17">
      <c r="B131" s="440"/>
      <c r="C131" s="29"/>
      <c r="K131" s="2608"/>
      <c r="L131" s="2608"/>
      <c r="M131" s="2608"/>
      <c r="N131" s="2608"/>
      <c r="O131" s="2608"/>
      <c r="P131" s="2608"/>
      <c r="Q131" s="2608"/>
    </row>
    <row r="132" spans="2:17">
      <c r="B132" s="440"/>
      <c r="C132" s="29"/>
      <c r="K132" s="2608"/>
      <c r="L132" s="2608"/>
      <c r="M132" s="2608"/>
      <c r="N132" s="2608"/>
      <c r="O132" s="2608"/>
      <c r="P132" s="2608"/>
      <c r="Q132" s="2608"/>
    </row>
    <row r="133" spans="2:17">
      <c r="B133" s="440"/>
      <c r="C133" s="29"/>
      <c r="K133" s="2608"/>
      <c r="L133" s="2608"/>
      <c r="M133" s="2608"/>
      <c r="N133" s="2608"/>
      <c r="O133" s="2608"/>
      <c r="P133" s="2608"/>
      <c r="Q133" s="2608"/>
    </row>
    <row r="134" spans="2:17">
      <c r="B134" s="440"/>
      <c r="C134" s="29"/>
      <c r="K134" s="2608"/>
      <c r="L134" s="2608"/>
      <c r="M134" s="2608"/>
      <c r="N134" s="2608"/>
      <c r="O134" s="2608"/>
      <c r="P134" s="2608"/>
      <c r="Q134" s="2608"/>
    </row>
    <row r="135" spans="2:17">
      <c r="B135" s="440"/>
      <c r="C135" s="29"/>
      <c r="K135" s="2608"/>
      <c r="L135" s="2608"/>
      <c r="M135" s="2608"/>
      <c r="N135" s="2608"/>
      <c r="O135" s="2608"/>
      <c r="P135" s="2608"/>
      <c r="Q135" s="2608"/>
    </row>
    <row r="136" spans="2:17">
      <c r="B136" s="440"/>
      <c r="C136" s="29"/>
      <c r="K136" s="2608"/>
      <c r="L136" s="2608"/>
      <c r="M136" s="2608"/>
      <c r="N136" s="2608"/>
      <c r="O136" s="2608"/>
      <c r="P136" s="2608"/>
      <c r="Q136" s="2608"/>
    </row>
    <row r="137" spans="2:17">
      <c r="B137" s="440"/>
      <c r="C137" s="29"/>
      <c r="L137" s="29"/>
    </row>
    <row r="138" spans="2:17">
      <c r="B138" s="440"/>
      <c r="C138" s="29"/>
      <c r="L138" s="29"/>
    </row>
    <row r="139" spans="2:17">
      <c r="B139" s="440"/>
      <c r="C139" s="29"/>
      <c r="L139" s="29"/>
    </row>
    <row r="140" spans="2:17">
      <c r="B140" s="440"/>
      <c r="C140" s="29"/>
      <c r="L140" s="29"/>
    </row>
    <row r="141" spans="2:17">
      <c r="B141" s="440"/>
      <c r="C141" s="29"/>
      <c r="L141" s="29"/>
    </row>
    <row r="142" spans="2:17">
      <c r="B142" s="440"/>
      <c r="C142" s="29"/>
      <c r="L142" s="29"/>
    </row>
    <row r="143" spans="2:17">
      <c r="B143" s="440"/>
      <c r="C143" s="29"/>
      <c r="L143" s="29"/>
    </row>
    <row r="144" spans="2:17">
      <c r="B144" s="440"/>
      <c r="C144" s="29"/>
      <c r="L144" s="29"/>
    </row>
    <row r="145" spans="2:12">
      <c r="B145" s="440"/>
      <c r="C145" s="29"/>
      <c r="L145" s="29"/>
    </row>
    <row r="146" spans="2:12">
      <c r="B146" s="440"/>
      <c r="C146" s="29"/>
      <c r="L146" s="29"/>
    </row>
    <row r="147" spans="2:12">
      <c r="B147" s="440"/>
      <c r="C147" s="29"/>
    </row>
    <row r="148" spans="2:12">
      <c r="B148" s="440"/>
      <c r="C148" s="29"/>
    </row>
    <row r="149" spans="2:12">
      <c r="B149" s="440"/>
      <c r="C149" s="29"/>
    </row>
    <row r="150" spans="2:12">
      <c r="B150" s="440"/>
      <c r="C150" s="29"/>
    </row>
    <row r="151" spans="2:12">
      <c r="B151" s="440"/>
      <c r="C151" s="29"/>
      <c r="H151" s="1354"/>
      <c r="J151" s="1563"/>
    </row>
    <row r="152" spans="2:12">
      <c r="B152" s="440"/>
      <c r="C152" s="29"/>
      <c r="H152" s="1354"/>
      <c r="J152" s="1563"/>
    </row>
    <row r="153" spans="2:12">
      <c r="B153" s="440"/>
      <c r="C153" s="29"/>
      <c r="H153" s="1354"/>
      <c r="J153" s="1563"/>
    </row>
    <row r="154" spans="2:12">
      <c r="B154" s="440"/>
      <c r="C154" s="29"/>
      <c r="D154" s="29"/>
      <c r="F154" s="29"/>
      <c r="G154" s="29"/>
      <c r="H154" s="29"/>
      <c r="I154" s="29"/>
      <c r="J154" s="29"/>
      <c r="K154" s="29"/>
    </row>
    <row r="155" spans="2:12">
      <c r="B155" s="440"/>
      <c r="C155" s="29"/>
      <c r="D155" s="29"/>
      <c r="F155" s="29"/>
      <c r="G155" s="29"/>
      <c r="H155" s="29"/>
      <c r="I155" s="29"/>
      <c r="J155" s="29"/>
      <c r="K155" s="29"/>
    </row>
    <row r="156" spans="2:12">
      <c r="B156" s="440"/>
      <c r="C156" s="29"/>
      <c r="D156" s="29"/>
      <c r="F156" s="29"/>
      <c r="G156" s="29"/>
      <c r="H156" s="29"/>
      <c r="I156" s="29"/>
      <c r="J156" s="29"/>
      <c r="K156" s="29"/>
    </row>
    <row r="157" spans="2:12">
      <c r="B157" s="440"/>
      <c r="C157" s="29"/>
      <c r="D157" s="29"/>
      <c r="F157" s="29"/>
      <c r="G157" s="29"/>
      <c r="H157" s="29"/>
      <c r="I157" s="29"/>
      <c r="J157" s="29"/>
      <c r="K157" s="29"/>
    </row>
    <row r="158" spans="2:12">
      <c r="B158" s="440"/>
      <c r="C158" s="29"/>
      <c r="D158" s="29"/>
      <c r="F158" s="29"/>
      <c r="G158" s="29"/>
      <c r="H158" s="29"/>
      <c r="I158" s="29"/>
      <c r="J158" s="29"/>
      <c r="K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heet="1" selectLockedCells="1"/>
  <customSheetViews>
    <customSheetView guid="{8063F48F-80B5-4ECD-B18A-51CBF126E780}" fitToPage="1" printArea="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50" orientation="portrait" r:id="rId1"/>
      <headerFooter alignWithMargins="0">
        <oddFooter>&amp;L&amp;11LEL Schwäbisch Gmünd&amp;C
&amp;R&amp;11&amp;F</oddFooter>
      </headerFooter>
    </customSheetView>
    <customSheetView guid="{5D5C9B61-9ABD-4513-AAEB-8333A9D6196C}" fitToPage="1" hiddenRows="1" hiddenColumns="1" topLeftCell="A25">
      <pageMargins left="0.59055118110236227" right="0.57999999999999996" top="0.59055118110236227" bottom="0.59055118110236227" header="0.39370078740157483" footer="0.39370078740157483"/>
      <printOptions horizontalCentered="1"/>
      <pageSetup paperSize="9" scale="70" firstPageNumber="50" orientation="portrait" r:id="rId2"/>
      <headerFooter alignWithMargins="0">
        <oddFooter>&amp;L&amp;11LEL Schwäbisch Gmünd&amp;C
&amp;R&amp;11&amp;F</oddFooter>
      </headerFooter>
    </customSheetView>
    <customSheetView guid="{22A73C4F-9004-4CEF-8499-B1F91BE1B569}"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50" orientation="portrait" r:id="rId3"/>
      <headerFooter alignWithMargins="0">
        <oddFooter>&amp;L&amp;11LEL Schwäbisch Gmünd&amp;C
&amp;R&amp;11&amp;F</oddFooter>
      </headerFooter>
    </customSheetView>
  </customSheetViews>
  <mergeCells count="50">
    <mergeCell ref="C73:E73"/>
    <mergeCell ref="C74:E74"/>
    <mergeCell ref="B75:C75"/>
    <mergeCell ref="F34:G34"/>
    <mergeCell ref="C42:E42"/>
    <mergeCell ref="C57:D57"/>
    <mergeCell ref="C52:D52"/>
    <mergeCell ref="C64:E64"/>
    <mergeCell ref="C53:D53"/>
    <mergeCell ref="C54:D54"/>
    <mergeCell ref="C56:D56"/>
    <mergeCell ref="C51:D51"/>
    <mergeCell ref="C55:D55"/>
    <mergeCell ref="C50:D50"/>
    <mergeCell ref="C46:D46"/>
    <mergeCell ref="C41:E41"/>
    <mergeCell ref="C17:F17"/>
    <mergeCell ref="C19:F19"/>
    <mergeCell ref="D25:E25"/>
    <mergeCell ref="D26:E26"/>
    <mergeCell ref="E22:G22"/>
    <mergeCell ref="C21:F21"/>
    <mergeCell ref="C20:F20"/>
    <mergeCell ref="F23:G23"/>
    <mergeCell ref="K1:L1"/>
    <mergeCell ref="N1:O1"/>
    <mergeCell ref="C16:F16"/>
    <mergeCell ref="K2:P2"/>
    <mergeCell ref="C14:F14"/>
    <mergeCell ref="C15:F15"/>
    <mergeCell ref="K6:L6"/>
    <mergeCell ref="E4:I4"/>
    <mergeCell ref="E10:F10"/>
    <mergeCell ref="B3:H3"/>
    <mergeCell ref="C62:E62"/>
    <mergeCell ref="C63:E63"/>
    <mergeCell ref="C68:E68"/>
    <mergeCell ref="W3:Y3"/>
    <mergeCell ref="W4:Y4"/>
    <mergeCell ref="H6:I6"/>
    <mergeCell ref="C49:D49"/>
    <mergeCell ref="C48:D48"/>
    <mergeCell ref="N6:O6"/>
    <mergeCell ref="C38:E38"/>
    <mergeCell ref="C39:E39"/>
    <mergeCell ref="C36:E36"/>
    <mergeCell ref="C47:D47"/>
    <mergeCell ref="C37:E37"/>
    <mergeCell ref="C40:E40"/>
    <mergeCell ref="N3:O4"/>
  </mergeCells>
  <dataValidations count="5">
    <dataValidation type="whole" allowBlank="1" showInputMessage="1" showErrorMessage="1" errorTitle="Anteil Erntegut" error="Prozentwert darf nur zwischen 0 und 100 liegen." sqref="O68 L68 I68" xr:uid="{00000000-0002-0000-4B00-000000000000}">
      <formula1>0</formula1>
      <formula2>100</formula2>
    </dataValidation>
    <dataValidation type="list" showInputMessage="1" showErrorMessage="1" sqref="H14 K14 N14" xr:uid="{00000000-0002-0000-4B00-000001000000}">
      <formula1>"ja,nein"</formula1>
    </dataValidation>
    <dataValidation type="list" allowBlank="1" showInputMessage="1" showErrorMessage="1" sqref="H15:H17 K15:K17 N15:N17" xr:uid="{00000000-0002-0000-4B00-000002000000}">
      <formula1>"ja,nein"</formula1>
    </dataValidation>
    <dataValidation type="list" allowBlank="1" showInputMessage="1" showErrorMessage="1" sqref="D19:F19" xr:uid="{00000000-0002-0000-4B00-000003000000}">
      <formula1>$C$60:$C$75</formula1>
    </dataValidation>
    <dataValidation type="decimal" allowBlank="1" showInputMessage="1" showErrorMessage="1" errorTitle="Wassergehalt Getreide" error="Zulässig sind nur Werte zwischen 13,1 und 26,9 % Wassergehalt." sqref="H68 K68 N68" xr:uid="{00000000-0002-0000-4B00-000004000000}">
      <formula1>13.1</formula1>
      <formula2>26.9</formula2>
    </dataValidation>
  </dataValidations>
  <hyperlinks>
    <hyperlink ref="F9" location="SDÖ1!A1" display="Preis ändern" xr:uid="{00000000-0004-0000-4B00-000000000000}"/>
  </hyperlinks>
  <printOptions horizontalCentered="1"/>
  <pageMargins left="0.59055118110236227" right="0.57999999999999996" top="0.59055118110236227" bottom="0.59055118110236227" header="0.39370078740157483" footer="0.39370078740157483"/>
  <pageSetup paperSize="9" scale="70" firstPageNumber="50" orientation="portrait" r:id="rId4"/>
  <headerFooter alignWithMargins="0">
    <oddFooter>&amp;L&amp;11LEL Schwäbisch Gmünd&amp;C
&amp;R&amp;11&amp;F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B00-000005000000}">
          <x14:formula1>
            <xm:f>'SD2'!$C$11:$C$50</xm:f>
          </x14:formula1>
          <xm:sqref>C14:F17</xm:sqref>
        </x14:dataValidation>
        <x14:dataValidation type="list" allowBlank="1" showInputMessage="1" showErrorMessage="1" xr:uid="{00000000-0002-0000-4B00-000006000000}">
          <x14:formula1>
            <xm:f>'SD2'!$C$60:$C$77</xm:f>
          </x14:formula1>
          <xm:sqref>C19:C21</xm:sqref>
        </x14:dataValidation>
        <x14:dataValidation type="list" allowBlank="1" showInputMessage="1" showErrorMessage="1" errorTitle="Arbeitsgänge" error="Bitte aus Dropdownliste auswählen." xr:uid="{00000000-0002-0000-4B00-000007000000}">
          <x14:formula1>
            <xm:f>'SD3'!$C$23:$C$75</xm:f>
          </x14:formula1>
          <xm:sqref>C46:D57</xm:sqref>
        </x14:dataValidation>
        <x14:dataValidation type="list" allowBlank="1" showInputMessage="1" showErrorMessage="1" xr:uid="{00000000-0002-0000-4B00-000008000000}">
          <x14:formula1>
            <xm:f>SDÖ5!$C$5:$C$16</xm:f>
          </x14:formula1>
          <xm:sqref>C36:E42</xm:sqref>
        </x14:dataValidation>
        <x14:dataValidation type="list" allowBlank="1" showInputMessage="1" showErrorMessage="1" errorTitle="Lohnmaschinen" error="Bitte aus Dropdownliste auswählen." xr:uid="{00000000-0002-0000-4B00-000009000000}">
          <x14:formula1>
            <xm:f>'SD3'!$C$90:$C$104</xm:f>
          </x14:formula1>
          <xm:sqref>C62:E64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Tabelle93">
    <tabColor rgb="FFFFFF00"/>
    <pageSetUpPr fitToPage="1"/>
  </sheetPr>
  <dimension ref="A1:AO206"/>
  <sheetViews>
    <sheetView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9" width="7.19921875" style="28" customWidth="1"/>
    <col min="10" max="10" width="7.69921875" style="28" customWidth="1"/>
    <col min="11" max="12" width="7.19921875" style="28" customWidth="1"/>
    <col min="13" max="13" width="7.69921875" style="28" customWidth="1"/>
    <col min="14" max="15" width="7.19921875" style="28" customWidth="1"/>
    <col min="16" max="16" width="7.69921875" style="28" customWidth="1"/>
    <col min="17" max="17" width="36.8984375" style="28" hidden="1" customWidth="1"/>
    <col min="18" max="27" width="0" style="27" hidden="1" customWidth="1"/>
    <col min="28" max="16384" width="10.5" style="27"/>
  </cols>
  <sheetData>
    <row r="1" spans="1:41" s="219" customFormat="1" ht="30.15" customHeight="1">
      <c r="A1" s="1681"/>
      <c r="B1" s="258"/>
      <c r="C1" s="1333"/>
      <c r="D1" s="100"/>
      <c r="E1" s="255"/>
      <c r="F1" s="255"/>
      <c r="G1" s="3207"/>
      <c r="H1" s="3207"/>
      <c r="I1" s="3208" t="s">
        <v>1679</v>
      </c>
      <c r="J1" s="3210">
        <f>(J7+J13+J18+J22+I11+I12)-(J23+J27+J34+J43+J60+J65+J67+J69+J71+J75)</f>
        <v>3171.1490168740474</v>
      </c>
      <c r="K1" s="4360">
        <f>M1-J1</f>
        <v>2545.7236645880967</v>
      </c>
      <c r="L1" s="4360"/>
      <c r="M1" s="3210">
        <f>(M7+M13+M18+M22+L11+L12)-(M23+M27+M34+M43+M60+M65+M67+M69+M71+M75)</f>
        <v>5716.8726814621441</v>
      </c>
      <c r="N1" s="4360">
        <f>P1-M1</f>
        <v>2545.723664588093</v>
      </c>
      <c r="O1" s="4360"/>
      <c r="P1" s="3210">
        <f>(P7+P13+P18+P22+O11+O12)-(P23+P27+P34+P43+P60+P65+P67+P69+P71+P75)</f>
        <v>8262.5963460502371</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1399</v>
      </c>
      <c r="L2" s="4372"/>
      <c r="M2" s="4372"/>
      <c r="N2" s="4372"/>
      <c r="O2" s="4372"/>
      <c r="P2" s="4372"/>
      <c r="Q2" s="1681"/>
    </row>
    <row r="3" spans="1:41" s="219" customFormat="1" ht="32.4" customHeight="1">
      <c r="A3" s="1681"/>
      <c r="B3" s="4405" t="s">
        <v>1727</v>
      </c>
      <c r="C3" s="4405"/>
      <c r="D3" s="4405"/>
      <c r="E3" s="4405"/>
      <c r="F3" s="4405"/>
      <c r="G3" s="4405"/>
      <c r="H3" s="4405"/>
      <c r="N3" s="4444"/>
      <c r="O3" s="4374"/>
      <c r="P3" s="1326"/>
      <c r="Q3" s="1681"/>
      <c r="T3" s="1343" t="b">
        <v>0</v>
      </c>
      <c r="W3" s="4368" t="s">
        <v>886</v>
      </c>
      <c r="X3" s="4447"/>
      <c r="Y3" s="4447"/>
      <c r="Z3" s="1327"/>
    </row>
    <row r="4" spans="1:41" s="219" customFormat="1" ht="20.25" customHeight="1">
      <c r="A4" s="1681"/>
      <c r="B4" s="309" t="s">
        <v>779</v>
      </c>
      <c r="C4" s="27"/>
      <c r="D4" s="27"/>
      <c r="E4" s="1697" t="s">
        <v>1149</v>
      </c>
      <c r="F4" s="1697"/>
      <c r="G4" s="1697"/>
      <c r="H4" s="1697"/>
      <c r="I4" s="1697"/>
      <c r="J4" s="1697"/>
      <c r="K4" s="1697"/>
      <c r="N4" s="4374"/>
      <c r="O4" s="4374"/>
      <c r="P4" s="1322">
        <f>SDÖ1!O3</f>
        <v>2024</v>
      </c>
      <c r="Q4" s="1681"/>
      <c r="T4" s="1343"/>
      <c r="W4" s="4368" t="s">
        <v>875</v>
      </c>
      <c r="X4" s="4447"/>
      <c r="Y4" s="4447"/>
      <c r="Z4" s="1696"/>
    </row>
    <row r="5" spans="1:41" ht="6" customHeight="1"/>
    <row r="6" spans="1:41" s="1311" customFormat="1" ht="24" customHeight="1">
      <c r="A6" s="41"/>
      <c r="B6" s="1316" t="s">
        <v>1148</v>
      </c>
      <c r="C6" s="1315"/>
      <c r="D6" s="1315"/>
      <c r="E6" s="1315"/>
      <c r="F6" s="1315"/>
      <c r="G6" s="1314" t="s">
        <v>1141</v>
      </c>
      <c r="H6" s="4366" t="s">
        <v>171</v>
      </c>
      <c r="I6" s="4367"/>
      <c r="J6" s="1313">
        <v>200</v>
      </c>
      <c r="K6" s="4379" t="s">
        <v>144</v>
      </c>
      <c r="L6" s="4380"/>
      <c r="M6" s="1313">
        <v>250</v>
      </c>
      <c r="N6" s="4366" t="s">
        <v>170</v>
      </c>
      <c r="O6" s="4367"/>
      <c r="P6" s="1312">
        <v>300</v>
      </c>
      <c r="Q6" s="49"/>
    </row>
    <row r="7" spans="1:41" s="196" customFormat="1" ht="18.75" customHeight="1">
      <c r="A7" s="40"/>
      <c r="B7" s="245" t="s">
        <v>1133</v>
      </c>
      <c r="C7" s="40"/>
      <c r="D7" s="40"/>
      <c r="E7" s="40"/>
      <c r="F7" s="40"/>
      <c r="G7" s="1310" t="s">
        <v>163</v>
      </c>
      <c r="H7" s="1307"/>
      <c r="I7" s="1306"/>
      <c r="J7" s="1041">
        <f>SUM(I9:I10)</f>
        <v>11125.5</v>
      </c>
      <c r="K7" s="1309"/>
      <c r="L7" s="1308"/>
      <c r="M7" s="1044">
        <f>SUM(L9:L10)</f>
        <v>13906.875</v>
      </c>
      <c r="N7" s="1307"/>
      <c r="O7" s="1306"/>
      <c r="P7" s="1041">
        <f>SUM(O9:O10)</f>
        <v>16688.25</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t="s">
        <v>882</v>
      </c>
      <c r="G9" s="1221">
        <f>SDÖ1!O26</f>
        <v>74.17</v>
      </c>
      <c r="H9" s="1303">
        <f>J6-H10</f>
        <v>150</v>
      </c>
      <c r="I9" s="1299">
        <f>H9*G9</f>
        <v>11125.5</v>
      </c>
      <c r="J9" s="37"/>
      <c r="K9" s="1302">
        <f>M6-K10</f>
        <v>187.5</v>
      </c>
      <c r="L9" s="1301">
        <f>K9*G9</f>
        <v>13906.875</v>
      </c>
      <c r="M9" s="1280"/>
      <c r="N9" s="1300">
        <f>P6-N10</f>
        <v>225</v>
      </c>
      <c r="O9" s="1299">
        <f>N9*G9</f>
        <v>16688.25</v>
      </c>
      <c r="P9" s="37"/>
      <c r="Q9" s="28"/>
      <c r="R9" s="517"/>
      <c r="S9" s="208" t="s">
        <v>887</v>
      </c>
      <c r="T9" s="1298"/>
    </row>
    <row r="10" spans="1:41" s="1268" customFormat="1" ht="15" customHeight="1">
      <c r="A10" s="309"/>
      <c r="B10" s="185"/>
      <c r="C10" s="223" t="s">
        <v>1131</v>
      </c>
      <c r="D10" s="1277"/>
      <c r="E10" s="4377" t="s">
        <v>1006</v>
      </c>
      <c r="F10" s="4378"/>
      <c r="G10" s="1297">
        <f>SDÖ1!O42</f>
        <v>0</v>
      </c>
      <c r="H10" s="1292">
        <f>J6*0.25</f>
        <v>50</v>
      </c>
      <c r="I10" s="1291">
        <f>H10*G10</f>
        <v>0</v>
      </c>
      <c r="J10" s="1296"/>
      <c r="K10" s="1295">
        <f>M6*0.25</f>
        <v>62.5</v>
      </c>
      <c r="L10" s="1294">
        <f>K10*G10</f>
        <v>0</v>
      </c>
      <c r="M10" s="1293"/>
      <c r="N10" s="1292">
        <f>P6*0.25</f>
        <v>75</v>
      </c>
      <c r="O10" s="1291">
        <f>N10*G10</f>
        <v>0</v>
      </c>
      <c r="P10" s="1290"/>
      <c r="Q10" s="28"/>
      <c r="R10" s="1289">
        <f>I10+I11+I12</f>
        <v>0</v>
      </c>
      <c r="S10" s="1288">
        <f>L10+L11+L12</f>
        <v>0</v>
      </c>
      <c r="T10" s="1287">
        <f>O10+O11+O12</f>
        <v>0</v>
      </c>
      <c r="W10" s="196" t="s">
        <v>879</v>
      </c>
    </row>
    <row r="11" spans="1:41" s="1268" customFormat="1" ht="15" hidden="1" customHeight="1">
      <c r="A11" s="309"/>
      <c r="B11" s="217"/>
      <c r="C11" s="39" t="s">
        <v>878</v>
      </c>
      <c r="D11" s="309"/>
      <c r="E11" s="1286">
        <v>0</v>
      </c>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37"/>
      <c r="Q11" s="28"/>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28"/>
      <c r="U12" s="196"/>
      <c r="V12" s="196"/>
      <c r="W12" s="1266" t="s">
        <v>872</v>
      </c>
      <c r="X12" s="1264" t="str">
        <f>IF(OR(T3=TRUE,T4=TRUE),J6*$E$11,"0")</f>
        <v>0</v>
      </c>
      <c r="Y12" s="1265" t="str">
        <f>IF(OR(T3=TRUE,T4=TRUE),M6*$E$11,"0")</f>
        <v>0</v>
      </c>
      <c r="Z12" s="1264" t="str">
        <f>IF(OR(T3=TRUE,T4=TRUE),P6*$E$11,"0")</f>
        <v>0</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X13" s="1264" t="str">
        <f>IF(OR(T4=TRUE,T5=TRUE),J7*$E$11,"0")</f>
        <v>0</v>
      </c>
      <c r="Y13" s="1265" t="str">
        <f>IF(OR(T4=TRUE,T5=TRUE),M7*$E$11,"0")</f>
        <v>0</v>
      </c>
      <c r="Z13" s="1264" t="str">
        <f>IF(OR(T4=TRUE,T5=TRUE),P7*$E$11,"0")</f>
        <v>0</v>
      </c>
    </row>
    <row r="14" spans="1:41" s="36" customFormat="1" ht="15" customHeight="1">
      <c r="A14" s="39"/>
      <c r="B14" s="1247"/>
      <c r="C14" s="4365" t="s">
        <v>1511</v>
      </c>
      <c r="D14" s="4365"/>
      <c r="E14" s="4365"/>
      <c r="F14" s="4365"/>
      <c r="G14" s="1263"/>
      <c r="H14" s="1391" t="s">
        <v>919</v>
      </c>
      <c r="I14" s="2827">
        <f>IF(H14="ja",Q14,0)</f>
        <v>240</v>
      </c>
      <c r="J14" s="39"/>
      <c r="K14" s="1262" t="s">
        <v>919</v>
      </c>
      <c r="L14" s="1098">
        <f>IF(K14="ja",Q14,0)</f>
        <v>240</v>
      </c>
      <c r="M14" s="1016"/>
      <c r="N14" s="1262" t="s">
        <v>919</v>
      </c>
      <c r="O14" s="2827">
        <f>IF(N14="ja",Q14,0)</f>
        <v>240</v>
      </c>
      <c r="P14" s="2826"/>
      <c r="Q14" s="1261">
        <f>IF(C14=0,0,VLOOKUP(C14,'SD2'!$C$11:$O$50,'SD2'!$O$1,FALSE))</f>
        <v>240</v>
      </c>
      <c r="R14" s="1350"/>
      <c r="S14" s="1349"/>
      <c r="T14" s="1348"/>
      <c r="W14" s="36" t="s">
        <v>236</v>
      </c>
      <c r="X14" s="1260">
        <f>$X$12*F31</f>
        <v>0</v>
      </c>
      <c r="Y14" s="1260">
        <f>$Y$12*F31</f>
        <v>0</v>
      </c>
      <c r="Z14" s="1260">
        <f>$Z$12*F31</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347"/>
      <c r="S15" s="1343"/>
      <c r="T15" s="1346"/>
      <c r="W15" s="36" t="s">
        <v>685</v>
      </c>
      <c r="X15" s="1260">
        <f>$X$12*F32</f>
        <v>0</v>
      </c>
      <c r="Y15" s="1260">
        <f>$Y$12*F32</f>
        <v>0</v>
      </c>
      <c r="Z15" s="1260">
        <f>$Z$12*F32</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347"/>
      <c r="S16" s="1343"/>
      <c r="T16" s="1346"/>
      <c r="W16" s="36" t="s">
        <v>684</v>
      </c>
      <c r="X16" s="1260">
        <f>$X$12*F33</f>
        <v>0</v>
      </c>
      <c r="Y16" s="1260">
        <f>$Y$12*F33</f>
        <v>0</v>
      </c>
      <c r="Z16" s="1260">
        <f>$Z$12*F33</f>
        <v>0</v>
      </c>
    </row>
    <row r="17" spans="1:26" s="511" customFormat="1" ht="15" customHeight="1">
      <c r="A17" s="40"/>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W17" s="36" t="s">
        <v>230</v>
      </c>
      <c r="X17" s="1260">
        <f>$X$12*F34</f>
        <v>0</v>
      </c>
      <c r="Y17" s="1260">
        <f>$Y$12*F34</f>
        <v>0</v>
      </c>
      <c r="Z17" s="1260">
        <f>$Z$12*F34</f>
        <v>0</v>
      </c>
    </row>
    <row r="18" spans="1:26" s="36" customFormat="1" ht="18.75" customHeight="1">
      <c r="A18" s="39"/>
      <c r="B18" s="209" t="s">
        <v>1563</v>
      </c>
      <c r="C18" s="1672"/>
      <c r="D18" s="1672"/>
      <c r="E18" s="1672"/>
      <c r="F18" s="1672"/>
      <c r="G18" s="2464"/>
      <c r="H18" s="2249"/>
      <c r="I18" s="3474"/>
      <c r="J18" s="1041">
        <f>SUM(I19:I21)</f>
        <v>177</v>
      </c>
      <c r="K18" s="2250"/>
      <c r="L18" s="2466"/>
      <c r="M18" s="1044">
        <f>SUM(L19:L21)</f>
        <v>177</v>
      </c>
      <c r="N18" s="2249"/>
      <c r="O18" s="3474"/>
      <c r="P18" s="1111">
        <f>SUM(O19:O21)</f>
        <v>177</v>
      </c>
      <c r="Q18" s="28"/>
      <c r="R18" s="514" t="s">
        <v>870</v>
      </c>
      <c r="S18" s="308"/>
      <c r="T18" s="1248"/>
    </row>
    <row r="19" spans="1:26" ht="15.6" customHeight="1">
      <c r="A19" s="309"/>
      <c r="B19" s="1247"/>
      <c r="C19" s="4365" t="s">
        <v>1560</v>
      </c>
      <c r="D19" s="4365"/>
      <c r="E19" s="4365"/>
      <c r="F19" s="4365"/>
      <c r="G19" s="1246" t="s">
        <v>163</v>
      </c>
      <c r="H19" s="1244"/>
      <c r="I19" s="2827">
        <f>IF(OR($C19=0,$J$6=0),0,VLOOKUP($C19,'SD2'!C60:O78,12,FALSE))</f>
        <v>155</v>
      </c>
      <c r="J19" s="39"/>
      <c r="K19" s="1245"/>
      <c r="L19" s="1098">
        <f>IF(OR($C19=0,$M$6=0),0,VLOOKUP($C19,'SD2'!$C$60:$N$77,12,FALSE))</f>
        <v>155</v>
      </c>
      <c r="M19" s="1016"/>
      <c r="N19" s="1244"/>
      <c r="O19" s="2827">
        <f>IF(OR($C19=0,$P$6=0),0,VLOOKUP($C19,'SD2'!C60:O78,12,FALSE))</f>
        <v>155</v>
      </c>
      <c r="P19" s="2826"/>
      <c r="R19" s="1242">
        <f>J13+J18</f>
        <v>417</v>
      </c>
      <c r="S19" s="1242">
        <f>M13+M18</f>
        <v>417</v>
      </c>
      <c r="T19" s="1242">
        <f>P13+P18</f>
        <v>417</v>
      </c>
    </row>
    <row r="20" spans="1:26" s="2894" customFormat="1" ht="15.6" customHeight="1">
      <c r="A20" s="2788"/>
      <c r="B20" s="1247"/>
      <c r="C20" s="4365" t="s">
        <v>1675</v>
      </c>
      <c r="D20" s="4365"/>
      <c r="E20" s="4365"/>
      <c r="F20" s="4365"/>
      <c r="G20" s="2914"/>
      <c r="H20" s="1244"/>
      <c r="I20" s="2827">
        <f>IF(OR($C20=0,$J$6=0),0,VLOOKUP($C20,'SD2'!C61:O79,12,FALSE))</f>
        <v>22</v>
      </c>
      <c r="J20" s="2783"/>
      <c r="K20" s="1245"/>
      <c r="L20" s="2829">
        <f>IF(OR($C20=0,$M$6=0),0,VLOOKUP($C20,'SD2'!$C$60:$N$77,12,FALSE))</f>
        <v>22</v>
      </c>
      <c r="M20" s="2795"/>
      <c r="N20" s="1244"/>
      <c r="O20" s="2827">
        <f>IF(OR($C20=0,$P$6=0),0,VLOOKUP($C20,'SD2'!C61:O79,12,FALSE))</f>
        <v>22</v>
      </c>
      <c r="P20" s="2826"/>
      <c r="Q20" s="2895"/>
      <c r="R20" s="2888"/>
      <c r="S20" s="2888"/>
      <c r="T20" s="2888"/>
    </row>
    <row r="21" spans="1:26" s="2894" customFormat="1" ht="15.6" customHeight="1">
      <c r="A21" s="2788"/>
      <c r="B21" s="1247"/>
      <c r="C21" s="4365"/>
      <c r="D21" s="4365"/>
      <c r="E21" s="4365"/>
      <c r="F21" s="4365"/>
      <c r="G21" s="1246"/>
      <c r="H21" s="1244"/>
      <c r="I21" s="2827">
        <f>IF(OR($C21=0,$J$6=0),0,VLOOKUP($C21,'SD2'!C62:O79,12,FALSE))</f>
        <v>0</v>
      </c>
      <c r="J21" s="2783"/>
      <c r="K21" s="1245"/>
      <c r="L21" s="2829">
        <f>IF(OR($C21=0,$M$6=0),0,VLOOKUP($C21,'SD2'!$C$60:$N$77,12,FALSE))</f>
        <v>0</v>
      </c>
      <c r="M21" s="2795"/>
      <c r="N21" s="1244"/>
      <c r="O21" s="2827">
        <f>IF(OR($C21=0,$P$6=0),0,VLOOKUP($C21,'SD2'!C62:O79,12,FALSE))</f>
        <v>0</v>
      </c>
      <c r="P21" s="2826"/>
      <c r="Q21" s="2895"/>
      <c r="R21" s="2888"/>
      <c r="S21" s="2888"/>
      <c r="T21" s="2888"/>
    </row>
    <row r="22" spans="1:26" ht="15.6" customHeight="1">
      <c r="A22" s="309"/>
      <c r="B22" s="245" t="s">
        <v>869</v>
      </c>
      <c r="C22" s="39"/>
      <c r="D22" s="1234"/>
      <c r="E22" s="4370" t="s">
        <v>868</v>
      </c>
      <c r="F22" s="4370"/>
      <c r="G22" s="4371"/>
      <c r="H22" s="1231"/>
      <c r="I22" s="1230"/>
      <c r="J22" s="1229"/>
      <c r="K22" s="1233"/>
      <c r="L22" s="1232"/>
      <c r="M22" s="1229"/>
      <c r="N22" s="1231"/>
      <c r="O22" s="1230"/>
      <c r="P22" s="1229"/>
      <c r="R22" s="31"/>
    </row>
    <row r="23" spans="1:26" s="36" customFormat="1" ht="18.75" customHeight="1">
      <c r="A23" s="746"/>
      <c r="B23" s="209" t="s">
        <v>214</v>
      </c>
      <c r="C23" s="1228"/>
      <c r="D23" s="1228"/>
      <c r="E23" s="34"/>
      <c r="F23" s="4381"/>
      <c r="G23" s="4382" t="s">
        <v>163</v>
      </c>
      <c r="H23" s="1043"/>
      <c r="I23" s="1042"/>
      <c r="J23" s="1026">
        <f>SUM(I25:I26)</f>
        <v>3825</v>
      </c>
      <c r="K23" s="1046"/>
      <c r="L23" s="1045"/>
      <c r="M23" s="1227">
        <f>SUM(L25:L26)</f>
        <v>3825</v>
      </c>
      <c r="N23" s="1043"/>
      <c r="O23" s="1042"/>
      <c r="P23" s="1026">
        <f>SUM(O25:O26)</f>
        <v>3825</v>
      </c>
      <c r="Q23" s="28"/>
    </row>
    <row r="24" spans="1:26"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26" s="511" customFormat="1" ht="18.75" customHeight="1">
      <c r="A25" s="711"/>
      <c r="B25" s="1223"/>
      <c r="C25" s="746" t="s">
        <v>866</v>
      </c>
      <c r="D25" s="4383"/>
      <c r="E25" s="4384"/>
      <c r="F25" s="1222">
        <f>SDÖ7!F25</f>
        <v>153</v>
      </c>
      <c r="G25" s="1221">
        <f>F25*(100+$D$24)/100</f>
        <v>153</v>
      </c>
      <c r="H25" s="1220">
        <v>25</v>
      </c>
      <c r="I25" s="1181">
        <f>H25*$G25</f>
        <v>3825</v>
      </c>
      <c r="J25" s="39"/>
      <c r="K25" s="1220">
        <f>H25</f>
        <v>25</v>
      </c>
      <c r="L25" s="1023">
        <f>K25*$G25</f>
        <v>3825</v>
      </c>
      <c r="M25" s="1016"/>
      <c r="N25" s="1220">
        <f>H25</f>
        <v>25</v>
      </c>
      <c r="O25" s="1181">
        <f>N25*$G25</f>
        <v>3825</v>
      </c>
      <c r="P25" s="1145"/>
      <c r="Q25" s="28"/>
    </row>
    <row r="26" spans="1:26"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26" s="511" customFormat="1" ht="17.399999999999999" customHeight="1">
      <c r="A27" s="711"/>
      <c r="B27" s="1215" t="s">
        <v>213</v>
      </c>
      <c r="C27" s="711"/>
      <c r="D27" s="51"/>
      <c r="E27" s="34"/>
      <c r="F27" s="34"/>
      <c r="G27" s="1214" t="s">
        <v>163</v>
      </c>
      <c r="H27" s="1173"/>
      <c r="I27" s="1172"/>
      <c r="J27" s="1041">
        <f>SUM(I30:I32)</f>
        <v>719.56</v>
      </c>
      <c r="K27" s="1175"/>
      <c r="L27" s="1174"/>
      <c r="M27" s="1044">
        <f>SUM(L30:L32)</f>
        <v>873.55000000000007</v>
      </c>
      <c r="N27" s="1173"/>
      <c r="O27" s="1172"/>
      <c r="P27" s="1041">
        <f>SUM(O30:O32)</f>
        <v>1027.54</v>
      </c>
      <c r="Q27" s="28"/>
    </row>
    <row r="28" spans="1:26" s="36" customFormat="1" ht="15" customHeight="1">
      <c r="A28" s="746"/>
      <c r="B28" s="774"/>
      <c r="C28" s="2373"/>
      <c r="D28" s="1213" t="s">
        <v>706</v>
      </c>
      <c r="E28" s="1213" t="s">
        <v>864</v>
      </c>
      <c r="F28" s="1213" t="s">
        <v>864</v>
      </c>
      <c r="G28" s="1212" t="s">
        <v>863</v>
      </c>
      <c r="H28" s="1172"/>
      <c r="I28" s="1209"/>
      <c r="J28" s="2374"/>
      <c r="K28" s="1175"/>
      <c r="L28" s="1105"/>
      <c r="M28" s="1210"/>
      <c r="N28" s="1173"/>
      <c r="O28" s="1209"/>
      <c r="P28" s="1026"/>
      <c r="Q28" s="28"/>
    </row>
    <row r="29" spans="1:26" s="36" customFormat="1" ht="15" customHeight="1">
      <c r="A29" s="746"/>
      <c r="B29" s="1208"/>
      <c r="C29" s="747" t="s">
        <v>862</v>
      </c>
      <c r="D29" s="1034" t="s">
        <v>611</v>
      </c>
      <c r="E29" s="1034" t="s">
        <v>861</v>
      </c>
      <c r="F29" s="1034" t="s">
        <v>860</v>
      </c>
      <c r="G29" s="1034" t="s">
        <v>1128</v>
      </c>
      <c r="H29" s="1205" t="s">
        <v>612</v>
      </c>
      <c r="I29" s="1027" t="s">
        <v>163</v>
      </c>
      <c r="J29" s="2373"/>
      <c r="K29" s="1207" t="s">
        <v>612</v>
      </c>
      <c r="L29" s="1030" t="s">
        <v>163</v>
      </c>
      <c r="M29" s="1206"/>
      <c r="N29" s="1205" t="s">
        <v>612</v>
      </c>
      <c r="O29" s="1027" t="s">
        <v>163</v>
      </c>
      <c r="P29" s="1204"/>
      <c r="Q29" s="28"/>
    </row>
    <row r="30" spans="1:26" s="36" customFormat="1" ht="15" customHeight="1">
      <c r="A30" s="746"/>
      <c r="B30" s="1203"/>
      <c r="C30" s="1202" t="s">
        <v>236</v>
      </c>
      <c r="D30" s="1150">
        <f>SDÖ1!O56</f>
        <v>5.18</v>
      </c>
      <c r="E30" s="1201">
        <f>VLOOKUP('SD8'!B36,'SD8'!B9:K44,3,FALSE)</f>
        <v>0.35</v>
      </c>
      <c r="F30" s="1201"/>
      <c r="G30" s="1200">
        <v>20</v>
      </c>
      <c r="H30" s="1198">
        <f>IF(J$6=0,0,(J$6*$E30+$G30+X13))</f>
        <v>90</v>
      </c>
      <c r="I30" s="1181">
        <f>H30*$D30</f>
        <v>466.2</v>
      </c>
      <c r="J30" s="39"/>
      <c r="K30" s="1199">
        <f>IF(M$6=0,0,(M$6*$E30+$G30+AA14))</f>
        <v>107.5</v>
      </c>
      <c r="L30" s="1023">
        <f>K30*$D30</f>
        <v>556.85</v>
      </c>
      <c r="M30" s="1016"/>
      <c r="N30" s="1198">
        <f>IF(P$6=0,0,(P$6*$E30+$G30+AD14))</f>
        <v>125</v>
      </c>
      <c r="O30" s="1181">
        <f>N30*$D30</f>
        <v>647.5</v>
      </c>
      <c r="P30" s="1145"/>
      <c r="Q30" s="28"/>
    </row>
    <row r="31" spans="1:26" s="36" customFormat="1" ht="15" customHeight="1">
      <c r="A31" s="746"/>
      <c r="B31" s="217"/>
      <c r="C31" s="746" t="s">
        <v>234</v>
      </c>
      <c r="D31" s="1150">
        <f>SDÖ1!O57</f>
        <v>1.42</v>
      </c>
      <c r="E31" s="1201">
        <f>VLOOKUP('SD8'!B36,'SD8'!B9:K44,4,FALSE)</f>
        <v>0.14000000000000001</v>
      </c>
      <c r="F31" s="1201"/>
      <c r="G31" s="1200"/>
      <c r="H31" s="1198">
        <f>IF(J$6=0,0,(J$6*$E31+$G31+X14))</f>
        <v>28.000000000000004</v>
      </c>
      <c r="I31" s="1181">
        <f>H31*$D31</f>
        <v>39.760000000000005</v>
      </c>
      <c r="J31" s="39"/>
      <c r="K31" s="1199">
        <f>IF(M$6=0,0,(M$6*$E31+$G31+Y14))</f>
        <v>35</v>
      </c>
      <c r="L31" s="1023">
        <f>K31*$D31</f>
        <v>49.699999999999996</v>
      </c>
      <c r="M31" s="1016"/>
      <c r="N31" s="1198">
        <f>IF(P$6=0,0,(P$6*$E31+$G31+Z14))</f>
        <v>42.000000000000007</v>
      </c>
      <c r="O31" s="1181">
        <f>N31*$D31</f>
        <v>59.640000000000008</v>
      </c>
      <c r="P31" s="1145"/>
      <c r="Q31" s="28"/>
    </row>
    <row r="32" spans="1:26" s="511" customFormat="1" ht="18.75" customHeight="1">
      <c r="A32" s="711"/>
      <c r="B32" s="185"/>
      <c r="C32" s="2791" t="s">
        <v>232</v>
      </c>
      <c r="D32" s="1133">
        <f>SDÖ1!O58</f>
        <v>1.78</v>
      </c>
      <c r="E32" s="1197">
        <f>VLOOKUP('SD8'!B36,'SD8'!B9:K44,5,FALSE)</f>
        <v>0.6</v>
      </c>
      <c r="F32" s="1197"/>
      <c r="G32" s="1196"/>
      <c r="H32" s="1194">
        <f>IF(J$6=0,0,(J$6*$E32+$G32+X15))</f>
        <v>120</v>
      </c>
      <c r="I32" s="1177">
        <f>H32*$D32</f>
        <v>213.6</v>
      </c>
      <c r="J32" s="223"/>
      <c r="K32" s="1195">
        <f>IF(M$6=0,0,(M$6*$E32+$G32+Y15))</f>
        <v>150</v>
      </c>
      <c r="L32" s="1017">
        <f>K32*$D32</f>
        <v>267</v>
      </c>
      <c r="M32" s="1256"/>
      <c r="N32" s="1194">
        <f>IF(P$6=0,0,(P$6*$E32+$G32+Z15))</f>
        <v>180</v>
      </c>
      <c r="O32" s="1177">
        <f>N32*$D32</f>
        <v>320.39999999999998</v>
      </c>
      <c r="P32" s="1176"/>
      <c r="Q32" s="28"/>
    </row>
    <row r="33" spans="1:17" s="511" customFormat="1" ht="13.2" hidden="1" customHeight="1">
      <c r="A33" s="711"/>
      <c r="B33" s="185"/>
      <c r="C33" s="771" t="s">
        <v>230</v>
      </c>
      <c r="D33" s="1133">
        <f>SDÖ1!P59</f>
        <v>0.5</v>
      </c>
      <c r="E33" s="1197">
        <f>VLOOKUP('SD8'!B36,'SD8'!B9:K44,6,FALSE)</f>
        <v>0.04</v>
      </c>
      <c r="F33" s="1197"/>
      <c r="G33" s="1196"/>
      <c r="H33" s="1194">
        <f>IF(J$6=0,0,(J$6*$E33+$G33+X16))</f>
        <v>8</v>
      </c>
      <c r="I33" s="1177">
        <f>H33*$D33</f>
        <v>4</v>
      </c>
      <c r="J33" s="39"/>
      <c r="K33" s="1195">
        <f>IF(M$6=0,0,(M$6*$E33+$G33+Y16))</f>
        <v>10</v>
      </c>
      <c r="L33" s="1017">
        <f>K33*$D33</f>
        <v>5</v>
      </c>
      <c r="M33" s="1016"/>
      <c r="N33" s="1194">
        <f>IF(P$6=0,0,(P$6*$E33+$G33+Z16))</f>
        <v>12</v>
      </c>
      <c r="O33" s="1177">
        <f>N33*$D33</f>
        <v>6</v>
      </c>
      <c r="P33" s="1176"/>
      <c r="Q33" s="28"/>
    </row>
    <row r="34" spans="1:17" s="36" customFormat="1" ht="15" customHeight="1">
      <c r="A34" s="746"/>
      <c r="B34" s="716" t="s">
        <v>212</v>
      </c>
      <c r="C34" s="711"/>
      <c r="D34" s="2373"/>
      <c r="E34" s="2373"/>
      <c r="F34" s="4381"/>
      <c r="G34" s="4382" t="s">
        <v>163</v>
      </c>
      <c r="H34" s="1191"/>
      <c r="I34" s="1190"/>
      <c r="J34" s="1041">
        <f>SUM(I36:I42)</f>
        <v>275.5</v>
      </c>
      <c r="K34" s="1193"/>
      <c r="L34" s="1192"/>
      <c r="M34" s="1044">
        <f>SUM(L36:L42)</f>
        <v>275.5</v>
      </c>
      <c r="N34" s="1191"/>
      <c r="O34" s="1190"/>
      <c r="P34" s="1041">
        <f>SUM(O36:O42)</f>
        <v>275.5</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t="s">
        <v>1612</v>
      </c>
      <c r="D36" s="4389"/>
      <c r="E36" s="4390"/>
      <c r="F36" s="1183">
        <f>IF(C36=0,0,VLOOKUP(C36,SDÖ5!$C$7:$D$16,2,FALSE))</f>
        <v>86.8</v>
      </c>
      <c r="G36" s="1183">
        <f t="shared" ref="G36:G42" si="0">F36*(100+$D$35)/100</f>
        <v>86.8</v>
      </c>
      <c r="H36" s="1182">
        <v>1</v>
      </c>
      <c r="I36" s="1181">
        <f t="shared" ref="I36:I42" si="1">$G36*H36</f>
        <v>86.8</v>
      </c>
      <c r="J36" s="39"/>
      <c r="K36" s="1182">
        <v>1</v>
      </c>
      <c r="L36" s="1023">
        <f t="shared" ref="L36:L42" si="2">$G36*K36</f>
        <v>86.8</v>
      </c>
      <c r="M36" s="1016"/>
      <c r="N36" s="1182">
        <v>1</v>
      </c>
      <c r="O36" s="1181">
        <f t="shared" ref="O36:O42" si="3">$G36*N36</f>
        <v>86.8</v>
      </c>
      <c r="P36" s="1185"/>
      <c r="Q36" s="28"/>
    </row>
    <row r="37" spans="1:17" s="36" customFormat="1" ht="15" customHeight="1">
      <c r="A37" s="746"/>
      <c r="B37" s="1021"/>
      <c r="C37" s="4375" t="s">
        <v>1611</v>
      </c>
      <c r="D37" s="4375"/>
      <c r="E37" s="4376"/>
      <c r="F37" s="1183">
        <f>IF(C37=0,0,VLOOKUP(C37,SDÖ5!$C$7:$D$16,2,FALSE))</f>
        <v>124.9</v>
      </c>
      <c r="G37" s="1183">
        <f t="shared" si="0"/>
        <v>124.9</v>
      </c>
      <c r="H37" s="1182">
        <v>1</v>
      </c>
      <c r="I37" s="1181">
        <f t="shared" si="1"/>
        <v>124.9</v>
      </c>
      <c r="J37" s="39"/>
      <c r="K37" s="1182">
        <v>1</v>
      </c>
      <c r="L37" s="1023">
        <f t="shared" si="2"/>
        <v>124.9</v>
      </c>
      <c r="M37" s="1016"/>
      <c r="N37" s="1182">
        <v>1</v>
      </c>
      <c r="O37" s="1181">
        <f t="shared" si="3"/>
        <v>124.9</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t="s">
        <v>1614</v>
      </c>
      <c r="D42" s="4361"/>
      <c r="E42" s="4362"/>
      <c r="F42" s="1179">
        <f>IF(C42=0,0,VLOOKUP(C42,SDÖ5!$C$7:$D$16,2,FALSE))</f>
        <v>63.8</v>
      </c>
      <c r="G42" s="1179">
        <f t="shared" si="0"/>
        <v>63.8</v>
      </c>
      <c r="H42" s="1178">
        <v>1</v>
      </c>
      <c r="I42" s="1177">
        <f t="shared" si="1"/>
        <v>63.8</v>
      </c>
      <c r="J42" s="39"/>
      <c r="K42" s="1178">
        <v>1</v>
      </c>
      <c r="L42" s="1017">
        <f t="shared" si="2"/>
        <v>63.8</v>
      </c>
      <c r="M42" s="1016"/>
      <c r="N42" s="1178">
        <v>1</v>
      </c>
      <c r="O42" s="1177">
        <f t="shared" si="3"/>
        <v>63.8</v>
      </c>
      <c r="P42" s="1176"/>
      <c r="Q42" s="28"/>
    </row>
    <row r="43" spans="1:17" s="36" customFormat="1" ht="15" customHeight="1">
      <c r="A43" s="746"/>
      <c r="B43" s="716" t="s">
        <v>856</v>
      </c>
      <c r="C43" s="711"/>
      <c r="D43" s="711"/>
      <c r="E43" s="711"/>
      <c r="F43" s="711"/>
      <c r="G43" s="1047"/>
      <c r="H43" s="1173"/>
      <c r="I43" s="1172"/>
      <c r="J43" s="1041">
        <f>SUM(J46:J57)</f>
        <v>681.8472642571428</v>
      </c>
      <c r="K43" s="1175"/>
      <c r="L43" s="1174"/>
      <c r="M43" s="1044">
        <f>SUM(M46:M57)</f>
        <v>711.49631797142854</v>
      </c>
      <c r="N43" s="1173"/>
      <c r="O43" s="1172"/>
      <c r="P43" s="1041">
        <f>SUM(P46:P57)</f>
        <v>741.14537168571428</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3"/>
      <c r="C46" s="4387"/>
      <c r="D46" s="4388"/>
      <c r="E46" s="1152">
        <f>IF($C46=0,0,VLOOKUP($C46,'SD3'!$C$24:$O$71,4,FALSE))</f>
        <v>0</v>
      </c>
      <c r="F46" s="1151">
        <f>IF($C46=0,0,VLOOKUP($C46,'SD3'!$C$24:$O$71,12,FALSE))</f>
        <v>0</v>
      </c>
      <c r="G46" s="1150">
        <f>IF($C46=0,0,VLOOKUP($C46,'SD3'!$C$24:$O$71,13,FALSE))</f>
        <v>0</v>
      </c>
      <c r="H46" s="1147"/>
      <c r="I46" s="1146">
        <f t="shared" ref="I46:I56" si="4">$F46*H46</f>
        <v>0</v>
      </c>
      <c r="J46" s="1145">
        <f t="shared" ref="J46:J56" si="5">H46*$G46</f>
        <v>0</v>
      </c>
      <c r="K46" s="1147"/>
      <c r="L46" s="1149">
        <f t="shared" ref="L46:L56" si="6">$F46*K46</f>
        <v>0</v>
      </c>
      <c r="M46" s="1148">
        <f t="shared" ref="M46:M56" si="7">K46*$G46</f>
        <v>0</v>
      </c>
      <c r="N46" s="1147"/>
      <c r="O46" s="1146">
        <f t="shared" ref="O46:O56" si="8">$F46*N46</f>
        <v>0</v>
      </c>
      <c r="P46" s="1145">
        <f t="shared" ref="P46:P56" si="9">N46*$G46</f>
        <v>0</v>
      </c>
      <c r="Q46" s="28"/>
    </row>
    <row r="47" spans="1:17" s="36" customFormat="1" ht="15" customHeight="1">
      <c r="A47" s="746"/>
      <c r="B47" s="1153"/>
      <c r="C47" s="4387" t="s">
        <v>1589</v>
      </c>
      <c r="D47" s="4388"/>
      <c r="E47" s="1152">
        <f>IF($C47=0,0,VLOOKUP($C47,'SD3'!$C$24:$O$71,4,FALSE))</f>
        <v>120</v>
      </c>
      <c r="F47" s="1151">
        <f>IF($C47=0,0,VLOOKUP($C47,'SD3'!$C$24:$O$71,12,FALSE))</f>
        <v>1.38</v>
      </c>
      <c r="G47" s="1150">
        <f>IF($C47=0,0,VLOOKUP($C47,'SD3'!$C$24:$O$71,13,FALSE))</f>
        <v>64.642445999999993</v>
      </c>
      <c r="H47" s="1147">
        <v>1</v>
      </c>
      <c r="I47" s="1146">
        <f t="shared" si="4"/>
        <v>1.38</v>
      </c>
      <c r="J47" s="1145">
        <f t="shared" si="5"/>
        <v>64.642445999999993</v>
      </c>
      <c r="K47" s="1147">
        <v>1</v>
      </c>
      <c r="L47" s="1149">
        <f t="shared" si="6"/>
        <v>1.38</v>
      </c>
      <c r="M47" s="1148">
        <f t="shared" si="7"/>
        <v>64.642445999999993</v>
      </c>
      <c r="N47" s="1147">
        <v>1</v>
      </c>
      <c r="O47" s="1146">
        <f t="shared" si="8"/>
        <v>1.38</v>
      </c>
      <c r="P47" s="1145">
        <f t="shared" si="9"/>
        <v>64.642445999999993</v>
      </c>
      <c r="Q47" s="28"/>
    </row>
    <row r="48" spans="1:17" s="36" customFormat="1" ht="15" customHeight="1">
      <c r="A48" s="746"/>
      <c r="B48" s="1153"/>
      <c r="C48" s="4387" t="s">
        <v>1588</v>
      </c>
      <c r="D48" s="4388"/>
      <c r="E48" s="1152">
        <f>IF($C48=0,0,VLOOKUP($C48,'SD3'!$C$24:$O$71,4,FALSE))</f>
        <v>83</v>
      </c>
      <c r="F48" s="1151">
        <f>IF($C48=0,0,VLOOKUP($C48,'SD3'!$C$24:$O$71,12,FALSE))</f>
        <v>0.53</v>
      </c>
      <c r="G48" s="1150">
        <f>IF($C48=0,0,VLOOKUP($C48,'SD3'!$C$24:$O$71,13,FALSE))</f>
        <v>15.733770700000001</v>
      </c>
      <c r="H48" s="1147">
        <v>1</v>
      </c>
      <c r="I48" s="1146">
        <f t="shared" si="4"/>
        <v>0.53</v>
      </c>
      <c r="J48" s="1145">
        <f t="shared" si="5"/>
        <v>15.733770700000001</v>
      </c>
      <c r="K48" s="1147">
        <v>1</v>
      </c>
      <c r="L48" s="1149">
        <f t="shared" si="6"/>
        <v>0.53</v>
      </c>
      <c r="M48" s="1148">
        <f t="shared" si="7"/>
        <v>15.733770700000001</v>
      </c>
      <c r="N48" s="1147">
        <v>1</v>
      </c>
      <c r="O48" s="1146">
        <f t="shared" si="8"/>
        <v>0.53</v>
      </c>
      <c r="P48" s="1145">
        <f t="shared" si="9"/>
        <v>15.733770700000001</v>
      </c>
      <c r="Q48" s="28"/>
    </row>
    <row r="49" spans="1:17" s="36" customFormat="1" ht="15" customHeight="1">
      <c r="A49" s="746"/>
      <c r="B49" s="1153"/>
      <c r="C49" s="4387" t="s">
        <v>320</v>
      </c>
      <c r="D49" s="4388"/>
      <c r="E49" s="1152">
        <f>IF($C49=0,0,VLOOKUP($C49,'SD3'!$C$24:$O$71,4,FALSE))</f>
        <v>83</v>
      </c>
      <c r="F49" s="1151">
        <f>IF($C49=0,0,VLOOKUP($C49,'SD3'!$C$24:$O$71,12,FALSE))</f>
        <v>1.1399999999999999</v>
      </c>
      <c r="G49" s="1150">
        <f>IF($C49=0,0,VLOOKUP($C49,'SD3'!$C$24:$O$71,13,FALSE))</f>
        <v>33.95027361999999</v>
      </c>
      <c r="H49" s="1147">
        <v>1</v>
      </c>
      <c r="I49" s="1146">
        <f t="shared" si="4"/>
        <v>1.1399999999999999</v>
      </c>
      <c r="J49" s="1145">
        <f t="shared" si="5"/>
        <v>33.95027361999999</v>
      </c>
      <c r="K49" s="1147">
        <v>1</v>
      </c>
      <c r="L49" s="1149">
        <f t="shared" si="6"/>
        <v>1.1399999999999999</v>
      </c>
      <c r="M49" s="1148">
        <f t="shared" si="7"/>
        <v>33.95027361999999</v>
      </c>
      <c r="N49" s="1147">
        <v>1</v>
      </c>
      <c r="O49" s="1146">
        <f t="shared" si="8"/>
        <v>1.1399999999999999</v>
      </c>
      <c r="P49" s="1145">
        <f t="shared" si="9"/>
        <v>33.95027361999999</v>
      </c>
      <c r="Q49" s="28"/>
    </row>
    <row r="50" spans="1:17" s="36" customFormat="1" ht="15" customHeight="1">
      <c r="A50" s="746"/>
      <c r="B50" s="1153"/>
      <c r="C50" s="4387" t="s">
        <v>319</v>
      </c>
      <c r="D50" s="4388"/>
      <c r="E50" s="1152">
        <f>IF($C50=0,0,VLOOKUP($C50,'SD3'!$C$24:$O$71,4,FALSE))</f>
        <v>54</v>
      </c>
      <c r="F50" s="1151">
        <f>IF($C50=0,0,VLOOKUP($C50,'SD3'!$C$24:$O$71,12,FALSE))</f>
        <v>0.71</v>
      </c>
      <c r="G50" s="1150">
        <f>IF($C50=0,0,VLOOKUP($C50,'SD3'!$C$24:$O$71,13,FALSE))</f>
        <v>14.3322471</v>
      </c>
      <c r="H50" s="1147">
        <v>1</v>
      </c>
      <c r="I50" s="1146">
        <f t="shared" si="4"/>
        <v>0.71</v>
      </c>
      <c r="J50" s="1145">
        <f t="shared" si="5"/>
        <v>14.3322471</v>
      </c>
      <c r="K50" s="1147">
        <v>1</v>
      </c>
      <c r="L50" s="1149">
        <f t="shared" si="6"/>
        <v>0.71</v>
      </c>
      <c r="M50" s="1148">
        <f t="shared" si="7"/>
        <v>14.3322471</v>
      </c>
      <c r="N50" s="1147">
        <v>1</v>
      </c>
      <c r="O50" s="1146">
        <f t="shared" si="8"/>
        <v>0.71</v>
      </c>
      <c r="P50" s="1145">
        <f t="shared" si="9"/>
        <v>14.3322471</v>
      </c>
      <c r="Q50" s="28"/>
    </row>
    <row r="51" spans="1:17" s="36" customFormat="1" ht="15" customHeight="1">
      <c r="A51" s="746"/>
      <c r="B51" s="1153"/>
      <c r="C51" s="4387" t="s">
        <v>318</v>
      </c>
      <c r="D51" s="4388"/>
      <c r="E51" s="1152">
        <f>IF($C51=0,0,VLOOKUP($C51,'SD3'!$C$24:$O$71,4,FALSE))</f>
        <v>54</v>
      </c>
      <c r="F51" s="1151">
        <f>IF($C51=0,0,VLOOKUP($C51,'SD3'!$C$24:$O$71,12,FALSE))</f>
        <v>0.96</v>
      </c>
      <c r="G51" s="1150">
        <f>IF($C51=0,0,VLOOKUP($C51,'SD3'!$C$24:$O$71,13,FALSE))</f>
        <v>13.272774719999999</v>
      </c>
      <c r="H51" s="1147">
        <v>2</v>
      </c>
      <c r="I51" s="1146">
        <f t="shared" si="4"/>
        <v>1.92</v>
      </c>
      <c r="J51" s="1145">
        <f t="shared" si="5"/>
        <v>26.545549439999998</v>
      </c>
      <c r="K51" s="1147">
        <v>2</v>
      </c>
      <c r="L51" s="1149">
        <f t="shared" si="6"/>
        <v>1.92</v>
      </c>
      <c r="M51" s="1148">
        <f t="shared" si="7"/>
        <v>26.545549439999998</v>
      </c>
      <c r="N51" s="1147">
        <v>2</v>
      </c>
      <c r="O51" s="1146">
        <f t="shared" si="8"/>
        <v>1.92</v>
      </c>
      <c r="P51" s="1145">
        <f t="shared" si="9"/>
        <v>26.545549439999998</v>
      </c>
      <c r="Q51" s="28"/>
    </row>
    <row r="52" spans="1:17" s="36" customFormat="1" ht="15" customHeight="1">
      <c r="A52" s="746"/>
      <c r="B52" s="1153"/>
      <c r="C52" s="4387" t="s">
        <v>1591</v>
      </c>
      <c r="D52" s="4388"/>
      <c r="E52" s="1152">
        <f>IF($C52=0,0,VLOOKUP($C52,'SD3'!$C$24:$O$71,4,FALSE))</f>
        <v>83</v>
      </c>
      <c r="F52" s="1151">
        <f>IF($C52=0,0,VLOOKUP($C52,'SD3'!$C$24:$O$71,12,FALSE))</f>
        <v>0.22</v>
      </c>
      <c r="G52" s="1150">
        <f>IF($C52=0,0,VLOOKUP($C52,'SD3'!$C$24:$O$71,13,FALSE))</f>
        <v>6.6430352599999996</v>
      </c>
      <c r="H52" s="1147">
        <v>4</v>
      </c>
      <c r="I52" s="1146">
        <f t="shared" si="4"/>
        <v>0.88</v>
      </c>
      <c r="J52" s="1145">
        <f t="shared" si="5"/>
        <v>26.572141039999998</v>
      </c>
      <c r="K52" s="1147">
        <v>4</v>
      </c>
      <c r="L52" s="1149">
        <f t="shared" si="6"/>
        <v>0.88</v>
      </c>
      <c r="M52" s="1148">
        <f t="shared" si="7"/>
        <v>26.572141039999998</v>
      </c>
      <c r="N52" s="1147">
        <v>4</v>
      </c>
      <c r="O52" s="1146">
        <f t="shared" si="8"/>
        <v>0.88</v>
      </c>
      <c r="P52" s="1145">
        <f t="shared" si="9"/>
        <v>26.572141039999998</v>
      </c>
      <c r="Q52" s="28"/>
    </row>
    <row r="53" spans="1:17" s="36" customFormat="1" ht="15" customHeight="1">
      <c r="A53" s="746"/>
      <c r="B53" s="1153"/>
      <c r="C53" s="4387" t="s">
        <v>316</v>
      </c>
      <c r="D53" s="4388"/>
      <c r="E53" s="1152">
        <f>IF($C53=0,0,VLOOKUP($C53,'SD3'!$C$24:$O$71,4,FALSE))</f>
        <v>54</v>
      </c>
      <c r="F53" s="1151">
        <f>IF($C53=0,0,VLOOKUP($C53,'SD3'!$C$24:$O$71,12,FALSE))</f>
        <v>0.95</v>
      </c>
      <c r="G53" s="1150">
        <f>IF($C53=0,0,VLOOKUP($C53,'SD3'!$C$24:$O$71,13,FALSE))</f>
        <v>18.4868095</v>
      </c>
      <c r="H53" s="1147">
        <v>1</v>
      </c>
      <c r="I53" s="1146">
        <f t="shared" si="4"/>
        <v>0.95</v>
      </c>
      <c r="J53" s="1145">
        <f t="shared" si="5"/>
        <v>18.4868095</v>
      </c>
      <c r="K53" s="1147">
        <v>1</v>
      </c>
      <c r="L53" s="1149">
        <f t="shared" si="6"/>
        <v>0.95</v>
      </c>
      <c r="M53" s="1148">
        <f t="shared" si="7"/>
        <v>18.4868095</v>
      </c>
      <c r="N53" s="1147">
        <v>1</v>
      </c>
      <c r="O53" s="1146">
        <f t="shared" si="8"/>
        <v>0.95</v>
      </c>
      <c r="P53" s="1145">
        <f t="shared" si="9"/>
        <v>18.4868095</v>
      </c>
      <c r="Q53" s="34"/>
    </row>
    <row r="54" spans="1:17" s="36" customFormat="1" ht="15" customHeight="1">
      <c r="A54" s="746"/>
      <c r="B54" s="1153"/>
      <c r="C54" s="4387" t="s">
        <v>1670</v>
      </c>
      <c r="D54" s="4388"/>
      <c r="E54" s="1152">
        <f>IF($C54=0,0,VLOOKUP($C54,'SD3'!$C$24:$O$71,4,FALSE))</f>
        <v>0</v>
      </c>
      <c r="F54" s="1151">
        <f>IF($C54=0,0,VLOOKUP($C54,'SD3'!$C$24:$O$71,12,FALSE))</f>
        <v>13.75</v>
      </c>
      <c r="G54" s="1150">
        <f>IF($C54=0,0,VLOOKUP($C54,'SD3'!$C$24:$O$71,13,FALSE))</f>
        <v>341.27499999999998</v>
      </c>
      <c r="H54" s="1147">
        <v>1</v>
      </c>
      <c r="I54" s="1146">
        <f t="shared" si="4"/>
        <v>13.75</v>
      </c>
      <c r="J54" s="1145">
        <f t="shared" si="5"/>
        <v>341.27499999999998</v>
      </c>
      <c r="K54" s="1147">
        <v>1</v>
      </c>
      <c r="L54" s="1149">
        <f t="shared" si="6"/>
        <v>13.75</v>
      </c>
      <c r="M54" s="1148">
        <f t="shared" si="7"/>
        <v>341.27499999999998</v>
      </c>
      <c r="N54" s="1147">
        <v>1</v>
      </c>
      <c r="O54" s="1146">
        <f t="shared" si="8"/>
        <v>13.75</v>
      </c>
      <c r="P54" s="1145">
        <f t="shared" si="9"/>
        <v>341.27499999999998</v>
      </c>
      <c r="Q54" s="34"/>
    </row>
    <row r="55" spans="1:17" s="36" customFormat="1" ht="15" customHeight="1">
      <c r="A55" s="746"/>
      <c r="B55" s="1153"/>
      <c r="C55" s="4403" t="s">
        <v>310</v>
      </c>
      <c r="D55" s="4404"/>
      <c r="E55" s="1152">
        <f>IF($C55=0,0,VLOOKUP($C55,'SD3'!$C$24:$O$71,4,FALSE))</f>
        <v>120</v>
      </c>
      <c r="F55" s="1151">
        <f>IF($C55=0,0,VLOOKUP($C55,'SD3'!$C$24:$O$71,12,FALSE))</f>
        <v>1.68</v>
      </c>
      <c r="G55" s="1150">
        <f>IF($C55=0,0,VLOOKUP($C55,'SD3'!$C$24:$O$71,13,FALSE))</f>
        <v>62.263012799999998</v>
      </c>
      <c r="H55" s="3654">
        <f>J6/10/10.5</f>
        <v>1.9047619047619047</v>
      </c>
      <c r="I55" s="1146">
        <f t="shared" si="4"/>
        <v>3.1999999999999997</v>
      </c>
      <c r="J55" s="1145">
        <f t="shared" si="5"/>
        <v>118.59621485714285</v>
      </c>
      <c r="K55" s="3654">
        <f>M6/10/10.5</f>
        <v>2.3809523809523809</v>
      </c>
      <c r="L55" s="1149">
        <f t="shared" si="6"/>
        <v>4</v>
      </c>
      <c r="M55" s="1148">
        <f t="shared" si="7"/>
        <v>148.24526857142857</v>
      </c>
      <c r="N55" s="3654">
        <f>P6/10/10.5</f>
        <v>2.8571428571428572</v>
      </c>
      <c r="O55" s="1146">
        <f t="shared" si="8"/>
        <v>4.8</v>
      </c>
      <c r="P55" s="1145">
        <f t="shared" si="9"/>
        <v>177.89432228571428</v>
      </c>
      <c r="Q55" s="28"/>
    </row>
    <row r="56" spans="1:17" s="36" customFormat="1" ht="14.25" customHeight="1">
      <c r="A56" s="746"/>
      <c r="B56" s="1342"/>
      <c r="C56" s="4394" t="s">
        <v>359</v>
      </c>
      <c r="D56" s="4395"/>
      <c r="E56" s="1152">
        <f>IF($C56=0,0,VLOOKUP($C56,'SD3'!$C$24:$O$71,4,FALSE))</f>
        <v>120</v>
      </c>
      <c r="F56" s="1151">
        <f>IF($C56=0,0,VLOOKUP($C56,'SD3'!$C$24:$O$71,12,FALSE))</f>
        <v>0.54</v>
      </c>
      <c r="G56" s="1150">
        <f>IF($C56=0,0,VLOOKUP($C56,'SD3'!$C$24:$O$71,13,FALSE))</f>
        <v>21.712812</v>
      </c>
      <c r="H56" s="1336">
        <v>1</v>
      </c>
      <c r="I56" s="1335">
        <f t="shared" si="4"/>
        <v>0.54</v>
      </c>
      <c r="J56" s="1334">
        <f t="shared" si="5"/>
        <v>21.712812</v>
      </c>
      <c r="K56" s="1336">
        <v>1</v>
      </c>
      <c r="L56" s="1338">
        <f t="shared" si="6"/>
        <v>0.54</v>
      </c>
      <c r="M56" s="1337">
        <f t="shared" si="7"/>
        <v>21.712812</v>
      </c>
      <c r="N56" s="1336">
        <v>1</v>
      </c>
      <c r="O56" s="1335">
        <f t="shared" si="8"/>
        <v>0.54</v>
      </c>
      <c r="P56" s="1334">
        <f t="shared" si="9"/>
        <v>21.712812</v>
      </c>
      <c r="Q56" s="28"/>
    </row>
    <row r="57" spans="1:17" s="36" customFormat="1" ht="24.75" customHeight="1">
      <c r="A57" s="746"/>
      <c r="B57" s="1084"/>
      <c r="C57" s="4401"/>
      <c r="D57" s="4402"/>
      <c r="E57" s="2589">
        <f>IF($C57=0,0,VLOOKUP($C57,'SD3'!$C$24:$O$71,4,FALSE))</f>
        <v>0</v>
      </c>
      <c r="F57" s="2590">
        <f>IF($C57=0,0,VLOOKUP($C57,'SD3'!$C$24:$O$71,12,FALSE))</f>
        <v>0</v>
      </c>
      <c r="G57" s="2591">
        <f>IF($C57=0,0,VLOOKUP($C57,'SD3'!$C$24:$O$71,13,FALSE))</f>
        <v>0</v>
      </c>
      <c r="H57" s="1131"/>
      <c r="I57" s="1130">
        <f>SUM(I44:I56)</f>
        <v>24.999999999999996</v>
      </c>
      <c r="J57" s="1129"/>
      <c r="K57" s="1131"/>
      <c r="L57" s="1132">
        <f>SUM(L44:L56)</f>
        <v>25.799999999999997</v>
      </c>
      <c r="M57" s="1079"/>
      <c r="N57" s="1131"/>
      <c r="O57" s="1130">
        <f>SUM(O44:O56)</f>
        <v>26.599999999999998</v>
      </c>
      <c r="P57" s="1129"/>
      <c r="Q57" s="28"/>
    </row>
    <row r="58" spans="1:17" s="511" customFormat="1" ht="18.75" customHeight="1">
      <c r="A58" s="711"/>
      <c r="B58" s="716" t="s">
        <v>848</v>
      </c>
      <c r="C58" s="811"/>
      <c r="D58" s="811"/>
      <c r="E58" s="811"/>
      <c r="F58" s="34"/>
      <c r="G58" s="1047"/>
      <c r="H58" s="1124"/>
      <c r="I58" s="1123">
        <f>SUM($I$46:$I$57)</f>
        <v>49.999999999999993</v>
      </c>
      <c r="J58" s="1128"/>
      <c r="K58" s="1127"/>
      <c r="L58" s="1126">
        <f>SUM($L$46:$L$57)</f>
        <v>51.599999999999994</v>
      </c>
      <c r="M58" s="1125"/>
      <c r="N58" s="1124"/>
      <c r="O58" s="1123">
        <f>SUM($O$46:$O$57)</f>
        <v>53.199999999999996</v>
      </c>
      <c r="P58" s="1122"/>
      <c r="Q58" s="28"/>
    </row>
    <row r="59" spans="1:17" s="511" customFormat="1" ht="15" customHeight="1">
      <c r="A59" s="711"/>
      <c r="B59" s="1121"/>
      <c r="C59" s="285"/>
      <c r="D59" s="222" t="s">
        <v>847</v>
      </c>
      <c r="E59" s="1120">
        <v>80</v>
      </c>
      <c r="F59" s="285" t="s">
        <v>846</v>
      </c>
      <c r="G59" s="1119"/>
      <c r="H59" s="1115"/>
      <c r="I59" s="1114">
        <f>IF(I58+SUM($I$46:$I$57)*$E$59%&gt;I58+10,I58+10,I58+SUM($I$46:$I$57)*$E$59%)</f>
        <v>59.999999999999993</v>
      </c>
      <c r="J59" s="1113"/>
      <c r="K59" s="1118"/>
      <c r="L59" s="1117">
        <f>IF(L58+SUM($L$46:$L$57)*$E$59%&gt;L58+10,L58+10,L58+SUM($L$46:$L$57)*$E$59%)</f>
        <v>61.599999999999994</v>
      </c>
      <c r="M59" s="1116"/>
      <c r="N59" s="1115"/>
      <c r="O59" s="1114">
        <f>IF(O58+SUM($O$46:$O$57)*$E$59%&gt;O58+10,O58+10,O58+SUM($O$46:$O$57)*$E$59%)</f>
        <v>63.199999999999996</v>
      </c>
      <c r="P59" s="1113"/>
      <c r="Q59" s="28"/>
    </row>
    <row r="60" spans="1:17" s="46" customFormat="1" ht="18.75" customHeight="1">
      <c r="A60" s="811"/>
      <c r="B60" s="716" t="s">
        <v>845</v>
      </c>
      <c r="C60" s="811"/>
      <c r="D60" s="811"/>
      <c r="E60" s="39"/>
      <c r="F60" s="39"/>
      <c r="G60" s="1112"/>
      <c r="H60" s="1104"/>
      <c r="I60" s="1103"/>
      <c r="J60" s="1111">
        <f>IF(J6=0,0,SUM(I62:I64))</f>
        <v>2600</v>
      </c>
      <c r="K60" s="1107"/>
      <c r="L60" s="1106"/>
      <c r="M60" s="1044">
        <f>IF(M6=0,0,SUM(L62:L64))</f>
        <v>2600</v>
      </c>
      <c r="N60" s="1104"/>
      <c r="O60" s="1103"/>
      <c r="P60" s="1111">
        <f>IF(P6=0,0,SUM(O62:O64))</f>
        <v>2600</v>
      </c>
      <c r="Q60" s="28"/>
    </row>
    <row r="61" spans="1:17"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t="s">
        <v>1669</v>
      </c>
      <c r="D62" s="4365"/>
      <c r="E62" s="4365"/>
      <c r="F62" s="1101">
        <f>IF($C62=0,0,VLOOKUP($C62,'SD3'!$C$90:$D$104,2,FALSE))</f>
        <v>2600</v>
      </c>
      <c r="G62" s="1100">
        <f>(100+$D$61)/100*F62</f>
        <v>2600</v>
      </c>
      <c r="H62" s="173"/>
      <c r="I62" s="1096">
        <f>$G$62</f>
        <v>2600</v>
      </c>
      <c r="J62" s="173"/>
      <c r="K62" s="1099"/>
      <c r="L62" s="1098">
        <f>$G$62</f>
        <v>2600</v>
      </c>
      <c r="M62" s="1016"/>
      <c r="N62" s="1097"/>
      <c r="O62" s="1096">
        <f>$G$62</f>
        <v>2600</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t="s">
        <v>289</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5"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22.95" customHeight="1">
      <c r="A67" s="711"/>
      <c r="B67" s="716" t="s">
        <v>843</v>
      </c>
      <c r="C67" s="711"/>
      <c r="D67" s="711"/>
      <c r="E67" s="175"/>
      <c r="F67" s="1069"/>
      <c r="G67" s="1047"/>
      <c r="H67" s="1066" t="s">
        <v>842</v>
      </c>
      <c r="I67" s="1065" t="s">
        <v>841</v>
      </c>
      <c r="J67" s="1041">
        <f>R68*(H9+H10)*I68%+F68</f>
        <v>0</v>
      </c>
      <c r="K67" s="1068" t="s">
        <v>842</v>
      </c>
      <c r="L67" s="1067" t="s">
        <v>841</v>
      </c>
      <c r="M67" s="1044">
        <f>S68*(K9+K10)*L68%+F68</f>
        <v>0</v>
      </c>
      <c r="N67" s="1066" t="s">
        <v>842</v>
      </c>
      <c r="O67" s="1065" t="s">
        <v>841</v>
      </c>
      <c r="P67" s="1041">
        <f>T68*(N9+N10)*O68%+F68</f>
        <v>0</v>
      </c>
      <c r="Q67" s="28"/>
    </row>
    <row r="68" spans="1:20" s="511" customFormat="1" ht="15" customHeight="1">
      <c r="A68" s="711"/>
      <c r="B68" s="1064"/>
      <c r="C68" s="4393" t="s">
        <v>564</v>
      </c>
      <c r="D68" s="4393"/>
      <c r="E68" s="4393"/>
      <c r="F68" s="1063"/>
      <c r="G68" s="1054" t="s">
        <v>163</v>
      </c>
      <c r="H68" s="1061">
        <v>16</v>
      </c>
      <c r="I68" s="1060">
        <v>50</v>
      </c>
      <c r="J68" s="1059"/>
      <c r="K68" s="1061">
        <v>20</v>
      </c>
      <c r="L68" s="1060">
        <v>50</v>
      </c>
      <c r="M68" s="1062"/>
      <c r="N68" s="1061">
        <v>18</v>
      </c>
      <c r="O68" s="1060">
        <v>50</v>
      </c>
      <c r="P68" s="1059"/>
      <c r="Q68" s="28"/>
      <c r="R68" s="1369">
        <f>IF($H$64=0,0,VLOOKUP($H$64,#REF!,2,FALSE))</f>
        <v>0</v>
      </c>
      <c r="S68" s="1058">
        <f>IF($K$64=0,0,VLOOKUP($K$64,#REF!,2,FALSE))</f>
        <v>0</v>
      </c>
      <c r="T68" s="1369">
        <f>IF($N$64=0,0,VLOOKUP($N$64,#REF!,2,FALSE))</f>
        <v>0</v>
      </c>
    </row>
    <row r="69" spans="1:20" s="511" customFormat="1" ht="18.75" customHeight="1">
      <c r="A69" s="711"/>
      <c r="B69" s="716" t="s">
        <v>839</v>
      </c>
      <c r="C69" s="711"/>
      <c r="D69" s="711"/>
      <c r="E69" s="34"/>
      <c r="F69" s="34"/>
      <c r="G69" s="1047"/>
      <c r="H69" s="38"/>
      <c r="I69" s="51"/>
      <c r="J69" s="1041">
        <f>H70*$F70/1000</f>
        <v>200.25899999999999</v>
      </c>
      <c r="K69" s="1057"/>
      <c r="L69" s="1056"/>
      <c r="M69" s="1044">
        <f>K70*$F70/1000</f>
        <v>250.32374999999999</v>
      </c>
      <c r="N69" s="38"/>
      <c r="O69" s="51"/>
      <c r="P69" s="1041">
        <f>N70*$F70/1000</f>
        <v>300.38850000000002</v>
      </c>
      <c r="Q69" s="28"/>
    </row>
    <row r="70" spans="1:20" s="511" customFormat="1" ht="15" customHeight="1">
      <c r="A70" s="711"/>
      <c r="B70" s="772"/>
      <c r="C70" s="771" t="s">
        <v>606</v>
      </c>
      <c r="D70" s="285"/>
      <c r="E70" s="222"/>
      <c r="F70" s="3742">
        <f>SDÖ7!F73</f>
        <v>18</v>
      </c>
      <c r="G70" s="1054" t="s">
        <v>163</v>
      </c>
      <c r="H70" s="1357">
        <f>J7</f>
        <v>11125.5</v>
      </c>
      <c r="I70" s="1049"/>
      <c r="J70" s="1048"/>
      <c r="K70" s="1053">
        <f>M7</f>
        <v>13906.875</v>
      </c>
      <c r="L70" s="1052"/>
      <c r="M70" s="1051"/>
      <c r="N70" s="1357">
        <f>P7</f>
        <v>16688.25</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9"/>
      <c r="R73" s="1703"/>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1704"/>
      <c r="R74" s="1703"/>
    </row>
    <row r="75" spans="1:20" s="511" customFormat="1" ht="30.15" customHeight="1">
      <c r="A75" s="711"/>
      <c r="B75" s="4391" t="s">
        <v>835</v>
      </c>
      <c r="C75" s="4392"/>
      <c r="D75" s="1012" t="s">
        <v>834</v>
      </c>
      <c r="E75" s="1011">
        <f>'SDK1'!$O$59/100</f>
        <v>0.02</v>
      </c>
      <c r="F75" s="1010" t="s">
        <v>833</v>
      </c>
      <c r="G75" s="1009">
        <v>5</v>
      </c>
      <c r="H75" s="1007"/>
      <c r="I75" s="1008"/>
      <c r="J75" s="1005">
        <f>(J23+J27+J34+J43+J60+J65+J67+J69+J71)*('SDK1'!$O$59%*$G$75/12)</f>
        <v>69.184718868809526</v>
      </c>
      <c r="K75" s="2223"/>
      <c r="L75" s="522"/>
      <c r="M75" s="1005">
        <f>(M23+M27+M34+M43+M60+M65+M67+M69+M71)*('SDK1'!$O$59%*$G$75/12)</f>
        <v>71.132250566428567</v>
      </c>
      <c r="N75" s="1007"/>
      <c r="O75" s="1006"/>
      <c r="P75" s="1005">
        <f>(P23+P27+P34+P43+P60+P65+P67+P69+P71)*('SDK1'!$O$59%*$G$75/12)</f>
        <v>73.079782264047637</v>
      </c>
      <c r="Q75" s="28"/>
    </row>
    <row r="76" spans="1:20">
      <c r="L76" s="29"/>
    </row>
    <row r="77" spans="1:20">
      <c r="B77" s="2919"/>
      <c r="C77" s="2919"/>
      <c r="D77" s="2919"/>
      <c r="E77" s="2919"/>
      <c r="F77" s="2919"/>
      <c r="G77" s="2919"/>
      <c r="H77" s="2919"/>
      <c r="I77" s="2608"/>
      <c r="J77" s="2608"/>
      <c r="K77" s="2608"/>
      <c r="L77" s="2608"/>
      <c r="M77" s="2608"/>
      <c r="N77" s="2608"/>
      <c r="O77" s="2608"/>
      <c r="P77" s="2608"/>
      <c r="Q77" s="2608"/>
    </row>
    <row r="78" spans="1:20">
      <c r="B78" s="2919"/>
      <c r="C78" s="2919"/>
      <c r="D78" s="2919"/>
      <c r="E78" s="2919"/>
      <c r="F78" s="2919"/>
      <c r="G78" s="2919"/>
      <c r="H78" s="2919"/>
      <c r="I78" s="2608"/>
      <c r="J78" s="2608"/>
      <c r="K78" s="2608"/>
      <c r="L78" s="2608"/>
      <c r="M78" s="2608"/>
      <c r="N78" s="2608"/>
      <c r="O78" s="2608"/>
      <c r="P78" s="2608"/>
      <c r="Q78" s="2608"/>
    </row>
    <row r="79" spans="1:20">
      <c r="B79" s="2919"/>
      <c r="C79" s="2919"/>
      <c r="D79" s="2919"/>
      <c r="E79" s="2919"/>
      <c r="F79" s="2919"/>
      <c r="G79" s="2919"/>
      <c r="H79" s="2919"/>
      <c r="I79" s="2608"/>
      <c r="J79" s="2608"/>
      <c r="K79" s="2608"/>
      <c r="L79" s="2608"/>
      <c r="M79" s="2608"/>
      <c r="N79" s="2608"/>
      <c r="O79" s="2608"/>
      <c r="P79" s="2608"/>
      <c r="Q79" s="2608"/>
    </row>
    <row r="80" spans="1:20">
      <c r="B80" s="2919"/>
      <c r="C80" s="2919"/>
      <c r="D80" s="2919"/>
      <c r="E80" s="2919"/>
      <c r="F80" s="2919"/>
      <c r="G80" s="2919"/>
      <c r="H80" s="2919"/>
      <c r="I80" s="2608"/>
      <c r="J80" s="2608"/>
      <c r="K80" s="2608"/>
      <c r="L80" s="2608"/>
      <c r="M80" s="2608"/>
      <c r="N80" s="2608"/>
      <c r="O80" s="2608"/>
      <c r="P80" s="2608"/>
      <c r="Q80" s="2608"/>
    </row>
    <row r="81" spans="2:17">
      <c r="B81" s="2919"/>
      <c r="C81" s="2919"/>
      <c r="D81" s="2919"/>
      <c r="E81" s="2919"/>
      <c r="F81" s="2919"/>
      <c r="G81" s="2919"/>
      <c r="H81" s="2919"/>
      <c r="I81" s="2608"/>
      <c r="J81" s="2608"/>
      <c r="K81" s="2608"/>
      <c r="L81" s="2608"/>
      <c r="M81" s="2608"/>
      <c r="N81" s="2608"/>
      <c r="O81" s="2608"/>
      <c r="P81" s="2608"/>
      <c r="Q81" s="2608"/>
    </row>
    <row r="82" spans="2:17">
      <c r="B82" s="2919"/>
      <c r="C82" s="2919"/>
      <c r="D82" s="2919"/>
      <c r="E82" s="2919"/>
      <c r="F82" s="2919"/>
      <c r="G82" s="2919"/>
      <c r="H82" s="2919"/>
      <c r="I82" s="2608"/>
      <c r="J82" s="2608"/>
      <c r="K82" s="2608"/>
      <c r="L82" s="2608"/>
      <c r="M82" s="2608"/>
      <c r="N82" s="2608"/>
      <c r="O82" s="2608"/>
      <c r="P82" s="2608"/>
      <c r="Q82" s="2608"/>
    </row>
    <row r="83" spans="2:17">
      <c r="B83" s="2919"/>
      <c r="C83" s="2919"/>
      <c r="D83" s="2919"/>
      <c r="E83" s="2919"/>
      <c r="F83" s="2919"/>
      <c r="G83" s="2919"/>
      <c r="H83" s="2919"/>
      <c r="I83" s="2608"/>
      <c r="J83" s="2608"/>
      <c r="K83" s="2608"/>
      <c r="L83" s="2608"/>
      <c r="M83" s="2608"/>
      <c r="N83" s="2608"/>
      <c r="O83" s="2608"/>
      <c r="P83" s="2608"/>
      <c r="Q83" s="2608"/>
    </row>
    <row r="84" spans="2:17">
      <c r="B84" s="2919"/>
      <c r="C84" s="2919"/>
      <c r="D84" s="2919"/>
      <c r="E84" s="2919"/>
      <c r="F84" s="2919"/>
      <c r="G84" s="2919"/>
      <c r="H84" s="2919"/>
      <c r="I84" s="2608"/>
      <c r="J84" s="2608"/>
      <c r="K84" s="2608"/>
      <c r="L84" s="2608"/>
      <c r="M84" s="2608"/>
      <c r="N84" s="2608"/>
      <c r="O84" s="2608"/>
      <c r="P84" s="2608"/>
      <c r="Q84" s="2608"/>
    </row>
    <row r="85" spans="2:17">
      <c r="B85" s="2919"/>
      <c r="C85" s="2919"/>
      <c r="D85" s="2919"/>
      <c r="E85" s="2919"/>
      <c r="F85" s="2919"/>
      <c r="G85" s="2919"/>
      <c r="H85" s="2919"/>
      <c r="I85" s="2608"/>
      <c r="J85" s="2608"/>
      <c r="K85" s="2608"/>
      <c r="L85" s="2608"/>
      <c r="M85" s="2608"/>
      <c r="N85" s="2608"/>
      <c r="O85" s="2608"/>
      <c r="P85" s="2608"/>
      <c r="Q85" s="2608"/>
    </row>
    <row r="86" spans="2:17">
      <c r="B86" s="2919"/>
      <c r="C86" s="2919"/>
      <c r="D86" s="2919"/>
      <c r="E86" s="2919"/>
      <c r="F86" s="2919"/>
      <c r="G86" s="2919"/>
      <c r="H86" s="2919"/>
      <c r="I86" s="2608"/>
      <c r="J86" s="2608"/>
      <c r="K86" s="2608"/>
      <c r="L86" s="2608"/>
      <c r="M86" s="2608"/>
      <c r="N86" s="2608"/>
      <c r="O86" s="2608"/>
      <c r="P86" s="2608"/>
      <c r="Q86" s="2608"/>
    </row>
    <row r="87" spans="2:17">
      <c r="B87" s="2919"/>
      <c r="C87" s="2919"/>
      <c r="D87" s="2919"/>
      <c r="E87" s="2919"/>
      <c r="F87" s="2919"/>
      <c r="G87" s="2919"/>
      <c r="H87" s="2919"/>
      <c r="I87" s="2608"/>
      <c r="J87" s="2608"/>
      <c r="K87" s="2608"/>
      <c r="L87" s="2608"/>
      <c r="M87" s="2608"/>
      <c r="N87" s="2608"/>
      <c r="O87" s="2608"/>
      <c r="P87" s="2608"/>
      <c r="Q87" s="2608"/>
    </row>
    <row r="88" spans="2:17" ht="13.2" customHeight="1">
      <c r="B88" s="2919"/>
      <c r="C88" s="2919"/>
      <c r="D88" s="2919"/>
      <c r="E88" s="2919"/>
      <c r="F88" s="2919"/>
      <c r="G88" s="2919"/>
      <c r="H88" s="2919"/>
      <c r="I88" s="2608"/>
      <c r="J88" s="2608"/>
      <c r="K88" s="2608"/>
      <c r="L88" s="2608"/>
      <c r="M88" s="2608"/>
      <c r="N88" s="2608"/>
      <c r="O88" s="2608"/>
      <c r="P88" s="2608"/>
      <c r="Q88" s="2608"/>
    </row>
    <row r="89" spans="2:17">
      <c r="B89" s="2919"/>
      <c r="C89" s="2919"/>
      <c r="D89" s="2919"/>
      <c r="E89" s="2919"/>
      <c r="F89" s="2919"/>
      <c r="G89" s="2919"/>
      <c r="H89" s="2919"/>
      <c r="I89" s="2608"/>
      <c r="J89" s="2608"/>
      <c r="K89" s="2608"/>
      <c r="L89" s="2608"/>
      <c r="M89" s="2608"/>
      <c r="N89" s="2608"/>
      <c r="O89" s="2608"/>
      <c r="P89" s="2608"/>
      <c r="Q89" s="2608"/>
    </row>
    <row r="90" spans="2:17">
      <c r="B90" s="2919"/>
      <c r="C90" s="2919"/>
      <c r="D90" s="2919"/>
      <c r="E90" s="2919"/>
      <c r="F90" s="2919"/>
      <c r="G90" s="2919"/>
      <c r="H90" s="2919"/>
      <c r="I90" s="2608"/>
      <c r="J90" s="2608"/>
      <c r="K90" s="2608"/>
      <c r="L90" s="2608"/>
      <c r="M90" s="2608"/>
      <c r="N90" s="2608"/>
      <c r="O90" s="2608"/>
      <c r="P90" s="2608"/>
      <c r="Q90" s="2608"/>
    </row>
    <row r="91" spans="2:17">
      <c r="B91" s="2919"/>
      <c r="C91" s="2919"/>
      <c r="D91" s="2919"/>
      <c r="E91" s="2919"/>
      <c r="F91" s="2919"/>
      <c r="G91" s="2919"/>
      <c r="H91" s="2919"/>
      <c r="I91" s="2608"/>
      <c r="J91" s="2608"/>
      <c r="K91" s="2608"/>
      <c r="L91" s="2608"/>
      <c r="M91" s="2608"/>
      <c r="N91" s="2608"/>
      <c r="O91" s="2608"/>
      <c r="P91" s="2608"/>
      <c r="Q91" s="2608"/>
    </row>
    <row r="92" spans="2:17">
      <c r="B92" s="2919"/>
      <c r="C92" s="2919"/>
      <c r="D92" s="2919"/>
      <c r="E92" s="2919"/>
      <c r="F92" s="2919"/>
      <c r="G92" s="2919"/>
      <c r="H92" s="2919"/>
      <c r="I92" s="2608"/>
      <c r="J92" s="2608"/>
      <c r="K92" s="2608"/>
      <c r="L92" s="2608"/>
      <c r="M92" s="2608"/>
      <c r="N92" s="2608"/>
      <c r="O92" s="2608"/>
      <c r="P92" s="2608"/>
      <c r="Q92" s="2608"/>
    </row>
    <row r="93" spans="2:17">
      <c r="B93" s="2919"/>
      <c r="C93" s="2919"/>
      <c r="D93" s="2919"/>
      <c r="E93" s="2919"/>
      <c r="F93" s="2919"/>
      <c r="G93" s="2919"/>
      <c r="H93" s="2919"/>
      <c r="I93" s="2608"/>
      <c r="J93" s="2608"/>
      <c r="K93" s="2608"/>
      <c r="L93" s="2608"/>
      <c r="M93" s="2608"/>
      <c r="N93" s="2608"/>
      <c r="O93" s="2608"/>
      <c r="P93" s="2608"/>
      <c r="Q93" s="2608"/>
    </row>
    <row r="94" spans="2:17">
      <c r="B94" s="2919"/>
      <c r="C94" s="2919"/>
      <c r="D94" s="2919"/>
      <c r="E94" s="2919"/>
      <c r="F94" s="2919"/>
      <c r="G94" s="2919"/>
      <c r="H94" s="2919"/>
      <c r="I94" s="2608"/>
      <c r="J94" s="2608"/>
      <c r="K94" s="2608"/>
      <c r="L94" s="2608"/>
      <c r="M94" s="2608"/>
      <c r="N94" s="2608"/>
      <c r="O94" s="2608"/>
      <c r="P94" s="2608"/>
      <c r="Q94" s="2608"/>
    </row>
    <row r="95" spans="2:17">
      <c r="B95" s="2919"/>
      <c r="C95" s="2919"/>
      <c r="D95" s="2919"/>
      <c r="E95" s="2919"/>
      <c r="F95" s="2919"/>
      <c r="G95" s="2919"/>
      <c r="H95" s="2919"/>
      <c r="I95" s="2608"/>
      <c r="J95" s="2608"/>
      <c r="K95" s="2608"/>
      <c r="L95" s="2608"/>
      <c r="M95" s="2608"/>
      <c r="N95" s="2608"/>
      <c r="O95" s="2608"/>
      <c r="P95" s="2608"/>
      <c r="Q95" s="2608"/>
    </row>
    <row r="96" spans="2:17">
      <c r="B96" s="2919"/>
      <c r="C96" s="2919"/>
      <c r="D96" s="2919"/>
      <c r="E96" s="2919"/>
      <c r="F96" s="2919"/>
      <c r="G96" s="2919"/>
      <c r="H96" s="2919"/>
      <c r="I96" s="2608"/>
      <c r="J96" s="2608"/>
      <c r="K96" s="2608"/>
      <c r="L96" s="2608"/>
      <c r="M96" s="2608"/>
      <c r="N96" s="2608"/>
      <c r="O96" s="2608"/>
      <c r="P96" s="2608"/>
      <c r="Q96" s="2608"/>
    </row>
    <row r="97" spans="2:17">
      <c r="C97" s="29"/>
      <c r="D97" s="29"/>
      <c r="E97" s="29"/>
      <c r="G97" s="2608"/>
      <c r="H97" s="2608"/>
      <c r="I97" s="2608"/>
      <c r="J97" s="2608"/>
      <c r="K97" s="2608"/>
      <c r="L97" s="2608"/>
      <c r="M97" s="2608"/>
      <c r="N97" s="2608"/>
      <c r="O97" s="2608"/>
      <c r="P97" s="2608"/>
      <c r="Q97" s="2608"/>
    </row>
    <row r="98" spans="2:17">
      <c r="C98" s="29"/>
      <c r="D98" s="29"/>
      <c r="E98" s="29"/>
      <c r="G98" s="2608"/>
      <c r="H98" s="2608"/>
      <c r="I98" s="2608"/>
      <c r="J98" s="2608"/>
      <c r="K98" s="2608"/>
      <c r="L98" s="2608"/>
      <c r="M98" s="2608"/>
      <c r="N98" s="2608"/>
      <c r="O98" s="2608"/>
      <c r="P98" s="2608"/>
      <c r="Q98" s="2608"/>
    </row>
    <row r="99" spans="2:17">
      <c r="B99" s="29"/>
      <c r="C99" s="29"/>
      <c r="D99" s="29"/>
      <c r="G99" s="2608"/>
      <c r="H99" s="2608"/>
      <c r="I99" s="2608"/>
      <c r="J99" s="2608"/>
      <c r="K99" s="2608"/>
      <c r="L99" s="2608"/>
      <c r="M99" s="2608"/>
      <c r="N99" s="2608"/>
      <c r="O99" s="2608"/>
      <c r="P99" s="2608"/>
      <c r="Q99" s="2608"/>
    </row>
    <row r="100" spans="2:17">
      <c r="B100" s="29"/>
      <c r="C100" s="29"/>
      <c r="D100" s="29"/>
      <c r="G100" s="2608"/>
      <c r="H100" s="2608"/>
      <c r="I100" s="2608"/>
      <c r="J100" s="2608"/>
      <c r="K100" s="2608"/>
      <c r="L100" s="2608"/>
      <c r="M100" s="2608"/>
      <c r="N100" s="2608"/>
      <c r="O100" s="2608"/>
      <c r="P100" s="2608"/>
      <c r="Q100" s="2608"/>
    </row>
    <row r="101" spans="2:17">
      <c r="B101" s="29"/>
      <c r="C101" s="29"/>
      <c r="D101" s="29"/>
      <c r="G101" s="2608"/>
      <c r="H101" s="2608"/>
      <c r="I101" s="2608"/>
      <c r="J101" s="2608"/>
      <c r="K101" s="2608"/>
      <c r="L101" s="2608"/>
      <c r="M101" s="2608"/>
      <c r="N101" s="2608"/>
      <c r="O101" s="2608"/>
      <c r="P101" s="2608"/>
      <c r="Q101" s="2608"/>
    </row>
    <row r="102" spans="2:17">
      <c r="B102" s="29"/>
      <c r="C102" s="29"/>
      <c r="D102" s="29"/>
      <c r="G102" s="2608"/>
      <c r="H102" s="2608"/>
      <c r="I102" s="2608"/>
      <c r="J102" s="2608"/>
      <c r="K102" s="2608"/>
      <c r="L102" s="2608"/>
      <c r="M102" s="2608"/>
      <c r="N102" s="2608"/>
      <c r="O102" s="2608"/>
      <c r="P102" s="2608"/>
      <c r="Q102" s="2608"/>
    </row>
    <row r="103" spans="2:17">
      <c r="B103" s="29"/>
      <c r="C103" s="29"/>
      <c r="D103" s="29"/>
      <c r="G103" s="2608"/>
      <c r="I103" s="2608"/>
      <c r="J103" s="2608"/>
      <c r="K103" s="2608"/>
      <c r="L103" s="2608"/>
      <c r="M103" s="2608"/>
      <c r="N103" s="2608"/>
      <c r="O103" s="2608"/>
      <c r="P103" s="2608"/>
      <c r="Q103" s="2608"/>
    </row>
    <row r="104" spans="2:17">
      <c r="B104" s="29"/>
      <c r="C104" s="29"/>
      <c r="D104" s="29"/>
      <c r="G104" s="2608"/>
      <c r="H104" s="2608"/>
      <c r="I104" s="2608"/>
      <c r="J104" s="2608"/>
      <c r="K104" s="2608"/>
      <c r="L104" s="2608"/>
      <c r="M104" s="2608"/>
      <c r="N104" s="2608"/>
      <c r="O104" s="2608"/>
      <c r="P104" s="2608"/>
      <c r="Q104" s="2608"/>
    </row>
    <row r="105" spans="2:17">
      <c r="B105" s="29"/>
      <c r="C105" s="29"/>
      <c r="D105" s="29"/>
      <c r="G105" s="2608"/>
      <c r="H105" s="2608"/>
      <c r="I105" s="2608"/>
      <c r="J105" s="2608"/>
      <c r="K105" s="2608"/>
      <c r="L105" s="2608"/>
      <c r="M105" s="2608"/>
      <c r="N105" s="2608"/>
      <c r="O105" s="2608"/>
      <c r="P105" s="2608"/>
      <c r="Q105" s="2608"/>
    </row>
    <row r="106" spans="2:17">
      <c r="B106" s="29"/>
      <c r="C106" s="29"/>
      <c r="D106" s="29"/>
      <c r="G106" s="2608"/>
      <c r="H106" s="2608"/>
      <c r="I106" s="2608"/>
      <c r="J106" s="2608"/>
      <c r="K106" s="2608"/>
      <c r="L106" s="2608"/>
      <c r="M106" s="2608"/>
      <c r="N106" s="2608"/>
      <c r="O106" s="2608"/>
      <c r="P106" s="2608"/>
      <c r="Q106" s="2608"/>
    </row>
    <row r="107" spans="2:17">
      <c r="G107" s="2608"/>
      <c r="H107" s="2608"/>
      <c r="I107" s="2608"/>
      <c r="J107" s="2608"/>
      <c r="K107" s="2608"/>
      <c r="L107" s="2608"/>
      <c r="M107" s="2608"/>
      <c r="N107" s="2608"/>
      <c r="O107" s="2608"/>
      <c r="P107" s="2608"/>
      <c r="Q107" s="2608"/>
    </row>
    <row r="108" spans="2:17">
      <c r="G108" s="2608"/>
      <c r="H108" s="2608"/>
      <c r="I108" s="2608"/>
      <c r="J108" s="2608"/>
      <c r="K108" s="2608"/>
      <c r="L108" s="2608"/>
      <c r="M108" s="2608"/>
      <c r="N108" s="2608"/>
      <c r="O108" s="2608"/>
      <c r="P108" s="2608"/>
      <c r="Q108" s="2608"/>
    </row>
    <row r="109" spans="2:17">
      <c r="G109" s="2608"/>
      <c r="H109" s="2608"/>
      <c r="I109" s="2608"/>
      <c r="J109" s="2608"/>
      <c r="K109" s="2608"/>
      <c r="L109" s="2608"/>
      <c r="M109" s="2608"/>
      <c r="N109" s="2608"/>
      <c r="O109" s="2608"/>
      <c r="P109" s="2608"/>
      <c r="Q109" s="2608"/>
    </row>
    <row r="110" spans="2:17">
      <c r="G110" s="2608"/>
      <c r="H110" s="2608"/>
      <c r="I110" s="2608"/>
      <c r="J110" s="2608"/>
      <c r="K110" s="2608"/>
      <c r="L110" s="2608"/>
      <c r="M110" s="2608"/>
      <c r="N110" s="2608"/>
      <c r="O110" s="2608"/>
      <c r="P110" s="2608"/>
      <c r="Q110" s="2608"/>
    </row>
    <row r="111" spans="2:17">
      <c r="G111" s="2608"/>
      <c r="H111" s="2608"/>
      <c r="I111" s="2608"/>
      <c r="J111" s="2608"/>
      <c r="K111" s="2608"/>
      <c r="L111" s="2608"/>
      <c r="M111" s="2608"/>
      <c r="N111" s="2608"/>
      <c r="O111" s="2608"/>
      <c r="P111" s="2608"/>
      <c r="Q111" s="2608"/>
    </row>
    <row r="112" spans="2:17">
      <c r="G112" s="2608"/>
      <c r="H112" s="2608"/>
      <c r="I112" s="2608"/>
      <c r="J112" s="2608"/>
      <c r="K112" s="2608"/>
      <c r="L112" s="2608"/>
      <c r="M112" s="2608"/>
      <c r="N112" s="2608"/>
      <c r="O112" s="2608"/>
      <c r="P112" s="2608"/>
      <c r="Q112" s="2608"/>
    </row>
    <row r="113" spans="2:17">
      <c r="G113" s="2608"/>
      <c r="H113" s="2608"/>
      <c r="I113" s="2608"/>
      <c r="J113" s="2608"/>
      <c r="K113" s="2608"/>
      <c r="L113" s="2608"/>
      <c r="M113" s="2608"/>
      <c r="N113" s="2608"/>
      <c r="O113" s="2608"/>
      <c r="P113" s="2608"/>
      <c r="Q113" s="2608"/>
    </row>
    <row r="114" spans="2:17">
      <c r="G114" s="2608"/>
      <c r="H114" s="2608"/>
      <c r="I114" s="2608"/>
      <c r="J114" s="2608"/>
      <c r="K114" s="2608"/>
      <c r="L114" s="2608"/>
      <c r="M114" s="2608"/>
      <c r="N114" s="2608"/>
      <c r="O114" s="2608"/>
      <c r="P114" s="2608"/>
      <c r="Q114" s="2608"/>
    </row>
    <row r="115" spans="2:17">
      <c r="G115" s="2608"/>
      <c r="H115" s="2608"/>
      <c r="I115" s="2608"/>
      <c r="J115" s="2608"/>
      <c r="K115" s="2608"/>
      <c r="L115" s="2608"/>
      <c r="M115" s="2608"/>
      <c r="N115" s="2608"/>
      <c r="O115" s="2608"/>
      <c r="P115" s="2608"/>
      <c r="Q115" s="2608"/>
    </row>
    <row r="116" spans="2:17">
      <c r="G116" s="2608"/>
      <c r="H116" s="2608"/>
      <c r="I116" s="2608"/>
      <c r="J116" s="2608"/>
      <c r="K116" s="2608"/>
      <c r="L116" s="2608"/>
      <c r="M116" s="2608"/>
      <c r="N116" s="2608"/>
      <c r="O116" s="2608"/>
      <c r="P116" s="2608"/>
      <c r="Q116" s="2608"/>
    </row>
    <row r="117" spans="2:17">
      <c r="G117" s="2608"/>
      <c r="H117" s="2608"/>
      <c r="I117" s="2608"/>
      <c r="J117" s="2608"/>
      <c r="K117" s="2608"/>
      <c r="L117" s="2608"/>
      <c r="M117" s="2608"/>
      <c r="N117" s="2608"/>
      <c r="O117" s="2608"/>
      <c r="P117" s="2608"/>
      <c r="Q117" s="2608"/>
    </row>
    <row r="118" spans="2:17">
      <c r="B118" s="440"/>
      <c r="C118" s="29"/>
      <c r="G118" s="2608"/>
      <c r="H118" s="2608"/>
      <c r="I118" s="2608"/>
      <c r="J118" s="2608"/>
      <c r="K118" s="2608"/>
      <c r="L118" s="2608"/>
      <c r="M118" s="2608"/>
      <c r="N118" s="2608"/>
      <c r="O118" s="2608"/>
      <c r="P118" s="2608"/>
      <c r="Q118" s="2608"/>
    </row>
    <row r="119" spans="2:17">
      <c r="B119" s="440"/>
      <c r="C119" s="29"/>
      <c r="G119" s="2608"/>
      <c r="H119" s="2608"/>
      <c r="I119" s="2608"/>
      <c r="J119" s="2608"/>
      <c r="K119" s="2608"/>
      <c r="L119" s="2608"/>
      <c r="M119" s="2608"/>
      <c r="N119" s="2608"/>
      <c r="O119" s="2608"/>
      <c r="P119" s="2608"/>
      <c r="Q119" s="2608"/>
    </row>
    <row r="120" spans="2:17">
      <c r="B120" s="440"/>
      <c r="C120" s="29"/>
      <c r="G120" s="2608"/>
      <c r="H120" s="2608"/>
      <c r="I120" s="2608"/>
      <c r="J120" s="2608"/>
      <c r="K120" s="2608"/>
      <c r="L120" s="2608"/>
      <c r="M120" s="2608"/>
      <c r="N120" s="2608"/>
      <c r="O120" s="2608"/>
      <c r="P120" s="2608"/>
      <c r="Q120" s="2608"/>
    </row>
    <row r="121" spans="2:17">
      <c r="B121" s="440"/>
      <c r="C121" s="29"/>
      <c r="G121" s="2608"/>
      <c r="H121" s="2608"/>
      <c r="I121" s="2608"/>
      <c r="J121" s="2608"/>
      <c r="K121" s="2608"/>
      <c r="L121" s="2608"/>
      <c r="M121" s="2608"/>
      <c r="N121" s="2608"/>
      <c r="O121" s="2608"/>
      <c r="P121" s="2608"/>
      <c r="Q121" s="2608"/>
    </row>
    <row r="122" spans="2:17">
      <c r="B122" s="440"/>
      <c r="C122" s="29"/>
      <c r="G122" s="2608"/>
      <c r="H122" s="2608"/>
      <c r="I122" s="2608"/>
      <c r="J122" s="2608"/>
      <c r="K122" s="2608"/>
      <c r="L122" s="2608"/>
      <c r="M122" s="2608"/>
      <c r="N122" s="2608"/>
      <c r="O122" s="2608"/>
      <c r="P122" s="2608"/>
      <c r="Q122" s="2608"/>
    </row>
    <row r="123" spans="2:17">
      <c r="B123" s="440"/>
      <c r="C123" s="29"/>
      <c r="L123" s="2608"/>
      <c r="M123" s="2608"/>
      <c r="N123" s="2608"/>
      <c r="O123" s="2608"/>
      <c r="P123" s="2608"/>
      <c r="Q123" s="2608"/>
    </row>
    <row r="124" spans="2:17">
      <c r="B124" s="440"/>
      <c r="C124" s="29"/>
      <c r="L124" s="2608"/>
      <c r="M124" s="2608"/>
      <c r="N124" s="2608"/>
      <c r="O124" s="2608"/>
      <c r="P124" s="2608"/>
      <c r="Q124" s="2608"/>
    </row>
    <row r="125" spans="2:17">
      <c r="B125" s="440"/>
      <c r="C125" s="29"/>
      <c r="L125" s="2608"/>
      <c r="M125" s="2608"/>
      <c r="N125" s="2608"/>
      <c r="O125" s="2608"/>
      <c r="P125" s="2608"/>
      <c r="Q125" s="2608"/>
    </row>
    <row r="126" spans="2:17">
      <c r="B126" s="440"/>
      <c r="C126" s="29"/>
      <c r="L126" s="2608"/>
      <c r="M126" s="2608"/>
      <c r="N126" s="2608"/>
      <c r="O126" s="2608"/>
      <c r="P126" s="2608"/>
      <c r="Q126" s="2608"/>
    </row>
    <row r="127" spans="2:17">
      <c r="B127" s="440"/>
      <c r="C127" s="29"/>
      <c r="L127" s="2608"/>
      <c r="M127" s="2608"/>
      <c r="N127" s="2608"/>
      <c r="O127" s="2608"/>
      <c r="P127" s="2608"/>
      <c r="Q127" s="2608"/>
    </row>
    <row r="128" spans="2:17">
      <c r="B128" s="440"/>
      <c r="C128" s="29"/>
      <c r="L128" s="2608"/>
      <c r="M128" s="2608"/>
      <c r="N128" s="2608"/>
      <c r="O128" s="2608"/>
      <c r="P128" s="2608"/>
      <c r="Q128" s="2608"/>
    </row>
    <row r="129" spans="2:17">
      <c r="B129" s="440"/>
      <c r="C129" s="29"/>
      <c r="L129" s="2608"/>
      <c r="M129" s="2608"/>
      <c r="N129" s="2608"/>
      <c r="O129" s="2608"/>
      <c r="P129" s="2608"/>
      <c r="Q129" s="2608"/>
    </row>
    <row r="130" spans="2:17">
      <c r="B130" s="440"/>
      <c r="C130" s="29"/>
      <c r="L130" s="2608"/>
      <c r="M130" s="2608"/>
      <c r="N130" s="2608"/>
      <c r="O130" s="2608"/>
      <c r="P130" s="2608"/>
      <c r="Q130" s="2608"/>
    </row>
    <row r="131" spans="2:17">
      <c r="B131" s="440"/>
      <c r="C131" s="29"/>
      <c r="L131" s="2608"/>
      <c r="M131" s="2608"/>
      <c r="N131" s="2608"/>
      <c r="O131" s="2608"/>
      <c r="P131" s="2608"/>
      <c r="Q131" s="2608"/>
    </row>
    <row r="132" spans="2:17">
      <c r="B132" s="440"/>
      <c r="C132" s="29"/>
      <c r="L132" s="2608"/>
      <c r="M132" s="2608"/>
      <c r="N132" s="2608"/>
      <c r="O132" s="2608"/>
      <c r="P132" s="2608"/>
      <c r="Q132" s="2608"/>
    </row>
    <row r="133" spans="2:17">
      <c r="B133" s="440"/>
      <c r="C133" s="29"/>
      <c r="L133" s="2608"/>
      <c r="M133" s="2608"/>
      <c r="N133" s="2608"/>
      <c r="O133" s="2608"/>
      <c r="P133" s="2608"/>
      <c r="Q133" s="2608"/>
    </row>
    <row r="134" spans="2:17">
      <c r="B134" s="440"/>
      <c r="C134" s="29"/>
      <c r="L134" s="2608"/>
      <c r="M134" s="2608"/>
      <c r="N134" s="2608"/>
      <c r="O134" s="2608"/>
      <c r="P134" s="2608"/>
      <c r="Q134" s="2608"/>
    </row>
    <row r="135" spans="2:17">
      <c r="B135" s="440"/>
      <c r="C135" s="29"/>
      <c r="L135" s="2608"/>
      <c r="M135" s="2608"/>
      <c r="N135" s="2608"/>
      <c r="O135" s="2608"/>
      <c r="P135" s="2608"/>
      <c r="Q135" s="2608"/>
    </row>
    <row r="136" spans="2:17">
      <c r="B136" s="440"/>
      <c r="C136" s="29"/>
      <c r="L136" s="2608"/>
      <c r="M136" s="2608"/>
      <c r="N136" s="2608"/>
      <c r="O136" s="2608"/>
      <c r="P136" s="2608"/>
      <c r="Q136" s="2608"/>
    </row>
    <row r="137" spans="2:17">
      <c r="B137" s="440"/>
      <c r="C137" s="29"/>
      <c r="L137" s="2608"/>
      <c r="M137" s="2608"/>
      <c r="N137" s="2608"/>
      <c r="O137" s="2608"/>
      <c r="P137" s="2608"/>
      <c r="Q137" s="2608"/>
    </row>
    <row r="138" spans="2:17">
      <c r="B138" s="440"/>
      <c r="C138" s="29"/>
      <c r="L138" s="2608"/>
      <c r="M138" s="2608"/>
      <c r="N138" s="2608"/>
      <c r="O138" s="2608"/>
      <c r="P138" s="2608"/>
      <c r="Q138" s="2608"/>
    </row>
    <row r="139" spans="2:17">
      <c r="B139" s="440"/>
      <c r="C139" s="29"/>
      <c r="L139" s="2608"/>
      <c r="M139" s="2608"/>
      <c r="N139" s="2608"/>
      <c r="O139" s="2608"/>
      <c r="P139" s="2608"/>
      <c r="Q139" s="2608"/>
    </row>
    <row r="140" spans="2:17">
      <c r="B140" s="440"/>
      <c r="C140" s="29"/>
      <c r="L140" s="2608"/>
      <c r="M140" s="2608"/>
      <c r="N140" s="2608"/>
      <c r="O140" s="2608"/>
      <c r="P140" s="2608"/>
      <c r="Q140" s="2608"/>
    </row>
    <row r="141" spans="2:17">
      <c r="B141" s="440"/>
      <c r="C141" s="29"/>
      <c r="L141" s="2608"/>
      <c r="M141" s="2608"/>
      <c r="N141" s="2608"/>
      <c r="O141" s="2608"/>
      <c r="P141" s="2608"/>
      <c r="Q141" s="2608"/>
    </row>
    <row r="142" spans="2:17">
      <c r="B142" s="440"/>
      <c r="C142" s="29"/>
      <c r="L142" s="2608"/>
      <c r="M142" s="2608"/>
      <c r="N142" s="2608"/>
      <c r="O142" s="2608"/>
      <c r="P142" s="2608"/>
      <c r="Q142" s="2608"/>
    </row>
    <row r="143" spans="2:17">
      <c r="B143" s="440"/>
      <c r="C143" s="29"/>
      <c r="L143" s="2608"/>
      <c r="M143" s="2608"/>
      <c r="N143" s="2608"/>
      <c r="O143" s="2608"/>
      <c r="P143" s="2608"/>
      <c r="Q143" s="2608"/>
    </row>
    <row r="144" spans="2:17">
      <c r="B144" s="440"/>
      <c r="C144" s="29"/>
      <c r="L144" s="29"/>
    </row>
    <row r="145" spans="2:12">
      <c r="B145" s="440"/>
      <c r="C145" s="29"/>
      <c r="L145" s="29"/>
    </row>
    <row r="146" spans="2:12">
      <c r="B146" s="440"/>
      <c r="C146" s="29"/>
      <c r="L146" s="29"/>
    </row>
    <row r="147" spans="2:12">
      <c r="B147" s="440"/>
      <c r="C147" s="29"/>
    </row>
    <row r="148" spans="2:12">
      <c r="B148" s="440"/>
      <c r="C148" s="29"/>
    </row>
    <row r="149" spans="2:12">
      <c r="B149" s="440"/>
      <c r="C149" s="29"/>
    </row>
    <row r="150" spans="2:12">
      <c r="B150" s="440"/>
      <c r="C150" s="29"/>
    </row>
    <row r="151" spans="2:12">
      <c r="B151" s="440"/>
      <c r="C151" s="29"/>
      <c r="H151" s="1354"/>
      <c r="J151" s="1563"/>
    </row>
    <row r="152" spans="2:12">
      <c r="B152" s="440"/>
      <c r="C152" s="29"/>
      <c r="H152" s="1354"/>
      <c r="J152" s="1563"/>
    </row>
    <row r="153" spans="2:12">
      <c r="B153" s="440"/>
      <c r="C153" s="29"/>
      <c r="H153" s="1354"/>
      <c r="J153" s="1563"/>
    </row>
    <row r="154" spans="2:12">
      <c r="B154" s="440"/>
      <c r="C154" s="29"/>
      <c r="D154" s="29"/>
      <c r="F154" s="29"/>
      <c r="G154" s="29"/>
      <c r="H154" s="29"/>
      <c r="I154" s="29"/>
      <c r="J154" s="29"/>
      <c r="K154" s="29"/>
    </row>
    <row r="155" spans="2:12">
      <c r="B155" s="440"/>
      <c r="C155" s="29"/>
      <c r="D155" s="29"/>
      <c r="F155" s="29"/>
      <c r="G155" s="29"/>
      <c r="H155" s="29"/>
      <c r="I155" s="29"/>
      <c r="J155" s="29"/>
      <c r="K155" s="29"/>
    </row>
    <row r="156" spans="2:12">
      <c r="B156" s="440"/>
      <c r="C156" s="29"/>
      <c r="D156" s="29"/>
      <c r="F156" s="29"/>
      <c r="G156" s="29"/>
      <c r="H156" s="29"/>
      <c r="I156" s="29"/>
      <c r="J156" s="29"/>
      <c r="K156" s="29"/>
    </row>
    <row r="157" spans="2:12">
      <c r="B157" s="440"/>
      <c r="C157" s="29"/>
      <c r="H157" s="1354"/>
      <c r="J157" s="1563"/>
    </row>
    <row r="158" spans="2:12">
      <c r="B158" s="440"/>
      <c r="C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heet="1" selectLockedCells="1"/>
  <customSheetViews>
    <customSheetView guid="{8063F48F-80B5-4ECD-B18A-51CBF126E780}"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69" firstPageNumber="66" orientation="portrait" r:id="rId1"/>
      <headerFooter alignWithMargins="0">
        <oddFooter>&amp;L&amp;11LEL Schwäbisch Gmünd&amp;R&amp;11&amp;F</oddFooter>
      </headerFooter>
    </customSheetView>
    <customSheetView guid="{5D5C9B61-9ABD-4513-AAEB-8333A9D6196C}"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69" firstPageNumber="66" orientation="portrait" r:id="rId2"/>
      <headerFooter alignWithMargins="0">
        <oddFooter>&amp;L&amp;11LEL Schwäbisch Gmünd&amp;R&amp;11&amp;F</oddFooter>
      </headerFooter>
    </customSheetView>
    <customSheetView guid="{22A73C4F-9004-4CEF-8499-B1F91BE1B569}"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69" firstPageNumber="66" orientation="portrait" r:id="rId3"/>
      <headerFooter alignWithMargins="0">
        <oddFooter>&amp;L&amp;11LEL Schwäbisch Gmünd&amp;R&amp;11&amp;F</oddFooter>
      </headerFooter>
    </customSheetView>
  </customSheetViews>
  <mergeCells count="49">
    <mergeCell ref="K1:L1"/>
    <mergeCell ref="D26:E26"/>
    <mergeCell ref="F34:G34"/>
    <mergeCell ref="C17:F17"/>
    <mergeCell ref="C19:F19"/>
    <mergeCell ref="C14:F14"/>
    <mergeCell ref="C15:F15"/>
    <mergeCell ref="E10:F10"/>
    <mergeCell ref="C21:F21"/>
    <mergeCell ref="B3:H3"/>
    <mergeCell ref="C74:E74"/>
    <mergeCell ref="B75:C75"/>
    <mergeCell ref="C40:E40"/>
    <mergeCell ref="C37:E37"/>
    <mergeCell ref="C73:E73"/>
    <mergeCell ref="C62:E62"/>
    <mergeCell ref="C55:D55"/>
    <mergeCell ref="C63:E63"/>
    <mergeCell ref="C68:E68"/>
    <mergeCell ref="C42:E42"/>
    <mergeCell ref="C56:D56"/>
    <mergeCell ref="C52:D52"/>
    <mergeCell ref="C53:D53"/>
    <mergeCell ref="C46:D46"/>
    <mergeCell ref="C57:D57"/>
    <mergeCell ref="C54:D54"/>
    <mergeCell ref="N1:O1"/>
    <mergeCell ref="C16:F16"/>
    <mergeCell ref="C39:E39"/>
    <mergeCell ref="C64:E64"/>
    <mergeCell ref="C50:D50"/>
    <mergeCell ref="C51:D51"/>
    <mergeCell ref="C38:E38"/>
    <mergeCell ref="C49:D49"/>
    <mergeCell ref="C41:E41"/>
    <mergeCell ref="C47:D47"/>
    <mergeCell ref="C48:D48"/>
    <mergeCell ref="E22:G22"/>
    <mergeCell ref="C36:E36"/>
    <mergeCell ref="F23:G23"/>
    <mergeCell ref="D25:E25"/>
    <mergeCell ref="C20:F20"/>
    <mergeCell ref="W3:Y3"/>
    <mergeCell ref="W4:Y4"/>
    <mergeCell ref="H6:I6"/>
    <mergeCell ref="N3:O4"/>
    <mergeCell ref="K2:P2"/>
    <mergeCell ref="N6:O6"/>
    <mergeCell ref="K6:L6"/>
  </mergeCells>
  <dataValidations count="4">
    <dataValidation type="decimal" allowBlank="1" showInputMessage="1" showErrorMessage="1" errorTitle="Wassergehalt Getreide" error="Zulässig sind nur Werte zwischen 14,1 und 22,0 % Wassergehalt." sqref="H68 K68 N68" xr:uid="{00000000-0002-0000-4D00-000000000000}">
      <formula1>14.1</formula1>
      <formula2>22</formula2>
    </dataValidation>
    <dataValidation type="whole" allowBlank="1" showInputMessage="1" showErrorMessage="1" errorTitle="Anteil Erntegut" error="Prozentwert darf nur zwischen 0 und 100 liegen." sqref="O68 L68 I68" xr:uid="{00000000-0002-0000-4D00-000001000000}">
      <formula1>0</formula1>
      <formula2>100</formula2>
    </dataValidation>
    <dataValidation type="list" showInputMessage="1" showErrorMessage="1" sqref="H14 K14 N14" xr:uid="{00000000-0002-0000-4D00-000002000000}">
      <formula1>"ja,nein"</formula1>
    </dataValidation>
    <dataValidation type="list" allowBlank="1" showInputMessage="1" showErrorMessage="1" sqref="H15:H17 K15:K17 N15:N17" xr:uid="{00000000-0002-0000-4D00-000003000000}">
      <formula1>"ja,nein"</formula1>
    </dataValidation>
  </dataValidations>
  <hyperlinks>
    <hyperlink ref="F9" location="SDÖ1!A1" display="Preis ändern" xr:uid="{00000000-0004-0000-4D00-000000000000}"/>
  </hyperlinks>
  <printOptions horizontalCentered="1"/>
  <pageMargins left="0.59055118110236227" right="0.57999999999999996" top="0.59055118110236227" bottom="0.59055118110236227" header="0.39370078740157483" footer="0.39370078740157483"/>
  <pageSetup paperSize="9" scale="69" firstPageNumber="66" orientation="portrait" r:id="rId4"/>
  <headerFooter alignWithMargins="0">
    <oddFooter>&amp;L&amp;11LEL Schwäbisch Gmünd&amp;R&amp;11&amp;F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D00-000004000000}">
          <x14:formula1>
            <xm:f>'SD2'!$C$11:$C$50</xm:f>
          </x14:formula1>
          <xm:sqref>C14:F17</xm:sqref>
        </x14:dataValidation>
        <x14:dataValidation type="list" allowBlank="1" showInputMessage="1" showErrorMessage="1" xr:uid="{00000000-0002-0000-4D00-000005000000}">
          <x14:formula1>
            <xm:f>'SD2'!$C$60:$C$77</xm:f>
          </x14:formula1>
          <xm:sqref>C19:F19 C20:C21</xm:sqref>
        </x14:dataValidation>
        <x14:dataValidation type="list" allowBlank="1" showInputMessage="1" showErrorMessage="1" xr:uid="{00000000-0002-0000-4D00-000007000000}">
          <x14:formula1>
            <xm:f>SDÖ5!$C$5:$C$16</xm:f>
          </x14:formula1>
          <xm:sqref>C36:E42</xm:sqref>
        </x14:dataValidation>
        <x14:dataValidation type="list" allowBlank="1" showInputMessage="1" showErrorMessage="1" errorTitle="Arbeitsgänge" error="Bitte aus Dropdownliste auswählen." xr:uid="{00000000-0002-0000-4D00-000008000000}">
          <x14:formula1>
            <xm:f>'SD3'!$C$23:$C$75</xm:f>
          </x14:formula1>
          <xm:sqref>C46:D57</xm:sqref>
        </x14:dataValidation>
        <x14:dataValidation type="list" allowBlank="1" showInputMessage="1" showErrorMessage="1" errorTitle="Lohnmaschinen" error="Bitte aus Dropdownliste auswählen." xr:uid="{00000000-0002-0000-4D00-000009000000}">
          <x14:formula1>
            <xm:f>'SD3'!$C$90:$C$104</xm:f>
          </x14:formula1>
          <xm:sqref>C62:E64</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Tabelle95">
    <tabColor rgb="FF92D050"/>
    <pageSetUpPr fitToPage="1"/>
  </sheetPr>
  <dimension ref="A1:AO206"/>
  <sheetViews>
    <sheetView workbookViewId="0">
      <selection activeCell="E4" sqref="E4:M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38.09765625" style="28" hidden="1" customWidth="1"/>
    <col min="18" max="27" width="0" style="27" hidden="1" customWidth="1"/>
    <col min="28" max="16384" width="10.5" style="27"/>
  </cols>
  <sheetData>
    <row r="1" spans="1:41" s="219" customFormat="1" ht="30.15" customHeight="1">
      <c r="A1" s="1681" t="s">
        <v>1571</v>
      </c>
      <c r="B1" s="258"/>
      <c r="C1" s="1333"/>
      <c r="D1" s="100"/>
      <c r="E1" s="255"/>
      <c r="F1" s="255"/>
      <c r="G1" s="3207"/>
      <c r="H1" s="3207"/>
      <c r="I1" s="3208" t="s">
        <v>1679</v>
      </c>
      <c r="J1" s="3210">
        <f>(J7+J13+J18+J22+I11+I12)-(J23+J27+J34+J43+J60+J65+J67+J69+J71+J75)</f>
        <v>-302.26299297158329</v>
      </c>
      <c r="K1" s="4360">
        <f>M1-J1</f>
        <v>0</v>
      </c>
      <c r="L1" s="4360"/>
      <c r="M1" s="3210">
        <f>(M7+M13+M18+M22+L11+L12)-(M23+M27+M34+M43+M60+M65+M67+M69+M71+M75)</f>
        <v>-302.26299297158329</v>
      </c>
      <c r="N1" s="4360">
        <f>P1-M1</f>
        <v>0</v>
      </c>
      <c r="O1" s="4360"/>
      <c r="P1" s="3210">
        <f>(P7+P13+P18+P22+O11+O12)-(P23+P27+P34+P43+P60+P65+P67+P69+P71+P75)</f>
        <v>-302.26299297158329</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1153</v>
      </c>
      <c r="L2" s="4372"/>
      <c r="M2" s="4372"/>
      <c r="N2" s="4372"/>
      <c r="O2" s="4372"/>
      <c r="P2" s="4372"/>
      <c r="Q2" s="1681"/>
    </row>
    <row r="3" spans="1:41" s="219" customFormat="1" ht="32.4" customHeight="1">
      <c r="A3" s="1681"/>
      <c r="B3" s="4405" t="s">
        <v>1727</v>
      </c>
      <c r="C3" s="4405"/>
      <c r="D3" s="4405"/>
      <c r="E3" s="4405"/>
      <c r="F3" s="4405"/>
      <c r="G3" s="4405"/>
      <c r="H3" s="4405"/>
      <c r="J3" s="29"/>
      <c r="K3" s="29"/>
      <c r="L3" s="29"/>
      <c r="M3" s="29"/>
      <c r="N3" s="4444" t="str">
        <f>IF(AND(T3=TRUE,T4=TRUE),"nur 1 Strohnutzung möglich","")</f>
        <v/>
      </c>
      <c r="O3" s="4374"/>
      <c r="P3" s="1326"/>
      <c r="Q3" s="1681"/>
      <c r="T3" s="1343"/>
    </row>
    <row r="4" spans="1:41" s="219" customFormat="1" ht="20.25" customHeight="1">
      <c r="A4" s="1681"/>
      <c r="B4" s="309" t="s">
        <v>779</v>
      </c>
      <c r="C4" s="27"/>
      <c r="D4" s="27"/>
      <c r="E4" s="4474" t="s">
        <v>1152</v>
      </c>
      <c r="F4" s="4474"/>
      <c r="G4" s="4474"/>
      <c r="H4" s="4474"/>
      <c r="I4" s="4474"/>
      <c r="J4" s="4474"/>
      <c r="K4" s="4474"/>
      <c r="L4" s="4474"/>
      <c r="M4" s="4474"/>
      <c r="N4" s="4374"/>
      <c r="O4" s="4374"/>
      <c r="P4" s="1322">
        <f>SDÖ1!O3</f>
        <v>2024</v>
      </c>
      <c r="Q4" s="1681"/>
      <c r="T4" s="1343"/>
    </row>
    <row r="5" spans="1:41" ht="6" customHeight="1"/>
    <row r="6" spans="1:41" s="1311" customFormat="1" ht="24" customHeight="1">
      <c r="A6" s="41"/>
      <c r="B6" s="1316" t="s">
        <v>832</v>
      </c>
      <c r="C6" s="1315"/>
      <c r="D6" s="1315"/>
      <c r="E6" s="1315"/>
      <c r="F6" s="1315"/>
      <c r="G6" s="1314" t="s">
        <v>1141</v>
      </c>
      <c r="H6" s="4366" t="s">
        <v>171</v>
      </c>
      <c r="I6" s="4367"/>
      <c r="J6" s="1313">
        <v>1</v>
      </c>
      <c r="K6" s="4379" t="s">
        <v>144</v>
      </c>
      <c r="L6" s="4380"/>
      <c r="M6" s="1313">
        <v>1</v>
      </c>
      <c r="N6" s="4366" t="s">
        <v>170</v>
      </c>
      <c r="O6" s="4367"/>
      <c r="P6" s="1312">
        <v>1</v>
      </c>
      <c r="Q6" s="49"/>
    </row>
    <row r="7" spans="1:41" s="196" customFormat="1" ht="18.75" customHeight="1">
      <c r="A7" s="40"/>
      <c r="B7" s="245" t="s">
        <v>1133</v>
      </c>
      <c r="C7" s="40"/>
      <c r="D7" s="40"/>
      <c r="E7" s="40"/>
      <c r="F7" s="40"/>
      <c r="G7" s="1310" t="s">
        <v>163</v>
      </c>
      <c r="H7" s="1307"/>
      <c r="I7" s="1306"/>
      <c r="J7" s="1041">
        <f>SUM(I9:I10)</f>
        <v>0</v>
      </c>
      <c r="K7" s="1309"/>
      <c r="L7" s="1308"/>
      <c r="M7" s="1044">
        <f>SUM(L9:L10)</f>
        <v>0</v>
      </c>
      <c r="N7" s="1307"/>
      <c r="O7" s="1306"/>
      <c r="P7" s="1041">
        <f>SUM(O9:O10)</f>
        <v>0</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t="s">
        <v>882</v>
      </c>
      <c r="G9" s="1221"/>
      <c r="H9" s="1303">
        <f>J6-H10</f>
        <v>1</v>
      </c>
      <c r="I9" s="1299">
        <f>H9*G9</f>
        <v>0</v>
      </c>
      <c r="J9" s="37"/>
      <c r="K9" s="1302">
        <f>M6-K10</f>
        <v>1</v>
      </c>
      <c r="L9" s="1301">
        <f>K9*J9</f>
        <v>0</v>
      </c>
      <c r="M9" s="1280"/>
      <c r="N9" s="1300">
        <f>P6-N10</f>
        <v>1</v>
      </c>
      <c r="O9" s="1299">
        <f>N9*M9</f>
        <v>0</v>
      </c>
      <c r="P9" s="37"/>
      <c r="Q9" s="28"/>
      <c r="R9" s="517"/>
      <c r="S9" s="208" t="s">
        <v>887</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customHeight="1">
      <c r="A11" s="309"/>
      <c r="B11" s="217"/>
      <c r="C11" s="39" t="s">
        <v>878</v>
      </c>
      <c r="D11" s="309"/>
      <c r="E11" s="1286">
        <v>0.5</v>
      </c>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37"/>
      <c r="Q11" s="34"/>
      <c r="W11" s="1268" t="s">
        <v>876</v>
      </c>
    </row>
    <row r="12" spans="1:41" s="1268" customFormat="1" ht="15"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t="str">
        <f>IF(OR(T3=TRUE,T4=TRUE),J6*$E$11,"0")</f>
        <v>0</v>
      </c>
      <c r="Y12" s="1265" t="str">
        <f>IF(OR(T3=TRUE,T4=TRUE),M6*$E$11,"0")</f>
        <v>0</v>
      </c>
      <c r="Z12" s="1264" t="str">
        <f>IF(OR(T3=TRUE,T4=TRUE),P6*$E$11,"0")</f>
        <v>0</v>
      </c>
    </row>
    <row r="13" spans="1:41" s="196" customFormat="1" ht="18.75" customHeight="1">
      <c r="A13" s="40"/>
      <c r="B13" s="209" t="s">
        <v>1130</v>
      </c>
      <c r="C13" s="40"/>
      <c r="D13" s="40"/>
      <c r="E13" s="40"/>
      <c r="F13" s="40"/>
      <c r="G13" s="1267" t="s">
        <v>163</v>
      </c>
      <c r="H13" s="1250"/>
      <c r="I13" s="1249"/>
      <c r="J13" s="1041">
        <f>SUM(I14:I17)</f>
        <v>0</v>
      </c>
      <c r="K13" s="1252"/>
      <c r="L13" s="1251"/>
      <c r="M13" s="1044">
        <f>SUM(L14:L16)</f>
        <v>0</v>
      </c>
      <c r="N13" s="1250"/>
      <c r="O13" s="1249"/>
      <c r="P13" s="1041">
        <f>SUM(O14:O16)</f>
        <v>0</v>
      </c>
      <c r="Q13" s="28"/>
      <c r="R13" s="100"/>
      <c r="U13" s="36"/>
      <c r="V13" s="36"/>
      <c r="X13" s="1264" t="str">
        <f>IF(OR(T4=TRUE,T5=TRUE),J7*$E$11,"0")</f>
        <v>0</v>
      </c>
      <c r="Y13" s="1265" t="str">
        <f>IF(OR(T4=TRUE,T5=TRUE),M7*$E$11,"0")</f>
        <v>0</v>
      </c>
      <c r="Z13" s="1264" t="str">
        <f>IF(OR(T4=TRUE,T5=TRUE),P7*$E$11,"0")</f>
        <v>0</v>
      </c>
    </row>
    <row r="14" spans="1:41" s="36" customFormat="1" ht="15" customHeight="1">
      <c r="A14" s="39"/>
      <c r="B14" s="1247"/>
      <c r="C14" s="4365"/>
      <c r="D14" s="4365"/>
      <c r="E14" s="4365"/>
      <c r="F14" s="4365"/>
      <c r="G14" s="1263"/>
      <c r="H14" s="1391" t="s">
        <v>919</v>
      </c>
      <c r="I14" s="2827">
        <f>IF(H14="ja",Q14,0)</f>
        <v>0</v>
      </c>
      <c r="J14" s="39"/>
      <c r="K14" s="1262" t="s">
        <v>919</v>
      </c>
      <c r="L14" s="1098">
        <f>IF(K14="ja",Q14,0)</f>
        <v>0</v>
      </c>
      <c r="M14" s="1016"/>
      <c r="N14" s="1262" t="s">
        <v>919</v>
      </c>
      <c r="O14" s="2827">
        <f>IF(N14="ja",Q14,0)</f>
        <v>0</v>
      </c>
      <c r="P14" s="2826"/>
      <c r="Q14" s="1261">
        <f>IF(C14=0,0,VLOOKUP(C14,'SD2'!$C$11:$O$50,'SD2'!$O$1,FALSE))</f>
        <v>0</v>
      </c>
      <c r="R14" s="1350"/>
      <c r="S14" s="1349"/>
      <c r="T14" s="1348"/>
      <c r="W14" s="36" t="s">
        <v>236</v>
      </c>
      <c r="X14" s="1260">
        <f>$X$12*F31</f>
        <v>0</v>
      </c>
      <c r="Y14" s="1260">
        <f>$Y$12*F31</f>
        <v>0</v>
      </c>
      <c r="Z14" s="1260">
        <f>$Z$12*F31</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347"/>
      <c r="S15" s="1343"/>
      <c r="T15" s="1346"/>
      <c r="W15" s="36" t="s">
        <v>685</v>
      </c>
      <c r="X15" s="1260">
        <f>$X$12*F32</f>
        <v>0</v>
      </c>
      <c r="Y15" s="1260">
        <f>$Y$12*F32</f>
        <v>0</v>
      </c>
      <c r="Z15" s="1260">
        <f>$Z$12*F32</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347"/>
      <c r="S16" s="1343"/>
      <c r="T16" s="1346"/>
      <c r="W16" s="36" t="s">
        <v>684</v>
      </c>
      <c r="X16" s="1260">
        <f>$X$12*F33</f>
        <v>0</v>
      </c>
      <c r="Y16" s="1260">
        <f>$Y$12*F33</f>
        <v>0</v>
      </c>
      <c r="Z16" s="1260">
        <f>$Z$12*F33</f>
        <v>0</v>
      </c>
    </row>
    <row r="17" spans="1:26" s="511" customFormat="1" ht="15" customHeight="1">
      <c r="A17" s="40"/>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W17" s="36" t="s">
        <v>230</v>
      </c>
      <c r="X17" s="1260">
        <f>$X$12*F34</f>
        <v>0</v>
      </c>
      <c r="Y17" s="1260">
        <f>$Y$12*F34</f>
        <v>0</v>
      </c>
      <c r="Z17" s="1260">
        <f>$Z$12*F34</f>
        <v>0</v>
      </c>
    </row>
    <row r="18" spans="1:26" s="36" customFormat="1" ht="18.75" customHeight="1">
      <c r="A18" s="39"/>
      <c r="B18" s="209" t="s">
        <v>1563</v>
      </c>
      <c r="C18" s="1672"/>
      <c r="D18" s="1672"/>
      <c r="E18" s="1672"/>
      <c r="F18" s="1672"/>
      <c r="G18" s="2464"/>
      <c r="H18" s="2249"/>
      <c r="I18" s="3474"/>
      <c r="J18" s="1041">
        <f>SUM(I19:I21)</f>
        <v>177</v>
      </c>
      <c r="K18" s="2250"/>
      <c r="L18" s="2466"/>
      <c r="M18" s="1044">
        <f>SUM(L19:L21)</f>
        <v>177</v>
      </c>
      <c r="N18" s="2249"/>
      <c r="O18" s="3474"/>
      <c r="P18" s="1111">
        <f>SUM(O19:O21)</f>
        <v>177</v>
      </c>
      <c r="Q18" s="28"/>
      <c r="R18" s="514" t="s">
        <v>870</v>
      </c>
      <c r="S18" s="308"/>
      <c r="T18" s="1248"/>
    </row>
    <row r="19" spans="1:26" ht="15.6" customHeight="1">
      <c r="A19" s="309"/>
      <c r="B19" s="1247"/>
      <c r="C19" s="4365" t="s">
        <v>1560</v>
      </c>
      <c r="D19" s="4365"/>
      <c r="E19" s="4365"/>
      <c r="F19" s="4365"/>
      <c r="G19" s="1246" t="s">
        <v>163</v>
      </c>
      <c r="H19" s="1244"/>
      <c r="I19" s="2827">
        <f>IF(OR($C19=0,$J$6=0),0,VLOOKUP($C19,'SD2'!C60:O78,12,FALSE))</f>
        <v>155</v>
      </c>
      <c r="J19" s="39"/>
      <c r="K19" s="1245"/>
      <c r="L19" s="1098">
        <f>IF(OR($C19=0,$M$6=0),0,VLOOKUP($C19,'SD2'!$C$60:$N$77,12,FALSE))</f>
        <v>155</v>
      </c>
      <c r="M19" s="1016"/>
      <c r="N19" s="1244"/>
      <c r="O19" s="2827">
        <f>IF(OR($C19=0,$P$6=0),0,VLOOKUP($C19,'SD2'!C60:O78,12,FALSE))</f>
        <v>155</v>
      </c>
      <c r="P19" s="2826"/>
      <c r="R19" s="1242">
        <f>J13+J18</f>
        <v>177</v>
      </c>
      <c r="S19" s="1242">
        <f>M13+M18</f>
        <v>177</v>
      </c>
      <c r="T19" s="1242">
        <f>P13+P18</f>
        <v>177</v>
      </c>
    </row>
    <row r="20" spans="1:26" s="2894" customFormat="1" ht="15.6" customHeight="1">
      <c r="A20" s="2788"/>
      <c r="B20" s="1247"/>
      <c r="C20" s="4365" t="s">
        <v>1675</v>
      </c>
      <c r="D20" s="4365"/>
      <c r="E20" s="4365"/>
      <c r="F20" s="4365"/>
      <c r="G20" s="2914"/>
      <c r="H20" s="1244"/>
      <c r="I20" s="2827">
        <f>IF(OR($C20=0,$J$6=0),0,VLOOKUP($C20,'SD2'!C61:O79,12,FALSE))</f>
        <v>22</v>
      </c>
      <c r="J20" s="2783"/>
      <c r="K20" s="1245"/>
      <c r="L20" s="2829">
        <f>IF(OR($C20=0,$M$6=0),0,VLOOKUP($C20,'SD2'!$C$60:$N$77,12,FALSE))</f>
        <v>22</v>
      </c>
      <c r="M20" s="2795"/>
      <c r="N20" s="1244"/>
      <c r="O20" s="2827">
        <f>IF(OR($C20=0,$P$6=0),0,VLOOKUP($C20,'SD2'!C61:O79,12,FALSE))</f>
        <v>22</v>
      </c>
      <c r="P20" s="2826"/>
      <c r="Q20" s="2895"/>
      <c r="R20" s="2888"/>
      <c r="S20" s="2888"/>
      <c r="T20" s="2888"/>
    </row>
    <row r="21" spans="1:26" s="2894" customFormat="1" ht="15.6" customHeight="1">
      <c r="A21" s="2788"/>
      <c r="B21" s="1247"/>
      <c r="C21" s="4365"/>
      <c r="D21" s="4365"/>
      <c r="E21" s="4365"/>
      <c r="F21" s="4365"/>
      <c r="G21" s="2914"/>
      <c r="H21" s="1244"/>
      <c r="I21" s="2827">
        <f>IF(OR($C21=0,$J$6=0),0,VLOOKUP($C21,'SD2'!C62:O79,12,FALSE))</f>
        <v>0</v>
      </c>
      <c r="J21" s="2783"/>
      <c r="K21" s="1245"/>
      <c r="L21" s="2829">
        <f>IF(OR($C21=0,$M$6=0),0,VLOOKUP($C21,'SD2'!$C$60:$N$77,12,FALSE))</f>
        <v>0</v>
      </c>
      <c r="M21" s="2795"/>
      <c r="N21" s="1244"/>
      <c r="O21" s="2827">
        <f>IF(OR($C21=0,$P$6=0),0,VLOOKUP($C21,'SD2'!C62:O79,12,FALSE))</f>
        <v>0</v>
      </c>
      <c r="P21" s="2826"/>
      <c r="Q21" s="2895"/>
      <c r="R21" s="2888"/>
      <c r="S21" s="2888"/>
      <c r="T21" s="2888"/>
    </row>
    <row r="22" spans="1:26" ht="15.6" customHeight="1">
      <c r="A22" s="309"/>
      <c r="B22" s="245" t="s">
        <v>869</v>
      </c>
      <c r="C22" s="39"/>
      <c r="D22" s="1234"/>
      <c r="E22" s="4370" t="s">
        <v>868</v>
      </c>
      <c r="F22" s="4370"/>
      <c r="G22" s="4371"/>
      <c r="H22" s="1231"/>
      <c r="I22" s="1230"/>
      <c r="J22" s="1229"/>
      <c r="K22" s="1233"/>
      <c r="L22" s="1232"/>
      <c r="M22" s="1229"/>
      <c r="N22" s="1231"/>
      <c r="O22" s="1230"/>
      <c r="P22" s="1229"/>
    </row>
    <row r="23" spans="1:26" s="36" customFormat="1" ht="18.75" customHeight="1">
      <c r="A23" s="746"/>
      <c r="B23" s="209" t="s">
        <v>214</v>
      </c>
      <c r="C23" s="1228"/>
      <c r="D23" s="1228"/>
      <c r="E23" s="34"/>
      <c r="F23" s="4381"/>
      <c r="G23" s="4382" t="s">
        <v>163</v>
      </c>
      <c r="H23" s="1043"/>
      <c r="I23" s="1042"/>
      <c r="J23" s="1026">
        <f>SUM(I25:I26)</f>
        <v>277.5</v>
      </c>
      <c r="K23" s="1046"/>
      <c r="L23" s="1045"/>
      <c r="M23" s="1227">
        <f>SUM(L25:L26)</f>
        <v>277.5</v>
      </c>
      <c r="N23" s="1043"/>
      <c r="O23" s="1042"/>
      <c r="P23" s="1026">
        <f>SUM(O25:O26)</f>
        <v>277.5</v>
      </c>
      <c r="Q23" s="28"/>
    </row>
    <row r="24" spans="1:26"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26" s="511" customFormat="1" ht="18.75" customHeight="1">
      <c r="A25" s="711"/>
      <c r="B25" s="1223"/>
      <c r="C25" s="746" t="s">
        <v>866</v>
      </c>
      <c r="D25" s="4383"/>
      <c r="E25" s="4384"/>
      <c r="F25" s="1222">
        <f>SDÖ7!F35/100</f>
        <v>18.5</v>
      </c>
      <c r="G25" s="1221">
        <f>F25*(100+$D$24)/100</f>
        <v>18.5</v>
      </c>
      <c r="H25" s="1220">
        <v>15</v>
      </c>
      <c r="I25" s="1181">
        <f>H25*$G25</f>
        <v>277.5</v>
      </c>
      <c r="J25" s="39"/>
      <c r="K25" s="1220">
        <f>H25</f>
        <v>15</v>
      </c>
      <c r="L25" s="1023">
        <f>K25*$G25</f>
        <v>277.5</v>
      </c>
      <c r="M25" s="1016"/>
      <c r="N25" s="1220">
        <f>H25</f>
        <v>15</v>
      </c>
      <c r="O25" s="1181">
        <f>N25*$G25</f>
        <v>277.5</v>
      </c>
      <c r="P25" s="1145"/>
      <c r="Q25" s="28"/>
    </row>
    <row r="26" spans="1:26"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26" s="511" customFormat="1" ht="17.399999999999999" customHeight="1">
      <c r="A27" s="711"/>
      <c r="B27" s="1215" t="s">
        <v>213</v>
      </c>
      <c r="C27" s="711"/>
      <c r="D27" s="51"/>
      <c r="E27" s="34"/>
      <c r="F27" s="34"/>
      <c r="G27" s="1214" t="s">
        <v>163</v>
      </c>
      <c r="H27" s="1173"/>
      <c r="I27" s="1172"/>
      <c r="J27" s="1041">
        <f>SUM(I30:I32)</f>
        <v>101.78699999999999</v>
      </c>
      <c r="K27" s="1175"/>
      <c r="L27" s="1174"/>
      <c r="M27" s="1044">
        <f>SUM(L30:L32)</f>
        <v>101.78699999999999</v>
      </c>
      <c r="N27" s="1173"/>
      <c r="O27" s="1172"/>
      <c r="P27" s="1041">
        <f>SUM(O30:O32)</f>
        <v>101.78699999999999</v>
      </c>
      <c r="Q27" s="28"/>
    </row>
    <row r="28" spans="1:26" s="36" customFormat="1" ht="15" customHeight="1">
      <c r="A28" s="746"/>
      <c r="B28" s="774"/>
      <c r="C28" s="2373"/>
      <c r="D28" s="1213" t="s">
        <v>706</v>
      </c>
      <c r="E28" s="1213" t="s">
        <v>864</v>
      </c>
      <c r="F28" s="1213" t="s">
        <v>864</v>
      </c>
      <c r="G28" s="1212" t="s">
        <v>863</v>
      </c>
      <c r="H28" s="1172"/>
      <c r="I28" s="1209"/>
      <c r="J28" s="2374"/>
      <c r="K28" s="1175"/>
      <c r="L28" s="1105"/>
      <c r="M28" s="1210"/>
      <c r="N28" s="1173"/>
      <c r="O28" s="1209"/>
      <c r="P28" s="1026"/>
      <c r="Q28" s="28" t="s">
        <v>892</v>
      </c>
    </row>
    <row r="29" spans="1:26" s="36" customFormat="1" ht="15" customHeight="1">
      <c r="A29" s="746"/>
      <c r="B29" s="1208"/>
      <c r="C29" s="747" t="s">
        <v>862</v>
      </c>
      <c r="D29" s="1034" t="s">
        <v>611</v>
      </c>
      <c r="E29" s="1034" t="s">
        <v>861</v>
      </c>
      <c r="F29" s="1034" t="s">
        <v>860</v>
      </c>
      <c r="G29" s="1034" t="s">
        <v>1128</v>
      </c>
      <c r="H29" s="1205" t="s">
        <v>612</v>
      </c>
      <c r="I29" s="1027" t="s">
        <v>163</v>
      </c>
      <c r="J29" s="2373"/>
      <c r="K29" s="1207" t="s">
        <v>612</v>
      </c>
      <c r="L29" s="1030" t="s">
        <v>163</v>
      </c>
      <c r="M29" s="1206"/>
      <c r="N29" s="1205" t="s">
        <v>612</v>
      </c>
      <c r="O29" s="1027" t="s">
        <v>163</v>
      </c>
      <c r="P29" s="1204"/>
      <c r="Q29" s="28"/>
    </row>
    <row r="30" spans="1:26" s="36" customFormat="1" ht="15" customHeight="1">
      <c r="A30" s="746"/>
      <c r="B30" s="1203"/>
      <c r="C30" s="1202" t="s">
        <v>236</v>
      </c>
      <c r="D30" s="1150">
        <f>SDÖ1!O56</f>
        <v>5.18</v>
      </c>
      <c r="E30" s="1201">
        <v>-0.35</v>
      </c>
      <c r="F30" s="1201"/>
      <c r="G30" s="1200">
        <v>20</v>
      </c>
      <c r="H30" s="1198">
        <f>IF(J$6=0,0,(J$6*$E30+$G30+X13))</f>
        <v>19.649999999999999</v>
      </c>
      <c r="I30" s="1181">
        <f>H30*$D30</f>
        <v>101.78699999999999</v>
      </c>
      <c r="J30" s="39"/>
      <c r="K30" s="1199">
        <f>IF(M$6=0,0,(M$6*$E30+$G30+AA14))</f>
        <v>19.649999999999999</v>
      </c>
      <c r="L30" s="1023">
        <f>K30*$D30</f>
        <v>101.78699999999999</v>
      </c>
      <c r="M30" s="1016"/>
      <c r="N30" s="1198">
        <f>IF(P$6=0,0,(P$6*$E30+$G30+AD14))</f>
        <v>19.649999999999999</v>
      </c>
      <c r="O30" s="1181">
        <f>N30*$D30</f>
        <v>101.78699999999999</v>
      </c>
      <c r="P30" s="1145"/>
      <c r="Q30" s="28"/>
    </row>
    <row r="31" spans="1:26" s="36" customFormat="1" ht="15" customHeight="1">
      <c r="A31" s="746"/>
      <c r="B31" s="217"/>
      <c r="C31" s="746" t="s">
        <v>234</v>
      </c>
      <c r="D31" s="1150">
        <f>SDÖ1!O57</f>
        <v>1.42</v>
      </c>
      <c r="E31" s="1201"/>
      <c r="F31" s="1201"/>
      <c r="G31" s="1200"/>
      <c r="H31" s="1198">
        <f>IF(J$6=0,0,(J$6*$E31+$G31+X14))</f>
        <v>0</v>
      </c>
      <c r="I31" s="1181">
        <f>H31*$D31</f>
        <v>0</v>
      </c>
      <c r="J31" s="39"/>
      <c r="K31" s="1199">
        <f>IF(M$6=0,0,(M$6*$E31+$G31+Y14))</f>
        <v>0</v>
      </c>
      <c r="L31" s="1023">
        <f>K31*$D31</f>
        <v>0</v>
      </c>
      <c r="M31" s="1016"/>
      <c r="N31" s="1198">
        <f>IF(P$6=0,0,(P$6*$E31+$G31+Z14))</f>
        <v>0</v>
      </c>
      <c r="O31" s="1181">
        <f>N31*$D31</f>
        <v>0</v>
      </c>
      <c r="P31" s="1145"/>
      <c r="Q31" s="28"/>
    </row>
    <row r="32" spans="1:26" s="511" customFormat="1" ht="18.75" customHeight="1">
      <c r="A32" s="711"/>
      <c r="B32" s="185"/>
      <c r="C32" s="2791" t="s">
        <v>232</v>
      </c>
      <c r="D32" s="1133">
        <f>SDÖ1!O58</f>
        <v>1.78</v>
      </c>
      <c r="E32" s="1197"/>
      <c r="F32" s="1197"/>
      <c r="G32" s="1196"/>
      <c r="H32" s="1194">
        <f>IF(J$6=0,0,(J$6*$E32+$G32+X15))</f>
        <v>0</v>
      </c>
      <c r="I32" s="1177">
        <f>H32*$D32</f>
        <v>0</v>
      </c>
      <c r="J32" s="223"/>
      <c r="K32" s="1195">
        <f>IF(M$6=0,0,(M$6*$E32+$G32+Y15))</f>
        <v>0</v>
      </c>
      <c r="L32" s="1017">
        <f>K32*$D32</f>
        <v>0</v>
      </c>
      <c r="M32" s="1256"/>
      <c r="N32" s="1194">
        <f>IF(P$6=0,0,(P$6*$E32+$G32+Z15))</f>
        <v>0</v>
      </c>
      <c r="O32" s="1177">
        <f>N32*$D32</f>
        <v>0</v>
      </c>
      <c r="P32" s="1176"/>
      <c r="Q32" s="28"/>
    </row>
    <row r="33" spans="1:17" s="511" customFormat="1" ht="13.2" hidden="1" customHeight="1">
      <c r="A33" s="711"/>
      <c r="B33" s="185"/>
      <c r="C33" s="771" t="s">
        <v>230</v>
      </c>
      <c r="D33" s="1133">
        <f>SDÖ1!P59</f>
        <v>0.5</v>
      </c>
      <c r="E33" s="1197"/>
      <c r="F33" s="1197"/>
      <c r="G33" s="1196"/>
      <c r="H33" s="1194">
        <f>IF(J$6=0,0,(J$6*$E33+$G33+X16))</f>
        <v>0</v>
      </c>
      <c r="I33" s="1177">
        <f>H33*$D33</f>
        <v>0</v>
      </c>
      <c r="J33" s="39"/>
      <c r="K33" s="1195">
        <f>IF(M$6=0,0,(M$6*$E33+$G33+Y16))</f>
        <v>0</v>
      </c>
      <c r="L33" s="1017">
        <f>K33*$D33</f>
        <v>0</v>
      </c>
      <c r="M33" s="1016"/>
      <c r="N33" s="1194">
        <f>IF(P$6=0,0,(P$6*$E33+$G33+Z16))</f>
        <v>0</v>
      </c>
      <c r="O33" s="1177">
        <f>N33*$D33</f>
        <v>0</v>
      </c>
      <c r="P33" s="1176"/>
      <c r="Q33" s="28"/>
    </row>
    <row r="34" spans="1:17" s="36" customFormat="1" ht="15" customHeight="1">
      <c r="A34" s="746"/>
      <c r="B34" s="716" t="s">
        <v>1127</v>
      </c>
      <c r="C34" s="711"/>
      <c r="D34" s="2373"/>
      <c r="E34" s="2373"/>
      <c r="F34" s="4381"/>
      <c r="G34" s="4382" t="s">
        <v>163</v>
      </c>
      <c r="H34" s="1191"/>
      <c r="I34" s="1190"/>
      <c r="J34" s="1041">
        <f>SUM(I36:I42)</f>
        <v>0</v>
      </c>
      <c r="K34" s="1193"/>
      <c r="L34" s="1192"/>
      <c r="M34" s="1044">
        <f>SUM(L36:L42)</f>
        <v>0</v>
      </c>
      <c r="N34" s="1191"/>
      <c r="O34" s="1190"/>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1182"/>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96.015141790000001</v>
      </c>
      <c r="K43" s="1175"/>
      <c r="L43" s="1174"/>
      <c r="M43" s="1044">
        <f>SUM(M46:M57)</f>
        <v>96.015141790000001</v>
      </c>
      <c r="N43" s="1173"/>
      <c r="O43" s="1172"/>
      <c r="P43" s="1041">
        <f>SUM(P46:P57)</f>
        <v>96.015141790000001</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3"/>
      <c r="C46" s="4387" t="s">
        <v>359</v>
      </c>
      <c r="D46" s="4388"/>
      <c r="E46" s="1152">
        <f>IF($C46=0,0,VLOOKUP($C46,'SD3'!$C$24:$O$71,4,FALSE))</f>
        <v>120</v>
      </c>
      <c r="F46" s="1151">
        <f>IF($C46=0,0,VLOOKUP($C46,'SD3'!$C$24:$O$71,12,FALSE))</f>
        <v>0.54</v>
      </c>
      <c r="G46" s="1150">
        <f>IF($C46=0,0,VLOOKUP($C46,'SD3'!$C$24:$O$71,13,FALSE))</f>
        <v>21.712812</v>
      </c>
      <c r="H46" s="1147">
        <v>1</v>
      </c>
      <c r="I46" s="1146">
        <f t="shared" ref="I46:I56" si="4">$F46*H46</f>
        <v>0.54</v>
      </c>
      <c r="J46" s="1145">
        <f t="shared" ref="J46:J56" si="5">H46*$G46</f>
        <v>21.712812</v>
      </c>
      <c r="K46" s="1147">
        <v>1</v>
      </c>
      <c r="L46" s="1149">
        <f t="shared" ref="L46:L56" si="6">$F46*K46</f>
        <v>0.54</v>
      </c>
      <c r="M46" s="1148">
        <f t="shared" ref="M46:M56" si="7">K46*$G46</f>
        <v>21.712812</v>
      </c>
      <c r="N46" s="1147">
        <v>1</v>
      </c>
      <c r="O46" s="1146">
        <f t="shared" ref="O46:O56" si="8">$F46*N46</f>
        <v>0.54</v>
      </c>
      <c r="P46" s="1145">
        <f t="shared" ref="P46:P56" si="9">N46*$G46</f>
        <v>21.712812</v>
      </c>
      <c r="Q46" s="28"/>
    </row>
    <row r="47" spans="1:17" s="36" customFormat="1" ht="15" customHeight="1">
      <c r="A47" s="746"/>
      <c r="B47" s="1153"/>
      <c r="C47" s="4387"/>
      <c r="D47" s="4388"/>
      <c r="E47" s="1152">
        <f>IF($C47=0,0,VLOOKUP($C47,'SD3'!$C$24:$O$71,4,FALSE))</f>
        <v>0</v>
      </c>
      <c r="F47" s="1151">
        <f>IF($C47=0,0,VLOOKUP($C47,'SD3'!$C$24:$O$71,12,FALSE))</f>
        <v>0</v>
      </c>
      <c r="G47" s="1150">
        <f>IF($C47=0,0,VLOOKUP($C47,'SD3'!$C$24:$O$71,13,FALSE))</f>
        <v>0</v>
      </c>
      <c r="H47" s="1147"/>
      <c r="I47" s="1146">
        <f t="shared" si="4"/>
        <v>0</v>
      </c>
      <c r="J47" s="1145">
        <f t="shared" si="5"/>
        <v>0</v>
      </c>
      <c r="K47" s="1147"/>
      <c r="L47" s="1149">
        <f t="shared" si="6"/>
        <v>0</v>
      </c>
      <c r="M47" s="1148">
        <f t="shared" si="7"/>
        <v>0</v>
      </c>
      <c r="N47" s="1147"/>
      <c r="O47" s="1146">
        <f t="shared" si="8"/>
        <v>0</v>
      </c>
      <c r="P47" s="1145">
        <f t="shared" si="9"/>
        <v>0</v>
      </c>
      <c r="Q47" s="28"/>
    </row>
    <row r="48" spans="1:17" s="36" customFormat="1" ht="15" customHeight="1">
      <c r="A48" s="746"/>
      <c r="B48" s="1153"/>
      <c r="C48" s="4387" t="s">
        <v>354</v>
      </c>
      <c r="D48" s="4388"/>
      <c r="E48" s="1152">
        <f>IF($C48=0,0,VLOOKUP($C48,'SD3'!$C$24:$O$71,4,FALSE))</f>
        <v>120</v>
      </c>
      <c r="F48" s="1151">
        <f>IF($C48=0,0,VLOOKUP($C48,'SD3'!$C$24:$O$71,12,FALSE))</f>
        <v>0.71</v>
      </c>
      <c r="G48" s="1150">
        <f>IF($C48=0,0,VLOOKUP($C48,'SD3'!$C$24:$O$71,13,FALSE))</f>
        <v>30.659437999999998</v>
      </c>
      <c r="H48" s="1147">
        <v>1</v>
      </c>
      <c r="I48" s="1146">
        <f t="shared" si="4"/>
        <v>0.71</v>
      </c>
      <c r="J48" s="1145">
        <f t="shared" si="5"/>
        <v>30.659437999999998</v>
      </c>
      <c r="K48" s="1147">
        <v>1</v>
      </c>
      <c r="L48" s="1149">
        <f t="shared" si="6"/>
        <v>0.71</v>
      </c>
      <c r="M48" s="1148">
        <f t="shared" si="7"/>
        <v>30.659437999999998</v>
      </c>
      <c r="N48" s="1147">
        <v>1</v>
      </c>
      <c r="O48" s="1146">
        <f t="shared" si="8"/>
        <v>0.71</v>
      </c>
      <c r="P48" s="1145">
        <f t="shared" si="9"/>
        <v>30.659437999999998</v>
      </c>
      <c r="Q48" s="28"/>
    </row>
    <row r="49" spans="1:17" s="36" customFormat="1" ht="15" customHeight="1">
      <c r="A49" s="746"/>
      <c r="B49" s="1153"/>
      <c r="C49" s="4387" t="s">
        <v>356</v>
      </c>
      <c r="D49" s="4388"/>
      <c r="E49" s="1152">
        <f>IF($C49=0,0,VLOOKUP($C49,'SD3'!$C$24:$O$71,4,FALSE))</f>
        <v>83</v>
      </c>
      <c r="F49" s="1151">
        <f>IF($C49=0,0,VLOOKUP($C49,'SD3'!$C$24:$O$71,12,FALSE))</f>
        <v>0.53</v>
      </c>
      <c r="G49" s="1150">
        <f>IF($C49=0,0,VLOOKUP($C49,'SD3'!$C$24:$O$71,13,FALSE))</f>
        <v>12.740039489999999</v>
      </c>
      <c r="H49" s="1147">
        <v>1</v>
      </c>
      <c r="I49" s="1146">
        <f t="shared" si="4"/>
        <v>0.53</v>
      </c>
      <c r="J49" s="1145">
        <f t="shared" si="5"/>
        <v>12.740039489999999</v>
      </c>
      <c r="K49" s="1147">
        <v>1</v>
      </c>
      <c r="L49" s="1149">
        <f t="shared" si="6"/>
        <v>0.53</v>
      </c>
      <c r="M49" s="1148">
        <f t="shared" si="7"/>
        <v>12.740039489999999</v>
      </c>
      <c r="N49" s="1147">
        <v>1</v>
      </c>
      <c r="O49" s="1146">
        <f t="shared" si="8"/>
        <v>0.53</v>
      </c>
      <c r="P49" s="1145">
        <f t="shared" si="9"/>
        <v>12.740039489999999</v>
      </c>
      <c r="Q49" s="28"/>
    </row>
    <row r="50" spans="1:17" s="36" customFormat="1" ht="15" customHeight="1">
      <c r="A50" s="746"/>
      <c r="B50" s="1153"/>
      <c r="C50" s="4387" t="s">
        <v>341</v>
      </c>
      <c r="D50" s="4388"/>
      <c r="E50" s="1152">
        <f>IF($C50=0,0,VLOOKUP($C50,'SD3'!$C$24:$O$71,4,FALSE))</f>
        <v>83</v>
      </c>
      <c r="F50" s="1151">
        <f>IF($C50=0,0,VLOOKUP($C50,'SD3'!$C$24:$O$71,12,FALSE))</f>
        <v>1.17</v>
      </c>
      <c r="G50" s="1150">
        <f>IF($C50=0,0,VLOOKUP($C50,'SD3'!$C$24:$O$71,13,FALSE))</f>
        <v>30.902852299999999</v>
      </c>
      <c r="H50" s="1147">
        <v>1</v>
      </c>
      <c r="I50" s="1146">
        <f t="shared" si="4"/>
        <v>1.17</v>
      </c>
      <c r="J50" s="1145">
        <f t="shared" si="5"/>
        <v>30.902852299999999</v>
      </c>
      <c r="K50" s="1147">
        <v>1</v>
      </c>
      <c r="L50" s="1149">
        <f t="shared" si="6"/>
        <v>1.17</v>
      </c>
      <c r="M50" s="1148">
        <f t="shared" si="7"/>
        <v>30.902852299999999</v>
      </c>
      <c r="N50" s="1147">
        <v>1</v>
      </c>
      <c r="O50" s="1146">
        <f t="shared" si="8"/>
        <v>1.17</v>
      </c>
      <c r="P50" s="1145">
        <f t="shared" si="9"/>
        <v>30.902852299999999</v>
      </c>
      <c r="Q50" s="28"/>
    </row>
    <row r="51" spans="1:17" s="36" customFormat="1" ht="15" customHeight="1">
      <c r="A51" s="746"/>
      <c r="B51" s="1153"/>
      <c r="C51" s="4387"/>
      <c r="D51" s="4388"/>
      <c r="E51" s="1152">
        <f>IF($C51=0,0,VLOOKUP($C51,'SD3'!$C$24:$O$71,4,FALSE))</f>
        <v>0</v>
      </c>
      <c r="F51" s="1151">
        <f>IF($C51=0,0,VLOOKUP($C51,'SD3'!$C$24:$O$71,12,FALSE))</f>
        <v>0</v>
      </c>
      <c r="G51" s="1150">
        <f>IF($C51=0,0,VLOOKUP($C51,'SD3'!$C$24:$O$71,13,FALSE))</f>
        <v>0</v>
      </c>
      <c r="H51" s="1147"/>
      <c r="I51" s="1146">
        <f t="shared" si="4"/>
        <v>0</v>
      </c>
      <c r="J51" s="1145">
        <f t="shared" si="5"/>
        <v>0</v>
      </c>
      <c r="K51" s="1147"/>
      <c r="L51" s="1149">
        <f t="shared" si="6"/>
        <v>0</v>
      </c>
      <c r="M51" s="1148">
        <f t="shared" si="7"/>
        <v>0</v>
      </c>
      <c r="N51" s="1147"/>
      <c r="O51" s="1146">
        <f t="shared" si="8"/>
        <v>0</v>
      </c>
      <c r="P51" s="1145">
        <f t="shared" si="9"/>
        <v>0</v>
      </c>
      <c r="Q51" s="28"/>
    </row>
    <row r="52" spans="1:17" s="36" customFormat="1" ht="15" customHeight="1">
      <c r="A52" s="746"/>
      <c r="B52" s="1153"/>
      <c r="C52" s="4387">
        <v>0</v>
      </c>
      <c r="D52" s="4388"/>
      <c r="E52" s="1152">
        <f>IF($C52=0,0,VLOOKUP($C52,'SD3'!$C$24:$O$71,4,FALSE))</f>
        <v>0</v>
      </c>
      <c r="F52" s="1151">
        <f>IF($C52=0,0,VLOOKUP($C52,'SD3'!$C$24:$O$71,12,FALSE))</f>
        <v>0</v>
      </c>
      <c r="G52" s="1150">
        <f>IF($C52=0,0,VLOOKUP($C52,'SD3'!$C$24:$O$71,13,FALSE))</f>
        <v>0</v>
      </c>
      <c r="H52" s="1147"/>
      <c r="I52" s="1146">
        <f t="shared" si="4"/>
        <v>0</v>
      </c>
      <c r="J52" s="1145">
        <f t="shared" si="5"/>
        <v>0</v>
      </c>
      <c r="K52" s="1147"/>
      <c r="L52" s="1149">
        <f t="shared" si="6"/>
        <v>0</v>
      </c>
      <c r="M52" s="1148">
        <f t="shared" si="7"/>
        <v>0</v>
      </c>
      <c r="N52" s="1147"/>
      <c r="O52" s="1146">
        <f t="shared" si="8"/>
        <v>0</v>
      </c>
      <c r="P52" s="1145">
        <f t="shared" si="9"/>
        <v>0</v>
      </c>
      <c r="Q52" s="28"/>
    </row>
    <row r="53" spans="1:17" s="36" customFormat="1" ht="15" customHeight="1">
      <c r="A53" s="746"/>
      <c r="B53" s="1153"/>
      <c r="C53" s="4387">
        <v>0</v>
      </c>
      <c r="D53" s="4388"/>
      <c r="E53" s="1152">
        <f>IF($C53=0,0,VLOOKUP($C53,'SD3'!$C$24:$O$71,4,FALSE))</f>
        <v>0</v>
      </c>
      <c r="F53" s="1151">
        <f>IF($C53=0,0,VLOOKUP($C53,'SD3'!$C$24:$O$71,12,FALSE))</f>
        <v>0</v>
      </c>
      <c r="G53" s="1150">
        <f>IF($C53=0,0,VLOOKUP($C53,'SD3'!$C$24:$O$71,13,FALSE))</f>
        <v>0</v>
      </c>
      <c r="H53" s="1147"/>
      <c r="I53" s="1146">
        <f t="shared" si="4"/>
        <v>0</v>
      </c>
      <c r="J53" s="1145">
        <f t="shared" si="5"/>
        <v>0</v>
      </c>
      <c r="K53" s="1147"/>
      <c r="L53" s="1149">
        <f t="shared" si="6"/>
        <v>0</v>
      </c>
      <c r="M53" s="1148">
        <f t="shared" si="7"/>
        <v>0</v>
      </c>
      <c r="N53" s="1147"/>
      <c r="O53" s="1146">
        <f t="shared" si="8"/>
        <v>0</v>
      </c>
      <c r="P53" s="1145">
        <f t="shared" si="9"/>
        <v>0</v>
      </c>
      <c r="Q53" s="28"/>
    </row>
    <row r="54" spans="1:17" s="36" customFormat="1" ht="15" customHeight="1">
      <c r="A54" s="746"/>
      <c r="B54" s="1153"/>
      <c r="C54" s="4387">
        <v>0</v>
      </c>
      <c r="D54" s="4388"/>
      <c r="E54" s="1152">
        <f>IF($C54=0,0,VLOOKUP($C54,'SD3'!$C$24:$O$71,4,FALSE))</f>
        <v>0</v>
      </c>
      <c r="F54" s="1151">
        <f>IF($C54=0,0,VLOOKUP($C54,'SD3'!$C$24:$O$71,12,FALSE))</f>
        <v>0</v>
      </c>
      <c r="G54" s="1150">
        <f>IF($C54=0,0,VLOOKUP($C54,'SD3'!$C$24:$O$71,13,FALSE))</f>
        <v>0</v>
      </c>
      <c r="H54" s="1147"/>
      <c r="I54" s="1146">
        <f t="shared" si="4"/>
        <v>0</v>
      </c>
      <c r="J54" s="1145">
        <f t="shared" si="5"/>
        <v>0</v>
      </c>
      <c r="K54" s="1147"/>
      <c r="L54" s="1149">
        <f t="shared" si="6"/>
        <v>0</v>
      </c>
      <c r="M54" s="1148">
        <f t="shared" si="7"/>
        <v>0</v>
      </c>
      <c r="N54" s="1147"/>
      <c r="O54" s="1146">
        <f t="shared" si="8"/>
        <v>0</v>
      </c>
      <c r="P54" s="1145">
        <f t="shared" si="9"/>
        <v>0</v>
      </c>
      <c r="Q54" s="28"/>
    </row>
    <row r="55" spans="1:17" s="36" customFormat="1" ht="15" customHeight="1">
      <c r="A55" s="746"/>
      <c r="B55" s="1153"/>
      <c r="C55" s="4445"/>
      <c r="D55" s="4446"/>
      <c r="E55" s="1152">
        <f>IF($C55=0,0,VLOOKUP($C55,'SD3'!$C$24:$O$71,4,FALSE))</f>
        <v>0</v>
      </c>
      <c r="F55" s="1151">
        <f>IF($C55=0,0,VLOOKUP($C55,'SD3'!$C$24:$O$71,12,FALSE))</f>
        <v>0</v>
      </c>
      <c r="G55" s="1150">
        <f>IF($C55=0,0,VLOOKUP($C55,'SD3'!$C$24:$O$71,13,FALSE))</f>
        <v>0</v>
      </c>
      <c r="H55" s="1147"/>
      <c r="I55" s="1146">
        <f t="shared" si="4"/>
        <v>0</v>
      </c>
      <c r="J55" s="1145">
        <f t="shared" si="5"/>
        <v>0</v>
      </c>
      <c r="K55" s="1147"/>
      <c r="L55" s="1149">
        <f t="shared" si="6"/>
        <v>0</v>
      </c>
      <c r="M55" s="1148">
        <f t="shared" si="7"/>
        <v>0</v>
      </c>
      <c r="N55" s="1147"/>
      <c r="O55" s="1146">
        <f t="shared" si="8"/>
        <v>0</v>
      </c>
      <c r="P55" s="1145">
        <f t="shared" si="9"/>
        <v>0</v>
      </c>
      <c r="Q55" s="28"/>
    </row>
    <row r="56" spans="1:17" s="36" customFormat="1" ht="24.75" customHeight="1">
      <c r="A56" s="746"/>
      <c r="B56" s="1342"/>
      <c r="C56" s="4394">
        <v>0</v>
      </c>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8"/>
    </row>
    <row r="57" spans="1:17" s="36" customFormat="1" ht="24.75" customHeight="1">
      <c r="A57" s="746"/>
      <c r="B57" s="1084" t="s">
        <v>1124</v>
      </c>
      <c r="C57" s="4401"/>
      <c r="D57" s="4402"/>
      <c r="E57" s="2589">
        <f>IF($C57=0,0,VLOOKUP($C57,'SD3'!$C$24:$O$71,4,FALSE))</f>
        <v>0</v>
      </c>
      <c r="F57" s="2590">
        <f>IF($C57=0,0,VLOOKUP($C57,'SD3'!$C$24:$O$71,12,FALSE))</f>
        <v>0</v>
      </c>
      <c r="G57" s="2591">
        <f>IF($C57=0,0,VLOOKUP($C57,'SD3'!$C$24:$O$71,13,FALSE))</f>
        <v>0</v>
      </c>
      <c r="H57" s="1131"/>
      <c r="I57" s="1130">
        <f>SUM(I44:I56)</f>
        <v>2.95</v>
      </c>
      <c r="J57" s="1129"/>
      <c r="K57" s="1131"/>
      <c r="L57" s="1132">
        <f>SUM(L44:L56)</f>
        <v>2.95</v>
      </c>
      <c r="M57" s="1079"/>
      <c r="N57" s="1131"/>
      <c r="O57" s="1130">
        <f>SUM(O44:O56)</f>
        <v>2.95</v>
      </c>
      <c r="P57" s="1129"/>
      <c r="Q57" s="28"/>
    </row>
    <row r="58" spans="1:17" s="511" customFormat="1" ht="18.75" customHeight="1">
      <c r="A58" s="711"/>
      <c r="B58" s="716" t="s">
        <v>848</v>
      </c>
      <c r="C58" s="811"/>
      <c r="D58" s="811"/>
      <c r="E58" s="811"/>
      <c r="F58" s="34"/>
      <c r="G58" s="1047"/>
      <c r="H58" s="1124"/>
      <c r="I58" s="1123">
        <f>SUM($I$46:$I$57)</f>
        <v>5.9</v>
      </c>
      <c r="J58" s="1128"/>
      <c r="K58" s="1127"/>
      <c r="L58" s="1126">
        <f>SUM($L$46:$L$57)</f>
        <v>5.9</v>
      </c>
      <c r="M58" s="1125"/>
      <c r="N58" s="1124"/>
      <c r="O58" s="1123">
        <f>SUM($O$46:$O$57)</f>
        <v>5.9</v>
      </c>
      <c r="P58" s="1122"/>
      <c r="Q58" s="28"/>
    </row>
    <row r="59" spans="1:17" s="511" customFormat="1" ht="15" customHeight="1">
      <c r="A59" s="711"/>
      <c r="B59" s="1121"/>
      <c r="C59" s="285"/>
      <c r="D59" s="222" t="s">
        <v>847</v>
      </c>
      <c r="E59" s="1120">
        <v>80</v>
      </c>
      <c r="F59" s="285" t="s">
        <v>846</v>
      </c>
      <c r="G59" s="1119"/>
      <c r="H59" s="1115"/>
      <c r="I59" s="1114">
        <f>IF(I58+SUM($I$46:$I$57)*$E$59%&gt;I58+10,I58+10,I58+SUM($I$46:$I$57)*$E$59%)</f>
        <v>10.620000000000001</v>
      </c>
      <c r="J59" s="1113"/>
      <c r="K59" s="1118"/>
      <c r="L59" s="1117">
        <f>IF(L58+SUM($L$46:$L$57)*$E$59%&gt;L58+10,L58+10,L58+SUM($L$46:$L$57)*$E$59%)</f>
        <v>10.620000000000001</v>
      </c>
      <c r="M59" s="1116"/>
      <c r="N59" s="1115"/>
      <c r="O59" s="1114">
        <f>IF(O58+SUM($O$46:$O$57)*$E$59%&gt;O58+10,O58+10,O58+SUM($O$46:$O$57)*$E$59%)</f>
        <v>10.620000000000001</v>
      </c>
      <c r="P59" s="1113"/>
      <c r="Q59" s="28"/>
    </row>
    <row r="60" spans="1:17" s="46" customFormat="1" ht="18.75" customHeight="1">
      <c r="A60" s="811"/>
      <c r="B60" s="716" t="s">
        <v>845</v>
      </c>
      <c r="C60" s="811"/>
      <c r="D60" s="811"/>
      <c r="E60" s="39"/>
      <c r="F60" s="39"/>
      <c r="G60" s="1112"/>
      <c r="H60" s="1104"/>
      <c r="I60" s="1103"/>
      <c r="J60" s="1111">
        <f>IF(J6=0,0,SUM(I62:I64))</f>
        <v>0</v>
      </c>
      <c r="K60" s="1107"/>
      <c r="L60" s="1106"/>
      <c r="M60" s="1044">
        <f>IF(M6=0,0,SUM(L62:L64))</f>
        <v>0</v>
      </c>
      <c r="N60" s="1104"/>
      <c r="O60" s="1103"/>
      <c r="P60" s="1111">
        <f>IF(P6=0,0,SUM(O62:O64))</f>
        <v>0</v>
      </c>
      <c r="Q60" s="28"/>
    </row>
    <row r="61" spans="1:17" s="46" customFormat="1" ht="15" customHeight="1">
      <c r="A61" s="811"/>
      <c r="B61" s="1040"/>
      <c r="C61" s="1039" t="s">
        <v>837</v>
      </c>
      <c r="D61" s="1110">
        <f>'SDK1'!$O$11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c r="D62" s="4365"/>
      <c r="E62" s="4365"/>
      <c r="F62" s="1101">
        <f>IF($C62=0,0,VLOOKUP($C62,'SD3'!$C$90:$D$104,2,FALSE))</f>
        <v>0</v>
      </c>
      <c r="G62" s="1100">
        <f>(100+$D$61)/100*F62</f>
        <v>0</v>
      </c>
      <c r="H62" s="173"/>
      <c r="I62" s="1096">
        <f>$G$62</f>
        <v>0</v>
      </c>
      <c r="J62" s="173"/>
      <c r="K62" s="1099"/>
      <c r="L62" s="1098">
        <f>$G$62</f>
        <v>0</v>
      </c>
      <c r="M62" s="1016"/>
      <c r="N62" s="1097"/>
      <c r="O62" s="1096">
        <f>$G$62</f>
        <v>0</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t="s">
        <v>289</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5"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25.2" customHeight="1">
      <c r="A67" s="711"/>
      <c r="B67" s="716" t="s">
        <v>843</v>
      </c>
      <c r="C67" s="711"/>
      <c r="D67" s="711"/>
      <c r="E67" s="175"/>
      <c r="F67" s="1069"/>
      <c r="G67" s="1047"/>
      <c r="H67" s="1066" t="s">
        <v>842</v>
      </c>
      <c r="I67" s="1065" t="s">
        <v>841</v>
      </c>
      <c r="J67" s="1041">
        <f>R68*(H9+H10)*I68%+F68</f>
        <v>0</v>
      </c>
      <c r="K67" s="1068" t="s">
        <v>842</v>
      </c>
      <c r="L67" s="1067" t="s">
        <v>841</v>
      </c>
      <c r="M67" s="1044">
        <f>S68*(K9+K10)*L68%+F68</f>
        <v>0</v>
      </c>
      <c r="N67" s="1066" t="s">
        <v>842</v>
      </c>
      <c r="O67" s="1065" t="s">
        <v>841</v>
      </c>
      <c r="P67" s="1041">
        <f>T68*(N9+N10)*O68%+F68</f>
        <v>0</v>
      </c>
      <c r="Q67" s="28"/>
    </row>
    <row r="68" spans="1:20" s="511" customFormat="1" ht="15" customHeight="1">
      <c r="A68" s="711"/>
      <c r="B68" s="1064"/>
      <c r="C68" s="4393" t="s">
        <v>564</v>
      </c>
      <c r="D68" s="4393"/>
      <c r="E68" s="4393"/>
      <c r="F68" s="1063"/>
      <c r="G68" s="1054" t="s">
        <v>163</v>
      </c>
      <c r="H68" s="1061">
        <v>16</v>
      </c>
      <c r="I68" s="1060">
        <v>50</v>
      </c>
      <c r="J68" s="1059"/>
      <c r="K68" s="1061">
        <v>20</v>
      </c>
      <c r="L68" s="1060">
        <v>50</v>
      </c>
      <c r="M68" s="1062"/>
      <c r="N68" s="1061">
        <v>18</v>
      </c>
      <c r="O68" s="1060">
        <v>50</v>
      </c>
      <c r="P68" s="1059"/>
      <c r="Q68" s="28"/>
      <c r="R68" s="1369">
        <f>IF($H$64=0,0,VLOOKUP($H$64,#REF!,2,FALSE))</f>
        <v>0</v>
      </c>
      <c r="S68" s="1058">
        <f>IF($K$64=0,0,VLOOKUP($K$64,#REF!,2,FALSE))</f>
        <v>0</v>
      </c>
      <c r="T68" s="1369">
        <f>IF($N$64=0,0,VLOOKUP($N$64,#REF!,2,FALSE))</f>
        <v>0</v>
      </c>
    </row>
    <row r="69" spans="1:20" s="511" customFormat="1" ht="18.75" customHeight="1">
      <c r="A69" s="711"/>
      <c r="B69" s="716" t="s">
        <v>839</v>
      </c>
      <c r="C69" s="711"/>
      <c r="D69" s="711"/>
      <c r="E69" s="34"/>
      <c r="F69" s="34"/>
      <c r="G69" s="1047"/>
      <c r="H69" s="38"/>
      <c r="I69" s="51"/>
      <c r="J69" s="1041">
        <f>H70*$F70/1000</f>
        <v>0</v>
      </c>
      <c r="K69" s="1057"/>
      <c r="L69" s="1056"/>
      <c r="M69" s="1044">
        <f>K70*$F70/1000</f>
        <v>0</v>
      </c>
      <c r="N69" s="38"/>
      <c r="O69" s="51"/>
      <c r="P69" s="1041">
        <f>N70*$F70/1000</f>
        <v>0</v>
      </c>
      <c r="Q69" s="28"/>
    </row>
    <row r="70" spans="1:20" s="511" customFormat="1" ht="15" customHeight="1">
      <c r="A70" s="711"/>
      <c r="B70" s="772"/>
      <c r="C70" s="771" t="s">
        <v>606</v>
      </c>
      <c r="D70" s="285"/>
      <c r="E70" s="222"/>
      <c r="F70" s="3742"/>
      <c r="G70" s="1054" t="s">
        <v>163</v>
      </c>
      <c r="H70" s="1357">
        <f>J7</f>
        <v>0</v>
      </c>
      <c r="I70" s="1049"/>
      <c r="J70" s="1048"/>
      <c r="K70" s="1053">
        <f>M7</f>
        <v>0</v>
      </c>
      <c r="L70" s="1052"/>
      <c r="M70" s="1051"/>
      <c r="N70" s="1357">
        <f>P7</f>
        <v>0</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5</v>
      </c>
      <c r="H75" s="1007"/>
      <c r="I75" s="1008"/>
      <c r="J75" s="1005">
        <f>(J23+J27+J34+J43+J60+J65+J67+J69+J71)*('SDK1'!$O$59%*$G$75/12)</f>
        <v>3.9608511815833327</v>
      </c>
      <c r="K75" s="2223"/>
      <c r="L75" s="522"/>
      <c r="M75" s="1005">
        <f>(M23+M27+M34+M43+M60+M65+M67+M69+M71)*('SDK1'!$O$59%*$G$75/12)</f>
        <v>3.9608511815833327</v>
      </c>
      <c r="N75" s="1007"/>
      <c r="O75" s="1006"/>
      <c r="P75" s="1005">
        <f>(P23+P27+P34+P43+P60+P65+P67+P69+P71)*('SDK1'!$O$59%*$G$75/12)</f>
        <v>3.9608511815833327</v>
      </c>
      <c r="Q75" s="28"/>
    </row>
    <row r="76" spans="1:20">
      <c r="L76" s="29"/>
    </row>
    <row r="77" spans="1:20">
      <c r="B77" s="2919"/>
      <c r="C77" s="2919"/>
      <c r="D77" s="2919"/>
      <c r="E77" s="2919"/>
      <c r="F77" s="2919"/>
      <c r="G77" s="2919"/>
      <c r="H77" s="2608"/>
      <c r="I77" s="2608"/>
      <c r="J77" s="2608"/>
      <c r="K77" s="2608"/>
      <c r="L77" s="2608"/>
      <c r="M77" s="2608"/>
      <c r="N77" s="2608"/>
      <c r="O77" s="2608"/>
      <c r="P77" s="2608"/>
    </row>
    <row r="78" spans="1:20">
      <c r="B78" s="2919"/>
      <c r="C78" s="2919"/>
      <c r="D78" s="2919"/>
      <c r="E78" s="2919"/>
      <c r="F78" s="2919"/>
      <c r="G78" s="2919"/>
      <c r="H78" s="2608"/>
      <c r="I78" s="2608"/>
      <c r="J78" s="2608"/>
      <c r="K78" s="2608"/>
      <c r="L78" s="2608"/>
      <c r="M78" s="2608"/>
      <c r="N78" s="2608"/>
      <c r="O78" s="2608"/>
      <c r="P78" s="2608"/>
    </row>
    <row r="79" spans="1:20">
      <c r="B79" s="2919"/>
      <c r="C79" s="2919"/>
      <c r="D79" s="2919"/>
      <c r="E79" s="2919"/>
      <c r="F79" s="2919"/>
      <c r="G79" s="2919"/>
      <c r="H79" s="2608"/>
      <c r="I79" s="2608"/>
      <c r="J79" s="2608"/>
      <c r="K79" s="2608"/>
      <c r="L79" s="2608"/>
      <c r="M79" s="2608"/>
      <c r="N79" s="2608"/>
      <c r="O79" s="2608"/>
      <c r="P79" s="2608"/>
    </row>
    <row r="80" spans="1:20">
      <c r="B80" s="2919"/>
      <c r="C80" s="2919"/>
      <c r="D80" s="2919"/>
      <c r="E80" s="2919"/>
      <c r="F80" s="2919"/>
      <c r="G80" s="2919"/>
      <c r="H80" s="2608"/>
      <c r="I80" s="2608"/>
      <c r="J80" s="2608"/>
      <c r="K80" s="2608"/>
      <c r="L80" s="2608"/>
      <c r="M80" s="2608"/>
      <c r="N80" s="2608"/>
      <c r="O80" s="2608"/>
      <c r="P80" s="2608"/>
    </row>
    <row r="81" spans="2:16">
      <c r="B81" s="2919"/>
      <c r="C81" s="2919"/>
      <c r="D81" s="2919"/>
      <c r="E81" s="2919"/>
      <c r="F81" s="2919"/>
      <c r="G81" s="2919"/>
      <c r="H81" s="2608"/>
      <c r="I81" s="2608"/>
      <c r="J81" s="2608"/>
      <c r="K81" s="2608"/>
      <c r="L81" s="2608"/>
      <c r="M81" s="2608"/>
      <c r="N81" s="2608"/>
      <c r="O81" s="2608"/>
      <c r="P81" s="2608"/>
    </row>
    <row r="82" spans="2:16">
      <c r="B82" s="2919"/>
      <c r="C82" s="2919"/>
      <c r="D82" s="2919"/>
      <c r="E82" s="2919"/>
      <c r="F82" s="2919"/>
      <c r="G82" s="2919"/>
      <c r="H82" s="2608"/>
      <c r="I82" s="2608"/>
      <c r="J82" s="2608"/>
      <c r="K82" s="2608"/>
      <c r="L82" s="2608"/>
      <c r="M82" s="2608"/>
      <c r="N82" s="2608"/>
      <c r="O82" s="2608"/>
      <c r="P82" s="2608"/>
    </row>
    <row r="83" spans="2:16">
      <c r="B83" s="2919"/>
      <c r="C83" s="2919"/>
      <c r="D83" s="2919"/>
      <c r="E83" s="2919"/>
      <c r="F83" s="2919"/>
      <c r="G83" s="2919"/>
      <c r="H83" s="2608"/>
      <c r="I83" s="2608"/>
      <c r="J83" s="2608"/>
      <c r="K83" s="2608"/>
      <c r="L83" s="2608"/>
      <c r="M83" s="2608"/>
      <c r="N83" s="2608"/>
      <c r="O83" s="2608"/>
      <c r="P83" s="2608"/>
    </row>
    <row r="84" spans="2:16">
      <c r="B84" s="2919"/>
      <c r="C84" s="2919"/>
      <c r="D84" s="2919"/>
      <c r="E84" s="2919"/>
      <c r="F84" s="2919"/>
      <c r="G84" s="2919"/>
      <c r="H84" s="2608"/>
      <c r="I84" s="2608"/>
      <c r="J84" s="2608"/>
      <c r="K84" s="2608"/>
      <c r="L84" s="2608"/>
      <c r="M84" s="2608"/>
      <c r="N84" s="2608"/>
      <c r="O84" s="2608"/>
      <c r="P84" s="2608"/>
    </row>
    <row r="85" spans="2:16">
      <c r="B85" s="2919"/>
      <c r="C85" s="2919"/>
      <c r="D85" s="2919"/>
      <c r="E85" s="2919"/>
      <c r="F85" s="2919"/>
      <c r="G85" s="2919"/>
      <c r="H85" s="2608"/>
      <c r="I85" s="2608"/>
      <c r="J85" s="2608"/>
      <c r="K85" s="2608"/>
      <c r="L85" s="2608"/>
      <c r="M85" s="2608"/>
      <c r="N85" s="2608"/>
      <c r="O85" s="2608"/>
      <c r="P85" s="2608"/>
    </row>
    <row r="86" spans="2:16">
      <c r="B86" s="2919"/>
      <c r="C86" s="2919"/>
      <c r="D86" s="2919"/>
      <c r="E86" s="2919"/>
      <c r="F86" s="2919"/>
      <c r="G86" s="2919"/>
      <c r="H86" s="2608"/>
      <c r="I86" s="2608"/>
      <c r="J86" s="2608"/>
      <c r="K86" s="2608"/>
      <c r="L86" s="2608"/>
      <c r="M86" s="2608"/>
      <c r="N86" s="2608"/>
      <c r="O86" s="2608"/>
      <c r="P86" s="2608"/>
    </row>
    <row r="87" spans="2:16">
      <c r="B87" s="2919"/>
      <c r="C87" s="2919"/>
      <c r="D87" s="2919"/>
      <c r="E87" s="2919"/>
      <c r="F87" s="2919"/>
      <c r="G87" s="2919"/>
      <c r="H87" s="2608"/>
      <c r="I87" s="2608"/>
      <c r="J87" s="2608"/>
      <c r="K87" s="2608"/>
      <c r="L87" s="2608"/>
      <c r="M87" s="2608"/>
      <c r="N87" s="2608"/>
      <c r="O87" s="2608"/>
      <c r="P87" s="2608"/>
    </row>
    <row r="88" spans="2:16" ht="13.2" customHeight="1">
      <c r="B88" s="2919"/>
      <c r="C88" s="2919"/>
      <c r="D88" s="2919"/>
      <c r="E88" s="2919"/>
      <c r="F88" s="2919"/>
      <c r="G88" s="2919"/>
      <c r="H88" s="2608"/>
      <c r="I88" s="2608"/>
      <c r="J88" s="2608"/>
      <c r="K88" s="2608"/>
      <c r="L88" s="2608"/>
      <c r="M88" s="2608"/>
      <c r="N88" s="2608"/>
      <c r="O88" s="2608"/>
      <c r="P88" s="2608"/>
    </row>
    <row r="89" spans="2:16">
      <c r="B89" s="2919"/>
      <c r="C89" s="2919"/>
      <c r="D89" s="2919"/>
      <c r="E89" s="2919"/>
      <c r="F89" s="2919"/>
      <c r="G89" s="2919"/>
      <c r="H89" s="2608"/>
      <c r="I89" s="2608"/>
      <c r="J89" s="2608"/>
      <c r="K89" s="2608"/>
      <c r="L89" s="2608"/>
      <c r="M89" s="2608"/>
      <c r="N89" s="2608"/>
      <c r="O89" s="2608"/>
      <c r="P89" s="2608"/>
    </row>
    <row r="90" spans="2:16">
      <c r="B90" s="2919"/>
      <c r="C90" s="2919"/>
      <c r="D90" s="2919"/>
      <c r="E90" s="2919"/>
      <c r="F90" s="2919"/>
      <c r="G90" s="2919"/>
      <c r="H90" s="2608"/>
      <c r="I90" s="2608"/>
      <c r="J90" s="2608"/>
      <c r="K90" s="2608"/>
      <c r="L90" s="2608"/>
      <c r="M90" s="2608"/>
      <c r="N90" s="2608"/>
      <c r="O90" s="2608"/>
      <c r="P90" s="2608"/>
    </row>
    <row r="91" spans="2:16">
      <c r="B91" s="2919"/>
      <c r="C91" s="2919"/>
      <c r="D91" s="2919"/>
      <c r="E91" s="2919"/>
      <c r="F91" s="2919"/>
      <c r="G91" s="2919"/>
      <c r="H91" s="2608"/>
      <c r="I91" s="2608"/>
      <c r="J91" s="2608"/>
      <c r="K91" s="2608"/>
      <c r="L91" s="2608"/>
      <c r="M91" s="2608"/>
      <c r="N91" s="2608"/>
      <c r="O91" s="2608"/>
      <c r="P91" s="2608"/>
    </row>
    <row r="92" spans="2:16">
      <c r="B92" s="2919"/>
      <c r="C92" s="2919"/>
      <c r="D92" s="2919"/>
      <c r="E92" s="2919"/>
      <c r="F92" s="2919"/>
      <c r="G92" s="2919"/>
      <c r="H92" s="2608"/>
      <c r="I92" s="2608"/>
      <c r="J92" s="2608"/>
      <c r="K92" s="2608"/>
      <c r="L92" s="2608"/>
      <c r="M92" s="2608"/>
      <c r="N92" s="2608"/>
      <c r="O92" s="2608"/>
      <c r="P92" s="2608"/>
    </row>
    <row r="93" spans="2:16">
      <c r="B93" s="2919"/>
      <c r="C93" s="2919"/>
      <c r="D93" s="2919"/>
      <c r="E93" s="2919"/>
      <c r="F93" s="2919"/>
      <c r="G93" s="2919"/>
      <c r="H93" s="2608"/>
      <c r="I93" s="2608"/>
      <c r="J93" s="2608"/>
      <c r="K93" s="2608"/>
      <c r="L93" s="2608"/>
      <c r="M93" s="2608"/>
      <c r="N93" s="2608"/>
      <c r="O93" s="2608"/>
      <c r="P93" s="2608"/>
    </row>
    <row r="94" spans="2:16">
      <c r="B94" s="2919"/>
      <c r="C94" s="2919"/>
      <c r="D94" s="2919"/>
      <c r="E94" s="2919"/>
      <c r="F94" s="2919"/>
      <c r="G94" s="2919"/>
      <c r="H94" s="2608"/>
      <c r="I94" s="2608"/>
      <c r="J94" s="2608"/>
      <c r="K94" s="2608"/>
      <c r="L94" s="2608"/>
      <c r="M94" s="2608"/>
      <c r="N94" s="2608"/>
      <c r="O94" s="2608"/>
      <c r="P94" s="2608"/>
    </row>
    <row r="95" spans="2:16">
      <c r="C95" s="29"/>
      <c r="D95" s="29"/>
      <c r="E95" s="29"/>
      <c r="F95" s="1712"/>
      <c r="G95" s="2608"/>
      <c r="H95" s="2608"/>
      <c r="I95" s="2608"/>
      <c r="J95" s="2608"/>
      <c r="K95" s="2608"/>
      <c r="L95" s="2608"/>
      <c r="M95" s="2608"/>
      <c r="N95" s="2608"/>
      <c r="O95" s="2608"/>
      <c r="P95" s="2608"/>
    </row>
    <row r="96" spans="2:16">
      <c r="C96" s="29"/>
      <c r="D96" s="29"/>
      <c r="E96" s="29"/>
      <c r="F96" s="1712"/>
      <c r="G96" s="2608"/>
      <c r="H96" s="2608"/>
      <c r="I96" s="2608"/>
      <c r="J96" s="2608"/>
      <c r="K96" s="2608"/>
      <c r="L96" s="2608"/>
      <c r="M96" s="2608"/>
      <c r="N96" s="2608"/>
      <c r="O96" s="2608"/>
      <c r="P96" s="2608"/>
    </row>
    <row r="97" spans="2:16">
      <c r="C97" s="29"/>
      <c r="D97" s="29"/>
      <c r="E97" s="29"/>
      <c r="G97" s="2608"/>
      <c r="H97" s="2608"/>
      <c r="I97" s="2608"/>
      <c r="J97" s="2608"/>
      <c r="K97" s="2608"/>
      <c r="L97" s="2608"/>
      <c r="M97" s="2608"/>
      <c r="N97" s="2608"/>
      <c r="O97" s="2608"/>
      <c r="P97" s="2608"/>
    </row>
    <row r="98" spans="2:16">
      <c r="C98" s="29"/>
      <c r="D98" s="29"/>
      <c r="E98" s="29"/>
      <c r="G98" s="2608"/>
      <c r="H98" s="2608"/>
      <c r="I98" s="2608"/>
      <c r="J98" s="2608"/>
      <c r="K98" s="2608"/>
      <c r="L98" s="2608"/>
      <c r="M98" s="2608"/>
      <c r="N98" s="2608"/>
      <c r="O98" s="2608"/>
      <c r="P98" s="2608"/>
    </row>
    <row r="99" spans="2:16">
      <c r="B99" s="29"/>
      <c r="C99" s="29"/>
      <c r="D99" s="29"/>
      <c r="G99" s="2608"/>
      <c r="I99" s="2608"/>
      <c r="J99" s="2608"/>
      <c r="K99" s="2608"/>
      <c r="L99" s="2608"/>
      <c r="M99" s="2608"/>
      <c r="N99" s="2608"/>
      <c r="O99" s="2608"/>
      <c r="P99" s="2608"/>
    </row>
    <row r="100" spans="2:16">
      <c r="B100" s="29"/>
      <c r="C100" s="29"/>
      <c r="D100" s="29"/>
      <c r="G100" s="2608"/>
      <c r="H100" s="2608"/>
      <c r="I100" s="2608"/>
      <c r="J100" s="2608"/>
      <c r="K100" s="2608"/>
      <c r="L100" s="2608"/>
      <c r="M100" s="2608"/>
      <c r="N100" s="2608"/>
      <c r="O100" s="2608"/>
      <c r="P100" s="2608"/>
    </row>
    <row r="101" spans="2:16">
      <c r="B101" s="29"/>
      <c r="C101" s="29"/>
      <c r="D101" s="29"/>
      <c r="G101" s="2608"/>
      <c r="H101" s="2608"/>
      <c r="I101" s="2608"/>
      <c r="J101" s="2608"/>
      <c r="K101" s="2608"/>
      <c r="L101" s="2608"/>
      <c r="M101" s="2608"/>
      <c r="N101" s="2608"/>
      <c r="O101" s="2608"/>
      <c r="P101" s="2608"/>
    </row>
    <row r="102" spans="2:16">
      <c r="B102" s="29"/>
      <c r="C102" s="29"/>
      <c r="D102" s="29"/>
      <c r="G102" s="2608"/>
      <c r="H102" s="2608"/>
      <c r="I102" s="2608"/>
      <c r="J102" s="2608"/>
      <c r="K102" s="2608"/>
      <c r="L102" s="2608"/>
      <c r="M102" s="2608"/>
      <c r="N102" s="2608"/>
      <c r="O102" s="2608"/>
      <c r="P102" s="2608"/>
    </row>
    <row r="103" spans="2:16">
      <c r="B103" s="29"/>
      <c r="C103" s="29"/>
      <c r="D103" s="29"/>
      <c r="G103" s="2608"/>
      <c r="H103" s="2608"/>
      <c r="I103" s="2608"/>
      <c r="J103" s="2608"/>
      <c r="K103" s="2608"/>
      <c r="L103" s="2608"/>
      <c r="M103" s="2608"/>
      <c r="N103" s="2608"/>
      <c r="O103" s="2608"/>
      <c r="P103" s="2608"/>
    </row>
    <row r="104" spans="2:16">
      <c r="B104" s="29"/>
      <c r="C104" s="29"/>
      <c r="D104" s="29"/>
      <c r="G104" s="2608"/>
      <c r="H104" s="2608"/>
      <c r="I104" s="2608"/>
      <c r="J104" s="2608"/>
      <c r="K104" s="2608"/>
      <c r="L104" s="2608"/>
      <c r="M104" s="2608"/>
      <c r="N104" s="2608"/>
      <c r="O104" s="2608"/>
      <c r="P104" s="2608"/>
    </row>
    <row r="105" spans="2:16">
      <c r="B105" s="29"/>
      <c r="C105" s="29"/>
      <c r="D105" s="29"/>
      <c r="G105" s="2608"/>
      <c r="H105" s="2608"/>
      <c r="I105" s="2608"/>
      <c r="J105" s="2608"/>
      <c r="K105" s="2608"/>
      <c r="L105" s="2608"/>
      <c r="M105" s="2608"/>
      <c r="N105" s="2608"/>
      <c r="O105" s="2608"/>
      <c r="P105" s="2608"/>
    </row>
    <row r="106" spans="2:16">
      <c r="B106" s="29"/>
      <c r="C106" s="29"/>
      <c r="D106" s="29"/>
      <c r="G106" s="2608"/>
      <c r="H106" s="2608"/>
      <c r="I106" s="2608"/>
      <c r="J106" s="2608"/>
      <c r="K106" s="2608"/>
      <c r="L106" s="2608"/>
      <c r="M106" s="2608"/>
      <c r="N106" s="2608"/>
      <c r="O106" s="2608"/>
      <c r="P106" s="2608"/>
    </row>
    <row r="107" spans="2:16">
      <c r="B107" s="29"/>
      <c r="C107" s="29"/>
      <c r="D107" s="29"/>
      <c r="G107" s="2608"/>
      <c r="H107" s="2608"/>
      <c r="I107" s="2608"/>
      <c r="J107" s="2608"/>
      <c r="K107" s="2608"/>
      <c r="L107" s="2608"/>
      <c r="M107" s="2608"/>
      <c r="N107" s="2608"/>
      <c r="O107" s="2608"/>
      <c r="P107" s="2608"/>
    </row>
    <row r="108" spans="2:16">
      <c r="G108" s="2608"/>
      <c r="H108" s="2608"/>
      <c r="I108" s="2608"/>
      <c r="J108" s="2608"/>
      <c r="K108" s="2608"/>
      <c r="L108" s="2608"/>
      <c r="M108" s="2608"/>
      <c r="N108" s="2608"/>
      <c r="O108" s="2608"/>
      <c r="P108" s="2608"/>
    </row>
    <row r="109" spans="2:16">
      <c r="G109" s="2608"/>
      <c r="H109" s="2608"/>
      <c r="I109" s="2608"/>
      <c r="J109" s="2608"/>
      <c r="K109" s="2608"/>
      <c r="L109" s="2608"/>
      <c r="M109" s="2608"/>
      <c r="N109" s="2608"/>
      <c r="O109" s="2608"/>
      <c r="P109" s="2608"/>
    </row>
    <row r="110" spans="2:16">
      <c r="G110" s="2608"/>
      <c r="H110" s="2608"/>
      <c r="I110" s="2608"/>
      <c r="J110" s="2608"/>
      <c r="K110" s="2608"/>
      <c r="L110" s="2608"/>
      <c r="M110" s="2608"/>
      <c r="N110" s="2608"/>
      <c r="O110" s="2608"/>
      <c r="P110" s="2608"/>
    </row>
    <row r="111" spans="2:16">
      <c r="G111" s="2608"/>
      <c r="H111" s="2608"/>
      <c r="I111" s="2608"/>
      <c r="J111" s="2608"/>
      <c r="K111" s="2608"/>
      <c r="L111" s="2608"/>
      <c r="M111" s="2608"/>
      <c r="N111" s="2608"/>
      <c r="O111" s="2608"/>
      <c r="P111" s="2608"/>
    </row>
    <row r="112" spans="2:16">
      <c r="G112" s="2608"/>
      <c r="H112" s="2608"/>
      <c r="I112" s="2608"/>
      <c r="J112" s="2608"/>
      <c r="K112" s="2608"/>
      <c r="L112" s="2608"/>
      <c r="M112" s="2608"/>
      <c r="N112" s="2608"/>
      <c r="O112" s="2608"/>
      <c r="P112" s="2608"/>
    </row>
    <row r="113" spans="2:16">
      <c r="G113" s="2608"/>
      <c r="H113" s="2608"/>
      <c r="I113" s="2608"/>
      <c r="J113" s="2608"/>
      <c r="K113" s="2608"/>
      <c r="L113" s="2608"/>
      <c r="M113" s="2608"/>
      <c r="N113" s="2608"/>
      <c r="O113" s="2608"/>
      <c r="P113" s="2608"/>
    </row>
    <row r="114" spans="2:16">
      <c r="G114" s="2608"/>
      <c r="H114" s="2608"/>
      <c r="I114" s="2608"/>
      <c r="J114" s="2608"/>
      <c r="K114" s="2608"/>
      <c r="L114" s="2608"/>
      <c r="M114" s="2608"/>
      <c r="N114" s="2608"/>
      <c r="O114" s="2608"/>
      <c r="P114" s="2608"/>
    </row>
    <row r="115" spans="2:16">
      <c r="G115" s="2608"/>
      <c r="H115" s="2608"/>
      <c r="I115" s="2608"/>
      <c r="J115" s="2608"/>
      <c r="K115" s="2608"/>
      <c r="L115" s="2608"/>
      <c r="M115" s="2608"/>
      <c r="N115" s="2608"/>
      <c r="O115" s="2608"/>
      <c r="P115" s="2608"/>
    </row>
    <row r="116" spans="2:16">
      <c r="G116" s="2608"/>
      <c r="H116" s="2608"/>
      <c r="I116" s="2608"/>
      <c r="J116" s="2608"/>
      <c r="K116" s="2608"/>
      <c r="L116" s="2608"/>
      <c r="M116" s="2608"/>
      <c r="N116" s="2608"/>
      <c r="O116" s="2608"/>
      <c r="P116" s="2608"/>
    </row>
    <row r="117" spans="2:16">
      <c r="G117" s="2608"/>
      <c r="H117" s="2608"/>
      <c r="I117" s="2608"/>
      <c r="J117" s="2608"/>
      <c r="K117" s="2608"/>
      <c r="L117" s="2608"/>
      <c r="M117" s="2608"/>
      <c r="N117" s="2608"/>
      <c r="O117" s="2608"/>
      <c r="P117" s="2608"/>
    </row>
    <row r="118" spans="2:16">
      <c r="B118" s="440"/>
      <c r="C118" s="29"/>
      <c r="G118" s="2608"/>
      <c r="H118" s="2608"/>
      <c r="I118" s="2608"/>
      <c r="J118" s="2608"/>
      <c r="K118" s="2608"/>
      <c r="L118" s="2608"/>
      <c r="M118" s="2608"/>
      <c r="N118" s="2608"/>
      <c r="O118" s="2608"/>
      <c r="P118" s="2608"/>
    </row>
    <row r="119" spans="2:16">
      <c r="B119" s="440"/>
      <c r="C119" s="29"/>
      <c r="G119" s="2608"/>
      <c r="H119" s="2608"/>
      <c r="I119" s="2608"/>
      <c r="J119" s="2608"/>
      <c r="K119" s="2608"/>
      <c r="L119" s="2608"/>
      <c r="M119" s="2608"/>
      <c r="N119" s="2608"/>
      <c r="O119" s="2608"/>
      <c r="P119" s="2608"/>
    </row>
    <row r="120" spans="2:16">
      <c r="B120" s="440"/>
      <c r="C120" s="29"/>
      <c r="G120" s="2608"/>
      <c r="H120" s="2608"/>
      <c r="I120" s="2608"/>
      <c r="J120" s="2608"/>
      <c r="K120" s="2608"/>
      <c r="L120" s="2608"/>
      <c r="M120" s="2608"/>
      <c r="N120" s="2608"/>
      <c r="O120" s="2608"/>
      <c r="P120" s="2608"/>
    </row>
    <row r="121" spans="2:16">
      <c r="B121" s="440"/>
      <c r="C121" s="29"/>
      <c r="G121" s="2608"/>
      <c r="H121" s="2608"/>
      <c r="I121" s="2608"/>
      <c r="J121" s="2608"/>
      <c r="K121" s="2608"/>
      <c r="L121" s="2608"/>
      <c r="M121" s="2608"/>
      <c r="N121" s="2608"/>
      <c r="O121" s="2608"/>
      <c r="P121" s="2608"/>
    </row>
    <row r="122" spans="2:16">
      <c r="B122" s="440"/>
      <c r="C122" s="29"/>
      <c r="G122" s="2608"/>
      <c r="H122" s="2608"/>
      <c r="I122" s="2608"/>
      <c r="J122" s="2608"/>
      <c r="K122" s="2608"/>
      <c r="L122" s="2608"/>
      <c r="M122" s="2608"/>
      <c r="N122" s="2608"/>
      <c r="O122" s="2608"/>
      <c r="P122" s="2608"/>
    </row>
    <row r="123" spans="2:16">
      <c r="B123" s="440"/>
      <c r="C123" s="29"/>
      <c r="G123" s="2608"/>
      <c r="H123" s="2608"/>
      <c r="I123" s="2608"/>
      <c r="J123" s="2608"/>
      <c r="K123" s="2608"/>
      <c r="L123" s="2608"/>
      <c r="M123" s="2608"/>
      <c r="N123" s="2608"/>
      <c r="O123" s="2608"/>
      <c r="P123" s="2608"/>
    </row>
    <row r="124" spans="2:16">
      <c r="B124" s="440"/>
      <c r="C124" s="29"/>
      <c r="G124" s="2608"/>
      <c r="H124" s="2608"/>
      <c r="I124" s="2608"/>
      <c r="J124" s="2608"/>
      <c r="K124" s="2608"/>
      <c r="L124" s="2608"/>
      <c r="M124" s="2608"/>
      <c r="N124" s="2608"/>
      <c r="O124" s="2608"/>
      <c r="P124" s="2608"/>
    </row>
    <row r="125" spans="2:16">
      <c r="B125" s="440"/>
      <c r="C125" s="29"/>
      <c r="G125" s="2608"/>
      <c r="H125" s="2608"/>
      <c r="I125" s="2608"/>
      <c r="J125" s="2608"/>
      <c r="K125" s="2608"/>
      <c r="L125" s="2608"/>
      <c r="M125" s="2608"/>
      <c r="N125" s="2608"/>
      <c r="O125" s="2608"/>
      <c r="P125" s="2608"/>
    </row>
    <row r="126" spans="2:16">
      <c r="B126" s="440"/>
      <c r="C126" s="29"/>
      <c r="G126" s="2608"/>
      <c r="H126" s="2608"/>
      <c r="I126" s="2608"/>
      <c r="J126" s="2608"/>
      <c r="K126" s="2608"/>
      <c r="L126" s="2608"/>
      <c r="M126" s="2608"/>
      <c r="N126" s="2608"/>
      <c r="O126" s="2608"/>
      <c r="P126" s="2608"/>
    </row>
    <row r="127" spans="2:16">
      <c r="B127" s="440"/>
      <c r="C127" s="29"/>
      <c r="G127" s="2608"/>
      <c r="H127" s="2608"/>
      <c r="I127" s="2608"/>
      <c r="J127" s="2608"/>
      <c r="K127" s="2608"/>
      <c r="L127" s="2608"/>
      <c r="M127" s="2608"/>
      <c r="N127" s="2608"/>
      <c r="O127" s="2608"/>
      <c r="P127" s="2608"/>
    </row>
    <row r="128" spans="2:16">
      <c r="B128" s="440"/>
      <c r="C128" s="29"/>
      <c r="G128" s="2608"/>
      <c r="H128" s="2608"/>
      <c r="I128" s="2608"/>
      <c r="J128" s="2608"/>
      <c r="K128" s="2608"/>
      <c r="L128" s="2608"/>
      <c r="M128" s="2608"/>
      <c r="N128" s="2608"/>
      <c r="O128" s="2608"/>
      <c r="P128" s="2608"/>
    </row>
    <row r="129" spans="2:16">
      <c r="B129" s="440"/>
      <c r="C129" s="29"/>
      <c r="G129" s="2608"/>
      <c r="H129" s="2608"/>
      <c r="I129" s="2608"/>
      <c r="J129" s="2608"/>
      <c r="K129" s="2608"/>
      <c r="L129" s="2608"/>
      <c r="M129" s="2608"/>
      <c r="N129" s="2608"/>
      <c r="O129" s="2608"/>
      <c r="P129" s="2608"/>
    </row>
    <row r="130" spans="2:16">
      <c r="B130" s="440"/>
      <c r="C130" s="29"/>
      <c r="G130" s="2608"/>
      <c r="H130" s="2608"/>
      <c r="I130" s="2608"/>
      <c r="J130" s="2608"/>
      <c r="K130" s="2608"/>
      <c r="L130" s="2608"/>
      <c r="M130" s="2608"/>
      <c r="N130" s="2608"/>
      <c r="O130" s="2608"/>
      <c r="P130" s="2608"/>
    </row>
    <row r="131" spans="2:16">
      <c r="B131" s="440"/>
      <c r="C131" s="29"/>
      <c r="G131" s="2608"/>
      <c r="H131" s="2608"/>
      <c r="I131" s="2608"/>
      <c r="J131" s="2608"/>
      <c r="K131" s="2608"/>
      <c r="L131" s="2608"/>
      <c r="M131" s="2608"/>
      <c r="N131" s="2608"/>
      <c r="O131" s="2608"/>
      <c r="P131" s="2608"/>
    </row>
    <row r="132" spans="2:16">
      <c r="B132" s="440"/>
      <c r="C132" s="29"/>
      <c r="G132" s="2608"/>
      <c r="H132" s="2608"/>
      <c r="I132" s="2608"/>
      <c r="J132" s="2608"/>
      <c r="K132" s="2608"/>
      <c r="L132" s="2608"/>
      <c r="M132" s="2608"/>
      <c r="N132" s="2608"/>
      <c r="O132" s="2608"/>
      <c r="P132" s="2608"/>
    </row>
    <row r="133" spans="2:16">
      <c r="B133" s="440"/>
      <c r="C133" s="29"/>
      <c r="G133" s="2608"/>
      <c r="H133" s="2608"/>
      <c r="I133" s="2608"/>
      <c r="J133" s="2608"/>
      <c r="K133" s="2608"/>
      <c r="L133" s="2608"/>
      <c r="M133" s="2608"/>
      <c r="N133" s="2608"/>
      <c r="O133" s="2608"/>
      <c r="P133" s="2608"/>
    </row>
    <row r="134" spans="2:16">
      <c r="B134" s="440"/>
      <c r="C134" s="29"/>
      <c r="G134" s="2608"/>
      <c r="H134" s="2608"/>
      <c r="I134" s="2608"/>
      <c r="J134" s="2608"/>
      <c r="K134" s="2608"/>
      <c r="L134" s="2608"/>
      <c r="M134" s="2608"/>
      <c r="N134" s="2608"/>
      <c r="O134" s="2608"/>
      <c r="P134" s="2608"/>
    </row>
    <row r="135" spans="2:16">
      <c r="B135" s="440"/>
      <c r="C135" s="29"/>
      <c r="G135" s="2608"/>
      <c r="H135" s="2608"/>
      <c r="I135" s="2608"/>
      <c r="J135" s="2608"/>
      <c r="K135" s="2608"/>
      <c r="L135" s="2608"/>
      <c r="M135" s="2608"/>
      <c r="N135" s="2608"/>
      <c r="O135" s="2608"/>
      <c r="P135" s="2608"/>
    </row>
    <row r="136" spans="2:16">
      <c r="B136" s="440"/>
      <c r="C136" s="29"/>
      <c r="G136" s="2608"/>
      <c r="H136" s="2608"/>
      <c r="I136" s="2608"/>
      <c r="J136" s="2608"/>
      <c r="K136" s="2608"/>
      <c r="L136" s="2608"/>
      <c r="M136" s="2608"/>
      <c r="N136" s="2608"/>
      <c r="O136" s="2608"/>
      <c r="P136" s="2608"/>
    </row>
    <row r="137" spans="2:16">
      <c r="B137" s="440"/>
      <c r="C137" s="29"/>
      <c r="G137" s="2608"/>
      <c r="H137" s="2608"/>
      <c r="I137" s="2608"/>
      <c r="J137" s="2608"/>
      <c r="K137" s="2608"/>
      <c r="L137" s="2608"/>
      <c r="M137" s="2608"/>
      <c r="N137" s="2608"/>
      <c r="O137" s="2608"/>
      <c r="P137" s="2608"/>
    </row>
    <row r="138" spans="2:16">
      <c r="B138" s="440"/>
      <c r="C138" s="29"/>
      <c r="L138" s="29"/>
    </row>
    <row r="139" spans="2:16">
      <c r="B139" s="440"/>
      <c r="C139" s="29"/>
      <c r="L139" s="29"/>
    </row>
    <row r="140" spans="2:16">
      <c r="B140" s="440"/>
      <c r="C140" s="29"/>
      <c r="L140" s="29"/>
    </row>
    <row r="141" spans="2:16">
      <c r="B141" s="440"/>
      <c r="C141" s="29"/>
      <c r="L141" s="29"/>
    </row>
    <row r="142" spans="2:16">
      <c r="B142" s="440"/>
      <c r="C142" s="29"/>
      <c r="L142" s="29"/>
    </row>
    <row r="143" spans="2:16">
      <c r="B143" s="440"/>
      <c r="C143" s="29"/>
      <c r="L143" s="29"/>
    </row>
    <row r="144" spans="2:16">
      <c r="B144" s="440"/>
      <c r="C144" s="29"/>
      <c r="L144" s="29"/>
    </row>
    <row r="145" spans="2:12">
      <c r="B145" s="440"/>
      <c r="C145" s="29"/>
      <c r="L145" s="29"/>
    </row>
    <row r="146" spans="2:12">
      <c r="B146" s="440"/>
      <c r="C146" s="29"/>
      <c r="L146" s="29"/>
    </row>
    <row r="147" spans="2:12">
      <c r="B147" s="440"/>
      <c r="C147" s="29"/>
    </row>
    <row r="148" spans="2:12">
      <c r="B148" s="440"/>
      <c r="C148" s="29"/>
    </row>
    <row r="149" spans="2:12">
      <c r="B149" s="440"/>
      <c r="C149" s="29"/>
    </row>
    <row r="150" spans="2:12">
      <c r="B150" s="440"/>
      <c r="C150" s="29"/>
    </row>
    <row r="151" spans="2:12">
      <c r="B151" s="440"/>
      <c r="C151" s="29"/>
    </row>
    <row r="152" spans="2:12">
      <c r="B152" s="440"/>
      <c r="C152" s="29"/>
    </row>
    <row r="153" spans="2:12">
      <c r="B153" s="440"/>
      <c r="C153" s="29"/>
    </row>
    <row r="154" spans="2:12">
      <c r="B154" s="440"/>
      <c r="C154" s="29"/>
      <c r="D154" s="29"/>
      <c r="F154" s="29"/>
      <c r="G154" s="29"/>
      <c r="H154" s="29"/>
      <c r="I154" s="29"/>
      <c r="J154" s="29"/>
      <c r="K154" s="29"/>
    </row>
    <row r="155" spans="2:12">
      <c r="B155" s="440"/>
      <c r="C155" s="29"/>
      <c r="D155" s="29"/>
      <c r="F155" s="29"/>
      <c r="G155" s="29"/>
      <c r="H155" s="29"/>
      <c r="I155" s="29"/>
      <c r="J155" s="29"/>
      <c r="K155" s="29"/>
    </row>
    <row r="156" spans="2:12">
      <c r="B156" s="440"/>
      <c r="C156" s="29"/>
      <c r="D156" s="29"/>
      <c r="F156" s="29"/>
      <c r="G156" s="29"/>
      <c r="H156" s="29"/>
      <c r="I156" s="29"/>
      <c r="J156" s="29"/>
      <c r="K156" s="29"/>
    </row>
    <row r="157" spans="2:12">
      <c r="B157" s="440"/>
      <c r="C157" s="29"/>
    </row>
    <row r="158" spans="2:12">
      <c r="B158" s="440"/>
      <c r="C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heet="1" selectLockedCells="1"/>
  <customSheetViews>
    <customSheetView guid="{8063F48F-80B5-4ECD-B18A-51CBF126E780}" fitToPage="1" hiddenRows="1" hiddenColumns="1">
      <selection activeCell="C14" sqref="C14:F14"/>
      <pageMargins left="0.59055118110236227" right="0.57999999999999996" top="0.59055118110236227" bottom="0.59055118110236227" header="0.39370078740157483" footer="0.39370078740157483"/>
      <printOptions horizontalCentered="1"/>
      <pageSetup paperSize="9" scale="70" firstPageNumber="82" orientation="portrait" r:id="rId1"/>
      <headerFooter alignWithMargins="0">
        <oddFooter>&amp;L&amp;11LEL Schwäbisch Gmünd&amp;R&amp;11&amp;F</oddFooter>
      </headerFooter>
    </customSheetView>
    <customSheetView guid="{5D5C9B61-9ABD-4513-AAEB-8333A9D6196C}" fitToPage="1" hiddenRows="1" hiddenColumns="1">
      <selection activeCell="C14" sqref="C14:F14"/>
      <pageMargins left="0.59055118110236227" right="0.57999999999999996" top="0.59055118110236227" bottom="0.59055118110236227" header="0.39370078740157483" footer="0.39370078740157483"/>
      <printOptions horizontalCentered="1"/>
      <pageSetup paperSize="9" scale="70" firstPageNumber="82" orientation="portrait" r:id="rId2"/>
      <headerFooter alignWithMargins="0">
        <oddFooter>&amp;L&amp;11LEL Schwäbisch Gmünd&amp;R&amp;11&amp;F</oddFooter>
      </headerFooter>
    </customSheetView>
    <customSheetView guid="{22A73C4F-9004-4CEF-8499-B1F91BE1B569}" fitToPage="1" hiddenRows="1" hiddenColumns="1">
      <selection activeCell="C14" sqref="C14:F14"/>
      <pageMargins left="0.59055118110236227" right="0.57999999999999996" top="0.59055118110236227" bottom="0.59055118110236227" header="0.39370078740157483" footer="0.39370078740157483"/>
      <printOptions horizontalCentered="1"/>
      <pageSetup paperSize="9" scale="70" firstPageNumber="82" orientation="portrait" r:id="rId3"/>
      <headerFooter alignWithMargins="0">
        <oddFooter>&amp;L&amp;11LEL Schwäbisch Gmünd&amp;R&amp;11&amp;F</oddFooter>
      </headerFooter>
    </customSheetView>
  </customSheetViews>
  <mergeCells count="48">
    <mergeCell ref="B3:H3"/>
    <mergeCell ref="N6:O6"/>
    <mergeCell ref="C16:F16"/>
    <mergeCell ref="K6:L6"/>
    <mergeCell ref="C14:F14"/>
    <mergeCell ref="C15:F15"/>
    <mergeCell ref="H6:I6"/>
    <mergeCell ref="C56:D56"/>
    <mergeCell ref="C54:D54"/>
    <mergeCell ref="E10:F10"/>
    <mergeCell ref="C17:F17"/>
    <mergeCell ref="C19:F19"/>
    <mergeCell ref="F23:G23"/>
    <mergeCell ref="C42:E42"/>
    <mergeCell ref="C21:F21"/>
    <mergeCell ref="C20:F20"/>
    <mergeCell ref="C74:E74"/>
    <mergeCell ref="N3:O4"/>
    <mergeCell ref="E4:M4"/>
    <mergeCell ref="K1:L1"/>
    <mergeCell ref="N1:O1"/>
    <mergeCell ref="K2:P2"/>
    <mergeCell ref="E22:G22"/>
    <mergeCell ref="C68:E68"/>
    <mergeCell ref="C73:E73"/>
    <mergeCell ref="C62:E62"/>
    <mergeCell ref="C51:D51"/>
    <mergeCell ref="C52:D52"/>
    <mergeCell ref="C48:D48"/>
    <mergeCell ref="C49:D49"/>
    <mergeCell ref="F34:G34"/>
    <mergeCell ref="C38:E38"/>
    <mergeCell ref="B75:C75"/>
    <mergeCell ref="D25:E25"/>
    <mergeCell ref="D26:E26"/>
    <mergeCell ref="C64:E64"/>
    <mergeCell ref="C63:E63"/>
    <mergeCell ref="C57:D57"/>
    <mergeCell ref="C47:D47"/>
    <mergeCell ref="C37:E37"/>
    <mergeCell ref="C46:D46"/>
    <mergeCell ref="C36:E36"/>
    <mergeCell ref="C39:E39"/>
    <mergeCell ref="C40:E40"/>
    <mergeCell ref="C53:D53"/>
    <mergeCell ref="C55:D55"/>
    <mergeCell ref="C50:D50"/>
    <mergeCell ref="C41:E41"/>
  </mergeCells>
  <dataValidations count="5">
    <dataValidation type="decimal" allowBlank="1" showInputMessage="1" showErrorMessage="1" errorTitle="Wassergehalt Getreide" error="Zulässig sind nur Werte zwischen 14,1 und 22,0 % Wassergehalt." sqref="H68 K68 N68" xr:uid="{00000000-0002-0000-5000-000000000000}">
      <formula1>14.1</formula1>
      <formula2>22</formula2>
    </dataValidation>
    <dataValidation type="whole" allowBlank="1" showInputMessage="1" showErrorMessage="1" errorTitle="Anteil Erntegut" error="Prozentwert darf nur zwischen 0 und 100 liegen." sqref="O68 L68 I68" xr:uid="{00000000-0002-0000-5000-000001000000}">
      <formula1>0</formula1>
      <formula2>100</formula2>
    </dataValidation>
    <dataValidation type="list" showInputMessage="1" showErrorMessage="1" sqref="H14 K14 N14" xr:uid="{00000000-0002-0000-5000-000002000000}">
      <formula1>"ja,nein"</formula1>
    </dataValidation>
    <dataValidation type="list" allowBlank="1" showInputMessage="1" showErrorMessage="1" sqref="H15:H17 K15:K17 N15:N17" xr:uid="{00000000-0002-0000-5000-000003000000}">
      <formula1>"ja,nein"</formula1>
    </dataValidation>
    <dataValidation type="list" allowBlank="1" showInputMessage="1" showErrorMessage="1" sqref="D19:F19" xr:uid="{00000000-0002-0000-5000-000004000000}">
      <formula1>$C$60:$C$75</formula1>
    </dataValidation>
  </dataValidations>
  <hyperlinks>
    <hyperlink ref="F9" location="SDÖ1!A1" display="Preis ändern" xr:uid="{00000000-0004-0000-5000-000000000000}"/>
  </hyperlinks>
  <printOptions horizontalCentered="1"/>
  <pageMargins left="0.59055118110236227" right="0.57999999999999996" top="0.59055118110236227" bottom="0.59055118110236227" header="0.39370078740157483" footer="0.39370078740157483"/>
  <pageSetup paperSize="9" scale="70" firstPageNumber="82" orientation="portrait" r:id="rId4"/>
  <headerFooter alignWithMargins="0">
    <oddFooter>&amp;L&amp;11LEL Schwäbisch Gmünd&amp;R&amp;11&amp;F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5000-000005000000}">
          <x14:formula1>
            <xm:f>'SD2'!$C$11:$C$50</xm:f>
          </x14:formula1>
          <xm:sqref>C14:F17</xm:sqref>
        </x14:dataValidation>
        <x14:dataValidation type="list" allowBlank="1" showInputMessage="1" showErrorMessage="1" xr:uid="{00000000-0002-0000-5000-000006000000}">
          <x14:formula1>
            <xm:f>'SD2'!$C$60:$C$77</xm:f>
          </x14:formula1>
          <xm:sqref>C19:C21</xm:sqref>
        </x14:dataValidation>
        <x14:dataValidation type="list" allowBlank="1" showInputMessage="1" showErrorMessage="1" xr:uid="{00000000-0002-0000-5000-000007000000}">
          <x14:formula1>
            <xm:f>SDÖ5!$C$5:$C$16</xm:f>
          </x14:formula1>
          <xm:sqref>C36:E42</xm:sqref>
        </x14:dataValidation>
        <x14:dataValidation type="list" allowBlank="1" showInputMessage="1" showErrorMessage="1" errorTitle="Arbeitsgänge" error="Bitte aus Dropdownliste auswählen." xr:uid="{00000000-0002-0000-5000-000008000000}">
          <x14:formula1>
            <xm:f>'SD3'!$C$23:$C$75</xm:f>
          </x14:formula1>
          <xm:sqref>C46:D57</xm:sqref>
        </x14:dataValidation>
        <x14:dataValidation type="list" allowBlank="1" showInputMessage="1" showErrorMessage="1" errorTitle="Lohnmaschinen" error="Bitte aus Dropdownliste auswählen." xr:uid="{00000000-0002-0000-5000-000009000000}">
          <x14:formula1>
            <xm:f>'SD3'!$C$90:$C$104</xm:f>
          </x14:formula1>
          <xm:sqref>C62:E64</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Tabelle96">
    <tabColor theme="6" tint="-0.249977111117893"/>
    <pageSetUpPr fitToPage="1"/>
  </sheetPr>
  <dimension ref="A1:AO206"/>
  <sheetViews>
    <sheetView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38.59765625" style="28" hidden="1" customWidth="1"/>
    <col min="18" max="27" width="0" style="27" hidden="1" customWidth="1"/>
    <col min="28" max="16384" width="10.5" style="27"/>
  </cols>
  <sheetData>
    <row r="1" spans="1:41" s="219" customFormat="1" ht="30.15" customHeight="1">
      <c r="A1" s="1681"/>
      <c r="B1" s="258"/>
      <c r="C1" s="1333"/>
      <c r="D1" s="100"/>
      <c r="E1" s="255"/>
      <c r="F1" s="255"/>
      <c r="G1" s="3207"/>
      <c r="H1" s="3207"/>
      <c r="I1" s="3208" t="s">
        <v>1679</v>
      </c>
      <c r="J1" s="3210">
        <f>(J7+J13+J18+J22+I11+I12)-(J23+J27+J34+J43+J60+J65+J67+J69+J71+J75)</f>
        <v>-162.96891041666663</v>
      </c>
      <c r="K1" s="4360">
        <f>M1-J1</f>
        <v>0</v>
      </c>
      <c r="L1" s="4360"/>
      <c r="M1" s="3210">
        <f>(M7+M13+M18+M22+L11+L12)-(M23+M27+M34+M43+M60+M65+M67+M69+M71+M75)</f>
        <v>-162.96891041666663</v>
      </c>
      <c r="N1" s="4360">
        <f>P1-M1</f>
        <v>0</v>
      </c>
      <c r="O1" s="4360"/>
      <c r="P1" s="3210">
        <f>(P7+P13+P18+P22+O11+O12)-(P23+P27+P34+P43+P60+P65+P67+P69+P71+P75)</f>
        <v>-162.96891041666663</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1155</v>
      </c>
      <c r="L2" s="4372"/>
      <c r="M2" s="4372"/>
      <c r="N2" s="4372"/>
      <c r="O2" s="4372"/>
      <c r="P2" s="4372"/>
      <c r="Q2" s="1681"/>
    </row>
    <row r="3" spans="1:41" s="219" customFormat="1" ht="32.4" customHeight="1">
      <c r="A3" s="1681"/>
      <c r="B3" s="4405" t="s">
        <v>1727</v>
      </c>
      <c r="C3" s="4405"/>
      <c r="D3" s="4405"/>
      <c r="E3" s="4405"/>
      <c r="F3" s="4405"/>
      <c r="G3" s="4405"/>
      <c r="H3" s="4405"/>
      <c r="J3" s="29"/>
      <c r="K3" s="29"/>
      <c r="L3" s="29"/>
      <c r="M3" s="29"/>
      <c r="N3" s="4444" t="str">
        <f>IF(AND(T3=TRUE,T4=TRUE),"nur 1 Strohnutzung möglich","")</f>
        <v/>
      </c>
      <c r="O3" s="4374"/>
      <c r="P3" s="1326"/>
      <c r="Q3" s="1681"/>
      <c r="T3" s="1343" t="b">
        <v>0</v>
      </c>
    </row>
    <row r="4" spans="1:41" s="219" customFormat="1" ht="20.25" customHeight="1">
      <c r="A4" s="1681"/>
      <c r="B4" s="309" t="s">
        <v>779</v>
      </c>
      <c r="C4" s="27"/>
      <c r="D4" s="27"/>
      <c r="E4" s="4475" t="s">
        <v>1154</v>
      </c>
      <c r="F4" s="4475"/>
      <c r="G4" s="4475"/>
      <c r="H4" s="4475"/>
      <c r="I4" s="4475"/>
      <c r="J4" s="29"/>
      <c r="K4" s="29"/>
      <c r="L4" s="29"/>
      <c r="M4" s="29"/>
      <c r="N4" s="4374"/>
      <c r="O4" s="4374"/>
      <c r="P4" s="1322">
        <f>SDÖ1!O3</f>
        <v>2024</v>
      </c>
      <c r="Q4" s="1681"/>
      <c r="T4" s="1343" t="b">
        <v>1</v>
      </c>
    </row>
    <row r="5" spans="1:41" ht="6" customHeight="1"/>
    <row r="6" spans="1:41" s="1311" customFormat="1" ht="24" customHeight="1">
      <c r="A6" s="41"/>
      <c r="B6" s="1316" t="s">
        <v>832</v>
      </c>
      <c r="C6" s="1315"/>
      <c r="D6" s="1315"/>
      <c r="E6" s="1315"/>
      <c r="F6" s="1315"/>
      <c r="G6" s="1314" t="s">
        <v>1141</v>
      </c>
      <c r="H6" s="4366" t="s">
        <v>171</v>
      </c>
      <c r="I6" s="4367"/>
      <c r="J6" s="1313">
        <v>1</v>
      </c>
      <c r="K6" s="4379" t="s">
        <v>144</v>
      </c>
      <c r="L6" s="4380"/>
      <c r="M6" s="1313">
        <v>1</v>
      </c>
      <c r="N6" s="4366" t="s">
        <v>170</v>
      </c>
      <c r="O6" s="4367"/>
      <c r="P6" s="1312">
        <v>1</v>
      </c>
      <c r="Q6" s="49"/>
    </row>
    <row r="7" spans="1:41" s="196" customFormat="1" ht="18.75" customHeight="1">
      <c r="A7" s="40"/>
      <c r="B7" s="245" t="s">
        <v>1133</v>
      </c>
      <c r="C7" s="40"/>
      <c r="D7" s="40"/>
      <c r="E7" s="40"/>
      <c r="F7" s="40"/>
      <c r="G7" s="1310" t="s">
        <v>163</v>
      </c>
      <c r="H7" s="1307"/>
      <c r="I7" s="1306"/>
      <c r="J7" s="1041">
        <f>SUM(I9:I10)</f>
        <v>0</v>
      </c>
      <c r="K7" s="1309"/>
      <c r="L7" s="1308"/>
      <c r="M7" s="1044">
        <f>SUM(L9:L10)</f>
        <v>0</v>
      </c>
      <c r="N7" s="1307"/>
      <c r="O7" s="1306"/>
      <c r="P7" s="1041">
        <f>SUM(O9:O10)</f>
        <v>0</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t="s">
        <v>882</v>
      </c>
      <c r="G9" s="1221"/>
      <c r="H9" s="1303">
        <f>J6-H10</f>
        <v>1</v>
      </c>
      <c r="I9" s="1299">
        <f>H9*G9</f>
        <v>0</v>
      </c>
      <c r="J9" s="37"/>
      <c r="K9" s="1302">
        <f>M6-K10</f>
        <v>1</v>
      </c>
      <c r="L9" s="1301">
        <f>K9*G9</f>
        <v>0</v>
      </c>
      <c r="M9" s="1280"/>
      <c r="N9" s="1300">
        <f>P6-N10</f>
        <v>1</v>
      </c>
      <c r="O9" s="1299">
        <f>N9*G9</f>
        <v>0</v>
      </c>
      <c r="P9" s="37"/>
      <c r="Q9" s="28"/>
      <c r="R9" s="517"/>
      <c r="S9" s="208" t="s">
        <v>887</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customHeight="1">
      <c r="A11" s="309"/>
      <c r="B11" s="217"/>
      <c r="C11" s="39" t="s">
        <v>878</v>
      </c>
      <c r="D11" s="309"/>
      <c r="E11" s="1286">
        <v>0</v>
      </c>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37"/>
      <c r="Q11" s="34"/>
      <c r="W11" s="1268" t="s">
        <v>876</v>
      </c>
    </row>
    <row r="12" spans="1:41" s="1268" customFormat="1" ht="15" customHeight="1">
      <c r="A12" s="309"/>
      <c r="B12" s="185"/>
      <c r="C12" s="223" t="s">
        <v>875</v>
      </c>
      <c r="D12" s="1277"/>
      <c r="E12" s="1276"/>
      <c r="F12" s="223" t="s">
        <v>874</v>
      </c>
      <c r="G12" s="1275"/>
      <c r="H12" s="1274"/>
      <c r="I12" s="1269"/>
      <c r="J12" s="1273"/>
      <c r="K12" s="1270"/>
      <c r="L12" s="1272"/>
      <c r="M12" s="1271">
        <f>IF(AND(L12&gt;0,T4=FALSE),"keine Angabe bei M4 ?",0)</f>
        <v>0</v>
      </c>
      <c r="N12" s="1270"/>
      <c r="O12" s="1269"/>
      <c r="P12" s="37"/>
      <c r="Q12" s="34"/>
      <c r="U12" s="196"/>
      <c r="V12" s="196"/>
      <c r="W12" s="1266" t="s">
        <v>872</v>
      </c>
      <c r="X12" s="1264">
        <f>IF(OR(T3=TRUE,T4=TRUE),J6*$E$11,"0")</f>
        <v>0</v>
      </c>
      <c r="Y12" s="1265">
        <f>IF(OR(T3=TRUE,T4=TRUE),M6*$E$11,"0")</f>
        <v>0</v>
      </c>
      <c r="Z12" s="1264">
        <f>IF(OR(T3=TRUE,T4=TRUE),P6*$E$11,"0")</f>
        <v>0</v>
      </c>
    </row>
    <row r="13" spans="1:41" s="196" customFormat="1" ht="18.75" customHeight="1">
      <c r="A13" s="40"/>
      <c r="B13" s="209" t="s">
        <v>1130</v>
      </c>
      <c r="C13" s="40"/>
      <c r="D13" s="40"/>
      <c r="E13" s="40"/>
      <c r="F13" s="40"/>
      <c r="G13" s="1267" t="s">
        <v>163</v>
      </c>
      <c r="H13" s="1250"/>
      <c r="I13" s="1249"/>
      <c r="J13" s="1041">
        <f>SUM(I14:I17)</f>
        <v>0</v>
      </c>
      <c r="K13" s="1252"/>
      <c r="L13" s="1251"/>
      <c r="M13" s="1044">
        <f>SUM(L14:L16)</f>
        <v>0</v>
      </c>
      <c r="N13" s="1250"/>
      <c r="O13" s="1249"/>
      <c r="P13" s="1041">
        <f>SUM(O14:O16)</f>
        <v>0</v>
      </c>
      <c r="Q13" s="28"/>
      <c r="R13" s="100"/>
      <c r="U13" s="36"/>
      <c r="V13" s="36"/>
      <c r="X13" s="1264">
        <f>IF(OR(T4=TRUE,T5=TRUE),J7*$E$11,"0")</f>
        <v>0</v>
      </c>
      <c r="Y13" s="1265">
        <f>IF(OR(T4=TRUE,T5=TRUE),M7*$E$11,"0")</f>
        <v>0</v>
      </c>
      <c r="Z13" s="1264">
        <f>IF(OR(T4=TRUE,T5=TRUE),P7*$E$11,"0")</f>
        <v>0</v>
      </c>
    </row>
    <row r="14" spans="1:41" s="36" customFormat="1" ht="15" customHeight="1">
      <c r="A14" s="39"/>
      <c r="B14" s="1247"/>
      <c r="C14" s="4365" t="s">
        <v>1511</v>
      </c>
      <c r="D14" s="4365"/>
      <c r="E14" s="4365"/>
      <c r="F14" s="4365"/>
      <c r="G14" s="1263"/>
      <c r="H14" s="1391" t="s">
        <v>871</v>
      </c>
      <c r="I14" s="2827">
        <f>IF(H14="ja",Q14,0)</f>
        <v>0</v>
      </c>
      <c r="J14" s="39"/>
      <c r="K14" s="1262" t="s">
        <v>871</v>
      </c>
      <c r="L14" s="1098">
        <f>IF(K14="ja",Q14,0)</f>
        <v>0</v>
      </c>
      <c r="M14" s="1016"/>
      <c r="N14" s="1262" t="s">
        <v>871</v>
      </c>
      <c r="O14" s="2827">
        <f>IF(N14="ja",Q14,0)</f>
        <v>0</v>
      </c>
      <c r="P14" s="2826"/>
      <c r="Q14" s="1261">
        <f>IF(C14=0,0,VLOOKUP(C14,'SD2'!$C$11:$O$50,'SD2'!$O$1,FALSE))</f>
        <v>240</v>
      </c>
      <c r="R14" s="1350"/>
      <c r="S14" s="1349"/>
      <c r="T14" s="1348"/>
      <c r="W14" s="36" t="s">
        <v>236</v>
      </c>
      <c r="X14" s="1260">
        <f>$X$12*F31</f>
        <v>0</v>
      </c>
      <c r="Y14" s="1260">
        <f>$Y$12*F31</f>
        <v>0</v>
      </c>
      <c r="Z14" s="1260">
        <f>$Z$12*F31</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347"/>
      <c r="S15" s="1343"/>
      <c r="T15" s="1346"/>
      <c r="W15" s="36" t="s">
        <v>685</v>
      </c>
      <c r="X15" s="1260">
        <f>$X$12*F32</f>
        <v>0</v>
      </c>
      <c r="Y15" s="1260">
        <f>$Y$12*F32</f>
        <v>0</v>
      </c>
      <c r="Z15" s="1260">
        <f>$Z$12*F32</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347"/>
      <c r="S16" s="1343"/>
      <c r="T16" s="1346"/>
      <c r="W16" s="36" t="s">
        <v>684</v>
      </c>
      <c r="X16" s="1260">
        <f>$X$12*F33</f>
        <v>0</v>
      </c>
      <c r="Y16" s="1260">
        <f>$Y$12*F33</f>
        <v>0</v>
      </c>
      <c r="Z16" s="1260">
        <f>$Z$12*F33</f>
        <v>0</v>
      </c>
    </row>
    <row r="17" spans="1:26" s="511" customFormat="1" ht="15" customHeight="1">
      <c r="A17" s="40"/>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W17" s="36" t="s">
        <v>230</v>
      </c>
      <c r="X17" s="1260">
        <f>$X$12*F34</f>
        <v>0</v>
      </c>
      <c r="Y17" s="1260">
        <f>$Y$12*F34</f>
        <v>0</v>
      </c>
      <c r="Z17" s="1260">
        <f>$Z$12*F34</f>
        <v>0</v>
      </c>
    </row>
    <row r="18" spans="1:26" s="36" customFormat="1" ht="18.75" customHeight="1">
      <c r="A18" s="39"/>
      <c r="B18" s="209" t="s">
        <v>1563</v>
      </c>
      <c r="C18" s="1672"/>
      <c r="D18" s="1672"/>
      <c r="E18" s="1672"/>
      <c r="F18" s="1672"/>
      <c r="G18" s="2464"/>
      <c r="H18" s="2249"/>
      <c r="I18" s="3474"/>
      <c r="J18" s="1041">
        <f>SUM(I19:I21)</f>
        <v>177</v>
      </c>
      <c r="K18" s="2250"/>
      <c r="L18" s="2466"/>
      <c r="M18" s="1044">
        <f>SUM(L19:L21)</f>
        <v>177</v>
      </c>
      <c r="N18" s="2249"/>
      <c r="O18" s="3474"/>
      <c r="P18" s="1111">
        <f>SUM(O19:O21)</f>
        <v>177</v>
      </c>
      <c r="Q18" s="28"/>
      <c r="R18" s="514" t="s">
        <v>870</v>
      </c>
      <c r="S18" s="308"/>
      <c r="T18" s="1248"/>
    </row>
    <row r="19" spans="1:26" ht="15.6" customHeight="1">
      <c r="A19" s="309"/>
      <c r="B19" s="1247"/>
      <c r="C19" s="4365" t="s">
        <v>1560</v>
      </c>
      <c r="D19" s="4365"/>
      <c r="E19" s="4365"/>
      <c r="F19" s="4365"/>
      <c r="G19" s="1246" t="s">
        <v>163</v>
      </c>
      <c r="H19" s="1244"/>
      <c r="I19" s="2827">
        <f>IF(OR($C19=0,$J$6=0),0,VLOOKUP($C19,'SD2'!C60:O78,12,FALSE))</f>
        <v>155</v>
      </c>
      <c r="J19" s="39"/>
      <c r="K19" s="1245"/>
      <c r="L19" s="1098">
        <f>IF(OR($C19=0,$M$6=0),0,VLOOKUP($C19,'SD2'!$C$60:$N$77,12,FALSE))</f>
        <v>155</v>
      </c>
      <c r="M19" s="1016"/>
      <c r="N19" s="1244"/>
      <c r="O19" s="2827">
        <f>IF(OR($C19=0,$P$6=0),0,VLOOKUP($C19,'SD2'!C60:O78,12,FALSE))</f>
        <v>155</v>
      </c>
      <c r="P19" s="2826"/>
      <c r="R19" s="1242">
        <f>J13+J18</f>
        <v>177</v>
      </c>
      <c r="S19" s="1242">
        <f>M13+M18</f>
        <v>177</v>
      </c>
      <c r="T19" s="1242">
        <f>P13+P18</f>
        <v>177</v>
      </c>
    </row>
    <row r="20" spans="1:26" s="2894" customFormat="1" ht="15.6" customHeight="1">
      <c r="A20" s="2788"/>
      <c r="B20" s="1247"/>
      <c r="C20" s="4365" t="s">
        <v>1675</v>
      </c>
      <c r="D20" s="4365"/>
      <c r="E20" s="4365"/>
      <c r="F20" s="4365"/>
      <c r="G20" s="1246"/>
      <c r="H20" s="1244"/>
      <c r="I20" s="2827">
        <f>IF(OR($C20=0,$J$6=0),0,VLOOKUP($C20,'SD2'!C61:O79,12,FALSE))</f>
        <v>22</v>
      </c>
      <c r="J20" s="2783"/>
      <c r="K20" s="1245"/>
      <c r="L20" s="2829">
        <f>IF(OR($C20=0,$M$6=0),0,VLOOKUP($C20,'SD2'!$C$60:$N$77,12,FALSE))</f>
        <v>22</v>
      </c>
      <c r="M20" s="2795"/>
      <c r="N20" s="1244"/>
      <c r="O20" s="2827">
        <f>IF(OR($C20=0,$P$6=0),0,VLOOKUP($C20,'SD2'!C61:O79,12,FALSE))</f>
        <v>22</v>
      </c>
      <c r="P20" s="2826"/>
      <c r="Q20" s="2895"/>
      <c r="R20" s="2888"/>
      <c r="S20" s="2888"/>
      <c r="T20" s="2888"/>
    </row>
    <row r="21" spans="1:26" s="2894" customFormat="1" ht="15.6" customHeight="1">
      <c r="A21" s="2788"/>
      <c r="B21" s="1247"/>
      <c r="C21" s="4365"/>
      <c r="D21" s="4365"/>
      <c r="E21" s="4365"/>
      <c r="F21" s="4365"/>
      <c r="G21" s="2914"/>
      <c r="H21" s="1244"/>
      <c r="I21" s="2827">
        <f>IF(OR($C21=0,$J$6=0),0,VLOOKUP($C21,'SD2'!C62:O80,12,FALSE))</f>
        <v>0</v>
      </c>
      <c r="J21" s="2783"/>
      <c r="K21" s="1245"/>
      <c r="L21" s="2829">
        <f>IF(OR($C21=0,$M$6=0),0,VLOOKUP($C21,'SD2'!$C$60:$N$77,12,FALSE))</f>
        <v>0</v>
      </c>
      <c r="M21" s="2795"/>
      <c r="N21" s="1244"/>
      <c r="O21" s="2827">
        <f>IF(OR($C21=0,$P$6=0),0,VLOOKUP($C21,'SD2'!C62:O79,12,FALSE))</f>
        <v>0</v>
      </c>
      <c r="P21" s="2826"/>
      <c r="Q21" s="2895"/>
      <c r="R21" s="2888"/>
      <c r="S21" s="2888"/>
      <c r="T21" s="2888"/>
    </row>
    <row r="22" spans="1:26" ht="15.6" customHeight="1">
      <c r="A22" s="309"/>
      <c r="B22" s="245" t="s">
        <v>869</v>
      </c>
      <c r="C22" s="39"/>
      <c r="D22" s="1234"/>
      <c r="E22" s="4370" t="s">
        <v>868</v>
      </c>
      <c r="F22" s="4370"/>
      <c r="G22" s="4371"/>
      <c r="H22" s="1231"/>
      <c r="I22" s="1230"/>
      <c r="J22" s="1229"/>
      <c r="K22" s="1233"/>
      <c r="L22" s="1232"/>
      <c r="M22" s="1229"/>
      <c r="N22" s="1231"/>
      <c r="O22" s="1230"/>
      <c r="P22" s="1229"/>
    </row>
    <row r="23" spans="1:26" s="36" customFormat="1" ht="18.75" customHeight="1">
      <c r="A23" s="746"/>
      <c r="B23" s="209" t="s">
        <v>214</v>
      </c>
      <c r="C23" s="1228"/>
      <c r="D23" s="1228"/>
      <c r="E23" s="34"/>
      <c r="F23" s="4381"/>
      <c r="G23" s="4382" t="s">
        <v>163</v>
      </c>
      <c r="H23" s="1043"/>
      <c r="I23" s="1042"/>
      <c r="J23" s="1026">
        <f>SUM(I25:I26)</f>
        <v>183</v>
      </c>
      <c r="K23" s="1046"/>
      <c r="L23" s="1045"/>
      <c r="M23" s="1227">
        <f>SUM(L25:L26)</f>
        <v>183</v>
      </c>
      <c r="N23" s="1043"/>
      <c r="O23" s="1042"/>
      <c r="P23" s="1026">
        <f>SUM(O25:O26)</f>
        <v>183</v>
      </c>
      <c r="Q23" s="28"/>
    </row>
    <row r="24" spans="1:26"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26" s="511" customFormat="1" ht="18.75" customHeight="1">
      <c r="A25" s="711"/>
      <c r="B25" s="1223"/>
      <c r="C25" s="746" t="s">
        <v>866</v>
      </c>
      <c r="D25" s="4383"/>
      <c r="E25" s="4384"/>
      <c r="F25" s="1222"/>
      <c r="G25" s="1221">
        <f>F25*(100+$D$24)/100</f>
        <v>0</v>
      </c>
      <c r="H25" s="1220"/>
      <c r="I25" s="1181">
        <f>H25*$G25</f>
        <v>0</v>
      </c>
      <c r="J25" s="39"/>
      <c r="K25" s="1220">
        <f>H25</f>
        <v>0</v>
      </c>
      <c r="L25" s="1023">
        <f>K25*$G25</f>
        <v>0</v>
      </c>
      <c r="M25" s="1016"/>
      <c r="N25" s="1220">
        <f>H25</f>
        <v>0</v>
      </c>
      <c r="O25" s="1181">
        <f>N25*$G25</f>
        <v>0</v>
      </c>
      <c r="P25" s="1145"/>
      <c r="Q25" s="28"/>
    </row>
    <row r="26" spans="1:26" s="511" customFormat="1" ht="13.95" customHeight="1">
      <c r="A26" s="711"/>
      <c r="B26" s="772"/>
      <c r="C26" s="1219" t="s">
        <v>183</v>
      </c>
      <c r="D26" s="4436" t="s">
        <v>629</v>
      </c>
      <c r="E26" s="4386"/>
      <c r="F26" s="1218">
        <f>SDÖ7!F31/100</f>
        <v>3.66</v>
      </c>
      <c r="G26" s="1217">
        <f>F26*(100+$D$24)/100</f>
        <v>3.66</v>
      </c>
      <c r="H26" s="1216">
        <v>50</v>
      </c>
      <c r="I26" s="1177">
        <f>H26*$G26</f>
        <v>183</v>
      </c>
      <c r="J26" s="39"/>
      <c r="K26" s="1216">
        <f>H26</f>
        <v>50</v>
      </c>
      <c r="L26" s="1017">
        <f>K26*$G26</f>
        <v>183</v>
      </c>
      <c r="M26" s="1016"/>
      <c r="N26" s="1216">
        <f>H26</f>
        <v>50</v>
      </c>
      <c r="O26" s="1177">
        <f>N26*$G26</f>
        <v>183</v>
      </c>
      <c r="P26" s="1176"/>
      <c r="Q26" s="28"/>
    </row>
    <row r="27" spans="1:26" s="511" customFormat="1" ht="17.399999999999999" customHeight="1">
      <c r="A27" s="711"/>
      <c r="B27" s="1215" t="s">
        <v>213</v>
      </c>
      <c r="C27" s="711"/>
      <c r="D27" s="51"/>
      <c r="E27" s="34"/>
      <c r="F27" s="34"/>
      <c r="G27" s="1214" t="s">
        <v>163</v>
      </c>
      <c r="H27" s="1173"/>
      <c r="I27" s="1172"/>
      <c r="J27" s="1041">
        <f>SUM(I30:I32)</f>
        <v>101.78699999999999</v>
      </c>
      <c r="K27" s="1175"/>
      <c r="L27" s="1174"/>
      <c r="M27" s="1044">
        <f>SUM(L30:L32)</f>
        <v>101.78699999999999</v>
      </c>
      <c r="N27" s="1173"/>
      <c r="O27" s="1172"/>
      <c r="P27" s="1041">
        <f>SUM(O30:O32)</f>
        <v>101.78699999999999</v>
      </c>
      <c r="Q27" s="28"/>
    </row>
    <row r="28" spans="1:26" s="36" customFormat="1" ht="15" customHeight="1">
      <c r="A28" s="746"/>
      <c r="B28" s="774"/>
      <c r="C28" s="2373"/>
      <c r="D28" s="1213" t="s">
        <v>706</v>
      </c>
      <c r="E28" s="1213" t="s">
        <v>864</v>
      </c>
      <c r="F28" s="1213" t="s">
        <v>864</v>
      </c>
      <c r="G28" s="1212" t="s">
        <v>863</v>
      </c>
      <c r="H28" s="1172"/>
      <c r="I28" s="1209"/>
      <c r="J28" s="2374"/>
      <c r="K28" s="1175"/>
      <c r="L28" s="1105"/>
      <c r="M28" s="1210"/>
      <c r="N28" s="1173"/>
      <c r="O28" s="1209"/>
      <c r="P28" s="1026"/>
      <c r="Q28" s="28"/>
    </row>
    <row r="29" spans="1:26" s="36" customFormat="1" ht="15" customHeight="1">
      <c r="A29" s="746"/>
      <c r="B29" s="1208"/>
      <c r="C29" s="747" t="s">
        <v>862</v>
      </c>
      <c r="D29" s="1034" t="s">
        <v>611</v>
      </c>
      <c r="E29" s="1034" t="s">
        <v>861</v>
      </c>
      <c r="F29" s="1034" t="s">
        <v>860</v>
      </c>
      <c r="G29" s="1034" t="s">
        <v>1128</v>
      </c>
      <c r="H29" s="1205" t="s">
        <v>612</v>
      </c>
      <c r="I29" s="1027" t="s">
        <v>163</v>
      </c>
      <c r="J29" s="2373"/>
      <c r="K29" s="1207" t="s">
        <v>612</v>
      </c>
      <c r="L29" s="1030" t="s">
        <v>163</v>
      </c>
      <c r="M29" s="1206"/>
      <c r="N29" s="1205" t="s">
        <v>612</v>
      </c>
      <c r="O29" s="1027" t="s">
        <v>163</v>
      </c>
      <c r="P29" s="1204"/>
      <c r="Q29" s="28"/>
    </row>
    <row r="30" spans="1:26" s="36" customFormat="1" ht="15" customHeight="1">
      <c r="A30" s="746"/>
      <c r="B30" s="1203"/>
      <c r="C30" s="1202" t="s">
        <v>236</v>
      </c>
      <c r="D30" s="1150">
        <f>SDÖ1!O56</f>
        <v>5.18</v>
      </c>
      <c r="E30" s="1201">
        <v>-0.35</v>
      </c>
      <c r="F30" s="1201"/>
      <c r="G30" s="1200">
        <v>20</v>
      </c>
      <c r="H30" s="1198">
        <f>IF(J$6=0,0,(J$6*$E30+$G30+X13))</f>
        <v>19.649999999999999</v>
      </c>
      <c r="I30" s="1181">
        <f>H30*$D30</f>
        <v>101.78699999999999</v>
      </c>
      <c r="J30" s="39"/>
      <c r="K30" s="1199">
        <f>IF(M$6=0,0,(M$6*$E30+$G30+AA14))</f>
        <v>19.649999999999999</v>
      </c>
      <c r="L30" s="1023">
        <f>K30*$D30</f>
        <v>101.78699999999999</v>
      </c>
      <c r="M30" s="1016"/>
      <c r="N30" s="1198">
        <f>IF(P$6=0,0,(P$6*$E30+$G30+AD14))</f>
        <v>19.649999999999999</v>
      </c>
      <c r="O30" s="1181">
        <f>N30*$D30</f>
        <v>101.78699999999999</v>
      </c>
      <c r="P30" s="1145"/>
      <c r="Q30" s="28"/>
    </row>
    <row r="31" spans="1:26" s="36" customFormat="1" ht="15" customHeight="1">
      <c r="A31" s="746"/>
      <c r="B31" s="217"/>
      <c r="C31" s="746" t="s">
        <v>234</v>
      </c>
      <c r="D31" s="1150">
        <f>SDÖ1!O57</f>
        <v>1.42</v>
      </c>
      <c r="E31" s="1201"/>
      <c r="F31" s="1201"/>
      <c r="G31" s="1200"/>
      <c r="H31" s="1198">
        <f>IF(J$6=0,0,(J$6*$E31+$G31+X14))</f>
        <v>0</v>
      </c>
      <c r="I31" s="1181">
        <f>H31*$D31</f>
        <v>0</v>
      </c>
      <c r="J31" s="39"/>
      <c r="K31" s="1199">
        <f>IF(M$6=0,0,(M$6*$E31+$G31+Y14))</f>
        <v>0</v>
      </c>
      <c r="L31" s="1023">
        <f>K31*$D31</f>
        <v>0</v>
      </c>
      <c r="M31" s="1016"/>
      <c r="N31" s="1198">
        <f>IF(P$6=0,0,(P$6*$E31+$G31+Z14))</f>
        <v>0</v>
      </c>
      <c r="O31" s="1181">
        <f>N31*$D31</f>
        <v>0</v>
      </c>
      <c r="P31" s="1145"/>
      <c r="Q31" s="28"/>
    </row>
    <row r="32" spans="1:26" s="511" customFormat="1" ht="18.75" customHeight="1">
      <c r="A32" s="711"/>
      <c r="B32" s="185"/>
      <c r="C32" s="2791" t="s">
        <v>232</v>
      </c>
      <c r="D32" s="1133">
        <f>SDÖ1!O58</f>
        <v>1.78</v>
      </c>
      <c r="E32" s="1197"/>
      <c r="F32" s="1197"/>
      <c r="G32" s="1196"/>
      <c r="H32" s="1194">
        <f>IF(J$6=0,0,(J$6*$E32+$G32+X15))</f>
        <v>0</v>
      </c>
      <c r="I32" s="1177">
        <f>H32*$D32</f>
        <v>0</v>
      </c>
      <c r="J32" s="223"/>
      <c r="K32" s="1195">
        <f>IF(M$6=0,0,(M$6*$E32+$G32+Y15))</f>
        <v>0</v>
      </c>
      <c r="L32" s="1017">
        <f>K32*$D32</f>
        <v>0</v>
      </c>
      <c r="M32" s="1256"/>
      <c r="N32" s="1194">
        <f>IF(P$6=0,0,(P$6*$E32+$G32+Z15))</f>
        <v>0</v>
      </c>
      <c r="O32" s="1177">
        <f>N32*$D32</f>
        <v>0</v>
      </c>
      <c r="P32" s="1176"/>
      <c r="Q32" s="28"/>
    </row>
    <row r="33" spans="1:17" s="511" customFormat="1" ht="13.2" hidden="1" customHeight="1">
      <c r="A33" s="711"/>
      <c r="B33" s="185"/>
      <c r="C33" s="771" t="s">
        <v>230</v>
      </c>
      <c r="D33" s="1133">
        <f>SDÖ1!P59</f>
        <v>0.5</v>
      </c>
      <c r="E33" s="1197"/>
      <c r="F33" s="1197"/>
      <c r="G33" s="1196"/>
      <c r="H33" s="1194">
        <f>IF(J$6=0,0,(J$6*$E33+$G33+X16))</f>
        <v>0</v>
      </c>
      <c r="I33" s="1177">
        <f>H33*$D33</f>
        <v>0</v>
      </c>
      <c r="J33" s="39"/>
      <c r="K33" s="1195">
        <f>IF(M$6=0,0,(M$6*$E33+$G33+Y16))</f>
        <v>0</v>
      </c>
      <c r="L33" s="1017">
        <f>K33*$D33</f>
        <v>0</v>
      </c>
      <c r="M33" s="1016"/>
      <c r="N33" s="1194">
        <f>IF(P$6=0,0,(P$6*$E33+$G33+Z16))</f>
        <v>0</v>
      </c>
      <c r="O33" s="1177">
        <f>N33*$D33</f>
        <v>0</v>
      </c>
      <c r="P33" s="1176"/>
      <c r="Q33" s="28"/>
    </row>
    <row r="34" spans="1:17" s="36" customFormat="1" ht="15" customHeight="1">
      <c r="A34" s="746"/>
      <c r="B34" s="716" t="s">
        <v>1127</v>
      </c>
      <c r="C34" s="711"/>
      <c r="D34" s="2373"/>
      <c r="E34" s="2373"/>
      <c r="F34" s="4381"/>
      <c r="G34" s="4382" t="s">
        <v>163</v>
      </c>
      <c r="H34" s="1191"/>
      <c r="I34" s="1190"/>
      <c r="J34" s="1041">
        <f>SUM(I36:I42)</f>
        <v>0</v>
      </c>
      <c r="K34" s="1193"/>
      <c r="L34" s="1192"/>
      <c r="M34" s="1044">
        <f>SUM(L36:L42)</f>
        <v>0</v>
      </c>
      <c r="N34" s="1191"/>
      <c r="O34" s="1190"/>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1182"/>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52.372249999999994</v>
      </c>
      <c r="K43" s="1175"/>
      <c r="L43" s="1174"/>
      <c r="M43" s="1044">
        <f>SUM(M46:M57)</f>
        <v>52.372249999999994</v>
      </c>
      <c r="N43" s="1173"/>
      <c r="O43" s="1172"/>
      <c r="P43" s="1041">
        <f>SUM(P46:P57)</f>
        <v>52.372249999999994</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3"/>
      <c r="C46" s="4387" t="s">
        <v>354</v>
      </c>
      <c r="D46" s="4388"/>
      <c r="E46" s="1152">
        <f>IF($C46=0,0,VLOOKUP($C46,'SD3'!$C$24:$O$71,4,FALSE))</f>
        <v>120</v>
      </c>
      <c r="F46" s="1151">
        <f>IF($C46=0,0,VLOOKUP($C46,'SD3'!$C$24:$O$71,12,FALSE))</f>
        <v>0.71</v>
      </c>
      <c r="G46" s="1150">
        <f>IF($C46=0,0,VLOOKUP($C46,'SD3'!$C$24:$O$71,13,FALSE))</f>
        <v>30.659437999999998</v>
      </c>
      <c r="H46" s="1147">
        <v>1</v>
      </c>
      <c r="I46" s="1146">
        <f t="shared" ref="I46:I56" si="4">$F46*H46</f>
        <v>0.71</v>
      </c>
      <c r="J46" s="1145">
        <f t="shared" ref="J46:J56" si="5">H46*$G46</f>
        <v>30.659437999999998</v>
      </c>
      <c r="K46" s="1147">
        <v>1</v>
      </c>
      <c r="L46" s="1149">
        <f t="shared" ref="L46:L56" si="6">$F46*K46</f>
        <v>0.71</v>
      </c>
      <c r="M46" s="1148">
        <f t="shared" ref="M46:M56" si="7">K46*$G46</f>
        <v>30.659437999999998</v>
      </c>
      <c r="N46" s="1147">
        <v>1</v>
      </c>
      <c r="O46" s="1146">
        <f t="shared" ref="O46:O56" si="8">$F46*N46</f>
        <v>0.71</v>
      </c>
      <c r="P46" s="1145">
        <f t="shared" ref="P46:P56" si="9">N46*$G46</f>
        <v>30.659437999999998</v>
      </c>
      <c r="Q46" s="28"/>
    </row>
    <row r="47" spans="1:17" s="36" customFormat="1" ht="15" customHeight="1">
      <c r="A47" s="746"/>
      <c r="B47" s="1153"/>
      <c r="C47" s="4387" t="s">
        <v>359</v>
      </c>
      <c r="D47" s="4388"/>
      <c r="E47" s="1152">
        <f>IF($C47=0,0,VLOOKUP($C47,'SD3'!$C$24:$O$71,4,FALSE))</f>
        <v>120</v>
      </c>
      <c r="F47" s="1151">
        <f>IF($C47=0,0,VLOOKUP($C47,'SD3'!$C$24:$O$71,12,FALSE))</f>
        <v>0.54</v>
      </c>
      <c r="G47" s="1150">
        <f>IF($C47=0,0,VLOOKUP($C47,'SD3'!$C$24:$O$71,13,FALSE))</f>
        <v>21.712812</v>
      </c>
      <c r="H47" s="1147">
        <v>1</v>
      </c>
      <c r="I47" s="1146">
        <f t="shared" si="4"/>
        <v>0.54</v>
      </c>
      <c r="J47" s="1145">
        <f t="shared" si="5"/>
        <v>21.712812</v>
      </c>
      <c r="K47" s="1147">
        <v>1</v>
      </c>
      <c r="L47" s="1149">
        <f t="shared" si="6"/>
        <v>0.54</v>
      </c>
      <c r="M47" s="1148">
        <f t="shared" si="7"/>
        <v>21.712812</v>
      </c>
      <c r="N47" s="1147">
        <v>1</v>
      </c>
      <c r="O47" s="1146">
        <f t="shared" si="8"/>
        <v>0.54</v>
      </c>
      <c r="P47" s="1145">
        <f t="shared" si="9"/>
        <v>21.712812</v>
      </c>
      <c r="Q47" s="28"/>
    </row>
    <row r="48" spans="1:17" s="36" customFormat="1" ht="15" customHeight="1">
      <c r="A48" s="746"/>
      <c r="B48" s="1153"/>
      <c r="C48" s="4387"/>
      <c r="D48" s="4388"/>
      <c r="E48" s="1152">
        <f>IF($C48=0,0,VLOOKUP($C48,'SD3'!$C$24:$O$71,4,FALSE))</f>
        <v>0</v>
      </c>
      <c r="F48" s="1151">
        <f>IF($C48=0,0,VLOOKUP($C48,'SD3'!$C$24:$O$71,12,FALSE))</f>
        <v>0</v>
      </c>
      <c r="G48" s="1150">
        <f>IF($C48=0,0,VLOOKUP($C48,'SD3'!$C$24:$O$71,13,FALSE))</f>
        <v>0</v>
      </c>
      <c r="H48" s="1147"/>
      <c r="I48" s="1146">
        <f t="shared" si="4"/>
        <v>0</v>
      </c>
      <c r="J48" s="1145">
        <f t="shared" si="5"/>
        <v>0</v>
      </c>
      <c r="K48" s="1147"/>
      <c r="L48" s="1149">
        <f t="shared" si="6"/>
        <v>0</v>
      </c>
      <c r="M48" s="1148">
        <f t="shared" si="7"/>
        <v>0</v>
      </c>
      <c r="N48" s="1147"/>
      <c r="O48" s="1146">
        <f t="shared" si="8"/>
        <v>0</v>
      </c>
      <c r="P48" s="1145">
        <f t="shared" si="9"/>
        <v>0</v>
      </c>
      <c r="Q48" s="28"/>
    </row>
    <row r="49" spans="1:17" s="36" customFormat="1" ht="15" customHeight="1">
      <c r="A49" s="746"/>
      <c r="B49" s="1153"/>
      <c r="C49" s="4387"/>
      <c r="D49" s="4388"/>
      <c r="E49" s="1152">
        <f>IF($C49=0,0,VLOOKUP($C49,'SD3'!$C$24:$O$71,4,FALSE))</f>
        <v>0</v>
      </c>
      <c r="F49" s="1151">
        <f>IF($C49=0,0,VLOOKUP($C49,'SD3'!$C$24:$O$71,12,FALSE))</f>
        <v>0</v>
      </c>
      <c r="G49" s="1150">
        <f>IF($C49=0,0,VLOOKUP($C49,'SD3'!$C$24:$O$71,13,FALSE))</f>
        <v>0</v>
      </c>
      <c r="H49" s="1147"/>
      <c r="I49" s="1146">
        <f t="shared" si="4"/>
        <v>0</v>
      </c>
      <c r="J49" s="1145">
        <f t="shared" si="5"/>
        <v>0</v>
      </c>
      <c r="K49" s="1147"/>
      <c r="L49" s="1149">
        <f t="shared" si="6"/>
        <v>0</v>
      </c>
      <c r="M49" s="1148">
        <f t="shared" si="7"/>
        <v>0</v>
      </c>
      <c r="N49" s="1147"/>
      <c r="O49" s="1146">
        <f t="shared" si="8"/>
        <v>0</v>
      </c>
      <c r="P49" s="1145">
        <f t="shared" si="9"/>
        <v>0</v>
      </c>
      <c r="Q49" s="28"/>
    </row>
    <row r="50" spans="1:17" s="36" customFormat="1" ht="15" customHeight="1">
      <c r="A50" s="746"/>
      <c r="B50" s="1153"/>
      <c r="C50" s="4387"/>
      <c r="D50" s="4388"/>
      <c r="E50" s="1152">
        <f>IF($C50=0,0,VLOOKUP($C50,'SD3'!$C$24:$O$71,4,FALSE))</f>
        <v>0</v>
      </c>
      <c r="F50" s="1151">
        <f>IF($C50=0,0,VLOOKUP($C50,'SD3'!$C$24:$O$71,12,FALSE))</f>
        <v>0</v>
      </c>
      <c r="G50" s="1150">
        <f>IF($C50=0,0,VLOOKUP($C50,'SD3'!$C$24:$O$71,13,FALSE))</f>
        <v>0</v>
      </c>
      <c r="H50" s="1147"/>
      <c r="I50" s="1146">
        <f t="shared" si="4"/>
        <v>0</v>
      </c>
      <c r="J50" s="1145">
        <f t="shared" si="5"/>
        <v>0</v>
      </c>
      <c r="K50" s="1147"/>
      <c r="L50" s="1149">
        <f t="shared" si="6"/>
        <v>0</v>
      </c>
      <c r="M50" s="1148">
        <f t="shared" si="7"/>
        <v>0</v>
      </c>
      <c r="N50" s="1147"/>
      <c r="O50" s="1146">
        <f t="shared" si="8"/>
        <v>0</v>
      </c>
      <c r="P50" s="1145">
        <f t="shared" si="9"/>
        <v>0</v>
      </c>
      <c r="Q50" s="28"/>
    </row>
    <row r="51" spans="1:17" s="36" customFormat="1" ht="15" customHeight="1">
      <c r="A51" s="746"/>
      <c r="B51" s="1153"/>
      <c r="C51" s="4387"/>
      <c r="D51" s="4388"/>
      <c r="E51" s="1152">
        <f>IF($C51=0,0,VLOOKUP($C51,'SD3'!$C$24:$O$71,4,FALSE))</f>
        <v>0</v>
      </c>
      <c r="F51" s="1151">
        <f>IF($C51=0,0,VLOOKUP($C51,'SD3'!$C$24:$O$71,12,FALSE))</f>
        <v>0</v>
      </c>
      <c r="G51" s="1150">
        <f>IF($C51=0,0,VLOOKUP($C51,'SD3'!$C$24:$O$71,13,FALSE))</f>
        <v>0</v>
      </c>
      <c r="H51" s="1147"/>
      <c r="I51" s="1146">
        <f t="shared" si="4"/>
        <v>0</v>
      </c>
      <c r="J51" s="1145">
        <f t="shared" si="5"/>
        <v>0</v>
      </c>
      <c r="K51" s="1147"/>
      <c r="L51" s="1149">
        <f t="shared" si="6"/>
        <v>0</v>
      </c>
      <c r="M51" s="1148">
        <f t="shared" si="7"/>
        <v>0</v>
      </c>
      <c r="N51" s="1147"/>
      <c r="O51" s="1146">
        <f t="shared" si="8"/>
        <v>0</v>
      </c>
      <c r="P51" s="1145">
        <f t="shared" si="9"/>
        <v>0</v>
      </c>
      <c r="Q51" s="28"/>
    </row>
    <row r="52" spans="1:17" s="36" customFormat="1" ht="15" customHeight="1">
      <c r="A52" s="746"/>
      <c r="B52" s="1153"/>
      <c r="C52" s="4387"/>
      <c r="D52" s="4388"/>
      <c r="E52" s="1152">
        <f>IF($C52=0,0,VLOOKUP($C52,'SD3'!$C$24:$O$71,4,FALSE))</f>
        <v>0</v>
      </c>
      <c r="F52" s="1151">
        <f>IF($C52=0,0,VLOOKUP($C52,'SD3'!$C$24:$O$71,12,FALSE))</f>
        <v>0</v>
      </c>
      <c r="G52" s="1150">
        <f>IF($C52=0,0,VLOOKUP($C52,'SD3'!$C$24:$O$71,13,FALSE))</f>
        <v>0</v>
      </c>
      <c r="H52" s="1147"/>
      <c r="I52" s="1146">
        <f t="shared" si="4"/>
        <v>0</v>
      </c>
      <c r="J52" s="1145">
        <f t="shared" si="5"/>
        <v>0</v>
      </c>
      <c r="K52" s="1147"/>
      <c r="L52" s="1149">
        <f t="shared" si="6"/>
        <v>0</v>
      </c>
      <c r="M52" s="1148">
        <f t="shared" si="7"/>
        <v>0</v>
      </c>
      <c r="N52" s="1147"/>
      <c r="O52" s="1146">
        <f t="shared" si="8"/>
        <v>0</v>
      </c>
      <c r="P52" s="1145">
        <f t="shared" si="9"/>
        <v>0</v>
      </c>
      <c r="Q52" s="28"/>
    </row>
    <row r="53" spans="1:17" s="36" customFormat="1" ht="15" customHeight="1">
      <c r="A53" s="746"/>
      <c r="B53" s="1153"/>
      <c r="C53" s="4387"/>
      <c r="D53" s="4388"/>
      <c r="E53" s="1152">
        <f>IF($C53=0,0,VLOOKUP($C53,'SD3'!$C$24:$O$71,4,FALSE))</f>
        <v>0</v>
      </c>
      <c r="F53" s="1151">
        <f>IF($C53=0,0,VLOOKUP($C53,'SD3'!$C$24:$O$71,12,FALSE))</f>
        <v>0</v>
      </c>
      <c r="G53" s="1150">
        <f>IF($C53=0,0,VLOOKUP($C53,'SD3'!$C$24:$O$71,13,FALSE))</f>
        <v>0</v>
      </c>
      <c r="H53" s="1147"/>
      <c r="I53" s="1146">
        <f t="shared" si="4"/>
        <v>0</v>
      </c>
      <c r="J53" s="1145">
        <f t="shared" si="5"/>
        <v>0</v>
      </c>
      <c r="K53" s="1147"/>
      <c r="L53" s="1149">
        <f t="shared" si="6"/>
        <v>0</v>
      </c>
      <c r="M53" s="1148">
        <f t="shared" si="7"/>
        <v>0</v>
      </c>
      <c r="N53" s="1147"/>
      <c r="O53" s="1146">
        <f t="shared" si="8"/>
        <v>0</v>
      </c>
      <c r="P53" s="1145">
        <f t="shared" si="9"/>
        <v>0</v>
      </c>
      <c r="Q53" s="28"/>
    </row>
    <row r="54" spans="1:17" s="36" customFormat="1" ht="15" customHeight="1">
      <c r="A54" s="746"/>
      <c r="B54" s="1153"/>
      <c r="C54" s="4387"/>
      <c r="D54" s="4388"/>
      <c r="E54" s="1152">
        <f>IF($C54=0,0,VLOOKUP($C54,'SD3'!$C$24:$O$71,4,FALSE))</f>
        <v>0</v>
      </c>
      <c r="F54" s="1151">
        <f>IF($C54=0,0,VLOOKUP($C54,'SD3'!$C$24:$O$71,12,FALSE))</f>
        <v>0</v>
      </c>
      <c r="G54" s="1150">
        <f>IF($C54=0,0,VLOOKUP($C54,'SD3'!$C$24:$O$71,13,FALSE))</f>
        <v>0</v>
      </c>
      <c r="H54" s="1147"/>
      <c r="I54" s="1146">
        <f t="shared" si="4"/>
        <v>0</v>
      </c>
      <c r="J54" s="1145">
        <f t="shared" si="5"/>
        <v>0</v>
      </c>
      <c r="K54" s="1147"/>
      <c r="L54" s="1149">
        <f t="shared" si="6"/>
        <v>0</v>
      </c>
      <c r="M54" s="1148">
        <f t="shared" si="7"/>
        <v>0</v>
      </c>
      <c r="N54" s="1147"/>
      <c r="O54" s="1146">
        <f t="shared" si="8"/>
        <v>0</v>
      </c>
      <c r="P54" s="1145">
        <f t="shared" si="9"/>
        <v>0</v>
      </c>
      <c r="Q54" s="28"/>
    </row>
    <row r="55" spans="1:17" s="36" customFormat="1" ht="15" customHeight="1">
      <c r="A55" s="746"/>
      <c r="B55" s="1153"/>
      <c r="C55" s="4445"/>
      <c r="D55" s="4446"/>
      <c r="E55" s="1152">
        <f>IF($C55=0,0,VLOOKUP($C55,'SD3'!$C$24:$O$71,4,FALSE))</f>
        <v>0</v>
      </c>
      <c r="F55" s="1151">
        <f>IF($C55=0,0,VLOOKUP($C55,'SD3'!$C$24:$O$71,12,FALSE))</f>
        <v>0</v>
      </c>
      <c r="G55" s="1150">
        <f>IF($C55=0,0,VLOOKUP($C55,'SD3'!$C$24:$O$71,13,FALSE))</f>
        <v>0</v>
      </c>
      <c r="H55" s="1147"/>
      <c r="I55" s="1146">
        <f t="shared" si="4"/>
        <v>0</v>
      </c>
      <c r="J55" s="1145">
        <f t="shared" si="5"/>
        <v>0</v>
      </c>
      <c r="K55" s="1147"/>
      <c r="L55" s="1149">
        <f t="shared" si="6"/>
        <v>0</v>
      </c>
      <c r="M55" s="1148">
        <f t="shared" si="7"/>
        <v>0</v>
      </c>
      <c r="N55" s="1147"/>
      <c r="O55" s="1146">
        <f t="shared" si="8"/>
        <v>0</v>
      </c>
      <c r="P55" s="1145">
        <f t="shared" si="9"/>
        <v>0</v>
      </c>
      <c r="Q55" s="28"/>
    </row>
    <row r="56" spans="1:17" s="36" customFormat="1" ht="24.75" customHeight="1">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8"/>
    </row>
    <row r="57" spans="1:17" s="36" customFormat="1" ht="24.75" customHeight="1">
      <c r="A57" s="746"/>
      <c r="B57" s="1084"/>
      <c r="C57" s="4401"/>
      <c r="D57" s="4402"/>
      <c r="E57" s="2589">
        <f>IF($C57=0,0,VLOOKUP($C57,'SD3'!$C$24:$O$71,4,FALSE))</f>
        <v>0</v>
      </c>
      <c r="F57" s="2590">
        <f>IF($C57=0,0,VLOOKUP($C57,'SD3'!$C$24:$O$71,12,FALSE))</f>
        <v>0</v>
      </c>
      <c r="G57" s="2591">
        <f>IF($C57=0,0,VLOOKUP($C57,'SD3'!$C$24:$O$71,13,FALSE))</f>
        <v>0</v>
      </c>
      <c r="H57" s="1131"/>
      <c r="I57" s="1130">
        <f>SUM(I44:I56)</f>
        <v>1.25</v>
      </c>
      <c r="J57" s="1129"/>
      <c r="K57" s="1131"/>
      <c r="L57" s="1132">
        <f>SUM(L44:L56)</f>
        <v>1.25</v>
      </c>
      <c r="M57" s="1079"/>
      <c r="N57" s="1131"/>
      <c r="O57" s="1130">
        <f>SUM(O44:O56)</f>
        <v>1.25</v>
      </c>
      <c r="P57" s="1129"/>
      <c r="Q57" s="28"/>
    </row>
    <row r="58" spans="1:17" s="511" customFormat="1" ht="18.75" customHeight="1">
      <c r="A58" s="711"/>
      <c r="B58" s="716" t="s">
        <v>848</v>
      </c>
      <c r="C58" s="811"/>
      <c r="D58" s="811"/>
      <c r="E58" s="811"/>
      <c r="F58" s="34"/>
      <c r="G58" s="1047"/>
      <c r="H58" s="1124"/>
      <c r="I58" s="1123">
        <f>SUM($I$46:$I$57)</f>
        <v>2.5</v>
      </c>
      <c r="J58" s="1128"/>
      <c r="K58" s="1127"/>
      <c r="L58" s="1126">
        <f>SUM($L$46:$L$57)</f>
        <v>2.5</v>
      </c>
      <c r="M58" s="1125"/>
      <c r="N58" s="1124"/>
      <c r="O58" s="1123">
        <f>SUM($O$46:$O$57)</f>
        <v>2.5</v>
      </c>
      <c r="P58" s="1122"/>
      <c r="Q58" s="28"/>
    </row>
    <row r="59" spans="1:17" s="511" customFormat="1" ht="15" customHeight="1">
      <c r="A59" s="711"/>
      <c r="B59" s="1121"/>
      <c r="C59" s="285"/>
      <c r="D59" s="222" t="s">
        <v>847</v>
      </c>
      <c r="E59" s="1120">
        <v>80</v>
      </c>
      <c r="F59" s="285" t="s">
        <v>846</v>
      </c>
      <c r="G59" s="1119"/>
      <c r="H59" s="1115"/>
      <c r="I59" s="1114">
        <f>IF(I58+SUM($I$46:$I$57)*$E$59%&gt;I58+10,I58+10,I58+SUM($I$46:$I$57)*$E$59%)</f>
        <v>4.5</v>
      </c>
      <c r="J59" s="1113"/>
      <c r="K59" s="1118"/>
      <c r="L59" s="1117">
        <f>IF(L58+SUM($L$46:$L$57)*$E$59%&gt;L58+10,L58+10,L58+SUM($L$46:$L$57)*$E$59%)</f>
        <v>4.5</v>
      </c>
      <c r="M59" s="1116"/>
      <c r="N59" s="1115"/>
      <c r="O59" s="1114">
        <f>IF(O58+SUM($O$46:$O$57)*$E$59%&gt;O58+10,O58+10,O58+SUM($O$46:$O$57)*$E$59%)</f>
        <v>4.5</v>
      </c>
      <c r="P59" s="1113"/>
      <c r="Q59" s="28"/>
    </row>
    <row r="60" spans="1:17" s="46" customFormat="1" ht="18.75" customHeight="1">
      <c r="A60" s="811"/>
      <c r="B60" s="716" t="s">
        <v>845</v>
      </c>
      <c r="C60" s="811"/>
      <c r="D60" s="811"/>
      <c r="E60" s="39"/>
      <c r="F60" s="39"/>
      <c r="G60" s="1112"/>
      <c r="H60" s="1104"/>
      <c r="I60" s="1103"/>
      <c r="J60" s="1111">
        <f>IF(J6=0,0,SUM(I62:I64))</f>
        <v>0</v>
      </c>
      <c r="K60" s="1107"/>
      <c r="L60" s="1106"/>
      <c r="M60" s="1044">
        <f>IF(M6=0,0,SUM(L62:L64))</f>
        <v>0</v>
      </c>
      <c r="N60" s="1104"/>
      <c r="O60" s="1103"/>
      <c r="P60" s="1111">
        <f>IF(P6=0,0,SUM(O62:O64))</f>
        <v>0</v>
      </c>
      <c r="Q60" s="28"/>
    </row>
    <row r="61" spans="1:17" s="46" customFormat="1" ht="15" customHeight="1">
      <c r="A61" s="811"/>
      <c r="B61" s="1040"/>
      <c r="C61" s="1039" t="s">
        <v>837</v>
      </c>
      <c r="D61" s="1110">
        <f>'SDK1'!$O$11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c r="D62" s="4365"/>
      <c r="E62" s="4365"/>
      <c r="F62" s="1101">
        <f>IF($C62=0,0,VLOOKUP($C62,'SD3'!$C$90:$D$104,2,FALSE))</f>
        <v>0</v>
      </c>
      <c r="G62" s="1100">
        <f>(100+$D$61)/100*F62</f>
        <v>0</v>
      </c>
      <c r="H62" s="173"/>
      <c r="I62" s="1096">
        <f>$G$62</f>
        <v>0</v>
      </c>
      <c r="J62" s="173"/>
      <c r="K62" s="1099"/>
      <c r="L62" s="1098">
        <f>$G$62</f>
        <v>0</v>
      </c>
      <c r="M62" s="1016"/>
      <c r="N62" s="1097"/>
      <c r="O62" s="1096">
        <f>$G$62</f>
        <v>0</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t="s">
        <v>289</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5"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22.95" customHeight="1">
      <c r="A67" s="711"/>
      <c r="B67" s="716" t="s">
        <v>843</v>
      </c>
      <c r="C67" s="711"/>
      <c r="D67" s="711"/>
      <c r="E67" s="175"/>
      <c r="F67" s="1069"/>
      <c r="G67" s="1047"/>
      <c r="H67" s="1066" t="s">
        <v>842</v>
      </c>
      <c r="I67" s="1065" t="s">
        <v>841</v>
      </c>
      <c r="J67" s="1041">
        <f>R68*(H9+H10)*I68%+F68</f>
        <v>0</v>
      </c>
      <c r="K67" s="1068" t="s">
        <v>842</v>
      </c>
      <c r="L67" s="1067" t="s">
        <v>841</v>
      </c>
      <c r="M67" s="1044">
        <f>S68*(K9+K10)*L68%+F68</f>
        <v>0</v>
      </c>
      <c r="N67" s="1066" t="s">
        <v>842</v>
      </c>
      <c r="O67" s="1065" t="s">
        <v>841</v>
      </c>
      <c r="P67" s="1041">
        <f>T68*(N9+N10)*O68%+F68</f>
        <v>0</v>
      </c>
      <c r="Q67" s="28"/>
    </row>
    <row r="68" spans="1:20" s="511" customFormat="1" ht="15" customHeight="1">
      <c r="A68" s="711"/>
      <c r="B68" s="1064"/>
      <c r="C68" s="4393" t="s">
        <v>564</v>
      </c>
      <c r="D68" s="4393"/>
      <c r="E68" s="4393"/>
      <c r="F68" s="1063"/>
      <c r="G68" s="1054" t="s">
        <v>163</v>
      </c>
      <c r="H68" s="1061">
        <v>16</v>
      </c>
      <c r="I68" s="1060">
        <v>50</v>
      </c>
      <c r="J68" s="1059"/>
      <c r="K68" s="1061">
        <v>20</v>
      </c>
      <c r="L68" s="1060">
        <v>50</v>
      </c>
      <c r="M68" s="1062"/>
      <c r="N68" s="1061">
        <v>18</v>
      </c>
      <c r="O68" s="1060">
        <v>50</v>
      </c>
      <c r="P68" s="1059"/>
      <c r="Q68" s="28"/>
      <c r="R68" s="1369">
        <f>IF($H$64=0,0,VLOOKUP($H$64,#REF!,2,FALSE))</f>
        <v>0</v>
      </c>
      <c r="S68" s="1058">
        <f>IF($K$64=0,0,VLOOKUP($K$64,#REF!,2,FALSE))</f>
        <v>0</v>
      </c>
      <c r="T68" s="1369">
        <f>IF($N$64=0,0,VLOOKUP($N$64,#REF!,2,FALSE))</f>
        <v>0</v>
      </c>
    </row>
    <row r="69" spans="1:20" s="511" customFormat="1" ht="15" customHeight="1">
      <c r="A69" s="711"/>
      <c r="B69" s="716" t="s">
        <v>839</v>
      </c>
      <c r="C69" s="711"/>
      <c r="D69" s="711"/>
      <c r="E69" s="34"/>
      <c r="F69" s="34"/>
      <c r="G69" s="1047"/>
      <c r="H69" s="38"/>
      <c r="I69" s="51"/>
      <c r="J69" s="1041">
        <f>H70*$F70/1000</f>
        <v>0</v>
      </c>
      <c r="K69" s="1057"/>
      <c r="L69" s="1056"/>
      <c r="M69" s="1044">
        <f>K70*$F70/1000</f>
        <v>0</v>
      </c>
      <c r="N69" s="38"/>
      <c r="O69" s="51"/>
      <c r="P69" s="1041">
        <f>N70*$F70/1000</f>
        <v>0</v>
      </c>
      <c r="Q69" s="28"/>
    </row>
    <row r="70" spans="1:20" s="511" customFormat="1" ht="20.399999999999999" customHeight="1">
      <c r="A70" s="711"/>
      <c r="B70" s="772"/>
      <c r="C70" s="771" t="s">
        <v>606</v>
      </c>
      <c r="D70" s="285"/>
      <c r="E70" s="222"/>
      <c r="F70" s="3742"/>
      <c r="G70" s="1054" t="s">
        <v>163</v>
      </c>
      <c r="H70" s="1357">
        <f>J7</f>
        <v>0</v>
      </c>
      <c r="I70" s="1049"/>
      <c r="J70" s="1048"/>
      <c r="K70" s="1053">
        <f>M7</f>
        <v>0</v>
      </c>
      <c r="L70" s="1052"/>
      <c r="M70" s="1051"/>
      <c r="N70" s="1357">
        <f>P7</f>
        <v>0</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5</v>
      </c>
      <c r="H75" s="1007"/>
      <c r="I75" s="1008"/>
      <c r="J75" s="1005">
        <f>(J23+J27+J34+J43+J60+J65+J67+J69+J71)*('SDK1'!$O$59%*$G$75/12)</f>
        <v>2.8096604166666665</v>
      </c>
      <c r="K75" s="2223"/>
      <c r="L75" s="522"/>
      <c r="M75" s="1005">
        <f>(M23+M27+M34+M43+M60+M65+M67+M69+M71)*('SDK1'!$O$59%*$G$75/12)</f>
        <v>2.8096604166666665</v>
      </c>
      <c r="N75" s="1007"/>
      <c r="O75" s="1006"/>
      <c r="P75" s="1005">
        <f>(P23+P27+P34+P43+P60+P65+P67+P69+P71)*('SDK1'!$O$59%*$G$75/12)</f>
        <v>2.8096604166666665</v>
      </c>
      <c r="Q75" s="28"/>
    </row>
    <row r="76" spans="1:20">
      <c r="L76" s="29"/>
    </row>
    <row r="77" spans="1:20">
      <c r="B77" s="2919"/>
      <c r="C77" s="2919"/>
      <c r="D77" s="2919"/>
      <c r="E77" s="2919"/>
      <c r="F77" s="2919"/>
      <c r="G77" s="2919"/>
      <c r="H77" s="2608"/>
      <c r="I77" s="2608"/>
      <c r="J77" s="2608"/>
      <c r="K77" s="2608"/>
      <c r="L77" s="2608"/>
      <c r="M77" s="2608"/>
      <c r="N77" s="2608"/>
      <c r="O77" s="2608"/>
      <c r="P77" s="2608"/>
    </row>
    <row r="78" spans="1:20">
      <c r="B78" s="2919"/>
      <c r="C78" s="2919"/>
      <c r="D78" s="2919"/>
      <c r="E78" s="2919"/>
      <c r="F78" s="2919"/>
      <c r="G78" s="2919"/>
      <c r="H78" s="2608"/>
      <c r="I78" s="2608"/>
      <c r="J78" s="2608"/>
      <c r="K78" s="2608"/>
      <c r="L78" s="2608"/>
      <c r="M78" s="2608"/>
      <c r="N78" s="2608"/>
      <c r="O78" s="2608"/>
      <c r="P78" s="2608"/>
    </row>
    <row r="79" spans="1:20">
      <c r="B79" s="2919"/>
      <c r="C79" s="2919"/>
      <c r="D79" s="2919"/>
      <c r="E79" s="2919"/>
      <c r="F79" s="2919"/>
      <c r="G79" s="2919"/>
      <c r="H79" s="2608"/>
      <c r="I79" s="2608"/>
      <c r="J79" s="2608"/>
      <c r="K79" s="2608"/>
      <c r="L79" s="2608"/>
      <c r="M79" s="2608"/>
      <c r="N79" s="2608"/>
      <c r="O79" s="2608"/>
      <c r="P79" s="2608"/>
    </row>
    <row r="80" spans="1:20">
      <c r="B80" s="2919"/>
      <c r="C80" s="2919"/>
      <c r="D80" s="2919"/>
      <c r="E80" s="2919"/>
      <c r="F80" s="2919"/>
      <c r="G80" s="2919"/>
      <c r="H80" s="2608"/>
      <c r="I80" s="2608"/>
      <c r="J80" s="2608"/>
      <c r="K80" s="2608"/>
      <c r="L80" s="2608"/>
      <c r="M80" s="2608"/>
      <c r="N80" s="2608"/>
      <c r="O80" s="2608"/>
      <c r="P80" s="2608"/>
    </row>
    <row r="81" spans="2:16">
      <c r="B81" s="2919"/>
      <c r="C81" s="2919"/>
      <c r="D81" s="2919"/>
      <c r="E81" s="2919"/>
      <c r="F81" s="2919"/>
      <c r="G81" s="2919"/>
      <c r="H81" s="2608"/>
      <c r="I81" s="2608"/>
      <c r="J81" s="2608"/>
      <c r="K81" s="2608"/>
      <c r="L81" s="2608"/>
      <c r="M81" s="2608"/>
      <c r="N81" s="2608"/>
      <c r="O81" s="2608"/>
      <c r="P81" s="2608"/>
    </row>
    <row r="82" spans="2:16">
      <c r="B82" s="2919"/>
      <c r="C82" s="2919"/>
      <c r="D82" s="2919"/>
      <c r="E82" s="2919"/>
      <c r="F82" s="2919"/>
      <c r="G82" s="2919"/>
      <c r="H82" s="2608"/>
      <c r="I82" s="2608"/>
      <c r="J82" s="2608"/>
      <c r="K82" s="2608"/>
      <c r="L82" s="2608"/>
      <c r="M82" s="2608"/>
      <c r="N82" s="2608"/>
      <c r="O82" s="2608"/>
      <c r="P82" s="2608"/>
    </row>
    <row r="83" spans="2:16">
      <c r="B83" s="2919"/>
      <c r="C83" s="2919"/>
      <c r="D83" s="2919"/>
      <c r="E83" s="2919"/>
      <c r="F83" s="2919"/>
      <c r="G83" s="2919"/>
      <c r="H83" s="2608"/>
      <c r="I83" s="2608"/>
      <c r="J83" s="2608"/>
      <c r="K83" s="2608"/>
      <c r="L83" s="2608"/>
      <c r="M83" s="2608"/>
      <c r="N83" s="2608"/>
      <c r="O83" s="2608"/>
      <c r="P83" s="2608"/>
    </row>
    <row r="84" spans="2:16">
      <c r="B84" s="2919"/>
      <c r="C84" s="2919"/>
      <c r="D84" s="2919"/>
      <c r="E84" s="2919"/>
      <c r="F84" s="2919"/>
      <c r="G84" s="2919"/>
      <c r="H84" s="2608"/>
      <c r="I84" s="2608"/>
      <c r="J84" s="2608"/>
      <c r="K84" s="2608"/>
      <c r="L84" s="2608"/>
      <c r="M84" s="2608"/>
      <c r="N84" s="2608"/>
      <c r="O84" s="2608"/>
      <c r="P84" s="2608"/>
    </row>
    <row r="85" spans="2:16">
      <c r="B85" s="2919"/>
      <c r="C85" s="2919"/>
      <c r="D85" s="2919"/>
      <c r="E85" s="2919"/>
      <c r="F85" s="2919"/>
      <c r="G85" s="2919"/>
      <c r="H85" s="2608"/>
      <c r="I85" s="2608"/>
      <c r="J85" s="2608"/>
      <c r="K85" s="2608"/>
      <c r="L85" s="2608"/>
      <c r="M85" s="2608"/>
      <c r="N85" s="2608"/>
      <c r="O85" s="2608"/>
      <c r="P85" s="2608"/>
    </row>
    <row r="86" spans="2:16">
      <c r="B86" s="2919"/>
      <c r="C86" s="2919"/>
      <c r="D86" s="2919"/>
      <c r="E86" s="2919"/>
      <c r="F86" s="2919"/>
      <c r="G86" s="2919"/>
      <c r="H86" s="2608"/>
      <c r="I86" s="2608"/>
      <c r="J86" s="2608"/>
      <c r="K86" s="2608"/>
      <c r="L86" s="2608"/>
      <c r="M86" s="2608"/>
      <c r="N86" s="2608"/>
      <c r="O86" s="2608"/>
      <c r="P86" s="2608"/>
    </row>
    <row r="87" spans="2:16">
      <c r="B87" s="2919"/>
      <c r="C87" s="2919"/>
      <c r="D87" s="2919"/>
      <c r="E87" s="2919"/>
      <c r="F87" s="2919"/>
      <c r="G87" s="2919"/>
      <c r="H87" s="2608"/>
      <c r="I87" s="2608"/>
      <c r="J87" s="2608"/>
      <c r="K87" s="2608"/>
      <c r="L87" s="2608"/>
      <c r="M87" s="2608"/>
      <c r="N87" s="2608"/>
      <c r="O87" s="2608"/>
      <c r="P87" s="2608"/>
    </row>
    <row r="88" spans="2:16" ht="13.2" customHeight="1">
      <c r="B88" s="2919"/>
      <c r="C88" s="2919"/>
      <c r="D88" s="2919"/>
      <c r="E88" s="2919"/>
      <c r="F88" s="2919"/>
      <c r="G88" s="2919"/>
      <c r="H88" s="2608"/>
      <c r="I88" s="2608"/>
      <c r="J88" s="2608"/>
      <c r="K88" s="2608"/>
      <c r="L88" s="2608"/>
      <c r="M88" s="2608"/>
      <c r="N88" s="2608"/>
      <c r="O88" s="2608"/>
      <c r="P88" s="2608"/>
    </row>
    <row r="89" spans="2:16">
      <c r="B89" s="2919"/>
      <c r="C89" s="2919"/>
      <c r="D89" s="2919"/>
      <c r="E89" s="2919"/>
      <c r="F89" s="2919"/>
      <c r="G89" s="2919"/>
      <c r="H89" s="2608"/>
      <c r="I89" s="2608"/>
      <c r="J89" s="2608"/>
      <c r="K89" s="2608"/>
      <c r="L89" s="2608"/>
      <c r="M89" s="2608"/>
      <c r="N89" s="2608"/>
      <c r="O89" s="2608"/>
      <c r="P89" s="2608"/>
    </row>
    <row r="90" spans="2:16">
      <c r="B90" s="2919"/>
      <c r="C90" s="2919"/>
      <c r="D90" s="2919"/>
      <c r="E90" s="2919"/>
      <c r="F90" s="2919"/>
      <c r="G90" s="2919"/>
      <c r="H90" s="2608"/>
      <c r="I90" s="2608"/>
      <c r="J90" s="2608"/>
      <c r="K90" s="2608"/>
      <c r="L90" s="2608"/>
      <c r="M90" s="2608"/>
      <c r="N90" s="2608"/>
      <c r="O90" s="2608"/>
      <c r="P90" s="2608"/>
    </row>
    <row r="91" spans="2:16">
      <c r="B91" s="2919"/>
      <c r="C91" s="2919"/>
      <c r="D91" s="2919"/>
      <c r="E91" s="2919"/>
      <c r="F91" s="2919"/>
      <c r="G91" s="2919"/>
      <c r="H91" s="2608"/>
      <c r="I91" s="2608"/>
      <c r="J91" s="2608"/>
      <c r="K91" s="2608"/>
      <c r="L91" s="2608"/>
      <c r="M91" s="2608"/>
      <c r="N91" s="2608"/>
      <c r="O91" s="2608"/>
      <c r="P91" s="2608"/>
    </row>
    <row r="92" spans="2:16">
      <c r="B92" s="2919"/>
      <c r="C92" s="2919"/>
      <c r="D92" s="2919"/>
      <c r="E92" s="2919"/>
      <c r="F92" s="2919"/>
      <c r="G92" s="2919"/>
      <c r="H92" s="2608"/>
      <c r="I92" s="2608"/>
      <c r="J92" s="2608"/>
      <c r="K92" s="2608"/>
      <c r="L92" s="2608"/>
      <c r="M92" s="2608"/>
      <c r="N92" s="2608"/>
      <c r="O92" s="2608"/>
      <c r="P92" s="2608"/>
    </row>
    <row r="93" spans="2:16">
      <c r="B93" s="2919"/>
      <c r="C93" s="2919"/>
      <c r="D93" s="2919"/>
      <c r="E93" s="2919"/>
      <c r="F93" s="2919"/>
      <c r="G93" s="2919"/>
      <c r="H93" s="2608"/>
      <c r="I93" s="2608"/>
      <c r="J93" s="2608"/>
      <c r="K93" s="2608"/>
      <c r="L93" s="2608"/>
      <c r="M93" s="2608"/>
      <c r="N93" s="2608"/>
      <c r="O93" s="2608"/>
      <c r="P93" s="2608"/>
    </row>
    <row r="94" spans="2:16">
      <c r="B94" s="2919"/>
      <c r="C94" s="2919"/>
      <c r="D94" s="2919"/>
      <c r="E94" s="2919"/>
      <c r="F94" s="2919"/>
      <c r="G94" s="2919"/>
      <c r="H94" s="2608"/>
      <c r="I94" s="2608"/>
      <c r="J94" s="2608"/>
      <c r="K94" s="2608"/>
      <c r="L94" s="2608"/>
      <c r="M94" s="2608"/>
      <c r="N94" s="2608"/>
      <c r="O94" s="2608"/>
      <c r="P94" s="2608"/>
    </row>
    <row r="95" spans="2:16">
      <c r="C95" s="29"/>
      <c r="D95" s="29"/>
      <c r="E95" s="29"/>
      <c r="F95" s="1712"/>
      <c r="G95" s="2608"/>
      <c r="H95" s="2608"/>
      <c r="I95" s="2608"/>
      <c r="J95" s="2608"/>
      <c r="K95" s="2608"/>
      <c r="L95" s="2608"/>
      <c r="M95" s="2608"/>
      <c r="N95" s="2608"/>
      <c r="O95" s="2608"/>
      <c r="P95" s="2608"/>
    </row>
    <row r="96" spans="2:16">
      <c r="C96" s="29"/>
      <c r="D96" s="29"/>
      <c r="E96" s="29"/>
      <c r="F96" s="1712"/>
      <c r="G96" s="2608"/>
      <c r="H96" s="2608"/>
      <c r="I96" s="2608"/>
      <c r="J96" s="2608"/>
      <c r="K96" s="2608"/>
      <c r="L96" s="2608"/>
      <c r="M96" s="2608"/>
      <c r="N96" s="2608"/>
      <c r="O96" s="2608"/>
      <c r="P96" s="2608"/>
    </row>
    <row r="97" spans="3:16">
      <c r="C97" s="29"/>
      <c r="D97" s="29"/>
      <c r="E97" s="29"/>
      <c r="G97" s="2608"/>
      <c r="H97" s="2608"/>
      <c r="I97" s="2608"/>
      <c r="J97" s="2608"/>
      <c r="K97" s="2608"/>
      <c r="L97" s="2608"/>
      <c r="M97" s="2608"/>
      <c r="N97" s="2608"/>
      <c r="O97" s="2608"/>
      <c r="P97" s="2608"/>
    </row>
    <row r="98" spans="3:16">
      <c r="C98" s="29"/>
      <c r="D98" s="29"/>
      <c r="E98" s="29"/>
      <c r="G98" s="2608"/>
      <c r="H98" s="2608"/>
      <c r="I98" s="2608"/>
      <c r="J98" s="2608"/>
      <c r="K98" s="2608"/>
      <c r="L98" s="2608"/>
      <c r="M98" s="2608"/>
      <c r="N98" s="2608"/>
      <c r="O98" s="2608"/>
      <c r="P98" s="2608"/>
    </row>
    <row r="99" spans="3:16">
      <c r="C99" s="29"/>
      <c r="D99" s="29"/>
      <c r="G99" s="2608"/>
      <c r="H99" s="2608"/>
      <c r="I99" s="2608"/>
      <c r="J99" s="2608"/>
      <c r="K99" s="2608"/>
      <c r="L99" s="2608"/>
      <c r="M99" s="2608"/>
      <c r="N99" s="2608"/>
      <c r="O99" s="2608"/>
      <c r="P99" s="2608"/>
    </row>
    <row r="100" spans="3:16">
      <c r="C100" s="29"/>
      <c r="D100" s="29"/>
      <c r="G100" s="2608"/>
      <c r="H100" s="2608"/>
      <c r="I100" s="2608"/>
      <c r="J100" s="2608"/>
      <c r="K100" s="2608"/>
      <c r="L100" s="2608"/>
      <c r="M100" s="2608"/>
      <c r="N100" s="2608"/>
      <c r="O100" s="2608"/>
      <c r="P100" s="2608"/>
    </row>
    <row r="101" spans="3:16">
      <c r="C101" s="29"/>
      <c r="D101" s="29"/>
      <c r="G101" s="2608"/>
      <c r="H101" s="2608"/>
      <c r="I101" s="2608"/>
      <c r="J101" s="2608"/>
      <c r="K101" s="2608"/>
      <c r="L101" s="2608"/>
      <c r="M101" s="2608"/>
      <c r="N101" s="2608"/>
      <c r="O101" s="2608"/>
      <c r="P101" s="2608"/>
    </row>
    <row r="102" spans="3:16">
      <c r="C102" s="29"/>
      <c r="D102" s="29"/>
      <c r="G102" s="2608"/>
      <c r="H102" s="2608"/>
      <c r="I102" s="2608"/>
      <c r="J102" s="2608"/>
      <c r="K102" s="2608"/>
      <c r="L102" s="2608"/>
      <c r="M102" s="2608"/>
      <c r="N102" s="2608"/>
      <c r="O102" s="2608"/>
      <c r="P102" s="2608"/>
    </row>
    <row r="103" spans="3:16">
      <c r="C103" s="29"/>
      <c r="D103" s="29"/>
      <c r="G103" s="2608"/>
      <c r="H103" s="2608"/>
      <c r="I103" s="2608"/>
      <c r="J103" s="2608"/>
      <c r="K103" s="2608"/>
      <c r="L103" s="2608"/>
      <c r="M103" s="2608"/>
      <c r="N103" s="2608"/>
      <c r="O103" s="2608"/>
      <c r="P103" s="2608"/>
    </row>
    <row r="104" spans="3:16">
      <c r="C104" s="29"/>
      <c r="D104" s="29"/>
      <c r="G104" s="2608"/>
      <c r="H104" s="2608"/>
      <c r="I104" s="2608"/>
      <c r="J104" s="2608"/>
      <c r="K104" s="2608"/>
      <c r="L104" s="2608"/>
      <c r="M104" s="2608"/>
      <c r="N104" s="2608"/>
      <c r="O104" s="2608"/>
      <c r="P104" s="2608"/>
    </row>
    <row r="105" spans="3:16">
      <c r="C105" s="29"/>
      <c r="D105" s="29"/>
      <c r="G105" s="2608"/>
      <c r="H105" s="2608"/>
      <c r="I105" s="2608"/>
      <c r="J105" s="2608"/>
      <c r="K105" s="2608"/>
      <c r="L105" s="2608"/>
      <c r="M105" s="2608"/>
      <c r="N105" s="2608"/>
      <c r="O105" s="2608"/>
      <c r="P105" s="2608"/>
    </row>
    <row r="106" spans="3:16">
      <c r="C106" s="29"/>
      <c r="D106" s="29"/>
      <c r="G106" s="2608"/>
      <c r="H106" s="2608"/>
      <c r="I106" s="2608"/>
      <c r="J106" s="2608"/>
      <c r="K106" s="2608"/>
      <c r="L106" s="2608"/>
      <c r="M106" s="2608"/>
      <c r="N106" s="2608"/>
      <c r="O106" s="2608"/>
      <c r="P106" s="2608"/>
    </row>
    <row r="107" spans="3:16">
      <c r="G107" s="2608"/>
      <c r="H107" s="2608"/>
      <c r="I107" s="2608"/>
      <c r="J107" s="2608"/>
      <c r="K107" s="2608"/>
      <c r="L107" s="2608"/>
      <c r="M107" s="2608"/>
      <c r="N107" s="2608"/>
      <c r="O107" s="2608"/>
      <c r="P107" s="2608"/>
    </row>
    <row r="108" spans="3:16">
      <c r="G108" s="2608"/>
      <c r="H108" s="2608"/>
      <c r="I108" s="2608"/>
      <c r="J108" s="2608"/>
      <c r="K108" s="2608"/>
      <c r="L108" s="2608"/>
      <c r="M108" s="2608"/>
      <c r="N108" s="2608"/>
      <c r="O108" s="2608"/>
      <c r="P108" s="2608"/>
    </row>
    <row r="109" spans="3:16">
      <c r="G109" s="2608"/>
      <c r="H109" s="2608"/>
      <c r="I109" s="2608"/>
      <c r="J109" s="2608"/>
      <c r="K109" s="2608"/>
      <c r="L109" s="2608"/>
      <c r="M109" s="2608"/>
      <c r="N109" s="2608"/>
      <c r="O109" s="2608"/>
      <c r="P109" s="2608"/>
    </row>
    <row r="110" spans="3:16">
      <c r="G110" s="2608"/>
      <c r="H110" s="2608"/>
      <c r="I110" s="2608"/>
      <c r="J110" s="2608"/>
      <c r="K110" s="2608"/>
      <c r="L110" s="2608"/>
      <c r="M110" s="2608"/>
      <c r="N110" s="2608"/>
      <c r="O110" s="2608"/>
      <c r="P110" s="2608"/>
    </row>
    <row r="111" spans="3:16">
      <c r="G111" s="2608"/>
      <c r="H111" s="2608"/>
      <c r="I111" s="2608"/>
      <c r="J111" s="2608"/>
      <c r="K111" s="2608"/>
      <c r="L111" s="2608"/>
      <c r="M111" s="2608"/>
      <c r="N111" s="2608"/>
      <c r="O111" s="2608"/>
      <c r="P111" s="2608"/>
    </row>
    <row r="112" spans="3:16">
      <c r="G112" s="2608"/>
      <c r="H112" s="2608"/>
      <c r="I112" s="2608"/>
      <c r="J112" s="2608"/>
      <c r="K112" s="2608"/>
      <c r="L112" s="2608"/>
      <c r="M112" s="2608"/>
      <c r="N112" s="2608"/>
      <c r="O112" s="2608"/>
      <c r="P112" s="2608"/>
    </row>
    <row r="113" spans="2:16">
      <c r="G113" s="2608"/>
      <c r="H113" s="2608"/>
      <c r="I113" s="2608"/>
      <c r="J113" s="2608"/>
      <c r="K113" s="2608"/>
      <c r="L113" s="2608"/>
      <c r="M113" s="2608"/>
      <c r="N113" s="2608"/>
      <c r="O113" s="2608"/>
      <c r="P113" s="2608"/>
    </row>
    <row r="114" spans="2:16">
      <c r="G114" s="2608"/>
      <c r="H114" s="2608"/>
      <c r="I114" s="2608"/>
      <c r="J114" s="2608"/>
      <c r="K114" s="2608"/>
      <c r="L114" s="2608"/>
      <c r="M114" s="2608"/>
      <c r="N114" s="2608"/>
      <c r="O114" s="2608"/>
      <c r="P114" s="2608"/>
    </row>
    <row r="115" spans="2:16">
      <c r="G115" s="2608"/>
      <c r="H115" s="2608"/>
      <c r="I115" s="2608"/>
      <c r="J115" s="2608"/>
      <c r="K115" s="2608"/>
      <c r="L115" s="2608"/>
      <c r="M115" s="2608"/>
      <c r="N115" s="2608"/>
      <c r="O115" s="2608"/>
      <c r="P115" s="2608"/>
    </row>
    <row r="116" spans="2:16">
      <c r="G116" s="2608"/>
      <c r="H116" s="2608"/>
      <c r="I116" s="2608"/>
      <c r="J116" s="2608"/>
      <c r="K116" s="2608"/>
      <c r="L116" s="2608"/>
      <c r="M116" s="2608"/>
      <c r="N116" s="2608"/>
      <c r="O116" s="2608"/>
      <c r="P116" s="2608"/>
    </row>
    <row r="117" spans="2:16">
      <c r="G117" s="2608"/>
      <c r="H117" s="2608"/>
      <c r="I117" s="2608"/>
      <c r="J117" s="2608"/>
      <c r="K117" s="2608"/>
      <c r="L117" s="2608"/>
      <c r="M117" s="2608"/>
      <c r="N117" s="2608"/>
      <c r="O117" s="2608"/>
      <c r="P117" s="2608"/>
    </row>
    <row r="118" spans="2:16">
      <c r="B118" s="440"/>
      <c r="C118" s="29"/>
      <c r="G118" s="2608"/>
      <c r="H118" s="2608"/>
      <c r="I118" s="2608"/>
      <c r="J118" s="2608"/>
      <c r="K118" s="2608"/>
      <c r="L118" s="2608"/>
      <c r="M118" s="2608"/>
      <c r="N118" s="2608"/>
      <c r="O118" s="2608"/>
      <c r="P118" s="2608"/>
    </row>
    <row r="119" spans="2:16">
      <c r="B119" s="440"/>
      <c r="C119" s="29"/>
      <c r="G119" s="2608"/>
      <c r="H119" s="2608"/>
      <c r="I119" s="2608"/>
      <c r="J119" s="2608"/>
      <c r="K119" s="2608"/>
      <c r="L119" s="2608"/>
      <c r="M119" s="2608"/>
      <c r="N119" s="2608"/>
      <c r="O119" s="2608"/>
      <c r="P119" s="2608"/>
    </row>
    <row r="120" spans="2:16">
      <c r="B120" s="440"/>
      <c r="C120" s="29"/>
      <c r="G120" s="2608"/>
      <c r="H120" s="2608"/>
      <c r="I120" s="2608"/>
      <c r="J120" s="2608"/>
      <c r="K120" s="2608"/>
      <c r="L120" s="2608"/>
      <c r="M120" s="2608"/>
      <c r="N120" s="2608"/>
      <c r="O120" s="2608"/>
      <c r="P120" s="2608"/>
    </row>
    <row r="121" spans="2:16">
      <c r="B121" s="440"/>
      <c r="C121" s="29"/>
      <c r="G121" s="2608"/>
      <c r="H121" s="2608"/>
      <c r="I121" s="2608"/>
      <c r="J121" s="2608"/>
      <c r="K121" s="2608"/>
      <c r="L121" s="2608"/>
      <c r="M121" s="2608"/>
      <c r="N121" s="2608"/>
      <c r="O121" s="2608"/>
      <c r="P121" s="2608"/>
    </row>
    <row r="122" spans="2:16">
      <c r="B122" s="440"/>
      <c r="C122" s="29"/>
      <c r="G122" s="2608"/>
      <c r="H122" s="2608"/>
      <c r="I122" s="2608"/>
      <c r="J122" s="2608"/>
      <c r="K122" s="2608"/>
      <c r="L122" s="2608"/>
      <c r="M122" s="2608"/>
      <c r="N122" s="2608"/>
      <c r="O122" s="2608"/>
      <c r="P122" s="2608"/>
    </row>
    <row r="123" spans="2:16">
      <c r="B123" s="440"/>
      <c r="C123" s="29"/>
      <c r="G123" s="2608"/>
      <c r="H123" s="2608"/>
      <c r="I123" s="2608"/>
      <c r="J123" s="2608"/>
      <c r="K123" s="2608"/>
      <c r="L123" s="2608"/>
      <c r="M123" s="2608"/>
      <c r="N123" s="2608"/>
      <c r="O123" s="2608"/>
      <c r="P123" s="2608"/>
    </row>
    <row r="124" spans="2:16">
      <c r="B124" s="440"/>
      <c r="C124" s="29"/>
      <c r="G124" s="2608"/>
      <c r="H124" s="2608"/>
      <c r="I124" s="2608"/>
      <c r="J124" s="2608"/>
      <c r="K124" s="2608"/>
      <c r="L124" s="2608"/>
      <c r="M124" s="2608"/>
      <c r="N124" s="2608"/>
      <c r="O124" s="2608"/>
      <c r="P124" s="2608"/>
    </row>
    <row r="125" spans="2:16">
      <c r="B125" s="440"/>
      <c r="C125" s="29"/>
      <c r="G125" s="2608"/>
      <c r="H125" s="2608"/>
      <c r="I125" s="2608"/>
      <c r="J125" s="2608"/>
      <c r="K125" s="2608"/>
      <c r="L125" s="2608"/>
      <c r="M125" s="2608"/>
      <c r="N125" s="2608"/>
      <c r="O125" s="2608"/>
      <c r="P125" s="2608"/>
    </row>
    <row r="126" spans="2:16">
      <c r="B126" s="440"/>
      <c r="C126" s="29"/>
      <c r="G126" s="2608"/>
      <c r="H126" s="2608"/>
      <c r="I126" s="2608"/>
      <c r="J126" s="2608"/>
      <c r="K126" s="2608"/>
      <c r="L126" s="2608"/>
      <c r="M126" s="2608"/>
      <c r="N126" s="2608"/>
      <c r="O126" s="2608"/>
      <c r="P126" s="2608"/>
    </row>
    <row r="127" spans="2:16">
      <c r="B127" s="440"/>
      <c r="C127" s="29"/>
      <c r="G127" s="2608"/>
      <c r="H127" s="2608"/>
      <c r="I127" s="2608"/>
      <c r="J127" s="2608"/>
      <c r="K127" s="2608"/>
      <c r="L127" s="2608"/>
      <c r="M127" s="2608"/>
      <c r="N127" s="2608"/>
      <c r="O127" s="2608"/>
      <c r="P127" s="2608"/>
    </row>
    <row r="128" spans="2:16">
      <c r="B128" s="440"/>
      <c r="C128" s="29"/>
      <c r="G128" s="2608"/>
      <c r="H128" s="2608"/>
      <c r="I128" s="2608"/>
      <c r="J128" s="2608"/>
      <c r="K128" s="2608"/>
      <c r="L128" s="2608"/>
      <c r="M128" s="2608"/>
      <c r="N128" s="2608"/>
      <c r="O128" s="2608"/>
      <c r="P128" s="2608"/>
    </row>
    <row r="129" spans="2:16">
      <c r="B129" s="440"/>
      <c r="C129" s="29"/>
      <c r="G129" s="2608"/>
      <c r="H129" s="2608"/>
      <c r="I129" s="2608"/>
      <c r="J129" s="2608"/>
      <c r="K129" s="2608"/>
      <c r="L129" s="2608"/>
      <c r="M129" s="2608"/>
      <c r="N129" s="2608"/>
      <c r="O129" s="2608"/>
      <c r="P129" s="2608"/>
    </row>
    <row r="130" spans="2:16">
      <c r="B130" s="440"/>
      <c r="C130" s="29"/>
      <c r="G130" s="2608"/>
      <c r="H130" s="2608"/>
      <c r="I130" s="2608"/>
      <c r="J130" s="2608"/>
      <c r="K130" s="2608"/>
      <c r="L130" s="2608"/>
      <c r="M130" s="2608"/>
      <c r="N130" s="2608"/>
      <c r="O130" s="2608"/>
      <c r="P130" s="2608"/>
    </row>
    <row r="131" spans="2:16">
      <c r="B131" s="440"/>
      <c r="C131" s="29"/>
      <c r="G131" s="2608"/>
      <c r="H131" s="2608"/>
      <c r="I131" s="2608"/>
      <c r="J131" s="2608"/>
      <c r="K131" s="2608"/>
      <c r="L131" s="2608"/>
      <c r="M131" s="2608"/>
      <c r="N131" s="2608"/>
      <c r="O131" s="2608"/>
      <c r="P131" s="2608"/>
    </row>
    <row r="132" spans="2:16">
      <c r="B132" s="440"/>
      <c r="C132" s="29"/>
      <c r="G132" s="2608"/>
      <c r="H132" s="2608"/>
      <c r="I132" s="2608"/>
      <c r="J132" s="2608"/>
      <c r="K132" s="2608"/>
      <c r="L132" s="2608"/>
      <c r="M132" s="2608"/>
      <c r="N132" s="2608"/>
      <c r="O132" s="2608"/>
      <c r="P132" s="2608"/>
    </row>
    <row r="133" spans="2:16">
      <c r="B133" s="440"/>
      <c r="C133" s="29"/>
      <c r="G133" s="2608"/>
      <c r="H133" s="2608"/>
      <c r="I133" s="2608"/>
      <c r="J133" s="2608"/>
      <c r="K133" s="2608"/>
      <c r="L133" s="2608"/>
      <c r="M133" s="2608"/>
      <c r="N133" s="2608"/>
      <c r="O133" s="2608"/>
      <c r="P133" s="2608"/>
    </row>
    <row r="134" spans="2:16">
      <c r="B134" s="440"/>
      <c r="C134" s="29"/>
      <c r="G134" s="2608"/>
      <c r="H134" s="2608"/>
      <c r="I134" s="2608"/>
      <c r="J134" s="2608"/>
      <c r="K134" s="2608"/>
      <c r="L134" s="2608"/>
      <c r="M134" s="2608"/>
      <c r="N134" s="2608"/>
      <c r="O134" s="2608"/>
      <c r="P134" s="2608"/>
    </row>
    <row r="135" spans="2:16">
      <c r="B135" s="440"/>
      <c r="C135" s="29"/>
      <c r="G135" s="2608"/>
      <c r="H135" s="2608"/>
      <c r="I135" s="2608"/>
      <c r="J135" s="2608"/>
      <c r="K135" s="2608"/>
      <c r="L135" s="2608"/>
      <c r="M135" s="2608"/>
      <c r="N135" s="2608"/>
      <c r="O135" s="2608"/>
      <c r="P135" s="2608"/>
    </row>
    <row r="136" spans="2:16">
      <c r="B136" s="440"/>
      <c r="C136" s="29"/>
      <c r="G136" s="2608"/>
      <c r="H136" s="2608"/>
      <c r="I136" s="2608"/>
      <c r="J136" s="2608"/>
      <c r="K136" s="2608"/>
      <c r="L136" s="2608"/>
      <c r="M136" s="2608"/>
      <c r="N136" s="2608"/>
      <c r="O136" s="2608"/>
      <c r="P136" s="2608"/>
    </row>
    <row r="137" spans="2:16">
      <c r="B137" s="440"/>
      <c r="C137" s="29"/>
      <c r="G137" s="2608"/>
      <c r="H137" s="2608"/>
      <c r="I137" s="2608"/>
      <c r="J137" s="2608"/>
      <c r="K137" s="2608"/>
      <c r="L137" s="2608"/>
      <c r="M137" s="2608"/>
      <c r="N137" s="2608"/>
      <c r="O137" s="2608"/>
      <c r="P137" s="2608"/>
    </row>
    <row r="138" spans="2:16">
      <c r="B138" s="440"/>
      <c r="C138" s="29"/>
      <c r="G138" s="2608"/>
      <c r="H138" s="2608"/>
      <c r="I138" s="2608"/>
      <c r="J138" s="2608"/>
      <c r="K138" s="2608"/>
      <c r="L138" s="2608"/>
      <c r="M138" s="2608"/>
      <c r="N138" s="2608"/>
      <c r="O138" s="2608"/>
      <c r="P138" s="2608"/>
    </row>
    <row r="139" spans="2:16">
      <c r="B139" s="440"/>
      <c r="C139" s="29"/>
      <c r="L139" s="29"/>
    </row>
    <row r="140" spans="2:16">
      <c r="B140" s="440"/>
      <c r="C140" s="29"/>
      <c r="L140" s="29"/>
    </row>
    <row r="141" spans="2:16">
      <c r="B141" s="440"/>
      <c r="C141" s="29"/>
      <c r="L141" s="29"/>
    </row>
    <row r="142" spans="2:16">
      <c r="B142" s="440"/>
      <c r="C142" s="29"/>
      <c r="L142" s="29"/>
    </row>
    <row r="143" spans="2:16">
      <c r="B143" s="440"/>
      <c r="C143" s="29"/>
      <c r="L143" s="29"/>
    </row>
    <row r="144" spans="2:16">
      <c r="B144" s="440"/>
      <c r="C144" s="29"/>
      <c r="L144" s="29"/>
    </row>
    <row r="145" spans="2:12">
      <c r="B145" s="440"/>
      <c r="C145" s="29"/>
      <c r="L145" s="29"/>
    </row>
    <row r="146" spans="2:12">
      <c r="B146" s="440"/>
      <c r="C146" s="29"/>
      <c r="L146" s="29"/>
    </row>
    <row r="147" spans="2:12">
      <c r="B147" s="440"/>
      <c r="C147" s="29"/>
    </row>
    <row r="148" spans="2:12">
      <c r="B148" s="440"/>
      <c r="C148" s="29"/>
    </row>
    <row r="149" spans="2:12">
      <c r="B149" s="440"/>
      <c r="C149" s="29"/>
    </row>
    <row r="150" spans="2:12">
      <c r="B150" s="440"/>
      <c r="C150" s="29"/>
    </row>
    <row r="151" spans="2:12">
      <c r="B151" s="440"/>
      <c r="C151" s="29"/>
    </row>
    <row r="152" spans="2:12">
      <c r="B152" s="440"/>
      <c r="C152" s="29"/>
    </row>
    <row r="153" spans="2:12">
      <c r="B153" s="440"/>
      <c r="C153" s="29"/>
    </row>
    <row r="154" spans="2:12">
      <c r="B154" s="440"/>
      <c r="C154" s="29"/>
      <c r="D154" s="29"/>
      <c r="F154" s="29"/>
      <c r="G154" s="29"/>
      <c r="H154" s="29"/>
      <c r="I154" s="29"/>
      <c r="J154" s="29"/>
      <c r="K154" s="29"/>
    </row>
    <row r="155" spans="2:12">
      <c r="B155" s="440"/>
      <c r="C155" s="29"/>
      <c r="D155" s="29"/>
      <c r="F155" s="29"/>
      <c r="G155" s="29"/>
      <c r="H155" s="29"/>
      <c r="I155" s="29"/>
      <c r="J155" s="29"/>
      <c r="K155" s="29"/>
    </row>
    <row r="156" spans="2:12">
      <c r="B156" s="440"/>
      <c r="C156" s="29"/>
      <c r="D156" s="29"/>
      <c r="F156" s="29"/>
      <c r="G156" s="29"/>
      <c r="H156" s="29"/>
      <c r="I156" s="29"/>
      <c r="J156" s="29"/>
      <c r="K156" s="29"/>
    </row>
    <row r="157" spans="2:12">
      <c r="B157" s="440"/>
      <c r="C157" s="29"/>
    </row>
    <row r="158" spans="2:12">
      <c r="B158" s="440"/>
      <c r="C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heet="1" selectLockedCells="1"/>
  <customSheetViews>
    <customSheetView guid="{8063F48F-80B5-4ECD-B18A-51CBF126E780}" fitToPage="1" hiddenRows="1" hiddenColumns="1">
      <selection activeCell="H27" sqref="H27"/>
      <pageMargins left="0.59055118110236227" right="0.57999999999999996" top="0.59055118110236227" bottom="0.59055118110236227" header="0.39370078740157483" footer="0.39370078740157483"/>
      <printOptions horizontalCentered="1"/>
      <pageSetup paperSize="9" scale="70" firstPageNumber="76" orientation="portrait" r:id="rId1"/>
      <headerFooter alignWithMargins="0">
        <oddFooter>&amp;L&amp;11LEL Schwäbisch Gmünd&amp;R&amp;11&amp;F</oddFooter>
      </headerFooter>
    </customSheetView>
    <customSheetView guid="{5D5C9B61-9ABD-4513-AAEB-8333A9D6196C}" fitToPage="1" hiddenRows="1" hiddenColumns="1">
      <selection activeCell="H27" sqref="H27"/>
      <pageMargins left="0.59055118110236227" right="0.57999999999999996" top="0.59055118110236227" bottom="0.59055118110236227" header="0.39370078740157483" footer="0.39370078740157483"/>
      <printOptions horizontalCentered="1"/>
      <pageSetup paperSize="9" scale="70" firstPageNumber="76" orientation="portrait" r:id="rId2"/>
      <headerFooter alignWithMargins="0">
        <oddFooter>&amp;L&amp;11LEL Schwäbisch Gmünd&amp;R&amp;11&amp;F</oddFooter>
      </headerFooter>
    </customSheetView>
    <customSheetView guid="{22A73C4F-9004-4CEF-8499-B1F91BE1B569}" fitToPage="1" hiddenRows="1" hiddenColumns="1">
      <selection activeCell="H27" sqref="H27"/>
      <pageMargins left="0.59055118110236227" right="0.57999999999999996" top="0.59055118110236227" bottom="0.59055118110236227" header="0.39370078740157483" footer="0.39370078740157483"/>
      <printOptions horizontalCentered="1"/>
      <pageSetup paperSize="9" scale="70" firstPageNumber="76" orientation="portrait" r:id="rId3"/>
      <headerFooter alignWithMargins="0">
        <oddFooter>&amp;L&amp;11LEL Schwäbisch Gmünd&amp;R&amp;11&amp;F</oddFooter>
      </headerFooter>
    </customSheetView>
  </customSheetViews>
  <mergeCells count="48">
    <mergeCell ref="C17:F17"/>
    <mergeCell ref="N1:O1"/>
    <mergeCell ref="E4:I4"/>
    <mergeCell ref="N6:O6"/>
    <mergeCell ref="K2:P2"/>
    <mergeCell ref="K1:L1"/>
    <mergeCell ref="N3:O4"/>
    <mergeCell ref="H6:I6"/>
    <mergeCell ref="K6:L6"/>
    <mergeCell ref="E10:F10"/>
    <mergeCell ref="C16:F16"/>
    <mergeCell ref="C14:F14"/>
    <mergeCell ref="C15:F15"/>
    <mergeCell ref="B3:H3"/>
    <mergeCell ref="C19:F19"/>
    <mergeCell ref="F23:G23"/>
    <mergeCell ref="D25:E25"/>
    <mergeCell ref="D26:E26"/>
    <mergeCell ref="C38:E38"/>
    <mergeCell ref="C37:E37"/>
    <mergeCell ref="C36:E36"/>
    <mergeCell ref="E22:G22"/>
    <mergeCell ref="C21:F21"/>
    <mergeCell ref="C20:F20"/>
    <mergeCell ref="C73:E73"/>
    <mergeCell ref="C51:D51"/>
    <mergeCell ref="C74:E74"/>
    <mergeCell ref="B75:C75"/>
    <mergeCell ref="F34:G34"/>
    <mergeCell ref="C42:E42"/>
    <mergeCell ref="C57:D57"/>
    <mergeCell ref="C39:E39"/>
    <mergeCell ref="C52:D52"/>
    <mergeCell ref="C46:D46"/>
    <mergeCell ref="C50:D50"/>
    <mergeCell ref="C47:D47"/>
    <mergeCell ref="C48:D48"/>
    <mergeCell ref="C53:D53"/>
    <mergeCell ref="C64:E64"/>
    <mergeCell ref="C40:E40"/>
    <mergeCell ref="C41:E41"/>
    <mergeCell ref="C55:D55"/>
    <mergeCell ref="C62:E62"/>
    <mergeCell ref="C68:E68"/>
    <mergeCell ref="C54:D54"/>
    <mergeCell ref="C56:D56"/>
    <mergeCell ref="C49:D49"/>
    <mergeCell ref="C63:E63"/>
  </mergeCells>
  <dataValidations count="5">
    <dataValidation type="decimal" allowBlank="1" showInputMessage="1" showErrorMessage="1" errorTitle="Wassergehalt Getreide" error="Zulässig sind nur Werte zwischen 14,1 und 22,0 % Wassergehalt." sqref="H68 K68 N68" xr:uid="{00000000-0002-0000-5100-000000000000}">
      <formula1>14.1</formula1>
      <formula2>22</formula2>
    </dataValidation>
    <dataValidation type="whole" allowBlank="1" showInputMessage="1" showErrorMessage="1" errorTitle="Anteil Erntegut" error="Prozentwert darf nur zwischen 0 und 100 liegen." sqref="O68 L68 I68" xr:uid="{00000000-0002-0000-5100-000001000000}">
      <formula1>0</formula1>
      <formula2>100</formula2>
    </dataValidation>
    <dataValidation type="list" allowBlank="1" showInputMessage="1" showErrorMessage="1" errorTitle="Verfahrensabh. Ausgleichsleist." error="Bitte aus Dropdownliste auswählen." sqref="C17 C16:F16" xr:uid="{00000000-0002-0000-5100-000002000000}">
      <formula1>$C$78:$C$95</formula1>
    </dataValidation>
    <dataValidation type="list" showInputMessage="1" showErrorMessage="1" sqref="H14 K14 N14" xr:uid="{00000000-0002-0000-5100-000003000000}">
      <formula1>"ja,nein"</formula1>
    </dataValidation>
    <dataValidation type="list" allowBlank="1" showInputMessage="1" showErrorMessage="1" sqref="H15:H17 K15:K17 N15:N17" xr:uid="{00000000-0002-0000-5100-000004000000}">
      <formula1>"ja,nein"</formula1>
    </dataValidation>
  </dataValidations>
  <hyperlinks>
    <hyperlink ref="F9" location="SDÖ1!A1" display="Preis ändern" xr:uid="{00000000-0004-0000-5100-000000000000}"/>
  </hyperlinks>
  <printOptions horizontalCentered="1"/>
  <pageMargins left="0.59055118110236227" right="0.57999999999999996" top="0.59055118110236227" bottom="0.59055118110236227" header="0.39370078740157483" footer="0.39370078740157483"/>
  <pageSetup paperSize="9" scale="70" firstPageNumber="76" orientation="portrait" r:id="rId4"/>
  <headerFooter alignWithMargins="0">
    <oddFooter>&amp;L&amp;11LEL Schwäbisch Gmünd&amp;R&amp;11&amp;F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5100-000005000000}">
          <x14:formula1>
            <xm:f>'SD2'!$C$11:$C$50</xm:f>
          </x14:formula1>
          <xm:sqref>C14:F15</xm:sqref>
        </x14:dataValidation>
        <x14:dataValidation type="list" allowBlank="1" showInputMessage="1" showErrorMessage="1" xr:uid="{00000000-0002-0000-5100-000006000000}">
          <x14:formula1>
            <xm:f>'SD2'!$C$60:$C$77</xm:f>
          </x14:formula1>
          <xm:sqref>C19:F21</xm:sqref>
        </x14:dataValidation>
        <x14:dataValidation type="list" allowBlank="1" showInputMessage="1" showErrorMessage="1" xr:uid="{00000000-0002-0000-5100-000007000000}">
          <x14:formula1>
            <xm:f>SDÖ5!$C$5:$C$16</xm:f>
          </x14:formula1>
          <xm:sqref>C36:E42</xm:sqref>
        </x14:dataValidation>
        <x14:dataValidation type="list" allowBlank="1" showInputMessage="1" showErrorMessage="1" errorTitle="Arbeitsgänge" error="Bitte aus Dropdownliste auswählen." xr:uid="{00000000-0002-0000-5100-000008000000}">
          <x14:formula1>
            <xm:f>'SD3'!$C$23:$C$75</xm:f>
          </x14:formula1>
          <xm:sqref>C46:D57</xm:sqref>
        </x14:dataValidation>
        <x14:dataValidation type="list" allowBlank="1" showInputMessage="1" showErrorMessage="1" errorTitle="Lohnmaschinen" error="Bitte aus Dropdownliste auswählen." xr:uid="{00000000-0002-0000-5100-000009000000}">
          <x14:formula1>
            <xm:f>'SD3'!$C$90:$C$104</xm:f>
          </x14:formula1>
          <xm:sqref>C62:E64</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Tabelle97">
    <tabColor rgb="FF00B050"/>
    <pageSetUpPr fitToPage="1"/>
  </sheetPr>
  <dimension ref="A1:AO206"/>
  <sheetViews>
    <sheetView workbookViewId="0">
      <selection activeCell="E4" sqref="E4:I4"/>
    </sheetView>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19.69921875" style="28" hidden="1" customWidth="1"/>
    <col min="18" max="28" width="0" style="27" hidden="1" customWidth="1"/>
    <col min="29" max="16384" width="10.5" style="27"/>
  </cols>
  <sheetData>
    <row r="1" spans="1:41" s="219" customFormat="1" ht="30.15" customHeight="1">
      <c r="A1" s="1681"/>
      <c r="B1" s="258"/>
      <c r="C1" s="1333"/>
      <c r="D1" s="100"/>
      <c r="E1" s="255"/>
      <c r="F1" s="255"/>
      <c r="G1" s="3207"/>
      <c r="H1" s="3207"/>
      <c r="I1" s="3208" t="s">
        <v>1679</v>
      </c>
      <c r="J1" s="3210">
        <f>(J7+J13+J18+J22+I11+I12)-(J23+J27+J34+J43+J60+J65+J67+J69+J71+J75)</f>
        <v>226.35141666666667</v>
      </c>
      <c r="K1" s="4360">
        <f>M1-J1</f>
        <v>45.853791666666638</v>
      </c>
      <c r="L1" s="4360"/>
      <c r="M1" s="3210">
        <f>(M7+M13+M18+M22+L11+L12)-(M23+M27+M34+M43+M60+M65+M67+M69+M71+M75)</f>
        <v>272.2052083333333</v>
      </c>
      <c r="N1" s="4360">
        <f>P1-M1</f>
        <v>45.853791666666666</v>
      </c>
      <c r="O1" s="4360"/>
      <c r="P1" s="3210">
        <f>(P7+P13+P18+P22+O11+O12)-(P23+P27+P34+P43+P60+P65+P67+P69+P71+P75)</f>
        <v>318.05899999999997</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2842"/>
      <c r="L2" s="2842"/>
      <c r="M2" s="2842"/>
      <c r="N2" s="2842"/>
      <c r="O2" s="2842"/>
      <c r="P2" s="2842"/>
      <c r="Q2" s="1681"/>
    </row>
    <row r="3" spans="1:41" s="219" customFormat="1" ht="32.4" customHeight="1">
      <c r="A3" s="1681"/>
      <c r="B3" s="4405" t="s">
        <v>1727</v>
      </c>
      <c r="C3" s="4405"/>
      <c r="D3" s="4405"/>
      <c r="E3" s="4405"/>
      <c r="F3" s="4405"/>
      <c r="G3" s="4405"/>
      <c r="H3" s="4405"/>
      <c r="J3" s="4368" t="s">
        <v>886</v>
      </c>
      <c r="K3" s="4447"/>
      <c r="L3" s="4447"/>
      <c r="M3" s="1327"/>
      <c r="N3" s="4444" t="str">
        <f>IF(AND(T3=TRUE,T4=TRUE),"nur 1 Strohnutzung möglich","")</f>
        <v/>
      </c>
      <c r="O3" s="4374"/>
      <c r="P3" s="1326"/>
      <c r="Q3" s="1681"/>
      <c r="T3" s="1343" t="b">
        <v>0</v>
      </c>
    </row>
    <row r="4" spans="1:41" s="219" customFormat="1" ht="20.25" customHeight="1">
      <c r="A4" s="1681"/>
      <c r="B4" s="309" t="s">
        <v>779</v>
      </c>
      <c r="C4" s="27"/>
      <c r="D4" s="27"/>
      <c r="E4" s="4406" t="s">
        <v>1147</v>
      </c>
      <c r="F4" s="4406"/>
      <c r="G4" s="4406"/>
      <c r="H4" s="4406"/>
      <c r="I4" s="4406"/>
      <c r="J4" s="4368" t="s">
        <v>875</v>
      </c>
      <c r="K4" s="4447"/>
      <c r="L4" s="4447"/>
      <c r="M4" s="1696"/>
      <c r="N4" s="4374"/>
      <c r="O4" s="4374"/>
      <c r="P4" s="1322">
        <f>SDÖ1!O3</f>
        <v>2024</v>
      </c>
      <c r="Q4" s="1681"/>
      <c r="T4" s="1343" t="b">
        <v>0</v>
      </c>
      <c r="U4" s="1690"/>
    </row>
    <row r="5" spans="1:41" ht="6" customHeight="1"/>
    <row r="6" spans="1:41" s="1311" customFormat="1" ht="24" customHeight="1">
      <c r="A6" s="41"/>
      <c r="B6" s="1316" t="s">
        <v>832</v>
      </c>
      <c r="C6" s="1315"/>
      <c r="D6" s="1315"/>
      <c r="E6" s="1315"/>
      <c r="F6" s="1315"/>
      <c r="G6" s="1314" t="s">
        <v>1141</v>
      </c>
      <c r="H6" s="4366"/>
      <c r="I6" s="4367"/>
      <c r="J6" s="1313">
        <v>50</v>
      </c>
      <c r="K6" s="4379"/>
      <c r="L6" s="4380"/>
      <c r="M6" s="1313">
        <v>75</v>
      </c>
      <c r="N6" s="4366"/>
      <c r="O6" s="4367"/>
      <c r="P6" s="1312">
        <v>100</v>
      </c>
      <c r="Q6" s="49"/>
    </row>
    <row r="7" spans="1:41" s="196" customFormat="1" ht="18.75" customHeight="1">
      <c r="A7" s="40"/>
      <c r="B7" s="245" t="s">
        <v>1133</v>
      </c>
      <c r="C7" s="40"/>
      <c r="D7" s="40"/>
      <c r="E7" s="40"/>
      <c r="F7" s="40"/>
      <c r="G7" s="1310" t="s">
        <v>163</v>
      </c>
      <c r="H7" s="1307"/>
      <c r="I7" s="1306"/>
      <c r="J7" s="1041">
        <f>SUM(I9:I12)</f>
        <v>0</v>
      </c>
      <c r="K7" s="1309"/>
      <c r="L7" s="1308"/>
      <c r="M7" s="1044">
        <f>SUM(L9:L12)</f>
        <v>0</v>
      </c>
      <c r="N7" s="1307"/>
      <c r="O7" s="1306"/>
      <c r="P7" s="1041">
        <f>SUM(O9:O12)</f>
        <v>0</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t="s">
        <v>882</v>
      </c>
      <c r="G9" s="1221"/>
      <c r="H9" s="1303">
        <f>J6-H10</f>
        <v>50</v>
      </c>
      <c r="I9" s="1299">
        <f>H9*G9</f>
        <v>0</v>
      </c>
      <c r="J9" s="37"/>
      <c r="K9" s="1302">
        <f>M6-K10</f>
        <v>75</v>
      </c>
      <c r="L9" s="1301">
        <f>K9*G9</f>
        <v>0</v>
      </c>
      <c r="M9" s="1280"/>
      <c r="N9" s="1300">
        <f>P6-N10</f>
        <v>100</v>
      </c>
      <c r="O9" s="1299">
        <f>N9*G9</f>
        <v>0</v>
      </c>
      <c r="P9" s="37"/>
      <c r="Q9" s="28"/>
      <c r="R9" s="517"/>
      <c r="S9" s="208" t="s">
        <v>887</v>
      </c>
      <c r="T9" s="1298"/>
    </row>
    <row r="10" spans="1:41" s="1268" customFormat="1" ht="15" customHeight="1">
      <c r="A10" s="309"/>
      <c r="B10" s="185"/>
      <c r="C10" s="223" t="s">
        <v>1131</v>
      </c>
      <c r="D10" s="1277"/>
      <c r="E10" s="4377"/>
      <c r="F10" s="4378"/>
      <c r="G10" s="1297"/>
      <c r="H10" s="1292">
        <v>0</v>
      </c>
      <c r="I10" s="1291">
        <f>H10*G10</f>
        <v>0</v>
      </c>
      <c r="J10" s="1296"/>
      <c r="K10" s="1295">
        <v>0</v>
      </c>
      <c r="L10" s="1294">
        <f>K10*G10</f>
        <v>0</v>
      </c>
      <c r="M10" s="1293"/>
      <c r="N10" s="1292">
        <v>0</v>
      </c>
      <c r="O10" s="1291">
        <f>N10*G10</f>
        <v>0</v>
      </c>
      <c r="P10" s="1290"/>
      <c r="Q10" s="34"/>
      <c r="R10" s="1289">
        <f>I10+I11+I12</f>
        <v>0</v>
      </c>
      <c r="S10" s="1288">
        <f>L10+L11+L12</f>
        <v>0</v>
      </c>
      <c r="T10" s="1287">
        <f>O10+O11+O12</f>
        <v>0</v>
      </c>
      <c r="W10" s="196" t="s">
        <v>879</v>
      </c>
    </row>
    <row r="11" spans="1:41" s="1268" customFormat="1" ht="15" customHeight="1">
      <c r="A11" s="309"/>
      <c r="B11" s="217"/>
      <c r="C11" s="39" t="s">
        <v>878</v>
      </c>
      <c r="D11" s="309"/>
      <c r="E11" s="1286"/>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37"/>
      <c r="Q11" s="34"/>
      <c r="W11" s="1268" t="s">
        <v>876</v>
      </c>
    </row>
    <row r="12" spans="1:41" s="1268" customFormat="1" ht="15"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t="str">
        <f>IF(OR(T3=TRUE,T4=TRUE),J6*$E$11,"0")</f>
        <v>0</v>
      </c>
      <c r="Y12" s="1265" t="str">
        <f>IF(OR(T3=TRUE,T4=TRUE),M6*$E$11,"0")</f>
        <v>0</v>
      </c>
      <c r="Z12" s="1264" t="str">
        <f>IF(OR(T3=TRUE,T4=TRUE),P6*$E$11,"0")</f>
        <v>0</v>
      </c>
    </row>
    <row r="13" spans="1:41" s="196" customFormat="1" ht="18.75" customHeight="1">
      <c r="A13" s="40"/>
      <c r="B13" s="209" t="s">
        <v>1130</v>
      </c>
      <c r="C13" s="40"/>
      <c r="D13" s="40"/>
      <c r="E13" s="40"/>
      <c r="F13" s="40"/>
      <c r="G13" s="1267" t="s">
        <v>163</v>
      </c>
      <c r="H13" s="1250"/>
      <c r="I13" s="1249"/>
      <c r="J13" s="2728">
        <f>SUM(I14:I17)</f>
        <v>240</v>
      </c>
      <c r="K13" s="1252"/>
      <c r="L13" s="1251"/>
      <c r="M13" s="1016">
        <f>SUM(L14:L16)</f>
        <v>240</v>
      </c>
      <c r="N13" s="1250"/>
      <c r="O13" s="1249"/>
      <c r="P13" s="1041">
        <f>SUM(O14:O16)</f>
        <v>240</v>
      </c>
      <c r="Q13" s="28"/>
      <c r="R13" s="100"/>
      <c r="U13" s="36"/>
      <c r="V13" s="36"/>
      <c r="X13" s="1264" t="str">
        <f>IF(OR(T4=TRUE,T5=TRUE),J7*$E$11,"0")</f>
        <v>0</v>
      </c>
      <c r="Y13" s="1265" t="str">
        <f>IF(OR(T4=TRUE,T5=TRUE),M7*$E$11,"0")</f>
        <v>0</v>
      </c>
      <c r="Z13" s="1264" t="str">
        <f>IF(OR(T4=TRUE,T5=TRUE),P7*$E$11,"0")</f>
        <v>0</v>
      </c>
    </row>
    <row r="14" spans="1:41" s="36" customFormat="1" ht="15" customHeight="1">
      <c r="A14" s="39"/>
      <c r="B14" s="1247"/>
      <c r="C14" s="4365" t="s">
        <v>1511</v>
      </c>
      <c r="D14" s="4365"/>
      <c r="E14" s="4365"/>
      <c r="F14" s="4365"/>
      <c r="G14" s="1263"/>
      <c r="H14" s="1391" t="s">
        <v>919</v>
      </c>
      <c r="I14" s="2827">
        <f>IF(H14="ja",Q14,0)</f>
        <v>240</v>
      </c>
      <c r="J14" s="39"/>
      <c r="K14" s="1262" t="s">
        <v>919</v>
      </c>
      <c r="L14" s="1098">
        <f>IF(K14="ja",Q14,0)</f>
        <v>240</v>
      </c>
      <c r="M14" s="1016"/>
      <c r="N14" s="1262" t="s">
        <v>919</v>
      </c>
      <c r="O14" s="2827">
        <f>IF(N14="ja",Q14,0)</f>
        <v>240</v>
      </c>
      <c r="P14" s="2826"/>
      <c r="Q14" s="1261">
        <f>IF(C14=0,0,VLOOKUP(C14,'SD2'!$C$11:$O$50,'SD2'!$O$1,FALSE))</f>
        <v>240</v>
      </c>
      <c r="R14" s="1350"/>
      <c r="S14" s="1349"/>
      <c r="T14" s="1348"/>
      <c r="W14" s="36" t="s">
        <v>236</v>
      </c>
      <c r="X14" s="1260">
        <f>$X$12*F31</f>
        <v>0</v>
      </c>
      <c r="Y14" s="1260">
        <f>$Y$12*F31</f>
        <v>0</v>
      </c>
      <c r="Z14" s="1260">
        <f>$Z$12*F31</f>
        <v>0</v>
      </c>
    </row>
    <row r="15" spans="1:41" s="36" customFormat="1" ht="15" customHeight="1">
      <c r="A15" s="39"/>
      <c r="B15" s="1247"/>
      <c r="C15" s="4365"/>
      <c r="D15" s="4365"/>
      <c r="E15" s="4365"/>
      <c r="F15" s="4365"/>
      <c r="G15" s="1263"/>
      <c r="H15" s="1262" t="s">
        <v>871</v>
      </c>
      <c r="I15" s="2827">
        <f>IF(H15="ja",Q15,0)</f>
        <v>0</v>
      </c>
      <c r="J15" s="39"/>
      <c r="K15" s="1262" t="s">
        <v>871</v>
      </c>
      <c r="L15" s="1098">
        <f>IF(K15="ja",Q15,0)</f>
        <v>0</v>
      </c>
      <c r="M15" s="1016"/>
      <c r="N15" s="1262" t="s">
        <v>871</v>
      </c>
      <c r="O15" s="2827">
        <f>IF(N15="ja",Q15,0)</f>
        <v>0</v>
      </c>
      <c r="P15" s="2826"/>
      <c r="Q15" s="1261">
        <f>IF(C15=0,0,VLOOKUP(C15,'SD2'!$C$11:$O$50,'SD2'!$O$1,FALSE))</f>
        <v>0</v>
      </c>
      <c r="R15" s="1347"/>
      <c r="S15" s="1343"/>
      <c r="T15" s="1346"/>
      <c r="W15" s="36" t="s">
        <v>685</v>
      </c>
      <c r="X15" s="1260">
        <f>$X$12*F32</f>
        <v>0</v>
      </c>
      <c r="Y15" s="1260">
        <f>$Y$12*F32</f>
        <v>0</v>
      </c>
      <c r="Z15" s="1260">
        <f>$Z$12*F32</f>
        <v>0</v>
      </c>
    </row>
    <row r="16" spans="1:41" s="36" customFormat="1" ht="15" customHeight="1">
      <c r="A16" s="39"/>
      <c r="B16" s="1247"/>
      <c r="C16" s="4365"/>
      <c r="D16" s="4365"/>
      <c r="E16" s="4365"/>
      <c r="F16" s="4365"/>
      <c r="G16" s="1263"/>
      <c r="H16" s="1262" t="s">
        <v>871</v>
      </c>
      <c r="I16" s="2827">
        <f>IF(H16="ja",Q16,0)</f>
        <v>0</v>
      </c>
      <c r="J16" s="39"/>
      <c r="K16" s="1262" t="s">
        <v>871</v>
      </c>
      <c r="L16" s="1098">
        <f>IF(K16="ja",Q16,0)</f>
        <v>0</v>
      </c>
      <c r="M16" s="1016"/>
      <c r="N16" s="1262" t="s">
        <v>871</v>
      </c>
      <c r="O16" s="2827">
        <f>IF(N16="ja",Q16,0)</f>
        <v>0</v>
      </c>
      <c r="P16" s="2826"/>
      <c r="Q16" s="1261">
        <f>IF(C16=0,0,VLOOKUP(C16,'SD2'!$C$11:$O$50,'SD2'!$O$1,FALSE))</f>
        <v>0</v>
      </c>
      <c r="R16" s="1347"/>
      <c r="S16" s="1343"/>
      <c r="T16" s="1346"/>
      <c r="W16" s="36" t="s">
        <v>684</v>
      </c>
      <c r="X16" s="1260">
        <f>$X$12*F33</f>
        <v>0</v>
      </c>
      <c r="Y16" s="1260">
        <f>$Y$12*F33</f>
        <v>0</v>
      </c>
      <c r="Z16" s="1260">
        <f>$Z$12*F33</f>
        <v>0</v>
      </c>
    </row>
    <row r="17" spans="1:26" s="511" customFormat="1" ht="15" customHeight="1">
      <c r="A17" s="40"/>
      <c r="B17" s="1247"/>
      <c r="C17" s="4365"/>
      <c r="D17" s="4365"/>
      <c r="E17" s="4365"/>
      <c r="F17" s="4365"/>
      <c r="G17" s="1263"/>
      <c r="H17" s="1262" t="s">
        <v>871</v>
      </c>
      <c r="I17" s="2827">
        <f>IF(H17="ja",Q17,0)</f>
        <v>0</v>
      </c>
      <c r="J17" s="39"/>
      <c r="K17" s="1262" t="s">
        <v>871</v>
      </c>
      <c r="L17" s="1098">
        <f>IF(K17="ja",Q17,0)</f>
        <v>0</v>
      </c>
      <c r="M17" s="1016"/>
      <c r="N17" s="1262" t="s">
        <v>871</v>
      </c>
      <c r="O17" s="2827">
        <f>IF(N17="ja",Q17,0)</f>
        <v>0</v>
      </c>
      <c r="P17" s="2826"/>
      <c r="Q17" s="1261">
        <f>IF(C17=0,0,VLOOKUP(C17,'SD2'!$C$11:$O$50,'SD2'!$O$1,FALSE))</f>
        <v>0</v>
      </c>
      <c r="W17" s="36" t="s">
        <v>230</v>
      </c>
      <c r="X17" s="1260">
        <f>$X$12*F34</f>
        <v>0</v>
      </c>
      <c r="Y17" s="1260">
        <f>$Y$12*F34</f>
        <v>0</v>
      </c>
      <c r="Z17" s="1260">
        <f>$Z$12*F34</f>
        <v>0</v>
      </c>
    </row>
    <row r="18" spans="1:26" s="36" customFormat="1" ht="18.75" customHeight="1">
      <c r="A18" s="39"/>
      <c r="B18" s="209" t="s">
        <v>1563</v>
      </c>
      <c r="C18" s="1672"/>
      <c r="D18" s="1672"/>
      <c r="E18" s="1672"/>
      <c r="F18" s="1672"/>
      <c r="G18" s="2464"/>
      <c r="H18" s="2249"/>
      <c r="I18" s="3474"/>
      <c r="J18" s="1041">
        <f>SUM(I19:I21)</f>
        <v>177</v>
      </c>
      <c r="K18" s="2250"/>
      <c r="L18" s="2466"/>
      <c r="M18" s="1044">
        <f>SUM(L19:L21)</f>
        <v>177</v>
      </c>
      <c r="N18" s="2249"/>
      <c r="O18" s="3474"/>
      <c r="P18" s="1111">
        <f>SUM(O19:O21)</f>
        <v>177</v>
      </c>
      <c r="Q18" s="28"/>
      <c r="R18" s="514" t="s">
        <v>870</v>
      </c>
      <c r="S18" s="308"/>
      <c r="T18" s="1248"/>
    </row>
    <row r="19" spans="1:26" ht="15.6" customHeight="1">
      <c r="A19" s="309"/>
      <c r="B19" s="1247"/>
      <c r="C19" s="4365" t="s">
        <v>1560</v>
      </c>
      <c r="D19" s="4365"/>
      <c r="E19" s="4365"/>
      <c r="F19" s="4365"/>
      <c r="G19" s="1246" t="s">
        <v>163</v>
      </c>
      <c r="H19" s="1244"/>
      <c r="I19" s="2827">
        <f>IF(OR($C19=0,$J$6=0),0,VLOOKUP($C19,'SD2'!C60:O78,12,FALSE))</f>
        <v>155</v>
      </c>
      <c r="J19" s="39"/>
      <c r="K19" s="1245"/>
      <c r="L19" s="1098">
        <f>IF(OR($C19=0,$M$6=0),0,VLOOKUP($C19,'SD2'!$C$60:$N$77,12,FALSE))</f>
        <v>155</v>
      </c>
      <c r="M19" s="1016"/>
      <c r="N19" s="1244"/>
      <c r="O19" s="2827">
        <f>IF(OR($C19=0,$P$6=0),0,VLOOKUP($C19,'SD2'!C60:O78,12,FALSE))</f>
        <v>155</v>
      </c>
      <c r="P19" s="2826"/>
      <c r="R19" s="1242">
        <f>J13+J18</f>
        <v>417</v>
      </c>
      <c r="S19" s="1242">
        <f>M13+M18</f>
        <v>417</v>
      </c>
      <c r="T19" s="1242">
        <f>P13+P18</f>
        <v>417</v>
      </c>
    </row>
    <row r="20" spans="1:26" s="2894" customFormat="1" ht="15.6" customHeight="1">
      <c r="A20" s="2788"/>
      <c r="B20" s="1247"/>
      <c r="C20" s="4365" t="s">
        <v>1675</v>
      </c>
      <c r="D20" s="4365"/>
      <c r="E20" s="4365"/>
      <c r="F20" s="4365"/>
      <c r="G20" s="2914"/>
      <c r="H20" s="1244"/>
      <c r="I20" s="2827">
        <f>IF(OR($C20=0,$J$6=0),0,VLOOKUP($C20,'SD2'!C61:O79,12,FALSE))</f>
        <v>22</v>
      </c>
      <c r="J20" s="2783"/>
      <c r="K20" s="1245"/>
      <c r="L20" s="2829">
        <f>IF(OR($C20=0,$M$6=0),0,VLOOKUP($C20,'SD2'!$C$60:$N$77,12,FALSE))</f>
        <v>22</v>
      </c>
      <c r="M20" s="2795"/>
      <c r="N20" s="1244"/>
      <c r="O20" s="2827">
        <f>IF(OR($C20=0,$P$6=0),0,VLOOKUP($C20,'SD2'!C61:O79,12,FALSE))</f>
        <v>22</v>
      </c>
      <c r="P20" s="2826"/>
      <c r="Q20" s="2895"/>
      <c r="R20" s="2888"/>
      <c r="S20" s="2888"/>
      <c r="T20" s="2888"/>
    </row>
    <row r="21" spans="1:26" s="2894" customFormat="1" ht="15.6" customHeight="1">
      <c r="A21" s="2788"/>
      <c r="B21" s="1247"/>
      <c r="C21" s="4365"/>
      <c r="D21" s="4365"/>
      <c r="E21" s="4365"/>
      <c r="F21" s="4365"/>
      <c r="G21" s="2914"/>
      <c r="H21" s="1244"/>
      <c r="I21" s="2827">
        <f>IF(OR($C21=0,$J$6=0),0,VLOOKUP($C21,'SD2'!C62:O79,12,FALSE))</f>
        <v>0</v>
      </c>
      <c r="J21" s="2783"/>
      <c r="K21" s="1245"/>
      <c r="L21" s="2829">
        <f>IF(OR($C21=0,$M$6=0),0,VLOOKUP($C21,'SD2'!$C$60:$N$77,12,FALSE))</f>
        <v>0</v>
      </c>
      <c r="M21" s="2795"/>
      <c r="N21" s="1244"/>
      <c r="O21" s="2827">
        <f>IF(OR($C21=0,$P$6=0),0,VLOOKUP($C21,'SD2'!C62:O79,12,FALSE))</f>
        <v>0</v>
      </c>
      <c r="P21" s="2826"/>
      <c r="Q21" s="2895"/>
      <c r="R21" s="2888"/>
      <c r="S21" s="2888"/>
      <c r="T21" s="2888"/>
    </row>
    <row r="22" spans="1:26" ht="15.6" customHeight="1">
      <c r="A22" s="309"/>
      <c r="B22" s="245" t="s">
        <v>869</v>
      </c>
      <c r="C22" s="39"/>
      <c r="D22" s="1234"/>
      <c r="E22" s="4370" t="s">
        <v>868</v>
      </c>
      <c r="F22" s="4370"/>
      <c r="G22" s="4371"/>
      <c r="H22" s="1231"/>
      <c r="I22" s="1230"/>
      <c r="J22" s="1229"/>
      <c r="K22" s="1233"/>
      <c r="L22" s="1232"/>
      <c r="M22" s="1229"/>
      <c r="N22" s="1231"/>
      <c r="O22" s="1230"/>
      <c r="P22" s="1229"/>
    </row>
    <row r="23" spans="1:26" s="36" customFormat="1" ht="18.75" customHeight="1">
      <c r="A23" s="746"/>
      <c r="B23" s="209" t="s">
        <v>214</v>
      </c>
      <c r="C23" s="1228"/>
      <c r="D23" s="1228"/>
      <c r="E23" s="34"/>
      <c r="F23" s="4381"/>
      <c r="G23" s="4382" t="s">
        <v>163</v>
      </c>
      <c r="H23" s="1043"/>
      <c r="I23" s="1042"/>
      <c r="J23" s="1026">
        <f>SUM(I25:I26)</f>
        <v>0</v>
      </c>
      <c r="K23" s="1046"/>
      <c r="L23" s="1045"/>
      <c r="M23" s="1227">
        <f>SUM(L25:L26)</f>
        <v>0</v>
      </c>
      <c r="N23" s="1043"/>
      <c r="O23" s="1042"/>
      <c r="P23" s="1026">
        <f>SUM(O25:O26)</f>
        <v>0</v>
      </c>
      <c r="Q23" s="28"/>
      <c r="R23" s="36" t="s">
        <v>1140</v>
      </c>
    </row>
    <row r="24" spans="1:26"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26" s="511" customFormat="1" ht="18.75" customHeight="1">
      <c r="A25" s="711"/>
      <c r="B25" s="1223"/>
      <c r="C25" s="746" t="s">
        <v>866</v>
      </c>
      <c r="D25" s="4383"/>
      <c r="E25" s="4384"/>
      <c r="F25" s="1222"/>
      <c r="G25" s="1221">
        <f>F25*(100+$D$24)/100</f>
        <v>0</v>
      </c>
      <c r="H25" s="1220"/>
      <c r="I25" s="1181">
        <f>H25*$G25</f>
        <v>0</v>
      </c>
      <c r="J25" s="39"/>
      <c r="K25" s="1220">
        <f>H25</f>
        <v>0</v>
      </c>
      <c r="L25" s="1023">
        <f>K25*$G25</f>
        <v>0</v>
      </c>
      <c r="M25" s="1016"/>
      <c r="N25" s="1220">
        <f>H25</f>
        <v>0</v>
      </c>
      <c r="O25" s="1181">
        <f>N25*$G25</f>
        <v>0</v>
      </c>
      <c r="P25" s="1145"/>
      <c r="Q25" s="28"/>
    </row>
    <row r="26" spans="1:26"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26" s="511" customFormat="1" ht="17.399999999999999" customHeight="1">
      <c r="A27" s="711"/>
      <c r="B27" s="1215" t="s">
        <v>213</v>
      </c>
      <c r="C27" s="711"/>
      <c r="D27" s="51"/>
      <c r="E27" s="34"/>
      <c r="F27" s="34"/>
      <c r="G27" s="1214" t="s">
        <v>163</v>
      </c>
      <c r="H27" s="1173"/>
      <c r="I27" s="1172"/>
      <c r="J27" s="1041">
        <f>SUM(I30:I32)</f>
        <v>12.95</v>
      </c>
      <c r="K27" s="1175"/>
      <c r="L27" s="1174"/>
      <c r="M27" s="1044">
        <f>SUM(L30:L32)</f>
        <v>-32.375</v>
      </c>
      <c r="N27" s="1173"/>
      <c r="O27" s="1172"/>
      <c r="P27" s="1041">
        <f>SUM(O30:O32)</f>
        <v>-77.699999999999989</v>
      </c>
      <c r="Q27" s="28"/>
    </row>
    <row r="28" spans="1:26" s="36" customFormat="1" ht="15" customHeight="1">
      <c r="A28" s="746"/>
      <c r="B28" s="774"/>
      <c r="C28" s="2373"/>
      <c r="D28" s="1213" t="s">
        <v>706</v>
      </c>
      <c r="E28" s="1213" t="s">
        <v>864</v>
      </c>
      <c r="F28" s="1213" t="s">
        <v>864</v>
      </c>
      <c r="G28" s="1212" t="s">
        <v>863</v>
      </c>
      <c r="H28" s="1172"/>
      <c r="I28" s="1209"/>
      <c r="J28" s="2374"/>
      <c r="K28" s="1175"/>
      <c r="L28" s="1105"/>
      <c r="M28" s="1210"/>
      <c r="N28" s="1173"/>
      <c r="O28" s="1209"/>
      <c r="P28" s="1026"/>
      <c r="Q28" s="28"/>
    </row>
    <row r="29" spans="1:26" s="36" customFormat="1" ht="15" customHeight="1">
      <c r="A29" s="746"/>
      <c r="B29" s="1208"/>
      <c r="C29" s="747" t="s">
        <v>862</v>
      </c>
      <c r="D29" s="1034" t="s">
        <v>611</v>
      </c>
      <c r="E29" s="1034" t="s">
        <v>861</v>
      </c>
      <c r="F29" s="1034" t="s">
        <v>860</v>
      </c>
      <c r="G29" s="1034" t="s">
        <v>1128</v>
      </c>
      <c r="H29" s="1205" t="s">
        <v>612</v>
      </c>
      <c r="I29" s="1027" t="s">
        <v>163</v>
      </c>
      <c r="J29" s="2373"/>
      <c r="K29" s="1207" t="s">
        <v>612</v>
      </c>
      <c r="L29" s="1030" t="s">
        <v>163</v>
      </c>
      <c r="M29" s="1206"/>
      <c r="N29" s="1205" t="s">
        <v>612</v>
      </c>
      <c r="O29" s="1027" t="s">
        <v>163</v>
      </c>
      <c r="P29" s="1204"/>
      <c r="Q29" s="28"/>
    </row>
    <row r="30" spans="1:26" s="36" customFormat="1" ht="15" customHeight="1">
      <c r="A30" s="746"/>
      <c r="B30" s="1203"/>
      <c r="C30" s="1202" t="s">
        <v>236</v>
      </c>
      <c r="D30" s="1150">
        <f>SDÖ1!O56</f>
        <v>5.18</v>
      </c>
      <c r="E30" s="1201">
        <v>-0.35</v>
      </c>
      <c r="F30" s="1201"/>
      <c r="G30" s="1200">
        <v>20</v>
      </c>
      <c r="H30" s="1198">
        <f>IF(J$6=0,0,(J$6*$E30+$G30+X13))</f>
        <v>2.5</v>
      </c>
      <c r="I30" s="1181">
        <f>H30*$D30</f>
        <v>12.95</v>
      </c>
      <c r="J30" s="39"/>
      <c r="K30" s="1199">
        <f>IF(M$6=0,0,(M$6*$E30+$G30+AA14))</f>
        <v>-6.25</v>
      </c>
      <c r="L30" s="1023">
        <f>K30*$D30</f>
        <v>-32.375</v>
      </c>
      <c r="M30" s="1016"/>
      <c r="N30" s="1198">
        <f>IF(P$6=0,0,(P$6*$E30+$G30+AD14))</f>
        <v>-15</v>
      </c>
      <c r="O30" s="1181">
        <f>N30*$D30</f>
        <v>-77.699999999999989</v>
      </c>
      <c r="P30" s="1145"/>
      <c r="Q30" s="28"/>
    </row>
    <row r="31" spans="1:26" s="36" customFormat="1" ht="15" customHeight="1">
      <c r="A31" s="746"/>
      <c r="B31" s="217"/>
      <c r="C31" s="746" t="s">
        <v>234</v>
      </c>
      <c r="D31" s="1150">
        <f>SDÖ1!O57</f>
        <v>1.42</v>
      </c>
      <c r="E31" s="1201"/>
      <c r="F31" s="1201"/>
      <c r="G31" s="1200"/>
      <c r="H31" s="1198">
        <f>IF(J$6=0,0,(J$6*$E31+$G31+X14))</f>
        <v>0</v>
      </c>
      <c r="I31" s="1181">
        <f>H31*$D31</f>
        <v>0</v>
      </c>
      <c r="J31" s="39"/>
      <c r="K31" s="1199">
        <f>IF(M$6=0,0,(M$6*$E31+$G31+Y14))</f>
        <v>0</v>
      </c>
      <c r="L31" s="1023">
        <f>K31*$D31</f>
        <v>0</v>
      </c>
      <c r="M31" s="1016"/>
      <c r="N31" s="1198">
        <f>IF(P$6=0,0,(P$6*$E31+$G31+Z14))</f>
        <v>0</v>
      </c>
      <c r="O31" s="1181">
        <f>N31*$D31</f>
        <v>0</v>
      </c>
      <c r="P31" s="1145"/>
      <c r="Q31" s="28"/>
    </row>
    <row r="32" spans="1:26" s="511" customFormat="1" ht="18.75" customHeight="1">
      <c r="A32" s="711"/>
      <c r="B32" s="185"/>
      <c r="C32" s="2791" t="s">
        <v>232</v>
      </c>
      <c r="D32" s="1133">
        <f>SDÖ1!O58</f>
        <v>1.78</v>
      </c>
      <c r="E32" s="1197"/>
      <c r="F32" s="1197"/>
      <c r="G32" s="1196"/>
      <c r="H32" s="1194">
        <f>IF(J$6=0,0,(J$6*$E32+$G32+X15))</f>
        <v>0</v>
      </c>
      <c r="I32" s="1177">
        <f>H32*$D32</f>
        <v>0</v>
      </c>
      <c r="J32" s="223"/>
      <c r="K32" s="1195">
        <f>IF(M$6=0,0,(M$6*$E32+$G32+Y15))</f>
        <v>0</v>
      </c>
      <c r="L32" s="1017">
        <f>K32*$D32</f>
        <v>0</v>
      </c>
      <c r="M32" s="1256"/>
      <c r="N32" s="1194">
        <f>IF(P$6=0,0,(P$6*$E32+$G32+Z15))</f>
        <v>0</v>
      </c>
      <c r="O32" s="1177">
        <f>N32*$D32</f>
        <v>0</v>
      </c>
      <c r="P32" s="1176"/>
      <c r="Q32" s="28"/>
    </row>
    <row r="33" spans="1:17" s="511" customFormat="1" ht="13.2" hidden="1" customHeight="1">
      <c r="A33" s="711"/>
      <c r="B33" s="185"/>
      <c r="C33" s="771" t="s">
        <v>230</v>
      </c>
      <c r="D33" s="1133">
        <f>SDÖ1!P59</f>
        <v>0.5</v>
      </c>
      <c r="E33" s="1197"/>
      <c r="F33" s="1197"/>
      <c r="G33" s="1196"/>
      <c r="H33" s="1194">
        <f>IF(J$6=0,0,(J$6*$E33+$G33+X16))</f>
        <v>0</v>
      </c>
      <c r="I33" s="1177">
        <f>H33*$D33</f>
        <v>0</v>
      </c>
      <c r="J33" s="39"/>
      <c r="K33" s="1195">
        <f>IF(M$6=0,0,(M$6*$E33+$G33+Y16))</f>
        <v>0</v>
      </c>
      <c r="L33" s="1017">
        <f>K33*$D33</f>
        <v>0</v>
      </c>
      <c r="M33" s="1016"/>
      <c r="N33" s="1194">
        <f>IF(P$6=0,0,(P$6*$E33+$G33+Z16))</f>
        <v>0</v>
      </c>
      <c r="O33" s="1177">
        <f>N33*$D33</f>
        <v>0</v>
      </c>
      <c r="P33" s="1176"/>
      <c r="Q33" s="28"/>
    </row>
    <row r="34" spans="1:17" s="36" customFormat="1" ht="15" customHeight="1">
      <c r="A34" s="746"/>
      <c r="B34" s="716" t="s">
        <v>1127</v>
      </c>
      <c r="C34" s="711"/>
      <c r="D34" s="2373"/>
      <c r="E34" s="2373"/>
      <c r="F34" s="4381"/>
      <c r="G34" s="4382" t="s">
        <v>163</v>
      </c>
      <c r="H34" s="1191"/>
      <c r="I34" s="1190"/>
      <c r="J34" s="1041">
        <f>SUM(I36:I42)</f>
        <v>0</v>
      </c>
      <c r="K34" s="1193"/>
      <c r="L34" s="1192"/>
      <c r="M34" s="1044">
        <f>SUM(L36:L42)</f>
        <v>0</v>
      </c>
      <c r="N34" s="1191"/>
      <c r="O34" s="1190"/>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1182"/>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f>SUM(J46:J57)</f>
        <v>0</v>
      </c>
      <c r="K43" s="1175"/>
      <c r="L43" s="1174"/>
      <c r="M43" s="1044">
        <f>SUM(M46:M57)</f>
        <v>0</v>
      </c>
      <c r="N43" s="1173"/>
      <c r="O43" s="1172"/>
      <c r="P43" s="1041">
        <f>SUM(P46:P57)</f>
        <v>0</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3"/>
      <c r="C46" s="4387"/>
      <c r="D46" s="4388"/>
      <c r="E46" s="1152">
        <f>IF($C46=0,0,VLOOKUP($C46,'SD3'!$C$24:$O$71,4,FALSE))</f>
        <v>0</v>
      </c>
      <c r="F46" s="1151">
        <f>IF($C46=0,0,VLOOKUP($C46,'SD3'!$C$24:$O$71,12,FALSE))</f>
        <v>0</v>
      </c>
      <c r="G46" s="1150">
        <f>IF($C46=0,0,VLOOKUP($C46,'SD3'!$C$24:$O$71,13,FALSE))</f>
        <v>0</v>
      </c>
      <c r="H46" s="1147"/>
      <c r="I46" s="1146">
        <f t="shared" ref="I46:I56" si="4">$F46*H46</f>
        <v>0</v>
      </c>
      <c r="J46" s="1145">
        <f t="shared" ref="J46:J56" si="5">H46*$G46</f>
        <v>0</v>
      </c>
      <c r="K46" s="1147"/>
      <c r="L46" s="1149">
        <f t="shared" ref="L46:L56" si="6">$F46*K46</f>
        <v>0</v>
      </c>
      <c r="M46" s="1148">
        <f t="shared" ref="M46:M56" si="7">K46*$G46</f>
        <v>0</v>
      </c>
      <c r="N46" s="1147"/>
      <c r="O46" s="1146">
        <f t="shared" ref="O46:O56" si="8">$F46*N46</f>
        <v>0</v>
      </c>
      <c r="P46" s="1145">
        <f t="shared" ref="P46:P56" si="9">N46*$G46</f>
        <v>0</v>
      </c>
      <c r="Q46" s="28"/>
    </row>
    <row r="47" spans="1:17" s="36" customFormat="1" ht="15" customHeight="1">
      <c r="A47" s="746"/>
      <c r="B47" s="1153"/>
      <c r="C47" s="4387"/>
      <c r="D47" s="4388"/>
      <c r="E47" s="1152">
        <f>IF($C47=0,0,VLOOKUP($C47,'SD3'!$C$24:$O$71,4,FALSE))</f>
        <v>0</v>
      </c>
      <c r="F47" s="1151">
        <f>IF($C47=0,0,VLOOKUP($C47,'SD3'!$C$24:$O$71,12,FALSE))</f>
        <v>0</v>
      </c>
      <c r="G47" s="1150">
        <f>IF($C47=0,0,VLOOKUP($C47,'SD3'!$C$24:$O$71,13,FALSE))</f>
        <v>0</v>
      </c>
      <c r="H47" s="1147"/>
      <c r="I47" s="1146">
        <f t="shared" si="4"/>
        <v>0</v>
      </c>
      <c r="J47" s="1145">
        <f t="shared" si="5"/>
        <v>0</v>
      </c>
      <c r="K47" s="1147"/>
      <c r="L47" s="1149">
        <f t="shared" si="6"/>
        <v>0</v>
      </c>
      <c r="M47" s="1148">
        <f t="shared" si="7"/>
        <v>0</v>
      </c>
      <c r="N47" s="1147"/>
      <c r="O47" s="1146">
        <f t="shared" si="8"/>
        <v>0</v>
      </c>
      <c r="P47" s="1145">
        <f t="shared" si="9"/>
        <v>0</v>
      </c>
      <c r="Q47" s="28"/>
    </row>
    <row r="48" spans="1:17" s="36" customFormat="1" ht="15" customHeight="1">
      <c r="A48" s="746"/>
      <c r="B48" s="1153"/>
      <c r="C48" s="4387"/>
      <c r="D48" s="4388"/>
      <c r="E48" s="1152">
        <f>IF($C48=0,0,VLOOKUP($C48,'SD3'!$C$24:$O$71,4,FALSE))</f>
        <v>0</v>
      </c>
      <c r="F48" s="1151">
        <f>IF($C48=0,0,VLOOKUP($C48,'SD3'!$C$24:$O$71,12,FALSE))</f>
        <v>0</v>
      </c>
      <c r="G48" s="1150">
        <f>IF($C48=0,0,VLOOKUP($C48,'SD3'!$C$24:$O$71,13,FALSE))</f>
        <v>0</v>
      </c>
      <c r="H48" s="1147"/>
      <c r="I48" s="1146">
        <f t="shared" si="4"/>
        <v>0</v>
      </c>
      <c r="J48" s="1145">
        <f t="shared" si="5"/>
        <v>0</v>
      </c>
      <c r="K48" s="1147"/>
      <c r="L48" s="1149">
        <f t="shared" si="6"/>
        <v>0</v>
      </c>
      <c r="M48" s="1148">
        <f t="shared" si="7"/>
        <v>0</v>
      </c>
      <c r="N48" s="1147"/>
      <c r="O48" s="1146">
        <f t="shared" si="8"/>
        <v>0</v>
      </c>
      <c r="P48" s="1145">
        <f t="shared" si="9"/>
        <v>0</v>
      </c>
      <c r="Q48" s="28"/>
    </row>
    <row r="49" spans="1:17" s="36" customFormat="1" ht="15" customHeight="1">
      <c r="A49" s="746"/>
      <c r="B49" s="1153"/>
      <c r="C49" s="4387"/>
      <c r="D49" s="4388"/>
      <c r="E49" s="1152">
        <f>IF($C49=0,0,VLOOKUP($C49,'SD3'!$C$24:$O$71,4,FALSE))</f>
        <v>0</v>
      </c>
      <c r="F49" s="1151">
        <f>IF($C49=0,0,VLOOKUP($C49,'SD3'!$C$24:$O$71,12,FALSE))</f>
        <v>0</v>
      </c>
      <c r="G49" s="1150">
        <f>IF($C49=0,0,VLOOKUP($C49,'SD3'!$C$24:$O$71,13,FALSE))</f>
        <v>0</v>
      </c>
      <c r="H49" s="1147"/>
      <c r="I49" s="1146">
        <f t="shared" si="4"/>
        <v>0</v>
      </c>
      <c r="J49" s="1145">
        <f t="shared" si="5"/>
        <v>0</v>
      </c>
      <c r="K49" s="1147"/>
      <c r="L49" s="1149">
        <f t="shared" si="6"/>
        <v>0</v>
      </c>
      <c r="M49" s="1148">
        <f t="shared" si="7"/>
        <v>0</v>
      </c>
      <c r="N49" s="1147"/>
      <c r="O49" s="1146">
        <f t="shared" si="8"/>
        <v>0</v>
      </c>
      <c r="P49" s="1145">
        <f t="shared" si="9"/>
        <v>0</v>
      </c>
      <c r="Q49" s="28"/>
    </row>
    <row r="50" spans="1:17" s="36" customFormat="1" ht="15" customHeight="1">
      <c r="A50" s="746"/>
      <c r="B50" s="1153"/>
      <c r="C50" s="4387"/>
      <c r="D50" s="4388"/>
      <c r="E50" s="1152">
        <f>IF($C50=0,0,VLOOKUP($C50,'SD3'!$C$24:$O$71,4,FALSE))</f>
        <v>0</v>
      </c>
      <c r="F50" s="1151">
        <f>IF($C50=0,0,VLOOKUP($C50,'SD3'!$C$24:$O$71,12,FALSE))</f>
        <v>0</v>
      </c>
      <c r="G50" s="1150">
        <f>IF($C50=0,0,VLOOKUP($C50,'SD3'!$C$24:$O$71,13,FALSE))</f>
        <v>0</v>
      </c>
      <c r="H50" s="1147"/>
      <c r="I50" s="1146">
        <f t="shared" si="4"/>
        <v>0</v>
      </c>
      <c r="J50" s="1145">
        <f t="shared" si="5"/>
        <v>0</v>
      </c>
      <c r="K50" s="1147"/>
      <c r="L50" s="1149">
        <f t="shared" si="6"/>
        <v>0</v>
      </c>
      <c r="M50" s="1148">
        <f t="shared" si="7"/>
        <v>0</v>
      </c>
      <c r="N50" s="1147"/>
      <c r="O50" s="1146">
        <f t="shared" si="8"/>
        <v>0</v>
      </c>
      <c r="P50" s="1145">
        <f t="shared" si="9"/>
        <v>0</v>
      </c>
      <c r="Q50" s="28"/>
    </row>
    <row r="51" spans="1:17" s="36" customFormat="1" ht="15" customHeight="1">
      <c r="A51" s="746"/>
      <c r="B51" s="1153"/>
      <c r="C51" s="4387"/>
      <c r="D51" s="4388"/>
      <c r="E51" s="1152">
        <f>IF($C51=0,0,VLOOKUP($C51,'SD3'!$C$24:$O$71,4,FALSE))</f>
        <v>0</v>
      </c>
      <c r="F51" s="1151">
        <f>IF($C51=0,0,VLOOKUP($C51,'SD3'!$C$24:$O$71,12,FALSE))</f>
        <v>0</v>
      </c>
      <c r="G51" s="1150">
        <f>IF($C51=0,0,VLOOKUP($C51,'SD3'!$C$24:$O$71,13,FALSE))</f>
        <v>0</v>
      </c>
      <c r="H51" s="1147"/>
      <c r="I51" s="1146">
        <f t="shared" si="4"/>
        <v>0</v>
      </c>
      <c r="J51" s="1145">
        <f t="shared" si="5"/>
        <v>0</v>
      </c>
      <c r="K51" s="1147"/>
      <c r="L51" s="1149">
        <f t="shared" si="6"/>
        <v>0</v>
      </c>
      <c r="M51" s="1148">
        <f t="shared" si="7"/>
        <v>0</v>
      </c>
      <c r="N51" s="1147"/>
      <c r="O51" s="1146">
        <f t="shared" si="8"/>
        <v>0</v>
      </c>
      <c r="P51" s="1145">
        <f t="shared" si="9"/>
        <v>0</v>
      </c>
      <c r="Q51" s="28"/>
    </row>
    <row r="52" spans="1:17" s="36" customFormat="1" ht="15" customHeight="1">
      <c r="A52" s="746"/>
      <c r="B52" s="1153"/>
      <c r="C52" s="4387"/>
      <c r="D52" s="4388"/>
      <c r="E52" s="1152">
        <f>IF($C52=0,0,VLOOKUP($C52,'SD3'!$C$24:$O$71,4,FALSE))</f>
        <v>0</v>
      </c>
      <c r="F52" s="1151">
        <f>IF($C52=0,0,VLOOKUP($C52,'SD3'!$C$24:$O$71,12,FALSE))</f>
        <v>0</v>
      </c>
      <c r="G52" s="1150">
        <f>IF($C52=0,0,VLOOKUP($C52,'SD3'!$C$24:$O$71,13,FALSE))</f>
        <v>0</v>
      </c>
      <c r="H52" s="1147"/>
      <c r="I52" s="1146">
        <f t="shared" si="4"/>
        <v>0</v>
      </c>
      <c r="J52" s="1145">
        <f t="shared" si="5"/>
        <v>0</v>
      </c>
      <c r="K52" s="1147"/>
      <c r="L52" s="1149">
        <f t="shared" si="6"/>
        <v>0</v>
      </c>
      <c r="M52" s="1148">
        <f t="shared" si="7"/>
        <v>0</v>
      </c>
      <c r="N52" s="1147"/>
      <c r="O52" s="1146">
        <f t="shared" si="8"/>
        <v>0</v>
      </c>
      <c r="P52" s="1145">
        <f t="shared" si="9"/>
        <v>0</v>
      </c>
      <c r="Q52" s="28"/>
    </row>
    <row r="53" spans="1:17" s="36" customFormat="1" ht="15" customHeight="1">
      <c r="A53" s="746"/>
      <c r="B53" s="1153"/>
      <c r="C53" s="4387"/>
      <c r="D53" s="4388"/>
      <c r="E53" s="1152">
        <f>IF($C53=0,0,VLOOKUP($C53,'SD3'!$C$24:$O$71,4,FALSE))</f>
        <v>0</v>
      </c>
      <c r="F53" s="1151">
        <f>IF($C53=0,0,VLOOKUP($C53,'SD3'!$C$24:$O$71,12,FALSE))</f>
        <v>0</v>
      </c>
      <c r="G53" s="1150">
        <f>IF($C53=0,0,VLOOKUP($C53,'SD3'!$C$24:$O$71,13,FALSE))</f>
        <v>0</v>
      </c>
      <c r="H53" s="1147"/>
      <c r="I53" s="1146">
        <f t="shared" si="4"/>
        <v>0</v>
      </c>
      <c r="J53" s="1145">
        <f t="shared" si="5"/>
        <v>0</v>
      </c>
      <c r="K53" s="1147"/>
      <c r="L53" s="1149">
        <f t="shared" si="6"/>
        <v>0</v>
      </c>
      <c r="M53" s="1148">
        <f t="shared" si="7"/>
        <v>0</v>
      </c>
      <c r="N53" s="1147"/>
      <c r="O53" s="1146">
        <f t="shared" si="8"/>
        <v>0</v>
      </c>
      <c r="P53" s="1145">
        <f t="shared" si="9"/>
        <v>0</v>
      </c>
      <c r="Q53" s="28"/>
    </row>
    <row r="54" spans="1:17" s="36" customFormat="1" ht="15" customHeight="1">
      <c r="A54" s="746"/>
      <c r="B54" s="1153"/>
      <c r="C54" s="4387"/>
      <c r="D54" s="4388"/>
      <c r="E54" s="1152">
        <f>IF($C54=0,0,VLOOKUP($C54,'SD3'!$C$24:$O$71,4,FALSE))</f>
        <v>0</v>
      </c>
      <c r="F54" s="1151">
        <f>IF($C54=0,0,VLOOKUP($C54,'SD3'!$C$24:$O$71,12,FALSE))</f>
        <v>0</v>
      </c>
      <c r="G54" s="1150">
        <f>IF($C54=0,0,VLOOKUP($C54,'SD3'!$C$24:$O$71,13,FALSE))</f>
        <v>0</v>
      </c>
      <c r="H54" s="1147"/>
      <c r="I54" s="1146">
        <f t="shared" si="4"/>
        <v>0</v>
      </c>
      <c r="J54" s="1145">
        <f t="shared" si="5"/>
        <v>0</v>
      </c>
      <c r="K54" s="1147"/>
      <c r="L54" s="1149">
        <f t="shared" si="6"/>
        <v>0</v>
      </c>
      <c r="M54" s="1148">
        <f t="shared" si="7"/>
        <v>0</v>
      </c>
      <c r="N54" s="1147"/>
      <c r="O54" s="1146">
        <f t="shared" si="8"/>
        <v>0</v>
      </c>
      <c r="P54" s="1145">
        <f t="shared" si="9"/>
        <v>0</v>
      </c>
      <c r="Q54" s="28"/>
    </row>
    <row r="55" spans="1:17" s="36" customFormat="1" ht="15" customHeight="1">
      <c r="A55" s="746"/>
      <c r="B55" s="1153"/>
      <c r="C55" s="4445"/>
      <c r="D55" s="4446"/>
      <c r="E55" s="1152">
        <f>IF($C55=0,0,VLOOKUP($C55,'SD3'!$C$24:$O$71,4,FALSE))</f>
        <v>0</v>
      </c>
      <c r="F55" s="1151">
        <f>IF($C55=0,0,VLOOKUP($C55,'SD3'!$C$24:$O$71,12,FALSE))</f>
        <v>0</v>
      </c>
      <c r="G55" s="1150">
        <f>IF($C55=0,0,VLOOKUP($C55,'SD3'!$C$24:$O$71,13,FALSE))</f>
        <v>0</v>
      </c>
      <c r="H55" s="1147"/>
      <c r="I55" s="1146">
        <f t="shared" si="4"/>
        <v>0</v>
      </c>
      <c r="J55" s="1145">
        <f t="shared" si="5"/>
        <v>0</v>
      </c>
      <c r="K55" s="1147"/>
      <c r="L55" s="1149">
        <f t="shared" si="6"/>
        <v>0</v>
      </c>
      <c r="M55" s="1148">
        <f t="shared" si="7"/>
        <v>0</v>
      </c>
      <c r="N55" s="1147"/>
      <c r="O55" s="1146">
        <f t="shared" si="8"/>
        <v>0</v>
      </c>
      <c r="P55" s="1145">
        <f t="shared" si="9"/>
        <v>0</v>
      </c>
      <c r="Q55" s="28"/>
    </row>
    <row r="56" spans="1:17" s="36" customFormat="1" ht="13.8">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8"/>
    </row>
    <row r="57" spans="1:17" s="36" customFormat="1" ht="24.75" customHeight="1">
      <c r="A57" s="746"/>
      <c r="B57" s="1084"/>
      <c r="C57" s="4401"/>
      <c r="D57" s="4402"/>
      <c r="E57" s="2589">
        <f>IF($C57=0,0,VLOOKUP($C57,'SD3'!$C$24:$O$71,4,FALSE))</f>
        <v>0</v>
      </c>
      <c r="F57" s="2590">
        <f>IF($C57=0,0,VLOOKUP($C57,'SD3'!$C$24:$O$71,12,FALSE))</f>
        <v>0</v>
      </c>
      <c r="G57" s="2591">
        <f>IF($C57=0,0,VLOOKUP($C57,'SD3'!$C$24:$O$71,13,FALSE))</f>
        <v>0</v>
      </c>
      <c r="H57" s="1131"/>
      <c r="I57" s="1130">
        <f>SUM(I44:I56)</f>
        <v>0</v>
      </c>
      <c r="J57" s="1129"/>
      <c r="K57" s="1131"/>
      <c r="L57" s="1132">
        <f>SUM(L44:L56)</f>
        <v>0</v>
      </c>
      <c r="M57" s="1079"/>
      <c r="N57" s="1131"/>
      <c r="O57" s="1130">
        <f>SUM(O44:O56)</f>
        <v>0</v>
      </c>
      <c r="P57" s="1129"/>
      <c r="Q57" s="28"/>
    </row>
    <row r="58" spans="1:17" s="511" customFormat="1" ht="18.75" customHeight="1">
      <c r="A58" s="711"/>
      <c r="B58" s="716" t="s">
        <v>848</v>
      </c>
      <c r="C58" s="811"/>
      <c r="D58" s="811"/>
      <c r="E58" s="811"/>
      <c r="F58" s="34"/>
      <c r="G58" s="1047"/>
      <c r="H58" s="1124"/>
      <c r="I58" s="1123">
        <f>SUM($I$46:$I$57)</f>
        <v>0</v>
      </c>
      <c r="J58" s="1128"/>
      <c r="K58" s="1127"/>
      <c r="L58" s="1126">
        <f>SUM($L$46:$L$57)</f>
        <v>0</v>
      </c>
      <c r="M58" s="1125"/>
      <c r="N58" s="1124"/>
      <c r="O58" s="1123">
        <f>SUM($O$46:$O$57)</f>
        <v>0</v>
      </c>
      <c r="P58" s="1122"/>
      <c r="Q58" s="28"/>
    </row>
    <row r="59" spans="1:17" s="511" customFormat="1" ht="15" customHeight="1">
      <c r="A59" s="711"/>
      <c r="B59" s="1121"/>
      <c r="C59" s="285"/>
      <c r="D59" s="222" t="s">
        <v>847</v>
      </c>
      <c r="E59" s="1120">
        <v>80</v>
      </c>
      <c r="F59" s="285" t="s">
        <v>846</v>
      </c>
      <c r="G59" s="1119"/>
      <c r="H59" s="1115"/>
      <c r="I59" s="1114">
        <f>IF(I58+SUM($I$46:$I$57)*$E$59%&gt;I58+10,I58+10,I58+SUM($I$46:$I$57)*$E$59%)</f>
        <v>0</v>
      </c>
      <c r="J59" s="1113"/>
      <c r="K59" s="1118"/>
      <c r="L59" s="1117">
        <f>IF(L58+SUM($L$46:$L$57)*$E$59%&gt;L58+10,L58+10,L58+SUM($L$46:$L$57)*$E$59%)</f>
        <v>0</v>
      </c>
      <c r="M59" s="1116"/>
      <c r="N59" s="1115"/>
      <c r="O59" s="1114">
        <f>IF(O58+SUM($O$46:$O$57)*$E$59%&gt;O58+10,O58+10,O58+SUM($O$46:$O$57)*$E$59%)</f>
        <v>0</v>
      </c>
      <c r="P59" s="1113"/>
      <c r="Q59" s="28"/>
    </row>
    <row r="60" spans="1:17" s="46" customFormat="1" ht="18.75" customHeight="1">
      <c r="A60" s="811"/>
      <c r="B60" s="716" t="s">
        <v>845</v>
      </c>
      <c r="C60" s="811"/>
      <c r="D60" s="811"/>
      <c r="E60" s="39"/>
      <c r="F60" s="39"/>
      <c r="G60" s="1112"/>
      <c r="H60" s="1104"/>
      <c r="I60" s="1103"/>
      <c r="J60" s="1111">
        <f>IF(J6=0,0,SUM(I62:I64))</f>
        <v>175.5</v>
      </c>
      <c r="K60" s="1107"/>
      <c r="L60" s="1106"/>
      <c r="M60" s="1044">
        <f>IF(M6=0,0,SUM(L62:L64))</f>
        <v>175.5</v>
      </c>
      <c r="N60" s="1104"/>
      <c r="O60" s="1103"/>
      <c r="P60" s="1111">
        <f>IF(P6=0,0,SUM(O62:O64))</f>
        <v>175.5</v>
      </c>
      <c r="Q60" s="28"/>
    </row>
    <row r="61" spans="1:17"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t="s">
        <v>296</v>
      </c>
      <c r="D62" s="4365"/>
      <c r="E62" s="4365"/>
      <c r="F62" s="1101">
        <f>IF($C62=0,0,VLOOKUP($C62,'SD3'!$C$90:$D$104,2,FALSE))</f>
        <v>175.5</v>
      </c>
      <c r="G62" s="1100">
        <f>(100+$D$61)/100*F62</f>
        <v>175.5</v>
      </c>
      <c r="H62" s="173"/>
      <c r="I62" s="1096">
        <f>$G$62</f>
        <v>175.5</v>
      </c>
      <c r="J62" s="173"/>
      <c r="K62" s="1099"/>
      <c r="L62" s="1098">
        <f>$G$62</f>
        <v>175.5</v>
      </c>
      <c r="M62" s="1016"/>
      <c r="N62" s="1097"/>
      <c r="O62" s="1096">
        <f>$G$62</f>
        <v>175.5</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t="s">
        <v>289</v>
      </c>
      <c r="D64" s="4396"/>
      <c r="E64" s="4396"/>
      <c r="F64" s="1083">
        <f>IF($T$3=FALSE,0,VLOOKUP($C64,'SD3'!$C$90:$D$104,2,FALSE))</f>
        <v>0</v>
      </c>
      <c r="G64" s="1082">
        <f>(100+$D$61)/100*F64</f>
        <v>0</v>
      </c>
      <c r="H64" s="1078"/>
      <c r="I64" s="1077">
        <f>H11*$G$64</f>
        <v>0</v>
      </c>
      <c r="J64" s="173"/>
      <c r="K64" s="1081"/>
      <c r="L64" s="1080">
        <f>K11*$G$64</f>
        <v>0</v>
      </c>
      <c r="M64" s="1079"/>
      <c r="N64" s="1078"/>
      <c r="O64" s="1077">
        <f>N11*$G$64</f>
        <v>0</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5"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22.95" customHeight="1">
      <c r="A67" s="711"/>
      <c r="B67" s="716" t="s">
        <v>843</v>
      </c>
      <c r="C67" s="711"/>
      <c r="D67" s="711"/>
      <c r="E67" s="175"/>
      <c r="F67" s="1069"/>
      <c r="G67" s="1047"/>
      <c r="H67" s="1066" t="s">
        <v>842</v>
      </c>
      <c r="I67" s="1065" t="s">
        <v>841</v>
      </c>
      <c r="J67" s="1041">
        <f>R68*(H9+H10)*I68%+F68</f>
        <v>0</v>
      </c>
      <c r="K67" s="1068" t="s">
        <v>842</v>
      </c>
      <c r="L67" s="1067" t="s">
        <v>841</v>
      </c>
      <c r="M67" s="1044">
        <f>S68*(K9+K10)*L68%+F68</f>
        <v>0</v>
      </c>
      <c r="N67" s="1066" t="s">
        <v>842</v>
      </c>
      <c r="O67" s="1065" t="s">
        <v>841</v>
      </c>
      <c r="P67" s="1041">
        <f>T68*(N9+N10)*O68%+F68</f>
        <v>0</v>
      </c>
      <c r="Q67" s="28"/>
    </row>
    <row r="68" spans="1:20" s="511" customFormat="1" ht="15" customHeight="1">
      <c r="A68" s="711"/>
      <c r="B68" s="1064"/>
      <c r="C68" s="4393" t="s">
        <v>564</v>
      </c>
      <c r="D68" s="4393"/>
      <c r="E68" s="4393"/>
      <c r="F68" s="1063"/>
      <c r="G68" s="1054" t="s">
        <v>163</v>
      </c>
      <c r="H68" s="1061"/>
      <c r="I68" s="1060"/>
      <c r="J68" s="1059"/>
      <c r="K68" s="1061"/>
      <c r="L68" s="1060"/>
      <c r="M68" s="1062"/>
      <c r="N68" s="1061"/>
      <c r="O68" s="1060"/>
      <c r="P68" s="1059"/>
      <c r="Q68" s="28"/>
      <c r="R68" s="1058">
        <f>IF($H$64=0,0,VLOOKUP($H$64,#REF!,#REF!,FALSE))*(1+SDÖ1!$O$11/100)</f>
        <v>0</v>
      </c>
      <c r="S68" s="1058">
        <f>IF($K$64=0,0,VLOOKUP($K$64,#REF!,#REF!,FALSE))*(1+SDÖ1!$O$11/100)</f>
        <v>0</v>
      </c>
      <c r="T68" s="1058">
        <f>IF($N$64=0,0,VLOOKUP($N$64,#REF!,#REF!,FALSE))*(1+SDÖ1!$O$11/100)</f>
        <v>0</v>
      </c>
    </row>
    <row r="69" spans="1:20" s="511" customFormat="1" ht="18.75" customHeight="1">
      <c r="A69" s="711"/>
      <c r="B69" s="716" t="s">
        <v>839</v>
      </c>
      <c r="C69" s="711"/>
      <c r="D69" s="711"/>
      <c r="E69" s="34"/>
      <c r="F69" s="34"/>
      <c r="G69" s="1047"/>
      <c r="H69" s="38"/>
      <c r="I69" s="51"/>
      <c r="J69" s="1041">
        <f>H70*$F70/1000</f>
        <v>0</v>
      </c>
      <c r="K69" s="1057"/>
      <c r="L69" s="1056"/>
      <c r="M69" s="1044">
        <f>K70*$F70/1000</f>
        <v>0</v>
      </c>
      <c r="N69" s="38"/>
      <c r="O69" s="51"/>
      <c r="P69" s="1041">
        <f>N70*$F70/1000</f>
        <v>0</v>
      </c>
      <c r="Q69" s="28"/>
    </row>
    <row r="70" spans="1:20" s="511" customFormat="1" ht="15" customHeight="1">
      <c r="A70" s="711"/>
      <c r="B70" s="772"/>
      <c r="C70" s="771" t="s">
        <v>606</v>
      </c>
      <c r="D70" s="285"/>
      <c r="E70" s="222"/>
      <c r="F70" s="3742"/>
      <c r="G70" s="1054" t="s">
        <v>163</v>
      </c>
      <c r="H70" s="1357">
        <f>J7</f>
        <v>0</v>
      </c>
      <c r="I70" s="1049"/>
      <c r="J70" s="1048"/>
      <c r="K70" s="1053">
        <f>M7</f>
        <v>0</v>
      </c>
      <c r="L70" s="1052"/>
      <c r="M70" s="1051"/>
      <c r="N70" s="1357">
        <f>P7</f>
        <v>0</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7</v>
      </c>
      <c r="H75" s="1007"/>
      <c r="I75" s="1008"/>
      <c r="J75" s="1005">
        <f>(J23+J27+J34+J43+J60+J65+J67+J69+J71)*('SDK1'!$O$59%*$G$75/12)</f>
        <v>2.1985833333333331</v>
      </c>
      <c r="K75" s="2223"/>
      <c r="L75" s="522"/>
      <c r="M75" s="1005">
        <f>(M23+M27+M34+M43+M60+M65+M67+M69+M71)*('SDK1'!$O$59%*$G$75/12)</f>
        <v>1.6697916666666668</v>
      </c>
      <c r="N75" s="1007"/>
      <c r="O75" s="1006"/>
      <c r="P75" s="1005">
        <f>(P23+P27+P34+P43+P60+P65+P67+P69+P71)*('SDK1'!$O$59%*$G$75/12)</f>
        <v>1.1410000000000002</v>
      </c>
      <c r="Q75" s="28"/>
    </row>
    <row r="76" spans="1:20">
      <c r="G76" s="2608"/>
      <c r="H76" s="2608"/>
      <c r="I76" s="2608"/>
      <c r="J76" s="2608"/>
      <c r="K76" s="2608"/>
      <c r="L76" s="2608"/>
      <c r="M76" s="2608"/>
      <c r="N76" s="2608"/>
      <c r="O76" s="2608"/>
      <c r="P76" s="2608"/>
    </row>
    <row r="77" spans="1:20">
      <c r="B77" s="2919"/>
      <c r="C77" s="2919"/>
      <c r="D77" s="2919"/>
      <c r="E77" s="2919"/>
      <c r="F77" s="2919"/>
      <c r="G77" s="2919"/>
      <c r="H77" s="2608"/>
      <c r="I77" s="2608"/>
      <c r="J77" s="2608"/>
      <c r="K77" s="2608"/>
      <c r="L77" s="2608"/>
      <c r="M77" s="2608"/>
      <c r="N77" s="2608"/>
      <c r="O77" s="2608"/>
      <c r="P77" s="2608"/>
    </row>
    <row r="78" spans="1:20">
      <c r="B78" s="2919"/>
      <c r="C78" s="2919"/>
      <c r="D78" s="2919"/>
      <c r="E78" s="2919"/>
      <c r="F78" s="2919"/>
      <c r="G78" s="2919"/>
      <c r="H78" s="2608"/>
      <c r="I78" s="2608"/>
      <c r="J78" s="2608"/>
      <c r="K78" s="2608"/>
      <c r="L78" s="2608"/>
      <c r="M78" s="2608"/>
      <c r="N78" s="2608"/>
      <c r="O78" s="2608"/>
      <c r="P78" s="2608"/>
    </row>
    <row r="79" spans="1:20">
      <c r="B79" s="2919"/>
      <c r="C79" s="2919"/>
      <c r="D79" s="2919"/>
      <c r="E79" s="2919"/>
      <c r="F79" s="2919"/>
      <c r="G79" s="2919"/>
      <c r="H79" s="2608"/>
      <c r="I79" s="2608"/>
      <c r="J79" s="2608"/>
      <c r="K79" s="2608"/>
      <c r="L79" s="2608"/>
      <c r="M79" s="2608"/>
      <c r="N79" s="2608"/>
      <c r="O79" s="2608"/>
      <c r="P79" s="2608"/>
    </row>
    <row r="80" spans="1:20">
      <c r="B80" s="2919"/>
      <c r="C80" s="2919"/>
      <c r="D80" s="2919"/>
      <c r="E80" s="2919"/>
      <c r="F80" s="2919"/>
      <c r="G80" s="2919"/>
      <c r="H80" s="2608"/>
      <c r="I80" s="2608"/>
      <c r="J80" s="2608"/>
      <c r="K80" s="2608"/>
      <c r="L80" s="2608"/>
      <c r="M80" s="2608"/>
      <c r="N80" s="2608"/>
      <c r="O80" s="2608"/>
      <c r="P80" s="2608"/>
    </row>
    <row r="81" spans="2:16">
      <c r="B81" s="2919"/>
      <c r="C81" s="2919"/>
      <c r="D81" s="2919"/>
      <c r="E81" s="2919"/>
      <c r="F81" s="2919"/>
      <c r="G81" s="2919"/>
      <c r="H81" s="2608"/>
      <c r="I81" s="2608"/>
      <c r="J81" s="2608"/>
      <c r="K81" s="2608"/>
      <c r="L81" s="2608"/>
      <c r="M81" s="2608"/>
      <c r="N81" s="2608"/>
      <c r="O81" s="2608"/>
      <c r="P81" s="2608"/>
    </row>
    <row r="82" spans="2:16">
      <c r="B82" s="2919"/>
      <c r="C82" s="2919"/>
      <c r="D82" s="2919"/>
      <c r="E82" s="2919"/>
      <c r="F82" s="2919"/>
      <c r="G82" s="2919"/>
      <c r="H82" s="2608"/>
      <c r="I82" s="2608"/>
      <c r="J82" s="2608"/>
      <c r="K82" s="2608"/>
      <c r="L82" s="2608"/>
      <c r="M82" s="2608"/>
      <c r="N82" s="2608"/>
      <c r="O82" s="2608"/>
      <c r="P82" s="2608"/>
    </row>
    <row r="83" spans="2:16">
      <c r="B83" s="2919"/>
      <c r="C83" s="2919"/>
      <c r="D83" s="2919"/>
      <c r="E83" s="2919"/>
      <c r="F83" s="2919"/>
      <c r="G83" s="2919"/>
      <c r="H83" s="2608"/>
      <c r="I83" s="2608"/>
      <c r="J83" s="2608"/>
      <c r="K83" s="2608"/>
      <c r="L83" s="2608"/>
      <c r="M83" s="2608"/>
      <c r="N83" s="2608"/>
      <c r="O83" s="2608"/>
      <c r="P83" s="2608"/>
    </row>
    <row r="84" spans="2:16">
      <c r="B84" s="2919"/>
      <c r="C84" s="2919"/>
      <c r="D84" s="2919"/>
      <c r="E84" s="2919"/>
      <c r="F84" s="2919"/>
      <c r="G84" s="2919"/>
      <c r="H84" s="2608"/>
      <c r="I84" s="2608"/>
      <c r="J84" s="2608"/>
      <c r="K84" s="2608"/>
      <c r="L84" s="2608"/>
      <c r="M84" s="2608"/>
      <c r="N84" s="2608"/>
      <c r="O84" s="2608"/>
      <c r="P84" s="2608"/>
    </row>
    <row r="85" spans="2:16">
      <c r="B85" s="2919"/>
      <c r="C85" s="2919"/>
      <c r="D85" s="2919"/>
      <c r="E85" s="2919"/>
      <c r="F85" s="2919"/>
      <c r="G85" s="2919"/>
      <c r="H85" s="2608"/>
      <c r="I85" s="2608"/>
      <c r="J85" s="2608"/>
      <c r="K85" s="2608"/>
      <c r="L85" s="2608"/>
      <c r="M85" s="2608"/>
      <c r="N85" s="2608"/>
      <c r="O85" s="2608"/>
      <c r="P85" s="2608"/>
    </row>
    <row r="86" spans="2:16">
      <c r="B86" s="2919"/>
      <c r="C86" s="2919"/>
      <c r="D86" s="2919"/>
      <c r="E86" s="2919"/>
      <c r="F86" s="2919"/>
      <c r="G86" s="2919"/>
      <c r="H86" s="2608"/>
      <c r="I86" s="2608"/>
      <c r="J86" s="2608"/>
      <c r="K86" s="2608"/>
      <c r="L86" s="2608"/>
      <c r="M86" s="2608"/>
      <c r="N86" s="2608"/>
      <c r="O86" s="2608"/>
      <c r="P86" s="2608"/>
    </row>
    <row r="87" spans="2:16">
      <c r="B87" s="2919"/>
      <c r="C87" s="2919"/>
      <c r="D87" s="2919"/>
      <c r="E87" s="2919"/>
      <c r="F87" s="2919"/>
      <c r="G87" s="2919"/>
      <c r="H87" s="2608"/>
      <c r="I87" s="2608"/>
      <c r="J87" s="2608"/>
      <c r="K87" s="2608"/>
      <c r="L87" s="2608"/>
      <c r="M87" s="2608"/>
      <c r="N87" s="2608"/>
      <c r="O87" s="2608"/>
      <c r="P87" s="2608"/>
    </row>
    <row r="88" spans="2:16" ht="13.2" customHeight="1">
      <c r="B88" s="2919"/>
      <c r="C88" s="2919"/>
      <c r="D88" s="2919"/>
      <c r="E88" s="2919"/>
      <c r="F88" s="2919"/>
      <c r="G88" s="2919"/>
      <c r="H88" s="2608"/>
      <c r="I88" s="2608"/>
      <c r="J88" s="2608"/>
      <c r="K88" s="2608"/>
      <c r="L88" s="2608"/>
      <c r="M88" s="2608"/>
      <c r="N88" s="2608"/>
      <c r="O88" s="2608"/>
      <c r="P88" s="2608"/>
    </row>
    <row r="89" spans="2:16">
      <c r="B89" s="2919"/>
      <c r="C89" s="2919"/>
      <c r="D89" s="2919"/>
      <c r="E89" s="2919"/>
      <c r="F89" s="2919"/>
      <c r="G89" s="2919"/>
      <c r="H89" s="2608"/>
      <c r="I89" s="2608"/>
      <c r="J89" s="2608"/>
      <c r="K89" s="2608"/>
      <c r="L89" s="2608"/>
      <c r="M89" s="2608"/>
      <c r="N89" s="2608"/>
      <c r="O89" s="2608"/>
      <c r="P89" s="2608"/>
    </row>
    <row r="90" spans="2:16">
      <c r="B90" s="2919"/>
      <c r="C90" s="2919"/>
      <c r="D90" s="2919"/>
      <c r="E90" s="2919"/>
      <c r="F90" s="2919"/>
      <c r="G90" s="2919"/>
      <c r="H90" s="2608"/>
      <c r="I90" s="2608"/>
      <c r="J90" s="2608"/>
      <c r="K90" s="2608"/>
      <c r="L90" s="2608"/>
      <c r="M90" s="2608"/>
      <c r="N90" s="2608"/>
      <c r="O90" s="2608"/>
      <c r="P90" s="2608"/>
    </row>
    <row r="91" spans="2:16">
      <c r="B91" s="2919"/>
      <c r="C91" s="2919"/>
      <c r="D91" s="2919"/>
      <c r="E91" s="2919"/>
      <c r="F91" s="2919"/>
      <c r="G91" s="2919"/>
      <c r="H91" s="2608"/>
      <c r="I91" s="2608"/>
      <c r="J91" s="2608"/>
      <c r="K91" s="2608"/>
      <c r="L91" s="2608"/>
      <c r="M91" s="2608"/>
      <c r="N91" s="2608"/>
      <c r="O91" s="2608"/>
      <c r="P91" s="2608"/>
    </row>
    <row r="92" spans="2:16">
      <c r="B92" s="2919"/>
      <c r="C92" s="2919"/>
      <c r="D92" s="2919"/>
      <c r="E92" s="2919"/>
      <c r="F92" s="2919"/>
      <c r="G92" s="2919"/>
      <c r="H92" s="2608"/>
      <c r="I92" s="2608"/>
      <c r="J92" s="2608"/>
      <c r="K92" s="2608"/>
      <c r="L92" s="2608"/>
      <c r="M92" s="2608"/>
      <c r="N92" s="2608"/>
      <c r="O92" s="2608"/>
      <c r="P92" s="2608"/>
    </row>
    <row r="93" spans="2:16">
      <c r="B93" s="2919"/>
      <c r="C93" s="2919"/>
      <c r="D93" s="2919"/>
      <c r="E93" s="2919"/>
      <c r="F93" s="2919"/>
      <c r="G93" s="2919"/>
      <c r="H93" s="2608"/>
      <c r="I93" s="2608"/>
      <c r="J93" s="2608"/>
      <c r="K93" s="2608"/>
      <c r="L93" s="2608"/>
      <c r="M93" s="2608"/>
      <c r="N93" s="2608"/>
      <c r="O93" s="2608"/>
      <c r="P93" s="2608"/>
    </row>
    <row r="94" spans="2:16">
      <c r="B94" s="2919"/>
      <c r="C94" s="2919"/>
      <c r="D94" s="2919"/>
      <c r="E94" s="2919"/>
      <c r="F94" s="2919"/>
      <c r="G94" s="2919"/>
      <c r="H94" s="2608"/>
      <c r="I94" s="2608"/>
      <c r="J94" s="2608"/>
      <c r="K94" s="2608"/>
      <c r="L94" s="2608"/>
      <c r="M94" s="2608"/>
      <c r="N94" s="2608"/>
      <c r="O94" s="2608"/>
      <c r="P94" s="2608"/>
    </row>
    <row r="95" spans="2:16">
      <c r="C95" s="1712"/>
      <c r="D95" s="1712"/>
      <c r="E95" s="1712"/>
      <c r="F95" s="1712"/>
      <c r="G95" s="2608"/>
      <c r="H95" s="2608"/>
      <c r="I95" s="2608"/>
      <c r="J95" s="2608"/>
      <c r="K95" s="2608"/>
      <c r="L95" s="2608"/>
      <c r="M95" s="2608"/>
      <c r="N95" s="2608"/>
      <c r="O95" s="2608"/>
      <c r="P95" s="2608"/>
    </row>
    <row r="96" spans="2:16">
      <c r="C96" s="1712"/>
      <c r="D96" s="1712"/>
      <c r="E96" s="1712"/>
      <c r="F96" s="1712"/>
      <c r="G96" s="2608"/>
      <c r="H96" s="2608"/>
      <c r="I96" s="2608"/>
      <c r="J96" s="2608"/>
      <c r="K96" s="2608"/>
      <c r="L96" s="2608"/>
      <c r="M96" s="2608"/>
      <c r="N96" s="2608"/>
      <c r="O96" s="2608"/>
      <c r="P96" s="2608"/>
    </row>
    <row r="97" spans="2:16">
      <c r="C97" s="1712"/>
      <c r="D97" s="1712"/>
      <c r="E97" s="1712"/>
      <c r="G97" s="2608"/>
      <c r="H97" s="2608"/>
      <c r="I97" s="2608"/>
      <c r="J97" s="2608"/>
      <c r="K97" s="2608"/>
      <c r="L97" s="2608"/>
      <c r="M97" s="2608"/>
      <c r="N97" s="2608"/>
      <c r="O97" s="2608"/>
      <c r="P97" s="2608"/>
    </row>
    <row r="98" spans="2:16">
      <c r="B98" s="2608"/>
      <c r="C98" s="2608"/>
      <c r="D98" s="2608"/>
      <c r="G98" s="2608"/>
      <c r="H98" s="2608"/>
      <c r="I98" s="2608"/>
      <c r="J98" s="2608"/>
      <c r="K98" s="2608"/>
      <c r="L98" s="2608"/>
      <c r="M98" s="2608"/>
      <c r="N98" s="2608"/>
      <c r="O98" s="2608"/>
      <c r="P98" s="2608"/>
    </row>
    <row r="99" spans="2:16">
      <c r="B99" s="2608"/>
      <c r="C99" s="2608"/>
      <c r="D99" s="2608"/>
      <c r="G99" s="2608"/>
      <c r="H99" s="2608"/>
      <c r="I99" s="2608"/>
      <c r="J99" s="2608"/>
      <c r="K99" s="2608"/>
      <c r="L99" s="2608"/>
      <c r="M99" s="2608"/>
      <c r="N99" s="2608"/>
      <c r="O99" s="2608"/>
      <c r="P99" s="2608"/>
    </row>
    <row r="100" spans="2:16">
      <c r="B100" s="2608"/>
      <c r="C100" s="2608"/>
      <c r="D100" s="2608"/>
      <c r="G100" s="2608"/>
      <c r="H100" s="2608"/>
      <c r="I100" s="2608"/>
      <c r="J100" s="2608"/>
      <c r="K100" s="2608"/>
      <c r="L100" s="2608"/>
      <c r="M100" s="2608"/>
      <c r="N100" s="2608"/>
      <c r="O100" s="2608"/>
      <c r="P100" s="2608"/>
    </row>
    <row r="101" spans="2:16">
      <c r="B101" s="2608"/>
      <c r="C101" s="2608"/>
      <c r="D101" s="2608"/>
      <c r="G101" s="2608"/>
      <c r="H101" s="2608"/>
      <c r="I101" s="2608"/>
      <c r="J101" s="2608"/>
      <c r="K101" s="2608"/>
      <c r="L101" s="2608"/>
      <c r="M101" s="2608"/>
      <c r="N101" s="2608"/>
      <c r="O101" s="2608"/>
      <c r="P101" s="2608"/>
    </row>
    <row r="102" spans="2:16">
      <c r="B102" s="2608"/>
      <c r="C102" s="2608"/>
      <c r="D102" s="2608"/>
      <c r="G102" s="2608"/>
      <c r="H102" s="2608"/>
      <c r="I102" s="2608"/>
      <c r="J102" s="2608"/>
      <c r="K102" s="2608"/>
      <c r="L102" s="2608"/>
      <c r="M102" s="2608"/>
      <c r="N102" s="2608"/>
      <c r="O102" s="2608"/>
      <c r="P102" s="2608"/>
    </row>
    <row r="103" spans="2:16">
      <c r="B103" s="2608"/>
      <c r="C103" s="2608"/>
      <c r="D103" s="2608"/>
      <c r="G103" s="2608"/>
      <c r="H103" s="2608"/>
      <c r="I103" s="2608"/>
      <c r="J103" s="2608"/>
      <c r="K103" s="2608"/>
      <c r="L103" s="2608"/>
      <c r="M103" s="2608"/>
      <c r="N103" s="2608"/>
      <c r="O103" s="2608"/>
      <c r="P103" s="2608"/>
    </row>
    <row r="104" spans="2:16">
      <c r="B104" s="2608"/>
      <c r="C104" s="2608"/>
      <c r="D104" s="2608"/>
      <c r="G104" s="2608"/>
      <c r="H104" s="2608"/>
      <c r="I104" s="2608"/>
      <c r="J104" s="2608"/>
      <c r="K104" s="2608"/>
      <c r="L104" s="2608"/>
      <c r="M104" s="2608"/>
      <c r="N104" s="2608"/>
      <c r="O104" s="2608"/>
      <c r="P104" s="2608"/>
    </row>
    <row r="105" spans="2:16">
      <c r="B105" s="2608"/>
      <c r="C105" s="2608"/>
      <c r="D105" s="2608"/>
      <c r="G105" s="2608"/>
      <c r="H105" s="2608"/>
      <c r="I105" s="2608"/>
      <c r="J105" s="2608"/>
      <c r="K105" s="2608"/>
      <c r="L105" s="2608"/>
      <c r="M105" s="2608"/>
      <c r="N105" s="2608"/>
      <c r="O105" s="2608"/>
      <c r="P105" s="2608"/>
    </row>
    <row r="106" spans="2:16">
      <c r="B106" s="2608"/>
      <c r="C106" s="2608"/>
      <c r="D106" s="2608"/>
      <c r="G106" s="2608"/>
      <c r="H106" s="2608"/>
      <c r="I106" s="2608"/>
      <c r="J106" s="2608"/>
      <c r="K106" s="2608"/>
      <c r="L106" s="2608"/>
      <c r="M106" s="2608"/>
      <c r="N106" s="2608"/>
      <c r="O106" s="2608"/>
      <c r="P106" s="2608"/>
    </row>
    <row r="107" spans="2:16">
      <c r="G107" s="2608"/>
      <c r="H107" s="2608"/>
      <c r="I107" s="2608"/>
      <c r="J107" s="2608"/>
      <c r="K107" s="2608"/>
      <c r="L107" s="2608"/>
      <c r="M107" s="2608"/>
      <c r="N107" s="2608"/>
      <c r="O107" s="2608"/>
      <c r="P107" s="2608"/>
    </row>
    <row r="108" spans="2:16">
      <c r="G108" s="2608"/>
      <c r="H108" s="2608"/>
      <c r="I108" s="2608"/>
      <c r="J108" s="2608"/>
      <c r="K108" s="2608"/>
      <c r="L108" s="2608"/>
      <c r="M108" s="2608"/>
      <c r="N108" s="2608"/>
      <c r="O108" s="2608"/>
      <c r="P108" s="2608"/>
    </row>
    <row r="109" spans="2:16">
      <c r="G109" s="2608"/>
      <c r="H109" s="2608"/>
      <c r="I109" s="2608"/>
      <c r="J109" s="2608"/>
      <c r="K109" s="2608"/>
      <c r="L109" s="2608"/>
      <c r="M109" s="2608"/>
      <c r="N109" s="2608"/>
      <c r="O109" s="2608"/>
      <c r="P109" s="2608"/>
    </row>
    <row r="110" spans="2:16">
      <c r="G110" s="2608"/>
      <c r="H110" s="2608"/>
      <c r="I110" s="2608"/>
      <c r="J110" s="2608"/>
      <c r="K110" s="2608"/>
      <c r="L110" s="2608"/>
      <c r="M110" s="2608"/>
      <c r="N110" s="2608"/>
      <c r="O110" s="2608"/>
      <c r="P110" s="2608"/>
    </row>
    <row r="111" spans="2:16">
      <c r="G111" s="2608"/>
      <c r="H111" s="2608"/>
      <c r="I111" s="2608"/>
      <c r="J111" s="2608"/>
      <c r="K111" s="2608"/>
      <c r="L111" s="2608"/>
      <c r="M111" s="2608"/>
      <c r="N111" s="2608"/>
      <c r="O111" s="2608"/>
      <c r="P111" s="2608"/>
    </row>
    <row r="112" spans="2:16">
      <c r="G112" s="2608"/>
      <c r="H112" s="2608"/>
      <c r="I112" s="2608"/>
      <c r="J112" s="2608"/>
      <c r="K112" s="2608"/>
      <c r="L112" s="2608"/>
      <c r="M112" s="2608"/>
      <c r="N112" s="2608"/>
      <c r="O112" s="2608"/>
      <c r="P112" s="2608"/>
    </row>
    <row r="113" spans="2:16">
      <c r="G113" s="2608"/>
      <c r="H113" s="2608"/>
      <c r="I113" s="2608"/>
      <c r="J113" s="2608"/>
      <c r="K113" s="2608"/>
      <c r="L113" s="2608"/>
      <c r="M113" s="2608"/>
      <c r="N113" s="2608"/>
      <c r="O113" s="2608"/>
      <c r="P113" s="2608"/>
    </row>
    <row r="114" spans="2:16">
      <c r="G114" s="2608"/>
      <c r="H114" s="2608"/>
      <c r="I114" s="2608"/>
      <c r="J114" s="2608"/>
      <c r="K114" s="2608"/>
      <c r="L114" s="2608"/>
      <c r="M114" s="2608"/>
      <c r="N114" s="2608"/>
      <c r="O114" s="2608"/>
      <c r="P114" s="2608"/>
    </row>
    <row r="115" spans="2:16">
      <c r="G115" s="2608"/>
      <c r="H115" s="2608"/>
      <c r="I115" s="2608"/>
      <c r="J115" s="2608"/>
      <c r="K115" s="2608"/>
      <c r="L115" s="2608"/>
      <c r="M115" s="2608"/>
      <c r="N115" s="2608"/>
      <c r="O115" s="2608"/>
      <c r="P115" s="2608"/>
    </row>
    <row r="116" spans="2:16">
      <c r="G116" s="2608"/>
      <c r="H116" s="2608"/>
      <c r="I116" s="2608"/>
      <c r="J116" s="2608"/>
      <c r="K116" s="2608"/>
      <c r="L116" s="2608"/>
      <c r="M116" s="2608"/>
      <c r="N116" s="2608"/>
      <c r="O116" s="2608"/>
      <c r="P116" s="2608"/>
    </row>
    <row r="117" spans="2:16">
      <c r="G117" s="2608"/>
      <c r="H117" s="2608"/>
      <c r="I117" s="2608"/>
      <c r="J117" s="2608"/>
      <c r="K117" s="2608"/>
      <c r="L117" s="2608"/>
      <c r="M117" s="2608"/>
      <c r="N117" s="2608"/>
      <c r="O117" s="2608"/>
      <c r="P117" s="2608"/>
    </row>
    <row r="118" spans="2:16">
      <c r="B118" s="440"/>
      <c r="C118" s="29"/>
      <c r="G118" s="2608"/>
      <c r="H118" s="2608"/>
      <c r="I118" s="2608"/>
      <c r="J118" s="2608"/>
      <c r="K118" s="2608"/>
      <c r="L118" s="2608"/>
      <c r="M118" s="2608"/>
      <c r="N118" s="2608"/>
      <c r="O118" s="2608"/>
      <c r="P118" s="2608"/>
    </row>
    <row r="119" spans="2:16">
      <c r="B119" s="440"/>
      <c r="C119" s="29"/>
      <c r="G119" s="2608"/>
      <c r="H119" s="2608"/>
      <c r="I119" s="2608"/>
      <c r="J119" s="2608"/>
      <c r="K119" s="2608"/>
      <c r="L119" s="2608"/>
      <c r="M119" s="2608"/>
      <c r="N119" s="2608"/>
      <c r="O119" s="2608"/>
      <c r="P119" s="2608"/>
    </row>
    <row r="120" spans="2:16">
      <c r="B120" s="440"/>
      <c r="C120" s="29"/>
      <c r="G120" s="2608"/>
      <c r="H120" s="2608"/>
      <c r="I120" s="2608"/>
      <c r="J120" s="2608"/>
      <c r="K120" s="2608"/>
      <c r="L120" s="2608"/>
      <c r="M120" s="2608"/>
      <c r="N120" s="2608"/>
      <c r="O120" s="2608"/>
      <c r="P120" s="2608"/>
    </row>
    <row r="121" spans="2:16">
      <c r="B121" s="440"/>
      <c r="C121" s="29"/>
      <c r="G121" s="2608"/>
      <c r="H121" s="2608"/>
      <c r="I121" s="2608"/>
      <c r="J121" s="2608"/>
      <c r="K121" s="2608"/>
      <c r="L121" s="2608"/>
      <c r="M121" s="2608"/>
      <c r="N121" s="2608"/>
      <c r="O121" s="2608"/>
      <c r="P121" s="2608"/>
    </row>
    <row r="122" spans="2:16">
      <c r="B122" s="440"/>
      <c r="C122" s="29"/>
      <c r="G122" s="2608"/>
      <c r="H122" s="2608"/>
      <c r="I122" s="2608"/>
      <c r="J122" s="2608"/>
      <c r="K122" s="2608"/>
      <c r="L122" s="2608"/>
      <c r="M122" s="2608"/>
      <c r="N122" s="2608"/>
      <c r="O122" s="2608"/>
      <c r="P122" s="2608"/>
    </row>
    <row r="123" spans="2:16">
      <c r="B123" s="440"/>
      <c r="C123" s="29"/>
      <c r="G123" s="2608"/>
      <c r="H123" s="2608"/>
      <c r="I123" s="2608"/>
      <c r="J123" s="2608"/>
      <c r="K123" s="2608"/>
      <c r="L123" s="2608"/>
      <c r="M123" s="2608"/>
      <c r="N123" s="2608"/>
      <c r="O123" s="2608"/>
      <c r="P123" s="2608"/>
    </row>
    <row r="124" spans="2:16">
      <c r="B124" s="440"/>
      <c r="C124" s="29"/>
      <c r="G124" s="2608"/>
      <c r="H124" s="2608"/>
      <c r="I124" s="2608"/>
      <c r="J124" s="2608"/>
      <c r="K124" s="2608"/>
      <c r="L124" s="2608"/>
      <c r="M124" s="2608"/>
      <c r="N124" s="2608"/>
      <c r="O124" s="2608"/>
      <c r="P124" s="2608"/>
    </row>
    <row r="125" spans="2:16">
      <c r="B125" s="440"/>
      <c r="C125" s="29"/>
      <c r="G125" s="2608"/>
      <c r="H125" s="2608"/>
      <c r="I125" s="2608"/>
      <c r="J125" s="2608"/>
      <c r="K125" s="2608"/>
      <c r="L125" s="2608"/>
      <c r="M125" s="2608"/>
      <c r="N125" s="2608"/>
      <c r="O125" s="2608"/>
      <c r="P125" s="2608"/>
    </row>
    <row r="126" spans="2:16">
      <c r="B126" s="440"/>
      <c r="C126" s="29"/>
      <c r="G126" s="2608"/>
      <c r="H126" s="2608"/>
      <c r="I126" s="2608"/>
      <c r="J126" s="2608"/>
      <c r="K126" s="2608"/>
      <c r="L126" s="2608"/>
      <c r="M126" s="2608"/>
      <c r="N126" s="2608"/>
      <c r="O126" s="2608"/>
      <c r="P126" s="2608"/>
    </row>
    <row r="127" spans="2:16">
      <c r="B127" s="440"/>
      <c r="C127" s="29"/>
      <c r="G127" s="2608"/>
      <c r="H127" s="2608"/>
      <c r="I127" s="2608"/>
      <c r="J127" s="2608"/>
      <c r="K127" s="2608"/>
      <c r="L127" s="2608"/>
      <c r="M127" s="2608"/>
      <c r="N127" s="2608"/>
      <c r="O127" s="2608"/>
      <c r="P127" s="2608"/>
    </row>
    <row r="128" spans="2:16">
      <c r="B128" s="440"/>
      <c r="C128" s="29"/>
      <c r="G128" s="2608"/>
      <c r="H128" s="2608"/>
      <c r="I128" s="2608"/>
      <c r="J128" s="2608"/>
      <c r="K128" s="2608"/>
      <c r="L128" s="2608"/>
      <c r="M128" s="2608"/>
      <c r="N128" s="2608"/>
      <c r="O128" s="2608"/>
      <c r="P128" s="2608"/>
    </row>
    <row r="129" spans="2:16">
      <c r="B129" s="440"/>
      <c r="C129" s="29"/>
      <c r="G129" s="2608"/>
      <c r="H129" s="2608"/>
      <c r="I129" s="2608"/>
      <c r="J129" s="2608"/>
      <c r="K129" s="2608"/>
      <c r="L129" s="2608"/>
      <c r="M129" s="2608"/>
      <c r="N129" s="2608"/>
      <c r="O129" s="2608"/>
      <c r="P129" s="2608"/>
    </row>
    <row r="130" spans="2:16">
      <c r="B130" s="440"/>
      <c r="C130" s="29"/>
      <c r="G130" s="2608"/>
      <c r="H130" s="2608"/>
      <c r="I130" s="2608"/>
      <c r="J130" s="2608"/>
      <c r="K130" s="2608"/>
      <c r="L130" s="2608"/>
      <c r="M130" s="2608"/>
      <c r="N130" s="2608"/>
      <c r="O130" s="2608"/>
      <c r="P130" s="2608"/>
    </row>
    <row r="131" spans="2:16">
      <c r="B131" s="440"/>
      <c r="C131" s="29"/>
      <c r="G131" s="2608"/>
      <c r="H131" s="2608"/>
      <c r="I131" s="2608"/>
      <c r="J131" s="2608"/>
      <c r="K131" s="2608"/>
      <c r="L131" s="2608"/>
      <c r="M131" s="2608"/>
      <c r="N131" s="2608"/>
      <c r="O131" s="2608"/>
      <c r="P131" s="2608"/>
    </row>
    <row r="132" spans="2:16">
      <c r="B132" s="440"/>
      <c r="C132" s="29"/>
      <c r="G132" s="2608"/>
      <c r="H132" s="2608"/>
      <c r="I132" s="2608"/>
      <c r="J132" s="2608"/>
      <c r="K132" s="2608"/>
      <c r="L132" s="2608"/>
      <c r="M132" s="2608"/>
      <c r="N132" s="2608"/>
      <c r="O132" s="2608"/>
      <c r="P132" s="2608"/>
    </row>
    <row r="133" spans="2:16">
      <c r="B133" s="440"/>
      <c r="C133" s="29"/>
      <c r="G133" s="2608"/>
      <c r="H133" s="2608"/>
      <c r="I133" s="2608"/>
      <c r="J133" s="2608"/>
      <c r="K133" s="2608"/>
      <c r="L133" s="2608"/>
      <c r="M133" s="2608"/>
      <c r="N133" s="2608"/>
      <c r="O133" s="2608"/>
      <c r="P133" s="2608"/>
    </row>
    <row r="134" spans="2:16">
      <c r="B134" s="440"/>
      <c r="C134" s="29"/>
      <c r="G134" s="2608"/>
      <c r="H134" s="2608"/>
      <c r="I134" s="2608"/>
      <c r="J134" s="2608"/>
      <c r="K134" s="2608"/>
      <c r="L134" s="2608"/>
      <c r="M134" s="2608"/>
      <c r="N134" s="2608"/>
      <c r="O134" s="2608"/>
      <c r="P134" s="2608"/>
    </row>
    <row r="135" spans="2:16">
      <c r="B135" s="440"/>
      <c r="C135" s="29"/>
      <c r="G135" s="2608"/>
      <c r="H135" s="2608"/>
      <c r="I135" s="2608"/>
      <c r="J135" s="2608"/>
      <c r="K135" s="2608"/>
      <c r="L135" s="2608"/>
      <c r="M135" s="2608"/>
      <c r="N135" s="2608"/>
      <c r="O135" s="2608"/>
      <c r="P135" s="2608"/>
    </row>
    <row r="136" spans="2:16">
      <c r="B136" s="440"/>
      <c r="C136" s="29"/>
      <c r="G136" s="2608"/>
      <c r="H136" s="2608"/>
      <c r="I136" s="2608"/>
      <c r="J136" s="2608"/>
      <c r="K136" s="2608"/>
      <c r="L136" s="2608"/>
      <c r="M136" s="2608"/>
      <c r="N136" s="2608"/>
      <c r="O136" s="2608"/>
      <c r="P136" s="2608"/>
    </row>
    <row r="137" spans="2:16">
      <c r="B137" s="440"/>
      <c r="C137" s="29"/>
      <c r="G137" s="2608"/>
      <c r="H137" s="2608"/>
      <c r="I137" s="2608"/>
      <c r="J137" s="2608"/>
      <c r="K137" s="2608"/>
      <c r="L137" s="2608"/>
      <c r="M137" s="2608"/>
      <c r="N137" s="2608"/>
      <c r="O137" s="2608"/>
      <c r="P137" s="2608"/>
    </row>
    <row r="138" spans="2:16">
      <c r="B138" s="440"/>
      <c r="C138" s="29"/>
      <c r="G138" s="2608"/>
      <c r="H138" s="2608"/>
      <c r="I138" s="2608"/>
      <c r="J138" s="2608"/>
      <c r="K138" s="2608"/>
      <c r="L138" s="2608"/>
      <c r="M138" s="2608"/>
      <c r="N138" s="2608"/>
      <c r="O138" s="2608"/>
      <c r="P138" s="2608"/>
    </row>
    <row r="139" spans="2:16">
      <c r="B139" s="440"/>
      <c r="C139" s="29"/>
      <c r="G139" s="2608"/>
      <c r="H139" s="2608"/>
      <c r="I139" s="2608"/>
      <c r="J139" s="2608"/>
      <c r="K139" s="2608"/>
      <c r="L139" s="2608"/>
      <c r="M139" s="2608"/>
      <c r="N139" s="2608"/>
      <c r="O139" s="2608"/>
      <c r="P139" s="2608"/>
    </row>
    <row r="140" spans="2:16">
      <c r="B140" s="440"/>
      <c r="C140" s="29"/>
      <c r="G140" s="2608"/>
      <c r="H140" s="2608"/>
      <c r="I140" s="2608"/>
      <c r="J140" s="2608"/>
      <c r="K140" s="2608"/>
      <c r="L140" s="2608"/>
      <c r="M140" s="2608"/>
      <c r="N140" s="2608"/>
      <c r="O140" s="2608"/>
      <c r="P140" s="2608"/>
    </row>
    <row r="141" spans="2:16">
      <c r="B141" s="440"/>
      <c r="C141" s="29"/>
      <c r="G141" s="2608"/>
      <c r="H141" s="2608"/>
      <c r="I141" s="2608"/>
      <c r="J141" s="2608"/>
      <c r="K141" s="2608"/>
      <c r="L141" s="2608"/>
      <c r="M141" s="2608"/>
      <c r="N141" s="2608"/>
      <c r="O141" s="2608"/>
      <c r="P141" s="2608"/>
    </row>
    <row r="142" spans="2:16">
      <c r="B142" s="440"/>
      <c r="C142" s="29"/>
      <c r="G142" s="2608"/>
      <c r="H142" s="2608"/>
      <c r="I142" s="2608"/>
      <c r="J142" s="2608"/>
      <c r="K142" s="2608"/>
      <c r="L142" s="2608"/>
      <c r="M142" s="2608"/>
      <c r="N142" s="2608"/>
      <c r="O142" s="2608"/>
      <c r="P142" s="2608"/>
    </row>
    <row r="143" spans="2:16">
      <c r="B143" s="440"/>
      <c r="C143" s="29"/>
      <c r="L143" s="29"/>
    </row>
    <row r="144" spans="2:16">
      <c r="B144" s="440"/>
      <c r="C144" s="29"/>
      <c r="L144" s="29"/>
    </row>
    <row r="145" spans="2:12">
      <c r="B145" s="440"/>
      <c r="C145" s="29"/>
      <c r="L145" s="29"/>
    </row>
    <row r="146" spans="2:12">
      <c r="B146" s="440"/>
      <c r="C146" s="29"/>
      <c r="L146" s="29"/>
    </row>
    <row r="147" spans="2:12">
      <c r="B147" s="440"/>
      <c r="C147" s="29"/>
      <c r="F147" s="29"/>
      <c r="G147" s="29"/>
      <c r="H147" s="29"/>
      <c r="I147" s="29"/>
      <c r="J147" s="29"/>
    </row>
    <row r="148" spans="2:12">
      <c r="B148" s="440"/>
      <c r="C148" s="29"/>
      <c r="F148" s="29"/>
      <c r="G148" s="29"/>
      <c r="H148" s="29"/>
      <c r="I148" s="29"/>
      <c r="J148" s="29"/>
    </row>
    <row r="149" spans="2:12">
      <c r="B149" s="440"/>
      <c r="C149" s="29"/>
      <c r="D149" s="29"/>
      <c r="F149" s="29"/>
      <c r="G149" s="29"/>
      <c r="H149" s="29"/>
      <c r="I149" s="29"/>
      <c r="J149" s="29"/>
    </row>
    <row r="150" spans="2:12">
      <c r="B150" s="440"/>
      <c r="C150" s="29"/>
      <c r="D150" s="29"/>
      <c r="F150" s="29"/>
      <c r="G150" s="29"/>
      <c r="H150" s="29"/>
      <c r="I150" s="29"/>
      <c r="J150" s="29"/>
    </row>
    <row r="151" spans="2:12">
      <c r="B151" s="440"/>
      <c r="C151" s="29"/>
      <c r="D151" s="29"/>
      <c r="F151" s="29"/>
      <c r="G151" s="29"/>
      <c r="H151" s="29"/>
      <c r="I151" s="29"/>
      <c r="J151" s="29"/>
    </row>
    <row r="152" spans="2:12">
      <c r="B152" s="440"/>
      <c r="C152" s="29"/>
      <c r="D152" s="29"/>
      <c r="F152" s="29"/>
      <c r="G152" s="29"/>
      <c r="H152" s="29"/>
      <c r="I152" s="29"/>
      <c r="J152" s="29"/>
    </row>
    <row r="153" spans="2:12">
      <c r="B153" s="440"/>
      <c r="C153" s="29"/>
      <c r="D153" s="29"/>
      <c r="F153" s="29"/>
      <c r="G153" s="29"/>
      <c r="H153" s="29"/>
      <c r="I153" s="29"/>
      <c r="J153" s="29"/>
    </row>
    <row r="154" spans="2:12">
      <c r="B154" s="440"/>
      <c r="C154" s="29"/>
      <c r="D154" s="29"/>
      <c r="F154" s="29"/>
      <c r="G154" s="29"/>
      <c r="H154" s="29"/>
      <c r="I154" s="29"/>
      <c r="J154" s="29"/>
    </row>
    <row r="155" spans="2:12">
      <c r="B155" s="440"/>
      <c r="C155" s="29"/>
      <c r="D155" s="29"/>
      <c r="F155" s="29"/>
      <c r="G155" s="29"/>
      <c r="H155" s="29"/>
      <c r="I155" s="29"/>
      <c r="J155" s="29"/>
    </row>
    <row r="156" spans="2:12">
      <c r="B156" s="440"/>
      <c r="C156" s="29"/>
      <c r="D156" s="29"/>
      <c r="F156" s="29"/>
      <c r="G156" s="29"/>
      <c r="H156" s="29"/>
      <c r="I156" s="29"/>
      <c r="J156" s="29"/>
    </row>
    <row r="157" spans="2:12">
      <c r="B157" s="440"/>
      <c r="C157" s="29"/>
    </row>
    <row r="158" spans="2:12">
      <c r="B158" s="440"/>
      <c r="C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heet="1" selectLockedCells="1"/>
  <customSheetViews>
    <customSheetView guid="{8063F48F-80B5-4ECD-B18A-51CBF126E780}" fitToPage="1" hiddenRows="1" hiddenColumns="1">
      <selection activeCell="AH35" sqref="AH35"/>
      <pageMargins left="0.59055118110236227" right="0.57999999999999996" top="0.59055118110236227" bottom="0.59055118110236227" header="0.39370078740157483" footer="0.39370078740157483"/>
      <printOptions horizontalCentered="1"/>
      <pageSetup paperSize="9" scale="70" firstPageNumber="24" orientation="portrait" r:id="rId1"/>
      <headerFooter alignWithMargins="0">
        <oddFooter>&amp;L&amp;11LEL Schwäbisch Gmünd&amp;C24&amp;R&amp;11&amp;F</oddFooter>
      </headerFooter>
    </customSheetView>
    <customSheetView guid="{5D5C9B61-9ABD-4513-AAEB-8333A9D6196C}" fitToPage="1" hiddenRows="1" hiddenColumns="1">
      <selection activeCell="P8" sqref="P8"/>
      <pageMargins left="0.59055118110236227" right="0.57999999999999996" top="0.59055118110236227" bottom="0.59055118110236227" header="0.39370078740157483" footer="0.39370078740157483"/>
      <printOptions horizontalCentered="1"/>
      <pageSetup paperSize="9" scale="70" firstPageNumber="24" orientation="portrait" r:id="rId2"/>
      <headerFooter alignWithMargins="0">
        <oddFooter>&amp;L&amp;11LEL Schwäbisch Gmünd&amp;C24&amp;R&amp;11&amp;F</oddFooter>
      </headerFooter>
    </customSheetView>
    <customSheetView guid="{22A73C4F-9004-4CEF-8499-B1F91BE1B569}" fitToPage="1" hiddenRows="1" hiddenColumns="1">
      <selection activeCell="AH35" sqref="AH35"/>
      <pageMargins left="0.59055118110236227" right="0.57999999999999996" top="0.59055118110236227" bottom="0.59055118110236227" header="0.39370078740157483" footer="0.39370078740157483"/>
      <printOptions horizontalCentered="1"/>
      <pageSetup paperSize="9" scale="70" firstPageNumber="24" orientation="portrait" r:id="rId3"/>
      <headerFooter alignWithMargins="0">
        <oddFooter>&amp;L&amp;11LEL Schwäbisch Gmünd&amp;C24&amp;R&amp;11&amp;F</oddFooter>
      </headerFooter>
    </customSheetView>
  </customSheetViews>
  <mergeCells count="49">
    <mergeCell ref="C53:D53"/>
    <mergeCell ref="C57:D57"/>
    <mergeCell ref="C62:E62"/>
    <mergeCell ref="C54:D54"/>
    <mergeCell ref="C56:D56"/>
    <mergeCell ref="C74:E74"/>
    <mergeCell ref="B75:C75"/>
    <mergeCell ref="C68:E68"/>
    <mergeCell ref="C73:E73"/>
    <mergeCell ref="C55:D55"/>
    <mergeCell ref="C63:E63"/>
    <mergeCell ref="C64:E64"/>
    <mergeCell ref="K1:L1"/>
    <mergeCell ref="N6:O6"/>
    <mergeCell ref="E10:F10"/>
    <mergeCell ref="N1:O1"/>
    <mergeCell ref="J3:L3"/>
    <mergeCell ref="N3:O4"/>
    <mergeCell ref="E4:I4"/>
    <mergeCell ref="J4:L4"/>
    <mergeCell ref="H6:I6"/>
    <mergeCell ref="K6:L6"/>
    <mergeCell ref="B3:H3"/>
    <mergeCell ref="C14:F14"/>
    <mergeCell ref="C15:F15"/>
    <mergeCell ref="C16:F16"/>
    <mergeCell ref="F34:G34"/>
    <mergeCell ref="C17:F17"/>
    <mergeCell ref="C19:F19"/>
    <mergeCell ref="C21:F21"/>
    <mergeCell ref="C20:F20"/>
    <mergeCell ref="F23:G23"/>
    <mergeCell ref="E22:G22"/>
    <mergeCell ref="C52:D52"/>
    <mergeCell ref="C41:E41"/>
    <mergeCell ref="D25:E25"/>
    <mergeCell ref="D26:E26"/>
    <mergeCell ref="C49:D49"/>
    <mergeCell ref="C37:E37"/>
    <mergeCell ref="C38:E38"/>
    <mergeCell ref="C39:E39"/>
    <mergeCell ref="C40:E40"/>
    <mergeCell ref="C46:D46"/>
    <mergeCell ref="C47:D47"/>
    <mergeCell ref="C48:D48"/>
    <mergeCell ref="C42:E42"/>
    <mergeCell ref="C36:E36"/>
    <mergeCell ref="C50:D50"/>
    <mergeCell ref="C51:D51"/>
  </mergeCells>
  <dataValidations count="3">
    <dataValidation type="list" showInputMessage="1" showErrorMessage="1" sqref="H14 K14 N14" xr:uid="{00000000-0002-0000-5200-000000000000}">
      <formula1>"ja,nein"</formula1>
    </dataValidation>
    <dataValidation type="list" allowBlank="1" showInputMessage="1" showErrorMessage="1" sqref="H15:H17 K15:K17 N15:N17" xr:uid="{00000000-0002-0000-5200-000001000000}">
      <formula1>"ja,nein"</formula1>
    </dataValidation>
    <dataValidation type="list" allowBlank="1" showInputMessage="1" showErrorMessage="1" sqref="D19:F19" xr:uid="{00000000-0002-0000-5200-000002000000}">
      <formula1>$C$60:$C$75</formula1>
    </dataValidation>
  </dataValidations>
  <hyperlinks>
    <hyperlink ref="F9" location="SDÖ1!A1" display="Preis ändern" xr:uid="{00000000-0004-0000-5200-000000000000}"/>
  </hyperlinks>
  <printOptions horizontalCentered="1"/>
  <pageMargins left="0.59055118110236227" right="0.57999999999999996" top="0.59055118110236227" bottom="0.59055118110236227" header="0.39370078740157483" footer="0.39370078740157483"/>
  <pageSetup paperSize="9" scale="70" firstPageNumber="24" orientation="portrait" r:id="rId4"/>
  <headerFooter alignWithMargins="0">
    <oddFooter>&amp;L&amp;11LEL Schwäbisch Gmünd&amp;C24&amp;R&amp;11&amp;F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87057" r:id="rId7" name="Check Box 17">
              <controlPr defaultSize="0" print="0" autoFill="0" autoLine="0" autoPict="0">
                <anchor moveWithCells="1">
                  <from>
                    <xdr:col>12</xdr:col>
                    <xdr:colOff>160020</xdr:colOff>
                    <xdr:row>2</xdr:row>
                    <xdr:rowOff>76200</xdr:rowOff>
                  </from>
                  <to>
                    <xdr:col>12</xdr:col>
                    <xdr:colOff>289560</xdr:colOff>
                    <xdr:row>2</xdr:row>
                    <xdr:rowOff>190500</xdr:rowOff>
                  </to>
                </anchor>
              </controlPr>
            </control>
          </mc:Choice>
        </mc:AlternateContent>
        <mc:AlternateContent xmlns:mc="http://schemas.openxmlformats.org/markup-compatibility/2006">
          <mc:Choice Requires="x14">
            <control shapeId="87058" r:id="rId8" name="Check Box 18">
              <controlPr defaultSize="0" print="0" autoFill="0" autoLine="0" autoPict="0">
                <anchor moveWithCells="1">
                  <from>
                    <xdr:col>12</xdr:col>
                    <xdr:colOff>175260</xdr:colOff>
                    <xdr:row>3</xdr:row>
                    <xdr:rowOff>76200</xdr:rowOff>
                  </from>
                  <to>
                    <xdr:col>12</xdr:col>
                    <xdr:colOff>297180</xdr:colOff>
                    <xdr:row>3</xdr:row>
                    <xdr:rowOff>175260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5200-000003000000}">
          <x14:formula1>
            <xm:f>'SD2'!$C$11:$C$50</xm:f>
          </x14:formula1>
          <xm:sqref>C14:F17</xm:sqref>
        </x14:dataValidation>
        <x14:dataValidation type="list" allowBlank="1" showInputMessage="1" showErrorMessage="1" xr:uid="{00000000-0002-0000-5200-000004000000}">
          <x14:formula1>
            <xm:f>'SD2'!$C$60:$C$77</xm:f>
          </x14:formula1>
          <xm:sqref>C19:C21</xm:sqref>
        </x14:dataValidation>
        <x14:dataValidation type="list" allowBlank="1" showInputMessage="1" showErrorMessage="1" xr:uid="{00000000-0002-0000-5200-000005000000}">
          <x14:formula1>
            <xm:f>SDÖ5!$C$5:$C$16</xm:f>
          </x14:formula1>
          <xm:sqref>C36:E42</xm:sqref>
        </x14:dataValidation>
        <x14:dataValidation type="list" allowBlank="1" showInputMessage="1" showErrorMessage="1" errorTitle="Arbeitsgänge" error="Bitte aus Dropdownliste auswählen." xr:uid="{00000000-0002-0000-5200-000006000000}">
          <x14:formula1>
            <xm:f>'SD3'!$C$23:$C$75</xm:f>
          </x14:formula1>
          <xm:sqref>C46:D57</xm:sqref>
        </x14:dataValidation>
        <x14:dataValidation type="list" allowBlank="1" showInputMessage="1" showErrorMessage="1" errorTitle="Lohnmaschinen" error="Bitte aus Dropdownliste auswählen." xr:uid="{00000000-0002-0000-5200-000007000000}">
          <x14:formula1>
            <xm:f>'SD3'!$C$90:$C$104</xm:f>
          </x14:formula1>
          <xm:sqref>C62:E64</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60">
    <tabColor rgb="FFFF0000"/>
    <pageSetUpPr fitToPage="1"/>
  </sheetPr>
  <dimension ref="A1:L80"/>
  <sheetViews>
    <sheetView workbookViewId="0"/>
  </sheetViews>
  <sheetFormatPr baseColWidth="10" defaultColWidth="11.19921875" defaultRowHeight="13.2"/>
  <cols>
    <col min="1" max="1" width="1.5" style="29" customWidth="1"/>
    <col min="2" max="2" width="11.19921875" style="29"/>
    <col min="3" max="3" width="10.5" style="29" bestFit="1" customWidth="1"/>
    <col min="4" max="12" width="11.19921875" style="29"/>
    <col min="13" max="13" width="4.3984375" style="29" bestFit="1" customWidth="1"/>
    <col min="14" max="16384" width="11.19921875" style="29"/>
  </cols>
  <sheetData>
    <row r="1" spans="1:12">
      <c r="A1" s="1392"/>
    </row>
    <row r="2" spans="1:12" ht="24.75" customHeight="1">
      <c r="D2" s="99" t="s">
        <v>923</v>
      </c>
      <c r="L2" s="2180">
        <f>SDÖ1!O3</f>
        <v>2024</v>
      </c>
    </row>
    <row r="3" spans="1:12" ht="2.1" customHeight="1">
      <c r="B3" s="1394"/>
      <c r="C3" s="1393"/>
      <c r="K3" s="96"/>
    </row>
    <row r="4" spans="1:12" ht="13.65" customHeight="1"/>
    <row r="30" spans="1:1">
      <c r="A30" s="1392"/>
    </row>
    <row r="55" spans="1:1">
      <c r="A55" s="1392"/>
    </row>
    <row r="80" spans="1:1">
      <c r="A80" s="1392"/>
    </row>
  </sheetData>
  <sheetProtection selectLockedCells="1"/>
  <customSheetViews>
    <customSheetView guid="{8063F48F-80B5-4ECD-B18A-51CBF126E780}" fitToPage="1" state="hidden">
      <pageMargins left="0.59055118110236227" right="0.57999999999999996" top="0.59055118110236227" bottom="0.59055118110236227" header="0.39370078740157483" footer="0.39370078740157483"/>
      <printOptions horizontalCentered="1"/>
      <pageSetup paperSize="9" scale="75" firstPageNumber="85" orientation="portrait" r:id="rId1"/>
      <headerFooter alignWithMargins="0">
        <oddFooter>&amp;L&amp;11LEL Schwäbisch Gmünd&amp;R&amp;11&amp;F</oddFooter>
      </headerFooter>
    </customSheetView>
    <customSheetView guid="{5D5C9B61-9ABD-4513-AAEB-8333A9D6196C}" fitToPage="1" state="hidden">
      <pageMargins left="0.59055118110236227" right="0.57999999999999996" top="0.59055118110236227" bottom="0.59055118110236227" header="0.39370078740157483" footer="0.39370078740157483"/>
      <printOptions horizontalCentered="1"/>
      <pageSetup paperSize="9" scale="75" firstPageNumber="85" orientation="portrait" r:id="rId2"/>
      <headerFooter alignWithMargins="0">
        <oddFooter>&amp;L&amp;11LEL Schwäbisch Gmünd&amp;R&amp;11&amp;F</oddFooter>
      </headerFooter>
    </customSheetView>
    <customSheetView guid="{22A73C4F-9004-4CEF-8499-B1F91BE1B569}" fitToPage="1" state="hidden">
      <pageMargins left="0.59055118110236227" right="0.57999999999999996" top="0.59055118110236227" bottom="0.59055118110236227" header="0.39370078740157483" footer="0.39370078740157483"/>
      <printOptions horizontalCentered="1"/>
      <pageSetup paperSize="9" scale="75" firstPageNumber="85" orientation="portrait" r:id="rId3"/>
      <headerFooter alignWithMargins="0">
        <oddFooter>&amp;L&amp;11LEL Schwäbisch Gmünd&amp;R&amp;11&amp;F</oddFooter>
      </headerFooter>
    </customSheetView>
  </customSheetViews>
  <printOptions horizontalCentered="1"/>
  <pageMargins left="0.59055118110236227" right="0.57999999999999996" top="0.59055118110236227" bottom="0.59055118110236227" header="0.39370078740157483" footer="0.39370078740157483"/>
  <pageSetup paperSize="9" scale="75" firstPageNumber="85" orientation="portrait" r:id="rId4"/>
  <headerFooter alignWithMargins="0">
    <oddFooter>&amp;L&amp;11LEL Schwäbisch Gmünd&amp;R&amp;11&amp;F</oddFooter>
  </headerFooter>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3">
    <tabColor rgb="FFFF0000"/>
  </sheetPr>
  <dimension ref="A1:L86"/>
  <sheetViews>
    <sheetView workbookViewId="0"/>
  </sheetViews>
  <sheetFormatPr baseColWidth="10" defaultColWidth="11.19921875" defaultRowHeight="13.2"/>
  <cols>
    <col min="1" max="1" width="26.59765625" style="29" bestFit="1" customWidth="1"/>
    <col min="2" max="3" width="11.19921875" style="29"/>
    <col min="4" max="4" width="3" style="29" customWidth="1"/>
    <col min="5" max="5" width="38.59765625" style="29" bestFit="1" customWidth="1"/>
    <col min="6" max="6" width="11.3984375" style="29" bestFit="1" customWidth="1"/>
    <col min="7" max="7" width="12.09765625" style="29" bestFit="1" customWidth="1"/>
    <col min="8" max="8" width="11.19921875" style="29"/>
    <col min="9" max="9" width="12.8984375" style="29" bestFit="1" customWidth="1"/>
    <col min="10" max="10" width="12.5" style="29" bestFit="1" customWidth="1"/>
    <col min="11" max="11" width="13.3984375" style="1436" bestFit="1" customWidth="1"/>
    <col min="12" max="16384" width="11.19921875" style="29"/>
  </cols>
  <sheetData>
    <row r="1" spans="1:12" ht="21">
      <c r="A1" s="166" t="s">
        <v>1357</v>
      </c>
    </row>
    <row r="2" spans="1:12">
      <c r="A2" s="12" t="s">
        <v>1356</v>
      </c>
      <c r="H2" s="12" t="s">
        <v>1355</v>
      </c>
      <c r="I2" s="2179">
        <v>0.02</v>
      </c>
      <c r="J2" s="12"/>
    </row>
    <row r="4" spans="1:12" ht="26.4">
      <c r="A4" s="12" t="s">
        <v>446</v>
      </c>
      <c r="B4" s="12" t="s">
        <v>113</v>
      </c>
      <c r="E4" s="12" t="s">
        <v>1354</v>
      </c>
      <c r="F4" s="2178" t="s">
        <v>1353</v>
      </c>
      <c r="G4" s="12" t="s">
        <v>578</v>
      </c>
      <c r="H4" s="12" t="s">
        <v>1352</v>
      </c>
      <c r="I4" s="12" t="s">
        <v>1351</v>
      </c>
      <c r="J4" s="12" t="s">
        <v>1350</v>
      </c>
      <c r="K4" s="1436" t="s">
        <v>1349</v>
      </c>
      <c r="L4" s="12" t="s">
        <v>368</v>
      </c>
    </row>
    <row r="5" spans="1:12">
      <c r="A5" s="319" t="s">
        <v>1348</v>
      </c>
      <c r="B5" s="2177">
        <f>SUM(B6:B35)</f>
        <v>150</v>
      </c>
      <c r="C5" s="12"/>
      <c r="D5" s="3847" t="s">
        <v>370</v>
      </c>
      <c r="E5" s="3848"/>
    </row>
    <row r="6" spans="1:12">
      <c r="A6" s="319" t="str">
        <f>'SD8'!B10</f>
        <v>Winterweizen (Futter-)</v>
      </c>
      <c r="B6" s="2177">
        <v>50</v>
      </c>
      <c r="C6" s="12"/>
      <c r="D6" s="331">
        <v>1</v>
      </c>
      <c r="E6" s="332" t="s">
        <v>379</v>
      </c>
      <c r="F6" s="2176">
        <v>100000</v>
      </c>
      <c r="G6" s="2176">
        <v>12</v>
      </c>
      <c r="H6" s="2176">
        <v>10000</v>
      </c>
      <c r="I6" s="2175">
        <f t="shared" ref="I6:I11" si="0">IFERROR((F6-H6)/G6+(F6+H6)/2*$I$2+0.01*F6+0.01*F6,"")</f>
        <v>10600</v>
      </c>
      <c r="K6" s="2173" t="str">
        <f>IFERROR(I6/J6,"")</f>
        <v/>
      </c>
    </row>
    <row r="7" spans="1:12">
      <c r="A7" s="319" t="str">
        <f>'SD8'!B11</f>
        <v>Winterweizen (Brot-)</v>
      </c>
      <c r="B7" s="2177"/>
      <c r="D7" s="331">
        <v>2</v>
      </c>
      <c r="E7" s="319" t="s">
        <v>378</v>
      </c>
      <c r="F7" s="2176"/>
      <c r="G7" s="2177"/>
      <c r="H7" s="2177"/>
      <c r="I7" s="2175" t="str">
        <f t="shared" si="0"/>
        <v/>
      </c>
    </row>
    <row r="8" spans="1:12">
      <c r="A8" s="319" t="str">
        <f>'SD8'!B12</f>
        <v>Winterweizen (Aufmisch-; A-Sort.)</v>
      </c>
      <c r="B8" s="2177"/>
      <c r="D8" s="331">
        <v>3</v>
      </c>
      <c r="E8" s="319" t="s">
        <v>376</v>
      </c>
      <c r="F8" s="2176"/>
      <c r="G8" s="2177"/>
      <c r="H8" s="2177"/>
      <c r="I8" s="2175" t="str">
        <f t="shared" si="0"/>
        <v/>
      </c>
    </row>
    <row r="9" spans="1:12">
      <c r="A9" s="319" t="str">
        <f>'SD8'!B13</f>
        <v>Winterweizen (Qualität-; E-Sorte)</v>
      </c>
      <c r="B9" s="2177"/>
      <c r="D9" s="331">
        <v>4</v>
      </c>
      <c r="E9" s="319" t="s">
        <v>375</v>
      </c>
      <c r="F9" s="2176"/>
      <c r="G9" s="2177"/>
      <c r="H9" s="2177"/>
      <c r="I9" s="2175" t="str">
        <f t="shared" si="0"/>
        <v/>
      </c>
    </row>
    <row r="10" spans="1:12">
      <c r="A10" s="319" t="str">
        <f>'SD8'!B14</f>
        <v>Winterroggen</v>
      </c>
      <c r="B10" s="2177"/>
      <c r="D10" s="331">
        <v>5</v>
      </c>
      <c r="E10" s="319" t="s">
        <v>374</v>
      </c>
      <c r="F10" s="2176"/>
      <c r="G10" s="2177"/>
      <c r="H10" s="2177"/>
      <c r="I10" s="2175" t="str">
        <f t="shared" si="0"/>
        <v/>
      </c>
    </row>
    <row r="11" spans="1:12">
      <c r="A11" s="319" t="str">
        <f>'SD8'!B15</f>
        <v>Triticale</v>
      </c>
      <c r="B11" s="2177"/>
      <c r="D11" s="331">
        <v>6</v>
      </c>
      <c r="E11" s="319" t="s">
        <v>373</v>
      </c>
      <c r="F11" s="2176"/>
      <c r="G11" s="2177"/>
      <c r="H11" s="2177"/>
      <c r="I11" s="2175" t="str">
        <f t="shared" si="0"/>
        <v/>
      </c>
    </row>
    <row r="12" spans="1:12">
      <c r="A12" s="319" t="str">
        <f>'SD8'!B16</f>
        <v>Wintergerste</v>
      </c>
      <c r="B12" s="2177">
        <v>30</v>
      </c>
      <c r="D12" s="3847" t="s">
        <v>371</v>
      </c>
      <c r="E12" s="3848"/>
    </row>
    <row r="13" spans="1:12">
      <c r="A13" s="319" t="str">
        <f>'SD8'!B17</f>
        <v>Dinkel</v>
      </c>
      <c r="B13" s="2177"/>
      <c r="D13" s="3849" t="s">
        <v>1347</v>
      </c>
      <c r="E13" s="319" t="s">
        <v>361</v>
      </c>
      <c r="F13" s="2176">
        <v>15000</v>
      </c>
      <c r="G13" s="2177">
        <v>12</v>
      </c>
      <c r="H13" s="2176">
        <v>1000</v>
      </c>
      <c r="I13" s="2175">
        <f t="shared" ref="I13:I44" si="1">IFERROR((F13-H13)/G13+(F13+H13)/2*$I$2+0.01*F13,"")</f>
        <v>1476.6666666666667</v>
      </c>
      <c r="J13" s="2174">
        <f ca="1">SUMIF(Maschinenauslastung!D:D,E13,Maschinenauslastung!E:E)</f>
        <v>0</v>
      </c>
      <c r="K13" s="2173" t="str">
        <f t="shared" ref="K13:K44" ca="1" si="2">IFERROR(I13/J13,"")</f>
        <v/>
      </c>
      <c r="L13" s="444" t="e">
        <f>VLOOKUP(E13,'SD3'!C:O,2,FALSE)</f>
        <v>#N/A</v>
      </c>
    </row>
    <row r="14" spans="1:12">
      <c r="A14" s="319" t="str">
        <f>'SD8'!B18</f>
        <v xml:space="preserve">Sommerweizen </v>
      </c>
      <c r="B14" s="2177"/>
      <c r="D14" s="3850"/>
      <c r="E14" s="319" t="s">
        <v>360</v>
      </c>
      <c r="F14" s="2176">
        <v>10000</v>
      </c>
      <c r="G14" s="2177">
        <v>8</v>
      </c>
      <c r="H14" s="2176">
        <v>2000</v>
      </c>
      <c r="I14" s="2175">
        <f t="shared" si="1"/>
        <v>1220</v>
      </c>
      <c r="J14" s="2174">
        <f ca="1">SUMIF(Maschinenauslastung!D:D,E14,Maschinenauslastung!E:E)</f>
        <v>0</v>
      </c>
      <c r="K14" s="2173" t="str">
        <f t="shared" ca="1" si="2"/>
        <v/>
      </c>
      <c r="L14" s="444">
        <f>VLOOKUP(E14,'SD3'!C:O,2,FALSE)</f>
        <v>5</v>
      </c>
    </row>
    <row r="15" spans="1:12">
      <c r="A15" s="319" t="str">
        <f>'SD8'!B19</f>
        <v xml:space="preserve">Sommerfuttergerste </v>
      </c>
      <c r="B15" s="2177"/>
      <c r="D15" s="3850"/>
      <c r="E15" s="319" t="s">
        <v>359</v>
      </c>
      <c r="F15" s="2176"/>
      <c r="G15" s="2177"/>
      <c r="H15" s="2176"/>
      <c r="I15" s="2175" t="str">
        <f t="shared" si="1"/>
        <v/>
      </c>
      <c r="J15" s="2174">
        <f ca="1">SUMIF(Maschinenauslastung!D:D,E15,Maschinenauslastung!E:E)</f>
        <v>0</v>
      </c>
      <c r="K15" s="2173" t="str">
        <f t="shared" ca="1" si="2"/>
        <v/>
      </c>
      <c r="L15" s="444">
        <f>VLOOKUP(E15,'SD3'!C:O,2,FALSE)</f>
        <v>6</v>
      </c>
    </row>
    <row r="16" spans="1:12">
      <c r="A16" s="319" t="str">
        <f>'SD8'!B20</f>
        <v>Braugerste</v>
      </c>
      <c r="B16" s="2177"/>
      <c r="D16" s="3850"/>
      <c r="E16" s="324" t="s">
        <v>358</v>
      </c>
      <c r="F16" s="2176"/>
      <c r="G16" s="2177"/>
      <c r="H16" s="2176"/>
      <c r="I16" s="2175" t="str">
        <f t="shared" si="1"/>
        <v/>
      </c>
      <c r="J16" s="2174">
        <f ca="1">SUMIF(Maschinenauslastung!D:D,E16,Maschinenauslastung!E:E)</f>
        <v>0</v>
      </c>
      <c r="K16" s="2173" t="str">
        <f t="shared" ca="1" si="2"/>
        <v/>
      </c>
      <c r="L16" s="444" t="e">
        <f>VLOOKUP(E16,'SD3'!C:O,2,FALSE)</f>
        <v>#N/A</v>
      </c>
    </row>
    <row r="17" spans="1:12">
      <c r="A17" s="319" t="str">
        <f>'SD8'!B21</f>
        <v xml:space="preserve">Hafer </v>
      </c>
      <c r="B17" s="2177"/>
      <c r="D17" s="3850"/>
      <c r="E17" s="319" t="s">
        <v>357</v>
      </c>
      <c r="F17" s="2176"/>
      <c r="G17" s="2177"/>
      <c r="H17" s="2176"/>
      <c r="I17" s="2175" t="str">
        <f t="shared" si="1"/>
        <v/>
      </c>
      <c r="J17" s="2174">
        <f ca="1">SUMIF(Maschinenauslastung!D:D,E17,Maschinenauslastung!E:E)</f>
        <v>0</v>
      </c>
      <c r="K17" s="2173" t="str">
        <f t="shared" ca="1" si="2"/>
        <v/>
      </c>
      <c r="L17" s="444">
        <f>VLOOKUP(E17,'SD3'!C:O,2,FALSE)</f>
        <v>7</v>
      </c>
    </row>
    <row r="18" spans="1:12">
      <c r="A18" s="319" t="str">
        <f>'SD8'!B22</f>
        <v>Durum</v>
      </c>
      <c r="B18" s="2177"/>
      <c r="D18" s="3850"/>
      <c r="E18" s="319" t="s">
        <v>356</v>
      </c>
      <c r="F18" s="2176"/>
      <c r="G18" s="2177"/>
      <c r="H18" s="2176"/>
      <c r="I18" s="2175" t="str">
        <f t="shared" si="1"/>
        <v/>
      </c>
      <c r="J18" s="2174">
        <f ca="1">SUMIF(Maschinenauslastung!D:D,E18,Maschinenauslastung!E:E)</f>
        <v>0</v>
      </c>
      <c r="K18" s="2173" t="str">
        <f t="shared" ca="1" si="2"/>
        <v/>
      </c>
      <c r="L18" s="444">
        <f>VLOOKUP(E18,'SD3'!C:O,2,FALSE)</f>
        <v>3</v>
      </c>
    </row>
    <row r="19" spans="1:12">
      <c r="A19" s="319" t="str">
        <f>'SD8'!B23</f>
        <v xml:space="preserve">Körnermais </v>
      </c>
      <c r="B19" s="2177">
        <v>30</v>
      </c>
      <c r="D19" s="3845" t="s">
        <v>1346</v>
      </c>
      <c r="E19" s="319" t="s">
        <v>354</v>
      </c>
      <c r="F19" s="2176"/>
      <c r="G19" s="2177"/>
      <c r="H19" s="2176"/>
      <c r="I19" s="2175" t="str">
        <f t="shared" si="1"/>
        <v/>
      </c>
      <c r="J19" s="2174">
        <f ca="1">SUMIF(Maschinenauslastung!D:D,E19,Maschinenauslastung!E:E)</f>
        <v>10</v>
      </c>
      <c r="K19" s="2173" t="str">
        <f t="shared" ca="1" si="2"/>
        <v/>
      </c>
      <c r="L19" s="444">
        <f>VLOOKUP(E19,'SD3'!C:O,2,FALSE)</f>
        <v>10</v>
      </c>
    </row>
    <row r="20" spans="1:12">
      <c r="A20" s="319" t="str">
        <f>'SD8'!B24</f>
        <v>Körnerhirse (Lebens-/Futtermittel)</v>
      </c>
      <c r="B20" s="2177"/>
      <c r="D20" s="3846"/>
      <c r="E20" s="319" t="s">
        <v>353</v>
      </c>
      <c r="F20" s="2176"/>
      <c r="G20" s="2177"/>
      <c r="H20" s="2176"/>
      <c r="I20" s="2175" t="str">
        <f t="shared" si="1"/>
        <v/>
      </c>
      <c r="J20" s="2174">
        <f ca="1">SUMIF(Maschinenauslastung!D:D,E20,Maschinenauslastung!E:E)</f>
        <v>0</v>
      </c>
      <c r="K20" s="2173" t="str">
        <f t="shared" ca="1" si="2"/>
        <v/>
      </c>
      <c r="L20" s="444" t="e">
        <f>VLOOKUP(E20,'SD3'!C:O,2,FALSE)</f>
        <v>#N/A</v>
      </c>
    </row>
    <row r="21" spans="1:12">
      <c r="A21" s="319" t="str">
        <f>'SD8'!B25</f>
        <v>Winterraps</v>
      </c>
      <c r="B21" s="2177">
        <v>20</v>
      </c>
      <c r="D21" s="3846"/>
      <c r="E21" s="319" t="s">
        <v>352</v>
      </c>
      <c r="F21" s="2176"/>
      <c r="G21" s="2177"/>
      <c r="H21" s="2176"/>
      <c r="I21" s="2175" t="str">
        <f t="shared" si="1"/>
        <v/>
      </c>
      <c r="J21" s="2174">
        <f ca="1">SUMIF(Maschinenauslastung!D:D,E21,Maschinenauslastung!E:E)</f>
        <v>0</v>
      </c>
      <c r="K21" s="2173" t="str">
        <f t="shared" ca="1" si="2"/>
        <v/>
      </c>
      <c r="L21" s="444">
        <f>VLOOKUP(E21,'SD3'!C:O,2,FALSE)</f>
        <v>4</v>
      </c>
    </row>
    <row r="22" spans="1:12">
      <c r="A22" s="319" t="str">
        <f>'SD8'!B26</f>
        <v xml:space="preserve">Sommerraps </v>
      </c>
      <c r="B22" s="2177"/>
      <c r="D22" s="3846"/>
      <c r="E22" s="319" t="s">
        <v>351</v>
      </c>
      <c r="F22" s="2176"/>
      <c r="G22" s="2177"/>
      <c r="H22" s="2176"/>
      <c r="I22" s="2175" t="str">
        <f t="shared" si="1"/>
        <v/>
      </c>
      <c r="J22" s="2174">
        <f ca="1">SUMIF(Maschinenauslastung!D:D,E22,Maschinenauslastung!E:E)</f>
        <v>0</v>
      </c>
      <c r="K22" s="2173" t="str">
        <f t="shared" ca="1" si="2"/>
        <v/>
      </c>
      <c r="L22" s="444">
        <f>VLOOKUP(E22,'SD3'!C:O,2,FALSE)</f>
        <v>17</v>
      </c>
    </row>
    <row r="23" spans="1:12">
      <c r="A23" s="319" t="str">
        <f>'SD8'!B27</f>
        <v xml:space="preserve">Sonnenblumen </v>
      </c>
      <c r="B23" s="2177"/>
      <c r="D23" s="3846"/>
      <c r="E23" s="319" t="s">
        <v>350</v>
      </c>
      <c r="F23" s="2176"/>
      <c r="G23" s="2177"/>
      <c r="H23" s="2176"/>
      <c r="I23" s="2175" t="str">
        <f t="shared" si="1"/>
        <v/>
      </c>
      <c r="J23" s="2174">
        <f ca="1">SUMIF(Maschinenauslastung!D:D,E23,Maschinenauslastung!E:E)</f>
        <v>0</v>
      </c>
      <c r="K23" s="2173" t="str">
        <f t="shared" ca="1" si="2"/>
        <v/>
      </c>
      <c r="L23" s="444" t="e">
        <f>VLOOKUP(E23,'SD3'!C:O,2,FALSE)</f>
        <v>#N/A</v>
      </c>
    </row>
    <row r="24" spans="1:12">
      <c r="A24" s="319" t="str">
        <f>'SD8'!B28</f>
        <v xml:space="preserve">Sojabohne </v>
      </c>
      <c r="B24" s="2177"/>
      <c r="D24" s="3846"/>
      <c r="E24" s="319" t="s">
        <v>349</v>
      </c>
      <c r="F24" s="2176"/>
      <c r="G24" s="2177"/>
      <c r="H24" s="2176"/>
      <c r="I24" s="2175" t="str">
        <f t="shared" si="1"/>
        <v/>
      </c>
      <c r="J24" s="2174">
        <f ca="1">SUMIF(Maschinenauslastung!D:D,E24,Maschinenauslastung!E:E)</f>
        <v>0</v>
      </c>
      <c r="K24" s="2173" t="str">
        <f t="shared" ca="1" si="2"/>
        <v/>
      </c>
      <c r="L24" s="444" t="e">
        <f>VLOOKUP(E24,'SD3'!C:O,2,FALSE)</f>
        <v>#N/A</v>
      </c>
    </row>
    <row r="25" spans="1:12">
      <c r="A25" s="319" t="str">
        <f>'SD8'!B29</f>
        <v xml:space="preserve">Öllein (Industrie) </v>
      </c>
      <c r="B25" s="2177"/>
      <c r="D25" s="3846"/>
      <c r="E25" s="319" t="s">
        <v>348</v>
      </c>
      <c r="F25" s="2176"/>
      <c r="G25" s="2177"/>
      <c r="H25" s="2176"/>
      <c r="I25" s="2175" t="str">
        <f t="shared" si="1"/>
        <v/>
      </c>
      <c r="J25" s="2174">
        <f ca="1">SUMIF(Maschinenauslastung!D:D,E25,Maschinenauslastung!E:E)</f>
        <v>0</v>
      </c>
      <c r="K25" s="2173" t="str">
        <f t="shared" ca="1" si="2"/>
        <v/>
      </c>
      <c r="L25" s="444">
        <f>VLOOKUP(E25,'SD3'!C:O,2,FALSE)</f>
        <v>15</v>
      </c>
    </row>
    <row r="26" spans="1:12">
      <c r="A26" s="319" t="str">
        <f>'SD8'!B30</f>
        <v xml:space="preserve">Futtererbsen </v>
      </c>
      <c r="B26" s="2177">
        <v>10</v>
      </c>
      <c r="D26" s="3851" t="s">
        <v>1345</v>
      </c>
      <c r="E26" s="319" t="s">
        <v>347</v>
      </c>
      <c r="F26" s="2176"/>
      <c r="G26" s="2177"/>
      <c r="H26" s="2176"/>
      <c r="I26" s="2175" t="str">
        <f t="shared" si="1"/>
        <v/>
      </c>
      <c r="J26" s="2174">
        <f ca="1">SUMIF(Maschinenauslastung!D:D,E26,Maschinenauslastung!E:E)</f>
        <v>0</v>
      </c>
      <c r="K26" s="2173" t="str">
        <f t="shared" ca="1" si="2"/>
        <v/>
      </c>
      <c r="L26" s="444" t="e">
        <f>VLOOKUP(E26,'SD3'!C:O,2,FALSE)</f>
        <v>#N/A</v>
      </c>
    </row>
    <row r="27" spans="1:12">
      <c r="A27" s="319" t="str">
        <f>'SD8'!B31</f>
        <v xml:space="preserve">Ackerbohnen </v>
      </c>
      <c r="B27" s="2177"/>
      <c r="D27" s="3850"/>
      <c r="E27" s="324" t="s">
        <v>345</v>
      </c>
      <c r="F27" s="2176"/>
      <c r="G27" s="2177"/>
      <c r="H27" s="2176"/>
      <c r="I27" s="2175" t="str">
        <f t="shared" si="1"/>
        <v/>
      </c>
      <c r="J27" s="2174">
        <f ca="1">SUMIF(Maschinenauslastung!D:D,E27,Maschinenauslastung!E:E)</f>
        <v>0</v>
      </c>
      <c r="K27" s="2173" t="str">
        <f t="shared" ca="1" si="2"/>
        <v/>
      </c>
      <c r="L27" s="444" t="e">
        <f>VLOOKUP(E27,'SD3'!C:O,2,FALSE)</f>
        <v>#N/A</v>
      </c>
    </row>
    <row r="28" spans="1:12">
      <c r="A28" s="319" t="str">
        <f>'SD8'!B32</f>
        <v xml:space="preserve">Blaue Lupine </v>
      </c>
      <c r="B28" s="2177"/>
      <c r="D28" s="3850"/>
      <c r="E28" s="324" t="s">
        <v>344</v>
      </c>
      <c r="F28" s="2176"/>
      <c r="G28" s="2177"/>
      <c r="H28" s="2176"/>
      <c r="I28" s="2175" t="str">
        <f t="shared" si="1"/>
        <v/>
      </c>
      <c r="J28" s="2174">
        <f ca="1">SUMIF(Maschinenauslastung!D:D,E28,Maschinenauslastung!E:E)</f>
        <v>0</v>
      </c>
      <c r="K28" s="2173" t="str">
        <f t="shared" ca="1" si="2"/>
        <v/>
      </c>
      <c r="L28" s="444" t="e">
        <f>VLOOKUP(E28,'SD3'!C:O,2,FALSE)</f>
        <v>#N/A</v>
      </c>
    </row>
    <row r="29" spans="1:12">
      <c r="A29" s="319" t="str">
        <f>'SD8'!B33</f>
        <v xml:space="preserve">Zuckerrüben </v>
      </c>
      <c r="B29" s="2177"/>
      <c r="D29" s="3850"/>
      <c r="E29" s="324" t="s">
        <v>1045</v>
      </c>
      <c r="F29" s="2176"/>
      <c r="G29" s="2177"/>
      <c r="H29" s="2176"/>
      <c r="I29" s="2175" t="str">
        <f t="shared" si="1"/>
        <v/>
      </c>
      <c r="J29" s="2174">
        <f ca="1">SUMIF(Maschinenauslastung!D:D,E29,Maschinenauslastung!E:E)</f>
        <v>0</v>
      </c>
      <c r="K29" s="2173" t="str">
        <f t="shared" ca="1" si="2"/>
        <v/>
      </c>
      <c r="L29" s="444" t="e">
        <f>VLOOKUP(E29,'SD3'!C:O,2,FALSE)</f>
        <v>#N/A</v>
      </c>
    </row>
    <row r="30" spans="1:12">
      <c r="A30" s="319" t="str">
        <f>'SD8'!B34</f>
        <v>Frühkartoffeln</v>
      </c>
      <c r="B30" s="2177"/>
      <c r="D30" s="3845" t="s">
        <v>770</v>
      </c>
      <c r="E30" s="319" t="s">
        <v>342</v>
      </c>
      <c r="F30" s="2176"/>
      <c r="G30" s="2177"/>
      <c r="H30" s="2176"/>
      <c r="I30" s="2175" t="str">
        <f t="shared" si="1"/>
        <v/>
      </c>
      <c r="J30" s="2174">
        <f ca="1">SUMIF(Maschinenauslastung!D:D,E30,Maschinenauslastung!E:E)</f>
        <v>0</v>
      </c>
      <c r="K30" s="2173" t="str">
        <f t="shared" ca="1" si="2"/>
        <v/>
      </c>
      <c r="L30" s="444" t="e">
        <f>VLOOKUP(E30,'SD3'!C:O,2,FALSE)</f>
        <v>#N/A</v>
      </c>
    </row>
    <row r="31" spans="1:12">
      <c r="A31" s="319" t="str">
        <f>'SD8'!B35</f>
        <v>Frühkartoffeln, Folie, beregnet</v>
      </c>
      <c r="B31" s="2177"/>
      <c r="D31" s="3846"/>
      <c r="E31" s="319" t="s">
        <v>341</v>
      </c>
      <c r="F31" s="2176"/>
      <c r="G31" s="2177"/>
      <c r="H31" s="2176"/>
      <c r="I31" s="2175" t="str">
        <f t="shared" si="1"/>
        <v/>
      </c>
      <c r="J31" s="2174">
        <f ca="1">SUMIF(Maschinenauslastung!D:D,E31,Maschinenauslastung!E:E)</f>
        <v>0</v>
      </c>
      <c r="K31" s="2173" t="str">
        <f t="shared" ca="1" si="2"/>
        <v/>
      </c>
      <c r="L31" s="444">
        <f>VLOOKUP(E31,'SD3'!C:O,2,FALSE)</f>
        <v>5</v>
      </c>
    </row>
    <row r="32" spans="1:12">
      <c r="A32" s="319" t="str">
        <f>'SD8'!B36</f>
        <v>Speisekartoffeln spät</v>
      </c>
      <c r="B32" s="2177">
        <v>10</v>
      </c>
      <c r="D32" s="3846"/>
      <c r="E32" s="324" t="s">
        <v>340</v>
      </c>
      <c r="F32" s="2176"/>
      <c r="G32" s="2177"/>
      <c r="H32" s="2176"/>
      <c r="I32" s="2175" t="str">
        <f t="shared" si="1"/>
        <v/>
      </c>
      <c r="J32" s="2174">
        <f ca="1">SUMIF(Maschinenauslastung!D:D,E32,Maschinenauslastung!E:E)</f>
        <v>0</v>
      </c>
      <c r="K32" s="2173" t="str">
        <f t="shared" ca="1" si="2"/>
        <v/>
      </c>
      <c r="L32" s="444" t="e">
        <f>VLOOKUP(E32,'SD3'!C:O,2,FALSE)</f>
        <v>#N/A</v>
      </c>
    </row>
    <row r="33" spans="1:12">
      <c r="A33" s="319" t="str">
        <f>'SD8'!B37</f>
        <v>Speisekartoffeln spät, beregnet</v>
      </c>
      <c r="B33" s="2177"/>
      <c r="D33" s="3846"/>
      <c r="E33" s="319" t="s">
        <v>339</v>
      </c>
      <c r="F33" s="2176"/>
      <c r="G33" s="2177"/>
      <c r="H33" s="2176"/>
      <c r="I33" s="2175" t="str">
        <f t="shared" si="1"/>
        <v/>
      </c>
      <c r="J33" s="2174">
        <f ca="1">SUMIF(Maschinenauslastung!D:D,E33,Maschinenauslastung!E:E)</f>
        <v>0</v>
      </c>
      <c r="K33" s="2173" t="str">
        <f t="shared" ca="1" si="2"/>
        <v/>
      </c>
      <c r="L33" s="444">
        <f>VLOOKUP(E33,'SD3'!C:O,2,FALSE)</f>
        <v>2</v>
      </c>
    </row>
    <row r="34" spans="1:12">
      <c r="A34" s="319" t="str">
        <f>'SD8'!B38</f>
        <v>Kultur A</v>
      </c>
      <c r="B34" s="2177"/>
      <c r="D34" s="3846"/>
      <c r="E34" s="319" t="s">
        <v>338</v>
      </c>
      <c r="F34" s="2176"/>
      <c r="G34" s="2177"/>
      <c r="H34" s="2176"/>
      <c r="I34" s="2175" t="str">
        <f t="shared" si="1"/>
        <v/>
      </c>
      <c r="J34" s="2174">
        <f ca="1">SUMIF(Maschinenauslastung!D:D,E34,Maschinenauslastung!E:E)</f>
        <v>0</v>
      </c>
      <c r="K34" s="2173" t="str">
        <f t="shared" ca="1" si="2"/>
        <v/>
      </c>
      <c r="L34" s="444">
        <f>VLOOKUP(E34,'SD3'!C:O,2,FALSE)</f>
        <v>5</v>
      </c>
    </row>
    <row r="35" spans="1:12">
      <c r="A35" s="319" t="str">
        <f>'SD8'!B39</f>
        <v>FAKT - Brachebegrünung</v>
      </c>
      <c r="B35" s="2177"/>
      <c r="D35" s="3851" t="s">
        <v>1344</v>
      </c>
      <c r="E35" s="319" t="s">
        <v>337</v>
      </c>
      <c r="F35" s="2176"/>
      <c r="G35" s="2177"/>
      <c r="H35" s="2176"/>
      <c r="I35" s="2175" t="str">
        <f t="shared" si="1"/>
        <v/>
      </c>
      <c r="J35" s="2174">
        <f ca="1">SUMIF(Maschinenauslastung!D:D,E35,Maschinenauslastung!E:E)</f>
        <v>0</v>
      </c>
      <c r="K35" s="2173" t="str">
        <f t="shared" ca="1" si="2"/>
        <v/>
      </c>
      <c r="L35" s="444" t="e">
        <f>VLOOKUP(E35,'SD3'!C:O,2,FALSE)</f>
        <v>#N/A</v>
      </c>
    </row>
    <row r="36" spans="1:12">
      <c r="A36" s="319" t="str">
        <f>'SD8'!B40</f>
        <v>Begrünung</v>
      </c>
      <c r="B36" s="2177"/>
      <c r="D36" s="3850"/>
      <c r="E36" s="324" t="s">
        <v>336</v>
      </c>
      <c r="F36" s="2176"/>
      <c r="G36" s="2177"/>
      <c r="H36" s="2176"/>
      <c r="I36" s="2175" t="str">
        <f t="shared" si="1"/>
        <v/>
      </c>
      <c r="J36" s="2174">
        <f ca="1">SUMIF(Maschinenauslastung!D:D,E36,Maschinenauslastung!E:E)</f>
        <v>0</v>
      </c>
      <c r="K36" s="2173" t="str">
        <f t="shared" ca="1" si="2"/>
        <v/>
      </c>
      <c r="L36" s="444" t="e">
        <f>VLOOKUP(E36,'SD3'!C:O,2,FALSE)</f>
        <v>#N/A</v>
      </c>
    </row>
    <row r="37" spans="1:12">
      <c r="D37" s="3845" t="s">
        <v>433</v>
      </c>
      <c r="E37" s="319" t="s">
        <v>335</v>
      </c>
      <c r="F37" s="2176"/>
      <c r="G37" s="2177"/>
      <c r="H37" s="2176"/>
      <c r="I37" s="2175" t="str">
        <f t="shared" si="1"/>
        <v/>
      </c>
      <c r="J37" s="2174">
        <f ca="1">SUMIF(Maschinenauslastung!D:D,E37,Maschinenauslastung!E:E)</f>
        <v>0</v>
      </c>
      <c r="K37" s="2173" t="str">
        <f t="shared" ca="1" si="2"/>
        <v/>
      </c>
      <c r="L37" s="444" t="e">
        <f>VLOOKUP(E37,'SD3'!C:O,2,FALSE)</f>
        <v>#N/A</v>
      </c>
    </row>
    <row r="38" spans="1:12">
      <c r="D38" s="3846"/>
      <c r="E38" s="319" t="s">
        <v>334</v>
      </c>
      <c r="F38" s="2176"/>
      <c r="G38" s="2177"/>
      <c r="H38" s="2176"/>
      <c r="I38" s="2175" t="str">
        <f t="shared" si="1"/>
        <v/>
      </c>
      <c r="J38" s="2174">
        <f ca="1">SUMIF(Maschinenauslastung!D:D,E38,Maschinenauslastung!E:E)</f>
        <v>0</v>
      </c>
      <c r="K38" s="2173" t="str">
        <f t="shared" ca="1" si="2"/>
        <v/>
      </c>
      <c r="L38" s="444" t="e">
        <f>VLOOKUP(E38,'SD3'!C:O,2,FALSE)</f>
        <v>#N/A</v>
      </c>
    </row>
    <row r="39" spans="1:12">
      <c r="D39" s="3846"/>
      <c r="E39" s="319" t="s">
        <v>333</v>
      </c>
      <c r="F39" s="2176"/>
      <c r="G39" s="2177"/>
      <c r="H39" s="2176"/>
      <c r="I39" s="2175" t="str">
        <f t="shared" si="1"/>
        <v/>
      </c>
      <c r="J39" s="2174">
        <f ca="1">SUMIF(Maschinenauslastung!D:D,E39,Maschinenauslastung!E:E)</f>
        <v>0</v>
      </c>
      <c r="K39" s="2173" t="str">
        <f t="shared" ca="1" si="2"/>
        <v/>
      </c>
      <c r="L39" s="444" t="e">
        <f>VLOOKUP(E39,'SD3'!C:O,2,FALSE)</f>
        <v>#N/A</v>
      </c>
    </row>
    <row r="40" spans="1:12">
      <c r="D40" s="3846"/>
      <c r="E40" s="319" t="s">
        <v>332</v>
      </c>
      <c r="F40" s="2176"/>
      <c r="G40" s="2177"/>
      <c r="H40" s="2176"/>
      <c r="I40" s="2175" t="str">
        <f t="shared" si="1"/>
        <v/>
      </c>
      <c r="J40" s="2174">
        <f ca="1">SUMIF(Maschinenauslastung!D:D,E40,Maschinenauslastung!E:E)</f>
        <v>56.25</v>
      </c>
      <c r="K40" s="2173" t="str">
        <f t="shared" ca="1" si="2"/>
        <v/>
      </c>
      <c r="L40" s="444">
        <f>VLOOKUP(E40,'SD3'!C:O,2,FALSE)</f>
        <v>2.08</v>
      </c>
    </row>
    <row r="41" spans="1:12">
      <c r="D41" s="3851" t="s">
        <v>1343</v>
      </c>
      <c r="E41" s="319" t="s">
        <v>331</v>
      </c>
      <c r="F41" s="2176"/>
      <c r="G41" s="2177"/>
      <c r="H41" s="2176"/>
      <c r="I41" s="2175" t="str">
        <f t="shared" si="1"/>
        <v/>
      </c>
      <c r="J41" s="2174">
        <f ca="1">SUMIF(Maschinenauslastung!D:D,E41,Maschinenauslastung!E:E)</f>
        <v>0</v>
      </c>
      <c r="K41" s="2173" t="str">
        <f t="shared" ca="1" si="2"/>
        <v/>
      </c>
      <c r="L41" s="444">
        <f>VLOOKUP(E41,'SD3'!C:O,2,FALSE)</f>
        <v>0.5</v>
      </c>
    </row>
    <row r="42" spans="1:12">
      <c r="D42" s="3850"/>
      <c r="E42" s="319" t="s">
        <v>330</v>
      </c>
      <c r="F42" s="2176"/>
      <c r="G42" s="2177"/>
      <c r="H42" s="2176"/>
      <c r="I42" s="2175" t="str">
        <f t="shared" si="1"/>
        <v/>
      </c>
      <c r="J42" s="2174">
        <f ca="1">SUMIF(Maschinenauslastung!D:D,E42,Maschinenauslastung!E:E)</f>
        <v>0</v>
      </c>
      <c r="K42" s="2173" t="str">
        <f t="shared" ca="1" si="2"/>
        <v/>
      </c>
      <c r="L42" s="444">
        <f>VLOOKUP(E42,'SD3'!C:O,2,FALSE)</f>
        <v>2.2000000000000002</v>
      </c>
    </row>
    <row r="43" spans="1:12">
      <c r="D43" s="3850"/>
      <c r="E43" s="319" t="s">
        <v>329</v>
      </c>
      <c r="F43" s="2176"/>
      <c r="G43" s="2177"/>
      <c r="H43" s="2176"/>
      <c r="I43" s="2175" t="str">
        <f t="shared" si="1"/>
        <v/>
      </c>
      <c r="J43" s="2174">
        <f ca="1">SUMIF(Maschinenauslastung!D:D,E43,Maschinenauslastung!E:E)</f>
        <v>0</v>
      </c>
      <c r="K43" s="2173" t="str">
        <f t="shared" ca="1" si="2"/>
        <v/>
      </c>
      <c r="L43" s="444" t="e">
        <f>VLOOKUP(E43,'SD3'!C:O,2,FALSE)</f>
        <v>#N/A</v>
      </c>
    </row>
    <row r="44" spans="1:12">
      <c r="D44" s="3850"/>
      <c r="E44" s="319" t="s">
        <v>328</v>
      </c>
      <c r="F44" s="2176"/>
      <c r="G44" s="2177"/>
      <c r="H44" s="2176"/>
      <c r="I44" s="2175" t="str">
        <f t="shared" si="1"/>
        <v/>
      </c>
      <c r="J44" s="2174">
        <f ca="1">SUMIF(Maschinenauslastung!D:D,E44,Maschinenauslastung!E:E)</f>
        <v>0</v>
      </c>
      <c r="K44" s="2173" t="str">
        <f t="shared" ca="1" si="2"/>
        <v/>
      </c>
      <c r="L44" s="444">
        <f>VLOOKUP(E44,'SD3'!C:O,2,FALSE)</f>
        <v>4</v>
      </c>
    </row>
    <row r="45" spans="1:12">
      <c r="D45" s="3850"/>
      <c r="E45" s="319" t="s">
        <v>327</v>
      </c>
      <c r="F45" s="2176"/>
      <c r="G45" s="2177"/>
      <c r="H45" s="2176"/>
      <c r="I45" s="2175" t="str">
        <f t="shared" ref="I45:I76" si="3">IFERROR((F45-H45)/G45+(F45+H45)/2*$I$2+0.01*F45,"")</f>
        <v/>
      </c>
      <c r="J45" s="2174">
        <f ca="1">SUMIF(Maschinenauslastung!D:D,E45,Maschinenauslastung!E:E)</f>
        <v>0</v>
      </c>
      <c r="K45" s="2173" t="str">
        <f t="shared" ref="K45:K76" ca="1" si="4">IFERROR(I45/J45,"")</f>
        <v/>
      </c>
      <c r="L45" s="444" t="e">
        <f>VLOOKUP(E45,'SD3'!C:O,2,FALSE)</f>
        <v>#N/A</v>
      </c>
    </row>
    <row r="46" spans="1:12">
      <c r="D46" s="3850"/>
      <c r="E46" s="319" t="s">
        <v>326</v>
      </c>
      <c r="F46" s="2176"/>
      <c r="G46" s="2177"/>
      <c r="H46" s="2176"/>
      <c r="I46" s="2175" t="str">
        <f t="shared" si="3"/>
        <v/>
      </c>
      <c r="J46" s="2174">
        <f ca="1">SUMIF(Maschinenauslastung!D:D,E46,Maschinenauslastung!E:E)</f>
        <v>0</v>
      </c>
      <c r="K46" s="2173" t="str">
        <f t="shared" ca="1" si="4"/>
        <v/>
      </c>
      <c r="L46" s="444">
        <f>VLOOKUP(E46,'SD3'!C:O,2,FALSE)</f>
        <v>2.2999999999999998</v>
      </c>
    </row>
    <row r="47" spans="1:12">
      <c r="D47" s="3850"/>
      <c r="E47" s="319" t="s">
        <v>325</v>
      </c>
      <c r="F47" s="2176"/>
      <c r="G47" s="2177"/>
      <c r="H47" s="2176"/>
      <c r="I47" s="2175" t="str">
        <f t="shared" si="3"/>
        <v/>
      </c>
      <c r="J47" s="2174">
        <f ca="1">SUMIF(Maschinenauslastung!D:D,E47,Maschinenauslastung!E:E)</f>
        <v>0</v>
      </c>
      <c r="K47" s="2173" t="str">
        <f t="shared" ca="1" si="4"/>
        <v/>
      </c>
      <c r="L47" s="444" t="e">
        <f>VLOOKUP(E47,'SD3'!C:O,2,FALSE)</f>
        <v>#N/A</v>
      </c>
    </row>
    <row r="48" spans="1:12">
      <c r="D48" s="3850"/>
      <c r="E48" s="319" t="s">
        <v>324</v>
      </c>
      <c r="F48" s="2176"/>
      <c r="G48" s="2177"/>
      <c r="H48" s="2176"/>
      <c r="I48" s="2175" t="str">
        <f t="shared" si="3"/>
        <v/>
      </c>
      <c r="J48" s="2174">
        <f ca="1">SUMIF(Maschinenauslastung!D:D,E48,Maschinenauslastung!E:E)</f>
        <v>0</v>
      </c>
      <c r="K48" s="2173" t="str">
        <f t="shared" ca="1" si="4"/>
        <v/>
      </c>
      <c r="L48" s="444" t="e">
        <f>VLOOKUP(E48,'SD3'!C:O,2,FALSE)</f>
        <v>#N/A</v>
      </c>
    </row>
    <row r="49" spans="4:12">
      <c r="D49" s="3845" t="s">
        <v>671</v>
      </c>
      <c r="E49" s="319" t="s">
        <v>323</v>
      </c>
      <c r="F49" s="2176"/>
      <c r="G49" s="2177"/>
      <c r="H49" s="2176"/>
      <c r="I49" s="2175" t="str">
        <f t="shared" si="3"/>
        <v/>
      </c>
      <c r="J49" s="2174">
        <f ca="1">SUMIF(Maschinenauslastung!D:D,E49,Maschinenauslastung!E:E)</f>
        <v>0</v>
      </c>
      <c r="K49" s="2173" t="str">
        <f t="shared" ca="1" si="4"/>
        <v/>
      </c>
      <c r="L49" s="444">
        <f>VLOOKUP(E49,'SD3'!C:O,2,FALSE)</f>
        <v>97.8</v>
      </c>
    </row>
    <row r="50" spans="4:12">
      <c r="D50" s="3846"/>
      <c r="E50" s="319" t="s">
        <v>322</v>
      </c>
      <c r="F50" s="2176"/>
      <c r="G50" s="2177"/>
      <c r="H50" s="2176"/>
      <c r="I50" s="2175" t="str">
        <f t="shared" si="3"/>
        <v/>
      </c>
      <c r="J50" s="2174">
        <f ca="1">SUMIF(Maschinenauslastung!D:D,E50,Maschinenauslastung!E:E)</f>
        <v>0</v>
      </c>
      <c r="K50" s="2173" t="str">
        <f t="shared" ca="1" si="4"/>
        <v/>
      </c>
      <c r="L50" s="444">
        <f>VLOOKUP(E50,'SD3'!C:O,2,FALSE)</f>
        <v>1.38</v>
      </c>
    </row>
    <row r="51" spans="4:12">
      <c r="D51" s="3846"/>
      <c r="E51" s="319" t="s">
        <v>321</v>
      </c>
      <c r="F51" s="2176"/>
      <c r="G51" s="2177"/>
      <c r="H51" s="2176"/>
      <c r="I51" s="2175" t="str">
        <f t="shared" si="3"/>
        <v/>
      </c>
      <c r="J51" s="2174">
        <f ca="1">SUMIF(Maschinenauslastung!D:D,E51,Maschinenauslastung!E:E)</f>
        <v>0</v>
      </c>
      <c r="K51" s="2173" t="str">
        <f t="shared" ca="1" si="4"/>
        <v/>
      </c>
      <c r="L51" s="444" t="e">
        <f>VLOOKUP(E51,'SD3'!C:O,2,FALSE)</f>
        <v>#N/A</v>
      </c>
    </row>
    <row r="52" spans="4:12">
      <c r="D52" s="3846"/>
      <c r="E52" s="319" t="s">
        <v>320</v>
      </c>
      <c r="F52" s="2176"/>
      <c r="G52" s="2177"/>
      <c r="H52" s="2176"/>
      <c r="I52" s="2175" t="str">
        <f t="shared" si="3"/>
        <v/>
      </c>
      <c r="J52" s="2174">
        <f ca="1">SUMIF(Maschinenauslastung!D:D,E52,Maschinenauslastung!E:E)</f>
        <v>10</v>
      </c>
      <c r="K52" s="2173" t="str">
        <f t="shared" ca="1" si="4"/>
        <v/>
      </c>
      <c r="L52" s="444">
        <f>VLOOKUP(E52,'SD3'!C:O,2,FALSE)</f>
        <v>13</v>
      </c>
    </row>
    <row r="53" spans="4:12">
      <c r="D53" s="3846"/>
      <c r="E53" s="319" t="s">
        <v>319</v>
      </c>
      <c r="F53" s="2176"/>
      <c r="G53" s="2177"/>
      <c r="H53" s="2176"/>
      <c r="I53" s="2175" t="str">
        <f t="shared" si="3"/>
        <v/>
      </c>
      <c r="J53" s="2174">
        <f ca="1">SUMIF(Maschinenauslastung!D:D,E53,Maschinenauslastung!E:E)</f>
        <v>10</v>
      </c>
      <c r="K53" s="2173" t="str">
        <f t="shared" ca="1" si="4"/>
        <v/>
      </c>
      <c r="L53" s="444">
        <f>VLOOKUP(E53,'SD3'!C:O,2,FALSE)</f>
        <v>5</v>
      </c>
    </row>
    <row r="54" spans="4:12">
      <c r="D54" s="3846"/>
      <c r="E54" s="324" t="s">
        <v>318</v>
      </c>
      <c r="F54" s="2176"/>
      <c r="G54" s="2177"/>
      <c r="H54" s="2176"/>
      <c r="I54" s="2175" t="str">
        <f t="shared" si="3"/>
        <v/>
      </c>
      <c r="J54" s="2174">
        <f ca="1">SUMIF(Maschinenauslastung!D:D,E54,Maschinenauslastung!E:E)</f>
        <v>0</v>
      </c>
      <c r="K54" s="2173" t="str">
        <f t="shared" ca="1" si="4"/>
        <v/>
      </c>
      <c r="L54" s="444">
        <f>VLOOKUP(E54,'SD3'!C:O,2,FALSE)</f>
        <v>3</v>
      </c>
    </row>
    <row r="55" spans="4:12">
      <c r="D55" s="3846"/>
      <c r="E55" s="319" t="s">
        <v>317</v>
      </c>
      <c r="F55" s="2176"/>
      <c r="G55" s="2177"/>
      <c r="H55" s="2176"/>
      <c r="I55" s="2175" t="str">
        <f t="shared" si="3"/>
        <v/>
      </c>
      <c r="J55" s="2174">
        <f ca="1">SUMIF(Maschinenauslastung!D:D,E55,Maschinenauslastung!E:E)</f>
        <v>0</v>
      </c>
      <c r="K55" s="2173" t="str">
        <f t="shared" ca="1" si="4"/>
        <v/>
      </c>
      <c r="L55" s="444">
        <f>VLOOKUP(E55,'SD3'!C:O,2,FALSE)</f>
        <v>5</v>
      </c>
    </row>
    <row r="56" spans="4:12">
      <c r="D56" s="3846"/>
      <c r="E56" s="324" t="s">
        <v>316</v>
      </c>
      <c r="F56" s="2176"/>
      <c r="G56" s="2177"/>
      <c r="H56" s="2176"/>
      <c r="I56" s="2175" t="str">
        <f t="shared" si="3"/>
        <v/>
      </c>
      <c r="J56" s="2174">
        <f ca="1">SUMIF(Maschinenauslastung!D:D,E56,Maschinenauslastung!E:E)</f>
        <v>0</v>
      </c>
      <c r="K56" s="2173" t="str">
        <f t="shared" ca="1" si="4"/>
        <v/>
      </c>
      <c r="L56" s="444">
        <f>VLOOKUP(E56,'SD3'!C:O,2,FALSE)</f>
        <v>6</v>
      </c>
    </row>
    <row r="57" spans="4:12">
      <c r="D57" s="3846"/>
      <c r="E57" s="324" t="s">
        <v>315</v>
      </c>
      <c r="F57" s="2176"/>
      <c r="G57" s="2177"/>
      <c r="H57" s="2176"/>
      <c r="I57" s="2175" t="str">
        <f t="shared" si="3"/>
        <v/>
      </c>
      <c r="J57" s="2174">
        <f ca="1">SUMIF(Maschinenauslastung!D:D,E57,Maschinenauslastung!E:E)</f>
        <v>0</v>
      </c>
      <c r="K57" s="2173" t="str">
        <f t="shared" ca="1" si="4"/>
        <v/>
      </c>
      <c r="L57" s="444" t="e">
        <f>VLOOKUP(E57,'SD3'!C:O,2,FALSE)</f>
        <v>#N/A</v>
      </c>
    </row>
    <row r="58" spans="4:12">
      <c r="D58" s="3846"/>
      <c r="E58" s="319" t="s">
        <v>314</v>
      </c>
      <c r="F58" s="2176"/>
      <c r="G58" s="2177"/>
      <c r="H58" s="2176"/>
      <c r="I58" s="2175" t="str">
        <f t="shared" si="3"/>
        <v/>
      </c>
      <c r="J58" s="2174">
        <f ca="1">SUMIF(Maschinenauslastung!D:D,E58,Maschinenauslastung!E:E)</f>
        <v>0</v>
      </c>
      <c r="K58" s="2173" t="str">
        <f t="shared" ca="1" si="4"/>
        <v/>
      </c>
      <c r="L58" s="444" t="e">
        <f>VLOOKUP(E58,'SD3'!C:O,2,FALSE)</f>
        <v>#N/A</v>
      </c>
    </row>
    <row r="59" spans="4:12">
      <c r="D59" s="3846"/>
      <c r="E59" s="319" t="s">
        <v>1044</v>
      </c>
      <c r="F59" s="2176"/>
      <c r="G59" s="2177"/>
      <c r="H59" s="2176"/>
      <c r="I59" s="2175" t="str">
        <f t="shared" si="3"/>
        <v/>
      </c>
      <c r="J59" s="2174">
        <f ca="1">SUMIF(Maschinenauslastung!D:D,E59,Maschinenauslastung!E:E)</f>
        <v>0</v>
      </c>
      <c r="K59" s="2173" t="str">
        <f t="shared" ca="1" si="4"/>
        <v/>
      </c>
      <c r="L59" s="444" t="e">
        <f>VLOOKUP(E59,'SD3'!C:O,2,FALSE)</f>
        <v>#N/A</v>
      </c>
    </row>
    <row r="60" spans="4:12">
      <c r="D60" s="3846"/>
      <c r="E60" s="324" t="s">
        <v>312</v>
      </c>
      <c r="F60" s="2176"/>
      <c r="G60" s="2177"/>
      <c r="H60" s="2176"/>
      <c r="I60" s="2175" t="str">
        <f t="shared" si="3"/>
        <v/>
      </c>
      <c r="J60" s="2174">
        <f ca="1">SUMIF(Maschinenauslastung!D:D,E60,Maschinenauslastung!E:E)</f>
        <v>0</v>
      </c>
      <c r="K60" s="2173" t="str">
        <f t="shared" ca="1" si="4"/>
        <v/>
      </c>
      <c r="L60" s="444" t="e">
        <f>VLOOKUP(E60,'SD3'!C:O,2,FALSE)</f>
        <v>#N/A</v>
      </c>
    </row>
    <row r="61" spans="4:12">
      <c r="D61" s="3846"/>
      <c r="E61" s="319" t="s">
        <v>310</v>
      </c>
      <c r="F61" s="2176"/>
      <c r="G61" s="2177"/>
      <c r="H61" s="2176"/>
      <c r="I61" s="2175" t="str">
        <f t="shared" si="3"/>
        <v/>
      </c>
      <c r="J61" s="2174">
        <f ca="1">SUMIF(Maschinenauslastung!D:D,E61,Maschinenauslastung!E:E)</f>
        <v>22.285714285714285</v>
      </c>
      <c r="K61" s="2173" t="str">
        <f t="shared" ca="1" si="4"/>
        <v/>
      </c>
      <c r="L61" s="444">
        <f>VLOOKUP(E61,'SD3'!C:O,2,FALSE)</f>
        <v>22.5</v>
      </c>
    </row>
    <row r="62" spans="4:12">
      <c r="D62" s="3846"/>
      <c r="E62" s="319" t="s">
        <v>309</v>
      </c>
      <c r="F62" s="2176"/>
      <c r="G62" s="2177"/>
      <c r="H62" s="2176"/>
      <c r="I62" s="2175" t="str">
        <f t="shared" si="3"/>
        <v/>
      </c>
      <c r="J62" s="2174">
        <f ca="1">SUMIF(Maschinenauslastung!D:D,E62,Maschinenauslastung!E:E)</f>
        <v>0</v>
      </c>
      <c r="K62" s="2173" t="str">
        <f t="shared" ca="1" si="4"/>
        <v/>
      </c>
      <c r="L62" s="444" t="e">
        <f>VLOOKUP(E62,'SD3'!C:O,2,FALSE)</f>
        <v>#N/A</v>
      </c>
    </row>
    <row r="63" spans="4:12">
      <c r="D63" s="3846"/>
      <c r="E63" s="319" t="s">
        <v>308</v>
      </c>
      <c r="F63" s="2176"/>
      <c r="G63" s="2177"/>
      <c r="H63" s="2176"/>
      <c r="I63" s="2175" t="str">
        <f t="shared" si="3"/>
        <v/>
      </c>
      <c r="J63" s="2174">
        <f ca="1">SUMIF(Maschinenauslastung!D:D,E63,Maschinenauslastung!E:E)</f>
        <v>0</v>
      </c>
      <c r="K63" s="2173" t="str">
        <f t="shared" ca="1" si="4"/>
        <v/>
      </c>
      <c r="L63" s="444" t="e">
        <f>VLOOKUP(E63,'SD3'!C:O,2,FALSE)</f>
        <v>#N/A</v>
      </c>
    </row>
    <row r="64" spans="4:12">
      <c r="D64" s="3846"/>
      <c r="E64" s="319" t="s">
        <v>307</v>
      </c>
      <c r="F64" s="2176"/>
      <c r="G64" s="2177"/>
      <c r="H64" s="2176"/>
      <c r="I64" s="2175" t="str">
        <f t="shared" si="3"/>
        <v/>
      </c>
      <c r="J64" s="2174">
        <f ca="1">SUMIF(Maschinenauslastung!D:D,E64,Maschinenauslastung!E:E)</f>
        <v>0</v>
      </c>
      <c r="K64" s="2173" t="str">
        <f t="shared" ca="1" si="4"/>
        <v/>
      </c>
      <c r="L64" s="444">
        <f>VLOOKUP(E64,'SD3'!C:O,2,FALSE)</f>
        <v>0</v>
      </c>
    </row>
    <row r="65" spans="4:12">
      <c r="D65" s="3846"/>
      <c r="E65" s="319" t="s">
        <v>1043</v>
      </c>
      <c r="F65" s="2176"/>
      <c r="G65" s="2177"/>
      <c r="H65" s="2176"/>
      <c r="I65" s="2175" t="str">
        <f t="shared" si="3"/>
        <v/>
      </c>
      <c r="J65" s="2174">
        <f ca="1">SUMIF(Maschinenauslastung!D:D,E65,Maschinenauslastung!E:E)</f>
        <v>0</v>
      </c>
      <c r="K65" s="2173" t="str">
        <f t="shared" ca="1" si="4"/>
        <v/>
      </c>
      <c r="L65" s="444" t="e">
        <f>VLOOKUP(E65,'SD3'!C:O,2,FALSE)</f>
        <v>#N/A</v>
      </c>
    </row>
    <row r="66" spans="4:12">
      <c r="D66" s="3851" t="s">
        <v>455</v>
      </c>
      <c r="E66" s="319" t="s">
        <v>1042</v>
      </c>
      <c r="F66" s="2176"/>
      <c r="G66" s="2177"/>
      <c r="H66" s="2176"/>
      <c r="I66" s="2175" t="str">
        <f t="shared" si="3"/>
        <v/>
      </c>
      <c r="J66" s="2174">
        <f ca="1">SUMIF(Maschinenauslastung!D:D,E66,Maschinenauslastung!E:E)</f>
        <v>0</v>
      </c>
      <c r="K66" s="2173" t="str">
        <f t="shared" ca="1" si="4"/>
        <v/>
      </c>
      <c r="L66" s="444" t="e">
        <f>VLOOKUP(E66,'SD3'!C:O,2,FALSE)</f>
        <v>#N/A</v>
      </c>
    </row>
    <row r="67" spans="4:12">
      <c r="D67" s="3850"/>
      <c r="E67" s="319" t="s">
        <v>1041</v>
      </c>
      <c r="F67" s="2176"/>
      <c r="G67" s="2177"/>
      <c r="H67" s="2176"/>
      <c r="I67" s="2175" t="str">
        <f t="shared" si="3"/>
        <v/>
      </c>
      <c r="J67" s="2174">
        <f ca="1">SUMIF(Maschinenauslastung!D:D,E67,Maschinenauslastung!E:E)</f>
        <v>0</v>
      </c>
      <c r="K67" s="2173" t="str">
        <f t="shared" ca="1" si="4"/>
        <v/>
      </c>
      <c r="L67" s="444" t="e">
        <f>VLOOKUP(E67,'SD3'!C:O,2,FALSE)</f>
        <v>#N/A</v>
      </c>
    </row>
    <row r="68" spans="4:12">
      <c r="D68" s="3850"/>
      <c r="E68" s="319" t="s">
        <v>1040</v>
      </c>
      <c r="F68" s="2176"/>
      <c r="G68" s="2177"/>
      <c r="H68" s="2176"/>
      <c r="I68" s="2175" t="str">
        <f t="shared" si="3"/>
        <v/>
      </c>
      <c r="J68" s="2174">
        <f ca="1">SUMIF(Maschinenauslastung!D:D,E68,Maschinenauslastung!E:E)</f>
        <v>0</v>
      </c>
      <c r="K68" s="2173" t="str">
        <f t="shared" ca="1" si="4"/>
        <v/>
      </c>
      <c r="L68" s="444" t="e">
        <f>VLOOKUP(E68,'SD3'!C:O,2,FALSE)</f>
        <v>#N/A</v>
      </c>
    </row>
    <row r="69" spans="4:12">
      <c r="D69" s="3850"/>
      <c r="E69" s="319" t="s">
        <v>1039</v>
      </c>
      <c r="F69" s="2176"/>
      <c r="G69" s="2177"/>
      <c r="H69" s="2176"/>
      <c r="I69" s="2175" t="str">
        <f t="shared" si="3"/>
        <v/>
      </c>
      <c r="J69" s="2174">
        <f ca="1">SUMIF(Maschinenauslastung!D:D,E69,Maschinenauslastung!E:E)</f>
        <v>0</v>
      </c>
      <c r="K69" s="2173" t="str">
        <f t="shared" ca="1" si="4"/>
        <v/>
      </c>
      <c r="L69" s="444" t="e">
        <f>VLOOKUP(E69,'SD3'!C:O,2,FALSE)</f>
        <v>#N/A</v>
      </c>
    </row>
    <row r="70" spans="4:12">
      <c r="D70" s="3845" t="s">
        <v>1342</v>
      </c>
      <c r="E70" s="2177"/>
      <c r="F70" s="2176"/>
      <c r="G70" s="2177"/>
      <c r="H70" s="2176"/>
      <c r="I70" s="2175" t="str">
        <f t="shared" si="3"/>
        <v/>
      </c>
      <c r="J70" s="2174">
        <f ca="1">SUMIF(Maschinenauslastung!D:D,E70,Maschinenauslastung!E:E)</f>
        <v>0</v>
      </c>
      <c r="K70" s="2173" t="str">
        <f t="shared" ca="1" si="4"/>
        <v/>
      </c>
      <c r="L70" s="444" t="e">
        <f>VLOOKUP(E70,'SD3'!C:O,2,FALSE)</f>
        <v>#N/A</v>
      </c>
    </row>
    <row r="71" spans="4:12">
      <c r="D71" s="3846"/>
      <c r="E71" s="2177"/>
      <c r="F71" s="2176"/>
      <c r="G71" s="2177"/>
      <c r="H71" s="2176"/>
      <c r="I71" s="2175" t="str">
        <f t="shared" si="3"/>
        <v/>
      </c>
      <c r="J71" s="2174">
        <f ca="1">SUMIF(Maschinenauslastung!D:D,E71,Maschinenauslastung!E:E)</f>
        <v>0</v>
      </c>
      <c r="K71" s="2173" t="str">
        <f t="shared" ca="1" si="4"/>
        <v/>
      </c>
    </row>
    <row r="72" spans="4:12">
      <c r="D72" s="3846"/>
      <c r="E72" s="2177"/>
      <c r="F72" s="2176"/>
      <c r="G72" s="2177"/>
      <c r="H72" s="2176"/>
      <c r="I72" s="2175" t="str">
        <f t="shared" si="3"/>
        <v/>
      </c>
      <c r="J72" s="2174">
        <f ca="1">SUMIF(Maschinenauslastung!D:D,E72,Maschinenauslastung!E:E)</f>
        <v>0</v>
      </c>
      <c r="K72" s="2173" t="str">
        <f t="shared" ca="1" si="4"/>
        <v/>
      </c>
    </row>
    <row r="73" spans="4:12">
      <c r="D73" s="3846"/>
      <c r="E73" s="2177"/>
      <c r="F73" s="2176"/>
      <c r="G73" s="2177"/>
      <c r="H73" s="2176"/>
      <c r="I73" s="2175" t="str">
        <f t="shared" si="3"/>
        <v/>
      </c>
      <c r="J73" s="2174">
        <f ca="1">SUMIF(Maschinenauslastung!D:D,E73,Maschinenauslastung!E:E)</f>
        <v>0</v>
      </c>
      <c r="K73" s="2173" t="str">
        <f t="shared" ca="1" si="4"/>
        <v/>
      </c>
    </row>
    <row r="74" spans="4:12">
      <c r="D74" s="3846"/>
      <c r="E74" s="2177"/>
      <c r="F74" s="2176"/>
      <c r="G74" s="2177"/>
      <c r="H74" s="2176"/>
      <c r="I74" s="2175" t="str">
        <f t="shared" si="3"/>
        <v/>
      </c>
      <c r="J74" s="2174">
        <f ca="1">SUMIF(Maschinenauslastung!D:D,E74,Maschinenauslastung!E:E)</f>
        <v>0</v>
      </c>
      <c r="K74" s="2173" t="str">
        <f t="shared" ca="1" si="4"/>
        <v/>
      </c>
    </row>
    <row r="75" spans="4:12">
      <c r="D75" s="3846"/>
      <c r="E75" s="2177"/>
      <c r="F75" s="2176"/>
      <c r="G75" s="2177"/>
      <c r="H75" s="2176"/>
      <c r="I75" s="2175" t="str">
        <f t="shared" si="3"/>
        <v/>
      </c>
      <c r="J75" s="2174">
        <f ca="1">SUMIF(Maschinenauslastung!D:D,E75,Maschinenauslastung!E:E)</f>
        <v>0</v>
      </c>
      <c r="K75" s="2173" t="str">
        <f t="shared" ca="1" si="4"/>
        <v/>
      </c>
    </row>
    <row r="76" spans="4:12">
      <c r="D76" s="3846"/>
      <c r="E76" s="2177"/>
      <c r="F76" s="2176"/>
      <c r="G76" s="2177"/>
      <c r="H76" s="2176"/>
      <c r="I76" s="2175" t="str">
        <f t="shared" si="3"/>
        <v/>
      </c>
      <c r="J76" s="2174">
        <f ca="1">SUMIF(Maschinenauslastung!D:D,E76,Maschinenauslastung!E:E)</f>
        <v>0</v>
      </c>
      <c r="K76" s="2173" t="str">
        <f t="shared" ca="1" si="4"/>
        <v/>
      </c>
    </row>
    <row r="77" spans="4:12">
      <c r="D77" s="3846"/>
      <c r="E77" s="2177"/>
      <c r="F77" s="2176"/>
      <c r="G77" s="2177"/>
      <c r="H77" s="2176"/>
      <c r="I77" s="2175" t="str">
        <f t="shared" ref="I77:I86" si="5">IFERROR((F77-H77)/G77+(F77+H77)/2*$I$2+0.01*F77,"")</f>
        <v/>
      </c>
      <c r="J77" s="2174">
        <f ca="1">SUMIF(Maschinenauslastung!D:D,E77,Maschinenauslastung!E:E)</f>
        <v>0</v>
      </c>
      <c r="K77" s="2173" t="str">
        <f t="shared" ref="K77:K86" ca="1" si="6">IFERROR(I77/J77,"")</f>
        <v/>
      </c>
    </row>
    <row r="78" spans="4:12">
      <c r="D78" s="3846"/>
      <c r="E78" s="2177"/>
      <c r="F78" s="2176"/>
      <c r="G78" s="2177"/>
      <c r="H78" s="2176"/>
      <c r="I78" s="2175" t="str">
        <f t="shared" si="5"/>
        <v/>
      </c>
      <c r="J78" s="2174">
        <f ca="1">SUMIF(Maschinenauslastung!D:D,E78,Maschinenauslastung!E:E)</f>
        <v>0</v>
      </c>
      <c r="K78" s="2173" t="str">
        <f t="shared" ca="1" si="6"/>
        <v/>
      </c>
    </row>
    <row r="79" spans="4:12">
      <c r="D79" s="3846"/>
      <c r="E79" s="2177"/>
      <c r="F79" s="2176"/>
      <c r="G79" s="2177"/>
      <c r="H79" s="2176"/>
      <c r="I79" s="2175" t="str">
        <f t="shared" si="5"/>
        <v/>
      </c>
      <c r="J79" s="2174">
        <f ca="1">SUMIF(Maschinenauslastung!D:D,E79,Maschinenauslastung!E:E)</f>
        <v>0</v>
      </c>
      <c r="K79" s="2173" t="str">
        <f t="shared" ca="1" si="6"/>
        <v/>
      </c>
    </row>
    <row r="80" spans="4:12">
      <c r="D80" s="3846"/>
      <c r="E80" s="2177"/>
      <c r="F80" s="2176"/>
      <c r="G80" s="2177"/>
      <c r="H80" s="2176"/>
      <c r="I80" s="2175" t="str">
        <f t="shared" si="5"/>
        <v/>
      </c>
      <c r="J80" s="2174">
        <f ca="1">SUMIF(Maschinenauslastung!D:D,E80,Maschinenauslastung!E:E)</f>
        <v>0</v>
      </c>
      <c r="K80" s="2173" t="str">
        <f t="shared" ca="1" si="6"/>
        <v/>
      </c>
    </row>
    <row r="81" spans="4:11">
      <c r="D81" s="3846"/>
      <c r="E81" s="2177"/>
      <c r="F81" s="2176"/>
      <c r="G81" s="2177"/>
      <c r="H81" s="2176"/>
      <c r="I81" s="2175" t="str">
        <f t="shared" si="5"/>
        <v/>
      </c>
      <c r="J81" s="2174">
        <f ca="1">SUMIF(Maschinenauslastung!D:D,E81,Maschinenauslastung!E:E)</f>
        <v>0</v>
      </c>
      <c r="K81" s="2173" t="str">
        <f t="shared" ca="1" si="6"/>
        <v/>
      </c>
    </row>
    <row r="82" spans="4:11">
      <c r="D82" s="3846"/>
      <c r="E82" s="2177"/>
      <c r="F82" s="2176"/>
      <c r="G82" s="2177"/>
      <c r="H82" s="2176"/>
      <c r="I82" s="2175" t="str">
        <f t="shared" si="5"/>
        <v/>
      </c>
      <c r="J82" s="2174">
        <f ca="1">SUMIF(Maschinenauslastung!D:D,E82,Maschinenauslastung!E:E)</f>
        <v>0</v>
      </c>
      <c r="K82" s="2173" t="str">
        <f t="shared" ca="1" si="6"/>
        <v/>
      </c>
    </row>
    <row r="83" spans="4:11">
      <c r="D83" s="3846"/>
      <c r="E83" s="2177"/>
      <c r="F83" s="2176"/>
      <c r="G83" s="2177"/>
      <c r="H83" s="2176"/>
      <c r="I83" s="2175" t="str">
        <f t="shared" si="5"/>
        <v/>
      </c>
      <c r="J83" s="2174">
        <f ca="1">SUMIF(Maschinenauslastung!D:D,E83,Maschinenauslastung!E:E)</f>
        <v>0</v>
      </c>
      <c r="K83" s="2173" t="str">
        <f t="shared" ca="1" si="6"/>
        <v/>
      </c>
    </row>
    <row r="84" spans="4:11">
      <c r="D84" s="3846"/>
      <c r="E84" s="2177"/>
      <c r="F84" s="2176"/>
      <c r="G84" s="2177"/>
      <c r="H84" s="2176"/>
      <c r="I84" s="2175" t="str">
        <f t="shared" si="5"/>
        <v/>
      </c>
      <c r="J84" s="2174">
        <f ca="1">SUMIF(Maschinenauslastung!D:D,E84,Maschinenauslastung!E:E)</f>
        <v>0</v>
      </c>
      <c r="K84" s="2173" t="str">
        <f t="shared" ca="1" si="6"/>
        <v/>
      </c>
    </row>
    <row r="85" spans="4:11">
      <c r="D85" s="3846"/>
      <c r="E85" s="2177"/>
      <c r="F85" s="2176"/>
      <c r="G85" s="2177"/>
      <c r="H85" s="2176"/>
      <c r="I85" s="2175" t="str">
        <f t="shared" si="5"/>
        <v/>
      </c>
      <c r="J85" s="2174">
        <f ca="1">SUMIF(Maschinenauslastung!D:D,E85,Maschinenauslastung!E:E)</f>
        <v>0</v>
      </c>
      <c r="K85" s="2173" t="str">
        <f t="shared" ca="1" si="6"/>
        <v/>
      </c>
    </row>
    <row r="86" spans="4:11">
      <c r="D86" s="3846"/>
      <c r="E86" s="2177"/>
      <c r="F86" s="2176"/>
      <c r="G86" s="2177"/>
      <c r="H86" s="2176"/>
      <c r="I86" s="2175" t="str">
        <f t="shared" si="5"/>
        <v/>
      </c>
      <c r="J86" s="2174">
        <f ca="1">SUMIF(Maschinenauslastung!D:D,E86,Maschinenauslastung!E:E)</f>
        <v>0</v>
      </c>
      <c r="K86" s="2173" t="str">
        <f t="shared" ca="1" si="6"/>
        <v/>
      </c>
    </row>
  </sheetData>
  <customSheetViews>
    <customSheetView guid="{8063F48F-80B5-4ECD-B18A-51CBF126E780}" state="hidden">
      <pageMargins left="0.7" right="0.7" top="0.78740157499999996" bottom="0.78740157499999996" header="0.3" footer="0.3"/>
    </customSheetView>
    <customSheetView guid="{5D5C9B61-9ABD-4513-AAEB-8333A9D6196C}" state="hidden">
      <pageMargins left="0.7" right="0.7" top="0.78740157499999996" bottom="0.78740157499999996" header="0.3" footer="0.3"/>
    </customSheetView>
    <customSheetView guid="{22A73C4F-9004-4CEF-8499-B1F91BE1B569}" state="hidden">
      <pageMargins left="0.7" right="0.7" top="0.78740157499999996" bottom="0.78740157499999996" header="0.3" footer="0.3"/>
    </customSheetView>
  </customSheetViews>
  <mergeCells count="12">
    <mergeCell ref="D70:D86"/>
    <mergeCell ref="D35:D36"/>
    <mergeCell ref="D37:D40"/>
    <mergeCell ref="D41:D48"/>
    <mergeCell ref="D49:D65"/>
    <mergeCell ref="D66:D69"/>
    <mergeCell ref="D30:D34"/>
    <mergeCell ref="D19:D25"/>
    <mergeCell ref="D5:E5"/>
    <mergeCell ref="D12:E12"/>
    <mergeCell ref="D13:D18"/>
    <mergeCell ref="D26:D29"/>
  </mergeCells>
  <dataValidations count="1">
    <dataValidation allowBlank="1" showInputMessage="1" showErrorMessage="1" prompt="Abschreibung, Kapitalverzinsung &amp; 1% der Anschaffungskosten für Versicherung und Unterbringung" sqref="I4" xr:uid="{00000000-0002-0000-1600-000000000000}"/>
  </dataValidations>
  <pageMargins left="0.7" right="0.7" top="0.78740157499999996" bottom="0.78740157499999996" header="0.3" footer="0.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82">
    <tabColor rgb="FFFF0000"/>
    <pageSetUpPr fitToPage="1"/>
  </sheetPr>
  <dimension ref="A1:AO206"/>
  <sheetViews>
    <sheetView workbookViewId="0"/>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25.59765625" style="28" hidden="1" customWidth="1"/>
    <col min="18" max="27" width="10.5" style="27" hidden="1" customWidth="1"/>
    <col min="28" max="28" width="10.5" style="27" customWidth="1"/>
    <col min="29" max="16384" width="10.5" style="27"/>
  </cols>
  <sheetData>
    <row r="1" spans="1:41" s="219" customFormat="1" ht="30.15" customHeight="1">
      <c r="A1" s="1681"/>
      <c r="B1" s="258"/>
      <c r="C1" s="1333"/>
      <c r="D1" s="100"/>
      <c r="E1" s="255"/>
      <c r="F1" s="255"/>
      <c r="G1" s="4477" t="s">
        <v>1136</v>
      </c>
      <c r="H1" s="4477"/>
      <c r="I1" s="4477"/>
      <c r="J1" s="1332" t="e">
        <f>(J7+J13+J18+J22+I11+I12)-(J23+J27+J34+J43+J60+J65+J67+J69+J71+J75)</f>
        <v>#N/A</v>
      </c>
      <c r="K1" s="4476" t="e">
        <f>M1-J1</f>
        <v>#N/A</v>
      </c>
      <c r="L1" s="4476"/>
      <c r="M1" s="1332" t="e">
        <f>(M7+M13+M18+M22+L11+L12)-(M23+M27+M34+M43+M60+M65+M67+M69+M71+M75)</f>
        <v>#N/A</v>
      </c>
      <c r="N1" s="4476" t="e">
        <f>P1-M1</f>
        <v>#N/A</v>
      </c>
      <c r="O1" s="4476"/>
      <c r="P1" s="1332" t="e">
        <f>(P7+P13+P18+P22+O11+O12)-(P23+P27+P34+P43+P60+P65+P67+P69+P71+P75)</f>
        <v>#N/A</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1389</v>
      </c>
      <c r="L2" s="4372"/>
      <c r="M2" s="4372"/>
      <c r="N2" s="4372"/>
      <c r="O2" s="4372"/>
      <c r="P2" s="4372"/>
      <c r="Q2" s="1321"/>
    </row>
    <row r="3" spans="1:41" s="219" customFormat="1" ht="21.75" customHeight="1">
      <c r="A3" s="1681"/>
      <c r="B3" s="1329" t="s">
        <v>1135</v>
      </c>
      <c r="G3" s="1317"/>
      <c r="H3" s="1328"/>
      <c r="J3" s="4368" t="s">
        <v>886</v>
      </c>
      <c r="K3" s="4447"/>
      <c r="L3" s="4447"/>
      <c r="M3" s="1689"/>
      <c r="N3" s="4444" t="str">
        <f>IF(AND(T3=TRUE,T4=TRUE),"nur 1 Strohnutzung möglich","")</f>
        <v/>
      </c>
      <c r="O3" s="4374"/>
      <c r="P3" s="1326"/>
      <c r="Q3" s="1681"/>
      <c r="T3" s="1343" t="b">
        <v>1</v>
      </c>
    </row>
    <row r="4" spans="1:41" s="219" customFormat="1" ht="20.25" customHeight="1">
      <c r="A4" s="1681"/>
      <c r="B4" s="309" t="s">
        <v>779</v>
      </c>
      <c r="C4" s="27"/>
      <c r="D4" s="27"/>
      <c r="E4" s="4406" t="s">
        <v>1143</v>
      </c>
      <c r="F4" s="4406"/>
      <c r="G4" s="4406"/>
      <c r="H4" s="4406"/>
      <c r="I4" s="4406"/>
      <c r="J4" s="4368" t="s">
        <v>875</v>
      </c>
      <c r="K4" s="4447"/>
      <c r="L4" s="4447"/>
      <c r="M4" s="1688"/>
      <c r="N4" s="4374"/>
      <c r="O4" s="4374"/>
      <c r="P4" s="1322">
        <f>SDÖ1!O3</f>
        <v>2024</v>
      </c>
      <c r="Q4" s="1681"/>
      <c r="T4" s="1343" t="b">
        <v>0</v>
      </c>
      <c r="U4" s="1690"/>
    </row>
    <row r="5" spans="1:41" ht="6" customHeight="1"/>
    <row r="6" spans="1:41" s="1311" customFormat="1" ht="24" customHeight="1">
      <c r="A6" s="41"/>
      <c r="B6" s="1316" t="s">
        <v>832</v>
      </c>
      <c r="C6" s="1315"/>
      <c r="D6" s="1315"/>
      <c r="E6" s="1315"/>
      <c r="F6" s="1315"/>
      <c r="G6" s="1314" t="s">
        <v>1141</v>
      </c>
      <c r="H6" s="4366" t="s">
        <v>171</v>
      </c>
      <c r="I6" s="4367"/>
      <c r="J6" s="1313">
        <f>M6*0.75</f>
        <v>26.25</v>
      </c>
      <c r="K6" s="4379" t="s">
        <v>144</v>
      </c>
      <c r="L6" s="4380"/>
      <c r="M6" s="1313">
        <v>35</v>
      </c>
      <c r="N6" s="4366" t="s">
        <v>170</v>
      </c>
      <c r="O6" s="4367"/>
      <c r="P6" s="1312">
        <f>M6*1.25</f>
        <v>43.75</v>
      </c>
      <c r="Q6" s="49"/>
    </row>
    <row r="7" spans="1:41" s="196" customFormat="1" ht="18.75" customHeight="1">
      <c r="A7" s="40"/>
      <c r="B7" s="245" t="s">
        <v>1133</v>
      </c>
      <c r="C7" s="40"/>
      <c r="D7" s="40"/>
      <c r="E7" s="40"/>
      <c r="F7" s="40"/>
      <c r="G7" s="1310" t="s">
        <v>163</v>
      </c>
      <c r="H7" s="1307"/>
      <c r="I7" s="1306"/>
      <c r="J7" s="1041">
        <f>SUM(I9:I10)</f>
        <v>216.56249999999994</v>
      </c>
      <c r="K7" s="1309"/>
      <c r="L7" s="1308"/>
      <c r="M7" s="1044">
        <f>SUM(L9:L10)</f>
        <v>288.74999999999994</v>
      </c>
      <c r="N7" s="1307"/>
      <c r="O7" s="1306"/>
      <c r="P7" s="1041">
        <f>SUM(O9:O10)</f>
        <v>360.9375</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1142</v>
      </c>
      <c r="D9" s="40"/>
      <c r="E9" s="40">
        <v>0.67</v>
      </c>
      <c r="F9" s="1304" t="s">
        <v>882</v>
      </c>
      <c r="G9" s="1221">
        <f>SDÖ1!O28</f>
        <v>0</v>
      </c>
      <c r="H9" s="1303">
        <f>J6*E9</f>
        <v>17.587500000000002</v>
      </c>
      <c r="I9" s="1299">
        <f>H9*G9</f>
        <v>0</v>
      </c>
      <c r="J9" s="37"/>
      <c r="K9" s="1302">
        <f>M6*E9</f>
        <v>23.450000000000003</v>
      </c>
      <c r="L9" s="1301">
        <f>K9*G9</f>
        <v>0</v>
      </c>
      <c r="M9" s="1280"/>
      <c r="N9" s="1300">
        <f>P6*E9</f>
        <v>29.3125</v>
      </c>
      <c r="O9" s="1299">
        <f>N9*G9</f>
        <v>0</v>
      </c>
      <c r="P9" s="37"/>
      <c r="Q9" s="28"/>
      <c r="R9" s="517"/>
      <c r="S9" s="208" t="s">
        <v>887</v>
      </c>
      <c r="T9" s="1298"/>
    </row>
    <row r="10" spans="1:41" s="1268" customFormat="1" ht="15" customHeight="1">
      <c r="A10" s="309"/>
      <c r="B10" s="185"/>
      <c r="C10" s="223" t="s">
        <v>1131</v>
      </c>
      <c r="D10" s="1277"/>
      <c r="E10" s="4377"/>
      <c r="F10" s="4378"/>
      <c r="G10" s="1297">
        <v>25</v>
      </c>
      <c r="H10" s="1292">
        <f>J6-H9</f>
        <v>8.6624999999999979</v>
      </c>
      <c r="I10" s="1291">
        <f>H10*G10</f>
        <v>216.56249999999994</v>
      </c>
      <c r="J10" s="1296"/>
      <c r="K10" s="1295">
        <f>M6-K9</f>
        <v>11.549999999999997</v>
      </c>
      <c r="L10" s="1294">
        <f>K10*G10</f>
        <v>288.74999999999994</v>
      </c>
      <c r="M10" s="1293"/>
      <c r="N10" s="1292">
        <f>P6-N9</f>
        <v>14.4375</v>
      </c>
      <c r="O10" s="1291">
        <f>N10*G10</f>
        <v>360.9375</v>
      </c>
      <c r="P10" s="1290"/>
      <c r="Q10" s="34"/>
      <c r="R10" s="1289">
        <f>I10+I11+I12</f>
        <v>468.56249999999994</v>
      </c>
      <c r="S10" s="1288">
        <f>L10+L11+L12</f>
        <v>624.75</v>
      </c>
      <c r="T10" s="1287">
        <f>O10+O11+O12</f>
        <v>780.9375</v>
      </c>
      <c r="W10" s="196" t="s">
        <v>879</v>
      </c>
    </row>
    <row r="11" spans="1:41" s="1268" customFormat="1" ht="15" customHeight="1">
      <c r="A11" s="309"/>
      <c r="B11" s="217"/>
      <c r="C11" s="39" t="s">
        <v>878</v>
      </c>
      <c r="D11" s="309"/>
      <c r="E11" s="1286">
        <v>0.8</v>
      </c>
      <c r="F11" s="39" t="s">
        <v>877</v>
      </c>
      <c r="G11" s="1285">
        <f>SDÖ1!$O$52</f>
        <v>12</v>
      </c>
      <c r="H11" s="1284">
        <f>IF($T$3=FALSE,0,J6*$E$11)</f>
        <v>21</v>
      </c>
      <c r="I11" s="1278">
        <f>H11*$G$11</f>
        <v>252</v>
      </c>
      <c r="J11" s="1283"/>
      <c r="K11" s="1282">
        <f>IF($T$3=FALSE,0,M6*$E$11)</f>
        <v>28</v>
      </c>
      <c r="L11" s="1281">
        <f>K11*$G$11</f>
        <v>336</v>
      </c>
      <c r="M11" s="1280"/>
      <c r="N11" s="1279">
        <f>IF($T$3=FALSE,0,P6*$E$11)</f>
        <v>35</v>
      </c>
      <c r="O11" s="1278">
        <f>N11*$G$11</f>
        <v>420</v>
      </c>
      <c r="P11" s="37"/>
      <c r="Q11" s="1303">
        <f>(S8-Q12)*$E$9</f>
        <v>0</v>
      </c>
      <c r="W11" s="1268" t="s">
        <v>876</v>
      </c>
    </row>
    <row r="12" spans="1:41" s="1268" customFormat="1" ht="15"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f>IF(OR(T3=TRUE,T4=TRUE),J6*$E$11,"0")</f>
        <v>21</v>
      </c>
      <c r="Y12" s="1265">
        <f>IF(OR(T3=TRUE,T4=TRUE),M6*$E$11,"0")</f>
        <v>28</v>
      </c>
      <c r="Z12" s="1264">
        <f>IF(OR(T3=TRUE,T4=TRUE),P6*$E$11,"0")</f>
        <v>35</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W13" s="36" t="s">
        <v>236</v>
      </c>
      <c r="X13" s="1260">
        <f>$X$12*F30</f>
        <v>0</v>
      </c>
      <c r="Y13" s="1260">
        <f>$Y$12*F30</f>
        <v>0</v>
      </c>
      <c r="Z13" s="1260">
        <f>$Z$12*F30</f>
        <v>0</v>
      </c>
    </row>
    <row r="14" spans="1:41" s="36" customFormat="1" ht="15" customHeight="1">
      <c r="A14" s="39"/>
      <c r="B14" s="1247"/>
      <c r="C14" s="4365" t="s">
        <v>1511</v>
      </c>
      <c r="D14" s="4365"/>
      <c r="E14" s="4365"/>
      <c r="F14" s="4365"/>
      <c r="G14" s="1263"/>
      <c r="H14" s="1391" t="s">
        <v>919</v>
      </c>
      <c r="I14" s="1243">
        <f>IF(H14="ja",Q14,0)</f>
        <v>240</v>
      </c>
      <c r="J14" s="39"/>
      <c r="K14" s="1262" t="s">
        <v>919</v>
      </c>
      <c r="L14" s="1098">
        <f>IF(K14="ja",Q14,0)</f>
        <v>240</v>
      </c>
      <c r="M14" s="1016"/>
      <c r="N14" s="1262" t="s">
        <v>919</v>
      </c>
      <c r="O14" s="1243">
        <f>IF(N14="ja",Q14,0)</f>
        <v>240</v>
      </c>
      <c r="P14" s="1013"/>
      <c r="Q14" s="1261">
        <f>IF(C14=0,0,VLOOKUP(C14,'SD2'!$C$11:$O$50,'SD2'!$O$1,FALSE))</f>
        <v>240</v>
      </c>
      <c r="R14" s="1350"/>
      <c r="S14" s="1349"/>
      <c r="T14" s="1348"/>
      <c r="W14" s="36" t="s">
        <v>685</v>
      </c>
      <c r="X14" s="1260">
        <f>$X$12*F31</f>
        <v>0</v>
      </c>
      <c r="Y14" s="1260">
        <f>$Y$12*F31</f>
        <v>0</v>
      </c>
      <c r="Z14" s="1260">
        <f>$Z$12*F31</f>
        <v>0</v>
      </c>
    </row>
    <row r="15" spans="1:41" s="36" customFormat="1" ht="15" customHeight="1">
      <c r="A15" s="39"/>
      <c r="B15" s="1247"/>
      <c r="C15" s="4365"/>
      <c r="D15" s="4365"/>
      <c r="E15" s="4365"/>
      <c r="F15" s="4365"/>
      <c r="G15" s="1263"/>
      <c r="H15" s="1262" t="s">
        <v>871</v>
      </c>
      <c r="I15" s="1243">
        <f>IF(H15="ja",Q15,0)</f>
        <v>0</v>
      </c>
      <c r="J15" s="39"/>
      <c r="K15" s="1262" t="s">
        <v>871</v>
      </c>
      <c r="L15" s="1098">
        <f>IF(K15="ja",Q15,0)</f>
        <v>0</v>
      </c>
      <c r="M15" s="1016"/>
      <c r="N15" s="1262" t="s">
        <v>871</v>
      </c>
      <c r="O15" s="1243">
        <f>IF(N15="ja",Q15,0)</f>
        <v>0</v>
      </c>
      <c r="P15" s="1013"/>
      <c r="Q15" s="1261">
        <f>IF(C15=0,0,VLOOKUP(C15,'SD2'!$C$11:$O$50,'SD2'!$O$1,FALSE))</f>
        <v>0</v>
      </c>
      <c r="R15" s="1347"/>
      <c r="S15" s="1343"/>
      <c r="T15" s="1346"/>
      <c r="W15" s="36" t="s">
        <v>684</v>
      </c>
      <c r="X15" s="1260">
        <f>$X$12*F32</f>
        <v>0</v>
      </c>
      <c r="Y15" s="1260">
        <f>$Y$12*F32</f>
        <v>0</v>
      </c>
      <c r="Z15" s="1260">
        <f>$Z$12*F32</f>
        <v>0</v>
      </c>
    </row>
    <row r="16" spans="1:41" s="36" customFormat="1" ht="15" customHeight="1">
      <c r="A16" s="39"/>
      <c r="B16" s="1247"/>
      <c r="C16" s="4365"/>
      <c r="D16" s="4365"/>
      <c r="E16" s="4365"/>
      <c r="F16" s="4365"/>
      <c r="G16" s="1263"/>
      <c r="H16" s="1262" t="s">
        <v>871</v>
      </c>
      <c r="I16" s="1243">
        <f>IF(H16="ja",Q16,0)</f>
        <v>0</v>
      </c>
      <c r="J16" s="39"/>
      <c r="K16" s="1262" t="s">
        <v>871</v>
      </c>
      <c r="L16" s="1098">
        <f>IF(K16="ja",Q16,0)</f>
        <v>0</v>
      </c>
      <c r="M16" s="1016"/>
      <c r="N16" s="1262" t="s">
        <v>871</v>
      </c>
      <c r="O16" s="1243">
        <f>IF(N16="ja",Q16,0)</f>
        <v>0</v>
      </c>
      <c r="P16" s="1013"/>
      <c r="Q16" s="1261">
        <f>IF(C16=0,0,VLOOKUP(C16,'SD2'!$C$11:$O$50,'SD2'!$O$1,FALSE))</f>
        <v>0</v>
      </c>
      <c r="R16" s="1347"/>
      <c r="S16" s="1343"/>
      <c r="T16" s="1346"/>
      <c r="W16" s="36" t="s">
        <v>230</v>
      </c>
      <c r="X16" s="1260">
        <f>$X$12*F33</f>
        <v>0</v>
      </c>
      <c r="Y16" s="1260">
        <f>$Y$12*F33</f>
        <v>0</v>
      </c>
      <c r="Z16" s="1260">
        <f>$Z$12*F33</f>
        <v>0</v>
      </c>
    </row>
    <row r="17" spans="1:20" s="511" customFormat="1" ht="15" customHeight="1">
      <c r="A17" s="40"/>
      <c r="B17" s="1247"/>
      <c r="C17" s="4365"/>
      <c r="D17" s="4365"/>
      <c r="E17" s="4365"/>
      <c r="F17" s="4365"/>
      <c r="G17" s="1263"/>
      <c r="H17" s="1262" t="s">
        <v>871</v>
      </c>
      <c r="I17" s="1243">
        <f>IF(H17="ja",Q17,0)</f>
        <v>0</v>
      </c>
      <c r="J17" s="39"/>
      <c r="K17" s="1262" t="s">
        <v>871</v>
      </c>
      <c r="L17" s="1098">
        <f>IF(K17="ja",Q17,0)</f>
        <v>0</v>
      </c>
      <c r="M17" s="1016"/>
      <c r="N17" s="1262" t="s">
        <v>871</v>
      </c>
      <c r="O17" s="1243">
        <f>IF(N17="ja",Q17,0)</f>
        <v>0</v>
      </c>
      <c r="P17" s="1013"/>
      <c r="Q17" s="1261">
        <f>IF(C17=0,0,VLOOKUP(C17,'SD2'!$C$11:$O$50,'SD2'!$O$1,FALSE))</f>
        <v>0</v>
      </c>
    </row>
    <row r="18" spans="1:20" s="36" customFormat="1" ht="18.75" customHeight="1">
      <c r="A18" s="39"/>
      <c r="B18" s="209" t="s">
        <v>1563</v>
      </c>
      <c r="C18" s="1672"/>
      <c r="D18" s="1672"/>
      <c r="E18" s="1672"/>
      <c r="F18" s="2430"/>
      <c r="G18" s="2464"/>
      <c r="H18" s="2249"/>
      <c r="I18" s="2465"/>
      <c r="J18" s="1041" t="e">
        <f>SUM(I19:I21)</f>
        <v>#N/A</v>
      </c>
      <c r="K18" s="2250"/>
      <c r="L18" s="2466"/>
      <c r="M18" s="1044" t="e">
        <f>SUM(L19:L21)</f>
        <v>#N/A</v>
      </c>
      <c r="N18" s="2249"/>
      <c r="O18" s="2465"/>
      <c r="P18" s="1041" t="e">
        <f>SUM(O19:O21)</f>
        <v>#N/A</v>
      </c>
      <c r="Q18" s="28"/>
      <c r="R18" s="514" t="s">
        <v>870</v>
      </c>
      <c r="S18" s="308"/>
      <c r="T18" s="1248"/>
    </row>
    <row r="19" spans="1:20" ht="15.6" customHeight="1">
      <c r="A19" s="309"/>
      <c r="B19" s="1239"/>
      <c r="C19" s="4365" t="s">
        <v>1560</v>
      </c>
      <c r="D19" s="4365"/>
      <c r="E19" s="4365"/>
      <c r="F19" s="4365"/>
      <c r="G19" s="1246" t="s">
        <v>163</v>
      </c>
      <c r="H19" s="1244"/>
      <c r="I19" s="2839">
        <f>IF(OR($C19=0,$J$6=0),0,VLOOKUP($C19,'SD2'!C60:O78,12,FALSE))</f>
        <v>155</v>
      </c>
      <c r="J19" s="39">
        <f>SUM(I23:I24)</f>
        <v>0</v>
      </c>
      <c r="K19" s="1245"/>
      <c r="L19" s="1098">
        <f>IF(OR($C19=0,$M$6=0),0,VLOOKUP($C19,'SD2'!$C$60:$O$78,12,FALSE))</f>
        <v>155</v>
      </c>
      <c r="M19" s="1016">
        <f>SUM(L23:L24)</f>
        <v>0</v>
      </c>
      <c r="N19" s="1244"/>
      <c r="O19" s="1243">
        <f>IF(OR($C19=0,$P$6=0),0,VLOOKUP($C19,'SD2'!C60:O78,12,FALSE))</f>
        <v>155</v>
      </c>
      <c r="P19" s="1013">
        <f>SUM(O23:O24)</f>
        <v>0</v>
      </c>
      <c r="R19" s="1242" t="e">
        <f>J13+J18</f>
        <v>#N/A</v>
      </c>
      <c r="S19" s="1242" t="e">
        <f>M13+M18</f>
        <v>#N/A</v>
      </c>
      <c r="T19" s="1242" t="e">
        <f>P13+P18</f>
        <v>#N/A</v>
      </c>
    </row>
    <row r="20" spans="1:20" s="2894" customFormat="1" ht="15.6" customHeight="1">
      <c r="A20" s="2788"/>
      <c r="B20" s="1247"/>
      <c r="C20" s="4365" t="s">
        <v>1566</v>
      </c>
      <c r="D20" s="4365"/>
      <c r="E20" s="4365"/>
      <c r="F20" s="4365"/>
      <c r="G20" s="2914"/>
      <c r="H20" s="1244"/>
      <c r="I20" s="2839" t="e">
        <f>IF(OR($C20=0,$J$6=0),0,VLOOKUP($C20,'SD2'!C61:O79,12,FALSE))</f>
        <v>#N/A</v>
      </c>
      <c r="J20" s="2783"/>
      <c r="K20" s="1245"/>
      <c r="L20" s="2829" t="e">
        <f>IF(OR($C20=0,$M$6=0),0,VLOOKUP($C20,'SD2'!$C$60:$O$78,12,FALSE))</f>
        <v>#N/A</v>
      </c>
      <c r="M20" s="2795"/>
      <c r="N20" s="1244"/>
      <c r="O20" s="2839" t="e">
        <f>IF(OR($C20=0,$P$6=0),0,VLOOKUP($C20,'SD2'!C61:O79,12,FALSE))</f>
        <v>#N/A</v>
      </c>
      <c r="P20" s="1013"/>
      <c r="Q20" s="2895"/>
      <c r="R20" s="2888"/>
      <c r="S20" s="2888"/>
      <c r="T20" s="2888"/>
    </row>
    <row r="21" spans="1:20" s="2894" customFormat="1" ht="15.6" customHeight="1">
      <c r="A21" s="2788"/>
      <c r="B21" s="1247"/>
      <c r="C21" s="4365" t="s">
        <v>1567</v>
      </c>
      <c r="D21" s="4365"/>
      <c r="E21" s="4365"/>
      <c r="F21" s="4365"/>
      <c r="G21" s="2914"/>
      <c r="H21" s="1244"/>
      <c r="I21" s="2839" t="e">
        <f>IF(OR($C21=0,$J$6=0),0,VLOOKUP($C21,'SD2'!C62:O79,12,FALSE))</f>
        <v>#N/A</v>
      </c>
      <c r="J21" s="2783"/>
      <c r="K21" s="1245"/>
      <c r="L21" s="2829" t="e">
        <f>IF(OR($C21=0,$M$6=0),0,VLOOKUP($C21,'SD2'!$C$60:$O$78,12,FALSE))</f>
        <v>#N/A</v>
      </c>
      <c r="M21" s="2795"/>
      <c r="N21" s="1244"/>
      <c r="O21" s="2839" t="e">
        <f>IF(OR($C21=0,$P$6=0),0,VLOOKUP($C21,'SD2'!C62:O79,12,FALSE))</f>
        <v>#N/A</v>
      </c>
      <c r="P21" s="1013"/>
      <c r="Q21" s="2895"/>
      <c r="R21" s="2888"/>
      <c r="S21" s="2888"/>
      <c r="T21" s="2888"/>
    </row>
    <row r="22" spans="1:20" ht="15.6" customHeight="1">
      <c r="A22" s="309"/>
      <c r="B22" s="245" t="s">
        <v>869</v>
      </c>
      <c r="C22" s="39"/>
      <c r="D22" s="1234"/>
      <c r="E22" s="4370" t="s">
        <v>868</v>
      </c>
      <c r="F22" s="4370"/>
      <c r="G22" s="4371"/>
      <c r="H22" s="1231"/>
      <c r="I22" s="1230"/>
      <c r="J22" s="1229"/>
      <c r="K22" s="1233"/>
      <c r="L22" s="1232"/>
      <c r="M22" s="1229"/>
      <c r="N22" s="1231"/>
      <c r="O22" s="1230"/>
      <c r="P22" s="1229"/>
    </row>
    <row r="23" spans="1:20" s="36" customFormat="1" ht="18.75" customHeight="1">
      <c r="A23" s="746"/>
      <c r="B23" s="209" t="s">
        <v>214</v>
      </c>
      <c r="C23" s="1228"/>
      <c r="D23" s="1228"/>
      <c r="E23" s="34"/>
      <c r="F23" s="4381"/>
      <c r="G23" s="4382" t="s">
        <v>163</v>
      </c>
      <c r="H23" s="1043"/>
      <c r="I23" s="1042"/>
      <c r="J23" s="1026">
        <f>SUM(I25:I26)</f>
        <v>260</v>
      </c>
      <c r="K23" s="1046"/>
      <c r="L23" s="1045"/>
      <c r="M23" s="1227">
        <f>SUM(L25:L26)</f>
        <v>260</v>
      </c>
      <c r="N23" s="1043"/>
      <c r="O23" s="1042"/>
      <c r="P23" s="1026">
        <f>SUM(O25:O26)</f>
        <v>260</v>
      </c>
      <c r="Q23" s="28"/>
    </row>
    <row r="24" spans="1:20"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20" s="511" customFormat="1" ht="18.75" customHeight="1">
      <c r="A25" s="711"/>
      <c r="B25" s="1223"/>
      <c r="C25" s="746" t="s">
        <v>866</v>
      </c>
      <c r="D25" s="4383"/>
      <c r="E25" s="4384"/>
      <c r="F25" s="1222">
        <v>1.3</v>
      </c>
      <c r="G25" s="1221">
        <f>F25*(100+$D$24)/100</f>
        <v>1.3</v>
      </c>
      <c r="H25" s="1220">
        <v>200</v>
      </c>
      <c r="I25" s="1181">
        <f>H25*$G25</f>
        <v>260</v>
      </c>
      <c r="J25" s="39"/>
      <c r="K25" s="1220">
        <f>H25</f>
        <v>200</v>
      </c>
      <c r="L25" s="1023">
        <f>K25*$G25</f>
        <v>260</v>
      </c>
      <c r="M25" s="1016"/>
      <c r="N25" s="1220">
        <f>H25</f>
        <v>200</v>
      </c>
      <c r="O25" s="1181">
        <f>N25*$G25</f>
        <v>260</v>
      </c>
      <c r="P25" s="1145"/>
      <c r="Q25" s="28"/>
    </row>
    <row r="26" spans="1:20"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20" s="511" customFormat="1" ht="17.399999999999999" customHeight="1">
      <c r="A27" s="711"/>
      <c r="B27" s="1215" t="s">
        <v>213</v>
      </c>
      <c r="C27" s="711"/>
      <c r="D27" s="51" t="str">
        <f>IF(SDÖ1!V17=FALSE,"(Nährstoffabfuhr nicht bewertet)","(Nährstoffabfuhr bewertet)")</f>
        <v>(Nährstoffabfuhr nicht bewertet)</v>
      </c>
      <c r="E27" s="34"/>
      <c r="F27" s="34"/>
      <c r="G27" s="1214" t="s">
        <v>163</v>
      </c>
      <c r="H27" s="1173"/>
      <c r="I27" s="1172"/>
      <c r="J27" s="1041">
        <f>SUM(I30:I33)</f>
        <v>0</v>
      </c>
      <c r="K27" s="1175"/>
      <c r="L27" s="1174"/>
      <c r="M27" s="1044">
        <f>SUM(L30:L33)</f>
        <v>0</v>
      </c>
      <c r="N27" s="1173"/>
      <c r="O27" s="1172"/>
      <c r="P27" s="1041">
        <f>SUM(O30:O33)</f>
        <v>0</v>
      </c>
      <c r="Q27" s="28"/>
    </row>
    <row r="28" spans="1:20" s="36" customFormat="1" ht="15" customHeight="1">
      <c r="A28" s="746"/>
      <c r="B28" s="774"/>
      <c r="C28" s="2238"/>
      <c r="D28" s="1213" t="s">
        <v>706</v>
      </c>
      <c r="E28" s="1213" t="s">
        <v>864</v>
      </c>
      <c r="F28" s="1213" t="s">
        <v>864</v>
      </c>
      <c r="G28" s="1212" t="s">
        <v>863</v>
      </c>
      <c r="H28" s="1172"/>
      <c r="I28" s="1209"/>
      <c r="J28" s="2239"/>
      <c r="K28" s="1175"/>
      <c r="L28" s="1105"/>
      <c r="M28" s="1210"/>
      <c r="N28" s="1173"/>
      <c r="O28" s="1209"/>
      <c r="P28" s="1026"/>
      <c r="Q28" s="28"/>
    </row>
    <row r="29" spans="1:20" s="36" customFormat="1" ht="15" customHeight="1">
      <c r="A29" s="746"/>
      <c r="B29" s="1208"/>
      <c r="C29" s="747" t="s">
        <v>862</v>
      </c>
      <c r="D29" s="1034" t="s">
        <v>611</v>
      </c>
      <c r="E29" s="1034" t="s">
        <v>861</v>
      </c>
      <c r="F29" s="1034" t="s">
        <v>860</v>
      </c>
      <c r="G29" s="1034" t="s">
        <v>1128</v>
      </c>
      <c r="H29" s="1205" t="s">
        <v>612</v>
      </c>
      <c r="I29" s="1027" t="s">
        <v>163</v>
      </c>
      <c r="J29" s="2238"/>
      <c r="K29" s="1207" t="s">
        <v>612</v>
      </c>
      <c r="L29" s="1030" t="s">
        <v>163</v>
      </c>
      <c r="M29" s="1206"/>
      <c r="N29" s="1205" t="s">
        <v>612</v>
      </c>
      <c r="O29" s="1027" t="s">
        <v>163</v>
      </c>
      <c r="P29" s="1204"/>
      <c r="Q29" s="28"/>
    </row>
    <row r="30" spans="1:20" s="36" customFormat="1" ht="15" customHeight="1">
      <c r="A30" s="746"/>
      <c r="B30" s="1203"/>
      <c r="C30" s="1202" t="s">
        <v>236</v>
      </c>
      <c r="D30" s="1150">
        <f>IF(SDÖ1!$V$17=TRUE,SDÖ1!O56,0)</f>
        <v>0</v>
      </c>
      <c r="E30" s="1201">
        <f>VLOOKUP('SD8'!B17,'SD8'!B9:K44,3,FALSE)</f>
        <v>1.6</v>
      </c>
      <c r="F30" s="1201"/>
      <c r="G30" s="1200">
        <v>20</v>
      </c>
      <c r="H30" s="1198">
        <f>IF(J$6=0,0,(J$6*$E30+$G30+X13))</f>
        <v>62</v>
      </c>
      <c r="I30" s="1181">
        <f>H30*$D30</f>
        <v>0</v>
      </c>
      <c r="J30" s="39"/>
      <c r="K30" s="1199">
        <f>IF(M$6=0,0,(M$6*$E30+$G30+AA14))</f>
        <v>76</v>
      </c>
      <c r="L30" s="1023">
        <f>K30*$D30</f>
        <v>0</v>
      </c>
      <c r="M30" s="1016"/>
      <c r="N30" s="1198">
        <f>IF(P$6=0,0,(P$6*$E30+$G30+AD14))</f>
        <v>90</v>
      </c>
      <c r="O30" s="1181">
        <f>N30*$D30</f>
        <v>0</v>
      </c>
      <c r="P30" s="1145"/>
      <c r="Q30" s="28"/>
    </row>
    <row r="31" spans="1:20" s="36" customFormat="1" ht="15" customHeight="1">
      <c r="A31" s="746"/>
      <c r="B31" s="217"/>
      <c r="C31" s="746" t="s">
        <v>234</v>
      </c>
      <c r="D31" s="1150">
        <f>IF(SDÖ1!$V$17=TRUE,SDÖ1!O57,0)</f>
        <v>0</v>
      </c>
      <c r="E31" s="1201">
        <f>VLOOKUP('SD8'!B17,'SD8'!B9:K44,4,FALSE)</f>
        <v>0.8</v>
      </c>
      <c r="F31" s="1201"/>
      <c r="G31" s="1200"/>
      <c r="H31" s="1198">
        <f>IF(J$6=0,0,(J$6*$E31+$G31+X14))</f>
        <v>21</v>
      </c>
      <c r="I31" s="1181">
        <f>H31*$D31</f>
        <v>0</v>
      </c>
      <c r="J31" s="39"/>
      <c r="K31" s="1199">
        <f>IF(M$6=0,0,(M$6*$E31+$G31+Y14))</f>
        <v>28</v>
      </c>
      <c r="L31" s="1023">
        <f>K31*$D31</f>
        <v>0</v>
      </c>
      <c r="M31" s="1016"/>
      <c r="N31" s="1198">
        <f>IF(P$6=0,0,(P$6*$E31+$G31+Z14))</f>
        <v>35</v>
      </c>
      <c r="O31" s="1181">
        <f>N31*$D31</f>
        <v>0</v>
      </c>
      <c r="P31" s="1145"/>
      <c r="Q31" s="28"/>
    </row>
    <row r="32" spans="1:20" s="511" customFormat="1" ht="18.75" customHeight="1">
      <c r="A32" s="711"/>
      <c r="B32" s="217"/>
      <c r="C32" s="746" t="s">
        <v>232</v>
      </c>
      <c r="D32" s="1150">
        <f>IF(SDÖ1!$V$17=TRUE,SDÖ1!O58,0)</f>
        <v>0</v>
      </c>
      <c r="E32" s="1201">
        <v>0.6</v>
      </c>
      <c r="F32" s="1201"/>
      <c r="G32" s="1200"/>
      <c r="H32" s="1198">
        <f>IF(J$6=0,0,(J$6*$E32+$G32+X15))</f>
        <v>15.75</v>
      </c>
      <c r="I32" s="1181">
        <f>H32*$D32</f>
        <v>0</v>
      </c>
      <c r="J32" s="39"/>
      <c r="K32" s="1199">
        <f>IF(M$6=0,0,(M$6*$E32+$G32+Y15))</f>
        <v>21</v>
      </c>
      <c r="L32" s="1023">
        <f>K32*$D32</f>
        <v>0</v>
      </c>
      <c r="M32" s="1016"/>
      <c r="N32" s="1198">
        <f>IF(P$6=0,0,(P$6*$E32+$G32+Z15))</f>
        <v>26.25</v>
      </c>
      <c r="O32" s="1181">
        <f>N32*$D32</f>
        <v>0</v>
      </c>
      <c r="P32" s="1145"/>
      <c r="Q32" s="28"/>
    </row>
    <row r="33" spans="1:17" s="511" customFormat="1" ht="13.2" customHeight="1">
      <c r="A33" s="711"/>
      <c r="B33" s="185"/>
      <c r="C33" s="771" t="s">
        <v>230</v>
      </c>
      <c r="D33" s="1133">
        <f>IF(SDÖ1!$V$17=TRUE,SDÖ1!P59,0)</f>
        <v>0</v>
      </c>
      <c r="E33" s="1197">
        <f>VLOOKUP('SD8'!B17,'SD8'!B9:K44,6,FALSE)</f>
        <v>0.2</v>
      </c>
      <c r="F33" s="1197"/>
      <c r="G33" s="1196"/>
      <c r="H33" s="1194">
        <f>IF(J$6=0,0,(J$6*$E33+$G33+X16))</f>
        <v>5.25</v>
      </c>
      <c r="I33" s="1177">
        <f>H33*$D33</f>
        <v>0</v>
      </c>
      <c r="J33" s="39"/>
      <c r="K33" s="1195">
        <f>IF(M$6=0,0,(M$6*$E33+$G33+Y16))</f>
        <v>7</v>
      </c>
      <c r="L33" s="1017">
        <f>K33*$D33</f>
        <v>0</v>
      </c>
      <c r="M33" s="1016"/>
      <c r="N33" s="1194">
        <f>IF(P$6=0,0,(P$6*$E33+$G33+Z16))</f>
        <v>8.75</v>
      </c>
      <c r="O33" s="1177">
        <f>N33*$D33</f>
        <v>0</v>
      </c>
      <c r="P33" s="1176"/>
      <c r="Q33" s="28"/>
    </row>
    <row r="34" spans="1:17" s="36" customFormat="1" ht="15" customHeight="1">
      <c r="A34" s="746"/>
      <c r="B34" s="716" t="s">
        <v>1127</v>
      </c>
      <c r="C34" s="711"/>
      <c r="D34" s="2238"/>
      <c r="E34" s="2238"/>
      <c r="F34" s="4381"/>
      <c r="G34" s="4382" t="s">
        <v>163</v>
      </c>
      <c r="H34" s="1191"/>
      <c r="I34" s="1190"/>
      <c r="J34" s="1041" t="e">
        <f>SUM(I36:I42)</f>
        <v>#N/A</v>
      </c>
      <c r="K34" s="1193"/>
      <c r="L34" s="1192"/>
      <c r="M34" s="1044" t="e">
        <f>SUM(L36:L42)</f>
        <v>#N/A</v>
      </c>
      <c r="N34" s="1191"/>
      <c r="O34" s="1190"/>
      <c r="P34" s="1041" t="e">
        <f>SUM(O36:O42)</f>
        <v>#N/A</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t="s">
        <v>1076</v>
      </c>
      <c r="D36" s="4389"/>
      <c r="E36" s="4390"/>
      <c r="F36" s="1183" t="e">
        <f>IF(C36=0,0,VLOOKUP(C36,SDÖ5!$C$7:$D$16,2,FALSE))</f>
        <v>#N/A</v>
      </c>
      <c r="G36" s="1183" t="e">
        <f t="shared" ref="G36:G42" si="0">F36*(100+$D$35)/100</f>
        <v>#N/A</v>
      </c>
      <c r="H36" s="1182"/>
      <c r="I36" s="1181" t="e">
        <f t="shared" ref="I36:I42" si="1">$G36*H36</f>
        <v>#N/A</v>
      </c>
      <c r="J36" s="39"/>
      <c r="K36" s="1182"/>
      <c r="L36" s="1023" t="e">
        <f t="shared" ref="L36:L42" si="2">$G36*K36</f>
        <v>#N/A</v>
      </c>
      <c r="M36" s="1016"/>
      <c r="N36" s="1182"/>
      <c r="O36" s="1181" t="e">
        <f t="shared" ref="O36:O42" si="3">$G36*N36</f>
        <v>#N/A</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1182"/>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t="e">
        <f>SUM(J46:J57)</f>
        <v>#N/A</v>
      </c>
      <c r="K43" s="1175"/>
      <c r="L43" s="1174"/>
      <c r="M43" s="1044" t="e">
        <f>SUM(M46:M57)</f>
        <v>#N/A</v>
      </c>
      <c r="N43" s="1173"/>
      <c r="O43" s="1172"/>
      <c r="P43" s="1041" t="e">
        <f>SUM(P46:P57)</f>
        <v>#N/A</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7"/>
      <c r="C46" s="4363"/>
      <c r="D46" s="4364"/>
      <c r="E46" s="1152">
        <f>IF($C46=0,0,VLOOKUP($C46,'SD3'!$C$24:$O$71,4,FALSE))</f>
        <v>0</v>
      </c>
      <c r="F46" s="1151">
        <f>IF($C46=0,0,VLOOKUP($C46,'SD3'!$C$24:$O$71,12,FALSE))</f>
        <v>0</v>
      </c>
      <c r="G46" s="1150">
        <f>IF($C46=0,0,VLOOKUP($C46,'SD3'!$C$24:$O$71,13,FALSE))</f>
        <v>0</v>
      </c>
      <c r="H46" s="1155"/>
      <c r="I46" s="1154">
        <f t="shared" ref="I46:I57" si="4">$F46*H46</f>
        <v>0</v>
      </c>
      <c r="J46" s="1145">
        <f t="shared" ref="J46:J57" si="5">H46*$G46</f>
        <v>0</v>
      </c>
      <c r="K46" s="1155"/>
      <c r="L46" s="1156">
        <f t="shared" ref="L46:L57" si="6">$F46*K46</f>
        <v>0</v>
      </c>
      <c r="M46" s="1148">
        <f t="shared" ref="M46:M57" si="7">K46*$G46</f>
        <v>0</v>
      </c>
      <c r="N46" s="1155"/>
      <c r="O46" s="1154">
        <f t="shared" ref="O46:O57" si="8">$F46*N46</f>
        <v>0</v>
      </c>
      <c r="P46" s="1145">
        <f t="shared" ref="P46:P57" si="9">N46*$G46</f>
        <v>0</v>
      </c>
      <c r="Q46" s="28"/>
    </row>
    <row r="47" spans="1:17" s="36" customFormat="1" ht="15" customHeight="1">
      <c r="A47" s="746"/>
      <c r="B47" s="1153"/>
      <c r="C47" s="4387" t="s">
        <v>361</v>
      </c>
      <c r="D47" s="4388"/>
      <c r="E47" s="1152" t="e">
        <f>IF($C47=0,0,VLOOKUP($C47,'SD3'!$C$24:$O$71,4,FALSE))</f>
        <v>#N/A</v>
      </c>
      <c r="F47" s="1151" t="e">
        <f>IF($C47=0,0,VLOOKUP($C47,'SD3'!$C$24:$O$71,12,FALSE))</f>
        <v>#N/A</v>
      </c>
      <c r="G47" s="1150" t="e">
        <f>IF($C47=0,0,VLOOKUP($C47,'SD3'!$C$24:$O$71,13,FALSE))</f>
        <v>#N/A</v>
      </c>
      <c r="H47" s="1147">
        <v>1</v>
      </c>
      <c r="I47" s="1146" t="e">
        <f t="shared" si="4"/>
        <v>#N/A</v>
      </c>
      <c r="J47" s="1145" t="e">
        <f t="shared" si="5"/>
        <v>#N/A</v>
      </c>
      <c r="K47" s="1147">
        <v>1</v>
      </c>
      <c r="L47" s="1149" t="e">
        <f t="shared" si="6"/>
        <v>#N/A</v>
      </c>
      <c r="M47" s="1148" t="e">
        <f t="shared" si="7"/>
        <v>#N/A</v>
      </c>
      <c r="N47" s="1147">
        <v>1</v>
      </c>
      <c r="O47" s="1146" t="e">
        <f t="shared" si="8"/>
        <v>#N/A</v>
      </c>
      <c r="P47" s="1145" t="e">
        <f t="shared" si="9"/>
        <v>#N/A</v>
      </c>
      <c r="Q47" s="28"/>
    </row>
    <row r="48" spans="1:17" s="36" customFormat="1" ht="15" customHeight="1">
      <c r="A48" s="746"/>
      <c r="B48" s="1153"/>
      <c r="C48" s="4387"/>
      <c r="D48" s="4388"/>
      <c r="E48" s="1152">
        <f>IF($C48=0,0,VLOOKUP($C48,'SD3'!$C$24:$O$71,4,FALSE))</f>
        <v>0</v>
      </c>
      <c r="F48" s="1151">
        <f>IF($C48=0,0,VLOOKUP($C48,'SD3'!$C$24:$O$71,12,FALSE))</f>
        <v>0</v>
      </c>
      <c r="G48" s="1150">
        <f>IF($C48=0,0,VLOOKUP($C48,'SD3'!$C$24:$O$71,13,FALSE))</f>
        <v>0</v>
      </c>
      <c r="H48" s="1147"/>
      <c r="I48" s="1146">
        <f t="shared" si="4"/>
        <v>0</v>
      </c>
      <c r="J48" s="1145">
        <f t="shared" si="5"/>
        <v>0</v>
      </c>
      <c r="K48" s="1147"/>
      <c r="L48" s="1149">
        <f t="shared" si="6"/>
        <v>0</v>
      </c>
      <c r="M48" s="1148">
        <f t="shared" si="7"/>
        <v>0</v>
      </c>
      <c r="N48" s="1147"/>
      <c r="O48" s="1146">
        <f t="shared" si="8"/>
        <v>0</v>
      </c>
      <c r="P48" s="1145">
        <f t="shared" si="9"/>
        <v>0</v>
      </c>
      <c r="Q48" s="28"/>
    </row>
    <row r="49" spans="1:17" s="36" customFormat="1" ht="15" customHeight="1">
      <c r="A49" s="746"/>
      <c r="B49" s="1153"/>
      <c r="C49" s="4387" t="s">
        <v>354</v>
      </c>
      <c r="D49" s="4388"/>
      <c r="E49" s="1152">
        <f>IF($C49=0,0,VLOOKUP($C49,'SD3'!$C$24:$O$71,4,FALSE))</f>
        <v>120</v>
      </c>
      <c r="F49" s="1151">
        <f>IF($C49=0,0,VLOOKUP($C49,'SD3'!$C$24:$O$71,12,FALSE))</f>
        <v>0.71</v>
      </c>
      <c r="G49" s="1150">
        <f>IF($C49=0,0,VLOOKUP($C49,'SD3'!$C$24:$O$71,13,FALSE))</f>
        <v>30.659437999999998</v>
      </c>
      <c r="H49" s="1147">
        <v>1</v>
      </c>
      <c r="I49" s="1146">
        <f t="shared" si="4"/>
        <v>0.71</v>
      </c>
      <c r="J49" s="1145">
        <f t="shared" si="5"/>
        <v>30.659437999999998</v>
      </c>
      <c r="K49" s="1147">
        <v>1</v>
      </c>
      <c r="L49" s="1149">
        <f t="shared" si="6"/>
        <v>0.71</v>
      </c>
      <c r="M49" s="1148">
        <f t="shared" si="7"/>
        <v>30.659437999999998</v>
      </c>
      <c r="N49" s="1147">
        <v>1</v>
      </c>
      <c r="O49" s="1146">
        <f t="shared" si="8"/>
        <v>0.71</v>
      </c>
      <c r="P49" s="1145">
        <f t="shared" si="9"/>
        <v>30.659437999999998</v>
      </c>
      <c r="Q49" s="28"/>
    </row>
    <row r="50" spans="1:17" s="36" customFormat="1" ht="15" customHeight="1">
      <c r="A50" s="746"/>
      <c r="B50" s="1153"/>
      <c r="C50" s="4387" t="s">
        <v>339</v>
      </c>
      <c r="D50" s="4388"/>
      <c r="E50" s="1152">
        <f>IF($C50=0,0,VLOOKUP($C50,'SD3'!$C$24:$O$71,4,FALSE))</f>
        <v>83</v>
      </c>
      <c r="F50" s="1151">
        <f>IF($C50=0,0,VLOOKUP($C50,'SD3'!$C$24:$O$71,12,FALSE))</f>
        <v>0.27</v>
      </c>
      <c r="G50" s="1150">
        <f>IF($C50=0,0,VLOOKUP($C50,'SD3'!$C$24:$O$71,13,FALSE))</f>
        <v>6.9619069099999997</v>
      </c>
      <c r="H50" s="1147">
        <v>2</v>
      </c>
      <c r="I50" s="1146">
        <f t="shared" si="4"/>
        <v>0.54</v>
      </c>
      <c r="J50" s="1145">
        <f t="shared" si="5"/>
        <v>13.923813819999999</v>
      </c>
      <c r="K50" s="1147">
        <v>2</v>
      </c>
      <c r="L50" s="1149">
        <f t="shared" si="6"/>
        <v>0.54</v>
      </c>
      <c r="M50" s="1148">
        <f t="shared" si="7"/>
        <v>13.923813819999999</v>
      </c>
      <c r="N50" s="1147">
        <v>2</v>
      </c>
      <c r="O50" s="1146">
        <f t="shared" si="8"/>
        <v>0.54</v>
      </c>
      <c r="P50" s="1145">
        <f t="shared" si="9"/>
        <v>13.923813819999999</v>
      </c>
      <c r="Q50" s="28"/>
    </row>
    <row r="51" spans="1:17" s="36" customFormat="1" ht="15" customHeight="1">
      <c r="A51" s="746"/>
      <c r="B51" s="1153"/>
      <c r="C51" s="4387" t="s">
        <v>360</v>
      </c>
      <c r="D51" s="4388"/>
      <c r="E51" s="1152">
        <f>IF($C51=0,0,VLOOKUP($C51,'SD3'!$C$24:$O$71,4,FALSE))</f>
        <v>120</v>
      </c>
      <c r="F51" s="1151">
        <f>IF($C51=0,0,VLOOKUP($C51,'SD3'!$C$24:$O$71,12,FALSE))</f>
        <v>0.79</v>
      </c>
      <c r="G51" s="1150">
        <f>IF($C51=0,0,VLOOKUP($C51,'SD3'!$C$24:$O$71,13,FALSE))</f>
        <v>27.987262000000001</v>
      </c>
      <c r="H51" s="1147">
        <v>1</v>
      </c>
      <c r="I51" s="1146">
        <f t="shared" si="4"/>
        <v>0.79</v>
      </c>
      <c r="J51" s="1145">
        <f t="shared" si="5"/>
        <v>27.987262000000001</v>
      </c>
      <c r="K51" s="1147">
        <v>1</v>
      </c>
      <c r="L51" s="1149">
        <f t="shared" si="6"/>
        <v>0.79</v>
      </c>
      <c r="M51" s="1148">
        <f t="shared" si="7"/>
        <v>27.987262000000001</v>
      </c>
      <c r="N51" s="1147">
        <v>1</v>
      </c>
      <c r="O51" s="1146">
        <f t="shared" si="8"/>
        <v>0.79</v>
      </c>
      <c r="P51" s="1145">
        <f t="shared" si="9"/>
        <v>27.987262000000001</v>
      </c>
      <c r="Q51" s="28"/>
    </row>
    <row r="52" spans="1:17" s="36" customFormat="1" ht="15" customHeight="1">
      <c r="A52" s="746"/>
      <c r="B52" s="1153"/>
      <c r="C52" s="4387"/>
      <c r="D52" s="4388"/>
      <c r="E52" s="1152">
        <f>IF($C52=0,0,VLOOKUP($C52,'SD3'!$C$24:$O$71,4,FALSE))</f>
        <v>0</v>
      </c>
      <c r="F52" s="1151">
        <f>IF($C52=0,0,VLOOKUP($C52,'SD3'!$C$24:$O$71,12,FALSE))</f>
        <v>0</v>
      </c>
      <c r="G52" s="1150">
        <f>IF($C52=0,0,VLOOKUP($C52,'SD3'!$C$24:$O$71,13,FALSE))</f>
        <v>0</v>
      </c>
      <c r="H52" s="1147"/>
      <c r="I52" s="1146">
        <f t="shared" si="4"/>
        <v>0</v>
      </c>
      <c r="J52" s="1145">
        <f t="shared" si="5"/>
        <v>0</v>
      </c>
      <c r="K52" s="1147"/>
      <c r="L52" s="1149">
        <f t="shared" si="6"/>
        <v>0</v>
      </c>
      <c r="M52" s="1148">
        <f t="shared" si="7"/>
        <v>0</v>
      </c>
      <c r="N52" s="1147"/>
      <c r="O52" s="1146">
        <f t="shared" si="8"/>
        <v>0</v>
      </c>
      <c r="P52" s="1145">
        <f t="shared" si="9"/>
        <v>0</v>
      </c>
      <c r="Q52" s="34"/>
    </row>
    <row r="53" spans="1:17" s="36" customFormat="1" ht="15" customHeight="1">
      <c r="A53" s="746"/>
      <c r="B53" s="1153"/>
      <c r="C53" s="4387" t="s">
        <v>335</v>
      </c>
      <c r="D53" s="4388"/>
      <c r="E53" s="1152" t="e">
        <f>IF($C53=0,0,VLOOKUP($C53,'SD3'!$C$24:$O$71,4,FALSE))</f>
        <v>#N/A</v>
      </c>
      <c r="F53" s="1151" t="e">
        <f>IF($C53=0,0,VLOOKUP($C53,'SD3'!$C$24:$O$71,12,FALSE))</f>
        <v>#N/A</v>
      </c>
      <c r="G53" s="1150" t="e">
        <f>IF($C53=0,0,VLOOKUP($C53,'SD3'!$C$24:$O$71,13,FALSE))</f>
        <v>#N/A</v>
      </c>
      <c r="H53" s="1147">
        <f>J$6/40+0.3</f>
        <v>0.95625000000000004</v>
      </c>
      <c r="I53" s="1146" t="e">
        <f t="shared" si="4"/>
        <v>#N/A</v>
      </c>
      <c r="J53" s="1145" t="e">
        <f t="shared" si="5"/>
        <v>#N/A</v>
      </c>
      <c r="K53" s="1147">
        <f>M$6/40+0.3</f>
        <v>1.175</v>
      </c>
      <c r="L53" s="1149" t="e">
        <f t="shared" si="6"/>
        <v>#N/A</v>
      </c>
      <c r="M53" s="1148" t="e">
        <f t="shared" si="7"/>
        <v>#N/A</v>
      </c>
      <c r="N53" s="1147">
        <f>P$6/40+0.3</f>
        <v>1.39375</v>
      </c>
      <c r="O53" s="1146" t="e">
        <f t="shared" si="8"/>
        <v>#N/A</v>
      </c>
      <c r="P53" s="1145" t="e">
        <f t="shared" si="9"/>
        <v>#N/A</v>
      </c>
      <c r="Q53" s="34"/>
    </row>
    <row r="54" spans="1:17" s="36" customFormat="1" ht="15" customHeight="1">
      <c r="A54" s="746"/>
      <c r="B54" s="1153"/>
      <c r="C54" s="4387"/>
      <c r="D54" s="4388"/>
      <c r="E54" s="1152">
        <f>IF($C54=0,0,VLOOKUP($C54,'SD3'!$C$24:$O$71,4,FALSE))</f>
        <v>0</v>
      </c>
      <c r="F54" s="1151">
        <f>IF($C54=0,0,VLOOKUP($C54,'SD3'!$C$24:$O$71,12,FALSE))</f>
        <v>0</v>
      </c>
      <c r="G54" s="1150">
        <f>IF($C54=0,0,VLOOKUP($C54,'SD3'!$C$24:$O$71,13,FALSE))</f>
        <v>0</v>
      </c>
      <c r="H54" s="1147"/>
      <c r="I54" s="1146">
        <f t="shared" si="4"/>
        <v>0</v>
      </c>
      <c r="J54" s="1145">
        <f t="shared" si="5"/>
        <v>0</v>
      </c>
      <c r="K54" s="1147"/>
      <c r="L54" s="1149">
        <f t="shared" si="6"/>
        <v>0</v>
      </c>
      <c r="M54" s="1148">
        <f t="shared" si="7"/>
        <v>0</v>
      </c>
      <c r="N54" s="1147"/>
      <c r="O54" s="1146">
        <f t="shared" si="8"/>
        <v>0</v>
      </c>
      <c r="P54" s="1145">
        <f t="shared" si="9"/>
        <v>0</v>
      </c>
      <c r="Q54" s="28"/>
    </row>
    <row r="55" spans="1:17" s="36" customFormat="1" ht="15" customHeight="1">
      <c r="A55" s="746"/>
      <c r="B55" s="1153"/>
      <c r="C55" s="4387"/>
      <c r="D55" s="4388"/>
      <c r="E55" s="1152">
        <f>IF($C55=0,0,VLOOKUP($C55,'SD3'!$C$24:$O$71,4,FALSE))</f>
        <v>0</v>
      </c>
      <c r="F55" s="1151">
        <f>IF($C55=0,0,VLOOKUP($C55,'SD3'!$C$24:$O$71,12,FALSE))</f>
        <v>0</v>
      </c>
      <c r="G55" s="1150">
        <f>IF($C55=0,0,VLOOKUP($C55,'SD3'!$C$24:$O$71,13,FALSE))</f>
        <v>0</v>
      </c>
      <c r="H55" s="1147"/>
      <c r="I55" s="1146">
        <f t="shared" si="4"/>
        <v>0</v>
      </c>
      <c r="J55" s="1145">
        <f t="shared" si="5"/>
        <v>0</v>
      </c>
      <c r="K55" s="1147"/>
      <c r="L55" s="1149">
        <f t="shared" si="6"/>
        <v>0</v>
      </c>
      <c r="M55" s="1148">
        <f t="shared" si="7"/>
        <v>0</v>
      </c>
      <c r="N55" s="1147"/>
      <c r="O55" s="1146">
        <f t="shared" si="8"/>
        <v>0</v>
      </c>
      <c r="P55" s="1145">
        <f t="shared" si="9"/>
        <v>0</v>
      </c>
      <c r="Q55" s="28"/>
    </row>
    <row r="56" spans="1:17" s="36" customFormat="1" ht="24.75" customHeight="1">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8"/>
    </row>
    <row r="57" spans="1:17" s="36" customFormat="1" ht="24.75" customHeight="1">
      <c r="A57" s="746"/>
      <c r="B57" s="1084"/>
      <c r="C57" s="4461" t="s">
        <v>332</v>
      </c>
      <c r="D57" s="4462"/>
      <c r="E57" s="2589">
        <f>IF($C57=0,0,VLOOKUP($C57,'SD3'!$C$24:$O$71,4,FALSE))</f>
        <v>83</v>
      </c>
      <c r="F57" s="2590">
        <f>IF($C57=0,0,VLOOKUP($C57,'SD3'!$C$24:$O$71,12,FALSE))</f>
        <v>1.3</v>
      </c>
      <c r="G57" s="2591">
        <f>IF($C57=0,0,VLOOKUP($C57,'SD3'!$C$24:$O$71,13,FALSE))</f>
        <v>25.970662899999994</v>
      </c>
      <c r="H57" s="2644">
        <f>H11/35</f>
        <v>0.6</v>
      </c>
      <c r="I57" s="1130">
        <f t="shared" si="4"/>
        <v>0.78</v>
      </c>
      <c r="J57" s="1129">
        <f t="shared" si="5"/>
        <v>15.582397739999996</v>
      </c>
      <c r="K57" s="2645">
        <f>K11/35</f>
        <v>0.8</v>
      </c>
      <c r="L57" s="1132">
        <f t="shared" si="6"/>
        <v>1.04</v>
      </c>
      <c r="M57" s="1079">
        <f t="shared" si="7"/>
        <v>20.776530319999996</v>
      </c>
      <c r="N57" s="2644">
        <f>N11/35</f>
        <v>1</v>
      </c>
      <c r="O57" s="1130">
        <f t="shared" si="8"/>
        <v>1.3</v>
      </c>
      <c r="P57" s="1129">
        <f t="shared" si="9"/>
        <v>25.970662899999994</v>
      </c>
      <c r="Q57" s="2636"/>
    </row>
    <row r="58" spans="1:17" s="511" customFormat="1" ht="18.75" customHeight="1">
      <c r="A58" s="711"/>
      <c r="B58" s="716" t="s">
        <v>848</v>
      </c>
      <c r="C58" s="811"/>
      <c r="D58" s="811"/>
      <c r="E58" s="811"/>
      <c r="F58" s="34"/>
      <c r="G58" s="1047"/>
      <c r="H58" s="1124"/>
      <c r="I58" s="1123" t="e">
        <f>SUM($I$46:$I$57)</f>
        <v>#N/A</v>
      </c>
      <c r="J58" s="1128"/>
      <c r="K58" s="1127"/>
      <c r="L58" s="1126" t="e">
        <f>SUM($L$46:$L$57)</f>
        <v>#N/A</v>
      </c>
      <c r="M58" s="1125"/>
      <c r="N58" s="1124"/>
      <c r="O58" s="1123" t="e">
        <f>SUM($O$46:$O$57)</f>
        <v>#N/A</v>
      </c>
      <c r="P58" s="1122"/>
      <c r="Q58" s="28"/>
    </row>
    <row r="59" spans="1:17" s="511" customFormat="1" ht="15" customHeight="1">
      <c r="A59" s="711"/>
      <c r="B59" s="1121"/>
      <c r="C59" s="285"/>
      <c r="D59" s="222" t="s">
        <v>847</v>
      </c>
      <c r="E59" s="1120">
        <v>80</v>
      </c>
      <c r="F59" s="285" t="s">
        <v>846</v>
      </c>
      <c r="G59" s="1119"/>
      <c r="H59" s="1115"/>
      <c r="I59" s="1114" t="e">
        <f>IF(I58+SUM($I$46:$I$57)*$E$59%&gt;I58+10,I58+10,I58+SUM($I$46:$I$57)*$E$59%)</f>
        <v>#N/A</v>
      </c>
      <c r="J59" s="1113"/>
      <c r="K59" s="1118"/>
      <c r="L59" s="1117" t="e">
        <f>IF(L58+SUM($L$46:$L$57)*$E$59%&gt;L58+10,L58+10,L58+SUM($L$46:$L$57)*$E$59%)</f>
        <v>#N/A</v>
      </c>
      <c r="M59" s="1116"/>
      <c r="N59" s="1115"/>
      <c r="O59" s="1114" t="e">
        <f>IF(O58+SUM($O$46:$O$57)*$E$59%&gt;O58+10,O58+10,O58+SUM($O$46:$O$57)*$E$59%)</f>
        <v>#N/A</v>
      </c>
      <c r="P59" s="1113"/>
      <c r="Q59" s="28"/>
    </row>
    <row r="60" spans="1:17" s="46" customFormat="1" ht="18.75" customHeight="1">
      <c r="A60" s="811"/>
      <c r="B60" s="716" t="s">
        <v>845</v>
      </c>
      <c r="C60" s="811"/>
      <c r="D60" s="811"/>
      <c r="E60" s="39"/>
      <c r="F60" s="39"/>
      <c r="G60" s="1112"/>
      <c r="H60" s="2834"/>
      <c r="I60" s="2833"/>
      <c r="J60" s="1111">
        <f>IF(J6=0,0,SUM(I62:I64))</f>
        <v>226.3</v>
      </c>
      <c r="K60" s="2836"/>
      <c r="L60" s="2835"/>
      <c r="M60" s="1044">
        <f>IF(M6=0,0,SUM(L62:L64))</f>
        <v>249.39999999999998</v>
      </c>
      <c r="N60" s="2834"/>
      <c r="O60" s="2833"/>
      <c r="P60" s="1111">
        <f>IF(P6=0,0,SUM(O62:O64))</f>
        <v>272.5</v>
      </c>
      <c r="Q60" s="28"/>
    </row>
    <row r="61" spans="1:17" s="46" customFormat="1" ht="15" customHeight="1">
      <c r="A61" s="811"/>
      <c r="B61" s="1040"/>
      <c r="C61" s="1039" t="s">
        <v>837</v>
      </c>
      <c r="D61" s="1110">
        <f>SDÖ1!$O$11</f>
        <v>0</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t="s">
        <v>300</v>
      </c>
      <c r="D62" s="4365"/>
      <c r="E62" s="4365"/>
      <c r="F62" s="1101">
        <f>IF($C62=0,0,VLOOKUP($C62,'SD3'!$C$90:$D$104,2,FALSE))</f>
        <v>157</v>
      </c>
      <c r="G62" s="1100">
        <f>(100+$D$61)/100*F62</f>
        <v>157</v>
      </c>
      <c r="H62" s="173"/>
      <c r="I62" s="1096">
        <f>$G$62</f>
        <v>157</v>
      </c>
      <c r="J62" s="173"/>
      <c r="K62" s="1099"/>
      <c r="L62" s="1098">
        <f>$G$62</f>
        <v>157</v>
      </c>
      <c r="M62" s="1016"/>
      <c r="N62" s="1097"/>
      <c r="O62" s="1096">
        <f>$G$62</f>
        <v>157</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t="s">
        <v>289</v>
      </c>
      <c r="D64" s="4396"/>
      <c r="E64" s="4396"/>
      <c r="F64" s="1083">
        <f>IF($T$3=FALSE,0,VLOOKUP($C64,'SD3'!$C$90:$D$104,2,FALSE))</f>
        <v>3.3</v>
      </c>
      <c r="G64" s="1082">
        <f>(100+$D$61)/100*F64</f>
        <v>3.3</v>
      </c>
      <c r="H64" s="1078"/>
      <c r="I64" s="1077">
        <f>H11*$G$64</f>
        <v>69.3</v>
      </c>
      <c r="J64" s="173"/>
      <c r="K64" s="1081"/>
      <c r="L64" s="1080">
        <f>K11*$G$64</f>
        <v>92.399999999999991</v>
      </c>
      <c r="M64" s="1079"/>
      <c r="N64" s="1078"/>
      <c r="O64" s="1077">
        <f>N11*$G$64</f>
        <v>115.5</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5"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22.95" customHeight="1">
      <c r="A67" s="711"/>
      <c r="B67" s="2790" t="s">
        <v>843</v>
      </c>
      <c r="C67" s="2789"/>
      <c r="D67" s="2789"/>
      <c r="E67" s="2785"/>
      <c r="F67" s="2805"/>
      <c r="G67" s="1047"/>
      <c r="H67" s="1066" t="s">
        <v>842</v>
      </c>
      <c r="I67" s="1065" t="s">
        <v>841</v>
      </c>
      <c r="J67" s="1041">
        <f>R68*(H9+H10)*I68%+F68</f>
        <v>34.84687499999999</v>
      </c>
      <c r="K67" s="1068" t="s">
        <v>842</v>
      </c>
      <c r="L67" s="1067" t="s">
        <v>841</v>
      </c>
      <c r="M67" s="1044">
        <f>S68*(K9+K10)*L68%+F68</f>
        <v>46.462499999999991</v>
      </c>
      <c r="N67" s="1066" t="s">
        <v>842</v>
      </c>
      <c r="O67" s="1065" t="s">
        <v>841</v>
      </c>
      <c r="P67" s="1041">
        <f>T68*(N9+N10)*O68%+F68</f>
        <v>58.078124999999986</v>
      </c>
      <c r="Q67" s="28"/>
    </row>
    <row r="68" spans="1:20" s="511" customFormat="1" ht="15" customHeight="1">
      <c r="A68" s="711"/>
      <c r="B68" s="1064"/>
      <c r="C68" s="4393" t="s">
        <v>840</v>
      </c>
      <c r="D68" s="4393"/>
      <c r="E68" s="4393"/>
      <c r="F68" s="2804"/>
      <c r="G68" s="1054" t="s">
        <v>163</v>
      </c>
      <c r="H68" s="1061">
        <v>16</v>
      </c>
      <c r="I68" s="1060">
        <v>50</v>
      </c>
      <c r="J68" s="1059"/>
      <c r="K68" s="1061">
        <v>16</v>
      </c>
      <c r="L68" s="1060">
        <v>50</v>
      </c>
      <c r="M68" s="1062"/>
      <c r="N68" s="1061">
        <v>16</v>
      </c>
      <c r="O68" s="1060">
        <v>50</v>
      </c>
      <c r="P68" s="1059"/>
      <c r="Q68" s="28"/>
      <c r="R68" s="1058">
        <f>IF($H$68=0,0,VLOOKUP($H$68,'SD6'!B8:C101,'SD6'!C1,FALSE))*(1+'SDK1'!O11/100)</f>
        <v>2.6549999999999994</v>
      </c>
      <c r="S68" s="1058">
        <f>IF($K$68=0,0,VLOOKUP($K$68,'SD6'!B8:C101,'SD6'!C1,FALSE))*(1+'SDK1'!O11/100)</f>
        <v>2.6549999999999994</v>
      </c>
      <c r="T68" s="1058">
        <f>IF($N$68=0,0,VLOOKUP($N$68,'SD6'!B8:C101,'SD6'!C1,FALSE))*(1+'SDK1'!O11/100)</f>
        <v>2.6549999999999994</v>
      </c>
    </row>
    <row r="69" spans="1:20" s="511" customFormat="1" ht="18.75" customHeight="1">
      <c r="A69" s="711"/>
      <c r="B69" s="716" t="s">
        <v>839</v>
      </c>
      <c r="C69" s="711"/>
      <c r="D69" s="711"/>
      <c r="E69" s="34"/>
      <c r="F69" s="34"/>
      <c r="G69" s="1047"/>
      <c r="H69" s="38"/>
      <c r="I69" s="51"/>
      <c r="J69" s="1041" t="e">
        <f>H70*$F70/1000</f>
        <v>#REF!</v>
      </c>
      <c r="K69" s="1057"/>
      <c r="L69" s="1056"/>
      <c r="M69" s="1044" t="e">
        <f>K70*$F70/1000</f>
        <v>#REF!</v>
      </c>
      <c r="N69" s="38"/>
      <c r="O69" s="51"/>
      <c r="P69" s="1041" t="e">
        <f>N70*$F70/1000</f>
        <v>#REF!</v>
      </c>
      <c r="Q69" s="28"/>
    </row>
    <row r="70" spans="1:20" s="511" customFormat="1" ht="15" customHeight="1">
      <c r="A70" s="711"/>
      <c r="B70" s="772"/>
      <c r="C70" s="771" t="s">
        <v>606</v>
      </c>
      <c r="D70" s="285"/>
      <c r="E70" s="222"/>
      <c r="F70" s="1055" t="e">
        <f>'SDK7'!#REF!</f>
        <v>#REF!</v>
      </c>
      <c r="G70" s="1054" t="s">
        <v>163</v>
      </c>
      <c r="H70" s="1050">
        <f>I9+I10</f>
        <v>216.56249999999994</v>
      </c>
      <c r="I70" s="1049"/>
      <c r="J70" s="1048"/>
      <c r="K70" s="1053">
        <f>L9+L10</f>
        <v>288.74999999999994</v>
      </c>
      <c r="L70" s="1052"/>
      <c r="M70" s="1051"/>
      <c r="N70" s="1050">
        <f>O9+O10</f>
        <v>360.9375</v>
      </c>
      <c r="O70" s="1049"/>
      <c r="P70" s="1048"/>
      <c r="Q70" s="28"/>
    </row>
    <row r="71" spans="1:20" ht="18.75" customHeight="1">
      <c r="A71" s="309"/>
      <c r="B71" s="245" t="s">
        <v>838</v>
      </c>
      <c r="C71" s="309"/>
      <c r="D71" s="309"/>
      <c r="E71" s="175"/>
      <c r="F71" s="34"/>
      <c r="G71" s="1047"/>
      <c r="H71" s="1043"/>
      <c r="I71" s="1042"/>
      <c r="J71" s="1041">
        <f>SUM(I73:I74)</f>
        <v>211.05</v>
      </c>
      <c r="K71" s="1046"/>
      <c r="L71" s="1045"/>
      <c r="M71" s="1044">
        <f>SUM(L73:L74)</f>
        <v>281.40000000000003</v>
      </c>
      <c r="N71" s="1043"/>
      <c r="O71" s="1042"/>
      <c r="P71" s="1041">
        <f>SUM(O73:O74)</f>
        <v>351.75</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t="s">
        <v>1473</v>
      </c>
      <c r="D73" s="4400"/>
      <c r="E73" s="4400"/>
      <c r="F73" s="1025">
        <v>12</v>
      </c>
      <c r="G73" s="1024"/>
      <c r="H73" s="1018">
        <f>$F$73*(J$6-H$10)</f>
        <v>211.05</v>
      </c>
      <c r="I73" s="1022">
        <f>(100+$D$72)/100*H73</f>
        <v>211.05</v>
      </c>
      <c r="J73" s="39"/>
      <c r="K73" s="1018">
        <f>$F$73*(M$6-K$10)</f>
        <v>281.40000000000003</v>
      </c>
      <c r="L73" s="1023">
        <f>(100+$D$72)/100*K73</f>
        <v>281.40000000000003</v>
      </c>
      <c r="M73" s="1016"/>
      <c r="N73" s="1018">
        <f>$F$73*(P$6-N$10)</f>
        <v>351.75</v>
      </c>
      <c r="O73" s="1022">
        <f>(100+$D$72)/100*N73</f>
        <v>351.75</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7</v>
      </c>
      <c r="H75" s="1007"/>
      <c r="I75" s="1008"/>
      <c r="J75" s="1005" t="e">
        <f>(J23+J27+J34+J43+J60+J65+J67+J69+J71)*('SDK1'!$O$59%*$G$75/12)</f>
        <v>#N/A</v>
      </c>
      <c r="K75" s="2223"/>
      <c r="L75" s="522"/>
      <c r="M75" s="1005" t="e">
        <f>(M23+M27+M34+M43+M60+M65+M67+M69+M71)*('SDK1'!$O$59%*$G$75/12)</f>
        <v>#N/A</v>
      </c>
      <c r="N75" s="1007"/>
      <c r="O75" s="1006"/>
      <c r="P75" s="1005" t="e">
        <f>(P23+P27+P34+P43+P60+P65+P67+P69+P71)*('SDK1'!$O$59%*$G$75/12)</f>
        <v>#N/A</v>
      </c>
      <c r="Q75" s="28"/>
    </row>
    <row r="76" spans="1:20">
      <c r="L76" s="29"/>
    </row>
    <row r="77" spans="1:20">
      <c r="L77" s="29"/>
      <c r="N77" s="2603"/>
      <c r="O77" s="2603"/>
      <c r="P77" s="2603"/>
    </row>
    <row r="78" spans="1:20" ht="13.8">
      <c r="C78" s="4478" t="s">
        <v>1385</v>
      </c>
      <c r="D78" s="4479"/>
      <c r="E78" s="4479"/>
      <c r="F78" s="4480"/>
      <c r="G78" s="2603"/>
      <c r="H78" s="2603"/>
      <c r="I78" s="2603"/>
      <c r="J78" s="2603"/>
      <c r="L78" s="29"/>
      <c r="N78" s="2603"/>
      <c r="O78" s="2603"/>
      <c r="P78" s="2603"/>
    </row>
    <row r="79" spans="1:20">
      <c r="C79" s="4453" t="s">
        <v>285</v>
      </c>
      <c r="D79" s="4454"/>
      <c r="E79" s="4454"/>
      <c r="F79" s="4455"/>
      <c r="G79" s="2603"/>
      <c r="H79" s="2603"/>
      <c r="I79" s="2603"/>
      <c r="J79" s="2603"/>
      <c r="L79" s="29"/>
      <c r="N79" s="2603"/>
      <c r="O79" s="2603"/>
      <c r="P79" s="2603"/>
    </row>
    <row r="80" spans="1:20" ht="13.8">
      <c r="B80" s="2237"/>
      <c r="C80" s="2234" t="s">
        <v>1381</v>
      </c>
      <c r="D80" s="2235"/>
      <c r="E80" s="2235"/>
      <c r="F80" s="2236"/>
      <c r="G80" s="2603"/>
      <c r="H80" s="2603"/>
      <c r="I80" s="2603"/>
      <c r="J80" s="2603"/>
      <c r="L80" s="29"/>
      <c r="N80" s="2603"/>
      <c r="O80" s="2603"/>
      <c r="P80" s="2603"/>
    </row>
    <row r="81" spans="2:16" ht="13.8">
      <c r="B81" s="2237"/>
      <c r="C81" s="2234" t="s">
        <v>1382</v>
      </c>
      <c r="D81" s="2235"/>
      <c r="E81" s="2235"/>
      <c r="F81" s="2236"/>
      <c r="G81" s="2603"/>
      <c r="H81" s="2603"/>
      <c r="I81" s="2603"/>
      <c r="J81" s="2603"/>
      <c r="L81" s="29"/>
      <c r="N81" s="2603"/>
      <c r="O81" s="2603"/>
      <c r="P81" s="2603"/>
    </row>
    <row r="82" spans="2:16">
      <c r="B82" s="2237"/>
      <c r="C82" s="2226" t="s">
        <v>284</v>
      </c>
      <c r="D82" s="2227"/>
      <c r="E82" s="2227"/>
      <c r="F82" s="2228"/>
      <c r="G82" s="2603"/>
      <c r="H82" s="2603"/>
      <c r="I82" s="2603"/>
      <c r="J82" s="2603"/>
      <c r="L82" s="29"/>
      <c r="N82" s="2603"/>
      <c r="O82" s="2603"/>
      <c r="P82" s="2603"/>
    </row>
    <row r="83" spans="2:16" ht="13.8">
      <c r="B83" s="2237"/>
      <c r="C83" s="2234" t="s">
        <v>1383</v>
      </c>
      <c r="D83" s="2235"/>
      <c r="E83" s="2235"/>
      <c r="F83" s="2236"/>
      <c r="G83" s="2603"/>
      <c r="H83" s="2603"/>
      <c r="I83" s="2603"/>
      <c r="J83" s="2603"/>
      <c r="L83" s="29"/>
      <c r="N83" s="2603"/>
      <c r="O83" s="2603"/>
      <c r="P83" s="2603"/>
    </row>
    <row r="84" spans="2:16" ht="13.8">
      <c r="B84" s="2237"/>
      <c r="C84" s="2234" t="s">
        <v>1384</v>
      </c>
      <c r="D84" s="2235"/>
      <c r="E84" s="2235"/>
      <c r="F84" s="2236"/>
      <c r="G84" s="2603"/>
      <c r="H84" s="2603"/>
      <c r="I84" s="2603"/>
      <c r="J84" s="2603"/>
      <c r="L84" s="29"/>
      <c r="N84" s="2603"/>
      <c r="O84" s="2603"/>
      <c r="P84" s="2603"/>
    </row>
    <row r="85" spans="2:16">
      <c r="B85" s="2237"/>
      <c r="C85" s="2226" t="s">
        <v>283</v>
      </c>
      <c r="D85" s="2227"/>
      <c r="E85" s="2227"/>
      <c r="F85" s="2228"/>
      <c r="G85" s="2603"/>
      <c r="H85" s="2603"/>
      <c r="I85" s="2603"/>
      <c r="J85" s="2603"/>
      <c r="L85" s="29"/>
      <c r="N85" s="2603"/>
      <c r="O85" s="2603"/>
      <c r="P85" s="2603"/>
    </row>
    <row r="86" spans="2:16">
      <c r="B86" s="2237"/>
      <c r="C86" s="2226" t="s">
        <v>282</v>
      </c>
      <c r="D86" s="2227"/>
      <c r="E86" s="2227"/>
      <c r="F86" s="2228"/>
      <c r="G86" s="2603"/>
      <c r="H86" s="2603"/>
      <c r="I86" s="2603"/>
      <c r="J86" s="2603"/>
      <c r="L86" s="29"/>
      <c r="N86" s="2603"/>
      <c r="O86" s="2603"/>
      <c r="P86" s="2603"/>
    </row>
    <row r="87" spans="2:16" ht="15.6">
      <c r="B87" s="2237"/>
      <c r="C87" s="2226" t="s">
        <v>281</v>
      </c>
      <c r="D87" s="2227"/>
      <c r="E87" s="2227"/>
      <c r="F87" s="2228"/>
      <c r="G87" s="2603"/>
      <c r="H87" s="2603"/>
      <c r="I87" s="2603"/>
      <c r="J87" s="2603"/>
      <c r="L87" s="29"/>
      <c r="N87" s="2603"/>
      <c r="O87" s="2603"/>
      <c r="P87" s="2603"/>
    </row>
    <row r="88" spans="2:16" ht="13.2" customHeight="1">
      <c r="B88" s="2237"/>
      <c r="C88" s="2226" t="s">
        <v>280</v>
      </c>
      <c r="D88" s="2229"/>
      <c r="E88" s="2229"/>
      <c r="F88" s="2230"/>
      <c r="G88" s="2603"/>
      <c r="H88" s="2603"/>
      <c r="I88" s="2603"/>
      <c r="J88" s="2603"/>
      <c r="L88" s="29"/>
      <c r="N88" s="2603"/>
      <c r="O88" s="2603"/>
      <c r="P88" s="2603"/>
    </row>
    <row r="89" spans="2:16">
      <c r="B89" s="2237"/>
      <c r="C89" s="2226" t="s">
        <v>279</v>
      </c>
      <c r="D89" s="2229"/>
      <c r="E89" s="2229"/>
      <c r="F89" s="2230"/>
      <c r="G89" s="2603"/>
      <c r="H89" s="2603"/>
      <c r="I89" s="2603"/>
      <c r="J89" s="2603"/>
      <c r="L89" s="29"/>
      <c r="N89" s="2603"/>
      <c r="O89" s="2603"/>
      <c r="P89" s="2603"/>
    </row>
    <row r="90" spans="2:16" ht="26.4">
      <c r="B90" s="2237"/>
      <c r="C90" s="2231" t="s">
        <v>278</v>
      </c>
      <c r="D90" s="2232"/>
      <c r="E90" s="2232"/>
      <c r="F90" s="2233"/>
      <c r="G90" s="2603"/>
      <c r="H90" s="2603"/>
      <c r="I90" s="2603"/>
      <c r="J90" s="2603"/>
      <c r="L90" s="29"/>
      <c r="N90" s="2603"/>
      <c r="O90" s="2603"/>
      <c r="P90" s="2603"/>
    </row>
    <row r="91" spans="2:16">
      <c r="C91" s="1712"/>
      <c r="D91" s="1712"/>
      <c r="E91" s="1712"/>
      <c r="F91" s="1712"/>
      <c r="G91" s="2603"/>
      <c r="H91" s="2603"/>
      <c r="I91" s="2603"/>
      <c r="J91" s="2603"/>
      <c r="L91" s="29"/>
      <c r="N91" s="2603"/>
      <c r="O91" s="2603"/>
      <c r="P91" s="2603"/>
    </row>
    <row r="92" spans="2:16">
      <c r="C92" s="1712"/>
      <c r="D92" s="1712"/>
      <c r="E92" s="1712"/>
      <c r="F92" s="1712"/>
      <c r="G92" s="2603"/>
      <c r="H92" s="2603"/>
      <c r="I92" s="2603"/>
      <c r="J92" s="2603"/>
      <c r="L92" s="29"/>
      <c r="N92" s="2603"/>
      <c r="O92" s="2603"/>
      <c r="P92" s="2603"/>
    </row>
    <row r="93" spans="2:16">
      <c r="C93" s="1712"/>
      <c r="D93" s="1712"/>
      <c r="E93" s="1712"/>
      <c r="F93" s="1712"/>
      <c r="G93" s="2603"/>
      <c r="H93" s="2603"/>
      <c r="I93" s="2603"/>
      <c r="J93" s="2603"/>
      <c r="L93" s="29"/>
      <c r="N93" s="2603"/>
      <c r="O93" s="2603"/>
      <c r="P93" s="2603"/>
    </row>
    <row r="94" spans="2:16">
      <c r="C94" s="1712"/>
      <c r="D94" s="1712"/>
      <c r="E94" s="1712"/>
      <c r="F94" s="1712"/>
      <c r="G94" s="2603"/>
      <c r="H94" s="2603"/>
      <c r="I94" s="2603"/>
      <c r="J94" s="2603"/>
      <c r="L94" s="29"/>
      <c r="N94" s="2603"/>
      <c r="O94" s="2603"/>
      <c r="P94" s="2603"/>
    </row>
    <row r="95" spans="2:16">
      <c r="C95" s="1712"/>
      <c r="D95" s="1712"/>
      <c r="E95" s="1712"/>
      <c r="F95" s="1712"/>
      <c r="G95" s="2603"/>
      <c r="H95" s="2603"/>
      <c r="I95" s="2603"/>
      <c r="J95" s="2603"/>
      <c r="L95" s="29"/>
      <c r="N95" s="2603"/>
      <c r="O95" s="2603"/>
      <c r="P95" s="2603"/>
    </row>
    <row r="96" spans="2:16">
      <c r="C96" s="1712"/>
      <c r="D96" s="1712"/>
      <c r="E96" s="1712"/>
      <c r="F96" s="1712"/>
      <c r="G96" s="2603"/>
      <c r="H96" s="2603"/>
      <c r="I96" s="2603"/>
      <c r="J96" s="2603"/>
      <c r="L96" s="29"/>
      <c r="N96" s="2603"/>
      <c r="O96" s="2603"/>
      <c r="P96" s="2603"/>
    </row>
    <row r="97" spans="2:16">
      <c r="C97" s="1712"/>
      <c r="D97" s="1712"/>
      <c r="E97" s="1712"/>
      <c r="F97" s="1712"/>
      <c r="G97" s="2603"/>
      <c r="H97" s="2603"/>
      <c r="I97" s="2603"/>
      <c r="J97" s="2603"/>
      <c r="L97" s="29"/>
      <c r="N97" s="2603"/>
      <c r="O97" s="2603"/>
      <c r="P97" s="2603"/>
    </row>
    <row r="98" spans="2:16">
      <c r="C98" s="1712"/>
      <c r="D98" s="1712"/>
      <c r="E98" s="1712"/>
      <c r="F98" s="1712"/>
      <c r="G98" s="2603"/>
      <c r="H98" s="2603"/>
      <c r="I98" s="2603"/>
      <c r="J98" s="2603"/>
      <c r="L98" s="29"/>
      <c r="N98" s="2603"/>
      <c r="O98" s="2603"/>
      <c r="P98" s="2603"/>
    </row>
    <row r="99" spans="2:16">
      <c r="B99" s="29"/>
      <c r="C99" s="1712"/>
      <c r="D99" s="1712"/>
      <c r="E99" s="1712"/>
      <c r="F99" s="1712"/>
      <c r="G99" s="2603"/>
      <c r="H99" s="2603"/>
      <c r="I99" s="2603"/>
      <c r="J99" s="2603"/>
      <c r="L99" s="29"/>
      <c r="N99" s="2603"/>
      <c r="O99" s="2603"/>
      <c r="P99" s="2603"/>
    </row>
    <row r="100" spans="2:16">
      <c r="B100" s="29"/>
      <c r="C100" s="1712"/>
      <c r="D100" s="1712"/>
      <c r="F100" s="1712"/>
      <c r="G100" s="2603"/>
      <c r="H100" s="2603"/>
      <c r="I100" s="2603"/>
      <c r="J100" s="2603"/>
      <c r="L100" s="29"/>
      <c r="N100" s="2603"/>
      <c r="O100" s="2603"/>
      <c r="P100" s="2603"/>
    </row>
    <row r="101" spans="2:16">
      <c r="B101" s="29"/>
      <c r="C101" s="29"/>
      <c r="D101" s="29"/>
      <c r="G101" s="2603"/>
      <c r="H101" s="2603"/>
      <c r="I101" s="2603"/>
      <c r="J101" s="2603"/>
      <c r="L101" s="29"/>
      <c r="N101" s="2603"/>
      <c r="O101" s="2603"/>
      <c r="P101" s="2603"/>
    </row>
    <row r="102" spans="2:16">
      <c r="B102" s="29"/>
      <c r="C102" s="29"/>
      <c r="D102" s="29"/>
      <c r="G102" s="2603"/>
      <c r="H102" s="2603"/>
      <c r="I102" s="2603"/>
      <c r="J102" s="2603"/>
      <c r="L102" s="29"/>
      <c r="N102" s="2603"/>
      <c r="O102" s="2603"/>
      <c r="P102" s="2603"/>
    </row>
    <row r="103" spans="2:16">
      <c r="B103" s="29"/>
      <c r="C103" s="29"/>
      <c r="D103" s="29"/>
      <c r="G103" s="2603"/>
      <c r="H103" s="2603"/>
      <c r="I103" s="2603"/>
      <c r="J103" s="2603"/>
      <c r="L103" s="29"/>
      <c r="N103" s="2603"/>
      <c r="O103" s="2603"/>
      <c r="P103" s="2603"/>
    </row>
    <row r="104" spans="2:16">
      <c r="B104" s="29"/>
      <c r="C104" s="29"/>
      <c r="D104" s="29"/>
      <c r="G104" s="2603"/>
      <c r="H104" s="2603"/>
      <c r="I104" s="2603"/>
      <c r="J104" s="2603"/>
      <c r="L104" s="29"/>
      <c r="N104" s="2603"/>
      <c r="O104" s="2603"/>
      <c r="P104" s="2603"/>
    </row>
    <row r="105" spans="2:16">
      <c r="B105" s="29"/>
      <c r="C105" s="29"/>
      <c r="D105" s="29"/>
      <c r="G105" s="2603"/>
      <c r="H105" s="2603"/>
      <c r="I105" s="2603"/>
      <c r="J105" s="2603"/>
      <c r="L105" s="29"/>
      <c r="N105" s="2603"/>
      <c r="O105" s="2603"/>
      <c r="P105" s="2603"/>
    </row>
    <row r="106" spans="2:16">
      <c r="B106" s="29"/>
      <c r="C106" s="29"/>
      <c r="D106" s="29"/>
      <c r="G106" s="2603"/>
      <c r="H106" s="2603"/>
      <c r="I106" s="2603"/>
      <c r="J106" s="2603"/>
      <c r="L106" s="29"/>
      <c r="N106" s="2603"/>
      <c r="O106" s="2603"/>
      <c r="P106" s="2603"/>
    </row>
    <row r="107" spans="2:16">
      <c r="B107" s="29"/>
      <c r="C107" s="29"/>
      <c r="D107" s="29"/>
      <c r="G107" s="2603"/>
      <c r="H107" s="2603"/>
      <c r="I107" s="2603"/>
      <c r="J107" s="2603"/>
      <c r="L107" s="29"/>
      <c r="N107" s="2603"/>
      <c r="O107" s="2603"/>
      <c r="P107" s="2603"/>
    </row>
    <row r="108" spans="2:16">
      <c r="G108" s="2603"/>
      <c r="H108" s="2603"/>
      <c r="I108" s="2603"/>
      <c r="J108" s="2603"/>
      <c r="L108" s="29"/>
      <c r="N108" s="2603"/>
      <c r="O108" s="2603"/>
      <c r="P108" s="2603"/>
    </row>
    <row r="109" spans="2:16">
      <c r="G109" s="2603"/>
      <c r="H109" s="2603"/>
      <c r="I109" s="2603"/>
      <c r="J109" s="2603"/>
      <c r="L109" s="29"/>
      <c r="N109" s="2603"/>
      <c r="O109" s="2603"/>
      <c r="P109" s="2603"/>
    </row>
    <row r="110" spans="2:16">
      <c r="G110" s="2603"/>
      <c r="H110" s="2603"/>
      <c r="I110" s="2603"/>
      <c r="J110" s="2603"/>
      <c r="L110" s="29"/>
      <c r="N110" s="2603"/>
      <c r="O110" s="2603"/>
      <c r="P110" s="2603"/>
    </row>
    <row r="111" spans="2:16">
      <c r="G111" s="2603"/>
      <c r="H111" s="2603"/>
      <c r="I111" s="2603"/>
      <c r="J111" s="2603"/>
      <c r="L111" s="29"/>
      <c r="N111" s="2603"/>
      <c r="O111" s="2603"/>
      <c r="P111" s="2603"/>
    </row>
    <row r="112" spans="2:16">
      <c r="G112" s="2603"/>
      <c r="H112" s="2603"/>
      <c r="I112" s="2603"/>
      <c r="J112" s="2603"/>
      <c r="L112" s="29"/>
      <c r="N112" s="2603"/>
      <c r="O112" s="2603"/>
      <c r="P112" s="2603"/>
    </row>
    <row r="113" spans="2:16">
      <c r="G113" s="2603"/>
      <c r="H113" s="2603"/>
      <c r="I113" s="2603"/>
      <c r="J113" s="2603"/>
      <c r="L113" s="29"/>
      <c r="N113" s="2603"/>
      <c r="O113" s="2603"/>
      <c r="P113" s="2603"/>
    </row>
    <row r="114" spans="2:16">
      <c r="G114" s="2603"/>
      <c r="H114" s="2603"/>
      <c r="I114" s="2603"/>
      <c r="J114" s="2603"/>
      <c r="L114" s="29"/>
      <c r="N114" s="2603"/>
      <c r="O114" s="2603"/>
      <c r="P114" s="2603"/>
    </row>
    <row r="115" spans="2:16">
      <c r="G115" s="2603"/>
      <c r="H115" s="2603"/>
      <c r="I115" s="2603"/>
      <c r="J115" s="2603"/>
      <c r="L115" s="29"/>
      <c r="N115" s="2603"/>
      <c r="O115" s="2603"/>
      <c r="P115" s="2603"/>
    </row>
    <row r="116" spans="2:16">
      <c r="L116" s="29"/>
      <c r="N116" s="2603"/>
      <c r="O116" s="2603"/>
      <c r="P116" s="2603"/>
    </row>
    <row r="117" spans="2:16">
      <c r="L117" s="29"/>
      <c r="N117" s="2603"/>
      <c r="O117" s="2603"/>
      <c r="P117" s="2603"/>
    </row>
    <row r="118" spans="2:16">
      <c r="B118" s="440"/>
      <c r="C118" s="29"/>
      <c r="L118" s="29"/>
      <c r="N118" s="2603"/>
      <c r="O118" s="2603"/>
      <c r="P118" s="2603"/>
    </row>
    <row r="119" spans="2:16">
      <c r="B119" s="440"/>
      <c r="C119" s="29"/>
      <c r="L119" s="29"/>
      <c r="N119" s="2603"/>
      <c r="O119" s="2603"/>
      <c r="P119" s="2603"/>
    </row>
    <row r="120" spans="2:16">
      <c r="B120" s="440"/>
      <c r="C120" s="29"/>
      <c r="L120" s="29"/>
      <c r="N120" s="2603"/>
      <c r="O120" s="2603"/>
      <c r="P120" s="2603"/>
    </row>
    <row r="121" spans="2:16">
      <c r="B121" s="440"/>
      <c r="C121" s="29"/>
      <c r="L121" s="29"/>
      <c r="N121" s="2603"/>
      <c r="O121" s="2603"/>
      <c r="P121" s="2603"/>
    </row>
    <row r="122" spans="2:16">
      <c r="B122" s="440"/>
      <c r="C122" s="29"/>
      <c r="L122" s="29"/>
      <c r="N122" s="2603"/>
      <c r="O122" s="2603"/>
      <c r="P122" s="2603"/>
    </row>
    <row r="123" spans="2:16">
      <c r="B123" s="440"/>
      <c r="C123" s="29"/>
      <c r="L123" s="29"/>
      <c r="N123" s="2603"/>
      <c r="O123" s="2603"/>
      <c r="P123" s="2603"/>
    </row>
    <row r="124" spans="2:16">
      <c r="B124" s="440"/>
      <c r="C124" s="29"/>
      <c r="L124" s="29"/>
      <c r="N124" s="2603"/>
      <c r="O124" s="2603"/>
      <c r="P124" s="2603"/>
    </row>
    <row r="125" spans="2:16">
      <c r="B125" s="440"/>
      <c r="C125" s="29"/>
      <c r="L125" s="29"/>
      <c r="N125" s="2603"/>
      <c r="O125" s="2603"/>
      <c r="P125" s="2603"/>
    </row>
    <row r="126" spans="2:16">
      <c r="B126" s="440"/>
      <c r="C126" s="29"/>
      <c r="L126" s="29"/>
      <c r="N126" s="2603"/>
      <c r="O126" s="2603"/>
      <c r="P126" s="2603"/>
    </row>
    <row r="127" spans="2:16">
      <c r="B127" s="440"/>
      <c r="C127" s="29"/>
      <c r="L127" s="29"/>
      <c r="N127" s="2603"/>
      <c r="O127" s="2603"/>
      <c r="P127" s="2603"/>
    </row>
    <row r="128" spans="2:16">
      <c r="B128" s="440"/>
      <c r="C128" s="29"/>
      <c r="L128" s="29"/>
      <c r="N128" s="2603"/>
      <c r="O128" s="2603"/>
      <c r="P128" s="2603"/>
    </row>
    <row r="129" spans="2:17">
      <c r="B129" s="440"/>
      <c r="C129" s="29"/>
      <c r="L129" s="29"/>
      <c r="N129" s="2603"/>
      <c r="O129" s="2603"/>
      <c r="P129" s="2603"/>
    </row>
    <row r="130" spans="2:17">
      <c r="B130" s="440"/>
      <c r="C130" s="29"/>
      <c r="L130" s="29"/>
      <c r="N130" s="2603"/>
      <c r="O130" s="2603"/>
      <c r="P130" s="2603"/>
    </row>
    <row r="131" spans="2:17">
      <c r="B131" s="440"/>
      <c r="C131" s="29"/>
      <c r="L131" s="29"/>
      <c r="N131" s="2603"/>
      <c r="O131" s="2603"/>
      <c r="P131" s="2603"/>
    </row>
    <row r="132" spans="2:17">
      <c r="B132" s="440"/>
      <c r="C132" s="29"/>
      <c r="L132" s="29"/>
      <c r="N132" s="2603"/>
      <c r="O132" s="2603"/>
      <c r="P132" s="2603"/>
    </row>
    <row r="133" spans="2:17">
      <c r="B133" s="440"/>
      <c r="C133" s="29"/>
      <c r="L133" s="2603"/>
      <c r="M133" s="2603"/>
      <c r="N133" s="2603"/>
      <c r="O133" s="2603"/>
      <c r="P133" s="2603"/>
      <c r="Q133" s="2603"/>
    </row>
    <row r="134" spans="2:17">
      <c r="B134" s="440"/>
      <c r="C134" s="29"/>
      <c r="L134" s="2603"/>
      <c r="M134" s="2603"/>
      <c r="N134" s="2603"/>
      <c r="O134" s="2603"/>
      <c r="P134" s="2603"/>
      <c r="Q134" s="2603"/>
    </row>
    <row r="135" spans="2:17">
      <c r="B135" s="440"/>
      <c r="C135" s="29"/>
      <c r="L135" s="2603"/>
      <c r="M135" s="2603"/>
      <c r="N135" s="2603"/>
      <c r="O135" s="2603"/>
      <c r="P135" s="2603"/>
      <c r="Q135" s="2603"/>
    </row>
    <row r="136" spans="2:17">
      <c r="B136" s="440"/>
      <c r="C136" s="29"/>
      <c r="L136" s="2603"/>
      <c r="M136" s="2603"/>
      <c r="N136" s="2603"/>
      <c r="O136" s="2603"/>
      <c r="P136" s="2603"/>
      <c r="Q136" s="2603"/>
    </row>
    <row r="137" spans="2:17">
      <c r="B137" s="440"/>
      <c r="C137" s="29"/>
      <c r="L137" s="2603"/>
      <c r="M137" s="2603"/>
      <c r="N137" s="2603"/>
      <c r="O137" s="2603"/>
      <c r="P137" s="2603"/>
      <c r="Q137" s="2603"/>
    </row>
    <row r="138" spans="2:17">
      <c r="B138" s="440"/>
      <c r="C138" s="29"/>
      <c r="L138" s="2603"/>
      <c r="M138" s="2603"/>
      <c r="N138" s="2603"/>
      <c r="O138" s="2603"/>
      <c r="P138" s="2603"/>
      <c r="Q138" s="2603"/>
    </row>
    <row r="139" spans="2:17">
      <c r="B139" s="440"/>
      <c r="C139" s="29"/>
      <c r="L139" s="2603"/>
      <c r="M139" s="2603"/>
      <c r="N139" s="2603"/>
      <c r="O139" s="2603"/>
      <c r="P139" s="2603"/>
      <c r="Q139" s="2603"/>
    </row>
    <row r="140" spans="2:17">
      <c r="B140" s="440"/>
      <c r="C140" s="29"/>
      <c r="L140" s="29"/>
    </row>
    <row r="141" spans="2:17">
      <c r="B141" s="440"/>
      <c r="C141" s="29"/>
      <c r="L141" s="29"/>
    </row>
    <row r="142" spans="2:17">
      <c r="B142" s="440"/>
      <c r="C142" s="29"/>
      <c r="L142" s="29"/>
    </row>
    <row r="143" spans="2:17">
      <c r="B143" s="440"/>
      <c r="C143" s="29"/>
      <c r="L143" s="29"/>
    </row>
    <row r="144" spans="2:17">
      <c r="B144" s="440"/>
      <c r="C144" s="29"/>
      <c r="L144" s="29"/>
    </row>
    <row r="145" spans="2:12">
      <c r="B145" s="440"/>
      <c r="C145" s="29"/>
      <c r="L145" s="29"/>
    </row>
    <row r="146" spans="2:12">
      <c r="B146" s="440"/>
      <c r="C146" s="29"/>
      <c r="L146" s="29"/>
    </row>
    <row r="147" spans="2:12">
      <c r="B147" s="440"/>
      <c r="C147" s="29"/>
    </row>
    <row r="148" spans="2:12">
      <c r="B148" s="440"/>
      <c r="C148" s="29"/>
    </row>
    <row r="149" spans="2:12">
      <c r="B149" s="440"/>
      <c r="C149" s="29"/>
    </row>
    <row r="150" spans="2:12">
      <c r="B150" s="440"/>
      <c r="C150" s="29"/>
      <c r="H150" s="1354"/>
      <c r="J150" s="1563"/>
    </row>
    <row r="151" spans="2:12">
      <c r="B151" s="440"/>
      <c r="C151" s="29"/>
      <c r="H151" s="1354"/>
      <c r="J151" s="1563"/>
    </row>
    <row r="152" spans="2:12">
      <c r="B152" s="440"/>
      <c r="C152" s="29"/>
      <c r="H152" s="1354"/>
      <c r="J152" s="1563"/>
    </row>
    <row r="153" spans="2:12">
      <c r="B153" s="440"/>
      <c r="C153" s="29"/>
      <c r="H153" s="1354"/>
      <c r="J153" s="1563"/>
    </row>
    <row r="154" spans="2:12">
      <c r="B154" s="440"/>
      <c r="C154" s="29"/>
      <c r="D154" s="29"/>
      <c r="F154" s="29"/>
      <c r="G154" s="29"/>
      <c r="H154" s="29"/>
      <c r="I154" s="29"/>
      <c r="J154" s="29"/>
      <c r="K154" s="29"/>
    </row>
    <row r="155" spans="2:12">
      <c r="B155" s="440"/>
      <c r="C155" s="29"/>
      <c r="D155" s="29"/>
      <c r="F155" s="29"/>
      <c r="G155" s="29"/>
      <c r="H155" s="29"/>
      <c r="I155" s="29"/>
      <c r="J155" s="29"/>
      <c r="K155" s="29"/>
    </row>
    <row r="156" spans="2:12">
      <c r="B156" s="440"/>
      <c r="C156" s="29"/>
      <c r="D156" s="29"/>
      <c r="F156" s="29"/>
      <c r="G156" s="29"/>
      <c r="H156" s="29"/>
      <c r="I156" s="29"/>
      <c r="J156" s="29"/>
      <c r="K156" s="29"/>
    </row>
    <row r="157" spans="2:12">
      <c r="B157" s="440"/>
      <c r="C157" s="29"/>
    </row>
    <row r="158" spans="2:12">
      <c r="B158" s="440"/>
      <c r="C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electLockedCells="1"/>
  <customSheetViews>
    <customSheetView guid="{8063F48F-80B5-4ECD-B18A-51CBF126E780}" fitToPage="1" hiddenRows="1" hiddenColumns="1" state="hidden">
      <pageMargins left="0.59055118110236227" right="0.57999999999999996" top="0.59055118110236227" bottom="0.59055118110236227" header="0.39370078740157483" footer="0.39370078740157483"/>
      <printOptions horizontalCentered="1"/>
      <pageSetup paperSize="9" scale="70" firstPageNumber="30" orientation="portrait" r:id="rId1"/>
      <headerFooter alignWithMargins="0">
        <oddFooter>&amp;L&amp;11LEL Schwäbisch Gmünd&amp;C26&amp;R&amp;11&amp;F</oddFooter>
      </headerFooter>
    </customSheetView>
    <customSheetView guid="{5D5C9B61-9ABD-4513-AAEB-8333A9D6196C}" fitToPage="1" hiddenRows="1" hiddenColumns="1" state="hidden">
      <pageMargins left="0.59055118110236227" right="0.57999999999999996" top="0.59055118110236227" bottom="0.59055118110236227" header="0.39370078740157483" footer="0.39370078740157483"/>
      <printOptions horizontalCentered="1"/>
      <pageSetup paperSize="9" scale="70" firstPageNumber="30" orientation="portrait" r:id="rId2"/>
      <headerFooter alignWithMargins="0">
        <oddFooter>&amp;L&amp;11LEL Schwäbisch Gmünd&amp;C26&amp;R&amp;11&amp;F</oddFooter>
      </headerFooter>
    </customSheetView>
    <customSheetView guid="{22A73C4F-9004-4CEF-8499-B1F91BE1B569}" fitToPage="1" hiddenRows="1" hiddenColumns="1" state="hidden">
      <pageMargins left="0.59055118110236227" right="0.57999999999999996" top="0.59055118110236227" bottom="0.59055118110236227" header="0.39370078740157483" footer="0.39370078740157483"/>
      <printOptions horizontalCentered="1"/>
      <pageSetup paperSize="9" scale="70" firstPageNumber="30" orientation="portrait" r:id="rId3"/>
      <headerFooter alignWithMargins="0">
        <oddFooter>&amp;L&amp;11LEL Schwäbisch Gmünd&amp;C26&amp;R&amp;11&amp;F</oddFooter>
      </headerFooter>
    </customSheetView>
  </customSheetViews>
  <mergeCells count="52">
    <mergeCell ref="C20:F20"/>
    <mergeCell ref="C21:F21"/>
    <mergeCell ref="C78:F78"/>
    <mergeCell ref="C79:F79"/>
    <mergeCell ref="C15:F15"/>
    <mergeCell ref="C36:E36"/>
    <mergeCell ref="C16:F16"/>
    <mergeCell ref="C17:F17"/>
    <mergeCell ref="C19:F19"/>
    <mergeCell ref="F23:G23"/>
    <mergeCell ref="C74:E74"/>
    <mergeCell ref="B75:C75"/>
    <mergeCell ref="D25:E25"/>
    <mergeCell ref="D26:E26"/>
    <mergeCell ref="F34:G34"/>
    <mergeCell ref="C42:E42"/>
    <mergeCell ref="N1:O1"/>
    <mergeCell ref="K2:P2"/>
    <mergeCell ref="J3:L3"/>
    <mergeCell ref="C14:F14"/>
    <mergeCell ref="N3:O4"/>
    <mergeCell ref="E4:I4"/>
    <mergeCell ref="J4:L4"/>
    <mergeCell ref="G1:I1"/>
    <mergeCell ref="H6:I6"/>
    <mergeCell ref="K6:L6"/>
    <mergeCell ref="K1:L1"/>
    <mergeCell ref="N6:O6"/>
    <mergeCell ref="E10:F10"/>
    <mergeCell ref="C37:E37"/>
    <mergeCell ref="C41:E41"/>
    <mergeCell ref="C38:E38"/>
    <mergeCell ref="C39:E39"/>
    <mergeCell ref="E22:G22"/>
    <mergeCell ref="C40:E40"/>
    <mergeCell ref="C55:D55"/>
    <mergeCell ref="C63:E63"/>
    <mergeCell ref="C68:E68"/>
    <mergeCell ref="C73:E73"/>
    <mergeCell ref="C52:D52"/>
    <mergeCell ref="C56:D56"/>
    <mergeCell ref="C64:E64"/>
    <mergeCell ref="C62:E62"/>
    <mergeCell ref="C57:D57"/>
    <mergeCell ref="C46:D46"/>
    <mergeCell ref="C50:D50"/>
    <mergeCell ref="C48:D48"/>
    <mergeCell ref="C49:D49"/>
    <mergeCell ref="C54:D54"/>
    <mergeCell ref="C53:D53"/>
    <mergeCell ref="C51:D51"/>
    <mergeCell ref="C47:D47"/>
  </mergeCells>
  <dataValidations count="5">
    <dataValidation type="decimal" allowBlank="1" showInputMessage="1" showErrorMessage="1" errorTitle="Wassergehalt Getreide" error="Zulässig sind nur Werte zwischen 14,1 und 22,0 % Wassergehalt." sqref="H68 K68 N68" xr:uid="{00000000-0002-0000-4200-000000000000}">
      <formula1>14.1</formula1>
      <formula2>22</formula2>
    </dataValidation>
    <dataValidation type="whole" allowBlank="1" showInputMessage="1" showErrorMessage="1" errorTitle="Anteil Erntegut" error="Prozentwert darf nur zwischen 0 und 100 liegen." sqref="O68 L68 I68" xr:uid="{00000000-0002-0000-4200-000001000000}">
      <formula1>0</formula1>
      <formula2>100</formula2>
    </dataValidation>
    <dataValidation type="list" showInputMessage="1" showErrorMessage="1" sqref="H14 K14 N14" xr:uid="{00000000-0002-0000-4200-000002000000}">
      <formula1>"ja,nein"</formula1>
    </dataValidation>
    <dataValidation type="list" allowBlank="1" showInputMessage="1" showErrorMessage="1" sqref="H15:H17 K15:K17 N15:N17" xr:uid="{00000000-0002-0000-4200-000003000000}">
      <formula1>"ja,nein"</formula1>
    </dataValidation>
    <dataValidation type="list" allowBlank="1" showInputMessage="1" showErrorMessage="1" sqref="D19:F19" xr:uid="{00000000-0002-0000-4200-000004000000}">
      <formula1>$C$60:$C$75</formula1>
    </dataValidation>
  </dataValidations>
  <hyperlinks>
    <hyperlink ref="F9" location="SDÖ1!A1" display="Preis ändern" xr:uid="{00000000-0004-0000-4200-000000000000}"/>
  </hyperlinks>
  <printOptions horizontalCentered="1"/>
  <pageMargins left="0.59055118110236227" right="0.57999999999999996" top="0.59055118110236227" bottom="0.59055118110236227" header="0.39370078740157483" footer="0.39370078740157483"/>
  <pageSetup paperSize="9" scale="70" firstPageNumber="30" orientation="portrait" r:id="rId4"/>
  <headerFooter alignWithMargins="0">
    <oddFooter>&amp;L&amp;11LEL Schwäbisch Gmünd&amp;C26&amp;R&amp;11&amp;F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72719" r:id="rId7" name="Check Box 15">
              <controlPr defaultSize="0" autoFill="0" autoLine="0" autoPict="0">
                <anchor moveWithCells="1">
                  <from>
                    <xdr:col>12</xdr:col>
                    <xdr:colOff>106680</xdr:colOff>
                    <xdr:row>2</xdr:row>
                    <xdr:rowOff>251460</xdr:rowOff>
                  </from>
                  <to>
                    <xdr:col>12</xdr:col>
                    <xdr:colOff>373380</xdr:colOff>
                    <xdr:row>3</xdr:row>
                    <xdr:rowOff>198120</xdr:rowOff>
                  </to>
                </anchor>
              </controlPr>
            </control>
          </mc:Choice>
        </mc:AlternateContent>
        <mc:AlternateContent xmlns:mc="http://schemas.openxmlformats.org/markup-compatibility/2006">
          <mc:Choice Requires="x14">
            <control shapeId="72720" r:id="rId8" name="Check Box 16">
              <controlPr defaultSize="0" autoFill="0" autoLine="0" autoPict="0">
                <anchor moveWithCells="1">
                  <from>
                    <xdr:col>12</xdr:col>
                    <xdr:colOff>99060</xdr:colOff>
                    <xdr:row>2</xdr:row>
                    <xdr:rowOff>38100</xdr:rowOff>
                  </from>
                  <to>
                    <xdr:col>12</xdr:col>
                    <xdr:colOff>381000</xdr:colOff>
                    <xdr:row>3</xdr:row>
                    <xdr:rowOff>7620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200-000005000000}">
          <x14:formula1>
            <xm:f>'SD2'!$C$11:$C$50</xm:f>
          </x14:formula1>
          <xm:sqref>C14:F17</xm:sqref>
        </x14:dataValidation>
        <x14:dataValidation type="list" allowBlank="1" showInputMessage="1" showErrorMessage="1" xr:uid="{00000000-0002-0000-4200-000006000000}">
          <x14:formula1>
            <xm:f>'SD2'!$C$60:$C$77</xm:f>
          </x14:formula1>
          <xm:sqref>C19:C21</xm:sqref>
        </x14:dataValidation>
        <x14:dataValidation type="list" allowBlank="1" showInputMessage="1" showErrorMessage="1" xr:uid="{00000000-0002-0000-4200-000007000000}">
          <x14:formula1>
            <xm:f>SDÖ5!$C$7:$C$16</xm:f>
          </x14:formula1>
          <xm:sqref>C36:E42</xm:sqref>
        </x14:dataValidation>
        <x14:dataValidation type="list" allowBlank="1" showInputMessage="1" showErrorMessage="1" errorTitle="Arbeitsgänge" error="Bitte aus Dropdownliste auswählen." xr:uid="{00000000-0002-0000-4200-000008000000}">
          <x14:formula1>
            <xm:f>'SD3'!$C$23:$C$75</xm:f>
          </x14:formula1>
          <xm:sqref>C46:D57</xm:sqref>
        </x14:dataValidation>
        <x14:dataValidation type="list" allowBlank="1" showInputMessage="1" showErrorMessage="1" errorTitle="Lohnmaschinen" error="Bitte aus Dropdownliste auswählen." xr:uid="{00000000-0002-0000-4200-000009000000}">
          <x14:formula1>
            <xm:f>'SD3'!$C$90:$C$104</xm:f>
          </x14:formula1>
          <xm:sqref>C62:E64</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Tabelle92">
    <tabColor rgb="FFFF0000"/>
    <pageSetUpPr fitToPage="1"/>
  </sheetPr>
  <dimension ref="A1:AO206"/>
  <sheetViews>
    <sheetView workbookViewId="0"/>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6" width="7.19921875" style="28" customWidth="1"/>
    <col min="17" max="17" width="25.59765625" style="28" customWidth="1"/>
    <col min="18" max="24" width="10.5" style="27" hidden="1" customWidth="1"/>
    <col min="25" max="28" width="10.5" style="27" customWidth="1"/>
    <col min="29" max="16384" width="10.5" style="27"/>
  </cols>
  <sheetData>
    <row r="1" spans="1:41" s="219" customFormat="1" ht="30.15" customHeight="1">
      <c r="A1" s="1681"/>
      <c r="B1" s="258"/>
      <c r="C1" s="1333"/>
      <c r="D1" s="100"/>
      <c r="E1" s="255"/>
      <c r="F1" s="255"/>
      <c r="G1" s="4477" t="s">
        <v>1136</v>
      </c>
      <c r="H1" s="4477"/>
      <c r="I1" s="4477"/>
      <c r="J1" s="1332" t="e">
        <f>(J7+J13+J18+J22+I11+I12)-(J23+J27+J34+J43+J60+J65+J67+J69+J71+J75)</f>
        <v>#N/A</v>
      </c>
      <c r="K1" s="4476" t="e">
        <f>M1-J1</f>
        <v>#N/A</v>
      </c>
      <c r="L1" s="4476"/>
      <c r="M1" s="1332" t="e">
        <f>(M7+M13+M18+M22+L11+L12)-(M23+M27+M34+M43+M60+M65+M67+M69+M71+M75)</f>
        <v>#N/A</v>
      </c>
      <c r="N1" s="4476" t="e">
        <f>P1-M1</f>
        <v>#N/A</v>
      </c>
      <c r="O1" s="4476"/>
      <c r="P1" s="1332" t="e">
        <f>(P7+P13+P18+P22+O11+O12)-(P23+P27+P34+P43+P60+P65+P67+P69+P71+P75)</f>
        <v>#N/A</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1398</v>
      </c>
      <c r="L2" s="4372"/>
      <c r="M2" s="4372"/>
      <c r="N2" s="4372"/>
      <c r="O2" s="4372"/>
      <c r="P2" s="4372"/>
      <c r="Q2" s="1681"/>
    </row>
    <row r="3" spans="1:41" s="219" customFormat="1" ht="21.75" customHeight="1">
      <c r="A3" s="1681"/>
      <c r="B3" s="1329" t="s">
        <v>1135</v>
      </c>
      <c r="G3" s="1317"/>
      <c r="H3" s="1328"/>
      <c r="J3" s="29"/>
      <c r="K3" s="29"/>
      <c r="L3" s="29"/>
      <c r="M3" s="29"/>
      <c r="N3" s="29"/>
      <c r="O3" s="29"/>
      <c r="P3" s="1326"/>
      <c r="Q3" s="1681"/>
      <c r="T3" s="1343" t="b">
        <v>1</v>
      </c>
    </row>
    <row r="4" spans="1:41" s="219" customFormat="1" ht="20.25" customHeight="1">
      <c r="A4" s="1681"/>
      <c r="B4" s="309" t="s">
        <v>779</v>
      </c>
      <c r="C4" s="27"/>
      <c r="D4" s="27"/>
      <c r="E4" s="4406" t="s">
        <v>1147</v>
      </c>
      <c r="F4" s="4406"/>
      <c r="G4" s="4406"/>
      <c r="H4" s="4406"/>
      <c r="I4" s="4406"/>
      <c r="J4" s="29"/>
      <c r="K4" s="29"/>
      <c r="L4" s="29"/>
      <c r="M4" s="29"/>
      <c r="N4" s="29"/>
      <c r="O4" s="29"/>
      <c r="P4" s="1322">
        <f>SDÖ1!O3</f>
        <v>2024</v>
      </c>
      <c r="Q4" s="1681"/>
      <c r="T4" s="1343" t="b">
        <v>1</v>
      </c>
    </row>
    <row r="5" spans="1:41" ht="6" customHeight="1"/>
    <row r="6" spans="1:41" s="1311" customFormat="1" ht="24" customHeight="1">
      <c r="A6" s="41"/>
      <c r="B6" s="1316" t="s">
        <v>832</v>
      </c>
      <c r="C6" s="1315"/>
      <c r="D6" s="1315"/>
      <c r="E6" s="1315"/>
      <c r="F6" s="1315"/>
      <c r="G6" s="1314" t="s">
        <v>1141</v>
      </c>
      <c r="H6" s="4366"/>
      <c r="I6" s="4367"/>
      <c r="J6" s="1313">
        <v>20</v>
      </c>
      <c r="K6" s="4379"/>
      <c r="L6" s="4380"/>
      <c r="M6" s="1313">
        <v>30</v>
      </c>
      <c r="N6" s="4366"/>
      <c r="O6" s="4367"/>
      <c r="P6" s="1312">
        <v>40</v>
      </c>
      <c r="Q6" s="49"/>
    </row>
    <row r="7" spans="1:41" s="196" customFormat="1" ht="18.75" customHeight="1">
      <c r="A7" s="40"/>
      <c r="B7" s="245" t="s">
        <v>1133</v>
      </c>
      <c r="C7" s="40"/>
      <c r="D7" s="40"/>
      <c r="E7" s="40"/>
      <c r="F7" s="40"/>
      <c r="G7" s="1310" t="s">
        <v>163</v>
      </c>
      <c r="H7" s="1307"/>
      <c r="I7" s="1306"/>
      <c r="J7" s="1041">
        <f>SUM(I9:I10)</f>
        <v>0</v>
      </c>
      <c r="K7" s="1309"/>
      <c r="L7" s="1308"/>
      <c r="M7" s="1044">
        <f>SUM(L9:L10)</f>
        <v>0</v>
      </c>
      <c r="N7" s="1307"/>
      <c r="O7" s="1306"/>
      <c r="P7" s="1041">
        <f>SUM(O9:O10)</f>
        <v>0</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t="s">
        <v>882</v>
      </c>
      <c r="G9" s="1221">
        <f>SDÖ1!O45</f>
        <v>0</v>
      </c>
      <c r="H9" s="1303">
        <f>J6-H10</f>
        <v>20</v>
      </c>
      <c r="I9" s="1299">
        <f>H9*G9</f>
        <v>0</v>
      </c>
      <c r="J9" s="37"/>
      <c r="K9" s="1302">
        <f>M6-K10</f>
        <v>30</v>
      </c>
      <c r="L9" s="1301">
        <f>K9*G9</f>
        <v>0</v>
      </c>
      <c r="M9" s="1280"/>
      <c r="N9" s="1300">
        <f>P6-N10</f>
        <v>40</v>
      </c>
      <c r="O9" s="1299">
        <f>N9*G9</f>
        <v>0</v>
      </c>
      <c r="P9" s="37"/>
      <c r="Q9" s="28"/>
      <c r="R9" s="517"/>
      <c r="S9" s="208" t="s">
        <v>887</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309"/>
      <c r="B11" s="217"/>
      <c r="C11" s="39" t="s">
        <v>878</v>
      </c>
      <c r="D11" s="309"/>
      <c r="E11" s="1286"/>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37"/>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f>IF(OR(T3=TRUE,T4=TRUE),J6*$E$11,"0")</f>
        <v>0</v>
      </c>
      <c r="Y12" s="1265">
        <f>IF(OR(T3=TRUE,T4=TRUE),M6*$E$11,"0")</f>
        <v>0</v>
      </c>
      <c r="Z12" s="1264">
        <f>IF(OR(T3=TRUE,T4=TRUE),P6*$E$11,"0")</f>
        <v>0</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X13" s="1264">
        <f>IF(OR(T4=TRUE,T5=TRUE),J7*$E$11,"0")</f>
        <v>0</v>
      </c>
      <c r="Y13" s="1265">
        <f>IF(OR(T4=TRUE,T5=TRUE),M7*$E$11,"0")</f>
        <v>0</v>
      </c>
      <c r="Z13" s="1264">
        <f>IF(OR(T4=TRUE,T5=TRUE),P7*$E$11,"0")</f>
        <v>0</v>
      </c>
    </row>
    <row r="14" spans="1:41" s="36" customFormat="1" ht="15" customHeight="1">
      <c r="A14" s="39"/>
      <c r="B14" s="1247"/>
      <c r="C14" s="4365" t="s">
        <v>1511</v>
      </c>
      <c r="D14" s="4365"/>
      <c r="E14" s="4365"/>
      <c r="F14" s="4365"/>
      <c r="G14" s="1263"/>
      <c r="H14" s="1391" t="s">
        <v>919</v>
      </c>
      <c r="I14" s="1243">
        <f>IF(H14="ja",Q14,0)</f>
        <v>240</v>
      </c>
      <c r="J14" s="39"/>
      <c r="K14" s="1262" t="s">
        <v>919</v>
      </c>
      <c r="L14" s="1098">
        <f>IF(K14="ja",Q14,0)</f>
        <v>240</v>
      </c>
      <c r="M14" s="1016"/>
      <c r="N14" s="1262" t="s">
        <v>919</v>
      </c>
      <c r="O14" s="1243">
        <f>IF(N14="ja",Q14,0)</f>
        <v>240</v>
      </c>
      <c r="P14" s="1013"/>
      <c r="Q14" s="1261">
        <f>IF(C14=0,0,VLOOKUP(C14,'SD2'!$C$11:$O$50,'SD2'!$O$1,FALSE))</f>
        <v>240</v>
      </c>
      <c r="R14" s="1350"/>
      <c r="S14" s="1349"/>
      <c r="T14" s="1348"/>
      <c r="W14" s="36" t="s">
        <v>236</v>
      </c>
      <c r="X14" s="1260">
        <f>$X$12*F31</f>
        <v>0</v>
      </c>
      <c r="Y14" s="1260">
        <f>$Y$12*F31</f>
        <v>0</v>
      </c>
      <c r="Z14" s="1260">
        <f>$Z$12*F31</f>
        <v>0</v>
      </c>
    </row>
    <row r="15" spans="1:41" s="36" customFormat="1" ht="15" customHeight="1">
      <c r="A15" s="39"/>
      <c r="B15" s="1247"/>
      <c r="C15" s="4365"/>
      <c r="D15" s="4365"/>
      <c r="E15" s="4365"/>
      <c r="F15" s="4365"/>
      <c r="G15" s="1263"/>
      <c r="H15" s="1262" t="s">
        <v>871</v>
      </c>
      <c r="I15" s="1243">
        <f>IF(H15="ja",Q15,0)</f>
        <v>0</v>
      </c>
      <c r="J15" s="39"/>
      <c r="K15" s="1262" t="s">
        <v>871</v>
      </c>
      <c r="L15" s="1098">
        <f>IF(K15="ja",Q15,0)</f>
        <v>0</v>
      </c>
      <c r="M15" s="1016"/>
      <c r="N15" s="1262" t="s">
        <v>871</v>
      </c>
      <c r="O15" s="1243">
        <f>IF(N15="ja",Q15,0)</f>
        <v>0</v>
      </c>
      <c r="P15" s="1013"/>
      <c r="Q15" s="1261">
        <f>IF(C15=0,0,VLOOKUP(C15,'SD2'!$C$11:$O$50,'SD2'!$O$1,FALSE))</f>
        <v>0</v>
      </c>
      <c r="R15" s="1347"/>
      <c r="S15" s="1343"/>
      <c r="T15" s="1346"/>
      <c r="W15" s="36" t="s">
        <v>685</v>
      </c>
      <c r="X15" s="1260">
        <f>$X$12*F32</f>
        <v>0</v>
      </c>
      <c r="Y15" s="1260">
        <f>$Y$12*F32</f>
        <v>0</v>
      </c>
      <c r="Z15" s="1260">
        <f>$Z$12*F32</f>
        <v>0</v>
      </c>
    </row>
    <row r="16" spans="1:41" s="36" customFormat="1" ht="15" customHeight="1">
      <c r="A16" s="39"/>
      <c r="B16" s="1247"/>
      <c r="C16" s="4365"/>
      <c r="D16" s="4365"/>
      <c r="E16" s="4365"/>
      <c r="F16" s="4365"/>
      <c r="G16" s="1263"/>
      <c r="H16" s="1262" t="s">
        <v>871</v>
      </c>
      <c r="I16" s="1243">
        <f>IF(H16="ja",Q16,0)</f>
        <v>0</v>
      </c>
      <c r="J16" s="39"/>
      <c r="K16" s="1262" t="s">
        <v>871</v>
      </c>
      <c r="L16" s="1098">
        <f>IF(K16="ja",Q16,0)</f>
        <v>0</v>
      </c>
      <c r="M16" s="1016"/>
      <c r="N16" s="1262" t="s">
        <v>871</v>
      </c>
      <c r="O16" s="1243">
        <f>IF(N16="ja",Q16,0)</f>
        <v>0</v>
      </c>
      <c r="P16" s="1013"/>
      <c r="Q16" s="1261">
        <f>IF(C16=0,0,VLOOKUP(C16,'SD2'!$C$11:$O$50,'SD2'!$O$1,FALSE))</f>
        <v>0</v>
      </c>
      <c r="R16" s="1347"/>
      <c r="S16" s="1343"/>
      <c r="T16" s="1346"/>
      <c r="W16" s="36" t="s">
        <v>684</v>
      </c>
      <c r="X16" s="1260">
        <f>$X$12*F33</f>
        <v>0</v>
      </c>
      <c r="Y16" s="1260">
        <f>$Y$12*F33</f>
        <v>0</v>
      </c>
      <c r="Z16" s="1260">
        <f>$Z$12*F33</f>
        <v>0</v>
      </c>
    </row>
    <row r="17" spans="1:26" s="511" customFormat="1" ht="15" customHeight="1">
      <c r="A17" s="40"/>
      <c r="B17" s="1247"/>
      <c r="C17" s="4365"/>
      <c r="D17" s="4365"/>
      <c r="E17" s="4365"/>
      <c r="F17" s="4365"/>
      <c r="G17" s="1263"/>
      <c r="H17" s="1262" t="s">
        <v>871</v>
      </c>
      <c r="I17" s="1243">
        <f>IF(H17="ja",Q17,0)</f>
        <v>0</v>
      </c>
      <c r="J17" s="39"/>
      <c r="K17" s="1262" t="s">
        <v>871</v>
      </c>
      <c r="L17" s="1098">
        <f>IF(K17="ja",Q17,0)</f>
        <v>0</v>
      </c>
      <c r="M17" s="1016"/>
      <c r="N17" s="1262" t="s">
        <v>871</v>
      </c>
      <c r="O17" s="1243">
        <f>IF(N17="ja",Q17,0)</f>
        <v>0</v>
      </c>
      <c r="P17" s="1013"/>
      <c r="Q17" s="1261">
        <f>IF(C17=0,0,VLOOKUP(C17,'SD2'!$C$11:$O$50,'SD2'!$O$1,FALSE))</f>
        <v>0</v>
      </c>
      <c r="W17" s="36" t="s">
        <v>230</v>
      </c>
      <c r="X17" s="1260">
        <f>$X$12*F34</f>
        <v>0</v>
      </c>
      <c r="Y17" s="1260">
        <f>$Y$12*F34</f>
        <v>0</v>
      </c>
      <c r="Z17" s="1260">
        <f>$Z$12*F34</f>
        <v>0</v>
      </c>
    </row>
    <row r="18" spans="1:26" s="36" customFormat="1" ht="18.75" customHeight="1">
      <c r="A18" s="39"/>
      <c r="B18" s="209" t="s">
        <v>1563</v>
      </c>
      <c r="C18" s="1672"/>
      <c r="D18" s="1672"/>
      <c r="E18" s="1672"/>
      <c r="F18" s="1672"/>
      <c r="G18" s="2464"/>
      <c r="H18" s="2249"/>
      <c r="I18" s="2465"/>
      <c r="J18" s="1041" t="e">
        <f>SUM(I19:I21)</f>
        <v>#N/A</v>
      </c>
      <c r="K18" s="2250"/>
      <c r="L18" s="2466"/>
      <c r="M18" s="1044" t="e">
        <f>SUM(L19:L21)</f>
        <v>#N/A</v>
      </c>
      <c r="N18" s="2249"/>
      <c r="O18" s="2465"/>
      <c r="P18" s="1041" t="e">
        <f>SUM(O19:O21)</f>
        <v>#N/A</v>
      </c>
      <c r="Q18" s="28"/>
      <c r="R18" s="514" t="s">
        <v>870</v>
      </c>
      <c r="S18" s="308"/>
      <c r="T18" s="1248"/>
    </row>
    <row r="19" spans="1:26" ht="15.6" customHeight="1">
      <c r="A19" s="309"/>
      <c r="B19" s="1247"/>
      <c r="C19" s="4365" t="s">
        <v>1560</v>
      </c>
      <c r="D19" s="4365"/>
      <c r="E19" s="4365"/>
      <c r="F19" s="4365"/>
      <c r="G19" s="2914" t="s">
        <v>163</v>
      </c>
      <c r="H19" s="1244"/>
      <c r="I19" s="2839">
        <f>IF(OR($C19=0,$J$6=0),0,VLOOKUP($C19,'SD2'!C60:O78,12,FALSE))</f>
        <v>155</v>
      </c>
      <c r="J19" s="39">
        <f>SUM(I23:I24)</f>
        <v>0</v>
      </c>
      <c r="K19" s="1245"/>
      <c r="L19" s="1098">
        <f>IF(OR($C19=0,$M$6=0),0,VLOOKUP($C19,'SD2'!$C$60:$N$77,12,FALSE))</f>
        <v>155</v>
      </c>
      <c r="M19" s="1016">
        <f>SUM(L23:L24)</f>
        <v>0</v>
      </c>
      <c r="N19" s="1244"/>
      <c r="O19" s="1243">
        <f>IF(OR($C19=0,$P$6=0),0,VLOOKUP($C19,'SD2'!C60:O78,12,FALSE))</f>
        <v>155</v>
      </c>
      <c r="P19" s="1013">
        <f>SUM(O23:O24)</f>
        <v>0</v>
      </c>
      <c r="R19" s="1242" t="e">
        <f>J13+J18</f>
        <v>#N/A</v>
      </c>
      <c r="S19" s="1242" t="e">
        <f>M13+M18</f>
        <v>#N/A</v>
      </c>
      <c r="T19" s="1242" t="e">
        <f>P13+P18</f>
        <v>#N/A</v>
      </c>
    </row>
    <row r="20" spans="1:26" s="2894" customFormat="1" ht="15.6" customHeight="1">
      <c r="A20" s="2788"/>
      <c r="B20" s="1247"/>
      <c r="C20" s="4365" t="s">
        <v>1566</v>
      </c>
      <c r="D20" s="4365"/>
      <c r="E20" s="4365"/>
      <c r="F20" s="4365"/>
      <c r="G20" s="2914"/>
      <c r="H20" s="1244"/>
      <c r="I20" s="2839" t="e">
        <f>IF(OR($C20=0,$J$6=0),0,VLOOKUP($C20,'SD2'!C61:O79,12,FALSE))</f>
        <v>#N/A</v>
      </c>
      <c r="J20" s="2783"/>
      <c r="K20" s="1245"/>
      <c r="L20" s="2829" t="e">
        <f>IF(OR($C20=0,$M$6=0),0,VLOOKUP($C20,'SD2'!$C$60:$N$77,12,FALSE))</f>
        <v>#N/A</v>
      </c>
      <c r="M20" s="2795"/>
      <c r="N20" s="1244"/>
      <c r="O20" s="2839" t="e">
        <f>IF(OR($C20=0,$P$6=0),0,VLOOKUP($C20,'SD2'!C61:O79,12,FALSE))</f>
        <v>#N/A</v>
      </c>
      <c r="P20" s="1013"/>
      <c r="Q20" s="2895"/>
      <c r="R20" s="2888"/>
      <c r="S20" s="2888"/>
      <c r="T20" s="2888"/>
    </row>
    <row r="21" spans="1:26" s="2894" customFormat="1" ht="15.6" customHeight="1">
      <c r="A21" s="2788"/>
      <c r="B21" s="1247"/>
      <c r="C21" s="4365" t="s">
        <v>1567</v>
      </c>
      <c r="D21" s="4365"/>
      <c r="E21" s="4365"/>
      <c r="F21" s="4365"/>
      <c r="G21" s="2914"/>
      <c r="H21" s="1244"/>
      <c r="I21" s="2839" t="e">
        <f>IF(OR($C21=0,$J$6=0),0,VLOOKUP($C21,'SD2'!C62:O79,12,FALSE))</f>
        <v>#N/A</v>
      </c>
      <c r="J21" s="2783"/>
      <c r="K21" s="1245"/>
      <c r="L21" s="2829" t="e">
        <f>IF(OR($C21=0,$M$6=0),0,VLOOKUP($C21,'SD2'!$C$60:$N$77,12,FALSE))</f>
        <v>#N/A</v>
      </c>
      <c r="M21" s="2795"/>
      <c r="N21" s="1244"/>
      <c r="O21" s="2839" t="e">
        <f>IF(OR($C21=0,$P$6=0),0,VLOOKUP($C21,'SD2'!C62:O79,12,FALSE))</f>
        <v>#N/A</v>
      </c>
      <c r="P21" s="1013"/>
      <c r="Q21" s="2895"/>
      <c r="R21" s="2888"/>
      <c r="S21" s="2888"/>
      <c r="T21" s="2888"/>
    </row>
    <row r="22" spans="1:26" ht="15.6" customHeight="1">
      <c r="A22" s="309"/>
      <c r="B22" s="245" t="s">
        <v>869</v>
      </c>
      <c r="C22" s="39"/>
      <c r="D22" s="1234"/>
      <c r="E22" s="4370" t="s">
        <v>868</v>
      </c>
      <c r="F22" s="4370"/>
      <c r="G22" s="4371"/>
      <c r="H22" s="1231"/>
      <c r="I22" s="1230"/>
      <c r="J22" s="1229"/>
      <c r="K22" s="1233"/>
      <c r="L22" s="1232"/>
      <c r="M22" s="1229"/>
      <c r="N22" s="1231"/>
      <c r="O22" s="1230"/>
      <c r="P22" s="1229"/>
    </row>
    <row r="23" spans="1:26" s="36" customFormat="1" ht="18.75" customHeight="1">
      <c r="A23" s="746"/>
      <c r="B23" s="209" t="s">
        <v>214</v>
      </c>
      <c r="C23" s="1228"/>
      <c r="D23" s="1228"/>
      <c r="E23" s="34"/>
      <c r="F23" s="4381"/>
      <c r="G23" s="4382" t="s">
        <v>163</v>
      </c>
      <c r="H23" s="1043"/>
      <c r="I23" s="1042"/>
      <c r="J23" s="1026">
        <f>SUM(I25:I26)</f>
        <v>225</v>
      </c>
      <c r="K23" s="1046"/>
      <c r="L23" s="1045"/>
      <c r="M23" s="1227">
        <f>SUM(L25:L26)</f>
        <v>225</v>
      </c>
      <c r="N23" s="1043"/>
      <c r="O23" s="1042"/>
      <c r="P23" s="1026">
        <f>SUM(O25:O26)</f>
        <v>225</v>
      </c>
      <c r="Q23" s="28"/>
    </row>
    <row r="24" spans="1:26"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26" s="511" customFormat="1" ht="18.75" customHeight="1">
      <c r="A25" s="711"/>
      <c r="B25" s="1223"/>
      <c r="C25" s="746" t="s">
        <v>866</v>
      </c>
      <c r="D25" s="4383"/>
      <c r="E25" s="4384"/>
      <c r="F25" s="1222">
        <v>225</v>
      </c>
      <c r="G25" s="1221">
        <f>F25*(100+$D$24)/100</f>
        <v>225</v>
      </c>
      <c r="H25" s="1220">
        <v>1</v>
      </c>
      <c r="I25" s="1181">
        <f>H25*$G25</f>
        <v>225</v>
      </c>
      <c r="J25" s="39"/>
      <c r="K25" s="1220">
        <f>H25</f>
        <v>1</v>
      </c>
      <c r="L25" s="1023">
        <f>K25*$G25</f>
        <v>225</v>
      </c>
      <c r="M25" s="1016"/>
      <c r="N25" s="1220">
        <f>H25</f>
        <v>1</v>
      </c>
      <c r="O25" s="1181">
        <f>N25*$G25</f>
        <v>225</v>
      </c>
      <c r="P25" s="1145"/>
      <c r="Q25" s="28"/>
    </row>
    <row r="26" spans="1:26"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26" s="511" customFormat="1" ht="17.399999999999999" customHeight="1">
      <c r="A27" s="711"/>
      <c r="B27" s="1215" t="s">
        <v>213</v>
      </c>
      <c r="C27" s="711"/>
      <c r="D27" s="51" t="str">
        <f>IF(SDÖ1!V17=FALSE,"(Nährstoffabfuhr nicht bewertet)","(Nährstoffabfuhr bewertet)")</f>
        <v>(Nährstoffabfuhr nicht bewertet)</v>
      </c>
      <c r="E27" s="34"/>
      <c r="F27" s="34"/>
      <c r="G27" s="1214" t="s">
        <v>163</v>
      </c>
      <c r="H27" s="1173"/>
      <c r="I27" s="1172"/>
      <c r="J27" s="1041">
        <f>SUM(I30:I33)</f>
        <v>0</v>
      </c>
      <c r="K27" s="1175"/>
      <c r="L27" s="1174"/>
      <c r="M27" s="1044">
        <f>SUM(L30:L33)</f>
        <v>0</v>
      </c>
      <c r="N27" s="1173"/>
      <c r="O27" s="1172"/>
      <c r="P27" s="1041">
        <f>SUM(O30:O33)</f>
        <v>0</v>
      </c>
      <c r="Q27" s="28"/>
    </row>
    <row r="28" spans="1:26" s="36" customFormat="1" ht="15" customHeight="1">
      <c r="A28" s="746"/>
      <c r="B28" s="774"/>
      <c r="C28" s="2373"/>
      <c r="D28" s="1213" t="s">
        <v>706</v>
      </c>
      <c r="E28" s="1213" t="s">
        <v>864</v>
      </c>
      <c r="F28" s="1213" t="s">
        <v>864</v>
      </c>
      <c r="G28" s="1212" t="s">
        <v>863</v>
      </c>
      <c r="H28" s="1172"/>
      <c r="I28" s="1209"/>
      <c r="J28" s="2374"/>
      <c r="K28" s="1175"/>
      <c r="L28" s="1105"/>
      <c r="M28" s="1210"/>
      <c r="N28" s="1173"/>
      <c r="O28" s="1209"/>
      <c r="P28" s="1026"/>
      <c r="Q28" s="28"/>
    </row>
    <row r="29" spans="1:26" s="36" customFormat="1" ht="15" customHeight="1">
      <c r="A29" s="746"/>
      <c r="B29" s="1208"/>
      <c r="C29" s="747" t="s">
        <v>862</v>
      </c>
      <c r="D29" s="1034" t="s">
        <v>611</v>
      </c>
      <c r="E29" s="1034" t="s">
        <v>861</v>
      </c>
      <c r="F29" s="1034" t="s">
        <v>860</v>
      </c>
      <c r="G29" s="1034" t="s">
        <v>1128</v>
      </c>
      <c r="H29" s="1205" t="s">
        <v>612</v>
      </c>
      <c r="I29" s="1027" t="s">
        <v>163</v>
      </c>
      <c r="J29" s="2373"/>
      <c r="K29" s="1207" t="s">
        <v>612</v>
      </c>
      <c r="L29" s="1030" t="s">
        <v>163</v>
      </c>
      <c r="M29" s="1206"/>
      <c r="N29" s="1205" t="s">
        <v>612</v>
      </c>
      <c r="O29" s="1027" t="s">
        <v>163</v>
      </c>
      <c r="P29" s="1204"/>
      <c r="Q29" s="28"/>
    </row>
    <row r="30" spans="1:26" s="36" customFormat="1" ht="15" customHeight="1">
      <c r="A30" s="746"/>
      <c r="B30" s="1203"/>
      <c r="C30" s="1202" t="s">
        <v>236</v>
      </c>
      <c r="D30" s="1150">
        <f>IF(SDÖ1!$V$17=TRUE,SDÖ1!O56,0)</f>
        <v>0</v>
      </c>
      <c r="E30" s="1201">
        <v>2</v>
      </c>
      <c r="F30" s="1201"/>
      <c r="G30" s="1200">
        <v>0</v>
      </c>
      <c r="H30" s="1198">
        <f>IF(J$6=0,0,(J$6*$E30+$G30+X13))</f>
        <v>40</v>
      </c>
      <c r="I30" s="1181">
        <f>H30*$D30</f>
        <v>0</v>
      </c>
      <c r="J30" s="39"/>
      <c r="K30" s="1199">
        <f>IF(M$6=0,0,(M$6*$E30+$G30+AA14))</f>
        <v>60</v>
      </c>
      <c r="L30" s="1023">
        <f>K30*$D30</f>
        <v>0</v>
      </c>
      <c r="M30" s="1016"/>
      <c r="N30" s="1198">
        <f>IF(P$6=0,0,(P$6*$E30+$G30+AD14))</f>
        <v>80</v>
      </c>
      <c r="O30" s="1181">
        <f>N30*$D30</f>
        <v>0</v>
      </c>
      <c r="P30" s="1145"/>
      <c r="Q30" s="28"/>
    </row>
    <row r="31" spans="1:26" s="36" customFormat="1" ht="15" customHeight="1">
      <c r="A31" s="746"/>
      <c r="B31" s="217"/>
      <c r="C31" s="746" t="s">
        <v>234</v>
      </c>
      <c r="D31" s="1150">
        <f>IF(SDÖ1!$V$17=TRUE,SDÖ1!O57,0)</f>
        <v>0</v>
      </c>
      <c r="E31" s="1201">
        <f>VLOOKUP('SD8'!B27,'SD8'!B9:K44,4,FALSE)</f>
        <v>1.6</v>
      </c>
      <c r="F31" s="1201"/>
      <c r="G31" s="1200"/>
      <c r="H31" s="1198">
        <f>IF(J$6=0,0,(J$6*$E31+$G31+X14))</f>
        <v>32</v>
      </c>
      <c r="I31" s="1181">
        <f>H31*$D31</f>
        <v>0</v>
      </c>
      <c r="J31" s="39"/>
      <c r="K31" s="1199">
        <f>IF(M$6=0,0,(M$6*$E31+$G31+Y14))</f>
        <v>48</v>
      </c>
      <c r="L31" s="1023">
        <f>K31*$D31</f>
        <v>0</v>
      </c>
      <c r="M31" s="1016"/>
      <c r="N31" s="1198">
        <f>IF(P$6=0,0,(P$6*$E31+$G31+Z14))</f>
        <v>64</v>
      </c>
      <c r="O31" s="1181">
        <f>N31*$D31</f>
        <v>0</v>
      </c>
      <c r="P31" s="1145"/>
      <c r="Q31" s="28"/>
    </row>
    <row r="32" spans="1:26" s="511" customFormat="1" ht="18.75" customHeight="1">
      <c r="A32" s="711"/>
      <c r="B32" s="217"/>
      <c r="C32" s="746" t="s">
        <v>232</v>
      </c>
      <c r="D32" s="1150">
        <f>IF(SDÖ1!$V$17=TRUE,SDÖ1!O58,0)</f>
        <v>0</v>
      </c>
      <c r="E32" s="1201">
        <f>VLOOKUP('SD8'!B27,'SD8'!B9:K44,5,FALSE)</f>
        <v>2.4</v>
      </c>
      <c r="F32" s="1201"/>
      <c r="G32" s="1200"/>
      <c r="H32" s="1198">
        <f>IF(J$6=0,0,(J$6*$E32+$G32+X15))</f>
        <v>48</v>
      </c>
      <c r="I32" s="1181">
        <f>H32*$D32</f>
        <v>0</v>
      </c>
      <c r="J32" s="39"/>
      <c r="K32" s="1199">
        <f>IF(M$6=0,0,(M$6*$E32+$G32+Y15))</f>
        <v>72</v>
      </c>
      <c r="L32" s="1023">
        <f>K32*$D32</f>
        <v>0</v>
      </c>
      <c r="M32" s="1016"/>
      <c r="N32" s="1198">
        <f>IF(P$6=0,0,(P$6*$E32+$G32+Z15))</f>
        <v>96</v>
      </c>
      <c r="O32" s="1181">
        <f>N32*$D32</f>
        <v>0</v>
      </c>
      <c r="P32" s="1145"/>
      <c r="Q32" s="28"/>
    </row>
    <row r="33" spans="1:17" s="511" customFormat="1" ht="13.2" customHeight="1">
      <c r="A33" s="711"/>
      <c r="B33" s="185"/>
      <c r="C33" s="771" t="s">
        <v>230</v>
      </c>
      <c r="D33" s="1133">
        <f>IF(SDÖ1!$V$17=TRUE,SDÖ1!P59,0)</f>
        <v>0</v>
      </c>
      <c r="E33" s="1197">
        <f>VLOOKUP('SD8'!B27,'SD8'!B9:K44,6,FALSE)</f>
        <v>0.7</v>
      </c>
      <c r="F33" s="1197"/>
      <c r="G33" s="1196"/>
      <c r="H33" s="1194">
        <f>IF(J$6=0,0,(J$6*$E33+$G33+X16))</f>
        <v>14</v>
      </c>
      <c r="I33" s="1177">
        <f>H33*$D33</f>
        <v>0</v>
      </c>
      <c r="J33" s="39"/>
      <c r="K33" s="1195">
        <f>IF(M$6=0,0,(M$6*$E33+$G33+Y16))</f>
        <v>21</v>
      </c>
      <c r="L33" s="1017">
        <f>K33*$D33</f>
        <v>0</v>
      </c>
      <c r="M33" s="1016"/>
      <c r="N33" s="1194">
        <f>IF(P$6=0,0,(P$6*$E33+$G33+Z16))</f>
        <v>28</v>
      </c>
      <c r="O33" s="1177">
        <f>N33*$D33</f>
        <v>0</v>
      </c>
      <c r="P33" s="1176"/>
      <c r="Q33" s="28"/>
    </row>
    <row r="34" spans="1:17" s="36" customFormat="1" ht="15" customHeight="1">
      <c r="A34" s="746"/>
      <c r="B34" s="716" t="s">
        <v>1127</v>
      </c>
      <c r="C34" s="711"/>
      <c r="D34" s="2373"/>
      <c r="E34" s="2373"/>
      <c r="F34" s="4381"/>
      <c r="G34" s="4382" t="s">
        <v>163</v>
      </c>
      <c r="H34" s="1191"/>
      <c r="I34" s="1190"/>
      <c r="J34" s="1041">
        <f>SUM(I36:I42)</f>
        <v>0</v>
      </c>
      <c r="K34" s="1193"/>
      <c r="L34" s="1192"/>
      <c r="M34" s="1044">
        <f>SUM(L36:L42)</f>
        <v>0</v>
      </c>
      <c r="N34" s="1191"/>
      <c r="O34" s="1190"/>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1182"/>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t="e">
        <f>SUM(J46:J57)</f>
        <v>#N/A</v>
      </c>
      <c r="K43" s="1175"/>
      <c r="L43" s="1174"/>
      <c r="M43" s="1044" t="e">
        <f>SUM(M46:M57)</f>
        <v>#N/A</v>
      </c>
      <c r="N43" s="1173"/>
      <c r="O43" s="1172"/>
      <c r="P43" s="1041" t="e">
        <f>SUM(P46:P57)</f>
        <v>#N/A</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3"/>
      <c r="C46" s="4363" t="s">
        <v>1589</v>
      </c>
      <c r="D46" s="4364"/>
      <c r="E46" s="1152">
        <f>IF($C46=0,0,VLOOKUP($C46,'SD3'!$C$24:$O$71,4,FALSE))</f>
        <v>120</v>
      </c>
      <c r="F46" s="1151">
        <f>IF($C46=0,0,VLOOKUP($C46,'SD3'!$C$24:$O$71,12,FALSE))</f>
        <v>1.38</v>
      </c>
      <c r="G46" s="1150">
        <f>IF($C46=0,0,VLOOKUP($C46,'SD3'!$C$24:$O$71,13,FALSE))</f>
        <v>64.642445999999993</v>
      </c>
      <c r="H46" s="1147">
        <v>1</v>
      </c>
      <c r="I46" s="1146">
        <f t="shared" ref="I46:I51" si="4">$F46*H46</f>
        <v>1.38</v>
      </c>
      <c r="J46" s="1145">
        <f t="shared" ref="J46:J51" si="5">H46*$G46</f>
        <v>64.642445999999993</v>
      </c>
      <c r="K46" s="1147">
        <v>1</v>
      </c>
      <c r="L46" s="1149">
        <f t="shared" ref="L46:L56" si="6">$F46*K46</f>
        <v>1.38</v>
      </c>
      <c r="M46" s="1148">
        <f t="shared" ref="M46:M56" si="7">K46*$G46</f>
        <v>64.642445999999993</v>
      </c>
      <c r="N46" s="1147">
        <v>1</v>
      </c>
      <c r="O46" s="1146">
        <f t="shared" ref="O46:O56" si="8">$F46*N46</f>
        <v>1.38</v>
      </c>
      <c r="P46" s="1145">
        <f t="shared" ref="P46:P56" si="9">N46*$G46</f>
        <v>64.642445999999993</v>
      </c>
      <c r="Q46" s="28"/>
    </row>
    <row r="47" spans="1:17" s="36" customFormat="1" ht="15" customHeight="1">
      <c r="A47" s="746"/>
      <c r="B47" s="1153"/>
      <c r="C47" s="4387" t="s">
        <v>1588</v>
      </c>
      <c r="D47" s="4388"/>
      <c r="E47" s="1152">
        <f>IF($C47=0,0,VLOOKUP($C47,'SD3'!$C$24:$O$71,4,FALSE))</f>
        <v>83</v>
      </c>
      <c r="F47" s="1151">
        <f>IF($C47=0,0,VLOOKUP($C47,'SD3'!$C$24:$O$71,12,FALSE))</f>
        <v>0.53</v>
      </c>
      <c r="G47" s="1150">
        <f>IF($C47=0,0,VLOOKUP($C47,'SD3'!$C$24:$O$71,13,FALSE))</f>
        <v>15.733770700000001</v>
      </c>
      <c r="H47" s="1147">
        <v>2</v>
      </c>
      <c r="I47" s="1146">
        <f t="shared" si="4"/>
        <v>1.06</v>
      </c>
      <c r="J47" s="1145">
        <f t="shared" si="5"/>
        <v>31.467541400000002</v>
      </c>
      <c r="K47" s="1147">
        <v>2</v>
      </c>
      <c r="L47" s="1149">
        <f t="shared" si="6"/>
        <v>1.06</v>
      </c>
      <c r="M47" s="1148">
        <f t="shared" si="7"/>
        <v>31.467541400000002</v>
      </c>
      <c r="N47" s="1147">
        <v>2</v>
      </c>
      <c r="O47" s="1146">
        <f t="shared" si="8"/>
        <v>1.06</v>
      </c>
      <c r="P47" s="1145">
        <f t="shared" si="9"/>
        <v>31.467541400000002</v>
      </c>
      <c r="Q47" s="28"/>
    </row>
    <row r="48" spans="1:17" s="36" customFormat="1" ht="15" customHeight="1">
      <c r="A48" s="746"/>
      <c r="B48" s="1153"/>
      <c r="C48" s="4387" t="s">
        <v>351</v>
      </c>
      <c r="D48" s="4388"/>
      <c r="E48" s="1152">
        <f>IF($C48=0,0,VLOOKUP($C48,'SD3'!$C$24:$O$71,4,FALSE))</f>
        <v>83</v>
      </c>
      <c r="F48" s="1151">
        <f>IF($C48=0,0,VLOOKUP($C48,'SD3'!$C$24:$O$71,12,FALSE))</f>
        <v>0.78</v>
      </c>
      <c r="G48" s="1150">
        <f>IF($C48=0,0,VLOOKUP($C48,'SD3'!$C$24:$O$71,13,FALSE))</f>
        <v>31.33439774</v>
      </c>
      <c r="H48" s="1147">
        <v>1</v>
      </c>
      <c r="I48" s="1146">
        <f t="shared" si="4"/>
        <v>0.78</v>
      </c>
      <c r="J48" s="1145">
        <f t="shared" si="5"/>
        <v>31.33439774</v>
      </c>
      <c r="K48" s="1147">
        <v>1</v>
      </c>
      <c r="L48" s="1149">
        <f t="shared" si="6"/>
        <v>0.78</v>
      </c>
      <c r="M48" s="1148">
        <f t="shared" si="7"/>
        <v>31.33439774</v>
      </c>
      <c r="N48" s="1147">
        <v>1</v>
      </c>
      <c r="O48" s="1146">
        <f t="shared" si="8"/>
        <v>0.78</v>
      </c>
      <c r="P48" s="1145">
        <f t="shared" si="9"/>
        <v>31.33439774</v>
      </c>
      <c r="Q48" s="28"/>
    </row>
    <row r="49" spans="1:17" s="36" customFormat="1" ht="15" customHeight="1">
      <c r="A49" s="746"/>
      <c r="B49" s="1153"/>
      <c r="C49" s="4387"/>
      <c r="D49" s="4388"/>
      <c r="E49" s="1152">
        <f>IF($C49=0,0,VLOOKUP($C49,'SD3'!$C$24:$O$71,4,FALSE))</f>
        <v>0</v>
      </c>
      <c r="F49" s="1151">
        <f>IF($C49=0,0,VLOOKUP($C49,'SD3'!$C$24:$O$71,12,FALSE))</f>
        <v>0</v>
      </c>
      <c r="G49" s="1150">
        <f>IF($C49=0,0,VLOOKUP($C49,'SD3'!$C$24:$O$71,13,FALSE))</f>
        <v>0</v>
      </c>
      <c r="H49" s="1147"/>
      <c r="I49" s="1146">
        <f t="shared" si="4"/>
        <v>0</v>
      </c>
      <c r="J49" s="1145">
        <f t="shared" si="5"/>
        <v>0</v>
      </c>
      <c r="K49" s="1147"/>
      <c r="L49" s="1149">
        <f t="shared" si="6"/>
        <v>0</v>
      </c>
      <c r="M49" s="1148">
        <f t="shared" si="7"/>
        <v>0</v>
      </c>
      <c r="N49" s="1147"/>
      <c r="O49" s="1146">
        <f t="shared" si="8"/>
        <v>0</v>
      </c>
      <c r="P49" s="1145">
        <f t="shared" si="9"/>
        <v>0</v>
      </c>
      <c r="Q49" s="28"/>
    </row>
    <row r="50" spans="1:17" s="36" customFormat="1" ht="15" customHeight="1">
      <c r="A50" s="746"/>
      <c r="B50" s="1153"/>
      <c r="C50" s="4387" t="s">
        <v>339</v>
      </c>
      <c r="D50" s="4388"/>
      <c r="E50" s="1152">
        <f>IF($C50=0,0,VLOOKUP($C50,'SD3'!$C$24:$O$71,4,FALSE))</f>
        <v>83</v>
      </c>
      <c r="F50" s="1151">
        <f>IF($C50=0,0,VLOOKUP($C50,'SD3'!$C$24:$O$71,12,FALSE))</f>
        <v>0.27</v>
      </c>
      <c r="G50" s="1150">
        <f>IF($C50=0,0,VLOOKUP($C50,'SD3'!$C$24:$O$71,13,FALSE))</f>
        <v>6.9619069099999997</v>
      </c>
      <c r="H50" s="1147">
        <v>1</v>
      </c>
      <c r="I50" s="1146">
        <f t="shared" si="4"/>
        <v>0.27</v>
      </c>
      <c r="J50" s="1145">
        <f t="shared" si="5"/>
        <v>6.9619069099999997</v>
      </c>
      <c r="K50" s="1147">
        <v>1</v>
      </c>
      <c r="L50" s="1149">
        <f t="shared" si="6"/>
        <v>0.27</v>
      </c>
      <c r="M50" s="1148">
        <f t="shared" si="7"/>
        <v>6.9619069099999997</v>
      </c>
      <c r="N50" s="1147">
        <v>1</v>
      </c>
      <c r="O50" s="1146">
        <f t="shared" si="8"/>
        <v>0.27</v>
      </c>
      <c r="P50" s="1145">
        <f t="shared" si="9"/>
        <v>6.9619069099999997</v>
      </c>
      <c r="Q50" s="28"/>
    </row>
    <row r="51" spans="1:17" s="36" customFormat="1" ht="15" customHeight="1">
      <c r="A51" s="746"/>
      <c r="B51" s="1153"/>
      <c r="C51" s="4387" t="s">
        <v>338</v>
      </c>
      <c r="D51" s="4388"/>
      <c r="E51" s="1152">
        <f>IF($C51=0,0,VLOOKUP($C51,'SD3'!$C$24:$O$71,4,FALSE))</f>
        <v>54</v>
      </c>
      <c r="F51" s="1151">
        <f>IF($C51=0,0,VLOOKUP($C51,'SD3'!$C$24:$O$71,12,FALSE))</f>
        <v>1.1299999999999999</v>
      </c>
      <c r="G51" s="1150">
        <f>IF($C51=0,0,VLOOKUP($C51,'SD3'!$C$24:$O$71,13,FALSE))</f>
        <v>19.852731299999999</v>
      </c>
      <c r="H51" s="1147">
        <v>2</v>
      </c>
      <c r="I51" s="1146">
        <f t="shared" si="4"/>
        <v>2.2599999999999998</v>
      </c>
      <c r="J51" s="1145">
        <f t="shared" si="5"/>
        <v>39.705462599999997</v>
      </c>
      <c r="K51" s="1147">
        <v>2</v>
      </c>
      <c r="L51" s="1149">
        <f t="shared" si="6"/>
        <v>2.2599999999999998</v>
      </c>
      <c r="M51" s="1148">
        <f t="shared" si="7"/>
        <v>39.705462599999997</v>
      </c>
      <c r="N51" s="1147">
        <v>2</v>
      </c>
      <c r="O51" s="1146">
        <f t="shared" si="8"/>
        <v>2.2599999999999998</v>
      </c>
      <c r="P51" s="1145">
        <f t="shared" si="9"/>
        <v>39.705462599999997</v>
      </c>
      <c r="Q51" s="28"/>
    </row>
    <row r="52" spans="1:17" s="36" customFormat="1" ht="15" customHeight="1">
      <c r="A52" s="746"/>
      <c r="B52" s="1153"/>
      <c r="C52" s="4387"/>
      <c r="D52" s="4388"/>
      <c r="E52" s="1152">
        <f>IF($C52=0,0,VLOOKUP($C52,'SD3'!$C$24:$O$71,4,FALSE))</f>
        <v>0</v>
      </c>
      <c r="F52" s="1151">
        <f>IF($C52=0,0,VLOOKUP($C52,'SD3'!$C$24:$O$71,12,FALSE))</f>
        <v>0</v>
      </c>
      <c r="G52" s="1150">
        <f>IF($C52=0,0,VLOOKUP($C52,'SD3'!$C$24:$O$71,13,FALSE))</f>
        <v>0</v>
      </c>
      <c r="H52" s="1147"/>
      <c r="I52" s="1146">
        <f>$F52*H52</f>
        <v>0</v>
      </c>
      <c r="J52" s="1145">
        <f>H52*$G52</f>
        <v>0</v>
      </c>
      <c r="K52" s="1147"/>
      <c r="L52" s="1149">
        <f t="shared" si="6"/>
        <v>0</v>
      </c>
      <c r="M52" s="1148">
        <f t="shared" si="7"/>
        <v>0</v>
      </c>
      <c r="N52" s="1147"/>
      <c r="O52" s="1146">
        <f t="shared" si="8"/>
        <v>0</v>
      </c>
      <c r="P52" s="1145">
        <f t="shared" si="9"/>
        <v>0</v>
      </c>
      <c r="Q52" s="28"/>
    </row>
    <row r="53" spans="1:17" s="36" customFormat="1" ht="15" customHeight="1">
      <c r="A53" s="746"/>
      <c r="B53" s="1153"/>
      <c r="C53" s="4387"/>
      <c r="D53" s="4388"/>
      <c r="E53" s="1152">
        <f>IF($C53=0,0,VLOOKUP($C53,'SD3'!$C$24:$O$71,4,FALSE))</f>
        <v>0</v>
      </c>
      <c r="F53" s="1151">
        <f>IF($C53=0,0,VLOOKUP($C53,'SD3'!$C$24:$O$71,12,FALSE))</f>
        <v>0</v>
      </c>
      <c r="G53" s="1150">
        <f>IF($C53=0,0,VLOOKUP($C53,'SD3'!$C$24:$O$71,13,FALSE))</f>
        <v>0</v>
      </c>
      <c r="H53" s="1147"/>
      <c r="I53" s="1146">
        <f>$F53*H53</f>
        <v>0</v>
      </c>
      <c r="J53" s="1145">
        <f>H53*$G53</f>
        <v>0</v>
      </c>
      <c r="K53" s="1147"/>
      <c r="L53" s="1149">
        <f t="shared" si="6"/>
        <v>0</v>
      </c>
      <c r="M53" s="1148">
        <f t="shared" si="7"/>
        <v>0</v>
      </c>
      <c r="N53" s="1147"/>
      <c r="O53" s="1146">
        <f t="shared" si="8"/>
        <v>0</v>
      </c>
      <c r="P53" s="1145">
        <f t="shared" si="9"/>
        <v>0</v>
      </c>
      <c r="Q53" s="28"/>
    </row>
    <row r="54" spans="1:17" s="36" customFormat="1" ht="15" customHeight="1">
      <c r="A54" s="746"/>
      <c r="B54" s="1153"/>
      <c r="C54" s="4387" t="s">
        <v>1593</v>
      </c>
      <c r="D54" s="4388"/>
      <c r="E54" s="1152" t="e">
        <f>IF($C54=0,0,VLOOKUP($C54,'SD3'!$C$24:$O$71,4,FALSE))</f>
        <v>#N/A</v>
      </c>
      <c r="F54" s="1151" t="e">
        <f>IF($C54=0,0,VLOOKUP($C54,'SD3'!$C$24:$O$71,12,FALSE))</f>
        <v>#N/A</v>
      </c>
      <c r="G54" s="1150" t="e">
        <f>IF($C54=0,0,VLOOKUP($C54,'SD3'!$C$24:$O$71,13,FALSE))</f>
        <v>#N/A</v>
      </c>
      <c r="H54" s="1147">
        <v>0.8</v>
      </c>
      <c r="I54" s="1146" t="e">
        <f>$F54*H54</f>
        <v>#N/A</v>
      </c>
      <c r="J54" s="1145" t="e">
        <f>H54*$G54</f>
        <v>#N/A</v>
      </c>
      <c r="K54" s="1147">
        <v>1.05</v>
      </c>
      <c r="L54" s="1149" t="e">
        <f t="shared" si="6"/>
        <v>#N/A</v>
      </c>
      <c r="M54" s="1148" t="e">
        <f t="shared" si="7"/>
        <v>#N/A</v>
      </c>
      <c r="N54" s="1147">
        <v>0.95</v>
      </c>
      <c r="O54" s="1146" t="e">
        <f t="shared" si="8"/>
        <v>#N/A</v>
      </c>
      <c r="P54" s="1145" t="e">
        <f t="shared" si="9"/>
        <v>#N/A</v>
      </c>
      <c r="Q54" s="28"/>
    </row>
    <row r="55" spans="1:17" s="36" customFormat="1" ht="15" customHeight="1">
      <c r="A55" s="746"/>
      <c r="B55" s="1153"/>
      <c r="C55" s="4387" t="s">
        <v>359</v>
      </c>
      <c r="D55" s="4388"/>
      <c r="E55" s="1152">
        <f>IF($C55=0,0,VLOOKUP($C55,'SD3'!$C$24:$O$71,4,FALSE))</f>
        <v>120</v>
      </c>
      <c r="F55" s="1151">
        <f>IF($C55=0,0,VLOOKUP($C55,'SD3'!$C$24:$O$71,12,FALSE))</f>
        <v>0.54</v>
      </c>
      <c r="G55" s="1150">
        <f>IF($C55=0,0,VLOOKUP($C55,'SD3'!$C$24:$O$71,13,FALSE))</f>
        <v>21.712812</v>
      </c>
      <c r="H55" s="1147">
        <v>1</v>
      </c>
      <c r="I55" s="1146">
        <f>$F55*H55</f>
        <v>0.54</v>
      </c>
      <c r="J55" s="1145">
        <f>H55*$G55</f>
        <v>21.712812</v>
      </c>
      <c r="K55" s="1147">
        <v>1</v>
      </c>
      <c r="L55" s="1149">
        <f t="shared" si="6"/>
        <v>0.54</v>
      </c>
      <c r="M55" s="1148">
        <f t="shared" si="7"/>
        <v>21.712812</v>
      </c>
      <c r="N55" s="1147">
        <v>1</v>
      </c>
      <c r="O55" s="1146">
        <f t="shared" si="8"/>
        <v>0.54</v>
      </c>
      <c r="P55" s="1145">
        <f t="shared" si="9"/>
        <v>21.712812</v>
      </c>
      <c r="Q55" s="28"/>
    </row>
    <row r="56" spans="1:17" s="36" customFormat="1" ht="13.8">
      <c r="A56" s="746"/>
      <c r="B56" s="1342"/>
      <c r="C56" s="4394"/>
      <c r="D56" s="4395"/>
      <c r="E56" s="1152">
        <f>IF($C56=0,0,VLOOKUP($C56,'SD3'!$C$24:$O$71,4,FALSE))</f>
        <v>0</v>
      </c>
      <c r="F56" s="1151">
        <f>IF($C56=0,0,VLOOKUP($C56,'SD3'!$C$24:$O$71,12,FALSE))</f>
        <v>0</v>
      </c>
      <c r="G56" s="1150">
        <f>IF($C56=0,0,VLOOKUP($C56,'SD3'!$C$24:$O$71,13,FALSE))</f>
        <v>0</v>
      </c>
      <c r="H56" s="1336"/>
      <c r="I56" s="1335">
        <f>$F56*H56</f>
        <v>0</v>
      </c>
      <c r="J56" s="1334">
        <f>H56*$G56</f>
        <v>0</v>
      </c>
      <c r="K56" s="1336"/>
      <c r="L56" s="1338">
        <f t="shared" si="6"/>
        <v>0</v>
      </c>
      <c r="M56" s="1337">
        <f t="shared" si="7"/>
        <v>0</v>
      </c>
      <c r="N56" s="1336"/>
      <c r="O56" s="1335">
        <f t="shared" si="8"/>
        <v>0</v>
      </c>
      <c r="P56" s="1334">
        <f t="shared" si="9"/>
        <v>0</v>
      </c>
      <c r="Q56" s="28"/>
    </row>
    <row r="57" spans="1:17" s="36" customFormat="1" ht="24.75" customHeight="1">
      <c r="A57" s="746"/>
      <c r="B57" s="1084"/>
      <c r="C57" s="4401"/>
      <c r="D57" s="4402"/>
      <c r="E57" s="2589">
        <f>IF($C57=0,0,VLOOKUP($C57,'SD3'!$C$24:$O$71,4,FALSE))</f>
        <v>0</v>
      </c>
      <c r="F57" s="2590">
        <f>IF($C57=0,0,VLOOKUP($C57,'SD3'!$C$24:$O$71,12,FALSE))</f>
        <v>0</v>
      </c>
      <c r="G57" s="2591">
        <f>IF($C57=0,0,VLOOKUP($C57,'SD3'!$C$24:$O$71,13,FALSE))</f>
        <v>0</v>
      </c>
      <c r="H57" s="1131"/>
      <c r="I57" s="1130" t="e">
        <f>SUM(I44:I56)</f>
        <v>#N/A</v>
      </c>
      <c r="J57" s="1129"/>
      <c r="K57" s="1131"/>
      <c r="L57" s="1132" t="e">
        <f>SUM(L44:L56)</f>
        <v>#N/A</v>
      </c>
      <c r="M57" s="1079"/>
      <c r="N57" s="1131"/>
      <c r="O57" s="1130" t="e">
        <f>SUM(O44:O56)</f>
        <v>#N/A</v>
      </c>
      <c r="P57" s="1129"/>
      <c r="Q57" s="28"/>
    </row>
    <row r="58" spans="1:17" s="511" customFormat="1" ht="18.75" customHeight="1">
      <c r="A58" s="711"/>
      <c r="B58" s="716" t="s">
        <v>848</v>
      </c>
      <c r="C58" s="811"/>
      <c r="D58" s="811"/>
      <c r="E58" s="811"/>
      <c r="F58" s="34"/>
      <c r="G58" s="1047"/>
      <c r="H58" s="1124"/>
      <c r="I58" s="1123" t="e">
        <f>SUM($I$46:$I$57)</f>
        <v>#N/A</v>
      </c>
      <c r="J58" s="1128"/>
      <c r="K58" s="1127"/>
      <c r="L58" s="1126" t="e">
        <f>SUM($L$46:$L$57)</f>
        <v>#N/A</v>
      </c>
      <c r="M58" s="1125"/>
      <c r="N58" s="1124"/>
      <c r="O58" s="1123" t="e">
        <f>SUM($O$46:$O$57)</f>
        <v>#N/A</v>
      </c>
      <c r="P58" s="1122"/>
      <c r="Q58" s="28"/>
    </row>
    <row r="59" spans="1:17" s="511" customFormat="1" ht="15" customHeight="1">
      <c r="A59" s="711"/>
      <c r="B59" s="1121"/>
      <c r="C59" s="285"/>
      <c r="D59" s="222" t="s">
        <v>847</v>
      </c>
      <c r="E59" s="1120">
        <v>80</v>
      </c>
      <c r="F59" s="285" t="s">
        <v>846</v>
      </c>
      <c r="G59" s="1119"/>
      <c r="H59" s="1115"/>
      <c r="I59" s="1114" t="e">
        <f>IF(I58+SUM($I$46:$I$57)*$E$59%&gt;I58+10,I58+10,I58+SUM($I$46:$I$57)*$E$59%)</f>
        <v>#N/A</v>
      </c>
      <c r="J59" s="1113"/>
      <c r="K59" s="1118"/>
      <c r="L59" s="1117" t="e">
        <f>IF(L58+SUM($L$46:$L$57)*$E$59%&gt;L58+10,L58+10,L58+SUM($L$46:$L$57)*$E$59%)</f>
        <v>#N/A</v>
      </c>
      <c r="M59" s="1116"/>
      <c r="N59" s="1115"/>
      <c r="O59" s="1114" t="e">
        <f>IF(O58+SUM($O$46:$O$57)*$E$59%&gt;O58+10,O58+10,O58+SUM($O$46:$O$57)*$E$59%)</f>
        <v>#N/A</v>
      </c>
      <c r="P59" s="1113"/>
      <c r="Q59" s="28"/>
    </row>
    <row r="60" spans="1:17" s="46" customFormat="1" ht="18.75" customHeight="1">
      <c r="A60" s="811"/>
      <c r="B60" s="2790" t="s">
        <v>845</v>
      </c>
      <c r="C60" s="2793"/>
      <c r="D60" s="2793"/>
      <c r="E60" s="2783"/>
      <c r="F60" s="2783"/>
      <c r="G60" s="2838"/>
      <c r="H60" s="2834"/>
      <c r="I60" s="2833"/>
      <c r="J60" s="1111">
        <f>IF(J6=0,0,SUM(I62:I64))</f>
        <v>175.5</v>
      </c>
      <c r="K60" s="2836"/>
      <c r="L60" s="2835"/>
      <c r="M60" s="1044">
        <f>IF(M6=0,0,SUM(L62:L64))</f>
        <v>175.5</v>
      </c>
      <c r="N60" s="2834"/>
      <c r="O60" s="2833"/>
      <c r="P60" s="1111">
        <f>IF(P6=0,0,SUM(O62:O64))</f>
        <v>175.5</v>
      </c>
      <c r="Q60" s="28"/>
    </row>
    <row r="61" spans="1:17" s="46" customFormat="1" ht="15" customHeight="1">
      <c r="A61" s="811"/>
      <c r="B61" s="2802"/>
      <c r="C61" s="2801" t="s">
        <v>837</v>
      </c>
      <c r="D61" s="2837">
        <f>SDÖ1!$O$11</f>
        <v>0</v>
      </c>
      <c r="E61" s="1037"/>
      <c r="F61" s="1033" t="s">
        <v>239</v>
      </c>
      <c r="G61" s="1109" t="s">
        <v>836</v>
      </c>
      <c r="H61" s="2834"/>
      <c r="I61" s="2833"/>
      <c r="J61" s="1108"/>
      <c r="K61" s="2836"/>
      <c r="L61" s="2835"/>
      <c r="M61" s="1105"/>
      <c r="N61" s="2834"/>
      <c r="O61" s="2833"/>
      <c r="P61" s="1102"/>
      <c r="Q61" s="28"/>
    </row>
    <row r="62" spans="1:17" s="36" customFormat="1" ht="18.75" customHeight="1">
      <c r="A62" s="746"/>
      <c r="B62" s="2797"/>
      <c r="C62" s="4365" t="s">
        <v>296</v>
      </c>
      <c r="D62" s="4365"/>
      <c r="E62" s="4365"/>
      <c r="F62" s="2832">
        <f>IF($C62=0,0,VLOOKUP($C62,'SD3'!$C$90:$D$104,2,FALSE))</f>
        <v>175.5</v>
      </c>
      <c r="G62" s="2831">
        <f>(100+$D$61)/100*F62</f>
        <v>175.5</v>
      </c>
      <c r="H62" s="2784"/>
      <c r="I62" s="2827">
        <f>$G$62</f>
        <v>175.5</v>
      </c>
      <c r="J62" s="2784"/>
      <c r="K62" s="2830"/>
      <c r="L62" s="2829">
        <f>$G$62</f>
        <v>175.5</v>
      </c>
      <c r="M62" s="2795"/>
      <c r="N62" s="2828"/>
      <c r="O62" s="2827">
        <f>$G$62</f>
        <v>175.5</v>
      </c>
      <c r="P62" s="2826"/>
      <c r="Q62" s="28"/>
    </row>
    <row r="63" spans="1:17" s="36" customFormat="1" ht="13.2" customHeight="1">
      <c r="A63" s="746"/>
      <c r="B63" s="2825"/>
      <c r="C63" s="4397"/>
      <c r="D63" s="4397"/>
      <c r="E63" s="4398"/>
      <c r="F63" s="2824">
        <f>IF($C63=0,0,VLOOKUP($C63,'SD3'!$C$90:$D$104,2,FALSE))</f>
        <v>0</v>
      </c>
      <c r="G63" s="2823">
        <f>(100+$D$61)/100*F63</f>
        <v>0</v>
      </c>
      <c r="H63" s="2822"/>
      <c r="I63" s="2817">
        <f>$G$63</f>
        <v>0</v>
      </c>
      <c r="J63" s="2822"/>
      <c r="K63" s="2821"/>
      <c r="L63" s="2820">
        <f>$G$63</f>
        <v>0</v>
      </c>
      <c r="M63" s="2819"/>
      <c r="N63" s="2818"/>
      <c r="O63" s="2817">
        <f>$G$63</f>
        <v>0</v>
      </c>
      <c r="P63" s="2816"/>
      <c r="Q63" s="28"/>
    </row>
    <row r="64" spans="1:17" s="36" customFormat="1" ht="15" customHeight="1">
      <c r="A64" s="746"/>
      <c r="B64" s="2815"/>
      <c r="C64" s="4396" t="s">
        <v>289</v>
      </c>
      <c r="D64" s="4396"/>
      <c r="E64" s="4396"/>
      <c r="F64" s="2814">
        <f>IF($T$3=FALSE,0,VLOOKUP($C64,'SD3'!$C$90:$D$104,2,FALSE))</f>
        <v>3.3</v>
      </c>
      <c r="G64" s="2813">
        <f>(100+$D$61)/100*F64</f>
        <v>3.3</v>
      </c>
      <c r="H64" s="2810"/>
      <c r="I64" s="2809">
        <f>H11*$G$64</f>
        <v>0</v>
      </c>
      <c r="J64" s="2784"/>
      <c r="K64" s="2812"/>
      <c r="L64" s="2811">
        <f>K11*$G$64</f>
        <v>0</v>
      </c>
      <c r="M64" s="1079"/>
      <c r="N64" s="2810"/>
      <c r="O64" s="2809">
        <f>N11*$G$64</f>
        <v>0</v>
      </c>
      <c r="P64" s="2808"/>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5"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22.95" customHeight="1">
      <c r="A67" s="711"/>
      <c r="B67" s="716" t="s">
        <v>843</v>
      </c>
      <c r="C67" s="711"/>
      <c r="D67" s="711"/>
      <c r="E67" s="175"/>
      <c r="F67" s="1069"/>
      <c r="G67" s="1047"/>
      <c r="H67" s="1066" t="s">
        <v>842</v>
      </c>
      <c r="I67" s="1065" t="s">
        <v>841</v>
      </c>
      <c r="J67" s="1041">
        <f>R68*(H9+H10)*I68%+F68</f>
        <v>195.80000000000052</v>
      </c>
      <c r="K67" s="1068" t="s">
        <v>842</v>
      </c>
      <c r="L67" s="1067" t="s">
        <v>841</v>
      </c>
      <c r="M67" s="1044">
        <f>S68*(K9+K10)*L68%+F68</f>
        <v>335.70000000000095</v>
      </c>
      <c r="N67" s="1066" t="s">
        <v>842</v>
      </c>
      <c r="O67" s="1065" t="s">
        <v>841</v>
      </c>
      <c r="P67" s="1041">
        <f>T68*(N9+N10)*O68%+F68</f>
        <v>500.80000000000149</v>
      </c>
      <c r="Q67" s="28"/>
    </row>
    <row r="68" spans="1:20" s="511" customFormat="1" ht="15" customHeight="1">
      <c r="A68" s="711"/>
      <c r="B68" s="1064"/>
      <c r="C68" s="4393" t="s">
        <v>840</v>
      </c>
      <c r="D68" s="4393"/>
      <c r="E68" s="4393"/>
      <c r="F68" s="1063"/>
      <c r="G68" s="1054" t="s">
        <v>163</v>
      </c>
      <c r="H68" s="1061">
        <v>20</v>
      </c>
      <c r="I68" s="1060">
        <v>100</v>
      </c>
      <c r="J68" s="1059"/>
      <c r="K68" s="1061">
        <v>22</v>
      </c>
      <c r="L68" s="1060">
        <v>100</v>
      </c>
      <c r="M68" s="1062"/>
      <c r="N68" s="1061">
        <v>23.9</v>
      </c>
      <c r="O68" s="1060">
        <v>100</v>
      </c>
      <c r="P68" s="1059"/>
      <c r="Q68" s="28"/>
      <c r="R68" s="1373">
        <f>IF(H68=0,0,VLOOKUP(H68,'SD6'!L8:M156,'SD6'!M1))*(1+'SDK1'!O11/100)</f>
        <v>9.7900000000000258</v>
      </c>
      <c r="S68" s="1373">
        <f>IF(K68=0,0,VLOOKUP(K68,'SD6'!L8:M156,'SD6'!M1))*(1+'SDK1'!O11/100)</f>
        <v>11.190000000000031</v>
      </c>
      <c r="T68" s="1372">
        <f>IF(N68=0,0,VLOOKUP(N68,'SD6'!L8:M156,'SD6'!M1))*(1+'SDK1'!O11/100)</f>
        <v>12.520000000000037</v>
      </c>
    </row>
    <row r="69" spans="1:20" s="511" customFormat="1" ht="18.75" customHeight="1">
      <c r="A69" s="711"/>
      <c r="B69" s="716" t="s">
        <v>839</v>
      </c>
      <c r="C69" s="711"/>
      <c r="D69" s="711"/>
      <c r="E69" s="34"/>
      <c r="F69" s="34"/>
      <c r="G69" s="1047"/>
      <c r="H69" s="38"/>
      <c r="I69" s="51"/>
      <c r="J69" s="1041" t="e">
        <f>H70*$F70/1000</f>
        <v>#REF!</v>
      </c>
      <c r="K69" s="1057"/>
      <c r="L69" s="1056"/>
      <c r="M69" s="1044" t="e">
        <f>K70*$F70/1000</f>
        <v>#REF!</v>
      </c>
      <c r="N69" s="38"/>
      <c r="O69" s="51"/>
      <c r="P69" s="1041" t="e">
        <f>N70*$F70/1000</f>
        <v>#REF!</v>
      </c>
      <c r="Q69" s="28"/>
    </row>
    <row r="70" spans="1:20" s="511" customFormat="1" ht="15" customHeight="1">
      <c r="A70" s="711"/>
      <c r="B70" s="772"/>
      <c r="C70" s="771" t="s">
        <v>606</v>
      </c>
      <c r="D70" s="285"/>
      <c r="E70" s="222"/>
      <c r="F70" s="1055" t="e">
        <f>'SDK7'!#REF!</f>
        <v>#REF!</v>
      </c>
      <c r="G70" s="1054" t="s">
        <v>163</v>
      </c>
      <c r="H70" s="1050">
        <f>I9+I10</f>
        <v>0</v>
      </c>
      <c r="I70" s="1049"/>
      <c r="J70" s="1048"/>
      <c r="K70" s="1053">
        <f>L9+L10</f>
        <v>0</v>
      </c>
      <c r="L70" s="1052"/>
      <c r="M70" s="1051"/>
      <c r="N70" s="1050">
        <f>O9+O10</f>
        <v>0</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7</v>
      </c>
      <c r="H75" s="1007"/>
      <c r="I75" s="1008"/>
      <c r="J75" s="1005" t="e">
        <f>(J23+J27+J34+J43+J60+J65+J67+J69+J71)*('SDK1'!$O$59%*$G$75/12)</f>
        <v>#N/A</v>
      </c>
      <c r="K75" s="2223"/>
      <c r="L75" s="522"/>
      <c r="M75" s="1005" t="e">
        <f>(M23+M27+M34+M43+M60+M65+M67+M69+M71)*('SDK1'!$O$59%*$G$75/12)</f>
        <v>#N/A</v>
      </c>
      <c r="N75" s="1007"/>
      <c r="O75" s="1006"/>
      <c r="P75" s="1005" t="e">
        <f>(P23+P27+P34+P43+P60+P65+P67+P69+P71)*('SDK1'!$O$59%*$G$75/12)</f>
        <v>#N/A</v>
      </c>
      <c r="Q75" s="28"/>
    </row>
    <row r="76" spans="1:20">
      <c r="L76" s="29"/>
    </row>
    <row r="77" spans="1:20">
      <c r="G77" s="2608"/>
      <c r="H77" s="2608"/>
      <c r="I77" s="2608"/>
      <c r="J77" s="2608"/>
      <c r="K77" s="2608"/>
      <c r="L77" s="2608"/>
      <c r="M77" s="2608"/>
      <c r="N77" s="2608"/>
      <c r="O77" s="2608"/>
      <c r="P77" s="2608"/>
    </row>
    <row r="78" spans="1:20" ht="13.8">
      <c r="C78" s="4478" t="s">
        <v>1385</v>
      </c>
      <c r="D78" s="4479"/>
      <c r="E78" s="4479"/>
      <c r="F78" s="4480"/>
      <c r="G78" s="2608"/>
      <c r="H78" s="2608"/>
      <c r="I78" s="2608"/>
      <c r="J78" s="2608"/>
      <c r="K78" s="2608"/>
      <c r="L78" s="2608"/>
      <c r="M78" s="2608"/>
      <c r="N78" s="2608"/>
      <c r="O78" s="2608"/>
      <c r="P78" s="2608"/>
    </row>
    <row r="79" spans="1:20">
      <c r="C79" s="4453" t="s">
        <v>285</v>
      </c>
      <c r="D79" s="4454"/>
      <c r="E79" s="4454"/>
      <c r="F79" s="4455"/>
      <c r="G79" s="2608"/>
      <c r="H79" s="2608"/>
      <c r="I79" s="2608"/>
      <c r="J79" s="2608"/>
      <c r="K79" s="2608"/>
      <c r="L79" s="2608"/>
      <c r="M79" s="2608"/>
      <c r="N79" s="2608"/>
      <c r="O79" s="2608"/>
      <c r="P79" s="2608"/>
    </row>
    <row r="80" spans="1:20" ht="13.8">
      <c r="B80" s="2237"/>
      <c r="C80" s="2234" t="s">
        <v>1381</v>
      </c>
      <c r="D80" s="2235"/>
      <c r="E80" s="2235"/>
      <c r="F80" s="2236"/>
      <c r="G80" s="2608"/>
      <c r="H80" s="2608"/>
      <c r="I80" s="2608"/>
      <c r="J80" s="2608"/>
      <c r="K80" s="2608"/>
      <c r="L80" s="2608"/>
      <c r="M80" s="2608"/>
      <c r="N80" s="2608"/>
      <c r="O80" s="2608"/>
      <c r="P80" s="2608"/>
    </row>
    <row r="81" spans="2:16" ht="13.8">
      <c r="B81" s="2237"/>
      <c r="C81" s="2234" t="s">
        <v>1382</v>
      </c>
      <c r="D81" s="2235"/>
      <c r="E81" s="2235"/>
      <c r="F81" s="2236"/>
      <c r="G81" s="2608"/>
      <c r="H81" s="2608"/>
      <c r="I81" s="2608"/>
      <c r="J81" s="2608"/>
      <c r="K81" s="2608"/>
      <c r="L81" s="2608"/>
      <c r="M81" s="2608"/>
      <c r="N81" s="2608"/>
      <c r="O81" s="2608"/>
      <c r="P81" s="2608"/>
    </row>
    <row r="82" spans="2:16">
      <c r="B82" s="2237"/>
      <c r="C82" s="2226" t="s">
        <v>284</v>
      </c>
      <c r="D82" s="2227"/>
      <c r="E82" s="2227"/>
      <c r="F82" s="2228"/>
      <c r="G82" s="2608"/>
      <c r="H82" s="2608"/>
      <c r="I82" s="2608"/>
      <c r="J82" s="2608"/>
      <c r="K82" s="2608"/>
      <c r="L82" s="2608"/>
      <c r="M82" s="2608"/>
      <c r="N82" s="2608"/>
      <c r="O82" s="2608"/>
      <c r="P82" s="2608"/>
    </row>
    <row r="83" spans="2:16" ht="13.8">
      <c r="B83" s="2237"/>
      <c r="C83" s="2234" t="s">
        <v>1383</v>
      </c>
      <c r="D83" s="2235"/>
      <c r="E83" s="2235"/>
      <c r="F83" s="2236"/>
      <c r="G83" s="2608"/>
      <c r="H83" s="2608"/>
      <c r="I83" s="2608"/>
      <c r="J83" s="2608"/>
      <c r="K83" s="2608"/>
      <c r="L83" s="2608"/>
      <c r="M83" s="2608"/>
      <c r="N83" s="2608"/>
      <c r="O83" s="2608"/>
      <c r="P83" s="2608"/>
    </row>
    <row r="84" spans="2:16" ht="13.8">
      <c r="B84" s="2237"/>
      <c r="C84" s="2234" t="s">
        <v>1384</v>
      </c>
      <c r="D84" s="2235"/>
      <c r="E84" s="2235"/>
      <c r="F84" s="2236"/>
      <c r="G84" s="2608"/>
      <c r="H84" s="2608"/>
      <c r="I84" s="2608"/>
      <c r="J84" s="2608"/>
      <c r="K84" s="2608"/>
      <c r="L84" s="2608"/>
      <c r="M84" s="2608"/>
      <c r="N84" s="2608"/>
      <c r="O84" s="2608"/>
      <c r="P84" s="2608"/>
    </row>
    <row r="85" spans="2:16">
      <c r="B85" s="2237"/>
      <c r="C85" s="2226" t="s">
        <v>283</v>
      </c>
      <c r="D85" s="2227"/>
      <c r="E85" s="2227"/>
      <c r="F85" s="2228"/>
      <c r="G85" s="2608"/>
      <c r="H85" s="2608"/>
      <c r="I85" s="2608"/>
      <c r="J85" s="2608"/>
      <c r="K85" s="2608"/>
      <c r="L85" s="2608"/>
      <c r="M85" s="2608"/>
      <c r="N85" s="2608"/>
      <c r="O85" s="2608"/>
      <c r="P85" s="2608"/>
    </row>
    <row r="86" spans="2:16">
      <c r="B86" s="2237"/>
      <c r="C86" s="2226" t="s">
        <v>282</v>
      </c>
      <c r="D86" s="2227"/>
      <c r="E86" s="2227"/>
      <c r="F86" s="2228"/>
      <c r="G86" s="2608"/>
      <c r="H86" s="2608"/>
      <c r="I86" s="2608"/>
      <c r="J86" s="2608"/>
      <c r="K86" s="2608"/>
      <c r="L86" s="2608"/>
      <c r="M86" s="2608"/>
      <c r="N86" s="2608"/>
      <c r="O86" s="2608"/>
      <c r="P86" s="2608"/>
    </row>
    <row r="87" spans="2:16" ht="15.6">
      <c r="B87" s="2237"/>
      <c r="C87" s="2226" t="s">
        <v>281</v>
      </c>
      <c r="D87" s="2227"/>
      <c r="E87" s="2227"/>
      <c r="F87" s="2228"/>
      <c r="G87" s="2608"/>
      <c r="H87" s="2608"/>
      <c r="I87" s="2608"/>
      <c r="J87" s="2608"/>
      <c r="K87" s="2608"/>
      <c r="L87" s="2608"/>
      <c r="M87" s="2608"/>
      <c r="N87" s="2608"/>
      <c r="O87" s="2608"/>
      <c r="P87" s="2608"/>
    </row>
    <row r="88" spans="2:16" ht="13.2" customHeight="1">
      <c r="B88" s="2237"/>
      <c r="C88" s="2226" t="s">
        <v>280</v>
      </c>
      <c r="D88" s="2229"/>
      <c r="E88" s="2229"/>
      <c r="F88" s="2230"/>
      <c r="G88" s="2608"/>
      <c r="H88" s="2608"/>
      <c r="I88" s="2608"/>
      <c r="J88" s="2608"/>
      <c r="K88" s="2608"/>
      <c r="L88" s="2608"/>
      <c r="M88" s="2608"/>
      <c r="N88" s="2608"/>
      <c r="O88" s="2608"/>
      <c r="P88" s="2608"/>
    </row>
    <row r="89" spans="2:16">
      <c r="B89" s="2237"/>
      <c r="C89" s="2226" t="s">
        <v>279</v>
      </c>
      <c r="D89" s="2229"/>
      <c r="E89" s="2229"/>
      <c r="F89" s="2230"/>
      <c r="G89" s="2608"/>
      <c r="H89" s="2608"/>
      <c r="I89" s="2608"/>
      <c r="J89" s="2608"/>
      <c r="K89" s="2608"/>
      <c r="L89" s="2608"/>
      <c r="M89" s="2608"/>
      <c r="N89" s="2608"/>
      <c r="O89" s="2608"/>
      <c r="P89" s="2608"/>
    </row>
    <row r="90" spans="2:16" ht="26.4">
      <c r="B90" s="2237"/>
      <c r="C90" s="2231" t="s">
        <v>278</v>
      </c>
      <c r="D90" s="2232"/>
      <c r="E90" s="2232"/>
      <c r="F90" s="2233"/>
      <c r="G90" s="2608"/>
      <c r="H90" s="2608"/>
      <c r="I90" s="2608"/>
      <c r="J90" s="2608"/>
      <c r="K90" s="2608"/>
      <c r="L90" s="2608"/>
      <c r="M90" s="2608"/>
      <c r="N90" s="2608"/>
      <c r="O90" s="2608"/>
      <c r="P90" s="2608"/>
    </row>
    <row r="91" spans="2:16">
      <c r="C91" s="1712"/>
      <c r="D91" s="1712"/>
      <c r="E91" s="1712"/>
      <c r="F91" s="1712"/>
      <c r="G91" s="2608"/>
      <c r="H91" s="2608"/>
      <c r="I91" s="2608"/>
      <c r="J91" s="2608"/>
      <c r="K91" s="2608"/>
      <c r="L91" s="2608"/>
      <c r="M91" s="2608"/>
      <c r="N91" s="2608"/>
      <c r="O91" s="2608"/>
      <c r="P91" s="2608"/>
    </row>
    <row r="92" spans="2:16">
      <c r="C92" s="1712"/>
      <c r="D92" s="1712"/>
      <c r="E92" s="1712"/>
      <c r="F92" s="1712"/>
      <c r="G92" s="2608"/>
      <c r="H92" s="2608"/>
      <c r="I92" s="2608"/>
      <c r="J92" s="2608"/>
      <c r="K92" s="2608"/>
      <c r="L92" s="2608"/>
      <c r="M92" s="2608"/>
      <c r="N92" s="2608"/>
      <c r="O92" s="2608"/>
      <c r="P92" s="2608"/>
    </row>
    <row r="93" spans="2:16">
      <c r="C93" s="1712"/>
      <c r="D93" s="1712"/>
      <c r="E93" s="1712"/>
      <c r="F93" s="1712"/>
      <c r="G93" s="2608"/>
      <c r="H93" s="2608"/>
      <c r="I93" s="2608"/>
      <c r="J93" s="2608"/>
      <c r="K93" s="2608"/>
      <c r="L93" s="2608"/>
      <c r="M93" s="2608"/>
      <c r="N93" s="2608"/>
      <c r="O93" s="2608"/>
      <c r="P93" s="2608"/>
    </row>
    <row r="94" spans="2:16">
      <c r="C94" s="1712"/>
      <c r="D94" s="1712"/>
      <c r="E94" s="1712"/>
      <c r="F94" s="1712"/>
      <c r="G94" s="2608"/>
      <c r="H94" s="2608"/>
      <c r="I94" s="2608"/>
      <c r="J94" s="2608"/>
      <c r="K94" s="2608"/>
      <c r="L94" s="2608"/>
      <c r="M94" s="2608"/>
      <c r="N94" s="2608"/>
      <c r="O94" s="2608"/>
      <c r="P94" s="2608"/>
    </row>
    <row r="95" spans="2:16">
      <c r="C95" s="1712"/>
      <c r="D95" s="1712"/>
      <c r="E95" s="1712"/>
      <c r="F95" s="1712"/>
      <c r="G95" s="2608"/>
      <c r="H95" s="2608"/>
      <c r="I95" s="2608"/>
      <c r="J95" s="2608"/>
      <c r="K95" s="2608"/>
      <c r="L95" s="2608"/>
      <c r="M95" s="2608"/>
      <c r="N95" s="2608"/>
      <c r="O95" s="2608"/>
      <c r="P95" s="2608"/>
    </row>
    <row r="96" spans="2:16">
      <c r="C96" s="1712"/>
      <c r="D96" s="1712"/>
      <c r="E96" s="1712"/>
      <c r="F96" s="1712"/>
      <c r="G96" s="2608"/>
      <c r="H96" s="2608"/>
      <c r="I96" s="2608"/>
      <c r="J96" s="2608"/>
      <c r="K96" s="2608"/>
      <c r="L96" s="2608"/>
      <c r="M96" s="2608"/>
      <c r="N96" s="2608"/>
      <c r="O96" s="2608"/>
      <c r="P96" s="2608"/>
    </row>
    <row r="97" spans="2:16">
      <c r="C97" s="1712"/>
      <c r="D97" s="1712"/>
      <c r="E97" s="1712"/>
      <c r="G97" s="2608"/>
      <c r="H97" s="2608"/>
      <c r="I97" s="2608"/>
      <c r="J97" s="2608"/>
      <c r="K97" s="2608"/>
      <c r="L97" s="2608"/>
      <c r="M97" s="2608"/>
      <c r="N97" s="2608"/>
      <c r="O97" s="2608"/>
      <c r="P97" s="2608"/>
    </row>
    <row r="98" spans="2:16">
      <c r="B98" s="2608"/>
      <c r="C98" s="2608"/>
      <c r="D98" s="2608"/>
      <c r="E98" s="1712"/>
      <c r="G98" s="2608"/>
      <c r="H98" s="2608"/>
      <c r="I98" s="2608"/>
      <c r="J98" s="2608"/>
      <c r="K98" s="2608"/>
      <c r="L98" s="2608"/>
      <c r="M98" s="2608"/>
      <c r="N98" s="2608"/>
      <c r="O98" s="2608"/>
      <c r="P98" s="2608"/>
    </row>
    <row r="99" spans="2:16">
      <c r="B99" s="2608"/>
      <c r="C99" s="2608"/>
      <c r="D99" s="2608"/>
      <c r="G99" s="2608"/>
      <c r="H99" s="2608"/>
      <c r="I99" s="2608"/>
      <c r="J99" s="2608"/>
      <c r="K99" s="2608"/>
      <c r="L99" s="2608"/>
      <c r="M99" s="2608"/>
      <c r="N99" s="2608"/>
      <c r="O99" s="2608"/>
      <c r="P99" s="2608"/>
    </row>
    <row r="100" spans="2:16">
      <c r="B100" s="2608"/>
      <c r="C100" s="2608"/>
      <c r="D100" s="2608"/>
      <c r="G100" s="2608"/>
      <c r="I100" s="2608"/>
      <c r="J100" s="2608"/>
      <c r="K100" s="2608"/>
      <c r="L100" s="2608"/>
      <c r="M100" s="2608"/>
      <c r="N100" s="2608"/>
      <c r="O100" s="2608"/>
      <c r="P100" s="2608"/>
    </row>
    <row r="101" spans="2:16">
      <c r="B101" s="2608"/>
      <c r="C101" s="2608"/>
      <c r="D101" s="2608"/>
      <c r="G101" s="2608"/>
      <c r="H101" s="2608"/>
      <c r="I101" s="2608"/>
      <c r="J101" s="2608"/>
      <c r="K101" s="2608"/>
      <c r="L101" s="2608"/>
      <c r="M101" s="2608"/>
      <c r="N101" s="2608"/>
      <c r="O101" s="2608"/>
      <c r="P101" s="2608"/>
    </row>
    <row r="102" spans="2:16">
      <c r="B102" s="2608"/>
      <c r="C102" s="2608"/>
      <c r="D102" s="2608"/>
      <c r="G102" s="2608"/>
      <c r="H102" s="2608"/>
      <c r="I102" s="2608"/>
      <c r="J102" s="2608"/>
      <c r="K102" s="2608"/>
      <c r="L102" s="2608"/>
      <c r="M102" s="2608"/>
      <c r="N102" s="2608"/>
      <c r="O102" s="2608"/>
      <c r="P102" s="2608"/>
    </row>
    <row r="103" spans="2:16">
      <c r="B103" s="2608"/>
      <c r="C103" s="2608"/>
      <c r="D103" s="2608"/>
      <c r="G103" s="2608"/>
      <c r="H103" s="2608"/>
      <c r="I103" s="2608"/>
      <c r="J103" s="2608"/>
      <c r="K103" s="2608"/>
      <c r="L103" s="2608"/>
      <c r="M103" s="2608"/>
      <c r="N103" s="2608"/>
      <c r="O103" s="2608"/>
      <c r="P103" s="2608"/>
    </row>
    <row r="104" spans="2:16">
      <c r="B104" s="2608"/>
      <c r="C104" s="2608"/>
      <c r="D104" s="2608"/>
      <c r="G104" s="2608"/>
      <c r="H104" s="2608"/>
      <c r="I104" s="2608"/>
      <c r="J104" s="2608"/>
      <c r="K104" s="2608"/>
      <c r="L104" s="2608"/>
      <c r="M104" s="2608"/>
      <c r="N104" s="2608"/>
      <c r="O104" s="2608"/>
      <c r="P104" s="2608"/>
    </row>
    <row r="105" spans="2:16">
      <c r="B105" s="2608"/>
      <c r="C105" s="2608"/>
      <c r="D105" s="2608"/>
      <c r="G105" s="2608"/>
      <c r="H105" s="2608"/>
      <c r="I105" s="2608"/>
      <c r="J105" s="2608"/>
      <c r="K105" s="2608"/>
      <c r="L105" s="2608"/>
      <c r="M105" s="2608"/>
      <c r="N105" s="2608"/>
      <c r="O105" s="2608"/>
      <c r="P105" s="2608"/>
    </row>
    <row r="106" spans="2:16">
      <c r="B106" s="2608"/>
      <c r="C106" s="2608"/>
      <c r="D106" s="2608"/>
      <c r="G106" s="2608"/>
      <c r="H106" s="2608"/>
      <c r="I106" s="2608"/>
      <c r="J106" s="2608"/>
      <c r="K106" s="2608"/>
      <c r="L106" s="2608"/>
      <c r="M106" s="2608"/>
      <c r="N106" s="2608"/>
      <c r="O106" s="2608"/>
      <c r="P106" s="2608"/>
    </row>
    <row r="107" spans="2:16">
      <c r="B107" s="2608"/>
      <c r="C107" s="2608"/>
      <c r="D107" s="2608"/>
      <c r="G107" s="2608"/>
      <c r="H107" s="2608"/>
      <c r="I107" s="2608"/>
      <c r="J107" s="2608"/>
      <c r="K107" s="2608"/>
      <c r="L107" s="2608"/>
      <c r="M107" s="2608"/>
      <c r="N107" s="2608"/>
      <c r="O107" s="2608"/>
      <c r="P107" s="2608"/>
    </row>
    <row r="108" spans="2:16">
      <c r="B108" s="2608"/>
      <c r="C108" s="2608"/>
      <c r="D108" s="2608"/>
      <c r="G108" s="2608"/>
      <c r="H108" s="2608"/>
      <c r="I108" s="2608"/>
      <c r="J108" s="2608"/>
      <c r="K108" s="2608"/>
      <c r="L108" s="2608"/>
      <c r="M108" s="2608"/>
      <c r="N108" s="2608"/>
      <c r="O108" s="2608"/>
      <c r="P108" s="2608"/>
    </row>
    <row r="109" spans="2:16">
      <c r="B109" s="2608"/>
      <c r="C109" s="2608"/>
      <c r="D109" s="2608"/>
      <c r="G109" s="2608"/>
      <c r="H109" s="2608"/>
      <c r="I109" s="2608"/>
      <c r="J109" s="2608"/>
      <c r="K109" s="2608"/>
      <c r="L109" s="2608"/>
      <c r="M109" s="2608"/>
      <c r="N109" s="2608"/>
      <c r="O109" s="2608"/>
      <c r="P109" s="2608"/>
    </row>
    <row r="110" spans="2:16">
      <c r="G110" s="2608"/>
      <c r="H110" s="2608"/>
      <c r="I110" s="2608"/>
      <c r="J110" s="2608"/>
      <c r="K110" s="2608"/>
      <c r="L110" s="2608"/>
      <c r="M110" s="2608"/>
      <c r="N110" s="2608"/>
      <c r="O110" s="2608"/>
      <c r="P110" s="2608"/>
    </row>
    <row r="111" spans="2:16">
      <c r="G111" s="2608"/>
      <c r="H111" s="2608"/>
      <c r="I111" s="2608"/>
      <c r="J111" s="2608"/>
      <c r="K111" s="2608"/>
      <c r="L111" s="2608"/>
      <c r="M111" s="2608"/>
      <c r="N111" s="2608"/>
      <c r="O111" s="2608"/>
      <c r="P111" s="2608"/>
    </row>
    <row r="112" spans="2:16">
      <c r="G112" s="2608"/>
      <c r="H112" s="2608"/>
      <c r="I112" s="2608"/>
      <c r="J112" s="2608"/>
      <c r="K112" s="2608"/>
      <c r="L112" s="2608"/>
      <c r="M112" s="2608"/>
      <c r="N112" s="2608"/>
      <c r="O112" s="2608"/>
      <c r="P112" s="2608"/>
    </row>
    <row r="113" spans="2:16">
      <c r="G113" s="2608"/>
      <c r="H113" s="2608"/>
      <c r="I113" s="2608"/>
      <c r="J113" s="2608"/>
      <c r="K113" s="2608"/>
      <c r="L113" s="2608"/>
      <c r="M113" s="2608"/>
      <c r="N113" s="2608"/>
      <c r="O113" s="2608"/>
      <c r="P113" s="2608"/>
    </row>
    <row r="114" spans="2:16">
      <c r="G114" s="2608"/>
      <c r="H114" s="2608"/>
      <c r="I114" s="2608"/>
      <c r="J114" s="2608"/>
      <c r="K114" s="2608"/>
      <c r="L114" s="2608"/>
      <c r="M114" s="2608"/>
      <c r="N114" s="2608"/>
      <c r="O114" s="2608"/>
      <c r="P114" s="2608"/>
    </row>
    <row r="115" spans="2:16">
      <c r="G115" s="2608"/>
      <c r="H115" s="2608"/>
      <c r="I115" s="2608"/>
      <c r="J115" s="2608"/>
      <c r="K115" s="2608"/>
      <c r="L115" s="2608"/>
      <c r="M115" s="2608"/>
      <c r="N115" s="2608"/>
      <c r="O115" s="2608"/>
      <c r="P115" s="2608"/>
    </row>
    <row r="116" spans="2:16">
      <c r="G116" s="2608"/>
      <c r="H116" s="2608"/>
      <c r="I116" s="2608"/>
      <c r="J116" s="2608"/>
      <c r="K116" s="2608"/>
      <c r="L116" s="2608"/>
      <c r="M116" s="2608"/>
      <c r="N116" s="2608"/>
      <c r="O116" s="2608"/>
      <c r="P116" s="2608"/>
    </row>
    <row r="117" spans="2:16">
      <c r="G117" s="2608"/>
      <c r="H117" s="2608"/>
      <c r="I117" s="2608"/>
      <c r="J117" s="2608"/>
      <c r="K117" s="2608"/>
      <c r="L117" s="2608"/>
      <c r="M117" s="2608"/>
      <c r="N117" s="2608"/>
      <c r="O117" s="2608"/>
      <c r="P117" s="2608"/>
    </row>
    <row r="118" spans="2:16">
      <c r="B118" s="440"/>
      <c r="C118" s="29"/>
      <c r="G118" s="2608"/>
      <c r="H118" s="2608"/>
      <c r="I118" s="2608"/>
      <c r="J118" s="2608"/>
      <c r="K118" s="2608"/>
      <c r="L118" s="2608"/>
      <c r="M118" s="2608"/>
      <c r="N118" s="2608"/>
      <c r="O118" s="2608"/>
      <c r="P118" s="2608"/>
    </row>
    <row r="119" spans="2:16">
      <c r="B119" s="440"/>
      <c r="C119" s="29"/>
      <c r="G119" s="2608"/>
      <c r="H119" s="2608"/>
      <c r="I119" s="2608"/>
      <c r="J119" s="2608"/>
      <c r="K119" s="2608"/>
      <c r="L119" s="2608"/>
      <c r="M119" s="2608"/>
      <c r="N119" s="2608"/>
      <c r="O119" s="2608"/>
      <c r="P119" s="2608"/>
    </row>
    <row r="120" spans="2:16">
      <c r="B120" s="440"/>
      <c r="C120" s="29"/>
      <c r="G120" s="2608"/>
      <c r="H120" s="2608"/>
      <c r="I120" s="2608"/>
      <c r="J120" s="2608"/>
      <c r="K120" s="2608"/>
      <c r="L120" s="2608"/>
      <c r="M120" s="2608"/>
      <c r="N120" s="2608"/>
      <c r="O120" s="2608"/>
      <c r="P120" s="2608"/>
    </row>
    <row r="121" spans="2:16">
      <c r="B121" s="440"/>
      <c r="C121" s="29"/>
      <c r="G121" s="2608"/>
      <c r="H121" s="2608"/>
      <c r="I121" s="2608"/>
      <c r="J121" s="2608"/>
      <c r="K121" s="2608"/>
      <c r="L121" s="2608"/>
      <c r="M121" s="2608"/>
      <c r="N121" s="2608"/>
      <c r="O121" s="2608"/>
      <c r="P121" s="2608"/>
    </row>
    <row r="122" spans="2:16">
      <c r="B122" s="440"/>
      <c r="C122" s="29"/>
      <c r="G122" s="2608"/>
      <c r="H122" s="2608"/>
      <c r="I122" s="2608"/>
      <c r="J122" s="2608"/>
      <c r="K122" s="2608"/>
      <c r="L122" s="2608"/>
      <c r="M122" s="2608"/>
      <c r="N122" s="2608"/>
      <c r="O122" s="2608"/>
      <c r="P122" s="2608"/>
    </row>
    <row r="123" spans="2:16">
      <c r="B123" s="440"/>
      <c r="C123" s="29"/>
      <c r="G123" s="2608"/>
      <c r="H123" s="2608"/>
      <c r="I123" s="2608"/>
      <c r="J123" s="2608"/>
      <c r="K123" s="2608"/>
      <c r="L123" s="2608"/>
      <c r="M123" s="2608"/>
      <c r="N123" s="2608"/>
      <c r="O123" s="2608"/>
      <c r="P123" s="2608"/>
    </row>
    <row r="124" spans="2:16">
      <c r="B124" s="440"/>
      <c r="C124" s="29"/>
      <c r="G124" s="2608"/>
      <c r="H124" s="2608"/>
      <c r="I124" s="2608"/>
      <c r="J124" s="2608"/>
      <c r="K124" s="2608"/>
      <c r="L124" s="2608"/>
      <c r="M124" s="2608"/>
      <c r="N124" s="2608"/>
      <c r="O124" s="2608"/>
      <c r="P124" s="2608"/>
    </row>
    <row r="125" spans="2:16">
      <c r="B125" s="440"/>
      <c r="C125" s="29"/>
      <c r="G125" s="2608"/>
      <c r="H125" s="2608"/>
      <c r="I125" s="2608"/>
      <c r="J125" s="2608"/>
      <c r="K125" s="2608"/>
      <c r="L125" s="2608"/>
      <c r="M125" s="2608"/>
      <c r="N125" s="2608"/>
      <c r="O125" s="2608"/>
      <c r="P125" s="2608"/>
    </row>
    <row r="126" spans="2:16">
      <c r="B126" s="440"/>
      <c r="C126" s="29"/>
      <c r="G126" s="2608"/>
      <c r="H126" s="2608"/>
      <c r="I126" s="2608"/>
      <c r="J126" s="2608"/>
      <c r="K126" s="2608"/>
      <c r="L126" s="2608"/>
      <c r="M126" s="2608"/>
      <c r="N126" s="2608"/>
      <c r="O126" s="2608"/>
      <c r="P126" s="2608"/>
    </row>
    <row r="127" spans="2:16">
      <c r="B127" s="440"/>
      <c r="C127" s="29"/>
      <c r="G127" s="2608"/>
      <c r="H127" s="2608"/>
      <c r="I127" s="2608"/>
      <c r="J127" s="2608"/>
      <c r="K127" s="2608"/>
      <c r="L127" s="2608"/>
      <c r="M127" s="2608"/>
      <c r="N127" s="2608"/>
      <c r="O127" s="2608"/>
      <c r="P127" s="2608"/>
    </row>
    <row r="128" spans="2:16">
      <c r="B128" s="440"/>
      <c r="C128" s="29"/>
      <c r="G128" s="2608"/>
      <c r="H128" s="2608"/>
      <c r="I128" s="2608"/>
      <c r="J128" s="2608"/>
      <c r="K128" s="2608"/>
      <c r="L128" s="2608"/>
      <c r="M128" s="2608"/>
      <c r="N128" s="2608"/>
      <c r="O128" s="2608"/>
      <c r="P128" s="2608"/>
    </row>
    <row r="129" spans="2:16">
      <c r="B129" s="440"/>
      <c r="C129" s="29"/>
      <c r="G129" s="2608"/>
      <c r="H129" s="2608"/>
      <c r="I129" s="2608"/>
      <c r="J129" s="2608"/>
      <c r="K129" s="2608"/>
      <c r="L129" s="2608"/>
      <c r="M129" s="2608"/>
      <c r="N129" s="2608"/>
      <c r="O129" s="2608"/>
      <c r="P129" s="2608"/>
    </row>
    <row r="130" spans="2:16">
      <c r="B130" s="440"/>
      <c r="C130" s="29"/>
      <c r="G130" s="2608"/>
      <c r="H130" s="2608"/>
      <c r="I130" s="2608"/>
      <c r="J130" s="2608"/>
      <c r="K130" s="2608"/>
      <c r="L130" s="2608"/>
      <c r="M130" s="2608"/>
      <c r="N130" s="2608"/>
      <c r="O130" s="2608"/>
      <c r="P130" s="2608"/>
    </row>
    <row r="131" spans="2:16">
      <c r="B131" s="440"/>
      <c r="C131" s="29"/>
      <c r="G131" s="2608"/>
      <c r="H131" s="2608"/>
      <c r="I131" s="2608"/>
      <c r="J131" s="2608"/>
      <c r="K131" s="2608"/>
      <c r="L131" s="2608"/>
      <c r="M131" s="2608"/>
      <c r="N131" s="2608"/>
      <c r="O131" s="2608"/>
      <c r="P131" s="2608"/>
    </row>
    <row r="132" spans="2:16">
      <c r="B132" s="440"/>
      <c r="C132" s="29"/>
      <c r="G132" s="2608"/>
      <c r="H132" s="2608"/>
      <c r="I132" s="2608"/>
      <c r="J132" s="2608"/>
      <c r="K132" s="2608"/>
      <c r="L132" s="2608"/>
      <c r="M132" s="2608"/>
      <c r="N132" s="2608"/>
      <c r="O132" s="2608"/>
      <c r="P132" s="2608"/>
    </row>
    <row r="133" spans="2:16">
      <c r="B133" s="440"/>
      <c r="C133" s="29"/>
      <c r="G133" s="2608"/>
      <c r="H133" s="2608"/>
      <c r="I133" s="2608"/>
      <c r="J133" s="2608"/>
      <c r="K133" s="2608"/>
      <c r="L133" s="2608"/>
      <c r="M133" s="2608"/>
      <c r="N133" s="2608"/>
      <c r="O133" s="2608"/>
      <c r="P133" s="2608"/>
    </row>
    <row r="134" spans="2:16">
      <c r="B134" s="440"/>
      <c r="C134" s="29"/>
      <c r="G134" s="2608"/>
      <c r="H134" s="2608"/>
      <c r="I134" s="2608"/>
      <c r="J134" s="2608"/>
      <c r="K134" s="2608"/>
      <c r="L134" s="2608"/>
      <c r="M134" s="2608"/>
      <c r="N134" s="2608"/>
      <c r="O134" s="2608"/>
      <c r="P134" s="2608"/>
    </row>
    <row r="135" spans="2:16">
      <c r="B135" s="440"/>
      <c r="C135" s="29"/>
      <c r="G135" s="2608"/>
      <c r="H135" s="2608"/>
      <c r="I135" s="2608"/>
      <c r="J135" s="2608"/>
      <c r="K135" s="2608"/>
      <c r="L135" s="2608"/>
      <c r="M135" s="2608"/>
      <c r="N135" s="2608"/>
      <c r="O135" s="2608"/>
      <c r="P135" s="2608"/>
    </row>
    <row r="136" spans="2:16">
      <c r="B136" s="440"/>
      <c r="C136" s="29"/>
      <c r="G136" s="2608"/>
      <c r="H136" s="2608"/>
      <c r="I136" s="2608"/>
      <c r="J136" s="2608"/>
      <c r="K136" s="2608"/>
      <c r="L136" s="2608"/>
      <c r="M136" s="2608"/>
      <c r="N136" s="2608"/>
      <c r="O136" s="2608"/>
      <c r="P136" s="2608"/>
    </row>
    <row r="137" spans="2:16">
      <c r="B137" s="440"/>
      <c r="C137" s="29"/>
      <c r="G137" s="2608"/>
      <c r="H137" s="2608"/>
      <c r="I137" s="2608"/>
      <c r="J137" s="2608"/>
      <c r="K137" s="2608"/>
      <c r="L137" s="2608"/>
      <c r="M137" s="2608"/>
      <c r="N137" s="2608"/>
      <c r="O137" s="2608"/>
      <c r="P137" s="2608"/>
    </row>
    <row r="138" spans="2:16">
      <c r="B138" s="440"/>
      <c r="C138" s="29"/>
      <c r="G138" s="2608"/>
      <c r="H138" s="2608"/>
      <c r="I138" s="2608"/>
      <c r="J138" s="2608"/>
      <c r="K138" s="2608"/>
      <c r="L138" s="2608"/>
      <c r="M138" s="2608"/>
      <c r="N138" s="2608"/>
      <c r="O138" s="2608"/>
      <c r="P138" s="2608"/>
    </row>
    <row r="139" spans="2:16">
      <c r="B139" s="440"/>
      <c r="C139" s="29"/>
      <c r="L139" s="29"/>
    </row>
    <row r="140" spans="2:16">
      <c r="B140" s="440"/>
      <c r="C140" s="29"/>
      <c r="L140" s="29"/>
    </row>
    <row r="141" spans="2:16">
      <c r="B141" s="440"/>
      <c r="C141" s="29"/>
      <c r="L141" s="29"/>
    </row>
    <row r="142" spans="2:16">
      <c r="B142" s="440"/>
      <c r="C142" s="29"/>
      <c r="L142" s="29"/>
    </row>
    <row r="143" spans="2:16">
      <c r="B143" s="440"/>
      <c r="C143" s="29"/>
      <c r="L143" s="29"/>
    </row>
    <row r="144" spans="2:16">
      <c r="B144" s="440"/>
      <c r="C144" s="29"/>
      <c r="L144" s="29"/>
    </row>
    <row r="145" spans="2:12">
      <c r="B145" s="440"/>
      <c r="C145" s="29"/>
      <c r="L145" s="29"/>
    </row>
    <row r="146" spans="2:12">
      <c r="B146" s="440"/>
      <c r="C146" s="29"/>
      <c r="L146" s="29"/>
    </row>
    <row r="147" spans="2:12">
      <c r="B147" s="440"/>
      <c r="C147" s="29"/>
    </row>
    <row r="148" spans="2:12">
      <c r="B148" s="440"/>
      <c r="C148" s="29"/>
    </row>
    <row r="149" spans="2:12">
      <c r="B149" s="440"/>
      <c r="C149" s="29"/>
    </row>
    <row r="150" spans="2:12">
      <c r="B150" s="440"/>
      <c r="C150" s="29"/>
    </row>
    <row r="151" spans="2:12">
      <c r="B151" s="440"/>
      <c r="C151" s="29"/>
    </row>
    <row r="152" spans="2:12">
      <c r="B152" s="440"/>
      <c r="C152" s="29"/>
    </row>
    <row r="153" spans="2:12">
      <c r="B153" s="440"/>
      <c r="C153" s="29"/>
    </row>
    <row r="154" spans="2:12">
      <c r="B154" s="440"/>
      <c r="C154" s="29"/>
      <c r="D154" s="29"/>
      <c r="F154" s="29"/>
      <c r="G154" s="29"/>
      <c r="H154" s="29"/>
      <c r="I154" s="29"/>
      <c r="J154" s="29"/>
      <c r="K154" s="29"/>
    </row>
    <row r="155" spans="2:12">
      <c r="B155" s="440"/>
      <c r="C155" s="29"/>
      <c r="D155" s="29"/>
      <c r="F155" s="29"/>
      <c r="G155" s="29"/>
      <c r="H155" s="29"/>
      <c r="I155" s="29"/>
      <c r="J155" s="29"/>
      <c r="K155" s="29"/>
    </row>
    <row r="156" spans="2:12">
      <c r="B156" s="440"/>
      <c r="C156" s="29"/>
      <c r="D156" s="29"/>
      <c r="F156" s="29"/>
      <c r="G156" s="29"/>
      <c r="H156" s="29"/>
      <c r="I156" s="29"/>
      <c r="J156" s="29"/>
      <c r="K156" s="29"/>
    </row>
    <row r="157" spans="2:12">
      <c r="B157" s="440"/>
      <c r="C157" s="29"/>
    </row>
    <row r="158" spans="2:12">
      <c r="B158" s="440"/>
      <c r="C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electLockedCells="1"/>
  <customSheetViews>
    <customSheetView guid="{8063F48F-80B5-4ECD-B18A-51CBF126E780}" fitToPage="1" hiddenRows="1" hiddenColumns="1" state="hidden">
      <pageMargins left="0.59055118110236227" right="0.57999999999999996" top="0.59055118110236227" bottom="0.59055118110236227" header="0.39370078740157483" footer="0.39370078740157483"/>
      <printOptions horizontalCentered="1"/>
      <pageSetup paperSize="9" scale="70" firstPageNumber="82" orientation="portrait" r:id="rId1"/>
      <headerFooter alignWithMargins="0">
        <oddFooter>&amp;L&amp;11LEL Schwäbisch Gmünd&amp;R&amp;11&amp;F</oddFooter>
      </headerFooter>
    </customSheetView>
    <customSheetView guid="{5D5C9B61-9ABD-4513-AAEB-8333A9D6196C}" fitToPage="1" hiddenRows="1" hiddenColumns="1" state="hidden">
      <pageMargins left="0.59055118110236227" right="0.57999999999999996" top="0.59055118110236227" bottom="0.59055118110236227" header="0.39370078740157483" footer="0.39370078740157483"/>
      <printOptions horizontalCentered="1"/>
      <pageSetup paperSize="9" scale="70" firstPageNumber="82" orientation="portrait" r:id="rId2"/>
      <headerFooter alignWithMargins="0">
        <oddFooter>&amp;L&amp;11LEL Schwäbisch Gmünd&amp;R&amp;11&amp;F</oddFooter>
      </headerFooter>
    </customSheetView>
    <customSheetView guid="{22A73C4F-9004-4CEF-8499-B1F91BE1B569}" fitToPage="1" hiddenRows="1" hiddenColumns="1" state="hidden">
      <pageMargins left="0.59055118110236227" right="0.57999999999999996" top="0.59055118110236227" bottom="0.59055118110236227" header="0.39370078740157483" footer="0.39370078740157483"/>
      <printOptions horizontalCentered="1"/>
      <pageSetup paperSize="9" scale="70" firstPageNumber="82" orientation="portrait" r:id="rId3"/>
      <headerFooter alignWithMargins="0">
        <oddFooter>&amp;L&amp;11LEL Schwäbisch Gmünd&amp;R&amp;11&amp;F</oddFooter>
      </headerFooter>
    </customSheetView>
  </customSheetViews>
  <mergeCells count="49">
    <mergeCell ref="C21:F21"/>
    <mergeCell ref="C20:F20"/>
    <mergeCell ref="C78:F78"/>
    <mergeCell ref="C79:F79"/>
    <mergeCell ref="C15:F15"/>
    <mergeCell ref="C16:F16"/>
    <mergeCell ref="C17:F17"/>
    <mergeCell ref="C41:E41"/>
    <mergeCell ref="C36:E36"/>
    <mergeCell ref="C37:E37"/>
    <mergeCell ref="C19:F19"/>
    <mergeCell ref="F23:G23"/>
    <mergeCell ref="D25:E25"/>
    <mergeCell ref="D26:E26"/>
    <mergeCell ref="C38:E38"/>
    <mergeCell ref="E22:G22"/>
    <mergeCell ref="B75:C75"/>
    <mergeCell ref="F34:G34"/>
    <mergeCell ref="K1:L1"/>
    <mergeCell ref="N1:O1"/>
    <mergeCell ref="K2:P2"/>
    <mergeCell ref="E4:I4"/>
    <mergeCell ref="G1:I1"/>
    <mergeCell ref="H6:I6"/>
    <mergeCell ref="K6:L6"/>
    <mergeCell ref="N6:O6"/>
    <mergeCell ref="E10:F10"/>
    <mergeCell ref="C14:F14"/>
    <mergeCell ref="C42:E42"/>
    <mergeCell ref="C57:D57"/>
    <mergeCell ref="C64:E64"/>
    <mergeCell ref="C39:E39"/>
    <mergeCell ref="C40:E40"/>
    <mergeCell ref="C62:E62"/>
    <mergeCell ref="C63:E63"/>
    <mergeCell ref="C68:E68"/>
    <mergeCell ref="C73:E73"/>
    <mergeCell ref="C74:E74"/>
    <mergeCell ref="C46:D46"/>
    <mergeCell ref="C49:D49"/>
    <mergeCell ref="C50:D50"/>
    <mergeCell ref="C47:D47"/>
    <mergeCell ref="C48:D48"/>
    <mergeCell ref="C56:D56"/>
    <mergeCell ref="C51:D51"/>
    <mergeCell ref="C52:D52"/>
    <mergeCell ref="C55:D55"/>
    <mergeCell ref="C53:D53"/>
    <mergeCell ref="C54:D54"/>
  </mergeCells>
  <dataValidations count="7">
    <dataValidation type="whole" allowBlank="1" showInputMessage="1" showErrorMessage="1" errorTitle="Anteil Erntegut" error="Prozentwert darf nur zwischen 0 und 100 liegen." sqref="O68 L68 I68" xr:uid="{00000000-0002-0000-4C00-000000000000}">
      <formula1>0</formula1>
      <formula2>100</formula2>
    </dataValidation>
    <dataValidation type="decimal" allowBlank="1" showInputMessage="1" showErrorMessage="1" errorTitle="Wassergehalt Getreide" error="Zulässig sind nur Werte zwischen 14,1 und 22,0 % Wassergehalt." sqref="H68 N68" xr:uid="{00000000-0002-0000-4C00-000001000000}">
      <formula1>9</formula1>
      <formula2>30</formula2>
    </dataValidation>
    <dataValidation type="list" allowBlank="1" showInputMessage="1" showErrorMessage="1" sqref="C37:E42" xr:uid="{00000000-0002-0000-4C00-000002000000}">
      <formula1>$C$120:$C$145</formula1>
    </dataValidation>
    <dataValidation type="list" showInputMessage="1" showErrorMessage="1" sqref="H14 K14 N14" xr:uid="{00000000-0002-0000-4C00-000003000000}">
      <formula1>"ja,nein"</formula1>
    </dataValidation>
    <dataValidation type="list" allowBlank="1" showInputMessage="1" showErrorMessage="1" sqref="H15:H17 K15:K17 N15:N17" xr:uid="{00000000-0002-0000-4C00-000004000000}">
      <formula1>"ja,nein"</formula1>
    </dataValidation>
    <dataValidation type="decimal" allowBlank="1" showInputMessage="1" showErrorMessage="1" errorTitle="Wassergehalt Getreide" error="Zulässig sind nur Werte zwischen 9,0 und 23,9 % Wassergehalt." sqref="K68" xr:uid="{00000000-0002-0000-4C00-000005000000}">
      <formula1>9</formula1>
      <formula2>30</formula2>
    </dataValidation>
    <dataValidation type="list" allowBlank="1" showInputMessage="1" showErrorMessage="1" sqref="D19:F19" xr:uid="{00000000-0002-0000-4C00-000006000000}">
      <formula1>$C$60:$C$75</formula1>
    </dataValidation>
  </dataValidations>
  <hyperlinks>
    <hyperlink ref="F9" location="SDÖ1!A1" display="Preis ändern" xr:uid="{00000000-0004-0000-4C00-000000000000}"/>
  </hyperlinks>
  <printOptions horizontalCentered="1"/>
  <pageMargins left="0.59055118110236227" right="0.57999999999999996" top="0.59055118110236227" bottom="0.59055118110236227" header="0.39370078740157483" footer="0.39370078740157483"/>
  <pageSetup paperSize="9" scale="70" firstPageNumber="82" orientation="portrait" r:id="rId4"/>
  <headerFooter alignWithMargins="0">
    <oddFooter>&amp;L&amp;11LEL Schwäbisch Gmünd&amp;R&amp;11&amp;F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C00-000007000000}">
          <x14:formula1>
            <xm:f>'SD2'!$C$11:$C$50</xm:f>
          </x14:formula1>
          <xm:sqref>C14:F17</xm:sqref>
        </x14:dataValidation>
        <x14:dataValidation type="list" allowBlank="1" showInputMessage="1" showErrorMessage="1" xr:uid="{00000000-0002-0000-4C00-000008000000}">
          <x14:formula1>
            <xm:f>'SD2'!$C$60:$C$77</xm:f>
          </x14:formula1>
          <xm:sqref>C19:C21</xm:sqref>
        </x14:dataValidation>
        <x14:dataValidation type="list" allowBlank="1" showInputMessage="1" showErrorMessage="1" xr:uid="{00000000-0002-0000-4C00-000009000000}">
          <x14:formula1>
            <xm:f>SDÖ5!$C$5:$C$16</xm:f>
          </x14:formula1>
          <xm:sqref>C36:E36</xm:sqref>
        </x14:dataValidation>
        <x14:dataValidation type="list" allowBlank="1" showInputMessage="1" showErrorMessage="1" errorTitle="Arbeitsgänge" error="Bitte aus Dropdownliste auswählen." xr:uid="{00000000-0002-0000-4C00-00000A000000}">
          <x14:formula1>
            <xm:f>'SD3'!$C$23:$C$75</xm:f>
          </x14:formula1>
          <xm:sqref>C46:D57</xm:sqref>
        </x14:dataValidation>
        <x14:dataValidation type="list" allowBlank="1" showInputMessage="1" showErrorMessage="1" errorTitle="Lohnmaschinen" error="Bitte aus Dropdownliste auswählen." xr:uid="{00000000-0002-0000-4C00-00000B000000}">
          <x14:formula1>
            <xm:f>'SD3'!$C$90:$C$104</xm:f>
          </x14:formula1>
          <xm:sqref>C62:E64</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Tabelle90">
    <tabColor rgb="FFFF0000"/>
    <pageSetUpPr fitToPage="1"/>
  </sheetPr>
  <dimension ref="A1:AO210"/>
  <sheetViews>
    <sheetView workbookViewId="0"/>
  </sheetViews>
  <sheetFormatPr baseColWidth="10" defaultColWidth="10.5" defaultRowHeight="13.2"/>
  <cols>
    <col min="1" max="1" width="1.5" style="1707" customWidth="1"/>
    <col min="2" max="2" width="3.19921875" style="1707" customWidth="1"/>
    <col min="3" max="3" width="13.19921875" style="1707" customWidth="1"/>
    <col min="4" max="6" width="9.19921875" style="1707" customWidth="1"/>
    <col min="7" max="7" width="9.19921875" style="35" customWidth="1"/>
    <col min="8" max="9" width="7.19921875" style="1707" customWidth="1"/>
    <col min="10" max="10" width="8.5" style="1707" customWidth="1"/>
    <col min="11" max="16" width="7.19921875" style="1707" customWidth="1"/>
    <col min="17" max="17" width="30.8984375" style="1707" hidden="1" customWidth="1"/>
    <col min="18" max="28" width="0" style="1711" hidden="1" customWidth="1"/>
    <col min="29" max="16384" width="10.5" style="1711"/>
  </cols>
  <sheetData>
    <row r="1" spans="1:41" s="219" customFormat="1" ht="30.15" customHeight="1">
      <c r="A1" s="1681"/>
      <c r="B1" s="258"/>
      <c r="C1" s="1333"/>
      <c r="D1" s="100"/>
      <c r="E1" s="255"/>
      <c r="F1" s="255"/>
      <c r="G1" s="4477" t="s">
        <v>1136</v>
      </c>
      <c r="H1" s="4477"/>
      <c r="I1" s="4477"/>
      <c r="J1" s="1332" t="e">
        <f>(J7+J13+J19+J22+I11+I12)-(J23+J27+J34+J43+J63+J59+J68+J70+J72+J76)</f>
        <v>#N/A</v>
      </c>
      <c r="K1" s="4476" t="e">
        <f>M1-J1</f>
        <v>#N/A</v>
      </c>
      <c r="L1" s="4476"/>
      <c r="M1" s="1332" t="e">
        <f>(M7+M13+M19+M22+L11+L12)-(M23+M27+M34+M43+M63+M59+M68+M70+M72+M76)</f>
        <v>#N/A</v>
      </c>
      <c r="N1" s="4476" t="e">
        <f>P1-M1</f>
        <v>#N/A</v>
      </c>
      <c r="O1" s="4476"/>
      <c r="P1" s="1332" t="e">
        <f>(P7+P13+P19+P22+O11+O12)-(P23+P27+P34+P43+P63+P59+P68+P70+P72+P76)</f>
        <v>#N/A</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1365</v>
      </c>
      <c r="L2" s="4372"/>
      <c r="M2" s="4372"/>
      <c r="N2" s="4372"/>
      <c r="O2" s="4372"/>
      <c r="P2" s="4372"/>
      <c r="Q2" s="1681"/>
    </row>
    <row r="3" spans="1:41" s="219" customFormat="1" ht="21.75" customHeight="1">
      <c r="A3" s="1681"/>
      <c r="B3" s="1329" t="s">
        <v>1135</v>
      </c>
      <c r="G3" s="1317"/>
      <c r="H3" s="1328"/>
      <c r="N3" s="4444"/>
      <c r="O3" s="4374"/>
      <c r="P3" s="1326"/>
      <c r="Q3" s="1681"/>
      <c r="T3" s="1343" t="b">
        <v>0</v>
      </c>
      <c r="W3" s="4368" t="s">
        <v>886</v>
      </c>
      <c r="X3" s="4447"/>
      <c r="Y3" s="4447"/>
      <c r="Z3" s="1327"/>
      <c r="AA3" s="1327"/>
    </row>
    <row r="4" spans="1:41" s="219" customFormat="1" ht="20.25" customHeight="1">
      <c r="A4" s="1681"/>
      <c r="B4" s="309" t="s">
        <v>779</v>
      </c>
      <c r="C4" s="1711"/>
      <c r="D4" s="1711"/>
      <c r="E4" s="4406" t="s">
        <v>890</v>
      </c>
      <c r="F4" s="4406"/>
      <c r="G4" s="4406"/>
      <c r="H4" s="4406"/>
      <c r="I4" s="4406"/>
      <c r="N4" s="4374"/>
      <c r="O4" s="4374"/>
      <c r="P4" s="1322">
        <f>SDÖ1!O3</f>
        <v>2024</v>
      </c>
      <c r="Q4" s="1681"/>
      <c r="T4" s="1343"/>
      <c r="W4" s="4368" t="s">
        <v>875</v>
      </c>
      <c r="X4" s="4447"/>
      <c r="Y4" s="4447"/>
      <c r="Z4" s="1696"/>
      <c r="AA4" s="1696"/>
    </row>
    <row r="5" spans="1:41" ht="6" customHeight="1" thickBot="1"/>
    <row r="6" spans="1:41" s="1311" customFormat="1" ht="24" customHeight="1">
      <c r="A6" s="41"/>
      <c r="B6" s="1680" t="s">
        <v>832</v>
      </c>
      <c r="C6" s="1679"/>
      <c r="D6" s="1679"/>
      <c r="E6" s="1679"/>
      <c r="F6" s="1679"/>
      <c r="G6" s="1687" t="s">
        <v>1141</v>
      </c>
      <c r="H6" s="4504" t="s">
        <v>171</v>
      </c>
      <c r="I6" s="4505"/>
      <c r="J6" s="1678">
        <v>2</v>
      </c>
      <c r="K6" s="4506" t="s">
        <v>144</v>
      </c>
      <c r="L6" s="4507"/>
      <c r="M6" s="1678">
        <v>4</v>
      </c>
      <c r="N6" s="4504" t="s">
        <v>170</v>
      </c>
      <c r="O6" s="4505"/>
      <c r="P6" s="1677">
        <v>6</v>
      </c>
      <c r="Q6" s="49"/>
    </row>
    <row r="7" spans="1:41" s="196" customFormat="1" ht="18.75" customHeight="1">
      <c r="A7" s="40"/>
      <c r="B7" s="1676" t="s">
        <v>1133</v>
      </c>
      <c r="C7" s="40"/>
      <c r="D7" s="40"/>
      <c r="E7" s="40"/>
      <c r="F7" s="40"/>
      <c r="G7" s="1675" t="s">
        <v>163</v>
      </c>
      <c r="H7" s="1307"/>
      <c r="I7" s="1306"/>
      <c r="J7" s="1041">
        <f>SUM(I9:I10)</f>
        <v>0</v>
      </c>
      <c r="K7" s="1309"/>
      <c r="L7" s="1308"/>
      <c r="M7" s="1044">
        <f>SUM(L9:L10)</f>
        <v>0</v>
      </c>
      <c r="N7" s="1307"/>
      <c r="O7" s="1306"/>
      <c r="P7" s="1589">
        <f>SUM(O9:O10)</f>
        <v>0</v>
      </c>
      <c r="Q7" s="1707"/>
    </row>
    <row r="8" spans="1:41" s="196" customFormat="1" ht="13.2" customHeight="1">
      <c r="A8" s="40"/>
      <c r="B8" s="1665"/>
      <c r="C8" s="1305"/>
      <c r="D8" s="1305"/>
      <c r="E8" s="1305"/>
      <c r="F8" s="1305"/>
      <c r="G8" s="1585" t="s">
        <v>220</v>
      </c>
      <c r="H8" s="1655" t="s">
        <v>164</v>
      </c>
      <c r="I8" s="1581" t="s">
        <v>163</v>
      </c>
      <c r="J8" s="1026"/>
      <c r="K8" s="1657" t="s">
        <v>164</v>
      </c>
      <c r="L8" s="1583" t="s">
        <v>163</v>
      </c>
      <c r="M8" s="1227"/>
      <c r="N8" s="1655" t="s">
        <v>164</v>
      </c>
      <c r="O8" s="1581" t="s">
        <v>163</v>
      </c>
      <c r="P8" s="1580"/>
      <c r="Q8" s="1707"/>
    </row>
    <row r="9" spans="1:41" s="196" customFormat="1" ht="16.5" customHeight="1">
      <c r="A9" s="40"/>
      <c r="B9" s="1591"/>
      <c r="C9" s="39" t="s">
        <v>1132</v>
      </c>
      <c r="D9" s="40"/>
      <c r="E9" s="40"/>
      <c r="F9" s="40"/>
      <c r="G9" s="1221">
        <f>SDÖ1!O33</f>
        <v>0</v>
      </c>
      <c r="H9" s="1303">
        <f>J6-H10</f>
        <v>2</v>
      </c>
      <c r="I9" s="1299">
        <f>H9*G9</f>
        <v>0</v>
      </c>
      <c r="J9" s="37"/>
      <c r="K9" s="1302">
        <f>M6-K10</f>
        <v>4</v>
      </c>
      <c r="L9" s="1301">
        <f>K9*G9</f>
        <v>0</v>
      </c>
      <c r="M9" s="1280"/>
      <c r="N9" s="1300">
        <f>P6-N10</f>
        <v>6</v>
      </c>
      <c r="O9" s="1299">
        <f>N9*G9</f>
        <v>0</v>
      </c>
      <c r="P9" s="216"/>
      <c r="Q9" s="1707"/>
      <c r="R9" s="517"/>
      <c r="S9" s="208" t="s">
        <v>887</v>
      </c>
      <c r="T9" s="1298"/>
    </row>
    <row r="10" spans="1:41" s="1268" customFormat="1" ht="15" customHeight="1">
      <c r="A10" s="309"/>
      <c r="B10" s="1492"/>
      <c r="C10" s="223" t="s">
        <v>1131</v>
      </c>
      <c r="D10" s="1277"/>
      <c r="E10" s="4508" t="s">
        <v>1364</v>
      </c>
      <c r="F10" s="4509"/>
      <c r="G10" s="1297"/>
      <c r="H10" s="1377"/>
      <c r="I10" s="1291">
        <f>H10*G10</f>
        <v>0</v>
      </c>
      <c r="K10" s="1377"/>
      <c r="L10" s="1294">
        <f>K10*G10</f>
        <v>0</v>
      </c>
      <c r="M10" s="1293"/>
      <c r="N10" s="1377"/>
      <c r="O10" s="1291">
        <f>N10*G10</f>
        <v>0</v>
      </c>
      <c r="P10" s="1674"/>
      <c r="Q10" s="34"/>
      <c r="R10" s="1289">
        <f>I10+I11+I12</f>
        <v>0</v>
      </c>
      <c r="S10" s="1288">
        <f>L10+L11+L12</f>
        <v>0</v>
      </c>
      <c r="T10" s="1287">
        <f>O10+O11+O12</f>
        <v>0</v>
      </c>
      <c r="W10" s="196" t="s">
        <v>879</v>
      </c>
    </row>
    <row r="11" spans="1:41" s="1268" customFormat="1" ht="15" customHeight="1">
      <c r="A11" s="309"/>
      <c r="B11" s="218"/>
      <c r="C11" s="39" t="s">
        <v>878</v>
      </c>
      <c r="D11" s="309"/>
      <c r="E11" s="1673"/>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216"/>
      <c r="Q11" s="34"/>
      <c r="W11" s="1268" t="s">
        <v>876</v>
      </c>
    </row>
    <row r="12" spans="1:41" s="1268" customFormat="1" ht="15" customHeight="1">
      <c r="A12" s="309"/>
      <c r="B12" s="1492"/>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216"/>
      <c r="Q12" s="34"/>
      <c r="U12" s="196"/>
      <c r="V12" s="196"/>
      <c r="W12" s="1266" t="s">
        <v>872</v>
      </c>
      <c r="X12" s="1264" t="str">
        <f>IF(OR(T3=TRUE,T4=TRUE),J6*$E$11,"0")</f>
        <v>0</v>
      </c>
      <c r="Y12" s="1265" t="str">
        <f>IF(OR(T3=TRUE,T4=TRUE),M6*$E$11,"0")</f>
        <v>0</v>
      </c>
      <c r="Z12" s="1264" t="str">
        <f>IF(OR(T3=TRUE,T4=TRUE),P6*$E$11,"0")</f>
        <v>0</v>
      </c>
    </row>
    <row r="13" spans="1:41" s="196" customFormat="1" ht="18.75" customHeight="1">
      <c r="A13" s="40"/>
      <c r="B13" s="1591" t="s">
        <v>1130</v>
      </c>
      <c r="C13" s="40"/>
      <c r="D13" s="1672"/>
      <c r="E13" s="1672"/>
      <c r="F13" s="1672"/>
      <c r="G13" s="1671" t="s">
        <v>163</v>
      </c>
      <c r="H13" s="1351"/>
      <c r="I13" s="1249"/>
      <c r="J13" s="1041" t="e">
        <f>SUM(I14:I18)</f>
        <v>#N/A</v>
      </c>
      <c r="K13" s="1352"/>
      <c r="L13" s="1251"/>
      <c r="M13" s="1044" t="e">
        <f>SUM(L14:L16)</f>
        <v>#N/A</v>
      </c>
      <c r="N13" s="1351"/>
      <c r="O13" s="1249"/>
      <c r="P13" s="1589" t="e">
        <f>SUM(O14:O16)</f>
        <v>#N/A</v>
      </c>
      <c r="Q13" s="1707"/>
      <c r="R13" s="100"/>
      <c r="U13" s="36"/>
      <c r="V13" s="36"/>
      <c r="W13" s="36" t="s">
        <v>236</v>
      </c>
      <c r="X13" s="1260">
        <f>$X$12*F28</f>
        <v>0</v>
      </c>
      <c r="Y13" s="1260">
        <f>$Y$12*F28</f>
        <v>0</v>
      </c>
      <c r="Z13" s="1260">
        <f>$Z$12*F28</f>
        <v>0</v>
      </c>
    </row>
    <row r="14" spans="1:41" s="36" customFormat="1" ht="15" customHeight="1">
      <c r="A14" s="39"/>
      <c r="B14" s="1669"/>
      <c r="C14" s="4365" t="s">
        <v>284</v>
      </c>
      <c r="D14" s="4365"/>
      <c r="E14" s="4365"/>
      <c r="F14" s="4365"/>
      <c r="G14" s="1263"/>
      <c r="H14" s="1705"/>
      <c r="I14" s="1243" t="e">
        <f>IF(R14=TRUE,Q14,0)</f>
        <v>#N/A</v>
      </c>
      <c r="K14" s="1705"/>
      <c r="L14" s="1098" t="e">
        <f>IF(S14=TRUE,Q14,0)</f>
        <v>#N/A</v>
      </c>
      <c r="M14" s="1578"/>
      <c r="N14" s="1705"/>
      <c r="O14" s="1243" t="e">
        <f>IF(T14=TRUE,Q14,0)</f>
        <v>#N/A</v>
      </c>
      <c r="P14" s="1577"/>
      <c r="Q14" s="1261" t="e">
        <f>IF(C14=0,0,VLOOKUP(C14,'SD2'!$C$11:$O$50,'SD2'!$O$1,FALSE))</f>
        <v>#N/A</v>
      </c>
      <c r="R14" s="1350" t="b">
        <v>1</v>
      </c>
      <c r="S14" s="1349" t="b">
        <v>1</v>
      </c>
      <c r="T14" s="1348" t="b">
        <v>1</v>
      </c>
      <c r="W14" s="36" t="s">
        <v>685</v>
      </c>
      <c r="X14" s="1260">
        <f>$X$12*F29</f>
        <v>0</v>
      </c>
      <c r="Y14" s="1260">
        <f>$Y$12*F29</f>
        <v>0</v>
      </c>
      <c r="Z14" s="1260">
        <f>$Z$12*F29</f>
        <v>0</v>
      </c>
    </row>
    <row r="15" spans="1:41" s="36" customFormat="1" ht="15" customHeight="1">
      <c r="A15" s="39"/>
      <c r="B15" s="1669"/>
      <c r="C15" s="4365"/>
      <c r="D15" s="4365"/>
      <c r="E15" s="4365"/>
      <c r="F15" s="4365"/>
      <c r="G15" s="1263"/>
      <c r="H15" s="1705"/>
      <c r="I15" s="1243">
        <f>IF(R15=TRUE,Q15,0)</f>
        <v>0</v>
      </c>
      <c r="J15" s="45"/>
      <c r="K15" s="1705"/>
      <c r="L15" s="1098">
        <f>IF(S15=TRUE,Q15,0)</f>
        <v>0</v>
      </c>
      <c r="M15" s="1578"/>
      <c r="N15" s="1705"/>
      <c r="O15" s="1243">
        <f>IF(T15=TRUE,Q15,0)</f>
        <v>0</v>
      </c>
      <c r="P15" s="1577"/>
      <c r="Q15" s="1261" t="e">
        <f>IF(C14=0,0,VLOOKUP(C14,'SD2'!$C$11:$O$50,'SD2'!$O$1,FALSE))</f>
        <v>#N/A</v>
      </c>
      <c r="R15" s="1347" t="b">
        <v>0</v>
      </c>
      <c r="S15" s="1343" t="b">
        <v>0</v>
      </c>
      <c r="T15" s="1346" t="b">
        <v>0</v>
      </c>
      <c r="W15" s="36" t="s">
        <v>684</v>
      </c>
      <c r="X15" s="1260">
        <f>$X$12*F30</f>
        <v>0</v>
      </c>
      <c r="Y15" s="1260">
        <f>$Y$12*F30</f>
        <v>0</v>
      </c>
      <c r="Z15" s="1260">
        <f>$Z$12*F30</f>
        <v>0</v>
      </c>
    </row>
    <row r="16" spans="1:41" s="36" customFormat="1" ht="15" customHeight="1">
      <c r="A16" s="39"/>
      <c r="B16" s="1668">
        <v>0</v>
      </c>
      <c r="C16" s="4365"/>
      <c r="D16" s="4365"/>
      <c r="E16" s="4365"/>
      <c r="F16" s="4365"/>
      <c r="G16" s="1670"/>
      <c r="H16" s="1255"/>
      <c r="I16" s="1235">
        <f>IF(R16=TRUE,Q16,0)</f>
        <v>0</v>
      </c>
      <c r="J16" s="223"/>
      <c r="K16" s="1255"/>
      <c r="L16" s="1080">
        <f>IF(S16=TRUE,Q16,0)</f>
        <v>0</v>
      </c>
      <c r="M16" s="1256"/>
      <c r="N16" s="1255"/>
      <c r="O16" s="1235">
        <f>IF(T16=TRUE,Q16,0)</f>
        <v>0</v>
      </c>
      <c r="P16" s="1601"/>
      <c r="Q16" s="1261" t="e">
        <f>IF(C14=0,0,VLOOKUP(C14,'SD2'!$C$11:$O$50,'SD2'!$O$1,FALSE))</f>
        <v>#N/A</v>
      </c>
      <c r="R16" s="1347" t="b">
        <v>0</v>
      </c>
      <c r="S16" s="1343" t="b">
        <v>0</v>
      </c>
      <c r="T16" s="1346" t="b">
        <v>0</v>
      </c>
      <c r="W16" s="36" t="s">
        <v>230</v>
      </c>
      <c r="X16" s="1260">
        <f>$X$12*F31</f>
        <v>0</v>
      </c>
      <c r="Y16" s="1260">
        <f>$Y$12*F31</f>
        <v>0</v>
      </c>
      <c r="Z16" s="1260">
        <f>$Z$12*F31</f>
        <v>0</v>
      </c>
    </row>
    <row r="17" spans="1:36" s="36" customFormat="1" ht="15" customHeight="1">
      <c r="A17" s="39"/>
      <c r="B17" s="1591" t="s">
        <v>1129</v>
      </c>
      <c r="C17" s="40"/>
      <c r="D17" s="40"/>
      <c r="E17" s="40"/>
      <c r="F17" s="40"/>
      <c r="G17" s="175" t="s">
        <v>163</v>
      </c>
      <c r="H17" s="1250"/>
      <c r="I17" s="1249"/>
      <c r="J17" s="1026" t="e">
        <f>SUM(I18:I19)</f>
        <v>#N/A</v>
      </c>
      <c r="K17" s="1252"/>
      <c r="L17" s="1251"/>
      <c r="M17" s="1227" t="e">
        <f>SUM(L18:L19)</f>
        <v>#N/A</v>
      </c>
      <c r="N17" s="1250"/>
      <c r="O17" s="1249"/>
      <c r="P17" s="1580" t="e">
        <f>SUM(O18:O19)</f>
        <v>#N/A</v>
      </c>
      <c r="Q17" s="1707"/>
      <c r="R17" s="514" t="s">
        <v>870</v>
      </c>
      <c r="S17" s="308"/>
      <c r="T17" s="1248"/>
      <c r="U17" s="1706"/>
      <c r="V17" s="1706"/>
      <c r="W17" s="1706"/>
      <c r="X17" s="1706"/>
      <c r="Y17" s="1706"/>
      <c r="Z17" s="1706"/>
      <c r="AA17" s="1706"/>
      <c r="AB17" s="1706"/>
      <c r="AC17" s="1706"/>
      <c r="AD17" s="1706"/>
      <c r="AE17" s="1706"/>
      <c r="AF17" s="1706"/>
      <c r="AG17" s="1706"/>
      <c r="AH17" s="1706"/>
      <c r="AI17" s="1706"/>
      <c r="AJ17" s="1706"/>
    </row>
    <row r="18" spans="1:36" s="36" customFormat="1" ht="15" customHeight="1">
      <c r="A18" s="39"/>
      <c r="B18" s="1669"/>
      <c r="C18" s="4484" t="s">
        <v>276</v>
      </c>
      <c r="D18" s="4484"/>
      <c r="E18" s="4484"/>
      <c r="F18" s="4484"/>
      <c r="G18" s="1246"/>
      <c r="H18" s="1244"/>
      <c r="I18" s="1235" t="e">
        <f>IF(OR($C18=0,$J$6=0),0,VLOOKUP($C18,'SD2'!C58:N60,12,FALSE))</f>
        <v>#N/A</v>
      </c>
      <c r="J18" s="39">
        <f>SUM(I21:I22)</f>
        <v>0</v>
      </c>
      <c r="K18" s="1237"/>
      <c r="L18" s="1098" t="e">
        <f>IF(OR($C18=0,$M$6=0),0,VLOOKUP($C18,'SD2'!C58:N60,12,FALSE))</f>
        <v>#N/A</v>
      </c>
      <c r="M18" s="1016">
        <f>SUM(L21:L22)</f>
        <v>0</v>
      </c>
      <c r="N18" s="1236"/>
      <c r="O18" s="1243" t="e">
        <f>IF(OR($C18=0,$P$6=0),0,VLOOKUP($C18,'SD2'!C58:N60,12,FALSE))</f>
        <v>#N/A</v>
      </c>
      <c r="P18" s="1577"/>
      <c r="Q18" s="1707"/>
      <c r="R18" s="1242" t="e">
        <f>J13+J17</f>
        <v>#N/A</v>
      </c>
      <c r="S18" s="1241" t="e">
        <f>M13+M17</f>
        <v>#N/A</v>
      </c>
      <c r="T18" s="1240" t="e">
        <f>P13+P17</f>
        <v>#N/A</v>
      </c>
    </row>
    <row r="19" spans="1:36" s="1706" customFormat="1" ht="18.75" hidden="1" customHeight="1">
      <c r="A19" s="40"/>
      <c r="B19" s="1668"/>
      <c r="C19" s="4501"/>
      <c r="D19" s="4501"/>
      <c r="E19" s="4501"/>
      <c r="F19" s="4501"/>
      <c r="G19" s="1238"/>
      <c r="H19" s="1236"/>
      <c r="I19" s="1235">
        <f>IF(OR($C19=0,$J$6=0),0,VLOOKUP($C19,#REF!,10,FALSE))</f>
        <v>0</v>
      </c>
      <c r="J19" s="36"/>
      <c r="K19" s="1237"/>
      <c r="L19" s="1080">
        <f>IF(OR($C19=0,$M$6=0),0,VLOOKUP($C19,#REF!,10,FALSE))</f>
        <v>0</v>
      </c>
      <c r="M19" s="1578"/>
      <c r="N19" s="1236"/>
      <c r="O19" s="1235">
        <f>IF(OR($C19=0,$P$6=0),0,VLOOKUP($C19,#REF!,10,FALSE))</f>
        <v>0</v>
      </c>
      <c r="P19" s="1601"/>
      <c r="Q19" s="1707"/>
      <c r="R19" s="36"/>
      <c r="S19" s="36"/>
      <c r="T19" s="36"/>
      <c r="U19" s="36"/>
      <c r="V19" s="36"/>
      <c r="W19" s="36"/>
      <c r="X19" s="36"/>
      <c r="Y19" s="36"/>
      <c r="Z19" s="36"/>
      <c r="AA19" s="36"/>
      <c r="AB19" s="36"/>
      <c r="AC19" s="36"/>
      <c r="AD19" s="36"/>
      <c r="AE19" s="36"/>
      <c r="AF19" s="36"/>
      <c r="AG19" s="36"/>
      <c r="AH19" s="36"/>
      <c r="AI19" s="36"/>
      <c r="AJ19" s="36"/>
    </row>
    <row r="20" spans="1:36" s="36" customFormat="1" ht="15.6">
      <c r="A20" s="39"/>
      <c r="B20" s="1683" t="s">
        <v>610</v>
      </c>
      <c r="C20" s="1006"/>
      <c r="D20" s="4502"/>
      <c r="E20" s="4502"/>
      <c r="F20" s="4502"/>
      <c r="G20" s="4503"/>
      <c r="H20" s="1231"/>
      <c r="I20" s="1230"/>
      <c r="J20" s="1229"/>
      <c r="K20" s="1233"/>
      <c r="L20" s="1232"/>
      <c r="M20" s="1229"/>
      <c r="N20" s="1231"/>
      <c r="O20" s="1230"/>
      <c r="P20" s="1667"/>
      <c r="Q20" s="1707"/>
      <c r="R20" s="1707"/>
      <c r="S20" s="1707"/>
      <c r="T20" s="1707"/>
      <c r="U20" s="1711"/>
      <c r="V20" s="1711"/>
      <c r="W20" s="1711"/>
      <c r="X20" s="1711"/>
      <c r="Y20" s="1711"/>
      <c r="Z20" s="1711"/>
      <c r="AA20" s="1711"/>
      <c r="AB20" s="1711"/>
      <c r="AC20" s="1711"/>
      <c r="AD20" s="1711"/>
      <c r="AE20" s="1711"/>
      <c r="AF20" s="1711"/>
      <c r="AG20" s="1711"/>
      <c r="AH20" s="1711"/>
      <c r="AI20" s="1711"/>
      <c r="AJ20" s="1711"/>
    </row>
    <row r="21" spans="1:36" s="36" customFormat="1" ht="19.2" customHeight="1">
      <c r="A21" s="39"/>
      <c r="B21" s="1666" t="s">
        <v>214</v>
      </c>
      <c r="C21" s="1228"/>
      <c r="D21" s="1228"/>
      <c r="E21" s="1707"/>
      <c r="F21" s="1707"/>
      <c r="G21" s="1699" t="s">
        <v>163</v>
      </c>
      <c r="H21" s="1043"/>
      <c r="I21" s="1042"/>
      <c r="J21" s="1026">
        <f>SUM(I23:I24)</f>
        <v>40</v>
      </c>
      <c r="K21" s="1046"/>
      <c r="L21" s="1045"/>
      <c r="M21" s="1227">
        <f>SUM(L23:L24)</f>
        <v>40</v>
      </c>
      <c r="N21" s="1043"/>
      <c r="O21" s="1042"/>
      <c r="P21" s="1580">
        <f>SUM(O23:O24)</f>
        <v>40</v>
      </c>
      <c r="Q21" s="34"/>
      <c r="R21" s="1711"/>
      <c r="S21" s="1711"/>
      <c r="T21" s="1711"/>
      <c r="U21" s="1711"/>
      <c r="V21" s="1711"/>
      <c r="W21" s="1711"/>
      <c r="X21" s="1711"/>
      <c r="Y21" s="1711"/>
      <c r="Z21" s="1711"/>
      <c r="AA21" s="1711"/>
      <c r="AB21" s="1711"/>
      <c r="AC21" s="1711"/>
      <c r="AD21" s="1711"/>
      <c r="AE21" s="1711"/>
      <c r="AF21" s="1711"/>
      <c r="AG21" s="1711"/>
      <c r="AH21" s="1711"/>
      <c r="AI21" s="1711"/>
      <c r="AJ21" s="1711"/>
    </row>
    <row r="22" spans="1:36" ht="22.5" customHeight="1">
      <c r="A22" s="309"/>
      <c r="B22" s="1665"/>
      <c r="C22" s="1039" t="s">
        <v>837</v>
      </c>
      <c r="D22" s="1110">
        <f>SDÖ1!$O$10</f>
        <v>0</v>
      </c>
      <c r="E22" s="1664"/>
      <c r="F22" s="1585" t="s">
        <v>239</v>
      </c>
      <c r="G22" s="1608" t="s">
        <v>836</v>
      </c>
      <c r="H22" s="1655" t="s">
        <v>857</v>
      </c>
      <c r="I22" s="1581" t="s">
        <v>163</v>
      </c>
      <c r="J22" s="1663"/>
      <c r="K22" s="1657" t="s">
        <v>857</v>
      </c>
      <c r="L22" s="1583" t="s">
        <v>163</v>
      </c>
      <c r="M22" s="1662"/>
      <c r="N22" s="1655" t="s">
        <v>857</v>
      </c>
      <c r="O22" s="1581" t="s">
        <v>163</v>
      </c>
      <c r="P22" s="1645"/>
    </row>
    <row r="23" spans="1:36" ht="18.75" customHeight="1">
      <c r="A23" s="309"/>
      <c r="B23" s="1661"/>
      <c r="C23" s="746" t="s">
        <v>866</v>
      </c>
      <c r="D23" s="4383" t="s">
        <v>1363</v>
      </c>
      <c r="E23" s="4384"/>
      <c r="F23" s="1222"/>
      <c r="G23" s="1221">
        <f>F23*(100+$D$22)/100</f>
        <v>0</v>
      </c>
      <c r="H23" s="1220">
        <v>50</v>
      </c>
      <c r="I23" s="1181">
        <f>H23*$G23</f>
        <v>0</v>
      </c>
      <c r="J23" s="36"/>
      <c r="K23" s="1220">
        <v>50</v>
      </c>
      <c r="L23" s="1023">
        <f>K23*$G23</f>
        <v>0</v>
      </c>
      <c r="M23" s="1578"/>
      <c r="N23" s="1220">
        <v>50</v>
      </c>
      <c r="O23" s="1181">
        <f>N23*$G23</f>
        <v>0</v>
      </c>
      <c r="P23" s="1623"/>
      <c r="R23" s="36"/>
      <c r="S23" s="36"/>
      <c r="T23" s="36"/>
      <c r="U23" s="36"/>
      <c r="V23" s="36"/>
      <c r="W23" s="36"/>
      <c r="X23" s="36"/>
      <c r="Y23" s="36"/>
      <c r="Z23" s="36"/>
      <c r="AA23" s="36"/>
      <c r="AB23" s="36"/>
      <c r="AC23" s="36"/>
      <c r="AD23" s="36"/>
      <c r="AE23" s="36"/>
      <c r="AF23" s="36"/>
      <c r="AG23" s="36"/>
      <c r="AH23" s="36"/>
      <c r="AI23" s="36"/>
      <c r="AJ23" s="36"/>
    </row>
    <row r="24" spans="1:36" ht="13.2" customHeight="1">
      <c r="A24" s="309"/>
      <c r="B24" s="1593"/>
      <c r="C24" s="1682" t="s">
        <v>183</v>
      </c>
      <c r="D24" s="4385" t="s">
        <v>1362</v>
      </c>
      <c r="E24" s="4386"/>
      <c r="F24" s="1218">
        <v>0.8</v>
      </c>
      <c r="G24" s="1217">
        <f>F24*(100+$D$22)/100</f>
        <v>0.8</v>
      </c>
      <c r="H24" s="1216">
        <v>50</v>
      </c>
      <c r="I24" s="1177">
        <f>H24*$G24</f>
        <v>40</v>
      </c>
      <c r="J24" s="36"/>
      <c r="K24" s="1216">
        <v>50</v>
      </c>
      <c r="L24" s="1017">
        <f>K24*$G24</f>
        <v>40</v>
      </c>
      <c r="M24" s="1578"/>
      <c r="N24" s="1216">
        <v>50</v>
      </c>
      <c r="O24" s="1177">
        <f>N24*$G24</f>
        <v>40</v>
      </c>
      <c r="P24" s="1640"/>
      <c r="R24" s="36"/>
      <c r="S24" s="36"/>
      <c r="T24" s="36"/>
      <c r="U24" s="36"/>
      <c r="V24" s="36"/>
      <c r="W24" s="36"/>
      <c r="X24" s="36"/>
      <c r="Y24" s="36"/>
      <c r="Z24" s="36"/>
      <c r="AA24" s="36"/>
      <c r="AB24" s="36"/>
      <c r="AC24" s="36"/>
      <c r="AD24" s="36"/>
      <c r="AE24" s="36"/>
      <c r="AF24" s="36"/>
      <c r="AG24" s="36"/>
      <c r="AH24" s="36"/>
      <c r="AI24" s="36"/>
      <c r="AJ24" s="36"/>
    </row>
    <row r="25" spans="1:36" s="36" customFormat="1" ht="15" customHeight="1">
      <c r="A25" s="746"/>
      <c r="B25" s="1639" t="s">
        <v>213</v>
      </c>
      <c r="C25" s="711"/>
      <c r="D25" s="1660" t="str">
        <f>IF(SDÖ1!V17=FALSE,"(Nährstoffabfuhr nicht bewertet)","(Nährstoffabfuhr bewertet)")</f>
        <v>(Nährstoffabfuhr nicht bewertet)</v>
      </c>
      <c r="E25" s="1707"/>
      <c r="F25" s="1707"/>
      <c r="G25" s="1650" t="s">
        <v>163</v>
      </c>
      <c r="H25" s="1173"/>
      <c r="I25" s="1172"/>
      <c r="J25" s="1041">
        <f>SUM(I28:I31)</f>
        <v>0</v>
      </c>
      <c r="K25" s="1175"/>
      <c r="L25" s="1174"/>
      <c r="M25" s="1044">
        <f>SUM(L28:L31)</f>
        <v>0</v>
      </c>
      <c r="N25" s="1173"/>
      <c r="O25" s="1172"/>
      <c r="P25" s="1589">
        <f>SUM(O28:O31)</f>
        <v>0</v>
      </c>
      <c r="Q25" s="1707"/>
      <c r="R25" s="1706"/>
      <c r="S25" s="1706"/>
      <c r="T25" s="1706"/>
      <c r="U25" s="1706"/>
      <c r="V25" s="1706"/>
      <c r="W25" s="1706"/>
      <c r="X25" s="1706"/>
      <c r="Y25" s="1706"/>
      <c r="Z25" s="1706"/>
      <c r="AA25" s="1706"/>
      <c r="AB25" s="1706"/>
      <c r="AC25" s="1706"/>
      <c r="AD25" s="1706"/>
      <c r="AE25" s="1706"/>
      <c r="AF25" s="1706"/>
      <c r="AG25" s="1706"/>
      <c r="AH25" s="1706"/>
      <c r="AI25" s="1706"/>
      <c r="AJ25" s="1706"/>
    </row>
    <row r="26" spans="1:36" s="36" customFormat="1" ht="15" customHeight="1">
      <c r="A26" s="746"/>
      <c r="B26" s="1633"/>
      <c r="C26" s="1709"/>
      <c r="D26" s="1213" t="s">
        <v>706</v>
      </c>
      <c r="E26" s="1213" t="s">
        <v>1139</v>
      </c>
      <c r="F26" s="1694"/>
      <c r="G26" s="1212" t="s">
        <v>863</v>
      </c>
      <c r="H26" s="1172"/>
      <c r="I26" s="1209"/>
      <c r="J26" s="1710"/>
      <c r="K26" s="1175"/>
      <c r="L26" s="1105"/>
      <c r="M26" s="1210"/>
      <c r="N26" s="1173"/>
      <c r="O26" s="1209"/>
      <c r="P26" s="1580"/>
      <c r="Q26" s="1707"/>
      <c r="R26" s="1706"/>
      <c r="S26" s="1706"/>
      <c r="T26" s="1706"/>
      <c r="U26" s="1706"/>
      <c r="V26" s="1706"/>
      <c r="W26" s="1706"/>
      <c r="X26" s="1706"/>
      <c r="Y26" s="1706"/>
      <c r="Z26" s="1706"/>
      <c r="AA26" s="1706"/>
      <c r="AB26" s="1706"/>
      <c r="AC26" s="1706"/>
      <c r="AD26" s="1706"/>
      <c r="AE26" s="1706"/>
      <c r="AF26" s="1706"/>
      <c r="AG26" s="1706"/>
      <c r="AH26" s="1706"/>
      <c r="AI26" s="1706"/>
      <c r="AJ26" s="1706"/>
    </row>
    <row r="27" spans="1:36" s="1706" customFormat="1" ht="18.75" customHeight="1">
      <c r="A27" s="711"/>
      <c r="B27" s="1659"/>
      <c r="C27" s="747" t="s">
        <v>862</v>
      </c>
      <c r="D27" s="1586" t="s">
        <v>611</v>
      </c>
      <c r="E27" s="1586" t="s">
        <v>1138</v>
      </c>
      <c r="F27" s="1693"/>
      <c r="G27" s="1586" t="s">
        <v>612</v>
      </c>
      <c r="H27" s="1655" t="s">
        <v>612</v>
      </c>
      <c r="I27" s="1581" t="s">
        <v>163</v>
      </c>
      <c r="J27" s="1658"/>
      <c r="K27" s="1657" t="s">
        <v>612</v>
      </c>
      <c r="L27" s="1583" t="s">
        <v>163</v>
      </c>
      <c r="M27" s="1656"/>
      <c r="N27" s="1655" t="s">
        <v>612</v>
      </c>
      <c r="O27" s="1581" t="s">
        <v>163</v>
      </c>
      <c r="P27" s="1654"/>
      <c r="Q27" s="1707"/>
    </row>
    <row r="28" spans="1:36" s="1706" customFormat="1" ht="13.65" customHeight="1">
      <c r="A28" s="711"/>
      <c r="B28" s="1653"/>
      <c r="C28" s="1202" t="s">
        <v>236</v>
      </c>
      <c r="D28" s="1150">
        <f>IF(SDÖ1!$V$17=TRUE,SDÖ1!O56,0)</f>
        <v>0</v>
      </c>
      <c r="E28" s="1652"/>
      <c r="F28" s="1692"/>
      <c r="G28" s="1200"/>
      <c r="H28" s="1198">
        <f>IF(J$6=0,0,(J$6*$E28+$G28+X13))</f>
        <v>0</v>
      </c>
      <c r="I28" s="1181">
        <f>H28*$D28</f>
        <v>0</v>
      </c>
      <c r="J28" s="36"/>
      <c r="K28" s="1199">
        <f>IF(M$6=0,0,(M$6*$E28+$G28+Y13))</f>
        <v>0</v>
      </c>
      <c r="L28" s="1023">
        <f>K28*$D28</f>
        <v>0</v>
      </c>
      <c r="M28" s="1578"/>
      <c r="N28" s="1198">
        <f>IF(P$6=0,0,(P$6*$E28+$G28+Z13))</f>
        <v>0</v>
      </c>
      <c r="O28" s="1181">
        <f>N28*$D28</f>
        <v>0</v>
      </c>
      <c r="P28" s="1623"/>
      <c r="Q28" s="1707"/>
      <c r="R28" s="36"/>
      <c r="S28" s="36"/>
      <c r="T28" s="36"/>
      <c r="U28" s="36"/>
      <c r="V28" s="36"/>
      <c r="W28" s="36"/>
      <c r="X28" s="36"/>
      <c r="Y28" s="36"/>
      <c r="Z28" s="36"/>
      <c r="AA28" s="36"/>
      <c r="AB28" s="36"/>
      <c r="AC28" s="36"/>
      <c r="AD28" s="36"/>
      <c r="AE28" s="36"/>
      <c r="AF28" s="36"/>
      <c r="AG28" s="36"/>
      <c r="AH28" s="36"/>
      <c r="AI28" s="36"/>
      <c r="AJ28" s="36"/>
    </row>
    <row r="29" spans="1:36" s="1706" customFormat="1" ht="15" customHeight="1">
      <c r="A29" s="711"/>
      <c r="B29" s="218"/>
      <c r="C29" s="746" t="s">
        <v>234</v>
      </c>
      <c r="D29" s="1150">
        <f>IF(SDÖ1!$V$17=TRUE,SDÖ1!O57,0)</f>
        <v>0</v>
      </c>
      <c r="E29" s="1652"/>
      <c r="F29" s="1692"/>
      <c r="G29" s="1200"/>
      <c r="H29" s="1198">
        <f>IF(J$6=0,0,(J$6*$E29+$G29+X14))</f>
        <v>0</v>
      </c>
      <c r="I29" s="1181">
        <f>H29*$D29</f>
        <v>0</v>
      </c>
      <c r="J29" s="36"/>
      <c r="K29" s="1199">
        <f>IF(M$6=0,0,(M$6*$E29+$G29+Y14))</f>
        <v>0</v>
      </c>
      <c r="L29" s="1023">
        <f>K29*$D29</f>
        <v>0</v>
      </c>
      <c r="M29" s="1578"/>
      <c r="N29" s="1198">
        <f>IF(P$6=0,0,(P$6*$E29+$G29+Z14))</f>
        <v>0</v>
      </c>
      <c r="O29" s="1181">
        <f>N29*$D29</f>
        <v>0</v>
      </c>
      <c r="P29" s="1623"/>
      <c r="Q29" s="1707"/>
      <c r="R29" s="36"/>
      <c r="S29" s="36"/>
      <c r="T29" s="36"/>
      <c r="U29" s="36"/>
      <c r="V29" s="36"/>
      <c r="W29" s="36"/>
      <c r="X29" s="36"/>
      <c r="Y29" s="36"/>
      <c r="Z29" s="36"/>
      <c r="AA29" s="36"/>
      <c r="AB29" s="36"/>
      <c r="AC29" s="36"/>
      <c r="AD29" s="36"/>
      <c r="AE29" s="36"/>
      <c r="AF29" s="36"/>
      <c r="AG29" s="36"/>
      <c r="AH29" s="36"/>
      <c r="AI29" s="36"/>
      <c r="AJ29" s="36"/>
    </row>
    <row r="30" spans="1:36" s="36" customFormat="1" ht="15" customHeight="1">
      <c r="A30" s="746"/>
      <c r="B30" s="218"/>
      <c r="C30" s="746" t="s">
        <v>232</v>
      </c>
      <c r="D30" s="1150">
        <f>IF(SDÖ1!$V$17=TRUE,SDÖ1!O58,0)</f>
        <v>0</v>
      </c>
      <c r="E30" s="1652"/>
      <c r="F30" s="1692"/>
      <c r="G30" s="1200"/>
      <c r="H30" s="1198">
        <f>IF(J$6=0,0,(J$6*$E30+$G30+X15))</f>
        <v>0</v>
      </c>
      <c r="I30" s="1181">
        <f>H30*$D30</f>
        <v>0</v>
      </c>
      <c r="K30" s="1199">
        <f>IF(M$6=0,0,(M$6*$E30+$G30+Y15))</f>
        <v>0</v>
      </c>
      <c r="L30" s="1023">
        <f>K30*$D30</f>
        <v>0</v>
      </c>
      <c r="M30" s="1578"/>
      <c r="N30" s="1198">
        <f>IF(P$6=0,0,(P$6*$E30+$G30+Z15))</f>
        <v>0</v>
      </c>
      <c r="O30" s="1181">
        <f>N30*$D30</f>
        <v>0</v>
      </c>
      <c r="P30" s="1623"/>
      <c r="Q30" s="1707"/>
    </row>
    <row r="31" spans="1:36" s="36" customFormat="1" ht="15" customHeight="1">
      <c r="A31" s="746"/>
      <c r="B31" s="1492"/>
      <c r="C31" s="771" t="s">
        <v>230</v>
      </c>
      <c r="D31" s="1133">
        <f>IF(SDÖ1!$V$17=TRUE,SDÖ1!P59,0)</f>
        <v>0</v>
      </c>
      <c r="E31" s="1651"/>
      <c r="F31" s="1691"/>
      <c r="G31" s="1196"/>
      <c r="H31" s="1194">
        <f>IF(J$6=0,0,(J$6*$E31+$G31+X16))</f>
        <v>0</v>
      </c>
      <c r="I31" s="1177">
        <f>H31*$D31</f>
        <v>0</v>
      </c>
      <c r="K31" s="1195">
        <f>IF(M$6=0,0,(M$6*$E31+$G31+Y16))</f>
        <v>0</v>
      </c>
      <c r="L31" s="1017">
        <f>K31*$D31</f>
        <v>0</v>
      </c>
      <c r="M31" s="1578"/>
      <c r="N31" s="1194">
        <f>IF(P$6=0,0,(P$6*$E31+$G31+Z16))</f>
        <v>0</v>
      </c>
      <c r="O31" s="1177">
        <f>N31*$D31</f>
        <v>0</v>
      </c>
      <c r="P31" s="1640"/>
      <c r="Q31" s="1707"/>
    </row>
    <row r="32" spans="1:36" s="36" customFormat="1" ht="15" customHeight="1">
      <c r="A32" s="746"/>
      <c r="B32" s="1594" t="s">
        <v>1127</v>
      </c>
      <c r="C32" s="711"/>
      <c r="D32" s="1706"/>
      <c r="E32" s="1706"/>
      <c r="F32" s="1706"/>
      <c r="G32" s="1650" t="s">
        <v>163</v>
      </c>
      <c r="H32" s="1191"/>
      <c r="I32" s="1190"/>
      <c r="J32" s="1041">
        <f>SUM(I34:I41)</f>
        <v>0</v>
      </c>
      <c r="K32" s="1193"/>
      <c r="L32" s="1192"/>
      <c r="M32" s="1044">
        <f>SUM(L34:L41)</f>
        <v>0</v>
      </c>
      <c r="N32" s="1191"/>
      <c r="O32" s="1190"/>
      <c r="P32" s="1589">
        <f>SUM(O34:O41)</f>
        <v>0</v>
      </c>
      <c r="Q32" s="1707"/>
      <c r="R32" s="1706"/>
      <c r="S32" s="1706"/>
      <c r="T32" s="1706"/>
      <c r="U32" s="1706"/>
      <c r="V32" s="1706"/>
      <c r="W32" s="1706"/>
      <c r="X32" s="1706"/>
      <c r="Y32" s="1706"/>
      <c r="Z32" s="1706"/>
      <c r="AA32" s="1706"/>
      <c r="AB32" s="1706"/>
      <c r="AC32" s="1706"/>
      <c r="AD32" s="1706"/>
      <c r="AE32" s="1706"/>
      <c r="AF32" s="1706"/>
      <c r="AG32" s="1706"/>
      <c r="AH32" s="1706"/>
      <c r="AI32" s="1706"/>
      <c r="AJ32" s="1706"/>
    </row>
    <row r="33" spans="1:36" s="36" customFormat="1" ht="15" customHeight="1">
      <c r="A33" s="746"/>
      <c r="B33" s="1588"/>
      <c r="C33" s="1039" t="s">
        <v>837</v>
      </c>
      <c r="D33" s="1110">
        <f>SDÖ1!$O$11</f>
        <v>0</v>
      </c>
      <c r="E33" s="1587"/>
      <c r="F33" s="1585" t="s">
        <v>239</v>
      </c>
      <c r="G33" s="1608" t="s">
        <v>836</v>
      </c>
      <c r="H33" s="1646" t="s">
        <v>857</v>
      </c>
      <c r="I33" s="1581" t="s">
        <v>163</v>
      </c>
      <c r="J33" s="1649"/>
      <c r="K33" s="1648" t="s">
        <v>857</v>
      </c>
      <c r="L33" s="1583" t="s">
        <v>163</v>
      </c>
      <c r="M33" s="1647"/>
      <c r="N33" s="1646" t="s">
        <v>857</v>
      </c>
      <c r="O33" s="1581" t="s">
        <v>163</v>
      </c>
      <c r="P33" s="1580"/>
      <c r="Q33" s="1707"/>
      <c r="R33" s="1706"/>
      <c r="S33" s="1706"/>
      <c r="T33" s="1706"/>
      <c r="U33" s="1706"/>
      <c r="V33" s="1706"/>
      <c r="W33" s="1706"/>
      <c r="X33" s="1706"/>
      <c r="Y33" s="1706"/>
      <c r="Z33" s="1706"/>
      <c r="AA33" s="1706"/>
      <c r="AB33" s="1706"/>
      <c r="AC33" s="1706"/>
      <c r="AD33" s="1706"/>
      <c r="AE33" s="1706"/>
      <c r="AF33" s="1706"/>
      <c r="AG33" s="1706"/>
      <c r="AH33" s="1706"/>
      <c r="AI33" s="1706"/>
      <c r="AJ33" s="1706"/>
    </row>
    <row r="34" spans="1:36" s="1706" customFormat="1" ht="18.75" customHeight="1">
      <c r="A34" s="711"/>
      <c r="B34" s="1579"/>
      <c r="C34" s="4490"/>
      <c r="D34" s="4490"/>
      <c r="E34" s="4491"/>
      <c r="F34" s="1183">
        <f>IF(C34=0,0,VLOOKUP(C34,SDÖ5!$C$7:$D$16,2,FALSE))</f>
        <v>0</v>
      </c>
      <c r="G34" s="1183">
        <f t="shared" ref="G34:G41" si="0">F34*(100+$D$33)/100</f>
        <v>0</v>
      </c>
      <c r="H34" s="1374"/>
      <c r="I34" s="1181">
        <f t="shared" ref="I34:I41" si="1">$G34*H34</f>
        <v>0</v>
      </c>
      <c r="J34" s="36"/>
      <c r="K34" s="1374"/>
      <c r="L34" s="1023">
        <f t="shared" ref="L34:L41" si="2">$G34*K34</f>
        <v>0</v>
      </c>
      <c r="M34" s="1578"/>
      <c r="N34" s="1374"/>
      <c r="O34" s="1181">
        <f t="shared" ref="O34:O41" si="3">$G34*N34</f>
        <v>0</v>
      </c>
      <c r="P34" s="1623"/>
      <c r="Q34" s="1707"/>
      <c r="R34" s="36"/>
      <c r="S34" s="36"/>
      <c r="T34" s="36"/>
      <c r="U34" s="36"/>
      <c r="V34" s="36"/>
      <c r="W34" s="36"/>
      <c r="X34" s="36"/>
      <c r="Y34" s="36"/>
      <c r="Z34" s="36"/>
      <c r="AA34" s="36"/>
      <c r="AB34" s="36"/>
      <c r="AC34" s="36"/>
      <c r="AD34" s="36"/>
      <c r="AE34" s="36"/>
      <c r="AF34" s="36"/>
      <c r="AG34" s="36"/>
      <c r="AH34" s="36"/>
      <c r="AI34" s="36"/>
      <c r="AJ34" s="36"/>
    </row>
    <row r="35" spans="1:36" s="1706" customFormat="1" ht="13.2" customHeight="1">
      <c r="A35" s="711"/>
      <c r="B35" s="1579"/>
      <c r="C35" s="4488"/>
      <c r="D35" s="4488"/>
      <c r="E35" s="4489"/>
      <c r="F35" s="1183">
        <f>IF(C35=0,0,VLOOKUP(C35,SDÖ5!$C$7:$D$16,2,FALSE))</f>
        <v>0</v>
      </c>
      <c r="G35" s="1183">
        <f t="shared" si="0"/>
        <v>0</v>
      </c>
      <c r="H35" s="1374"/>
      <c r="I35" s="1181">
        <f t="shared" si="1"/>
        <v>0</v>
      </c>
      <c r="J35" s="36"/>
      <c r="K35" s="1374"/>
      <c r="L35" s="1023">
        <f t="shared" si="2"/>
        <v>0</v>
      </c>
      <c r="M35" s="1578"/>
      <c r="N35" s="1374"/>
      <c r="O35" s="1181">
        <f t="shared" si="3"/>
        <v>0</v>
      </c>
      <c r="P35" s="1623"/>
      <c r="Q35" s="1707"/>
      <c r="R35" s="36"/>
      <c r="S35" s="36"/>
      <c r="T35" s="36"/>
      <c r="U35" s="36"/>
      <c r="V35" s="36"/>
      <c r="W35" s="36"/>
      <c r="X35" s="36"/>
      <c r="Y35" s="36"/>
      <c r="Z35" s="36"/>
      <c r="AA35" s="36"/>
      <c r="AB35" s="36"/>
      <c r="AC35" s="36"/>
      <c r="AD35" s="36"/>
      <c r="AE35" s="36"/>
      <c r="AF35" s="36"/>
      <c r="AG35" s="36"/>
      <c r="AH35" s="36"/>
      <c r="AI35" s="36"/>
      <c r="AJ35" s="36"/>
    </row>
    <row r="36" spans="1:36" s="36" customFormat="1" ht="15" customHeight="1">
      <c r="A36" s="746"/>
      <c r="B36" s="1579"/>
      <c r="C36" s="4488"/>
      <c r="D36" s="4488"/>
      <c r="E36" s="4489"/>
      <c r="F36" s="1183">
        <f>IF(C36=0,0,VLOOKUP(C36,SDÖ5!$C$7:$D$16,2,FALSE))</f>
        <v>0</v>
      </c>
      <c r="G36" s="1183">
        <f t="shared" si="0"/>
        <v>0</v>
      </c>
      <c r="H36" s="1374"/>
      <c r="I36" s="1181">
        <f t="shared" si="1"/>
        <v>0</v>
      </c>
      <c r="K36" s="1374"/>
      <c r="L36" s="1023">
        <f t="shared" si="2"/>
        <v>0</v>
      </c>
      <c r="M36" s="1578"/>
      <c r="N36" s="1374"/>
      <c r="O36" s="1181">
        <f t="shared" si="3"/>
        <v>0</v>
      </c>
      <c r="P36" s="1623"/>
      <c r="Q36" s="1707"/>
    </row>
    <row r="37" spans="1:36" s="36" customFormat="1" ht="15" customHeight="1">
      <c r="A37" s="746"/>
      <c r="B37" s="1644"/>
      <c r="C37" s="4488"/>
      <c r="D37" s="4488"/>
      <c r="E37" s="4489"/>
      <c r="F37" s="1183">
        <f>IF(C37=0,0,VLOOKUP(C37,SDÖ5!$C$7:$D$16,2,FALSE))</f>
        <v>0</v>
      </c>
      <c r="G37" s="1183">
        <f t="shared" si="0"/>
        <v>0</v>
      </c>
      <c r="H37" s="1374"/>
      <c r="I37" s="1181">
        <f t="shared" si="1"/>
        <v>0</v>
      </c>
      <c r="K37" s="1374"/>
      <c r="L37" s="1023">
        <f t="shared" si="2"/>
        <v>0</v>
      </c>
      <c r="M37" s="1578"/>
      <c r="N37" s="1374"/>
      <c r="O37" s="1181">
        <f t="shared" si="3"/>
        <v>0</v>
      </c>
      <c r="P37" s="1623"/>
      <c r="Q37" s="1707"/>
    </row>
    <row r="38" spans="1:36" s="36" customFormat="1" ht="22.5" hidden="1" customHeight="1">
      <c r="A38" s="746"/>
      <c r="B38" s="1579"/>
      <c r="C38" s="4488"/>
      <c r="D38" s="4488"/>
      <c r="E38" s="4489"/>
      <c r="F38" s="1183">
        <f>IF(C38=0,0,VLOOKUP(C38,SDÖ5!$C$7:$D$16,2,FALSE))</f>
        <v>0</v>
      </c>
      <c r="G38" s="1183">
        <f t="shared" si="0"/>
        <v>0</v>
      </c>
      <c r="H38" s="1374"/>
      <c r="I38" s="1181">
        <f t="shared" si="1"/>
        <v>0</v>
      </c>
      <c r="K38" s="1374"/>
      <c r="L38" s="1023">
        <f t="shared" si="2"/>
        <v>0</v>
      </c>
      <c r="M38" s="1578"/>
      <c r="N38" s="1374"/>
      <c r="O38" s="1181">
        <f t="shared" si="3"/>
        <v>0</v>
      </c>
      <c r="P38" s="1623"/>
      <c r="Q38" s="1707"/>
    </row>
    <row r="39" spans="1:36" s="36" customFormat="1" ht="15" hidden="1" customHeight="1">
      <c r="A39" s="746"/>
      <c r="B39" s="1579"/>
      <c r="C39" s="4488"/>
      <c r="D39" s="4488"/>
      <c r="E39" s="4489"/>
      <c r="F39" s="1183">
        <f>IF(C39=0,0,VLOOKUP(C39,SDÖ5!$C$7:$D$16,2,FALSE))</f>
        <v>0</v>
      </c>
      <c r="G39" s="1183">
        <f t="shared" si="0"/>
        <v>0</v>
      </c>
      <c r="H39" s="1374"/>
      <c r="I39" s="1181">
        <f t="shared" si="1"/>
        <v>0</v>
      </c>
      <c r="K39" s="1374"/>
      <c r="L39" s="1023">
        <f t="shared" si="2"/>
        <v>0</v>
      </c>
      <c r="M39" s="1578"/>
      <c r="N39" s="1374"/>
      <c r="O39" s="1181">
        <f t="shared" si="3"/>
        <v>0</v>
      </c>
      <c r="P39" s="1623"/>
      <c r="Q39" s="1707"/>
    </row>
    <row r="40" spans="1:36" s="36" customFormat="1" ht="15" hidden="1" customHeight="1">
      <c r="A40" s="746"/>
      <c r="B40" s="1579"/>
      <c r="C40" s="4488"/>
      <c r="D40" s="4488"/>
      <c r="E40" s="4489"/>
      <c r="F40" s="1183">
        <f>IF(C40=0,0,VLOOKUP(C40,SDÖ5!$C$7:$D$16,2,FALSE))</f>
        <v>0</v>
      </c>
      <c r="G40" s="1183">
        <f t="shared" si="0"/>
        <v>0</v>
      </c>
      <c r="H40" s="1374"/>
      <c r="I40" s="1181">
        <f t="shared" si="1"/>
        <v>0</v>
      </c>
      <c r="K40" s="1374"/>
      <c r="L40" s="1023">
        <f t="shared" si="2"/>
        <v>0</v>
      </c>
      <c r="M40" s="1578"/>
      <c r="N40" s="1374"/>
      <c r="O40" s="1181">
        <f t="shared" si="3"/>
        <v>0</v>
      </c>
      <c r="P40" s="1623"/>
      <c r="Q40" s="1707"/>
    </row>
    <row r="41" spans="1:36" s="36" customFormat="1" ht="15" hidden="1" customHeight="1">
      <c r="A41" s="746"/>
      <c r="B41" s="1642"/>
      <c r="C41" s="4492"/>
      <c r="D41" s="4492"/>
      <c r="E41" s="4493"/>
      <c r="F41" s="1179">
        <f>IF(C41=0,0,VLOOKUP(C41,SDÖ5!$C$7:$D$16,2,FALSE))</f>
        <v>0</v>
      </c>
      <c r="G41" s="1179">
        <f t="shared" si="0"/>
        <v>0</v>
      </c>
      <c r="H41" s="1375"/>
      <c r="I41" s="1177">
        <f t="shared" si="1"/>
        <v>0</v>
      </c>
      <c r="K41" s="1375"/>
      <c r="L41" s="1017">
        <f t="shared" si="2"/>
        <v>0</v>
      </c>
      <c r="M41" s="1578"/>
      <c r="N41" s="1375"/>
      <c r="O41" s="1177">
        <f t="shared" si="3"/>
        <v>0</v>
      </c>
      <c r="P41" s="1640"/>
      <c r="Q41" s="1707"/>
    </row>
    <row r="42" spans="1:36" s="36" customFormat="1" ht="15" customHeight="1">
      <c r="A42" s="746"/>
      <c r="B42" s="1639" t="s">
        <v>1126</v>
      </c>
      <c r="C42" s="814"/>
      <c r="D42" s="814"/>
      <c r="E42" s="814"/>
      <c r="F42" s="814"/>
      <c r="G42" s="1638" t="s">
        <v>163</v>
      </c>
      <c r="H42" s="1635"/>
      <c r="I42" s="1634"/>
      <c r="J42" s="1041" t="e">
        <f>SUM(J45:J56)</f>
        <v>#REF!</v>
      </c>
      <c r="K42" s="1637"/>
      <c r="L42" s="1636"/>
      <c r="M42" s="1044" t="e">
        <f>SUM(M45:M56)</f>
        <v>#REF!</v>
      </c>
      <c r="N42" s="1635"/>
      <c r="O42" s="1634"/>
      <c r="P42" s="1589" t="e">
        <f>SUM(P45:P56)</f>
        <v>#REF!</v>
      </c>
      <c r="Q42" s="1707"/>
      <c r="R42" s="1706"/>
      <c r="S42" s="1706"/>
      <c r="T42" s="1706"/>
      <c r="U42" s="1706"/>
      <c r="V42" s="1706"/>
      <c r="W42" s="1706"/>
      <c r="X42" s="1706"/>
      <c r="Y42" s="1706"/>
      <c r="Z42" s="1706"/>
      <c r="AA42" s="1706"/>
      <c r="AB42" s="1706"/>
      <c r="AC42" s="1706"/>
      <c r="AD42" s="1706"/>
      <c r="AE42" s="1706"/>
      <c r="AF42" s="1706"/>
      <c r="AG42" s="1706"/>
      <c r="AH42" s="1706"/>
      <c r="AI42" s="1706"/>
      <c r="AJ42" s="1706"/>
    </row>
    <row r="43" spans="1:36" s="1706" customFormat="1" ht="18.75" customHeight="1">
      <c r="A43" s="711"/>
      <c r="B43" s="1633"/>
      <c r="C43" s="746" t="s">
        <v>855</v>
      </c>
      <c r="D43" s="746"/>
      <c r="E43" s="1171" t="s">
        <v>365</v>
      </c>
      <c r="F43" s="1170" t="s">
        <v>854</v>
      </c>
      <c r="G43" s="1169"/>
      <c r="H43" s="306" t="s">
        <v>853</v>
      </c>
      <c r="I43" s="1165" t="s">
        <v>852</v>
      </c>
      <c r="J43" s="1164"/>
      <c r="K43" s="1168" t="s">
        <v>853</v>
      </c>
      <c r="L43" s="1167" t="s">
        <v>852</v>
      </c>
      <c r="M43" s="1166"/>
      <c r="N43" s="306" t="s">
        <v>853</v>
      </c>
      <c r="O43" s="1165" t="s">
        <v>852</v>
      </c>
      <c r="P43" s="1632"/>
      <c r="Q43" s="1707"/>
      <c r="R43" s="36"/>
      <c r="S43" s="36"/>
      <c r="T43" s="36"/>
      <c r="U43" s="36"/>
      <c r="V43" s="36"/>
      <c r="W43" s="36"/>
      <c r="X43" s="36"/>
      <c r="Y43" s="36"/>
      <c r="Z43" s="36"/>
      <c r="AA43" s="36"/>
      <c r="AB43" s="36"/>
      <c r="AC43" s="36"/>
      <c r="AD43" s="36"/>
      <c r="AE43" s="36"/>
      <c r="AF43" s="36"/>
      <c r="AG43" s="36"/>
      <c r="AH43" s="36"/>
      <c r="AI43" s="36"/>
      <c r="AJ43" s="36"/>
    </row>
    <row r="44" spans="1:36" s="36" customFormat="1" ht="15" customHeight="1">
      <c r="A44" s="746"/>
      <c r="B44" s="1631"/>
      <c r="C44" s="1630"/>
      <c r="D44" s="1163"/>
      <c r="E44" s="1034" t="s">
        <v>1125</v>
      </c>
      <c r="F44" s="1586" t="s">
        <v>850</v>
      </c>
      <c r="G44" s="1586" t="s">
        <v>441</v>
      </c>
      <c r="H44" s="1159" t="s">
        <v>849</v>
      </c>
      <c r="I44" s="1585" t="s">
        <v>113</v>
      </c>
      <c r="J44" s="1629" t="s">
        <v>163</v>
      </c>
      <c r="K44" s="1162" t="s">
        <v>849</v>
      </c>
      <c r="L44" s="1628" t="s">
        <v>113</v>
      </c>
      <c r="M44" s="1627" t="s">
        <v>163</v>
      </c>
      <c r="N44" s="1159" t="s">
        <v>849</v>
      </c>
      <c r="O44" s="1585" t="s">
        <v>113</v>
      </c>
      <c r="P44" s="1626" t="s">
        <v>163</v>
      </c>
      <c r="Q44" s="1707"/>
    </row>
    <row r="45" spans="1:36" s="36" customFormat="1" ht="15" customHeight="1">
      <c r="A45" s="746"/>
      <c r="B45" s="1625"/>
      <c r="C45" s="4494"/>
      <c r="D45" s="4495"/>
      <c r="E45" s="1152">
        <f>IF($C45=0,0,VLOOKUP($C45,'SD3'!$C$24:$N$74,4,FALSE))</f>
        <v>0</v>
      </c>
      <c r="F45" s="1151">
        <f>IF($C45=0,0,VLOOKUP($C45,'SD3'!$C$24:$N$74,12,FALSE))</f>
        <v>0</v>
      </c>
      <c r="G45" s="1150">
        <f>IF($C45=0,0,VLOOKUP($C45,'SD3'!$C$24:$N$74,13,FALSE))</f>
        <v>0</v>
      </c>
      <c r="H45" s="1155"/>
      <c r="I45" s="1154">
        <f t="shared" ref="I45:I56" si="4">$F45*H45</f>
        <v>0</v>
      </c>
      <c r="J45" s="1145">
        <f t="shared" ref="J45:J55" si="5">H45*$G45</f>
        <v>0</v>
      </c>
      <c r="K45" s="1155"/>
      <c r="L45" s="1156">
        <f t="shared" ref="L45:L56" si="6">$F45*K45</f>
        <v>0</v>
      </c>
      <c r="M45" s="1148">
        <f t="shared" ref="M45:M56" si="7">K45*$G45</f>
        <v>0</v>
      </c>
      <c r="N45" s="1155"/>
      <c r="O45" s="1154">
        <f t="shared" ref="O45:O56" si="8">$F45*N45</f>
        <v>0</v>
      </c>
      <c r="P45" s="1623">
        <f t="shared" ref="P45:P56" si="9">N45*$G45</f>
        <v>0</v>
      </c>
      <c r="Q45" s="1707"/>
    </row>
    <row r="46" spans="1:36" s="36" customFormat="1" ht="15" customHeight="1">
      <c r="A46" s="746"/>
      <c r="B46" s="1624"/>
      <c r="C46" s="4481" t="s">
        <v>1589</v>
      </c>
      <c r="D46" s="4482"/>
      <c r="E46" s="1152">
        <f>IF($C46=0,0,VLOOKUP($C46,'SD3'!$C$24:$N$74,4,FALSE))</f>
        <v>120</v>
      </c>
      <c r="F46" s="1151">
        <f>IF($C46=0,0,VLOOKUP($C46,'SD3'!$C$24:$N$74,12,FALSE))</f>
        <v>1.38</v>
      </c>
      <c r="G46" s="1150" t="e">
        <f>IF($C46=0,0,VLOOKUP($C46,'SD3'!$C$24:$N$74,13,FALSE))</f>
        <v>#REF!</v>
      </c>
      <c r="H46" s="1147">
        <v>1</v>
      </c>
      <c r="I46" s="1146">
        <f t="shared" si="4"/>
        <v>1.38</v>
      </c>
      <c r="J46" s="1145" t="e">
        <f t="shared" si="5"/>
        <v>#REF!</v>
      </c>
      <c r="K46" s="1147">
        <v>1</v>
      </c>
      <c r="L46" s="1149">
        <f t="shared" si="6"/>
        <v>1.38</v>
      </c>
      <c r="M46" s="1148" t="e">
        <f t="shared" si="7"/>
        <v>#REF!</v>
      </c>
      <c r="N46" s="1147">
        <v>1</v>
      </c>
      <c r="O46" s="1146">
        <f t="shared" si="8"/>
        <v>1.38</v>
      </c>
      <c r="P46" s="1623" t="e">
        <f t="shared" si="9"/>
        <v>#REF!</v>
      </c>
      <c r="Q46" s="1707"/>
    </row>
    <row r="47" spans="1:36" s="36" customFormat="1" ht="15" customHeight="1">
      <c r="A47" s="746"/>
      <c r="B47" s="1624"/>
      <c r="C47" s="4481" t="s">
        <v>1588</v>
      </c>
      <c r="D47" s="4482"/>
      <c r="E47" s="1152">
        <f>IF($C47=0,0,VLOOKUP($C47,'SD3'!$C$24:$N$74,4,FALSE))</f>
        <v>83</v>
      </c>
      <c r="F47" s="1151">
        <f>IF($C47=0,0,VLOOKUP($C47,'SD3'!$C$24:$N$74,12,FALSE))</f>
        <v>0.53</v>
      </c>
      <c r="G47" s="1150" t="e">
        <f>IF($C47=0,0,VLOOKUP($C47,'SD3'!$C$24:$N$74,13,FALSE))</f>
        <v>#REF!</v>
      </c>
      <c r="H47" s="1147">
        <v>1</v>
      </c>
      <c r="I47" s="1146">
        <f t="shared" si="4"/>
        <v>0.53</v>
      </c>
      <c r="J47" s="1145" t="e">
        <f t="shared" si="5"/>
        <v>#REF!</v>
      </c>
      <c r="K47" s="1147">
        <v>1</v>
      </c>
      <c r="L47" s="1149">
        <f t="shared" si="6"/>
        <v>0.53</v>
      </c>
      <c r="M47" s="1148" t="e">
        <f t="shared" si="7"/>
        <v>#REF!</v>
      </c>
      <c r="N47" s="1147">
        <v>1</v>
      </c>
      <c r="O47" s="1146">
        <f t="shared" si="8"/>
        <v>0.53</v>
      </c>
      <c r="P47" s="1623" t="e">
        <f t="shared" si="9"/>
        <v>#REF!</v>
      </c>
      <c r="Q47" s="1707"/>
    </row>
    <row r="48" spans="1:36" s="36" customFormat="1" ht="15" customHeight="1">
      <c r="A48" s="746"/>
      <c r="B48" s="1624"/>
      <c r="C48" s="4481" t="s">
        <v>1361</v>
      </c>
      <c r="D48" s="4482"/>
      <c r="E48" s="1152" t="e">
        <f>IF($C48=0,0,VLOOKUP($C48,'SD3'!$C$24:$N$74,4,FALSE))</f>
        <v>#N/A</v>
      </c>
      <c r="F48" s="1151" t="e">
        <f>IF($C48=0,0,VLOOKUP($C48,'SD3'!$C$24:$N$74,12,FALSE))</f>
        <v>#N/A</v>
      </c>
      <c r="G48" s="1150" t="e">
        <f>IF($C48=0,0,VLOOKUP($C48,'SD3'!$C$24:$N$74,13,FALSE))</f>
        <v>#N/A</v>
      </c>
      <c r="H48" s="1147">
        <v>1</v>
      </c>
      <c r="I48" s="1146" t="e">
        <f t="shared" si="4"/>
        <v>#N/A</v>
      </c>
      <c r="J48" s="1145" t="e">
        <f t="shared" si="5"/>
        <v>#N/A</v>
      </c>
      <c r="K48" s="1147">
        <v>1</v>
      </c>
      <c r="L48" s="1149" t="e">
        <f t="shared" si="6"/>
        <v>#N/A</v>
      </c>
      <c r="M48" s="1148" t="e">
        <f t="shared" si="7"/>
        <v>#N/A</v>
      </c>
      <c r="N48" s="1147">
        <v>1</v>
      </c>
      <c r="O48" s="1146" t="e">
        <f t="shared" si="8"/>
        <v>#N/A</v>
      </c>
      <c r="P48" s="1623" t="e">
        <f t="shared" si="9"/>
        <v>#N/A</v>
      </c>
      <c r="Q48" s="1707"/>
    </row>
    <row r="49" spans="1:36" s="36" customFormat="1" ht="15" customHeight="1">
      <c r="A49" s="746"/>
      <c r="B49" s="1624"/>
      <c r="C49" s="4481" t="s">
        <v>1360</v>
      </c>
      <c r="D49" s="4482"/>
      <c r="E49" s="1152" t="e">
        <f>IF($C49=0,0,VLOOKUP($C49,'SD3'!$C$24:$N$74,4,FALSE))</f>
        <v>#N/A</v>
      </c>
      <c r="F49" s="1151" t="e">
        <f>IF($C49=0,0,VLOOKUP($C49,'SD3'!$C$24:$N$74,12,FALSE))</f>
        <v>#N/A</v>
      </c>
      <c r="G49" s="1150" t="e">
        <f>IF($C49=0,0,VLOOKUP($C49,'SD3'!$C$24:$N$74,13,FALSE))</f>
        <v>#N/A</v>
      </c>
      <c r="H49" s="1147">
        <v>2</v>
      </c>
      <c r="I49" s="1146" t="e">
        <f t="shared" si="4"/>
        <v>#N/A</v>
      </c>
      <c r="J49" s="1145" t="e">
        <f t="shared" si="5"/>
        <v>#N/A</v>
      </c>
      <c r="K49" s="1147">
        <v>2</v>
      </c>
      <c r="L49" s="1149" t="e">
        <f t="shared" si="6"/>
        <v>#N/A</v>
      </c>
      <c r="M49" s="1148" t="e">
        <f t="shared" si="7"/>
        <v>#N/A</v>
      </c>
      <c r="N49" s="1147">
        <v>2</v>
      </c>
      <c r="O49" s="1146" t="e">
        <f t="shared" si="8"/>
        <v>#N/A</v>
      </c>
      <c r="P49" s="1623" t="e">
        <f t="shared" si="9"/>
        <v>#N/A</v>
      </c>
      <c r="Q49" s="1707"/>
    </row>
    <row r="50" spans="1:36" s="36" customFormat="1" ht="15" customHeight="1">
      <c r="A50" s="746"/>
      <c r="B50" s="1624"/>
      <c r="C50" s="4481" t="s">
        <v>340</v>
      </c>
      <c r="D50" s="4482"/>
      <c r="E50" s="1152" t="e">
        <f>IF($C50=0,0,VLOOKUP($C50,'SD3'!$C$24:$N$74,4,FALSE))</f>
        <v>#N/A</v>
      </c>
      <c r="F50" s="1151" t="e">
        <f>IF($C50=0,0,VLOOKUP($C50,'SD3'!$C$24:$N$74,12,FALSE))</f>
        <v>#N/A</v>
      </c>
      <c r="G50" s="1150" t="e">
        <f>IF($C50=0,0,VLOOKUP($C50,'SD3'!$C$24:$N$74,13,FALSE))</f>
        <v>#N/A</v>
      </c>
      <c r="H50" s="1147"/>
      <c r="I50" s="1146" t="e">
        <f t="shared" si="4"/>
        <v>#N/A</v>
      </c>
      <c r="J50" s="1145" t="e">
        <f t="shared" si="5"/>
        <v>#N/A</v>
      </c>
      <c r="K50" s="1147"/>
      <c r="L50" s="1149" t="e">
        <f t="shared" si="6"/>
        <v>#N/A</v>
      </c>
      <c r="M50" s="1148" t="e">
        <f t="shared" si="7"/>
        <v>#N/A</v>
      </c>
      <c r="N50" s="1147"/>
      <c r="O50" s="1146" t="e">
        <f t="shared" si="8"/>
        <v>#N/A</v>
      </c>
      <c r="P50" s="1623" t="e">
        <f t="shared" si="9"/>
        <v>#N/A</v>
      </c>
      <c r="Q50" s="1707"/>
    </row>
    <row r="51" spans="1:36" s="36" customFormat="1" ht="15" customHeight="1">
      <c r="A51" s="746"/>
      <c r="B51" s="1624"/>
      <c r="C51" s="4481"/>
      <c r="D51" s="4482"/>
      <c r="E51" s="1152">
        <f>IF($C51=0,0,VLOOKUP($C51,'SD3'!$C$24:$N$74,4,FALSE))</f>
        <v>0</v>
      </c>
      <c r="F51" s="1151">
        <f>IF($C51=0,0,VLOOKUP($C51,'SD3'!$C$24:$N$74,12,FALSE))</f>
        <v>0</v>
      </c>
      <c r="G51" s="1150">
        <f>IF($C51=0,0,VLOOKUP($C51,'SD3'!$C$24:$N$74,13,FALSE))</f>
        <v>0</v>
      </c>
      <c r="H51" s="1147"/>
      <c r="I51" s="1146">
        <f t="shared" si="4"/>
        <v>0</v>
      </c>
      <c r="J51" s="1145">
        <f t="shared" si="5"/>
        <v>0</v>
      </c>
      <c r="K51" s="1147"/>
      <c r="L51" s="1149">
        <f t="shared" si="6"/>
        <v>0</v>
      </c>
      <c r="M51" s="1148">
        <f t="shared" si="7"/>
        <v>0</v>
      </c>
      <c r="N51" s="1147"/>
      <c r="O51" s="1146">
        <f t="shared" si="8"/>
        <v>0</v>
      </c>
      <c r="P51" s="1623">
        <f t="shared" si="9"/>
        <v>0</v>
      </c>
      <c r="Q51" s="1707"/>
    </row>
    <row r="52" spans="1:36" s="36" customFormat="1" ht="15" customHeight="1">
      <c r="A52" s="746"/>
      <c r="B52" s="1624"/>
      <c r="C52" s="4481"/>
      <c r="D52" s="4482"/>
      <c r="E52" s="1152">
        <f>IF($C52=0,0,VLOOKUP($C52,'SD3'!$C$24:$N$74,4,FALSE))</f>
        <v>0</v>
      </c>
      <c r="F52" s="1151">
        <f>IF($C52=0,0,VLOOKUP($C52,'SD3'!$C$24:$N$74,12,FALSE))</f>
        <v>0</v>
      </c>
      <c r="G52" s="1150">
        <f>IF($C52=0,0,VLOOKUP($C52,'SD3'!$C$24:$N$74,13,FALSE))</f>
        <v>0</v>
      </c>
      <c r="H52" s="1147"/>
      <c r="I52" s="1146">
        <f t="shared" si="4"/>
        <v>0</v>
      </c>
      <c r="J52" s="1145">
        <f t="shared" si="5"/>
        <v>0</v>
      </c>
      <c r="K52" s="1147"/>
      <c r="L52" s="1149">
        <f t="shared" si="6"/>
        <v>0</v>
      </c>
      <c r="M52" s="1148">
        <f t="shared" si="7"/>
        <v>0</v>
      </c>
      <c r="N52" s="1147"/>
      <c r="O52" s="1146">
        <f t="shared" si="8"/>
        <v>0</v>
      </c>
      <c r="P52" s="1623">
        <f t="shared" si="9"/>
        <v>0</v>
      </c>
      <c r="Q52" s="1707"/>
    </row>
    <row r="53" spans="1:36" s="36" customFormat="1" ht="15" customHeight="1">
      <c r="A53" s="746"/>
      <c r="B53" s="1624"/>
      <c r="C53" s="4481" t="s">
        <v>1359</v>
      </c>
      <c r="D53" s="4482"/>
      <c r="E53" s="1152" t="e">
        <f>IF($C53=0,0,VLOOKUP($C53,'SD3'!$C$24:$N$74,4,FALSE))</f>
        <v>#N/A</v>
      </c>
      <c r="F53" s="1151" t="e">
        <f>IF($C53=0,0,VLOOKUP($C53,'SD3'!$C$24:$N$74,12,FALSE))</f>
        <v>#N/A</v>
      </c>
      <c r="G53" s="1150" t="e">
        <f>IF($C53=0,0,VLOOKUP($C53,'SD3'!$C$24:$N$74,13,FALSE))</f>
        <v>#N/A</v>
      </c>
      <c r="H53" s="1147">
        <f>$J$6/40+0.3</f>
        <v>0.35</v>
      </c>
      <c r="I53" s="1146" t="e">
        <f t="shared" si="4"/>
        <v>#N/A</v>
      </c>
      <c r="J53" s="1145" t="e">
        <f t="shared" si="5"/>
        <v>#N/A</v>
      </c>
      <c r="K53" s="1147">
        <f>$M$6/40+0.3</f>
        <v>0.4</v>
      </c>
      <c r="L53" s="1149" t="e">
        <f t="shared" si="6"/>
        <v>#N/A</v>
      </c>
      <c r="M53" s="1148" t="e">
        <f t="shared" si="7"/>
        <v>#N/A</v>
      </c>
      <c r="N53" s="1147">
        <f>$P$6/40+0.3</f>
        <v>0.44999999999999996</v>
      </c>
      <c r="O53" s="1146" t="e">
        <f t="shared" si="8"/>
        <v>#N/A</v>
      </c>
      <c r="P53" s="1623" t="e">
        <f t="shared" si="9"/>
        <v>#N/A</v>
      </c>
      <c r="Q53" s="34"/>
    </row>
    <row r="54" spans="1:36" s="36" customFormat="1" ht="15" customHeight="1">
      <c r="A54" s="746"/>
      <c r="B54" s="1624"/>
      <c r="C54" s="4481" t="s">
        <v>1150</v>
      </c>
      <c r="D54" s="4482"/>
      <c r="E54" s="1152" t="e">
        <f>IF($C54=0,0,VLOOKUP($C54,'SD3'!$C$24:$N$74,4,FALSE))</f>
        <v>#N/A</v>
      </c>
      <c r="F54" s="1151" t="e">
        <f>IF($C54=0,0,VLOOKUP($C54,'SD3'!$C$24:$N$74,12,FALSE))</f>
        <v>#N/A</v>
      </c>
      <c r="G54" s="1150" t="e">
        <f>IF($C54=0,0,VLOOKUP($C54,'SD3'!$C$24:$N$74,13,FALSE))</f>
        <v>#N/A</v>
      </c>
      <c r="H54" s="1147">
        <v>2</v>
      </c>
      <c r="I54" s="1146" t="e">
        <f t="shared" si="4"/>
        <v>#N/A</v>
      </c>
      <c r="J54" s="1145" t="e">
        <f t="shared" si="5"/>
        <v>#N/A</v>
      </c>
      <c r="K54" s="1147">
        <v>2</v>
      </c>
      <c r="L54" s="1149" t="e">
        <f t="shared" si="6"/>
        <v>#N/A</v>
      </c>
      <c r="M54" s="1148" t="e">
        <f t="shared" si="7"/>
        <v>#N/A</v>
      </c>
      <c r="N54" s="1147">
        <v>2</v>
      </c>
      <c r="O54" s="1146" t="e">
        <f t="shared" si="8"/>
        <v>#N/A</v>
      </c>
      <c r="P54" s="1623" t="e">
        <f t="shared" si="9"/>
        <v>#N/A</v>
      </c>
      <c r="Q54" s="1707"/>
    </row>
    <row r="55" spans="1:36" s="36" customFormat="1" ht="15" customHeight="1">
      <c r="A55" s="746"/>
      <c r="B55" s="1624"/>
      <c r="C55" s="4481"/>
      <c r="D55" s="4482"/>
      <c r="E55" s="1152">
        <f>IF($C55=0,0,VLOOKUP($C55,'SD3'!$C$24:$N$74,4,FALSE))</f>
        <v>0</v>
      </c>
      <c r="F55" s="1151">
        <f>IF($C55=0,0,VLOOKUP($C55,'SD3'!$C$24:$N$74,12,FALSE))</f>
        <v>0</v>
      </c>
      <c r="G55" s="1150">
        <f>IF($C55=0,0,VLOOKUP($C55,'SD3'!$C$24:$N$74,13,FALSE))</f>
        <v>0</v>
      </c>
      <c r="H55" s="1147"/>
      <c r="I55" s="1146">
        <f t="shared" si="4"/>
        <v>0</v>
      </c>
      <c r="J55" s="1145">
        <f t="shared" si="5"/>
        <v>0</v>
      </c>
      <c r="K55" s="1147"/>
      <c r="L55" s="1149">
        <f t="shared" si="6"/>
        <v>0</v>
      </c>
      <c r="M55" s="1148">
        <f t="shared" si="7"/>
        <v>0</v>
      </c>
      <c r="N55" s="1147"/>
      <c r="O55" s="1146">
        <f t="shared" si="8"/>
        <v>0</v>
      </c>
      <c r="P55" s="1623">
        <f t="shared" si="9"/>
        <v>0</v>
      </c>
      <c r="Q55" s="1707"/>
    </row>
    <row r="56" spans="1:36" s="36" customFormat="1" ht="15" customHeight="1">
      <c r="A56" s="746"/>
      <c r="B56" s="1603"/>
      <c r="C56" s="4481">
        <v>0</v>
      </c>
      <c r="D56" s="4482"/>
      <c r="E56" s="1135">
        <f>IF($C56=0,0,VLOOKUP($C56,'SD3'!$C$24:$N$74,4,FALSE))</f>
        <v>0</v>
      </c>
      <c r="F56" s="1134">
        <f>IF($C56=0,0,VLOOKUP($C56,'SD3'!$C$24:$N$74,12,FALSE))</f>
        <v>0</v>
      </c>
      <c r="G56" s="1133">
        <f>IF($C56=0,0,VLOOKUP($C56,'SD3'!$C$24:$N$74,13,FALSE))</f>
        <v>0</v>
      </c>
      <c r="H56" s="1131"/>
      <c r="I56" s="1130">
        <f t="shared" si="4"/>
        <v>0</v>
      </c>
      <c r="J56" s="1129"/>
      <c r="K56" s="1131"/>
      <c r="L56" s="1132">
        <f t="shared" si="6"/>
        <v>0</v>
      </c>
      <c r="M56" s="1079">
        <f t="shared" si="7"/>
        <v>0</v>
      </c>
      <c r="N56" s="1131"/>
      <c r="O56" s="1130">
        <f t="shared" si="8"/>
        <v>0</v>
      </c>
      <c r="P56" s="1622">
        <f t="shared" si="9"/>
        <v>0</v>
      </c>
      <c r="Q56" s="1707"/>
    </row>
    <row r="57" spans="1:36" s="36" customFormat="1" ht="24.75" customHeight="1">
      <c r="A57" s="746"/>
      <c r="B57" s="1621" t="s">
        <v>1124</v>
      </c>
      <c r="C57" s="1620"/>
      <c r="D57" s="1620"/>
      <c r="E57" s="1620"/>
      <c r="F57" s="1620"/>
      <c r="G57" s="1620"/>
      <c r="H57" s="1617"/>
      <c r="I57" s="1616" t="e">
        <f>SUM(I45:I56)</f>
        <v>#N/A</v>
      </c>
      <c r="J57" s="1619"/>
      <c r="K57" s="1617"/>
      <c r="L57" s="1616" t="e">
        <f>SUM(L45:L56)</f>
        <v>#N/A</v>
      </c>
      <c r="M57" s="1618"/>
      <c r="N57" s="1617"/>
      <c r="O57" s="1616" t="e">
        <f>SUM(O45:O56)</f>
        <v>#N/A</v>
      </c>
      <c r="P57" s="1615"/>
      <c r="Q57" s="1707"/>
    </row>
    <row r="58" spans="1:36" s="36" customFormat="1" ht="24.75" customHeight="1">
      <c r="A58" s="746"/>
      <c r="B58" s="1594" t="s">
        <v>1123</v>
      </c>
      <c r="C58" s="711"/>
      <c r="D58" s="711"/>
      <c r="E58" s="711"/>
      <c r="F58" s="1707"/>
      <c r="G58" s="1590" t="s">
        <v>163</v>
      </c>
      <c r="H58" s="51"/>
      <c r="I58" s="51"/>
      <c r="J58" s="1041">
        <f>H59*$E59</f>
        <v>0</v>
      </c>
      <c r="K58" s="1056"/>
      <c r="L58" s="1056"/>
      <c r="M58" s="1044">
        <f>K59*$E59</f>
        <v>0</v>
      </c>
      <c r="N58" s="51"/>
      <c r="O58" s="51"/>
      <c r="P58" s="1589">
        <f>N59*$E59</f>
        <v>0</v>
      </c>
      <c r="Q58" s="1707"/>
      <c r="R58" s="1706"/>
      <c r="S58" s="1706"/>
      <c r="T58" s="1706"/>
      <c r="U58" s="1706"/>
      <c r="V58" s="1706"/>
      <c r="W58" s="1706"/>
      <c r="X58" s="1706"/>
      <c r="Y58" s="1706"/>
      <c r="Z58" s="1706"/>
      <c r="AA58" s="1706"/>
      <c r="AB58" s="1706"/>
      <c r="AC58" s="1706"/>
      <c r="AD58" s="1706"/>
      <c r="AE58" s="1706"/>
      <c r="AF58" s="1706"/>
      <c r="AG58" s="1706"/>
      <c r="AH58" s="1706"/>
      <c r="AI58" s="1706"/>
      <c r="AJ58" s="1706"/>
    </row>
    <row r="59" spans="1:36" s="1706" customFormat="1" ht="18.75" customHeight="1">
      <c r="A59" s="711"/>
      <c r="B59" s="1614"/>
      <c r="C59" s="815"/>
      <c r="D59" s="222" t="s">
        <v>691</v>
      </c>
      <c r="E59" s="1074">
        <v>10</v>
      </c>
      <c r="F59" s="1049"/>
      <c r="G59" s="1613" t="s">
        <v>362</v>
      </c>
      <c r="H59" s="1015"/>
      <c r="I59" s="1070"/>
      <c r="J59" s="1059"/>
      <c r="K59" s="1015"/>
      <c r="L59" s="1072"/>
      <c r="M59" s="1062"/>
      <c r="N59" s="1015"/>
      <c r="O59" s="1070"/>
      <c r="P59" s="1595"/>
      <c r="Q59" s="1707"/>
    </row>
    <row r="60" spans="1:36" s="1706" customFormat="1" ht="15" customHeight="1">
      <c r="A60" s="711"/>
      <c r="B60" s="1594" t="s">
        <v>1122</v>
      </c>
      <c r="C60" s="811"/>
      <c r="D60" s="811"/>
      <c r="E60" s="811"/>
      <c r="F60" s="1707"/>
      <c r="G60" s="1590" t="s">
        <v>362</v>
      </c>
      <c r="H60" s="1124"/>
      <c r="I60" s="1123" t="e">
        <f>I57-H59</f>
        <v>#N/A</v>
      </c>
      <c r="J60" s="1128"/>
      <c r="K60" s="1127"/>
      <c r="L60" s="1126" t="e">
        <f>L57-K59</f>
        <v>#N/A</v>
      </c>
      <c r="M60" s="1125"/>
      <c r="N60" s="1124"/>
      <c r="O60" s="1123" t="e">
        <f>O57-N59</f>
        <v>#N/A</v>
      </c>
      <c r="P60" s="1612"/>
      <c r="Q60" s="1707"/>
      <c r="R60" s="46"/>
      <c r="S60" s="46"/>
      <c r="T60" s="46"/>
      <c r="U60" s="46"/>
      <c r="V60" s="46"/>
      <c r="W60" s="46"/>
      <c r="X60" s="46"/>
      <c r="Y60" s="46"/>
      <c r="Z60" s="46"/>
      <c r="AA60" s="46"/>
      <c r="AB60" s="46"/>
      <c r="AC60" s="46"/>
      <c r="AD60" s="46"/>
      <c r="AE60" s="46"/>
      <c r="AF60" s="46"/>
      <c r="AG60" s="46"/>
      <c r="AH60" s="46"/>
      <c r="AI60" s="46"/>
      <c r="AJ60" s="46"/>
    </row>
    <row r="61" spans="1:36" s="46" customFormat="1" ht="18.75" customHeight="1">
      <c r="A61" s="811"/>
      <c r="B61" s="1611"/>
      <c r="C61" s="251"/>
      <c r="D61" s="222" t="s">
        <v>847</v>
      </c>
      <c r="E61" s="1120">
        <v>90</v>
      </c>
      <c r="F61" s="251" t="s">
        <v>846</v>
      </c>
      <c r="G61" s="106"/>
      <c r="H61" s="1115"/>
      <c r="I61" s="1114" t="e">
        <f>IF(I60+SUM($I$45:$I$56)*$E$61%&gt;I60+10,I60+10,I60+SUM($I$45:$I$56)*$E$61%)</f>
        <v>#N/A</v>
      </c>
      <c r="J61" s="1113"/>
      <c r="K61" s="1118"/>
      <c r="L61" s="1117" t="e">
        <f>IF(L60+SUM($L$45:$L$56)*$E$61%&gt;L60+10,L60+10,L60+SUM($L$45:$L$56)*$E$61%)</f>
        <v>#N/A</v>
      </c>
      <c r="M61" s="1116"/>
      <c r="N61" s="1115"/>
      <c r="O61" s="1114" t="e">
        <f>IF(O60+SUM($O$45:$O$56)*$E$61%&gt;O60+10,O60+10,O60+SUM($O$45:$O$56)*$E$61%)</f>
        <v>#N/A</v>
      </c>
      <c r="P61" s="1610"/>
      <c r="Q61" s="1707"/>
    </row>
    <row r="62" spans="1:36" s="46" customFormat="1" ht="15" customHeight="1">
      <c r="A62" s="811"/>
      <c r="B62" s="1594" t="s">
        <v>305</v>
      </c>
      <c r="C62" s="811"/>
      <c r="D62" s="811"/>
      <c r="E62" s="36"/>
      <c r="F62" s="36"/>
      <c r="G62" s="1609" t="s">
        <v>163</v>
      </c>
      <c r="H62" s="1607"/>
      <c r="I62" s="1606"/>
      <c r="J62" s="1041">
        <f>IF(J6=0,0,SUM(I64:I66))</f>
        <v>204.3</v>
      </c>
      <c r="K62" s="1107"/>
      <c r="L62" s="1106"/>
      <c r="M62" s="1044">
        <f>IF(M6=0,0,SUM(L64:L66))</f>
        <v>204.3</v>
      </c>
      <c r="N62" s="1607"/>
      <c r="O62" s="1606"/>
      <c r="P62" s="1589">
        <f>IF(P6=0,0,SUM(O64:O66))</f>
        <v>204.3</v>
      </c>
      <c r="Q62" s="1707"/>
      <c r="R62" s="36"/>
      <c r="S62" s="36"/>
      <c r="T62" s="36"/>
      <c r="U62" s="36"/>
      <c r="V62" s="36"/>
      <c r="W62" s="36"/>
      <c r="X62" s="36"/>
      <c r="Y62" s="36"/>
      <c r="Z62" s="36"/>
      <c r="AA62" s="36"/>
      <c r="AB62" s="36"/>
      <c r="AC62" s="36"/>
      <c r="AD62" s="36"/>
      <c r="AE62" s="36"/>
      <c r="AF62" s="36"/>
      <c r="AG62" s="36"/>
      <c r="AH62" s="36"/>
      <c r="AI62" s="36"/>
      <c r="AJ62" s="36"/>
    </row>
    <row r="63" spans="1:36" s="36" customFormat="1" ht="18.75" customHeight="1">
      <c r="A63" s="746"/>
      <c r="B63" s="1588"/>
      <c r="C63" s="1039" t="s">
        <v>837</v>
      </c>
      <c r="D63" s="1110">
        <f>SDÖ1!$O$11</f>
        <v>0</v>
      </c>
      <c r="E63" s="1587"/>
      <c r="F63" s="1585" t="s">
        <v>239</v>
      </c>
      <c r="G63" s="1608" t="s">
        <v>836</v>
      </c>
      <c r="H63" s="1607"/>
      <c r="I63" s="1606"/>
      <c r="J63" s="1209"/>
      <c r="K63" s="1107"/>
      <c r="L63" s="1106"/>
      <c r="M63" s="1105"/>
      <c r="N63" s="1607"/>
      <c r="O63" s="1606"/>
      <c r="P63" s="1580"/>
      <c r="Q63" s="1707"/>
    </row>
    <row r="64" spans="1:36" s="36" customFormat="1" ht="13.2" customHeight="1">
      <c r="A64" s="746"/>
      <c r="B64" s="1579"/>
      <c r="C64" s="4484" t="s">
        <v>298</v>
      </c>
      <c r="D64" s="4484"/>
      <c r="E64" s="4484"/>
      <c r="F64" s="1101">
        <f>IF($C64=0,0,VLOOKUP($C64,'SD3'!$C$92:$D$114,2,FALSE))</f>
        <v>204.3</v>
      </c>
      <c r="G64" s="1100">
        <f>(100+$D$63)/100*F64</f>
        <v>204.3</v>
      </c>
      <c r="I64" s="1243">
        <f>$G$64</f>
        <v>204.3</v>
      </c>
      <c r="K64" s="1099"/>
      <c r="L64" s="1098">
        <f>$G$64</f>
        <v>204.3</v>
      </c>
      <c r="M64" s="1578"/>
      <c r="N64" s="1604"/>
      <c r="O64" s="1243">
        <f>$G$64</f>
        <v>204.3</v>
      </c>
      <c r="P64" s="1577"/>
      <c r="Q64" s="1707"/>
    </row>
    <row r="65" spans="1:36" s="36" customFormat="1" ht="15" customHeight="1">
      <c r="A65" s="746"/>
      <c r="B65" s="1579"/>
      <c r="C65" s="4484"/>
      <c r="D65" s="4484"/>
      <c r="E65" s="4485"/>
      <c r="F65" s="1605">
        <f>IF($C65=0,0,VLOOKUP($C65,'SD3'!$C$92:$D$114,2,FALSE))</f>
        <v>0</v>
      </c>
      <c r="G65" s="1013">
        <f>(100+$D$63)/100*F65</f>
        <v>0</v>
      </c>
      <c r="K65" s="1099"/>
      <c r="L65" s="1098"/>
      <c r="M65" s="1578"/>
      <c r="N65" s="1604"/>
      <c r="O65" s="1243"/>
      <c r="P65" s="1577"/>
      <c r="Q65" s="1707"/>
    </row>
    <row r="66" spans="1:36" s="36" customFormat="1" ht="15" customHeight="1">
      <c r="A66" s="746"/>
      <c r="B66" s="1603"/>
      <c r="C66" s="4486"/>
      <c r="D66" s="4486"/>
      <c r="E66" s="4486"/>
      <c r="F66" s="1083">
        <f>IF($C66=0,0,VLOOKUP($C66,'SD3'!$C$92:$D$114,2,FALSE))</f>
        <v>0</v>
      </c>
      <c r="G66" s="1082">
        <f>(100+$D$63)/100*F66</f>
        <v>0</v>
      </c>
      <c r="H66" s="1602"/>
      <c r="I66" s="1235">
        <f>H11*$G$66</f>
        <v>0</v>
      </c>
      <c r="K66" s="1081"/>
      <c r="L66" s="1080">
        <f>K11*$G$66</f>
        <v>0</v>
      </c>
      <c r="M66" s="1079"/>
      <c r="N66" s="1602"/>
      <c r="O66" s="1235">
        <f>N11*$G$66</f>
        <v>0</v>
      </c>
      <c r="P66" s="1601"/>
      <c r="Q66" s="4496"/>
    </row>
    <row r="67" spans="1:36" s="36" customFormat="1" ht="20.399999999999999">
      <c r="A67" s="746"/>
      <c r="B67" s="1594" t="s">
        <v>1121</v>
      </c>
      <c r="C67" s="711"/>
      <c r="D67" s="711"/>
      <c r="E67" s="175"/>
      <c r="F67" s="1069"/>
      <c r="G67" s="1590" t="s">
        <v>163</v>
      </c>
      <c r="H67" s="1598" t="s">
        <v>842</v>
      </c>
      <c r="I67" s="1597" t="s">
        <v>841</v>
      </c>
      <c r="J67" s="1041" t="e">
        <f>IF($F$68=0,$R$68*(H$9+H$10)*I$68%,$F$68*(H$9+H$10)*I$68%)</f>
        <v>#REF!</v>
      </c>
      <c r="K67" s="1600" t="s">
        <v>842</v>
      </c>
      <c r="L67" s="1599" t="s">
        <v>841</v>
      </c>
      <c r="M67" s="1044" t="e">
        <f>IF($F$68=0,$R$68*(K$9+K$10)*L$68%,$F$68*(K$9+K$10)*L$68%)</f>
        <v>#REF!</v>
      </c>
      <c r="N67" s="1598" t="s">
        <v>842</v>
      </c>
      <c r="O67" s="1597" t="s">
        <v>841</v>
      </c>
      <c r="P67" s="1589" t="e">
        <f>IF($F$68=0,$R$68*(N$9+N$10)*O$68%,$F$68*(N$9+N$10)*O$68%)</f>
        <v>#REF!</v>
      </c>
      <c r="Q67" s="4497"/>
      <c r="R67" s="1706"/>
      <c r="S67" s="1706"/>
      <c r="T67" s="1706"/>
      <c r="U67" s="1706"/>
      <c r="V67" s="1706"/>
      <c r="W67" s="1706"/>
      <c r="X67" s="1706"/>
      <c r="Y67" s="1706"/>
      <c r="Z67" s="1706"/>
      <c r="AA67" s="1706"/>
      <c r="AB67" s="1706"/>
      <c r="AC67" s="1706"/>
      <c r="AD67" s="1706"/>
      <c r="AE67" s="1706"/>
      <c r="AF67" s="1706"/>
      <c r="AG67" s="1706"/>
      <c r="AH67" s="1706"/>
      <c r="AI67" s="1706"/>
      <c r="AJ67" s="1706"/>
    </row>
    <row r="68" spans="1:36" s="1706" customFormat="1" ht="15.6">
      <c r="A68" s="711"/>
      <c r="B68" s="1596"/>
      <c r="C68" s="4487" t="s">
        <v>564</v>
      </c>
      <c r="D68" s="4487"/>
      <c r="E68" s="4487"/>
      <c r="F68" s="1063"/>
      <c r="G68" s="1054" t="s">
        <v>220</v>
      </c>
      <c r="H68" s="1061">
        <v>25</v>
      </c>
      <c r="I68" s="1060">
        <v>100</v>
      </c>
      <c r="J68" s="1059"/>
      <c r="K68" s="1061">
        <v>25</v>
      </c>
      <c r="L68" s="1060">
        <v>100</v>
      </c>
      <c r="M68" s="1062"/>
      <c r="N68" s="1061">
        <v>25</v>
      </c>
      <c r="O68" s="1060">
        <v>100</v>
      </c>
      <c r="P68" s="1595"/>
      <c r="Q68" s="4497"/>
      <c r="R68" s="1369" t="e">
        <f>IF(Linsen!$H$68=0,0,VLOOKUP($H$68,#REF!,2,TRUE))*(1+SDÖ1!$O$11/100)</f>
        <v>#REF!</v>
      </c>
      <c r="S68" s="1369" t="e">
        <f>IF($K$68=0,0,VLOOKUP($K$68,#REF!,2,TRUE))*(1+SDÖ1!$O$11/100)</f>
        <v>#REF!</v>
      </c>
      <c r="T68" s="1369" t="e">
        <f>IF($N$68=0,0,VLOOKUP($N$68,#REF!,2,TRUE))*(1+SDÖ1!$O$11/100)</f>
        <v>#REF!</v>
      </c>
    </row>
    <row r="69" spans="1:36" s="1706" customFormat="1" ht="15" customHeight="1">
      <c r="A69" s="711"/>
      <c r="B69" s="1594" t="s">
        <v>1119</v>
      </c>
      <c r="C69" s="711"/>
      <c r="D69" s="711"/>
      <c r="E69" s="175"/>
      <c r="F69" s="175"/>
      <c r="G69" s="1590" t="s">
        <v>163</v>
      </c>
      <c r="H69" s="38"/>
      <c r="I69" s="51"/>
      <c r="J69" s="1041" t="e">
        <f>H70*$F70/1000</f>
        <v>#REF!</v>
      </c>
      <c r="K69" s="1057"/>
      <c r="L69" s="1056"/>
      <c r="M69" s="1044" t="e">
        <f>K70*$F70/1000</f>
        <v>#REF!</v>
      </c>
      <c r="N69" s="38"/>
      <c r="O69" s="51"/>
      <c r="P69" s="1589" t="e">
        <f>N70*$F70/1000</f>
        <v>#REF!</v>
      </c>
      <c r="Q69" s="1707"/>
    </row>
    <row r="70" spans="1:36" s="1706" customFormat="1" ht="18.75" customHeight="1">
      <c r="A70" s="711"/>
      <c r="B70" s="1593"/>
      <c r="C70" s="771" t="s">
        <v>606</v>
      </c>
      <c r="D70" s="251"/>
      <c r="E70" s="222"/>
      <c r="F70" s="1055" t="e">
        <f>SDÖ7!#REF!</f>
        <v>#REF!</v>
      </c>
      <c r="G70" s="1054" t="s">
        <v>441</v>
      </c>
      <c r="H70" s="1050">
        <f>I9+I10</f>
        <v>0</v>
      </c>
      <c r="I70" s="1049"/>
      <c r="J70" s="1048"/>
      <c r="K70" s="1053">
        <f>L9+L10</f>
        <v>0</v>
      </c>
      <c r="L70" s="1052"/>
      <c r="M70" s="1051"/>
      <c r="N70" s="1050">
        <f>O9+O10</f>
        <v>0</v>
      </c>
      <c r="O70" s="1049"/>
      <c r="P70" s="1592"/>
      <c r="Q70" s="1707"/>
    </row>
    <row r="71" spans="1:36" s="1706" customFormat="1" ht="15" customHeight="1">
      <c r="A71" s="711"/>
      <c r="B71" s="1591" t="s">
        <v>210</v>
      </c>
      <c r="C71" s="309"/>
      <c r="D71" s="309"/>
      <c r="E71" s="175"/>
      <c r="F71" s="1711"/>
      <c r="G71" s="1590" t="s">
        <v>163</v>
      </c>
      <c r="H71" s="1043"/>
      <c r="I71" s="1042"/>
      <c r="J71" s="1041">
        <f>SUM(I73:I74)</f>
        <v>0</v>
      </c>
      <c r="K71" s="1046"/>
      <c r="L71" s="1045"/>
      <c r="M71" s="1044">
        <f>SUM(L73:L74)</f>
        <v>0</v>
      </c>
      <c r="N71" s="1043"/>
      <c r="O71" s="1042"/>
      <c r="P71" s="1589">
        <f>SUM(O73:O74)</f>
        <v>0</v>
      </c>
      <c r="Q71" s="1707"/>
      <c r="R71" s="1711"/>
      <c r="S71" s="1711"/>
      <c r="T71" s="1711"/>
      <c r="U71" s="1711"/>
      <c r="V71" s="1711"/>
      <c r="W71" s="1711"/>
      <c r="X71" s="1711"/>
      <c r="Y71" s="1711"/>
      <c r="Z71" s="1711"/>
      <c r="AA71" s="1711"/>
      <c r="AB71" s="1711"/>
      <c r="AC71" s="1711"/>
      <c r="AD71" s="1711"/>
      <c r="AE71" s="1711"/>
      <c r="AF71" s="1711"/>
      <c r="AG71" s="1711"/>
      <c r="AH71" s="1711"/>
      <c r="AI71" s="1711"/>
      <c r="AJ71" s="1711"/>
    </row>
    <row r="72" spans="1:36" ht="18.75" customHeight="1">
      <c r="A72" s="309"/>
      <c r="B72" s="1588"/>
      <c r="C72" s="1039" t="s">
        <v>837</v>
      </c>
      <c r="D72" s="1698">
        <f>SDÖ1!$O$12</f>
        <v>0</v>
      </c>
      <c r="E72" s="1587"/>
      <c r="F72" s="1036" t="s">
        <v>220</v>
      </c>
      <c r="G72" s="1035"/>
      <c r="H72" s="1586" t="s">
        <v>239</v>
      </c>
      <c r="I72" s="1585" t="s">
        <v>836</v>
      </c>
      <c r="J72" s="1032"/>
      <c r="K72" s="1584" t="s">
        <v>239</v>
      </c>
      <c r="L72" s="1583" t="s">
        <v>836</v>
      </c>
      <c r="M72" s="1029"/>
      <c r="N72" s="1582" t="s">
        <v>239</v>
      </c>
      <c r="O72" s="1581" t="s">
        <v>836</v>
      </c>
      <c r="P72" s="1580"/>
    </row>
    <row r="73" spans="1:36" ht="13.2" customHeight="1">
      <c r="A73" s="309"/>
      <c r="B73" s="1579"/>
      <c r="C73" s="4498" t="s">
        <v>1358</v>
      </c>
      <c r="D73" s="4498"/>
      <c r="E73" s="4498"/>
      <c r="F73" s="1025"/>
      <c r="G73" s="1024"/>
      <c r="H73" s="1018"/>
      <c r="I73" s="1022">
        <f>H73*(100+$D$72)/100</f>
        <v>0</v>
      </c>
      <c r="J73" s="36"/>
      <c r="K73" s="1018"/>
      <c r="L73" s="1023">
        <f>K73*(100+$D$72)/100</f>
        <v>0</v>
      </c>
      <c r="M73" s="1578"/>
      <c r="N73" s="1018"/>
      <c r="O73" s="1022">
        <f>N73*(100+$D$72)/100</f>
        <v>0</v>
      </c>
      <c r="P73" s="1577"/>
      <c r="R73" s="36"/>
      <c r="S73" s="36"/>
      <c r="T73" s="36"/>
      <c r="U73" s="36"/>
      <c r="V73" s="36"/>
      <c r="W73" s="36"/>
      <c r="X73" s="36"/>
      <c r="Y73" s="36"/>
      <c r="Z73" s="36"/>
      <c r="AA73" s="36"/>
      <c r="AB73" s="36"/>
      <c r="AC73" s="36"/>
      <c r="AD73" s="36"/>
      <c r="AE73" s="36"/>
      <c r="AF73" s="36"/>
      <c r="AG73" s="36"/>
      <c r="AH73" s="36"/>
      <c r="AI73" s="36"/>
      <c r="AJ73" s="36"/>
    </row>
    <row r="74" spans="1:36" s="36" customFormat="1" ht="15" customHeight="1">
      <c r="A74" s="746"/>
      <c r="B74" s="1579"/>
      <c r="C74" s="4483"/>
      <c r="D74" s="4483"/>
      <c r="E74" s="4483"/>
      <c r="F74" s="1020"/>
      <c r="G74" s="1019"/>
      <c r="H74" s="1015">
        <f>F74*$J$6</f>
        <v>0</v>
      </c>
      <c r="I74" s="1022">
        <f>H74*(100+$D$72)/100</f>
        <v>0</v>
      </c>
      <c r="K74" s="1018">
        <f>F74*$M$6</f>
        <v>0</v>
      </c>
      <c r="L74" s="1023">
        <f>K74*(100+$D$72)/100</f>
        <v>0</v>
      </c>
      <c r="M74" s="1578"/>
      <c r="N74" s="1015">
        <f>F74*$P$6</f>
        <v>0</v>
      </c>
      <c r="O74" s="1014">
        <f>N74*(100+$D$72)/100</f>
        <v>0</v>
      </c>
      <c r="P74" s="1577"/>
      <c r="Q74" s="1707"/>
    </row>
    <row r="75" spans="1:36" s="36" customFormat="1" ht="15" customHeight="1" thickBot="1">
      <c r="A75" s="746"/>
      <c r="B75" s="4499" t="s">
        <v>835</v>
      </c>
      <c r="C75" s="4500"/>
      <c r="D75" s="1576" t="s">
        <v>834</v>
      </c>
      <c r="E75" s="1575">
        <f>SDÖ1!$O$72/100</f>
        <v>0.02</v>
      </c>
      <c r="F75" s="1574" t="s">
        <v>1118</v>
      </c>
      <c r="G75" s="1573">
        <v>5</v>
      </c>
      <c r="H75" s="1569"/>
      <c r="I75" s="1572"/>
      <c r="J75" s="1567" t="e">
        <f>(J21+J25+J32+J42+J62+J58+J67+J69+J71)*(SDÖ1!$O$72%*$G$75/12)</f>
        <v>#REF!</v>
      </c>
      <c r="K75" s="1571"/>
      <c r="L75" s="1570"/>
      <c r="M75" s="1567" t="e">
        <f>(M21+M25+M32+M42+M62+M58+M67+M69+M71)*(SDÖ1!$O$72%*$G$75/12)</f>
        <v>#REF!</v>
      </c>
      <c r="N75" s="1569"/>
      <c r="O75" s="1568"/>
      <c r="P75" s="1567" t="e">
        <f>(P21+P25+P32+P42+P62+P58+P67+P69+P71)*(SDÖ1!$O$72%*$G$75/12)</f>
        <v>#REF!</v>
      </c>
      <c r="Q75" s="1707"/>
      <c r="R75" s="1706"/>
      <c r="S75" s="1706"/>
      <c r="T75" s="1706"/>
      <c r="U75" s="1706"/>
      <c r="V75" s="1706"/>
      <c r="W75" s="1706"/>
      <c r="X75" s="1706"/>
      <c r="Y75" s="1706"/>
      <c r="Z75" s="1706"/>
      <c r="AA75" s="1706"/>
      <c r="AB75" s="1706"/>
      <c r="AC75" s="1706"/>
      <c r="AD75" s="1706"/>
      <c r="AE75" s="1706"/>
      <c r="AF75" s="1706"/>
      <c r="AG75" s="1706"/>
      <c r="AH75" s="1706"/>
      <c r="AI75" s="1706"/>
      <c r="AJ75" s="1706"/>
    </row>
    <row r="76" spans="1:36" s="1706" customFormat="1" ht="30.15" customHeight="1">
      <c r="A76" s="711"/>
      <c r="B76" s="1707"/>
      <c r="C76" s="1707"/>
      <c r="D76" s="1707"/>
      <c r="E76" s="1707"/>
      <c r="F76" s="1707"/>
      <c r="G76" s="35"/>
      <c r="H76" s="1707"/>
      <c r="I76" s="1707"/>
      <c r="J76" s="1707"/>
      <c r="K76" s="1707"/>
      <c r="L76" s="1707"/>
      <c r="M76" s="1707"/>
      <c r="N76" s="1707"/>
      <c r="O76" s="1707"/>
      <c r="P76" s="1707"/>
      <c r="Q76" s="1707"/>
      <c r="R76" s="1711"/>
      <c r="S76" s="1711"/>
      <c r="T76" s="1711"/>
      <c r="U76" s="1711"/>
      <c r="V76" s="1711"/>
      <c r="W76" s="1711"/>
      <c r="X76" s="1711"/>
      <c r="Y76" s="1711"/>
      <c r="Z76" s="1711"/>
      <c r="AA76" s="1711"/>
      <c r="AB76" s="1711"/>
      <c r="AC76" s="1711"/>
      <c r="AD76" s="1711"/>
      <c r="AE76" s="1711"/>
      <c r="AF76" s="1711"/>
      <c r="AG76" s="1711"/>
      <c r="AH76" s="1711"/>
      <c r="AI76" s="1711"/>
      <c r="AJ76" s="1711"/>
    </row>
    <row r="77" spans="1:36">
      <c r="C77" s="29" t="str">
        <f ca="1">MID(CELL("Dateiname",$A$1),FIND("]",CELL("Dateiname",$A$1))+1,31)</f>
        <v>Linsen</v>
      </c>
    </row>
    <row r="80" spans="1:36">
      <c r="C80" s="1564" t="e">
        <f>#REF!</f>
        <v>#REF!</v>
      </c>
      <c r="D80" s="215"/>
      <c r="E80" s="515"/>
      <c r="G80" s="1564" t="e">
        <f>#REF!</f>
        <v>#REF!</v>
      </c>
      <c r="H80" s="215"/>
      <c r="I80" s="515"/>
      <c r="L80" s="29"/>
    </row>
    <row r="81" spans="3:16">
      <c r="C81" s="516" t="e">
        <f>#REF!</f>
        <v>#REF!</v>
      </c>
      <c r="E81" s="1708"/>
      <c r="G81" s="1565" t="e">
        <f>#REF!</f>
        <v>#REF!</v>
      </c>
      <c r="I81" s="1708"/>
      <c r="L81" s="29"/>
      <c r="N81" s="1564" t="str">
        <f>'SD3'!C24</f>
        <v>Drehpflug, 5 Schare</v>
      </c>
      <c r="O81" s="215"/>
      <c r="P81" s="515"/>
    </row>
    <row r="82" spans="3:16">
      <c r="C82" s="516" t="e">
        <f>#REF!</f>
        <v>#REF!</v>
      </c>
      <c r="E82" s="1708"/>
      <c r="G82" s="1566"/>
      <c r="H82" s="251"/>
      <c r="I82" s="512"/>
      <c r="L82" s="29"/>
      <c r="N82" s="1565" t="str">
        <f>'SD3'!C25</f>
        <v>Schwergrubber 3 m</v>
      </c>
      <c r="P82" s="1708"/>
    </row>
    <row r="83" spans="3:16">
      <c r="C83" s="516" t="e">
        <f>#REF!</f>
        <v>#REF!</v>
      </c>
      <c r="E83" s="1708"/>
      <c r="G83" s="29"/>
      <c r="H83" s="29"/>
      <c r="I83" s="29"/>
      <c r="L83" s="29"/>
      <c r="N83" s="1565" t="str">
        <f>'SD3'!C26</f>
        <v>Scheibenegge 5 m</v>
      </c>
      <c r="P83" s="1708"/>
    </row>
    <row r="84" spans="3:16">
      <c r="C84" s="516" t="e">
        <f>#REF!</f>
        <v>#REF!</v>
      </c>
      <c r="E84" s="1708"/>
      <c r="G84" s="29"/>
      <c r="H84" s="29"/>
      <c r="I84" s="29"/>
      <c r="L84" s="29"/>
      <c r="N84" s="1565" t="str">
        <f>'SD3'!C28</f>
        <v>Kreiselegge 3 m</v>
      </c>
      <c r="P84" s="1708"/>
    </row>
    <row r="85" spans="3:16">
      <c r="C85" s="516" t="e">
        <f>#REF!</f>
        <v>#REF!</v>
      </c>
      <c r="E85" s="1708"/>
      <c r="G85" s="29" t="e">
        <f>#REF!</f>
        <v>#REF!</v>
      </c>
      <c r="H85" s="29"/>
      <c r="I85" s="29"/>
      <c r="L85" s="29"/>
      <c r="N85" s="1565" t="str">
        <f>'SD3'!C29</f>
        <v>Cambridgewalze 4,5 m</v>
      </c>
      <c r="P85" s="1708"/>
    </row>
    <row r="86" spans="3:16">
      <c r="C86" s="516" t="e">
        <f>#REF!</f>
        <v>#REF!</v>
      </c>
      <c r="E86" s="1708"/>
      <c r="G86" s="29"/>
      <c r="H86" s="29"/>
      <c r="I86" s="29"/>
      <c r="L86" s="29"/>
      <c r="N86" s="1565" t="str">
        <f>'SD3'!C30</f>
        <v>Bodenfräse 3m</v>
      </c>
      <c r="P86" s="1708"/>
    </row>
    <row r="87" spans="3:16">
      <c r="C87" s="516" t="e">
        <f>#REF!</f>
        <v>#REF!</v>
      </c>
      <c r="E87" s="1708"/>
      <c r="G87" s="29" t="e">
        <f>#REF!</f>
        <v>#REF!</v>
      </c>
      <c r="H87" s="29"/>
      <c r="I87" s="29"/>
      <c r="L87" s="29"/>
      <c r="N87" s="1565" t="str">
        <f>'SD3'!C32</f>
        <v>Kreiselegge-Säkomb. 3 m</v>
      </c>
      <c r="P87" s="1708"/>
    </row>
    <row r="88" spans="3:16">
      <c r="C88" s="516" t="e">
        <f>#REF!</f>
        <v>#REF!</v>
      </c>
      <c r="E88" s="1708"/>
      <c r="G88" s="29" t="e">
        <f>#REF!</f>
        <v>#REF!</v>
      </c>
      <c r="H88" s="29"/>
      <c r="I88" s="29"/>
      <c r="L88" s="29"/>
      <c r="N88" s="1565" t="e">
        <f>'SD3'!#REF!</f>
        <v>#REF!</v>
      </c>
      <c r="P88" s="1708"/>
    </row>
    <row r="89" spans="3:16">
      <c r="C89" s="516" t="e">
        <f>#REF!</f>
        <v>#REF!</v>
      </c>
      <c r="E89" s="1708"/>
      <c r="G89" s="29" t="e">
        <f>#REF!</f>
        <v>#REF!</v>
      </c>
      <c r="H89" s="29"/>
      <c r="I89" s="29"/>
      <c r="L89" s="29"/>
      <c r="N89" s="1565" t="str">
        <f>'SD3'!C33</f>
        <v>Sämaschine 3m</v>
      </c>
      <c r="P89" s="1708"/>
    </row>
    <row r="90" spans="3:16">
      <c r="C90" s="516" t="e">
        <f>#REF!</f>
        <v>#REF!</v>
      </c>
      <c r="E90" s="1708"/>
      <c r="G90" s="29"/>
      <c r="H90" s="29"/>
      <c r="I90" s="29"/>
      <c r="L90" s="29"/>
      <c r="N90" s="1565" t="str">
        <f>'SD3'!C34</f>
        <v>Einzelkornsaat 4 r (Mais, Sonnenblume)</v>
      </c>
      <c r="P90" s="1708"/>
    </row>
    <row r="91" spans="3:16">
      <c r="C91" s="516" t="e">
        <f>#REF!</f>
        <v>#REF!</v>
      </c>
      <c r="E91" s="1708"/>
      <c r="G91" s="29"/>
      <c r="H91" s="29"/>
      <c r="I91" s="29"/>
      <c r="L91" s="29"/>
      <c r="N91" s="1565" t="e">
        <f>'SD3'!#REF!</f>
        <v>#REF!</v>
      </c>
      <c r="P91" s="1708"/>
    </row>
    <row r="92" spans="3:16">
      <c r="C92" s="516" t="e">
        <f>#REF!</f>
        <v>#REF!</v>
      </c>
      <c r="E92" s="1708"/>
      <c r="L92" s="29"/>
      <c r="N92" s="1565" t="str">
        <f>'SD3'!C35</f>
        <v>Direktsämaschine 3 m</v>
      </c>
      <c r="P92" s="1708"/>
    </row>
    <row r="93" spans="3:16">
      <c r="C93" s="516" t="e">
        <f>#REF!</f>
        <v>#REF!</v>
      </c>
      <c r="E93" s="1708"/>
      <c r="G93" s="1564" t="str">
        <f>'SD3'!C92</f>
        <v>Mähdrescher - Erbsen/Ackerbohnen</v>
      </c>
      <c r="H93" s="215"/>
      <c r="I93" s="515"/>
      <c r="L93" s="29"/>
      <c r="N93" s="1565" t="e">
        <f>'SD3'!#REF!</f>
        <v>#REF!</v>
      </c>
      <c r="P93" s="1708"/>
    </row>
    <row r="94" spans="3:16">
      <c r="C94" s="516" t="e">
        <f>#REF!</f>
        <v>#REF!</v>
      </c>
      <c r="E94" s="1708"/>
      <c r="G94" s="1565" t="str">
        <f>'SD3'!C93</f>
        <v>Mähdrescher - Körnermais</v>
      </c>
      <c r="I94" s="1708"/>
      <c r="L94" s="29"/>
      <c r="N94" s="1565">
        <f>'SD3'!C36</f>
        <v>0</v>
      </c>
      <c r="P94" s="1708"/>
    </row>
    <row r="95" spans="3:16">
      <c r="C95" s="516" t="e">
        <f>#REF!</f>
        <v>#REF!</v>
      </c>
      <c r="E95" s="1708"/>
      <c r="G95" s="1565" t="str">
        <f>'SD3'!C94</f>
        <v>Mähdrescher - Getr. m. Strohhäcksler</v>
      </c>
      <c r="I95" s="1708"/>
      <c r="L95" s="29"/>
      <c r="N95" s="1565" t="str">
        <f>'SD3'!C37</f>
        <v xml:space="preserve">Düngerstreuer ab Hof 24 m, 400 kg/ha </v>
      </c>
      <c r="P95" s="1708"/>
    </row>
    <row r="96" spans="3:16">
      <c r="C96" s="516" t="e">
        <f>#REF!</f>
        <v>#REF!</v>
      </c>
      <c r="E96" s="1708"/>
      <c r="G96" s="1565" t="str">
        <f>'SD3'!C95</f>
        <v>ZR - Roden, 6-reihig</v>
      </c>
      <c r="I96" s="1708"/>
      <c r="L96" s="29"/>
      <c r="N96" s="1565" t="str">
        <f>'SD3'!C38</f>
        <v>Mist/Kompost streuen 20 t/ha  (6 m, 10,5 t) inkl. Beladen</v>
      </c>
      <c r="P96" s="1708"/>
    </row>
    <row r="97" spans="2:16">
      <c r="C97" s="516" t="e">
        <f>#REF!</f>
        <v>#REF!</v>
      </c>
      <c r="E97" s="1708"/>
      <c r="G97" s="1565" t="str">
        <f>'SD3'!C96</f>
        <v>KA - Vollernter mit Bunker, 2-reihig</v>
      </c>
      <c r="I97" s="1708"/>
      <c r="L97" s="29"/>
      <c r="N97" s="1565" t="e">
        <f>'SD3'!#REF!</f>
        <v>#REF!</v>
      </c>
      <c r="P97" s="1708"/>
    </row>
    <row r="98" spans="2:16">
      <c r="C98" s="228" t="e">
        <f>#REF!</f>
        <v>#REF!</v>
      </c>
      <c r="D98" s="251"/>
      <c r="E98" s="512"/>
      <c r="G98" s="1565" t="str">
        <f>'SD3'!C97</f>
        <v>KA - Schlägeln (m. Schl.+Fahrer)</v>
      </c>
      <c r="I98" s="1708"/>
      <c r="L98" s="29"/>
      <c r="N98" s="1565" t="e">
        <f>'SD3'!#REF!</f>
        <v>#REF!</v>
      </c>
      <c r="P98" s="1708"/>
    </row>
    <row r="99" spans="2:16">
      <c r="C99" s="516"/>
      <c r="E99" s="1708"/>
      <c r="G99" s="1565" t="str">
        <f>'SD3'!C98</f>
        <v>Hemp-Flax(Strohnutzung)</v>
      </c>
      <c r="I99" s="1708"/>
      <c r="L99" s="29"/>
      <c r="N99" s="1565" t="str">
        <f>'SD3'!C39</f>
        <v>Gülle ausbringen 20 m³/ha, (15 m³ Fass, Schleppschl. 15 m)</v>
      </c>
      <c r="P99" s="1708"/>
    </row>
    <row r="100" spans="2:16">
      <c r="C100" s="228"/>
      <c r="D100" s="251"/>
      <c r="E100" s="512"/>
      <c r="G100" s="1565" t="str">
        <f>'SD3'!C99</f>
        <v>Pressen (8,3 t FM; 250 kg/Ba.)</v>
      </c>
      <c r="I100" s="1708"/>
      <c r="L100" s="29"/>
      <c r="N100" s="1565" t="str">
        <f>'SD3'!C40</f>
        <v>Kalkstreuer 6 m³,15 m, 2l/ha (ab Feld, mit Beladen)</v>
      </c>
      <c r="P100" s="1708"/>
    </row>
    <row r="101" spans="2:16">
      <c r="G101" s="1565" t="str">
        <f>'SD3'!C100</f>
        <v>Pressen (10,7 t FM; 250 kg/Ba.)</v>
      </c>
      <c r="I101" s="1708"/>
      <c r="L101" s="29"/>
      <c r="N101" s="1565">
        <f>'SD3'!C41</f>
        <v>0</v>
      </c>
      <c r="P101" s="1708"/>
    </row>
    <row r="102" spans="2:16">
      <c r="G102" s="1565" t="str">
        <f>'SD3'!C101</f>
        <v>ZR - Laden, Abfuhr</v>
      </c>
      <c r="I102" s="1708"/>
      <c r="L102" s="29"/>
      <c r="N102" s="1565" t="str">
        <f>'SD3'!C42</f>
        <v>Pflanzenschutzspritze 21 m, 300 l/ha</v>
      </c>
      <c r="P102" s="1708"/>
    </row>
    <row r="103" spans="2:16">
      <c r="B103" s="29"/>
      <c r="C103" s="29"/>
      <c r="D103" s="29"/>
      <c r="G103" s="1565" t="str">
        <f>'SD3'!C102</f>
        <v>Mulchen</v>
      </c>
      <c r="I103" s="1708"/>
      <c r="L103" s="29"/>
      <c r="N103" s="1565" t="str">
        <f>'SD3'!C43</f>
        <v>Mulchgerät 3 m</v>
      </c>
      <c r="P103" s="1708"/>
    </row>
    <row r="104" spans="2:16">
      <c r="B104" s="29"/>
      <c r="C104" s="29"/>
      <c r="D104" s="29"/>
      <c r="G104" s="1565" t="str">
        <f>'SD3'!C103</f>
        <v>Stroh-Rundballen pressen je dt</v>
      </c>
      <c r="I104" s="1708"/>
      <c r="L104" s="29"/>
      <c r="N104" s="1565" t="str">
        <f>'SD3'!C44</f>
        <v>Präparatespritze 20 m</v>
      </c>
      <c r="P104" s="1708"/>
    </row>
    <row r="105" spans="2:16">
      <c r="B105" s="29"/>
      <c r="C105" s="29"/>
      <c r="D105" s="29"/>
      <c r="G105" s="1565" t="str">
        <f>'SD3'!C104</f>
        <v>Stroh-Quaderballen pres. (Schneidw.)</v>
      </c>
      <c r="I105" s="1708"/>
      <c r="L105" s="29"/>
      <c r="N105" s="1565" t="str">
        <f>'SD3'!C45</f>
        <v>Hackstriegel 9 m</v>
      </c>
      <c r="P105" s="1708"/>
    </row>
    <row r="106" spans="2:16">
      <c r="B106" s="29"/>
      <c r="C106" s="29"/>
      <c r="D106" s="29"/>
      <c r="G106" s="1565">
        <f>'SD3'!C105</f>
        <v>0</v>
      </c>
      <c r="I106" s="1708"/>
      <c r="L106" s="29"/>
      <c r="N106" s="1565" t="str">
        <f>'SD3'!C47</f>
        <v>Reihenhackgerät 3 m</v>
      </c>
      <c r="P106" s="1708"/>
    </row>
    <row r="107" spans="2:16">
      <c r="B107" s="29"/>
      <c r="C107" s="29"/>
      <c r="D107" s="29"/>
      <c r="G107" s="1565">
        <f>'SD3'!C106</f>
        <v>0</v>
      </c>
      <c r="I107" s="1708"/>
      <c r="L107" s="29"/>
      <c r="N107" s="1565" t="e">
        <f>'SD3'!#REF!</f>
        <v>#REF!</v>
      </c>
      <c r="P107" s="1708"/>
    </row>
    <row r="108" spans="2:16">
      <c r="B108" s="29"/>
      <c r="C108" s="29"/>
      <c r="D108" s="29"/>
      <c r="G108" s="1565">
        <f>'SD3'!C107</f>
        <v>0</v>
      </c>
      <c r="I108" s="1708"/>
      <c r="L108" s="29"/>
      <c r="N108" s="1565" t="e">
        <f>'SD3'!#REF!</f>
        <v>#REF!</v>
      </c>
      <c r="P108" s="1708"/>
    </row>
    <row r="109" spans="2:16">
      <c r="B109" s="29"/>
      <c r="C109" s="29"/>
      <c r="D109" s="29"/>
      <c r="G109" s="1565">
        <f>'SD3'!C108</f>
        <v>0</v>
      </c>
      <c r="I109" s="1708"/>
      <c r="L109" s="29"/>
      <c r="N109" s="1565" t="e">
        <f>'SD3'!#REF!</f>
        <v>#REF!</v>
      </c>
      <c r="P109" s="1708"/>
    </row>
    <row r="110" spans="2:16">
      <c r="B110" s="29"/>
      <c r="C110" s="29"/>
      <c r="D110" s="29"/>
      <c r="G110" s="1565">
        <f>'SD3'!C109</f>
        <v>0</v>
      </c>
      <c r="I110" s="1708"/>
      <c r="L110" s="29"/>
      <c r="N110" s="1565">
        <f>'SD3'!C48</f>
        <v>0</v>
      </c>
      <c r="P110" s="1708"/>
    </row>
    <row r="111" spans="2:16">
      <c r="G111" s="1565">
        <f>'SD3'!C110</f>
        <v>0</v>
      </c>
      <c r="I111" s="1708"/>
      <c r="L111" s="29"/>
      <c r="N111" s="1565" t="str">
        <f>'SD3'!C49</f>
        <v>Transp. u. Abkip.  (7,5 t Ki.)</v>
      </c>
      <c r="P111" s="1708"/>
    </row>
    <row r="112" spans="2:16">
      <c r="G112" s="1565">
        <f>'SD3'!C111</f>
        <v>0</v>
      </c>
      <c r="I112" s="1708"/>
      <c r="L112" s="29"/>
      <c r="N112" s="1565" t="e">
        <f>'SD3'!#REF!</f>
        <v>#REF!</v>
      </c>
      <c r="P112" s="1708"/>
    </row>
    <row r="113" spans="2:16">
      <c r="G113" s="1565">
        <f>'SD3'!C112</f>
        <v>0</v>
      </c>
      <c r="I113" s="1708"/>
      <c r="L113" s="29"/>
      <c r="N113" s="1565" t="str">
        <f>'SD3'!C50</f>
        <v>Silagetransport Mais/GPS, 3S.Kip. (13,5t Nutzl.), 50 t FM</v>
      </c>
      <c r="P113" s="1708"/>
    </row>
    <row r="114" spans="2:16">
      <c r="G114" s="1565">
        <f>'SD3'!C113</f>
        <v>0</v>
      </c>
      <c r="I114" s="1708"/>
      <c r="L114" s="29"/>
      <c r="N114" s="1565" t="str">
        <f>'SD3'!C51</f>
        <v>Stroh-Rundballen 4 t/ha laden, abfahren, stapeln, 3-S-Kipp.</v>
      </c>
      <c r="P114" s="1708"/>
    </row>
    <row r="115" spans="2:16">
      <c r="G115" s="1565">
        <f>'SD3'!C114</f>
        <v>0</v>
      </c>
      <c r="I115" s="1708"/>
      <c r="L115" s="29"/>
      <c r="N115" s="1565">
        <f>'SD3'!C52</f>
        <v>0</v>
      </c>
      <c r="P115" s="1708"/>
    </row>
    <row r="116" spans="2:16">
      <c r="G116" s="1565">
        <f>'SD3'!C115</f>
        <v>0</v>
      </c>
      <c r="L116" s="29"/>
      <c r="N116" s="1565" t="str">
        <f>'SD3'!C53</f>
        <v>Wiesenwalze 3 m</v>
      </c>
      <c r="P116" s="1708"/>
    </row>
    <row r="117" spans="2:16">
      <c r="G117" s="1565">
        <f>'SD3'!C116</f>
        <v>0</v>
      </c>
      <c r="L117" s="29"/>
      <c r="N117" s="1565" t="str">
        <f>'SD3'!C54</f>
        <v>Wiesenegge 6 m</v>
      </c>
      <c r="P117" s="1708"/>
    </row>
    <row r="118" spans="2:16">
      <c r="G118" s="1565">
        <f>'SD3'!C117</f>
        <v>0</v>
      </c>
      <c r="L118" s="29"/>
      <c r="N118" s="1565" t="e">
        <f>'SD3'!#REF!</f>
        <v>#REF!</v>
      </c>
      <c r="P118" s="1708"/>
    </row>
    <row r="119" spans="2:16">
      <c r="L119" s="29"/>
      <c r="N119" s="1565" t="str">
        <f>'SD3'!C56</f>
        <v>Rotationsmähwerk (Heck) m. Aufb. 2,8 m</v>
      </c>
      <c r="P119" s="1708"/>
    </row>
    <row r="120" spans="2:16">
      <c r="L120" s="29"/>
      <c r="N120" s="1565" t="str">
        <f>'SD3'!C57</f>
        <v>Kreiselwender 10,75m</v>
      </c>
      <c r="P120" s="1708"/>
    </row>
    <row r="121" spans="2:16">
      <c r="L121" s="29"/>
      <c r="N121" s="1565" t="str">
        <f>'SD3'!C58</f>
        <v>Kreiselschwader 7,5m Seitenablage</v>
      </c>
      <c r="O121" s="1708"/>
    </row>
    <row r="122" spans="2:16">
      <c r="B122" s="440">
        <v>1</v>
      </c>
      <c r="C122" s="29" t="str">
        <f>SDÖ5!C7</f>
        <v>Novodor</v>
      </c>
      <c r="L122" s="29"/>
      <c r="N122" s="1565" t="e">
        <f>'SD3'!#REF!</f>
        <v>#REF!</v>
      </c>
      <c r="P122" s="1708"/>
    </row>
    <row r="123" spans="2:16">
      <c r="B123" s="440">
        <v>2</v>
      </c>
      <c r="C123" s="29" t="str">
        <f>SDÖ5!C8</f>
        <v>Neem Azal</v>
      </c>
      <c r="L123" s="29"/>
      <c r="N123" s="1565" t="e">
        <f>'SD3'!#REF!</f>
        <v>#REF!</v>
      </c>
      <c r="P123" s="1708"/>
    </row>
    <row r="124" spans="2:16">
      <c r="B124" s="440">
        <v>3</v>
      </c>
      <c r="C124" s="29" t="str">
        <f>SDÖ5!C9</f>
        <v>Sluxx HP</v>
      </c>
      <c r="L124" s="29"/>
      <c r="N124" s="1565">
        <f>'SD3'!C59</f>
        <v>0</v>
      </c>
      <c r="P124" s="1708"/>
    </row>
    <row r="125" spans="2:16">
      <c r="B125" s="440">
        <v>4</v>
      </c>
      <c r="C125" s="29" t="str">
        <f>SDÖ5!C10</f>
        <v>Cuprozin Progress</v>
      </c>
      <c r="L125" s="29"/>
      <c r="N125" s="1565" t="str">
        <f>'SD3'!C60</f>
        <v>Kartoffeln vorkeimen</v>
      </c>
      <c r="P125" s="1708"/>
    </row>
    <row r="126" spans="2:16">
      <c r="B126" s="440">
        <v>5</v>
      </c>
      <c r="C126" s="29" t="str">
        <f>SDÖ5!C11</f>
        <v>silico Sec</v>
      </c>
      <c r="L126" s="29"/>
      <c r="N126" s="1565" t="str">
        <f>'SD3'!C61</f>
        <v>Pflanzkartoffeltransport,-laden 2,5 t/ha</v>
      </c>
      <c r="P126" s="1708"/>
    </row>
    <row r="127" spans="2:16">
      <c r="B127" s="440">
        <v>6</v>
      </c>
      <c r="C127" s="29">
        <f>SDÖ5!C12</f>
        <v>0</v>
      </c>
      <c r="L127" s="29"/>
      <c r="N127" s="1565" t="e">
        <f>'SD3'!#REF!</f>
        <v>#REF!</v>
      </c>
      <c r="P127" s="1708"/>
    </row>
    <row r="128" spans="2:16">
      <c r="B128" s="440">
        <v>7</v>
      </c>
      <c r="C128" s="29">
        <f>SDÖ5!C13</f>
        <v>0</v>
      </c>
      <c r="L128" s="29"/>
      <c r="N128" s="1565" t="str">
        <f>'SD3'!C62</f>
        <v>Legemaschine mit Kippbunker 4 r (Kartoffel)</v>
      </c>
      <c r="P128" s="1708"/>
    </row>
    <row r="129" spans="2:16">
      <c r="B129" s="440">
        <v>8</v>
      </c>
      <c r="C129" s="29">
        <f>SDÖ5!C13</f>
        <v>0</v>
      </c>
      <c r="L129" s="29"/>
      <c r="N129" s="1565" t="str">
        <f>'SD3'!C63</f>
        <v>Häufeln 4 r, Vorauflauf (Kartoffel)</v>
      </c>
      <c r="P129" s="1708"/>
    </row>
    <row r="130" spans="2:16">
      <c r="B130" s="440">
        <v>9</v>
      </c>
      <c r="C130" s="29">
        <f>SDÖ5!C14</f>
        <v>0</v>
      </c>
      <c r="L130" s="29"/>
      <c r="N130" s="1565" t="str">
        <f>'SD3'!C64</f>
        <v>Hacken Nachauflauf 4 r</v>
      </c>
      <c r="P130" s="1708"/>
    </row>
    <row r="131" spans="2:16">
      <c r="B131" s="440">
        <v>10</v>
      </c>
      <c r="C131" s="29">
        <f>SDÖ5!C15</f>
        <v>0</v>
      </c>
      <c r="L131" s="29"/>
      <c r="N131" s="1565" t="e">
        <f>'SD3'!#REF!</f>
        <v>#REF!</v>
      </c>
      <c r="P131" s="1708"/>
    </row>
    <row r="132" spans="2:16">
      <c r="B132" s="440">
        <f t="shared" ref="B132:B151" si="10">B131+1</f>
        <v>11</v>
      </c>
      <c r="C132" s="29">
        <f>SDÖ5!C16</f>
        <v>0</v>
      </c>
      <c r="L132" s="29"/>
      <c r="N132" s="1565" t="str">
        <f>'SD3'!C65</f>
        <v>Häufeln 4 r, Nachauflauf (Kartoffel)</v>
      </c>
      <c r="P132" s="1708"/>
    </row>
    <row r="133" spans="2:16">
      <c r="B133" s="440">
        <f t="shared" si="10"/>
        <v>12</v>
      </c>
      <c r="C133" s="29" t="s">
        <v>1712</v>
      </c>
      <c r="L133" s="29"/>
      <c r="N133" s="1565" t="e">
        <f>'SD3'!#REF!</f>
        <v>#REF!</v>
      </c>
    </row>
    <row r="134" spans="2:16">
      <c r="B134" s="440">
        <f t="shared" si="10"/>
        <v>13</v>
      </c>
      <c r="C134" s="29" t="s">
        <v>1071</v>
      </c>
      <c r="L134" s="29"/>
      <c r="N134" s="1565" t="e">
        <f>'SD3'!#REF!</f>
        <v>#REF!</v>
      </c>
    </row>
    <row r="135" spans="2:16">
      <c r="B135" s="440">
        <f t="shared" si="10"/>
        <v>14</v>
      </c>
      <c r="C135" s="29">
        <v>0</v>
      </c>
      <c r="L135" s="29"/>
      <c r="N135" s="1565" t="e">
        <f>'SD3'!#REF!</f>
        <v>#REF!</v>
      </c>
    </row>
    <row r="136" spans="2:16">
      <c r="B136" s="440">
        <f t="shared" si="10"/>
        <v>15</v>
      </c>
      <c r="C136" s="29" t="s">
        <v>1653</v>
      </c>
      <c r="L136" s="29"/>
      <c r="N136" s="1565" t="e">
        <f>'SD3'!#REF!</f>
        <v>#REF!</v>
      </c>
    </row>
    <row r="137" spans="2:16">
      <c r="B137" s="440">
        <f t="shared" si="10"/>
        <v>16</v>
      </c>
      <c r="C137" s="29">
        <v>0</v>
      </c>
      <c r="L137" s="29"/>
      <c r="N137" s="1565" t="e">
        <f>'SD3'!#REF!</f>
        <v>#REF!</v>
      </c>
    </row>
    <row r="138" spans="2:16">
      <c r="B138" s="440">
        <f t="shared" si="10"/>
        <v>17</v>
      </c>
      <c r="C138" s="29" t="s">
        <v>1654</v>
      </c>
      <c r="L138" s="29"/>
      <c r="N138" s="1565" t="e">
        <f>'SD3'!#REF!</f>
        <v>#REF!</v>
      </c>
    </row>
    <row r="139" spans="2:16">
      <c r="B139" s="440">
        <f t="shared" si="10"/>
        <v>18</v>
      </c>
      <c r="C139" s="29">
        <v>0</v>
      </c>
      <c r="L139" s="29"/>
      <c r="N139" s="1565">
        <f>'SD3'!C73</f>
        <v>0</v>
      </c>
    </row>
    <row r="140" spans="2:16">
      <c r="B140" s="440">
        <f t="shared" si="10"/>
        <v>19</v>
      </c>
      <c r="C140" s="29" t="s">
        <v>1655</v>
      </c>
      <c r="L140" s="29"/>
      <c r="N140" s="1565">
        <f>'SD3'!C74</f>
        <v>0</v>
      </c>
    </row>
    <row r="141" spans="2:16">
      <c r="B141" s="440">
        <f t="shared" si="10"/>
        <v>20</v>
      </c>
      <c r="C141" s="29">
        <v>0</v>
      </c>
      <c r="L141" s="29"/>
    </row>
    <row r="142" spans="2:16">
      <c r="B142" s="440">
        <f t="shared" si="10"/>
        <v>21</v>
      </c>
      <c r="C142" s="29" t="s">
        <v>1656</v>
      </c>
      <c r="L142" s="29"/>
    </row>
    <row r="143" spans="2:16">
      <c r="B143" s="440">
        <f t="shared" si="10"/>
        <v>22</v>
      </c>
      <c r="C143" s="29">
        <v>0</v>
      </c>
      <c r="L143" s="29"/>
    </row>
    <row r="144" spans="2:16">
      <c r="B144" s="440">
        <f t="shared" si="10"/>
        <v>23</v>
      </c>
      <c r="C144" s="29" t="s">
        <v>1070</v>
      </c>
      <c r="L144" s="29"/>
    </row>
    <row r="145" spans="2:12">
      <c r="B145" s="440">
        <f t="shared" si="10"/>
        <v>24</v>
      </c>
      <c r="C145" s="29" t="s">
        <v>1069</v>
      </c>
      <c r="L145" s="29"/>
    </row>
    <row r="146" spans="2:12">
      <c r="B146" s="440">
        <f t="shared" si="10"/>
        <v>25</v>
      </c>
      <c r="C146" s="29">
        <v>0</v>
      </c>
      <c r="L146" s="29"/>
    </row>
    <row r="147" spans="2:12">
      <c r="B147" s="440">
        <f t="shared" si="10"/>
        <v>26</v>
      </c>
      <c r="C147" s="29" t="s">
        <v>1068</v>
      </c>
      <c r="L147" s="29"/>
    </row>
    <row r="148" spans="2:12">
      <c r="B148" s="440">
        <f t="shared" si="10"/>
        <v>27</v>
      </c>
      <c r="C148" s="29" t="s">
        <v>1067</v>
      </c>
      <c r="L148" s="29"/>
    </row>
    <row r="149" spans="2:12">
      <c r="B149" s="440">
        <f t="shared" si="10"/>
        <v>28</v>
      </c>
      <c r="C149" s="29">
        <v>0</v>
      </c>
      <c r="L149" s="29"/>
    </row>
    <row r="150" spans="2:12">
      <c r="B150" s="440">
        <f t="shared" si="10"/>
        <v>29</v>
      </c>
      <c r="C150" s="29">
        <v>0</v>
      </c>
      <c r="L150" s="29"/>
    </row>
    <row r="151" spans="2:12">
      <c r="B151" s="440">
        <f t="shared" si="10"/>
        <v>30</v>
      </c>
      <c r="C151" s="29">
        <f>SDÖ5!C35</f>
        <v>0</v>
      </c>
    </row>
    <row r="152" spans="2:12">
      <c r="B152" s="440"/>
      <c r="C152" s="29"/>
    </row>
    <row r="153" spans="2:12">
      <c r="B153" s="440"/>
      <c r="C153" s="29"/>
    </row>
    <row r="154" spans="2:12">
      <c r="B154" s="440"/>
      <c r="C154" s="29"/>
    </row>
    <row r="155" spans="2:12">
      <c r="B155" s="440"/>
      <c r="C155" s="29"/>
      <c r="H155" s="1354"/>
      <c r="J155" s="1563"/>
    </row>
    <row r="156" spans="2:12">
      <c r="B156" s="440"/>
      <c r="C156" s="29"/>
      <c r="H156" s="1354"/>
      <c r="J156" s="1563"/>
    </row>
    <row r="157" spans="2:12">
      <c r="B157" s="440"/>
      <c r="C157" s="29"/>
      <c r="H157" s="1354"/>
      <c r="J157" s="1563"/>
    </row>
    <row r="158" spans="2:12">
      <c r="B158" s="440"/>
      <c r="C158" s="29"/>
      <c r="D158" s="29"/>
      <c r="F158" s="29"/>
      <c r="G158" s="29"/>
      <c r="H158" s="29"/>
      <c r="I158" s="29"/>
      <c r="J158" s="29"/>
      <c r="K158" s="29"/>
    </row>
    <row r="159" spans="2:12">
      <c r="B159" s="440"/>
      <c r="C159" s="29"/>
      <c r="D159" s="29"/>
      <c r="F159" s="29"/>
      <c r="G159" s="29"/>
      <c r="H159" s="29"/>
      <c r="I159" s="29"/>
      <c r="J159" s="29"/>
      <c r="K159" s="29"/>
    </row>
    <row r="160" spans="2:12">
      <c r="B160" s="440"/>
      <c r="C160" s="29"/>
      <c r="D160" s="29"/>
      <c r="F160" s="29"/>
      <c r="G160" s="29"/>
      <c r="H160" s="29"/>
      <c r="I160" s="29"/>
      <c r="J160" s="29"/>
      <c r="K160" s="29"/>
    </row>
    <row r="161" spans="2:11">
      <c r="B161" s="440"/>
      <c r="C161" s="29"/>
      <c r="D161" s="29"/>
      <c r="F161" s="29"/>
      <c r="G161" s="29"/>
      <c r="H161" s="29"/>
      <c r="I161" s="29"/>
      <c r="J161" s="29"/>
      <c r="K161" s="29"/>
    </row>
    <row r="162" spans="2:11">
      <c r="B162" s="440"/>
      <c r="C162" s="29"/>
      <c r="D162" s="29"/>
      <c r="F162" s="29"/>
      <c r="G162" s="29"/>
      <c r="H162" s="29"/>
      <c r="I162" s="29"/>
      <c r="J162" s="29"/>
      <c r="K162" s="29"/>
    </row>
    <row r="163" spans="2:11">
      <c r="B163" s="440"/>
      <c r="C163" s="29"/>
    </row>
    <row r="164" spans="2:11">
      <c r="B164" s="440"/>
      <c r="C164" s="29"/>
    </row>
    <row r="165" spans="2:11">
      <c r="B165" s="440"/>
      <c r="C165" s="29"/>
    </row>
    <row r="166" spans="2:11">
      <c r="B166" s="440"/>
      <c r="C166" s="29"/>
    </row>
    <row r="167" spans="2:11">
      <c r="B167" s="440"/>
      <c r="C167" s="29"/>
    </row>
    <row r="168" spans="2:11">
      <c r="B168" s="440"/>
      <c r="C168" s="29"/>
    </row>
    <row r="169" spans="2:11">
      <c r="B169" s="440"/>
      <c r="C169" s="29"/>
    </row>
    <row r="170" spans="2:11">
      <c r="B170" s="440"/>
      <c r="C170" s="29"/>
    </row>
    <row r="171" spans="2:11">
      <c r="B171" s="440"/>
      <c r="C171" s="29"/>
    </row>
    <row r="172" spans="2:11">
      <c r="B172" s="440"/>
      <c r="C172" s="29"/>
    </row>
    <row r="173" spans="2:11">
      <c r="B173" s="440"/>
      <c r="C173" s="29"/>
    </row>
    <row r="174" spans="2:11">
      <c r="B174" s="440"/>
      <c r="C174" s="29"/>
    </row>
    <row r="175" spans="2:11">
      <c r="B175" s="440"/>
      <c r="C175" s="29"/>
    </row>
    <row r="176" spans="2:11">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row r="207" spans="2:3">
      <c r="B207" s="440"/>
      <c r="C207" s="29"/>
    </row>
    <row r="208" spans="2:3">
      <c r="B208" s="440"/>
      <c r="C208" s="29"/>
    </row>
    <row r="209" spans="2:3">
      <c r="B209" s="440"/>
      <c r="C209" s="29"/>
    </row>
    <row r="210" spans="2:3">
      <c r="B210" s="440"/>
      <c r="C210" s="29"/>
    </row>
  </sheetData>
  <customSheetViews>
    <customSheetView guid="{8063F48F-80B5-4ECD-B18A-51CBF126E780}" fitToPage="1" hiddenRows="1" hiddenColumns="1" state="hidden">
      <pageMargins left="0.59055118110236227" right="0.57999999999999996" top="0.59055118110236227" bottom="0.59055118110236227" header="0.39370078740157483" footer="0.39370078740157483"/>
      <printOptions horizontalCentered="1"/>
      <pageSetup paperSize="9" scale="68" firstPageNumber="42" orientation="portrait" r:id="rId1"/>
      <headerFooter alignWithMargins="0">
        <oddFooter>&amp;L&amp;11LEL Schwäbisch Gmünd&amp;C42&amp;R&amp;11&amp;F</oddFooter>
      </headerFooter>
    </customSheetView>
    <customSheetView guid="{5D5C9B61-9ABD-4513-AAEB-8333A9D6196C}" fitToPage="1" hiddenRows="1" hiddenColumns="1" state="hidden">
      <pageMargins left="0.59055118110236227" right="0.57999999999999996" top="0.59055118110236227" bottom="0.59055118110236227" header="0.39370078740157483" footer="0.39370078740157483"/>
      <printOptions horizontalCentered="1"/>
      <pageSetup paperSize="9" scale="68" firstPageNumber="42" orientation="portrait" r:id="rId2"/>
      <headerFooter alignWithMargins="0">
        <oddFooter>&amp;L&amp;11LEL Schwäbisch Gmünd&amp;C42&amp;R&amp;11&amp;F</oddFooter>
      </headerFooter>
    </customSheetView>
    <customSheetView guid="{22A73C4F-9004-4CEF-8499-B1F91BE1B569}" fitToPage="1" hiddenRows="1" hiddenColumns="1" state="hidden">
      <pageMargins left="0.59055118110236227" right="0.57999999999999996" top="0.59055118110236227" bottom="0.59055118110236227" header="0.39370078740157483" footer="0.39370078740157483"/>
      <printOptions horizontalCentered="1"/>
      <pageSetup paperSize="9" scale="68" firstPageNumber="42" orientation="portrait" r:id="rId3"/>
      <headerFooter alignWithMargins="0">
        <oddFooter>&amp;L&amp;11LEL Schwäbisch Gmünd&amp;C42&amp;R&amp;11&amp;F</oddFooter>
      </headerFooter>
    </customSheetView>
  </customSheetViews>
  <mergeCells count="48">
    <mergeCell ref="C16:F16"/>
    <mergeCell ref="Q66:Q68"/>
    <mergeCell ref="C73:E73"/>
    <mergeCell ref="B75:C75"/>
    <mergeCell ref="W3:Y3"/>
    <mergeCell ref="W4:Y4"/>
    <mergeCell ref="C18:F18"/>
    <mergeCell ref="C19:F19"/>
    <mergeCell ref="D20:G20"/>
    <mergeCell ref="D23:E23"/>
    <mergeCell ref="H6:I6"/>
    <mergeCell ref="K6:L6"/>
    <mergeCell ref="N6:O6"/>
    <mergeCell ref="E10:F10"/>
    <mergeCell ref="C14:F14"/>
    <mergeCell ref="C15:F15"/>
    <mergeCell ref="K1:L1"/>
    <mergeCell ref="N1:O1"/>
    <mergeCell ref="K2:P2"/>
    <mergeCell ref="N3:O4"/>
    <mergeCell ref="E4:I4"/>
    <mergeCell ref="G1:I1"/>
    <mergeCell ref="C50:D50"/>
    <mergeCell ref="C51:D51"/>
    <mergeCell ref="D24:E24"/>
    <mergeCell ref="C36:E36"/>
    <mergeCell ref="C37:E37"/>
    <mergeCell ref="C38:E38"/>
    <mergeCell ref="C39:E39"/>
    <mergeCell ref="C40:E40"/>
    <mergeCell ref="C34:E34"/>
    <mergeCell ref="C35:E35"/>
    <mergeCell ref="C41:E41"/>
    <mergeCell ref="C46:D46"/>
    <mergeCell ref="C47:D47"/>
    <mergeCell ref="C48:D48"/>
    <mergeCell ref="C49:D49"/>
    <mergeCell ref="C45:D45"/>
    <mergeCell ref="C52:D52"/>
    <mergeCell ref="C53:D53"/>
    <mergeCell ref="C55:D55"/>
    <mergeCell ref="C74:E74"/>
    <mergeCell ref="C65:E65"/>
    <mergeCell ref="C66:E66"/>
    <mergeCell ref="C64:E64"/>
    <mergeCell ref="C68:E68"/>
    <mergeCell ref="C56:D56"/>
    <mergeCell ref="C54:D54"/>
  </mergeCells>
  <dataValidations count="8">
    <dataValidation type="decimal" allowBlank="1" showInputMessage="1" showErrorMessage="1" errorTitle="Wassergehalt Getreide" error="Zulässig sind nur Werte zwischen 14,1 und 22,0 % Wassergehalt." sqref="K68 N68" xr:uid="{00000000-0002-0000-4E00-000000000000}">
      <formula1>14</formula1>
      <formula2>30</formula2>
    </dataValidation>
    <dataValidation type="custom" allowBlank="1" showInputMessage="1" showErrorMessage="1" errorTitle="Wassergehalt Getreide" error="Zulässig sind nur Werte zwischen 14,1 und 22,0 % Wassergehalt." sqref="H68" xr:uid="{00000000-0002-0000-4E00-000001000000}">
      <formula1>14</formula1>
    </dataValidation>
    <dataValidation type="list" allowBlank="1" showInputMessage="1" showErrorMessage="1" errorTitle="Organisationsabh. Ausgleichsl." error="Bitte aus Dropdownliste auswählen." sqref="C18:F19" xr:uid="{00000000-0002-0000-4E00-000002000000}">
      <formula1>$G$80:$G$90</formula1>
    </dataValidation>
    <dataValidation type="list" allowBlank="1" showInputMessage="1" showErrorMessage="1" errorTitle="Pflanzenschutzmittel" error="Bitte aus Dropdownliste auswählen." sqref="C36:E37" xr:uid="{00000000-0002-0000-4E00-000003000000}">
      <formula1>$C$121:$C$151</formula1>
    </dataValidation>
    <dataValidation type="list" allowBlank="1" showInputMessage="1" showErrorMessage="1" errorTitle="Pflanzenschutzmittel" error="Bitte aus Dropdownliste auswählen." sqref="C34:C35 D34:E34" xr:uid="{00000000-0002-0000-4E00-000004000000}">
      <formula1>$C$121:$C$137</formula1>
    </dataValidation>
    <dataValidation type="list" allowBlank="1" showInputMessage="1" showErrorMessage="1" errorTitle="Pflanzenschutzmittel" error="Bitte aus Dropdownliste auswählen." sqref="C38:E41" xr:uid="{00000000-0002-0000-4E00-000005000000}">
      <formula1>$E$121:$E$203</formula1>
    </dataValidation>
    <dataValidation type="whole" allowBlank="1" showInputMessage="1" showErrorMessage="1" errorTitle="Anteil Erntegut" error="Prozentwert darf nur zwischen 0 und 100 liegen." sqref="O68 L68 I68" xr:uid="{00000000-0002-0000-4E00-000006000000}">
      <formula1>0</formula1>
      <formula2>100</formula2>
    </dataValidation>
    <dataValidation type="list" allowBlank="1" showInputMessage="1" showErrorMessage="1" errorTitle="Verfahrensabh. Ausgleichsleist." error="Bitte aus Dropdownliste auswählen." sqref="C14:F16" xr:uid="{00000000-0002-0000-4E00-000007000000}">
      <formula1>$C$78:$C$95</formula1>
    </dataValidation>
  </dataValidations>
  <printOptions horizontalCentered="1"/>
  <pageMargins left="0.59055118110236227" right="0.57999999999999996" top="0.59055118110236227" bottom="0.59055118110236227" header="0.39370078740157483" footer="0.39370078740157483"/>
  <pageSetup paperSize="9" scale="68" firstPageNumber="42" orientation="portrait" r:id="rId4"/>
  <headerFooter alignWithMargins="0">
    <oddFooter>&amp;L&amp;11LEL Schwäbisch Gmünd&amp;C42&amp;R&amp;11&amp;F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03440" r:id="rId7" name="Check Box 16">
              <controlPr defaultSize="0" print="0" autoFill="0" autoLine="0" autoPict="0">
                <anchor moveWithCells="1">
                  <from>
                    <xdr:col>10</xdr:col>
                    <xdr:colOff>175260</xdr:colOff>
                    <xdr:row>13</xdr:row>
                    <xdr:rowOff>60960</xdr:rowOff>
                  </from>
                  <to>
                    <xdr:col>10</xdr:col>
                    <xdr:colOff>388620</xdr:colOff>
                    <xdr:row>14</xdr:row>
                    <xdr:rowOff>45720</xdr:rowOff>
                  </to>
                </anchor>
              </controlPr>
            </control>
          </mc:Choice>
        </mc:AlternateContent>
        <mc:AlternateContent xmlns:mc="http://schemas.openxmlformats.org/markup-compatibility/2006">
          <mc:Choice Requires="x14">
            <control shapeId="103441" r:id="rId8" name="Check Box 17">
              <controlPr defaultSize="0" print="0" autoFill="0" autoLine="0" autoPict="0">
                <anchor moveWithCells="1">
                  <from>
                    <xdr:col>10</xdr:col>
                    <xdr:colOff>175260</xdr:colOff>
                    <xdr:row>14</xdr:row>
                    <xdr:rowOff>38100</xdr:rowOff>
                  </from>
                  <to>
                    <xdr:col>10</xdr:col>
                    <xdr:colOff>388620</xdr:colOff>
                    <xdr:row>14</xdr:row>
                    <xdr:rowOff>182880</xdr:rowOff>
                  </to>
                </anchor>
              </controlPr>
            </control>
          </mc:Choice>
        </mc:AlternateContent>
        <mc:AlternateContent xmlns:mc="http://schemas.openxmlformats.org/markup-compatibility/2006">
          <mc:Choice Requires="x14">
            <control shapeId="103442" r:id="rId9" name="Check Box 18">
              <controlPr defaultSize="0" print="0" autoFill="0" autoLine="0" autoPict="0">
                <anchor moveWithCells="1">
                  <from>
                    <xdr:col>10</xdr:col>
                    <xdr:colOff>175260</xdr:colOff>
                    <xdr:row>14</xdr:row>
                    <xdr:rowOff>175260</xdr:rowOff>
                  </from>
                  <to>
                    <xdr:col>10</xdr:col>
                    <xdr:colOff>388620</xdr:colOff>
                    <xdr:row>15</xdr:row>
                    <xdr:rowOff>121920</xdr:rowOff>
                  </to>
                </anchor>
              </controlPr>
            </control>
          </mc:Choice>
        </mc:AlternateContent>
        <mc:AlternateContent xmlns:mc="http://schemas.openxmlformats.org/markup-compatibility/2006">
          <mc:Choice Requires="x14">
            <control shapeId="103443" r:id="rId10" name="Check Box 19">
              <controlPr defaultSize="0" print="0" autoFill="0" autoLine="0" autoPict="0">
                <anchor moveWithCells="1">
                  <from>
                    <xdr:col>7</xdr:col>
                    <xdr:colOff>137160</xdr:colOff>
                    <xdr:row>13</xdr:row>
                    <xdr:rowOff>38100</xdr:rowOff>
                  </from>
                  <to>
                    <xdr:col>7</xdr:col>
                    <xdr:colOff>365760</xdr:colOff>
                    <xdr:row>14</xdr:row>
                    <xdr:rowOff>22860</xdr:rowOff>
                  </to>
                </anchor>
              </controlPr>
            </control>
          </mc:Choice>
        </mc:AlternateContent>
        <mc:AlternateContent xmlns:mc="http://schemas.openxmlformats.org/markup-compatibility/2006">
          <mc:Choice Requires="x14">
            <control shapeId="103444" r:id="rId11" name="Check Box 20">
              <controlPr defaultSize="0" print="0" autoFill="0" autoLine="0" autoPict="0">
                <anchor moveWithCells="1">
                  <from>
                    <xdr:col>7</xdr:col>
                    <xdr:colOff>137160</xdr:colOff>
                    <xdr:row>14</xdr:row>
                    <xdr:rowOff>45720</xdr:rowOff>
                  </from>
                  <to>
                    <xdr:col>7</xdr:col>
                    <xdr:colOff>350520</xdr:colOff>
                    <xdr:row>15</xdr:row>
                    <xdr:rowOff>0</xdr:rowOff>
                  </to>
                </anchor>
              </controlPr>
            </control>
          </mc:Choice>
        </mc:AlternateContent>
        <mc:AlternateContent xmlns:mc="http://schemas.openxmlformats.org/markup-compatibility/2006">
          <mc:Choice Requires="x14">
            <control shapeId="103445" r:id="rId12" name="Check Box 21">
              <controlPr defaultSize="0" print="0" autoFill="0" autoLine="0" autoPict="0">
                <anchor moveWithCells="1">
                  <from>
                    <xdr:col>7</xdr:col>
                    <xdr:colOff>137160</xdr:colOff>
                    <xdr:row>15</xdr:row>
                    <xdr:rowOff>38100</xdr:rowOff>
                  </from>
                  <to>
                    <xdr:col>7</xdr:col>
                    <xdr:colOff>365760</xdr:colOff>
                    <xdr:row>15</xdr:row>
                    <xdr:rowOff>182880</xdr:rowOff>
                  </to>
                </anchor>
              </controlPr>
            </control>
          </mc:Choice>
        </mc:AlternateContent>
        <mc:AlternateContent xmlns:mc="http://schemas.openxmlformats.org/markup-compatibility/2006">
          <mc:Choice Requires="x14">
            <control shapeId="103446" r:id="rId13" name="Check Box 22">
              <controlPr defaultSize="0" print="0" autoFill="0" autoLine="0" autoPict="0">
                <anchor moveWithCells="1">
                  <from>
                    <xdr:col>13</xdr:col>
                    <xdr:colOff>182880</xdr:colOff>
                    <xdr:row>13</xdr:row>
                    <xdr:rowOff>60960</xdr:rowOff>
                  </from>
                  <to>
                    <xdr:col>13</xdr:col>
                    <xdr:colOff>403860</xdr:colOff>
                    <xdr:row>14</xdr:row>
                    <xdr:rowOff>45720</xdr:rowOff>
                  </to>
                </anchor>
              </controlPr>
            </control>
          </mc:Choice>
        </mc:AlternateContent>
        <mc:AlternateContent xmlns:mc="http://schemas.openxmlformats.org/markup-compatibility/2006">
          <mc:Choice Requires="x14">
            <control shapeId="103447" r:id="rId14" name="Check Box 23">
              <controlPr defaultSize="0" print="0" autoFill="0" autoLine="0" autoPict="0">
                <anchor moveWithCells="1">
                  <from>
                    <xdr:col>13</xdr:col>
                    <xdr:colOff>182880</xdr:colOff>
                    <xdr:row>14</xdr:row>
                    <xdr:rowOff>38100</xdr:rowOff>
                  </from>
                  <to>
                    <xdr:col>13</xdr:col>
                    <xdr:colOff>403860</xdr:colOff>
                    <xdr:row>14</xdr:row>
                    <xdr:rowOff>182880</xdr:rowOff>
                  </to>
                </anchor>
              </controlPr>
            </control>
          </mc:Choice>
        </mc:AlternateContent>
        <mc:AlternateContent xmlns:mc="http://schemas.openxmlformats.org/markup-compatibility/2006">
          <mc:Choice Requires="x14">
            <control shapeId="103448" r:id="rId15" name="Check Box 24">
              <controlPr defaultSize="0" print="0" autoFill="0" autoLine="0" autoPict="0">
                <anchor moveWithCells="1">
                  <from>
                    <xdr:col>13</xdr:col>
                    <xdr:colOff>182880</xdr:colOff>
                    <xdr:row>15</xdr:row>
                    <xdr:rowOff>22860</xdr:rowOff>
                  </from>
                  <to>
                    <xdr:col>13</xdr:col>
                    <xdr:colOff>403860</xdr:colOff>
                    <xdr:row>15</xdr:row>
                    <xdr:rowOff>175260</xdr:rowOff>
                  </to>
                </anchor>
              </controlPr>
            </control>
          </mc:Choice>
        </mc:AlternateContent>
        <mc:AlternateContent xmlns:mc="http://schemas.openxmlformats.org/markup-compatibility/2006">
          <mc:Choice Requires="x14">
            <control shapeId="103449" r:id="rId16" name="Check Box 25">
              <controlPr defaultSize="0" print="0" autoFill="0" autoLine="0" autoPict="0">
                <anchor moveWithCells="1">
                  <from>
                    <xdr:col>10</xdr:col>
                    <xdr:colOff>175260</xdr:colOff>
                    <xdr:row>13</xdr:row>
                    <xdr:rowOff>60960</xdr:rowOff>
                  </from>
                  <to>
                    <xdr:col>10</xdr:col>
                    <xdr:colOff>388620</xdr:colOff>
                    <xdr:row>14</xdr:row>
                    <xdr:rowOff>45720</xdr:rowOff>
                  </to>
                </anchor>
              </controlPr>
            </control>
          </mc:Choice>
        </mc:AlternateContent>
        <mc:AlternateContent xmlns:mc="http://schemas.openxmlformats.org/markup-compatibility/2006">
          <mc:Choice Requires="x14">
            <control shapeId="103450" r:id="rId17" name="Check Box 26">
              <controlPr defaultSize="0" print="0" autoFill="0" autoLine="0" autoPict="0">
                <anchor moveWithCells="1">
                  <from>
                    <xdr:col>10</xdr:col>
                    <xdr:colOff>175260</xdr:colOff>
                    <xdr:row>14</xdr:row>
                    <xdr:rowOff>38100</xdr:rowOff>
                  </from>
                  <to>
                    <xdr:col>10</xdr:col>
                    <xdr:colOff>388620</xdr:colOff>
                    <xdr:row>14</xdr:row>
                    <xdr:rowOff>182880</xdr:rowOff>
                  </to>
                </anchor>
              </controlPr>
            </control>
          </mc:Choice>
        </mc:AlternateContent>
        <mc:AlternateContent xmlns:mc="http://schemas.openxmlformats.org/markup-compatibility/2006">
          <mc:Choice Requires="x14">
            <control shapeId="103451" r:id="rId18" name="Check Box 27">
              <controlPr defaultSize="0" print="0" autoFill="0" autoLine="0" autoPict="0">
                <anchor moveWithCells="1">
                  <from>
                    <xdr:col>10</xdr:col>
                    <xdr:colOff>175260</xdr:colOff>
                    <xdr:row>14</xdr:row>
                    <xdr:rowOff>175260</xdr:rowOff>
                  </from>
                  <to>
                    <xdr:col>10</xdr:col>
                    <xdr:colOff>388620</xdr:colOff>
                    <xdr:row>15</xdr:row>
                    <xdr:rowOff>121920</xdr:rowOff>
                  </to>
                </anchor>
              </controlPr>
            </control>
          </mc:Choice>
        </mc:AlternateContent>
        <mc:AlternateContent xmlns:mc="http://schemas.openxmlformats.org/markup-compatibility/2006">
          <mc:Choice Requires="x14">
            <control shapeId="103452" r:id="rId19" name="Check Box 28">
              <controlPr defaultSize="0" print="0" autoFill="0" autoLine="0" autoPict="0">
                <anchor moveWithCells="1">
                  <from>
                    <xdr:col>7</xdr:col>
                    <xdr:colOff>137160</xdr:colOff>
                    <xdr:row>13</xdr:row>
                    <xdr:rowOff>38100</xdr:rowOff>
                  </from>
                  <to>
                    <xdr:col>7</xdr:col>
                    <xdr:colOff>365760</xdr:colOff>
                    <xdr:row>14</xdr:row>
                    <xdr:rowOff>22860</xdr:rowOff>
                  </to>
                </anchor>
              </controlPr>
            </control>
          </mc:Choice>
        </mc:AlternateContent>
        <mc:AlternateContent xmlns:mc="http://schemas.openxmlformats.org/markup-compatibility/2006">
          <mc:Choice Requires="x14">
            <control shapeId="103453" r:id="rId20" name="Check Box 29">
              <controlPr defaultSize="0" print="0" autoFill="0" autoLine="0" autoPict="0">
                <anchor moveWithCells="1">
                  <from>
                    <xdr:col>7</xdr:col>
                    <xdr:colOff>137160</xdr:colOff>
                    <xdr:row>14</xdr:row>
                    <xdr:rowOff>45720</xdr:rowOff>
                  </from>
                  <to>
                    <xdr:col>7</xdr:col>
                    <xdr:colOff>350520</xdr:colOff>
                    <xdr:row>15</xdr:row>
                    <xdr:rowOff>0</xdr:rowOff>
                  </to>
                </anchor>
              </controlPr>
            </control>
          </mc:Choice>
        </mc:AlternateContent>
        <mc:AlternateContent xmlns:mc="http://schemas.openxmlformats.org/markup-compatibility/2006">
          <mc:Choice Requires="x14">
            <control shapeId="103454" r:id="rId21" name="Check Box 30">
              <controlPr defaultSize="0" print="0" autoFill="0" autoLine="0" autoPict="0">
                <anchor moveWithCells="1">
                  <from>
                    <xdr:col>7</xdr:col>
                    <xdr:colOff>137160</xdr:colOff>
                    <xdr:row>15</xdr:row>
                    <xdr:rowOff>38100</xdr:rowOff>
                  </from>
                  <to>
                    <xdr:col>7</xdr:col>
                    <xdr:colOff>365760</xdr:colOff>
                    <xdr:row>15</xdr:row>
                    <xdr:rowOff>182880</xdr:rowOff>
                  </to>
                </anchor>
              </controlPr>
            </control>
          </mc:Choice>
        </mc:AlternateContent>
        <mc:AlternateContent xmlns:mc="http://schemas.openxmlformats.org/markup-compatibility/2006">
          <mc:Choice Requires="x14">
            <control shapeId="103455" r:id="rId22" name="Check Box 31">
              <controlPr defaultSize="0" print="0" autoFill="0" autoLine="0" autoPict="0">
                <anchor moveWithCells="1">
                  <from>
                    <xdr:col>13</xdr:col>
                    <xdr:colOff>182880</xdr:colOff>
                    <xdr:row>13</xdr:row>
                    <xdr:rowOff>60960</xdr:rowOff>
                  </from>
                  <to>
                    <xdr:col>13</xdr:col>
                    <xdr:colOff>403860</xdr:colOff>
                    <xdr:row>14</xdr:row>
                    <xdr:rowOff>45720</xdr:rowOff>
                  </to>
                </anchor>
              </controlPr>
            </control>
          </mc:Choice>
        </mc:AlternateContent>
        <mc:AlternateContent xmlns:mc="http://schemas.openxmlformats.org/markup-compatibility/2006">
          <mc:Choice Requires="x14">
            <control shapeId="103456" r:id="rId23" name="Check Box 32">
              <controlPr defaultSize="0" print="0" autoFill="0" autoLine="0" autoPict="0">
                <anchor moveWithCells="1">
                  <from>
                    <xdr:col>13</xdr:col>
                    <xdr:colOff>182880</xdr:colOff>
                    <xdr:row>14</xdr:row>
                    <xdr:rowOff>38100</xdr:rowOff>
                  </from>
                  <to>
                    <xdr:col>13</xdr:col>
                    <xdr:colOff>403860</xdr:colOff>
                    <xdr:row>14</xdr:row>
                    <xdr:rowOff>182880</xdr:rowOff>
                  </to>
                </anchor>
              </controlPr>
            </control>
          </mc:Choice>
        </mc:AlternateContent>
        <mc:AlternateContent xmlns:mc="http://schemas.openxmlformats.org/markup-compatibility/2006">
          <mc:Choice Requires="x14">
            <control shapeId="103457" r:id="rId24" name="Check Box 33">
              <controlPr defaultSize="0" print="0" autoFill="0" autoLine="0" autoPict="0">
                <anchor moveWithCells="1">
                  <from>
                    <xdr:col>13</xdr:col>
                    <xdr:colOff>182880</xdr:colOff>
                    <xdr:row>15</xdr:row>
                    <xdr:rowOff>22860</xdr:rowOff>
                  </from>
                  <to>
                    <xdr:col>13</xdr:col>
                    <xdr:colOff>403860</xdr:colOff>
                    <xdr:row>15</xdr:row>
                    <xdr:rowOff>175260</xdr:rowOff>
                  </to>
                </anchor>
              </controlPr>
            </control>
          </mc:Choice>
        </mc:AlternateContent>
        <mc:AlternateContent xmlns:mc="http://schemas.openxmlformats.org/markup-compatibility/2006">
          <mc:Choice Requires="x14">
            <control shapeId="103458" r:id="rId25" name="Check Box 34">
              <controlPr defaultSize="0" print="0" autoFill="0" autoLine="0" autoPict="0">
                <anchor moveWithCells="1">
                  <from>
                    <xdr:col>10</xdr:col>
                    <xdr:colOff>175260</xdr:colOff>
                    <xdr:row>13</xdr:row>
                    <xdr:rowOff>60960</xdr:rowOff>
                  </from>
                  <to>
                    <xdr:col>10</xdr:col>
                    <xdr:colOff>388620</xdr:colOff>
                    <xdr:row>14</xdr:row>
                    <xdr:rowOff>45720</xdr:rowOff>
                  </to>
                </anchor>
              </controlPr>
            </control>
          </mc:Choice>
        </mc:AlternateContent>
        <mc:AlternateContent xmlns:mc="http://schemas.openxmlformats.org/markup-compatibility/2006">
          <mc:Choice Requires="x14">
            <control shapeId="103459" r:id="rId26" name="Check Box 35">
              <controlPr defaultSize="0" print="0" autoFill="0" autoLine="0" autoPict="0">
                <anchor moveWithCells="1">
                  <from>
                    <xdr:col>10</xdr:col>
                    <xdr:colOff>175260</xdr:colOff>
                    <xdr:row>14</xdr:row>
                    <xdr:rowOff>38100</xdr:rowOff>
                  </from>
                  <to>
                    <xdr:col>10</xdr:col>
                    <xdr:colOff>388620</xdr:colOff>
                    <xdr:row>14</xdr:row>
                    <xdr:rowOff>182880</xdr:rowOff>
                  </to>
                </anchor>
              </controlPr>
            </control>
          </mc:Choice>
        </mc:AlternateContent>
        <mc:AlternateContent xmlns:mc="http://schemas.openxmlformats.org/markup-compatibility/2006">
          <mc:Choice Requires="x14">
            <control shapeId="103460" r:id="rId27" name="Check Box 36">
              <controlPr defaultSize="0" print="0" autoFill="0" autoLine="0" autoPict="0">
                <anchor moveWithCells="1">
                  <from>
                    <xdr:col>10</xdr:col>
                    <xdr:colOff>175260</xdr:colOff>
                    <xdr:row>14</xdr:row>
                    <xdr:rowOff>175260</xdr:rowOff>
                  </from>
                  <to>
                    <xdr:col>10</xdr:col>
                    <xdr:colOff>388620</xdr:colOff>
                    <xdr:row>15</xdr:row>
                    <xdr:rowOff>121920</xdr:rowOff>
                  </to>
                </anchor>
              </controlPr>
            </control>
          </mc:Choice>
        </mc:AlternateContent>
        <mc:AlternateContent xmlns:mc="http://schemas.openxmlformats.org/markup-compatibility/2006">
          <mc:Choice Requires="x14">
            <control shapeId="103461" r:id="rId28" name="Check Box 37">
              <controlPr defaultSize="0" print="0" autoFill="0" autoLine="0" autoPict="0">
                <anchor moveWithCells="1">
                  <from>
                    <xdr:col>7</xdr:col>
                    <xdr:colOff>137160</xdr:colOff>
                    <xdr:row>13</xdr:row>
                    <xdr:rowOff>38100</xdr:rowOff>
                  </from>
                  <to>
                    <xdr:col>7</xdr:col>
                    <xdr:colOff>365760</xdr:colOff>
                    <xdr:row>14</xdr:row>
                    <xdr:rowOff>22860</xdr:rowOff>
                  </to>
                </anchor>
              </controlPr>
            </control>
          </mc:Choice>
        </mc:AlternateContent>
        <mc:AlternateContent xmlns:mc="http://schemas.openxmlformats.org/markup-compatibility/2006">
          <mc:Choice Requires="x14">
            <control shapeId="103462" r:id="rId29" name="Check Box 38">
              <controlPr defaultSize="0" print="0" autoFill="0" autoLine="0" autoPict="0">
                <anchor moveWithCells="1">
                  <from>
                    <xdr:col>7</xdr:col>
                    <xdr:colOff>137160</xdr:colOff>
                    <xdr:row>14</xdr:row>
                    <xdr:rowOff>45720</xdr:rowOff>
                  </from>
                  <to>
                    <xdr:col>7</xdr:col>
                    <xdr:colOff>350520</xdr:colOff>
                    <xdr:row>15</xdr:row>
                    <xdr:rowOff>0</xdr:rowOff>
                  </to>
                </anchor>
              </controlPr>
            </control>
          </mc:Choice>
        </mc:AlternateContent>
        <mc:AlternateContent xmlns:mc="http://schemas.openxmlformats.org/markup-compatibility/2006">
          <mc:Choice Requires="x14">
            <control shapeId="103463" r:id="rId30" name="Check Box 39">
              <controlPr defaultSize="0" print="0" autoFill="0" autoLine="0" autoPict="0">
                <anchor moveWithCells="1">
                  <from>
                    <xdr:col>7</xdr:col>
                    <xdr:colOff>137160</xdr:colOff>
                    <xdr:row>15</xdr:row>
                    <xdr:rowOff>38100</xdr:rowOff>
                  </from>
                  <to>
                    <xdr:col>7</xdr:col>
                    <xdr:colOff>365760</xdr:colOff>
                    <xdr:row>15</xdr:row>
                    <xdr:rowOff>182880</xdr:rowOff>
                  </to>
                </anchor>
              </controlPr>
            </control>
          </mc:Choice>
        </mc:AlternateContent>
        <mc:AlternateContent xmlns:mc="http://schemas.openxmlformats.org/markup-compatibility/2006">
          <mc:Choice Requires="x14">
            <control shapeId="103464" r:id="rId31" name="Check Box 40">
              <controlPr defaultSize="0" print="0" autoFill="0" autoLine="0" autoPict="0">
                <anchor moveWithCells="1">
                  <from>
                    <xdr:col>13</xdr:col>
                    <xdr:colOff>182880</xdr:colOff>
                    <xdr:row>13</xdr:row>
                    <xdr:rowOff>60960</xdr:rowOff>
                  </from>
                  <to>
                    <xdr:col>13</xdr:col>
                    <xdr:colOff>403860</xdr:colOff>
                    <xdr:row>14</xdr:row>
                    <xdr:rowOff>45720</xdr:rowOff>
                  </to>
                </anchor>
              </controlPr>
            </control>
          </mc:Choice>
        </mc:AlternateContent>
        <mc:AlternateContent xmlns:mc="http://schemas.openxmlformats.org/markup-compatibility/2006">
          <mc:Choice Requires="x14">
            <control shapeId="103465" r:id="rId32" name="Check Box 41">
              <controlPr defaultSize="0" print="0" autoFill="0" autoLine="0" autoPict="0">
                <anchor moveWithCells="1">
                  <from>
                    <xdr:col>13</xdr:col>
                    <xdr:colOff>182880</xdr:colOff>
                    <xdr:row>14</xdr:row>
                    <xdr:rowOff>38100</xdr:rowOff>
                  </from>
                  <to>
                    <xdr:col>13</xdr:col>
                    <xdr:colOff>403860</xdr:colOff>
                    <xdr:row>14</xdr:row>
                    <xdr:rowOff>182880</xdr:rowOff>
                  </to>
                </anchor>
              </controlPr>
            </control>
          </mc:Choice>
        </mc:AlternateContent>
        <mc:AlternateContent xmlns:mc="http://schemas.openxmlformats.org/markup-compatibility/2006">
          <mc:Choice Requires="x14">
            <control shapeId="103466" r:id="rId33" name="Check Box 42">
              <controlPr defaultSize="0" print="0" autoFill="0" autoLine="0" autoPict="0">
                <anchor moveWithCells="1">
                  <from>
                    <xdr:col>13</xdr:col>
                    <xdr:colOff>182880</xdr:colOff>
                    <xdr:row>15</xdr:row>
                    <xdr:rowOff>22860</xdr:rowOff>
                  </from>
                  <to>
                    <xdr:col>13</xdr:col>
                    <xdr:colOff>403860</xdr:colOff>
                    <xdr:row>15</xdr:row>
                    <xdr:rowOff>175260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Title="Lohnmaschinen" error="Bitte aus Dropdownliste auswählen." xr:uid="{00000000-0002-0000-4E00-000008000000}">
          <x14:formula1>
            <xm:f>'SD3'!$C$90:$C$104</xm:f>
          </x14:formula1>
          <xm:sqref>C64:E66</xm:sqref>
        </x14:dataValidation>
        <x14:dataValidation type="list" allowBlank="1" showInputMessage="1" showErrorMessage="1" errorTitle="Arbeitsgänge" error="Bitte aus Dropdownliste auswählen." xr:uid="{00000000-0002-0000-4E00-000009000000}">
          <x14:formula1>
            <xm:f>'SD3'!$C$23:$C$75</xm:f>
          </x14:formula1>
          <xm:sqref>C45:D56</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Tabelle91">
    <tabColor rgb="FF7030A0"/>
    <pageSetUpPr fitToPage="1"/>
  </sheetPr>
  <dimension ref="A1:AO206"/>
  <sheetViews>
    <sheetView workbookViewId="0"/>
  </sheetViews>
  <sheetFormatPr baseColWidth="10" defaultColWidth="10.5" defaultRowHeight="13.2"/>
  <cols>
    <col min="1" max="1" width="1.5" style="28" customWidth="1"/>
    <col min="2" max="2" width="3.19921875" style="28" customWidth="1"/>
    <col min="3" max="3" width="13.19921875" style="28" customWidth="1"/>
    <col min="4" max="6" width="9.19921875" style="28" customWidth="1"/>
    <col min="7" max="7" width="9.19921875" style="35" customWidth="1"/>
    <col min="8" max="8" width="9.19921875" style="28" customWidth="1"/>
    <col min="9" max="11" width="7.19921875" style="28" customWidth="1"/>
    <col min="12" max="12" width="7.69921875" style="28" customWidth="1"/>
    <col min="13" max="14" width="7.19921875" style="28" customWidth="1"/>
    <col min="15" max="15" width="8" style="28" customWidth="1"/>
    <col min="16" max="16" width="7.19921875" style="28" customWidth="1"/>
    <col min="17" max="17" width="25.59765625" style="28" hidden="1" customWidth="1"/>
    <col min="18" max="26" width="10.5" style="27" hidden="1" customWidth="1"/>
    <col min="27" max="32" width="10.5" style="27" customWidth="1"/>
    <col min="33" max="16384" width="10.5" style="27"/>
  </cols>
  <sheetData>
    <row r="1" spans="1:41" s="219" customFormat="1" ht="30.15" customHeight="1">
      <c r="A1" s="1681"/>
      <c r="B1" s="258"/>
      <c r="C1" s="1333"/>
      <c r="D1" s="100"/>
      <c r="E1" s="255"/>
      <c r="F1" s="255"/>
      <c r="G1" s="3207"/>
      <c r="H1" s="3207"/>
      <c r="I1" s="3208" t="s">
        <v>1679</v>
      </c>
      <c r="J1" s="3210" t="e">
        <f>(J7+J13+J18+J22+I11+I12)-(J23+J27+J34+J43+J60+J65+J67+J69+J71+J75)</f>
        <v>#N/A</v>
      </c>
      <c r="K1" s="4360" t="e">
        <f>M1-J1</f>
        <v>#N/A</v>
      </c>
      <c r="L1" s="4360"/>
      <c r="M1" s="3210" t="e">
        <f>(M7+M13+M18+M22+L11+L12)-(M23+M27+M34+M43+M60+M65+M67+M69+M71+M75)</f>
        <v>#N/A</v>
      </c>
      <c r="N1" s="4360" t="e">
        <f>P1-M1</f>
        <v>#N/A</v>
      </c>
      <c r="O1" s="4360"/>
      <c r="P1" s="3210" t="e">
        <f>(P7+P13+P18+P22+O11+O12)-(P23+P27+P34+P43+P60+P65+P67+P69+P71+P75)</f>
        <v>#N/A</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437" t="str">
        <f>"Berechnungsgrundlagen (Deckungsbeitrag "&amp;SDÖ1!O8 &amp;")"</f>
        <v>Berechnungsgrundlagen (Deckungsbeitrag ohne MwSt.)</v>
      </c>
      <c r="G2" s="1317"/>
      <c r="H2" s="1328"/>
      <c r="K2" s="4372" t="s">
        <v>1397</v>
      </c>
      <c r="L2" s="4372"/>
      <c r="M2" s="4372"/>
      <c r="N2" s="4372"/>
      <c r="O2" s="4372"/>
      <c r="P2" s="4372"/>
      <c r="Q2" s="1681"/>
    </row>
    <row r="3" spans="1:41" s="219" customFormat="1" ht="21.75" customHeight="1">
      <c r="A3" s="1681"/>
      <c r="B3" s="1329" t="s">
        <v>1135</v>
      </c>
      <c r="G3" s="1317"/>
      <c r="H3" s="1328"/>
      <c r="J3" s="29"/>
      <c r="K3" s="29"/>
      <c r="L3" s="29"/>
      <c r="M3" s="29"/>
      <c r="N3" s="29"/>
      <c r="O3" s="29"/>
      <c r="P3" s="1326"/>
      <c r="Q3" s="1681"/>
      <c r="T3" s="1343" t="b">
        <v>1</v>
      </c>
      <c r="W3" s="4368" t="s">
        <v>886</v>
      </c>
      <c r="X3" s="4447"/>
      <c r="Y3" s="4447"/>
      <c r="Z3" s="1327"/>
    </row>
    <row r="4" spans="1:41" s="219" customFormat="1" ht="20.25" customHeight="1">
      <c r="A4" s="1681"/>
      <c r="B4" s="309" t="s">
        <v>779</v>
      </c>
      <c r="C4" s="27"/>
      <c r="D4" s="27"/>
      <c r="E4" s="4406" t="s">
        <v>1147</v>
      </c>
      <c r="F4" s="4406"/>
      <c r="G4" s="4406"/>
      <c r="H4" s="4406"/>
      <c r="I4" s="4406"/>
      <c r="J4" s="29"/>
      <c r="K4" s="29"/>
      <c r="L4" s="29"/>
      <c r="M4" s="29"/>
      <c r="N4" s="29"/>
      <c r="O4" s="29"/>
      <c r="P4" s="1322">
        <f>SDÖ1!O3</f>
        <v>2024</v>
      </c>
      <c r="Q4" s="1681"/>
      <c r="T4" s="1343" t="b">
        <v>1</v>
      </c>
      <c r="W4" s="4368" t="s">
        <v>875</v>
      </c>
      <c r="X4" s="4447"/>
      <c r="Y4" s="4447"/>
      <c r="Z4" s="1696"/>
    </row>
    <row r="5" spans="1:41" ht="6" customHeight="1"/>
    <row r="6" spans="1:41" s="1311" customFormat="1" ht="24" customHeight="1">
      <c r="A6" s="41"/>
      <c r="B6" s="1316" t="s">
        <v>832</v>
      </c>
      <c r="C6" s="1315"/>
      <c r="D6" s="1315"/>
      <c r="E6" s="1315"/>
      <c r="F6" s="1315"/>
      <c r="G6" s="1314" t="s">
        <v>1141</v>
      </c>
      <c r="H6" s="4366"/>
      <c r="I6" s="4367"/>
      <c r="J6" s="1313">
        <v>10</v>
      </c>
      <c r="K6" s="4379"/>
      <c r="L6" s="4380"/>
      <c r="M6" s="1313">
        <v>18</v>
      </c>
      <c r="N6" s="4366"/>
      <c r="O6" s="4367"/>
      <c r="P6" s="1312">
        <v>26</v>
      </c>
      <c r="Q6" s="49"/>
    </row>
    <row r="7" spans="1:41" s="196" customFormat="1" ht="18.75" customHeight="1">
      <c r="A7" s="40"/>
      <c r="B7" s="245" t="s">
        <v>1133</v>
      </c>
      <c r="C7" s="40"/>
      <c r="D7" s="40"/>
      <c r="E7" s="40"/>
      <c r="F7" s="40"/>
      <c r="G7" s="1310" t="s">
        <v>163</v>
      </c>
      <c r="H7" s="1307"/>
      <c r="I7" s="1306"/>
      <c r="J7" s="1041">
        <f>SUM(I9:I10)</f>
        <v>760</v>
      </c>
      <c r="K7" s="1309"/>
      <c r="L7" s="1308"/>
      <c r="M7" s="1044">
        <f>SUM(L9:L10)</f>
        <v>1368</v>
      </c>
      <c r="N7" s="1307"/>
      <c r="O7" s="1306"/>
      <c r="P7" s="1041">
        <f>SUM(O9:O10)</f>
        <v>1976</v>
      </c>
      <c r="Q7" s="28"/>
    </row>
    <row r="8" spans="1:41" s="196" customFormat="1" ht="13.2" customHeight="1">
      <c r="A8" s="40"/>
      <c r="B8" s="1226"/>
      <c r="C8" s="1305"/>
      <c r="D8" s="1305"/>
      <c r="E8" s="1305"/>
      <c r="F8" s="1305"/>
      <c r="G8" s="1033" t="s">
        <v>220</v>
      </c>
      <c r="H8" s="1205" t="s">
        <v>164</v>
      </c>
      <c r="I8" s="1027" t="s">
        <v>163</v>
      </c>
      <c r="J8" s="1026"/>
      <c r="K8" s="1207" t="s">
        <v>164</v>
      </c>
      <c r="L8" s="1030" t="s">
        <v>163</v>
      </c>
      <c r="M8" s="1227"/>
      <c r="N8" s="1205" t="s">
        <v>164</v>
      </c>
      <c r="O8" s="1027" t="s">
        <v>163</v>
      </c>
      <c r="P8" s="1026"/>
      <c r="Q8" s="28"/>
    </row>
    <row r="9" spans="1:41" s="196" customFormat="1" ht="16.5" customHeight="1">
      <c r="A9" s="40"/>
      <c r="B9" s="245"/>
      <c r="C9" s="39" t="s">
        <v>1132</v>
      </c>
      <c r="D9" s="40"/>
      <c r="E9" s="40"/>
      <c r="F9" s="1304" t="s">
        <v>882</v>
      </c>
      <c r="G9" s="1221">
        <f>SDÖ1!O44</f>
        <v>76</v>
      </c>
      <c r="H9" s="1303">
        <f>J6-H10</f>
        <v>10</v>
      </c>
      <c r="I9" s="1299">
        <f>H9*G9</f>
        <v>760</v>
      </c>
      <c r="J9" s="37"/>
      <c r="K9" s="1302">
        <f>M6-K10</f>
        <v>18</v>
      </c>
      <c r="L9" s="1301">
        <f>K9*G9</f>
        <v>1368</v>
      </c>
      <c r="M9" s="1280"/>
      <c r="N9" s="1300">
        <f>P6-N10</f>
        <v>26</v>
      </c>
      <c r="O9" s="1299">
        <f>N9*G9</f>
        <v>1976</v>
      </c>
      <c r="P9" s="37"/>
      <c r="Q9" s="28"/>
      <c r="R9" s="517"/>
      <c r="S9" s="208" t="s">
        <v>887</v>
      </c>
      <c r="T9" s="1298"/>
    </row>
    <row r="10" spans="1:41" s="1268" customFormat="1" ht="15" customHeight="1">
      <c r="A10" s="309"/>
      <c r="B10" s="185"/>
      <c r="C10" s="223" t="s">
        <v>1131</v>
      </c>
      <c r="D10" s="1277"/>
      <c r="E10" s="4377"/>
      <c r="F10" s="4378"/>
      <c r="G10" s="1297"/>
      <c r="H10" s="1292"/>
      <c r="I10" s="1291">
        <f>H10*G10</f>
        <v>0</v>
      </c>
      <c r="J10" s="1296"/>
      <c r="K10" s="1295"/>
      <c r="L10" s="1294">
        <f>K10*G10</f>
        <v>0</v>
      </c>
      <c r="M10" s="1293"/>
      <c r="N10" s="1292"/>
      <c r="O10" s="1291">
        <f>N10*G10</f>
        <v>0</v>
      </c>
      <c r="P10" s="1290"/>
      <c r="Q10" s="34"/>
      <c r="R10" s="1289">
        <f>I10+I11+I12</f>
        <v>0</v>
      </c>
      <c r="S10" s="1288">
        <f>L10+L11+L12</f>
        <v>0</v>
      </c>
      <c r="T10" s="1287">
        <f>O10+O11+O12</f>
        <v>0</v>
      </c>
      <c r="W10" s="196" t="s">
        <v>879</v>
      </c>
    </row>
    <row r="11" spans="1:41" s="1268" customFormat="1" ht="15" hidden="1" customHeight="1">
      <c r="A11" s="309"/>
      <c r="B11" s="217"/>
      <c r="C11" s="39" t="s">
        <v>878</v>
      </c>
      <c r="D11" s="309"/>
      <c r="E11" s="1286">
        <v>0</v>
      </c>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37"/>
      <c r="Q11" s="34"/>
      <c r="W11" s="1268" t="s">
        <v>876</v>
      </c>
    </row>
    <row r="12" spans="1:41" s="1268" customFormat="1" ht="15" hidden="1" customHeight="1">
      <c r="A12" s="309"/>
      <c r="B12" s="185"/>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37"/>
      <c r="Q12" s="34"/>
      <c r="U12" s="196"/>
      <c r="V12" s="196"/>
      <c r="W12" s="1266" t="s">
        <v>872</v>
      </c>
      <c r="X12" s="1264">
        <f>IF(OR(T3=TRUE,T4=TRUE),J6*$E$11,"0")</f>
        <v>0</v>
      </c>
      <c r="Y12" s="1265">
        <f>IF(OR(T3=TRUE,T4=TRUE),M6*$E$11,"0")</f>
        <v>0</v>
      </c>
      <c r="Z12" s="1264">
        <f>IF(OR(T3=TRUE,T4=TRUE),P6*$E$11,"0")</f>
        <v>0</v>
      </c>
    </row>
    <row r="13" spans="1:41" s="196" customFormat="1" ht="18.75" customHeight="1">
      <c r="A13" s="40"/>
      <c r="B13" s="209" t="s">
        <v>1130</v>
      </c>
      <c r="C13" s="40"/>
      <c r="D13" s="40"/>
      <c r="E13" s="40"/>
      <c r="F13" s="40"/>
      <c r="G13" s="1267" t="s">
        <v>163</v>
      </c>
      <c r="H13" s="1250"/>
      <c r="I13" s="1249"/>
      <c r="J13" s="1041">
        <f>SUM(I14:I17)</f>
        <v>240</v>
      </c>
      <c r="K13" s="1252"/>
      <c r="L13" s="1251"/>
      <c r="M13" s="1044">
        <f>SUM(L14:L16)</f>
        <v>240</v>
      </c>
      <c r="N13" s="1250"/>
      <c r="O13" s="1249"/>
      <c r="P13" s="1041">
        <f>SUM(O14:O16)</f>
        <v>240</v>
      </c>
      <c r="Q13" s="28"/>
      <c r="R13" s="100"/>
      <c r="U13" s="36"/>
      <c r="V13" s="36"/>
      <c r="X13" s="1264">
        <f>IF(OR(T4=TRUE,T5=TRUE),J7*$E$11,"0")</f>
        <v>0</v>
      </c>
      <c r="Y13" s="1265">
        <f>IF(OR(T4=TRUE,T5=TRUE),M7*$E$11,"0")</f>
        <v>0</v>
      </c>
      <c r="Z13" s="1264">
        <f>IF(OR(T4=TRUE,T5=TRUE),P7*$E$11,"0")</f>
        <v>0</v>
      </c>
    </row>
    <row r="14" spans="1:41" s="36" customFormat="1" ht="15" customHeight="1">
      <c r="A14" s="39"/>
      <c r="B14" s="1247"/>
      <c r="C14" s="4365" t="s">
        <v>1511</v>
      </c>
      <c r="D14" s="4365"/>
      <c r="E14" s="4365"/>
      <c r="F14" s="4365"/>
      <c r="G14" s="1263"/>
      <c r="H14" s="1391" t="s">
        <v>919</v>
      </c>
      <c r="I14" s="2839">
        <f>IF(H14="ja",Q14,0)</f>
        <v>240</v>
      </c>
      <c r="J14" s="39"/>
      <c r="K14" s="1262" t="s">
        <v>919</v>
      </c>
      <c r="L14" s="1098">
        <f>IF(K14="ja",Q14,0)</f>
        <v>240</v>
      </c>
      <c r="M14" s="1016"/>
      <c r="N14" s="1262" t="s">
        <v>919</v>
      </c>
      <c r="O14" s="1243">
        <f>IF(N14="ja",Q14,0)</f>
        <v>240</v>
      </c>
      <c r="P14" s="1013"/>
      <c r="Q14" s="1261">
        <f>IF(C14=0,0,VLOOKUP(C14,'SD2'!$C$11:$O$50,'SD2'!$O$1,FALSE))</f>
        <v>240</v>
      </c>
      <c r="R14" s="1350"/>
      <c r="S14" s="1349"/>
      <c r="T14" s="1348"/>
      <c r="W14" s="36" t="s">
        <v>236</v>
      </c>
      <c r="X14" s="1260">
        <f>$X$12*F31</f>
        <v>0</v>
      </c>
      <c r="Y14" s="1260">
        <f>$Y$12*F31</f>
        <v>0</v>
      </c>
      <c r="Z14" s="1260">
        <f>$Z$12*F31</f>
        <v>0</v>
      </c>
    </row>
    <row r="15" spans="1:41" s="36" customFormat="1" ht="15" customHeight="1">
      <c r="A15" s="39"/>
      <c r="B15" s="1247"/>
      <c r="C15" s="4365"/>
      <c r="D15" s="4365"/>
      <c r="E15" s="4365"/>
      <c r="F15" s="4365"/>
      <c r="G15" s="1263"/>
      <c r="H15" s="1262" t="s">
        <v>871</v>
      </c>
      <c r="I15" s="1243">
        <f>IF(H15="ja",Q15,0)</f>
        <v>0</v>
      </c>
      <c r="J15" s="39"/>
      <c r="K15" s="1262" t="s">
        <v>871</v>
      </c>
      <c r="L15" s="1098">
        <f>IF(K15="ja",Q15,0)</f>
        <v>0</v>
      </c>
      <c r="M15" s="1016"/>
      <c r="N15" s="1262" t="s">
        <v>871</v>
      </c>
      <c r="O15" s="1243">
        <f>IF(N15="ja",Q15,0)</f>
        <v>0</v>
      </c>
      <c r="P15" s="1013"/>
      <c r="Q15" s="1261">
        <f>IF(C15=0,0,VLOOKUP(C15,'SD2'!$C$11:$O$50,'SD2'!$O$1,FALSE))</f>
        <v>0</v>
      </c>
      <c r="R15" s="1347"/>
      <c r="S15" s="1343"/>
      <c r="T15" s="1346"/>
      <c r="W15" s="36" t="s">
        <v>685</v>
      </c>
      <c r="X15" s="1260">
        <f>$X$12*F32</f>
        <v>0</v>
      </c>
      <c r="Y15" s="1260">
        <f>$Y$12*F32</f>
        <v>0</v>
      </c>
      <c r="Z15" s="1260">
        <f>$Z$12*F32</f>
        <v>0</v>
      </c>
    </row>
    <row r="16" spans="1:41" s="36" customFormat="1" ht="15" customHeight="1">
      <c r="A16" s="39"/>
      <c r="B16" s="1247"/>
      <c r="C16" s="4365"/>
      <c r="D16" s="4365"/>
      <c r="E16" s="4365"/>
      <c r="F16" s="4365"/>
      <c r="G16" s="1263"/>
      <c r="H16" s="1262" t="s">
        <v>871</v>
      </c>
      <c r="I16" s="1243">
        <f>IF(H16="ja",Q16,0)</f>
        <v>0</v>
      </c>
      <c r="J16" s="39"/>
      <c r="K16" s="1262" t="s">
        <v>871</v>
      </c>
      <c r="L16" s="1098">
        <f>IF(K16="ja",Q16,0)</f>
        <v>0</v>
      </c>
      <c r="M16" s="1016"/>
      <c r="N16" s="1262" t="s">
        <v>871</v>
      </c>
      <c r="O16" s="1243">
        <f>IF(N16="ja",Q16,0)</f>
        <v>0</v>
      </c>
      <c r="P16" s="1013"/>
      <c r="Q16" s="1261">
        <f>IF(C16=0,0,VLOOKUP(C16,'SD2'!$C$11:$O$50,'SD2'!$O$1,FALSE))</f>
        <v>0</v>
      </c>
      <c r="R16" s="1347"/>
      <c r="S16" s="1343"/>
      <c r="T16" s="1346"/>
      <c r="W16" s="36" t="s">
        <v>684</v>
      </c>
      <c r="X16" s="1260">
        <f>$X$12*F33</f>
        <v>0</v>
      </c>
      <c r="Y16" s="1260">
        <f>$Y$12*F33</f>
        <v>0</v>
      </c>
      <c r="Z16" s="1260">
        <f>$Z$12*F33</f>
        <v>0</v>
      </c>
    </row>
    <row r="17" spans="1:26" s="511" customFormat="1" ht="15" customHeight="1">
      <c r="A17" s="40"/>
      <c r="B17" s="1247"/>
      <c r="C17" s="4365"/>
      <c r="D17" s="4365"/>
      <c r="E17" s="4365"/>
      <c r="F17" s="4365"/>
      <c r="G17" s="1263"/>
      <c r="H17" s="1262" t="s">
        <v>871</v>
      </c>
      <c r="I17" s="1243">
        <f>IF(H17="ja",Q17,0)</f>
        <v>0</v>
      </c>
      <c r="J17" s="39"/>
      <c r="K17" s="1262" t="s">
        <v>871</v>
      </c>
      <c r="L17" s="1098">
        <f>IF(K17="ja",Q17,0)</f>
        <v>0</v>
      </c>
      <c r="M17" s="1016"/>
      <c r="N17" s="1262" t="s">
        <v>871</v>
      </c>
      <c r="O17" s="1243">
        <f>IF(N17="ja",Q17,0)</f>
        <v>0</v>
      </c>
      <c r="P17" s="1013"/>
      <c r="Q17" s="1261">
        <f>IF(C17=0,0,VLOOKUP(C17,'SD2'!$C$11:$O$50,'SD2'!$O$1,FALSE))</f>
        <v>0</v>
      </c>
      <c r="W17" s="36" t="s">
        <v>230</v>
      </c>
      <c r="X17" s="1260">
        <f>$X$12*F34</f>
        <v>0</v>
      </c>
      <c r="Y17" s="1260">
        <f>$Y$12*F34</f>
        <v>0</v>
      </c>
      <c r="Z17" s="1260">
        <f>$Z$12*F34</f>
        <v>0</v>
      </c>
    </row>
    <row r="18" spans="1:26" s="36" customFormat="1" ht="18.75" customHeight="1">
      <c r="A18" s="39"/>
      <c r="B18" s="209" t="s">
        <v>1563</v>
      </c>
      <c r="C18" s="1672"/>
      <c r="D18" s="1672"/>
      <c r="E18" s="1672"/>
      <c r="F18" s="1672"/>
      <c r="G18" s="2464"/>
      <c r="H18" s="2249"/>
      <c r="I18" s="2465"/>
      <c r="J18" s="1041">
        <f>SUM(I19:I21)</f>
        <v>177</v>
      </c>
      <c r="K18" s="2250"/>
      <c r="L18" s="2466"/>
      <c r="M18" s="1044">
        <f>SUM(L19:L21)</f>
        <v>177</v>
      </c>
      <c r="N18" s="2249"/>
      <c r="O18" s="2465"/>
      <c r="P18" s="1041">
        <f>SUM(O19:O21)</f>
        <v>177</v>
      </c>
      <c r="Q18" s="28"/>
      <c r="R18" s="514" t="s">
        <v>870</v>
      </c>
      <c r="S18" s="308"/>
      <c r="T18" s="1248"/>
    </row>
    <row r="19" spans="1:26" ht="15.6" customHeight="1">
      <c r="A19" s="309"/>
      <c r="B19" s="1247"/>
      <c r="C19" s="4365" t="s">
        <v>1560</v>
      </c>
      <c r="D19" s="4365"/>
      <c r="E19" s="4365"/>
      <c r="F19" s="4365"/>
      <c r="G19" s="1246" t="s">
        <v>163</v>
      </c>
      <c r="H19" s="1244"/>
      <c r="I19" s="2839">
        <f>IF(OR($C19=0,$J$6=0),0,VLOOKUP($C19,'SD2'!C60:O78,12,FALSE))</f>
        <v>155</v>
      </c>
      <c r="J19" s="2783"/>
      <c r="K19" s="1245"/>
      <c r="L19" s="2829">
        <f>IF(OR($C19=0,$M$6=0),0,VLOOKUP($C19,'SD2'!$C$60:$N$77,12,FALSE))</f>
        <v>155</v>
      </c>
      <c r="M19" s="2795"/>
      <c r="N19" s="1244"/>
      <c r="O19" s="2839">
        <f>IF(OR($C19=0,$P$6=0),0,VLOOKUP($C19,'SD2'!C60:O78,12,FALSE))</f>
        <v>155</v>
      </c>
      <c r="P19" s="1013"/>
      <c r="R19" s="1242">
        <f>J13+J18</f>
        <v>417</v>
      </c>
      <c r="S19" s="1242">
        <f>M13+M18</f>
        <v>417</v>
      </c>
      <c r="T19" s="1242">
        <f>P13+P18</f>
        <v>417</v>
      </c>
    </row>
    <row r="20" spans="1:26" s="2894" customFormat="1" ht="15.6" customHeight="1">
      <c r="A20" s="2788"/>
      <c r="B20" s="1247"/>
      <c r="C20" s="4365" t="s">
        <v>1675</v>
      </c>
      <c r="D20" s="4365"/>
      <c r="E20" s="4365"/>
      <c r="F20" s="4365"/>
      <c r="G20" s="2914"/>
      <c r="H20" s="1244"/>
      <c r="I20" s="2839">
        <f>IF(OR($C20=0,$J$6=0),0,VLOOKUP($C20,'SD2'!C61:O79,12,FALSE))</f>
        <v>22</v>
      </c>
      <c r="J20" s="37"/>
      <c r="K20" s="1245"/>
      <c r="L20" s="2829">
        <f>IF(OR($C20=0,$M$6=0),0,VLOOKUP($C20,'SD2'!$C$60:$N$77,12,FALSE))</f>
        <v>22</v>
      </c>
      <c r="M20" s="1280"/>
      <c r="N20" s="1244"/>
      <c r="O20" s="2839">
        <f>IF(OR($C20=0,$P$6=0),0,VLOOKUP($C20,'SD2'!C61:O79,12,FALSE))</f>
        <v>22</v>
      </c>
      <c r="P20" s="1013"/>
      <c r="Q20" s="2895"/>
      <c r="R20" s="2888"/>
      <c r="S20" s="2888"/>
      <c r="T20" s="2888"/>
    </row>
    <row r="21" spans="1:26" s="2894" customFormat="1" ht="15.6" customHeight="1">
      <c r="A21" s="2788"/>
      <c r="B21" s="1247"/>
      <c r="C21" s="4365"/>
      <c r="D21" s="4365"/>
      <c r="E21" s="4365"/>
      <c r="F21" s="4365"/>
      <c r="G21" s="2914"/>
      <c r="H21" s="1244"/>
      <c r="I21" s="2839">
        <f>IF(OR($C21=0,$J$6=0),0,VLOOKUP($C21,'SD2'!C62:O79,12,FALSE))</f>
        <v>0</v>
      </c>
      <c r="J21" s="2783"/>
      <c r="K21" s="1245"/>
      <c r="L21" s="2829">
        <f>IF(OR($C21=0,$M$6=0),0,VLOOKUP($C21,'SD2'!$C$60:$N$77,12,FALSE))</f>
        <v>0</v>
      </c>
      <c r="M21" s="2795"/>
      <c r="N21" s="1244"/>
      <c r="O21" s="2839">
        <f>IF(OR($C21=0,$P$6=0),0,VLOOKUP($C21,'SD2'!C62:O79,12,FALSE))</f>
        <v>0</v>
      </c>
      <c r="P21" s="1013"/>
      <c r="Q21" s="2895"/>
      <c r="R21" s="2888"/>
      <c r="S21" s="2888"/>
      <c r="T21" s="2888"/>
    </row>
    <row r="22" spans="1:26" ht="15.6" customHeight="1">
      <c r="A22" s="309"/>
      <c r="B22" s="245" t="s">
        <v>869</v>
      </c>
      <c r="C22" s="39"/>
      <c r="D22" s="1234"/>
      <c r="E22" s="4370" t="s">
        <v>868</v>
      </c>
      <c r="F22" s="4370"/>
      <c r="G22" s="4371"/>
      <c r="H22" s="1231"/>
      <c r="I22" s="1230"/>
      <c r="J22" s="1229"/>
      <c r="K22" s="1233"/>
      <c r="L22" s="1232"/>
      <c r="M22" s="1229"/>
      <c r="N22" s="1231"/>
      <c r="O22" s="1230"/>
      <c r="P22" s="1229"/>
      <c r="Q22" s="29"/>
      <c r="R22" s="29"/>
      <c r="S22" s="29"/>
      <c r="T22" s="29"/>
      <c r="U22" s="29"/>
      <c r="V22" s="29"/>
      <c r="W22" s="29"/>
      <c r="X22" s="29"/>
      <c r="Y22" s="29"/>
    </row>
    <row r="23" spans="1:26" s="36" customFormat="1" ht="18.75" customHeight="1">
      <c r="A23" s="746"/>
      <c r="B23" s="209" t="s">
        <v>214</v>
      </c>
      <c r="C23" s="1228"/>
      <c r="D23" s="1228"/>
      <c r="E23" s="34"/>
      <c r="F23" s="4381"/>
      <c r="G23" s="4382" t="s">
        <v>163</v>
      </c>
      <c r="H23" s="1043"/>
      <c r="I23" s="1042"/>
      <c r="J23" s="1026">
        <f>SUM(I25:I26)</f>
        <v>60.8</v>
      </c>
      <c r="K23" s="1046"/>
      <c r="L23" s="1045"/>
      <c r="M23" s="1227">
        <f>SUM(L25:L26)</f>
        <v>60.8</v>
      </c>
      <c r="N23" s="1043"/>
      <c r="O23" s="1042"/>
      <c r="P23" s="1026">
        <f>SUM(O25:O26)</f>
        <v>60.8</v>
      </c>
      <c r="Q23" s="28"/>
    </row>
    <row r="24" spans="1:26" s="36" customFormat="1" ht="15" customHeight="1">
      <c r="A24" s="746"/>
      <c r="B24" s="1226"/>
      <c r="C24" s="1039" t="s">
        <v>837</v>
      </c>
      <c r="D24" s="1110">
        <f>SDÖ1!$O$10</f>
        <v>0</v>
      </c>
      <c r="E24" s="1225"/>
      <c r="F24" s="1033" t="s">
        <v>239</v>
      </c>
      <c r="G24" s="1109" t="s">
        <v>836</v>
      </c>
      <c r="H24" s="1205" t="s">
        <v>857</v>
      </c>
      <c r="I24" s="1027" t="s">
        <v>163</v>
      </c>
      <c r="J24" s="34"/>
      <c r="K24" s="1207" t="s">
        <v>857</v>
      </c>
      <c r="L24" s="1030" t="s">
        <v>163</v>
      </c>
      <c r="M24" s="1224"/>
      <c r="N24" s="1205" t="s">
        <v>857</v>
      </c>
      <c r="O24" s="1027" t="s">
        <v>163</v>
      </c>
      <c r="P24" s="1185"/>
      <c r="Q24" s="28"/>
    </row>
    <row r="25" spans="1:26" s="511" customFormat="1" ht="18.75" customHeight="1">
      <c r="A25" s="711"/>
      <c r="B25" s="1223"/>
      <c r="C25" s="746" t="s">
        <v>866</v>
      </c>
      <c r="D25" s="4383"/>
      <c r="E25" s="4384"/>
      <c r="F25" s="1222">
        <f>SDÖ7!F24</f>
        <v>160</v>
      </c>
      <c r="G25" s="1221">
        <f>F25*(100+$D$24)/100</f>
        <v>160</v>
      </c>
      <c r="H25" s="3139">
        <v>0.38</v>
      </c>
      <c r="I25" s="1181">
        <f>H25*$G25</f>
        <v>60.8</v>
      </c>
      <c r="J25" s="39"/>
      <c r="K25" s="3139">
        <f>H25</f>
        <v>0.38</v>
      </c>
      <c r="L25" s="1023">
        <f>K25*$G25</f>
        <v>60.8</v>
      </c>
      <c r="M25" s="1016"/>
      <c r="N25" s="3139">
        <f>H25</f>
        <v>0.38</v>
      </c>
      <c r="O25" s="1181">
        <f>N25*$G25</f>
        <v>60.8</v>
      </c>
      <c r="P25" s="1145"/>
      <c r="Q25" s="28"/>
    </row>
    <row r="26" spans="1:26" s="511" customFormat="1" ht="13.95" customHeight="1">
      <c r="A26" s="711"/>
      <c r="B26" s="772"/>
      <c r="C26" s="1219"/>
      <c r="D26" s="4385"/>
      <c r="E26" s="4386"/>
      <c r="F26" s="1218"/>
      <c r="G26" s="1217">
        <f>F26*(100+$D$24)/100</f>
        <v>0</v>
      </c>
      <c r="H26" s="1216"/>
      <c r="I26" s="1177">
        <f>H26*$G26</f>
        <v>0</v>
      </c>
      <c r="J26" s="39"/>
      <c r="K26" s="1216">
        <f>H26</f>
        <v>0</v>
      </c>
      <c r="L26" s="1017">
        <f>K26*$G26</f>
        <v>0</v>
      </c>
      <c r="M26" s="1016"/>
      <c r="N26" s="1216">
        <f>H26</f>
        <v>0</v>
      </c>
      <c r="O26" s="1177">
        <f>N26*$G26</f>
        <v>0</v>
      </c>
      <c r="P26" s="1176"/>
      <c r="Q26" s="28"/>
    </row>
    <row r="27" spans="1:26" s="511" customFormat="1" ht="17.399999999999999" customHeight="1">
      <c r="A27" s="711"/>
      <c r="B27" s="1215" t="s">
        <v>213</v>
      </c>
      <c r="C27" s="711"/>
      <c r="D27" s="51" t="str">
        <f>IF(SDÖ1!V17=FALSE,"(Nährstoffabfuhr nicht bewertet)","(Nährstoffabfuhr bewertet)")</f>
        <v>(Nährstoffabfuhr nicht bewertet)</v>
      </c>
      <c r="E27" s="34"/>
      <c r="F27" s="34"/>
      <c r="G27" s="1214" t="s">
        <v>163</v>
      </c>
      <c r="H27" s="1173"/>
      <c r="I27" s="1172"/>
      <c r="J27" s="1041">
        <f>SUM(I30:I33)</f>
        <v>0</v>
      </c>
      <c r="K27" s="1175"/>
      <c r="L27" s="1174"/>
      <c r="M27" s="1044">
        <f>SUM(L30:L33)</f>
        <v>0</v>
      </c>
      <c r="N27" s="1173"/>
      <c r="O27" s="1172"/>
      <c r="P27" s="1041">
        <f>SUM(O30:O33)</f>
        <v>0</v>
      </c>
      <c r="Q27" s="28"/>
    </row>
    <row r="28" spans="1:26" s="36" customFormat="1" ht="15" customHeight="1">
      <c r="A28" s="746"/>
      <c r="B28" s="774"/>
      <c r="C28" s="2373"/>
      <c r="D28" s="1213" t="s">
        <v>706</v>
      </c>
      <c r="E28" s="1213" t="s">
        <v>864</v>
      </c>
      <c r="F28" s="1213" t="s">
        <v>864</v>
      </c>
      <c r="G28" s="1212" t="s">
        <v>863</v>
      </c>
      <c r="H28" s="1172"/>
      <c r="I28" s="1209"/>
      <c r="J28" s="2374"/>
      <c r="K28" s="1175"/>
      <c r="L28" s="1105"/>
      <c r="M28" s="1210"/>
      <c r="N28" s="1173"/>
      <c r="O28" s="1209"/>
      <c r="P28" s="1026"/>
      <c r="Q28" s="28"/>
    </row>
    <row r="29" spans="1:26" s="36" customFormat="1" ht="15" customHeight="1">
      <c r="A29" s="746"/>
      <c r="B29" s="1208"/>
      <c r="C29" s="747" t="s">
        <v>862</v>
      </c>
      <c r="D29" s="1034" t="s">
        <v>611</v>
      </c>
      <c r="E29" s="1034" t="s">
        <v>861</v>
      </c>
      <c r="F29" s="1034" t="s">
        <v>860</v>
      </c>
      <c r="G29" s="1034" t="s">
        <v>1128</v>
      </c>
      <c r="H29" s="1205" t="s">
        <v>612</v>
      </c>
      <c r="I29" s="1027" t="s">
        <v>163</v>
      </c>
      <c r="J29" s="2373"/>
      <c r="K29" s="1207" t="s">
        <v>612</v>
      </c>
      <c r="L29" s="1030" t="s">
        <v>163</v>
      </c>
      <c r="M29" s="1206"/>
      <c r="N29" s="1205" t="s">
        <v>612</v>
      </c>
      <c r="O29" s="1027" t="s">
        <v>163</v>
      </c>
      <c r="P29" s="1204"/>
      <c r="Q29" s="28"/>
    </row>
    <row r="30" spans="1:26" s="36" customFormat="1" ht="15" customHeight="1">
      <c r="A30" s="746"/>
      <c r="B30" s="1203"/>
      <c r="C30" s="1202" t="s">
        <v>236</v>
      </c>
      <c r="D30" s="1150">
        <f>IF(SDÖ1!$V$17=TRUE,SDÖ1!O56,0)</f>
        <v>0</v>
      </c>
      <c r="E30" s="1201">
        <f>VLOOKUP('SD8'!B25,'SD8'!B9:K44,3,FALSE)</f>
        <v>3.35</v>
      </c>
      <c r="F30" s="1201"/>
      <c r="G30" s="1200">
        <v>20</v>
      </c>
      <c r="H30" s="1198">
        <f>IF(J$6=0,0,(J$6*$E30+$G30+X13))</f>
        <v>53.5</v>
      </c>
      <c r="I30" s="1181">
        <f>H30*$D30</f>
        <v>0</v>
      </c>
      <c r="J30" s="39"/>
      <c r="K30" s="1199">
        <f>IF(M$6=0,0,(M$6*$E30+$G30+AA14))</f>
        <v>80.300000000000011</v>
      </c>
      <c r="L30" s="1023">
        <f>K30*$D30</f>
        <v>0</v>
      </c>
      <c r="M30" s="1016"/>
      <c r="N30" s="1198">
        <f>IF(P$6=0,0,(P$6*$E30+$G30+AD14))</f>
        <v>107.10000000000001</v>
      </c>
      <c r="O30" s="1181">
        <f>N30*$D30</f>
        <v>0</v>
      </c>
      <c r="P30" s="1145"/>
      <c r="Q30" s="28"/>
    </row>
    <row r="31" spans="1:26" s="36" customFormat="1" ht="15" customHeight="1">
      <c r="A31" s="746"/>
      <c r="B31" s="217"/>
      <c r="C31" s="746" t="s">
        <v>234</v>
      </c>
      <c r="D31" s="1150">
        <f>IF(SDÖ1!$V$17=TRUE,SDÖ1!O57,0)</f>
        <v>0</v>
      </c>
      <c r="E31" s="1201">
        <f>VLOOKUP('SD8'!B25,'SD8'!B9:K44,4,FALSE)</f>
        <v>1.8</v>
      </c>
      <c r="F31" s="1201"/>
      <c r="G31" s="1200"/>
      <c r="H31" s="1198">
        <f>IF(J$6=0,0,(J$6*$E31+$G31+X14))</f>
        <v>18</v>
      </c>
      <c r="I31" s="1181">
        <f>H31*$D31</f>
        <v>0</v>
      </c>
      <c r="J31" s="39"/>
      <c r="K31" s="1199">
        <f>IF(M$6=0,0,(M$6*$E31+$G31+Y14))</f>
        <v>32.4</v>
      </c>
      <c r="L31" s="1023">
        <f>K31*$D31</f>
        <v>0</v>
      </c>
      <c r="M31" s="1016"/>
      <c r="N31" s="1198">
        <f>IF(P$6=0,0,(P$6*$E31+$G31+Z14))</f>
        <v>46.800000000000004</v>
      </c>
      <c r="O31" s="1181">
        <f>N31*$D31</f>
        <v>0</v>
      </c>
      <c r="P31" s="1145"/>
      <c r="Q31" s="28"/>
    </row>
    <row r="32" spans="1:26" s="511" customFormat="1" ht="18.75" customHeight="1">
      <c r="A32" s="711"/>
      <c r="B32" s="217"/>
      <c r="C32" s="746" t="s">
        <v>232</v>
      </c>
      <c r="D32" s="1150">
        <f>IF(SDÖ1!$V$17=TRUE,SDÖ1!O58,0)</f>
        <v>0</v>
      </c>
      <c r="E32" s="1201">
        <f>VLOOKUP('SD8'!B25,'SD8'!B9:K44,5,FALSE)</f>
        <v>1</v>
      </c>
      <c r="F32" s="1201"/>
      <c r="G32" s="1200"/>
      <c r="H32" s="1198">
        <f>IF(J$6=0,0,(J$6*$E32+$G32+X15))</f>
        <v>10</v>
      </c>
      <c r="I32" s="1181">
        <f>H32*$D32</f>
        <v>0</v>
      </c>
      <c r="J32" s="39"/>
      <c r="K32" s="1199">
        <f>IF(M$6=0,0,(M$6*$E32+$G32+Y15))</f>
        <v>18</v>
      </c>
      <c r="L32" s="1023">
        <f>K32*$D32</f>
        <v>0</v>
      </c>
      <c r="M32" s="1016"/>
      <c r="N32" s="1198">
        <f>IF(P$6=0,0,(P$6*$E32+$G32+Z15))</f>
        <v>26</v>
      </c>
      <c r="O32" s="1181">
        <f>N32*$D32</f>
        <v>0</v>
      </c>
      <c r="P32" s="1145"/>
      <c r="Q32" s="28"/>
    </row>
    <row r="33" spans="1:17" s="511" customFormat="1" ht="13.2" customHeight="1">
      <c r="A33" s="711"/>
      <c r="B33" s="185"/>
      <c r="C33" s="771" t="s">
        <v>230</v>
      </c>
      <c r="D33" s="1133">
        <f>IF(SDÖ1!$V$17=TRUE,SDÖ1!P59,0)</f>
        <v>0</v>
      </c>
      <c r="E33" s="1197">
        <f>VLOOKUP('SD8'!B25,'SD8'!B9:K44,6,FALSE)</f>
        <v>0.5</v>
      </c>
      <c r="F33" s="1197"/>
      <c r="G33" s="1196"/>
      <c r="H33" s="1194">
        <f>IF(J$6=0,0,(J$6*$E33+$G33+X16))</f>
        <v>5</v>
      </c>
      <c r="I33" s="1177">
        <f>H33*$D33</f>
        <v>0</v>
      </c>
      <c r="J33" s="39"/>
      <c r="K33" s="1195">
        <f>IF(M$6=0,0,(M$6*$E33+$G33+Y16))</f>
        <v>9</v>
      </c>
      <c r="L33" s="1017">
        <f>K33*$D33</f>
        <v>0</v>
      </c>
      <c r="M33" s="1016"/>
      <c r="N33" s="1194">
        <f>IF(P$6=0,0,(P$6*$E33+$G33+Z16))</f>
        <v>13</v>
      </c>
      <c r="O33" s="1177">
        <f>N33*$D33</f>
        <v>0</v>
      </c>
      <c r="P33" s="1176"/>
      <c r="Q33" s="28"/>
    </row>
    <row r="34" spans="1:17" s="36" customFormat="1" ht="15" customHeight="1">
      <c r="A34" s="746"/>
      <c r="B34" s="716" t="s">
        <v>212</v>
      </c>
      <c r="C34" s="711"/>
      <c r="D34" s="2373"/>
      <c r="E34" s="2373"/>
      <c r="F34" s="4381"/>
      <c r="G34" s="4382" t="s">
        <v>163</v>
      </c>
      <c r="H34" s="1191"/>
      <c r="I34" s="1190"/>
      <c r="J34" s="1041">
        <f>SUM(I36:I42)</f>
        <v>0</v>
      </c>
      <c r="K34" s="1193"/>
      <c r="L34" s="1192"/>
      <c r="M34" s="1044">
        <f>SUM(L36:L42)</f>
        <v>0</v>
      </c>
      <c r="N34" s="1191"/>
      <c r="O34" s="1190"/>
      <c r="P34" s="1041">
        <f>SUM(O36:O42)</f>
        <v>0</v>
      </c>
      <c r="Q34" s="28"/>
    </row>
    <row r="35" spans="1:17" s="36" customFormat="1" ht="15" customHeight="1">
      <c r="A35" s="746"/>
      <c r="B35" s="1040"/>
      <c r="C35" s="1039" t="s">
        <v>837</v>
      </c>
      <c r="D35" s="1110">
        <f>SDÖ1!$O$11</f>
        <v>0</v>
      </c>
      <c r="E35" s="1037"/>
      <c r="F35" s="1033" t="s">
        <v>239</v>
      </c>
      <c r="G35" s="1109" t="s">
        <v>836</v>
      </c>
      <c r="H35" s="1186" t="s">
        <v>857</v>
      </c>
      <c r="I35" s="1027" t="s">
        <v>163</v>
      </c>
      <c r="J35" s="1189"/>
      <c r="K35" s="1188" t="s">
        <v>857</v>
      </c>
      <c r="L35" s="1030" t="s">
        <v>163</v>
      </c>
      <c r="M35" s="1187"/>
      <c r="N35" s="1186" t="s">
        <v>857</v>
      </c>
      <c r="O35" s="1027" t="s">
        <v>163</v>
      </c>
      <c r="P35" s="1026"/>
      <c r="Q35" s="28"/>
    </row>
    <row r="36" spans="1:17" s="36" customFormat="1" ht="15" customHeight="1">
      <c r="A36" s="746"/>
      <c r="B36" s="1021"/>
      <c r="C36" s="4389"/>
      <c r="D36" s="4389"/>
      <c r="E36" s="4390"/>
      <c r="F36" s="1183">
        <f>IF(C36=0,0,VLOOKUP(C36,SDÖ5!$C$7:$D$16,2,FALSE))</f>
        <v>0</v>
      </c>
      <c r="G36" s="1183">
        <f t="shared" ref="G36:G42" si="0">F36*(100+$D$35)/100</f>
        <v>0</v>
      </c>
      <c r="H36" s="1182"/>
      <c r="I36" s="1181">
        <f t="shared" ref="I36:I42" si="1">$G36*H36</f>
        <v>0</v>
      </c>
      <c r="J36" s="39"/>
      <c r="K36" s="1182"/>
      <c r="L36" s="1023">
        <f t="shared" ref="L36:L42" si="2">$G36*K36</f>
        <v>0</v>
      </c>
      <c r="M36" s="1016"/>
      <c r="N36" s="1182"/>
      <c r="O36" s="1181">
        <f t="shared" ref="O36:O42" si="3">$G36*N36</f>
        <v>0</v>
      </c>
      <c r="P36" s="1185"/>
      <c r="Q36" s="28"/>
    </row>
    <row r="37" spans="1:17" s="36" customFormat="1" ht="15" customHeight="1">
      <c r="A37" s="746"/>
      <c r="B37" s="1021"/>
      <c r="C37" s="4375"/>
      <c r="D37" s="4375"/>
      <c r="E37" s="4376"/>
      <c r="F37" s="1183">
        <f>IF(C37=0,0,VLOOKUP(C37,SDÖ5!$C$7:$D$16,2,FALSE))</f>
        <v>0</v>
      </c>
      <c r="G37" s="1183">
        <f t="shared" si="0"/>
        <v>0</v>
      </c>
      <c r="H37" s="1182"/>
      <c r="I37" s="1181">
        <f t="shared" si="1"/>
        <v>0</v>
      </c>
      <c r="J37" s="39"/>
      <c r="K37" s="1182"/>
      <c r="L37" s="1023">
        <f t="shared" si="2"/>
        <v>0</v>
      </c>
      <c r="M37" s="1016"/>
      <c r="N37" s="1182"/>
      <c r="O37" s="1181">
        <f t="shared" si="3"/>
        <v>0</v>
      </c>
      <c r="P37" s="1145"/>
      <c r="Q37" s="28"/>
    </row>
    <row r="38" spans="1:17" s="36" customFormat="1" ht="15" hidden="1" customHeight="1">
      <c r="A38" s="746"/>
      <c r="B38" s="1184"/>
      <c r="C38" s="4375"/>
      <c r="D38" s="4375"/>
      <c r="E38" s="4376"/>
      <c r="F38" s="1183">
        <f>IF(C38=0,0,VLOOKUP(C38,SDÖ5!$C$7:$D$16,2,FALSE))</f>
        <v>0</v>
      </c>
      <c r="G38" s="1183">
        <f t="shared" si="0"/>
        <v>0</v>
      </c>
      <c r="H38" s="1182"/>
      <c r="I38" s="1181">
        <f t="shared" si="1"/>
        <v>0</v>
      </c>
      <c r="J38" s="39"/>
      <c r="K38" s="1182"/>
      <c r="L38" s="1023">
        <f t="shared" si="2"/>
        <v>0</v>
      </c>
      <c r="M38" s="1016"/>
      <c r="N38" s="1182"/>
      <c r="O38" s="1181">
        <f t="shared" si="3"/>
        <v>0</v>
      </c>
      <c r="P38" s="1145"/>
      <c r="Q38" s="28"/>
    </row>
    <row r="39" spans="1:17" s="36" customFormat="1" ht="15" hidden="1" customHeight="1">
      <c r="A39" s="746"/>
      <c r="B39" s="1021"/>
      <c r="C39" s="4375">
        <v>0</v>
      </c>
      <c r="D39" s="4375"/>
      <c r="E39" s="4376"/>
      <c r="F39" s="1183">
        <f>IF(C39=0,0,VLOOKUP(C39,SDÖ5!$C$7:$D$16,2,FALSE))</f>
        <v>0</v>
      </c>
      <c r="G39" s="1183">
        <f t="shared" si="0"/>
        <v>0</v>
      </c>
      <c r="H39" s="1182"/>
      <c r="I39" s="1181">
        <f t="shared" si="1"/>
        <v>0</v>
      </c>
      <c r="J39" s="39"/>
      <c r="K39" s="1182"/>
      <c r="L39" s="1023">
        <f t="shared" si="2"/>
        <v>0</v>
      </c>
      <c r="M39" s="1016"/>
      <c r="N39" s="1182"/>
      <c r="O39" s="1181">
        <f t="shared" si="3"/>
        <v>0</v>
      </c>
      <c r="P39" s="1145"/>
      <c r="Q39" s="28"/>
    </row>
    <row r="40" spans="1:17" s="36" customFormat="1" ht="15" hidden="1" customHeight="1">
      <c r="A40" s="746"/>
      <c r="B40" s="1021"/>
      <c r="C40" s="4375"/>
      <c r="D40" s="4375"/>
      <c r="E40" s="4376"/>
      <c r="F40" s="1183">
        <f>IF(C40=0,0,VLOOKUP(C40,SDÖ5!$C$7:$D$16,2,FALSE))</f>
        <v>0</v>
      </c>
      <c r="G40" s="1183">
        <f t="shared" si="0"/>
        <v>0</v>
      </c>
      <c r="H40" s="1182"/>
      <c r="I40" s="1181">
        <f t="shared" si="1"/>
        <v>0</v>
      </c>
      <c r="J40" s="39"/>
      <c r="K40" s="1182"/>
      <c r="L40" s="1023">
        <f t="shared" si="2"/>
        <v>0</v>
      </c>
      <c r="M40" s="1016"/>
      <c r="N40" s="1182"/>
      <c r="O40" s="1181">
        <f t="shared" si="3"/>
        <v>0</v>
      </c>
      <c r="P40" s="1145"/>
      <c r="Q40" s="28"/>
    </row>
    <row r="41" spans="1:17" s="36" customFormat="1" ht="15" hidden="1" customHeight="1">
      <c r="A41" s="746"/>
      <c r="B41" s="1021"/>
      <c r="C41" s="4375"/>
      <c r="D41" s="4375"/>
      <c r="E41" s="4376"/>
      <c r="F41" s="1183">
        <f>IF(C41=0,0,VLOOKUP(C41,SDÖ5!$C$7:$D$16,2,FALSE))</f>
        <v>0</v>
      </c>
      <c r="G41" s="1183">
        <f t="shared" si="0"/>
        <v>0</v>
      </c>
      <c r="H41" s="1182"/>
      <c r="I41" s="1181">
        <f t="shared" si="1"/>
        <v>0</v>
      </c>
      <c r="J41" s="39"/>
      <c r="K41" s="1182"/>
      <c r="L41" s="1023">
        <f t="shared" si="2"/>
        <v>0</v>
      </c>
      <c r="M41" s="1016"/>
      <c r="N41" s="1182"/>
      <c r="O41" s="1181">
        <f t="shared" si="3"/>
        <v>0</v>
      </c>
      <c r="P41" s="1145"/>
      <c r="Q41" s="28"/>
    </row>
    <row r="42" spans="1:17" s="511" customFormat="1" ht="18.75" customHeight="1">
      <c r="A42" s="711"/>
      <c r="B42" s="1180"/>
      <c r="C42" s="4361"/>
      <c r="D42" s="4361"/>
      <c r="E42" s="4362"/>
      <c r="F42" s="1179">
        <f>IF(C42=0,0,VLOOKUP(C42,SDÖ5!$C$7:$D$16,2,FALSE))</f>
        <v>0</v>
      </c>
      <c r="G42" s="1179">
        <f t="shared" si="0"/>
        <v>0</v>
      </c>
      <c r="H42" s="1178"/>
      <c r="I42" s="1177">
        <f t="shared" si="1"/>
        <v>0</v>
      </c>
      <c r="J42" s="39"/>
      <c r="K42" s="1178"/>
      <c r="L42" s="1017">
        <f t="shared" si="2"/>
        <v>0</v>
      </c>
      <c r="M42" s="1016"/>
      <c r="N42" s="1178"/>
      <c r="O42" s="1177">
        <f t="shared" si="3"/>
        <v>0</v>
      </c>
      <c r="P42" s="1176"/>
      <c r="Q42" s="28"/>
    </row>
    <row r="43" spans="1:17" s="36" customFormat="1" ht="15" customHeight="1">
      <c r="A43" s="746"/>
      <c r="B43" s="716" t="s">
        <v>856</v>
      </c>
      <c r="C43" s="711"/>
      <c r="D43" s="711"/>
      <c r="E43" s="711"/>
      <c r="F43" s="711"/>
      <c r="G43" s="1047"/>
      <c r="H43" s="1173"/>
      <c r="I43" s="1172"/>
      <c r="J43" s="1041" t="e">
        <f>SUM(J46:J57)</f>
        <v>#N/A</v>
      </c>
      <c r="K43" s="1175"/>
      <c r="L43" s="1174"/>
      <c r="M43" s="1044" t="e">
        <f>SUM(M46:M57)</f>
        <v>#N/A</v>
      </c>
      <c r="N43" s="1173"/>
      <c r="O43" s="1172"/>
      <c r="P43" s="1041" t="e">
        <f>SUM(P46:P57)</f>
        <v>#N/A</v>
      </c>
      <c r="Q43" s="28"/>
    </row>
    <row r="44" spans="1:17" s="36" customFormat="1" ht="15" customHeight="1">
      <c r="A44" s="746"/>
      <c r="B44" s="774"/>
      <c r="C44" s="746" t="s">
        <v>855</v>
      </c>
      <c r="D44" s="746"/>
      <c r="E44" s="1171" t="s">
        <v>365</v>
      </c>
      <c r="F44" s="1170" t="s">
        <v>854</v>
      </c>
      <c r="G44" s="1169"/>
      <c r="H44" s="306" t="s">
        <v>853</v>
      </c>
      <c r="I44" s="1165" t="s">
        <v>852</v>
      </c>
      <c r="J44" s="1164"/>
      <c r="K44" s="1168" t="s">
        <v>853</v>
      </c>
      <c r="L44" s="1167" t="s">
        <v>852</v>
      </c>
      <c r="M44" s="1166"/>
      <c r="N44" s="306" t="s">
        <v>853</v>
      </c>
      <c r="O44" s="1165" t="s">
        <v>852</v>
      </c>
      <c r="P44" s="1164"/>
      <c r="Q44" s="28"/>
    </row>
    <row r="45" spans="1:17" s="36" customFormat="1" ht="15" customHeight="1">
      <c r="A45" s="746"/>
      <c r="B45" s="400"/>
      <c r="C45" s="381"/>
      <c r="D45" s="1163"/>
      <c r="E45" s="1034" t="s">
        <v>1125</v>
      </c>
      <c r="F45" s="1034" t="s">
        <v>850</v>
      </c>
      <c r="G45" s="1034" t="s">
        <v>441</v>
      </c>
      <c r="H45" s="1159" t="s">
        <v>849</v>
      </c>
      <c r="I45" s="1033" t="s">
        <v>113</v>
      </c>
      <c r="J45" s="1158" t="s">
        <v>163</v>
      </c>
      <c r="K45" s="1162" t="s">
        <v>849</v>
      </c>
      <c r="L45" s="1161" t="s">
        <v>113</v>
      </c>
      <c r="M45" s="1160" t="s">
        <v>163</v>
      </c>
      <c r="N45" s="1159" t="s">
        <v>849</v>
      </c>
      <c r="O45" s="1033" t="s">
        <v>113</v>
      </c>
      <c r="P45" s="1158" t="s">
        <v>163</v>
      </c>
      <c r="Q45" s="28"/>
    </row>
    <row r="46" spans="1:17" s="36" customFormat="1" ht="15" customHeight="1">
      <c r="A46" s="746"/>
      <c r="B46" s="1153"/>
      <c r="C46" s="4387"/>
      <c r="D46" s="4388"/>
      <c r="E46" s="1152">
        <f>IF($C46=0,0,VLOOKUP($C46,'SD3'!$C$24:$O$71,4,FALSE))</f>
        <v>0</v>
      </c>
      <c r="F46" s="1151">
        <f>IF($C46=0,0,VLOOKUP($C46,'SD3'!$C$24:$O$71,12,FALSE))</f>
        <v>0</v>
      </c>
      <c r="G46" s="1150">
        <f>IF($C46=0,0,VLOOKUP($C46,'SD3'!$C$24:$O$71,13,FALSE))</f>
        <v>0</v>
      </c>
      <c r="H46" s="1147"/>
      <c r="I46" s="1146">
        <f t="shared" ref="I46:I56" si="4">$F46*H46</f>
        <v>0</v>
      </c>
      <c r="J46" s="1145">
        <f t="shared" ref="J46:J56" si="5">H46*$G46</f>
        <v>0</v>
      </c>
      <c r="K46" s="1147"/>
      <c r="L46" s="1149">
        <f t="shared" ref="L46:L56" si="6">$F46*K46</f>
        <v>0</v>
      </c>
      <c r="M46" s="1148">
        <f t="shared" ref="M46:M56" si="7">K46*$G46</f>
        <v>0</v>
      </c>
      <c r="N46" s="1147"/>
      <c r="O46" s="1146">
        <f t="shared" ref="O46:O56" si="8">$F46*N46</f>
        <v>0</v>
      </c>
      <c r="P46" s="1145">
        <f t="shared" ref="P46:P56" si="9">N46*$G46</f>
        <v>0</v>
      </c>
      <c r="Q46" s="28"/>
    </row>
    <row r="47" spans="1:17" s="36" customFormat="1" ht="15" customHeight="1">
      <c r="A47" s="746"/>
      <c r="B47" s="1153"/>
      <c r="C47" s="4387" t="s">
        <v>1589</v>
      </c>
      <c r="D47" s="4388"/>
      <c r="E47" s="1152">
        <f>IF($C47=0,0,VLOOKUP($C47,'SD3'!$C$24:$O$71,4,FALSE))</f>
        <v>120</v>
      </c>
      <c r="F47" s="1151">
        <f>IF($C47=0,0,VLOOKUP($C47,'SD3'!$C$24:$O$71,12,FALSE))</f>
        <v>1.38</v>
      </c>
      <c r="G47" s="1150">
        <f>IF($C47=0,0,VLOOKUP($C47,'SD3'!$C$24:$O$71,13,FALSE))</f>
        <v>64.642445999999993</v>
      </c>
      <c r="H47" s="1147">
        <v>1</v>
      </c>
      <c r="I47" s="1146">
        <f t="shared" si="4"/>
        <v>1.38</v>
      </c>
      <c r="J47" s="1145">
        <f t="shared" si="5"/>
        <v>64.642445999999993</v>
      </c>
      <c r="K47" s="1147">
        <v>1</v>
      </c>
      <c r="L47" s="1149">
        <f t="shared" si="6"/>
        <v>1.38</v>
      </c>
      <c r="M47" s="1148">
        <f t="shared" si="7"/>
        <v>64.642445999999993</v>
      </c>
      <c r="N47" s="1147">
        <v>1</v>
      </c>
      <c r="O47" s="1146">
        <f t="shared" si="8"/>
        <v>1.38</v>
      </c>
      <c r="P47" s="1145">
        <f t="shared" si="9"/>
        <v>64.642445999999993</v>
      </c>
      <c r="Q47" s="28"/>
    </row>
    <row r="48" spans="1:17" s="36" customFormat="1" ht="15" customHeight="1">
      <c r="A48" s="746"/>
      <c r="B48" s="1153"/>
      <c r="C48" s="4387" t="s">
        <v>357</v>
      </c>
      <c r="D48" s="4388"/>
      <c r="E48" s="1152">
        <f>IF($C48=0,0,VLOOKUP($C48,'SD3'!$C$24:$O$71,4,FALSE))</f>
        <v>83</v>
      </c>
      <c r="F48" s="1151">
        <f>IF($C48=0,0,VLOOKUP($C48,'SD3'!$C$24:$O$71,12,FALSE))</f>
        <v>1.02</v>
      </c>
      <c r="G48" s="1150">
        <f>IF($C48=0,0,VLOOKUP($C48,'SD3'!$C$24:$O$71,13,FALSE))</f>
        <v>29.5819738</v>
      </c>
      <c r="H48" s="1147">
        <v>1</v>
      </c>
      <c r="I48" s="1146">
        <f t="shared" si="4"/>
        <v>1.02</v>
      </c>
      <c r="J48" s="1145">
        <f t="shared" si="5"/>
        <v>29.5819738</v>
      </c>
      <c r="K48" s="1147">
        <v>1</v>
      </c>
      <c r="L48" s="1149">
        <f t="shared" si="6"/>
        <v>1.02</v>
      </c>
      <c r="M48" s="1148">
        <f t="shared" si="7"/>
        <v>29.5819738</v>
      </c>
      <c r="N48" s="1147">
        <v>1</v>
      </c>
      <c r="O48" s="1146">
        <f t="shared" si="8"/>
        <v>1.02</v>
      </c>
      <c r="P48" s="1145">
        <f t="shared" si="9"/>
        <v>29.5819738</v>
      </c>
      <c r="Q48" s="28"/>
    </row>
    <row r="49" spans="1:17" s="36" customFormat="1" ht="15" customHeight="1">
      <c r="A49" s="746"/>
      <c r="B49" s="1153"/>
      <c r="C49" s="4387" t="s">
        <v>352</v>
      </c>
      <c r="D49" s="4388"/>
      <c r="E49" s="1152">
        <f>IF($C49=0,0,VLOOKUP($C49,'SD3'!$C$24:$O$71,4,FALSE))</f>
        <v>54</v>
      </c>
      <c r="F49" s="1151">
        <f>IF($C49=0,0,VLOOKUP($C49,'SD3'!$C$24:$O$71,12,FALSE))</f>
        <v>0.59</v>
      </c>
      <c r="G49" s="1150">
        <f>IF($C49=0,0,VLOOKUP($C49,'SD3'!$C$24:$O$71,13,FALSE))</f>
        <v>11.754965899999998</v>
      </c>
      <c r="H49" s="1147">
        <v>1</v>
      </c>
      <c r="I49" s="1146">
        <f t="shared" si="4"/>
        <v>0.59</v>
      </c>
      <c r="J49" s="1145">
        <f t="shared" si="5"/>
        <v>11.754965899999998</v>
      </c>
      <c r="K49" s="1147">
        <v>1</v>
      </c>
      <c r="L49" s="1149">
        <f t="shared" si="6"/>
        <v>0.59</v>
      </c>
      <c r="M49" s="1148">
        <f t="shared" si="7"/>
        <v>11.754965899999998</v>
      </c>
      <c r="N49" s="1147">
        <v>1</v>
      </c>
      <c r="O49" s="1146">
        <f t="shared" si="8"/>
        <v>0.59</v>
      </c>
      <c r="P49" s="1145">
        <f t="shared" si="9"/>
        <v>11.754965899999998</v>
      </c>
      <c r="Q49" s="28"/>
    </row>
    <row r="50" spans="1:17" s="36" customFormat="1" ht="15" customHeight="1">
      <c r="A50" s="746"/>
      <c r="B50" s="1153"/>
      <c r="C50" s="4387"/>
      <c r="D50" s="4388"/>
      <c r="E50" s="1152">
        <f>IF($C50=0,0,VLOOKUP($C50,'SD3'!$C$24:$O$71,4,FALSE))</f>
        <v>0</v>
      </c>
      <c r="F50" s="1151">
        <f>IF($C50=0,0,VLOOKUP($C50,'SD3'!$C$24:$O$71,12,FALSE))</f>
        <v>0</v>
      </c>
      <c r="G50" s="1150">
        <f>IF($C50=0,0,VLOOKUP($C50,'SD3'!$C$24:$O$71,13,FALSE))</f>
        <v>0</v>
      </c>
      <c r="H50" s="1147"/>
      <c r="I50" s="1146">
        <f t="shared" si="4"/>
        <v>0</v>
      </c>
      <c r="J50" s="1145">
        <f t="shared" si="5"/>
        <v>0</v>
      </c>
      <c r="K50" s="1147"/>
      <c r="L50" s="1149">
        <f t="shared" si="6"/>
        <v>0</v>
      </c>
      <c r="M50" s="1148">
        <f t="shared" si="7"/>
        <v>0</v>
      </c>
      <c r="N50" s="1147"/>
      <c r="O50" s="1146">
        <f t="shared" si="8"/>
        <v>0</v>
      </c>
      <c r="P50" s="1145">
        <f t="shared" si="9"/>
        <v>0</v>
      </c>
      <c r="Q50" s="28"/>
    </row>
    <row r="51" spans="1:17" s="36" customFormat="1" ht="15" customHeight="1">
      <c r="A51" s="746"/>
      <c r="B51" s="1153"/>
      <c r="C51" s="4387" t="s">
        <v>338</v>
      </c>
      <c r="D51" s="4388"/>
      <c r="E51" s="1152">
        <f>IF($C51=0,0,VLOOKUP($C51,'SD3'!$C$24:$O$71,4,FALSE))</f>
        <v>54</v>
      </c>
      <c r="F51" s="1151">
        <f>IF($C51=0,0,VLOOKUP($C51,'SD3'!$C$24:$O$71,12,FALSE))</f>
        <v>1.1299999999999999</v>
      </c>
      <c r="G51" s="1150">
        <f>IF($C51=0,0,VLOOKUP($C51,'SD3'!$C$24:$O$71,13,FALSE))</f>
        <v>19.852731299999999</v>
      </c>
      <c r="H51" s="1147">
        <v>2</v>
      </c>
      <c r="I51" s="1146">
        <f t="shared" si="4"/>
        <v>2.2599999999999998</v>
      </c>
      <c r="J51" s="1145">
        <f t="shared" si="5"/>
        <v>39.705462599999997</v>
      </c>
      <c r="K51" s="1147">
        <v>2</v>
      </c>
      <c r="L51" s="1149">
        <f t="shared" si="6"/>
        <v>2.2599999999999998</v>
      </c>
      <c r="M51" s="1148">
        <f t="shared" si="7"/>
        <v>39.705462599999997</v>
      </c>
      <c r="N51" s="1147">
        <v>2</v>
      </c>
      <c r="O51" s="1146">
        <f t="shared" si="8"/>
        <v>2.2599999999999998</v>
      </c>
      <c r="P51" s="1145">
        <f t="shared" si="9"/>
        <v>39.705462599999997</v>
      </c>
      <c r="Q51" s="28"/>
    </row>
    <row r="52" spans="1:17" s="36" customFormat="1" ht="15" customHeight="1">
      <c r="A52" s="746"/>
      <c r="B52" s="1153"/>
      <c r="C52" s="4387" t="s">
        <v>360</v>
      </c>
      <c r="D52" s="4388"/>
      <c r="E52" s="1152">
        <f>IF($C52=0,0,VLOOKUP($C52,'SD3'!$C$24:$O$71,4,FALSE))</f>
        <v>120</v>
      </c>
      <c r="F52" s="1151">
        <f>IF($C52=0,0,VLOOKUP($C52,'SD3'!$C$24:$O$71,12,FALSE))</f>
        <v>0.79</v>
      </c>
      <c r="G52" s="1150">
        <f>IF($C52=0,0,VLOOKUP($C52,'SD3'!$C$24:$O$71,13,FALSE))</f>
        <v>27.987262000000001</v>
      </c>
      <c r="H52" s="1147">
        <v>1</v>
      </c>
      <c r="I52" s="1146">
        <f t="shared" si="4"/>
        <v>0.79</v>
      </c>
      <c r="J52" s="1145">
        <f t="shared" si="5"/>
        <v>27.987262000000001</v>
      </c>
      <c r="K52" s="1147">
        <v>1</v>
      </c>
      <c r="L52" s="1149">
        <f t="shared" si="6"/>
        <v>0.79</v>
      </c>
      <c r="M52" s="1148">
        <f t="shared" si="7"/>
        <v>27.987262000000001</v>
      </c>
      <c r="N52" s="1147">
        <v>1</v>
      </c>
      <c r="O52" s="1146">
        <f t="shared" si="8"/>
        <v>0.79</v>
      </c>
      <c r="P52" s="1145">
        <f t="shared" si="9"/>
        <v>27.987262000000001</v>
      </c>
      <c r="Q52" s="28"/>
    </row>
    <row r="53" spans="1:17" s="36" customFormat="1" ht="15" customHeight="1">
      <c r="A53" s="746"/>
      <c r="B53" s="1153"/>
      <c r="C53" s="4387" t="s">
        <v>359</v>
      </c>
      <c r="D53" s="4388"/>
      <c r="E53" s="1152">
        <f>IF($C53=0,0,VLOOKUP($C53,'SD3'!$C$24:$O$71,4,FALSE))</f>
        <v>120</v>
      </c>
      <c r="F53" s="1151">
        <f>IF($C53=0,0,VLOOKUP($C53,'SD3'!$C$24:$O$71,12,FALSE))</f>
        <v>0.54</v>
      </c>
      <c r="G53" s="1150">
        <f>IF($C53=0,0,VLOOKUP($C53,'SD3'!$C$24:$O$71,13,FALSE))</f>
        <v>21.712812</v>
      </c>
      <c r="H53" s="1147">
        <v>1</v>
      </c>
      <c r="I53" s="1146">
        <f t="shared" si="4"/>
        <v>0.54</v>
      </c>
      <c r="J53" s="1145">
        <f t="shared" si="5"/>
        <v>21.712812</v>
      </c>
      <c r="K53" s="1147">
        <v>1</v>
      </c>
      <c r="L53" s="1149">
        <f t="shared" si="6"/>
        <v>0.54</v>
      </c>
      <c r="M53" s="1148">
        <f t="shared" si="7"/>
        <v>21.712812</v>
      </c>
      <c r="N53" s="1147">
        <v>1</v>
      </c>
      <c r="O53" s="1146">
        <f t="shared" si="8"/>
        <v>0.54</v>
      </c>
      <c r="P53" s="1145">
        <f t="shared" si="9"/>
        <v>21.712812</v>
      </c>
      <c r="Q53" s="28"/>
    </row>
    <row r="54" spans="1:17" s="36" customFormat="1" ht="15" customHeight="1">
      <c r="A54" s="746"/>
      <c r="B54" s="1153"/>
      <c r="C54" s="4387" t="s">
        <v>1592</v>
      </c>
      <c r="D54" s="4388"/>
      <c r="E54" s="1152">
        <f>IF($C54=0,0,VLOOKUP($C54,'SD3'!$C$24:$O$71,4,FALSE))</f>
        <v>54</v>
      </c>
      <c r="F54" s="1151">
        <f>IF($C54=0,0,VLOOKUP($C54,'SD3'!$C$24:$O$71,12,FALSE))</f>
        <v>0.33</v>
      </c>
      <c r="G54" s="1150">
        <f>IF($C54=0,0,VLOOKUP($C54,'SD3'!$C$24:$O$71,13,FALSE))</f>
        <v>5.13126631</v>
      </c>
      <c r="H54" s="1147">
        <v>1</v>
      </c>
      <c r="I54" s="1146">
        <f t="shared" si="4"/>
        <v>0.33</v>
      </c>
      <c r="J54" s="1145">
        <f t="shared" si="5"/>
        <v>5.13126631</v>
      </c>
      <c r="K54" s="1147"/>
      <c r="L54" s="1149">
        <f t="shared" si="6"/>
        <v>0</v>
      </c>
      <c r="M54" s="1148">
        <f t="shared" si="7"/>
        <v>0</v>
      </c>
      <c r="N54" s="1147"/>
      <c r="O54" s="1146">
        <f t="shared" si="8"/>
        <v>0</v>
      </c>
      <c r="P54" s="1145">
        <f t="shared" si="9"/>
        <v>0</v>
      </c>
      <c r="Q54" s="28"/>
    </row>
    <row r="55" spans="1:17" s="36" customFormat="1" ht="15" customHeight="1">
      <c r="A55" s="746"/>
      <c r="B55" s="1153"/>
      <c r="C55" s="4387" t="s">
        <v>1593</v>
      </c>
      <c r="D55" s="4388"/>
      <c r="E55" s="1152" t="e">
        <f>IF($C55=0,0,VLOOKUP($C55,'SD3'!$C$24:$O$71,4,FALSE))</f>
        <v>#N/A</v>
      </c>
      <c r="F55" s="1151" t="e">
        <f>IF($C55=0,0,VLOOKUP($C55,'SD3'!$C$24:$O$71,12,FALSE))</f>
        <v>#N/A</v>
      </c>
      <c r="G55" s="1150" t="e">
        <f>IF($C55=0,0,VLOOKUP($C55,'SD3'!$C$24:$O$71,13,FALSE))</f>
        <v>#N/A</v>
      </c>
      <c r="H55" s="1147">
        <v>0.55000000000000004</v>
      </c>
      <c r="I55" s="1146" t="e">
        <f t="shared" si="4"/>
        <v>#N/A</v>
      </c>
      <c r="J55" s="1145" t="e">
        <f t="shared" si="5"/>
        <v>#N/A</v>
      </c>
      <c r="K55" s="1147">
        <v>0.77499999999999991</v>
      </c>
      <c r="L55" s="1149" t="e">
        <f t="shared" si="6"/>
        <v>#N/A</v>
      </c>
      <c r="M55" s="1148" t="e">
        <f t="shared" si="7"/>
        <v>#N/A</v>
      </c>
      <c r="N55" s="1147">
        <v>0.95</v>
      </c>
      <c r="O55" s="1146" t="e">
        <f t="shared" si="8"/>
        <v>#N/A</v>
      </c>
      <c r="P55" s="1145" t="e">
        <f t="shared" si="9"/>
        <v>#N/A</v>
      </c>
      <c r="Q55" s="28"/>
    </row>
    <row r="56" spans="1:17" s="36" customFormat="1" ht="13.8">
      <c r="A56" s="746"/>
      <c r="B56" s="1342"/>
      <c r="C56" s="4394"/>
      <c r="D56" s="4395"/>
      <c r="E56" s="1152">
        <f>IF($C56=0,0,VLOOKUP($C56,'SD3'!$C$24:$O$71,4,FALSE))</f>
        <v>0</v>
      </c>
      <c r="F56" s="1151">
        <f>IF($C56=0,0,VLOOKUP($C56,'SD3'!$C$24:$O$71,12,FALSE))</f>
        <v>0</v>
      </c>
      <c r="G56" s="1150">
        <f>IF($C56=0,0,VLOOKUP($C56,'SD3'!$C$24:$O$71,13,FALSE))</f>
        <v>0</v>
      </c>
      <c r="H56" s="1336"/>
      <c r="I56" s="1335">
        <f t="shared" si="4"/>
        <v>0</v>
      </c>
      <c r="J56" s="1334">
        <f t="shared" si="5"/>
        <v>0</v>
      </c>
      <c r="K56" s="1336"/>
      <c r="L56" s="1338">
        <f t="shared" si="6"/>
        <v>0</v>
      </c>
      <c r="M56" s="1337">
        <f t="shared" si="7"/>
        <v>0</v>
      </c>
      <c r="N56" s="1336"/>
      <c r="O56" s="1335">
        <f t="shared" si="8"/>
        <v>0</v>
      </c>
      <c r="P56" s="1334">
        <f t="shared" si="9"/>
        <v>0</v>
      </c>
      <c r="Q56" s="28"/>
    </row>
    <row r="57" spans="1:17" s="36" customFormat="1" ht="24.75" customHeight="1">
      <c r="A57" s="746"/>
      <c r="B57" s="1084"/>
      <c r="C57" s="4401"/>
      <c r="D57" s="4402"/>
      <c r="E57" s="2589">
        <f>IF($C57=0,0,VLOOKUP($C57,'SD3'!$C$24:$O$71,4,FALSE))</f>
        <v>0</v>
      </c>
      <c r="F57" s="2590">
        <f>IF($C57=0,0,VLOOKUP($C57,'SD3'!$C$24:$O$71,12,FALSE))</f>
        <v>0</v>
      </c>
      <c r="G57" s="2591">
        <f>IF($C57=0,0,VLOOKUP($C57,'SD3'!$C$24:$O$71,13,FALSE))</f>
        <v>0</v>
      </c>
      <c r="H57" s="1131"/>
      <c r="I57" s="1130" t="e">
        <f>SUM(I44:I56)</f>
        <v>#N/A</v>
      </c>
      <c r="J57" s="1129"/>
      <c r="K57" s="1131"/>
      <c r="L57" s="1132" t="e">
        <f>SUM(L44:L56)</f>
        <v>#N/A</v>
      </c>
      <c r="M57" s="1079"/>
      <c r="N57" s="1131"/>
      <c r="O57" s="1130" t="e">
        <f>SUM(O44:O56)</f>
        <v>#N/A</v>
      </c>
      <c r="P57" s="1129"/>
      <c r="Q57" s="28"/>
    </row>
    <row r="58" spans="1:17" s="511" customFormat="1" ht="18.75" customHeight="1">
      <c r="A58" s="711"/>
      <c r="B58" s="716" t="s">
        <v>848</v>
      </c>
      <c r="C58" s="811"/>
      <c r="D58" s="811"/>
      <c r="E58" s="811"/>
      <c r="F58" s="34"/>
      <c r="G58" s="1047"/>
      <c r="H58" s="1124"/>
      <c r="I58" s="1123" t="e">
        <f>SUM($I$46:$I$57)</f>
        <v>#N/A</v>
      </c>
      <c r="J58" s="1128"/>
      <c r="K58" s="1127"/>
      <c r="L58" s="1126" t="e">
        <f>SUM($L$46:$L$57)</f>
        <v>#N/A</v>
      </c>
      <c r="M58" s="1125"/>
      <c r="N58" s="1124"/>
      <c r="O58" s="1123" t="e">
        <f>SUM($O$46:$O$57)</f>
        <v>#N/A</v>
      </c>
      <c r="P58" s="1122"/>
      <c r="Q58" s="28"/>
    </row>
    <row r="59" spans="1:17" s="511" customFormat="1" ht="15" customHeight="1">
      <c r="A59" s="711"/>
      <c r="B59" s="1121"/>
      <c r="C59" s="285"/>
      <c r="D59" s="222" t="s">
        <v>847</v>
      </c>
      <c r="E59" s="1120">
        <v>80</v>
      </c>
      <c r="F59" s="285" t="s">
        <v>846</v>
      </c>
      <c r="G59" s="1119"/>
      <c r="H59" s="1115"/>
      <c r="I59" s="1114" t="e">
        <f>IF(I58+SUM($I$46:$I$57)*$E$59%&gt;I58+10,I58+10,I58+SUM($I$46:$I$57)*$E$59%)</f>
        <v>#N/A</v>
      </c>
      <c r="J59" s="1113"/>
      <c r="K59" s="1118"/>
      <c r="L59" s="1117" t="e">
        <f>IF(L58+SUM($L$46:$L$57)*$E$59%&gt;L58+10,L58+10,L58+SUM($L$46:$L$57)*$E$59%)</f>
        <v>#N/A</v>
      </c>
      <c r="M59" s="1116"/>
      <c r="N59" s="1115"/>
      <c r="O59" s="1114" t="e">
        <f>IF(O58+SUM($O$46:$O$57)*$E$59%&gt;O58+10,O58+10,O58+SUM($O$46:$O$57)*$E$59%)</f>
        <v>#N/A</v>
      </c>
      <c r="P59" s="1113"/>
      <c r="Q59" s="28"/>
    </row>
    <row r="60" spans="1:17" s="46" customFormat="1" ht="18.75" customHeight="1">
      <c r="A60" s="811"/>
      <c r="B60" s="716" t="s">
        <v>845</v>
      </c>
      <c r="C60" s="811"/>
      <c r="D60" s="811"/>
      <c r="E60" s="39"/>
      <c r="F60" s="39"/>
      <c r="G60" s="1112"/>
      <c r="H60" s="1104"/>
      <c r="I60" s="1103"/>
      <c r="J60" s="1111">
        <f>IF(J6=0,0,SUM(I62:I64))</f>
        <v>208.845</v>
      </c>
      <c r="K60" s="1107"/>
      <c r="L60" s="1106"/>
      <c r="M60" s="1044">
        <f>IF(M6=0,0,SUM(L62:L64))</f>
        <v>208.845</v>
      </c>
      <c r="N60" s="1104"/>
      <c r="O60" s="1103"/>
      <c r="P60" s="1111">
        <f>IF(P6=0,0,SUM(O62:O64))</f>
        <v>208.845</v>
      </c>
      <c r="Q60" s="28"/>
    </row>
    <row r="61" spans="1:17" s="46" customFormat="1" ht="15" customHeight="1">
      <c r="A61" s="811"/>
      <c r="B61" s="1040"/>
      <c r="C61" s="1039" t="s">
        <v>837</v>
      </c>
      <c r="D61" s="1110">
        <f>SDÖ1!$N$11</f>
        <v>19</v>
      </c>
      <c r="E61" s="1037"/>
      <c r="F61" s="1033" t="s">
        <v>239</v>
      </c>
      <c r="G61" s="1109" t="s">
        <v>836</v>
      </c>
      <c r="H61" s="1104"/>
      <c r="I61" s="1103"/>
      <c r="J61" s="1108"/>
      <c r="K61" s="1107"/>
      <c r="L61" s="1106"/>
      <c r="M61" s="1105"/>
      <c r="N61" s="1104"/>
      <c r="O61" s="1103"/>
      <c r="P61" s="1102"/>
      <c r="Q61" s="28"/>
    </row>
    <row r="62" spans="1:17" s="36" customFormat="1" ht="18.75" customHeight="1">
      <c r="A62" s="746"/>
      <c r="B62" s="1021"/>
      <c r="C62" s="4365" t="s">
        <v>296</v>
      </c>
      <c r="D62" s="4365"/>
      <c r="E62" s="4365"/>
      <c r="F62" s="1101">
        <f>IF($C62=0,0,VLOOKUP($C62,'SD3'!$C$90:$D$104,2,FALSE))</f>
        <v>175.5</v>
      </c>
      <c r="G62" s="1100">
        <f>(100+$D$61)/100*F62</f>
        <v>208.845</v>
      </c>
      <c r="H62" s="173"/>
      <c r="I62" s="1096">
        <f>$G$62</f>
        <v>208.845</v>
      </c>
      <c r="J62" s="173"/>
      <c r="K62" s="1099"/>
      <c r="L62" s="1098">
        <f>$G$62</f>
        <v>208.845</v>
      </c>
      <c r="M62" s="1016"/>
      <c r="N62" s="1097"/>
      <c r="O62" s="1096">
        <f>$G$62</f>
        <v>208.845</v>
      </c>
      <c r="P62" s="1095"/>
      <c r="Q62" s="28"/>
    </row>
    <row r="63" spans="1:17" s="36" customFormat="1" ht="13.2" customHeight="1">
      <c r="A63" s="746"/>
      <c r="B63" s="1094"/>
      <c r="C63" s="4397"/>
      <c r="D63" s="4397"/>
      <c r="E63" s="4398"/>
      <c r="F63" s="1093">
        <f>IF($C63=0,0,VLOOKUP($C63,'SD3'!$C$90:$D$104,2,FALSE))</f>
        <v>0</v>
      </c>
      <c r="G63" s="1092">
        <f>(100+$D$61)/100*F63</f>
        <v>0</v>
      </c>
      <c r="H63" s="1091"/>
      <c r="I63" s="1086">
        <f>$G$63</f>
        <v>0</v>
      </c>
      <c r="J63" s="1091"/>
      <c r="K63" s="1090"/>
      <c r="L63" s="1089">
        <f>$G$63</f>
        <v>0</v>
      </c>
      <c r="M63" s="1088"/>
      <c r="N63" s="1087"/>
      <c r="O63" s="1086">
        <f>$G$63</f>
        <v>0</v>
      </c>
      <c r="P63" s="1085"/>
      <c r="Q63" s="28"/>
    </row>
    <row r="64" spans="1:17" s="36" customFormat="1" ht="15" customHeight="1">
      <c r="A64" s="746"/>
      <c r="B64" s="1084"/>
      <c r="C64" s="4396" t="s">
        <v>289</v>
      </c>
      <c r="D64" s="4396"/>
      <c r="E64" s="4396"/>
      <c r="F64" s="1083">
        <f>IF($T$3=FALSE,0,VLOOKUP($C64,'SD3'!$C$90:$D$104,2,FALSE))</f>
        <v>3.3</v>
      </c>
      <c r="G64" s="1082">
        <f>(100+$D$61)/100*F64</f>
        <v>3.9269999999999996</v>
      </c>
      <c r="H64" s="1078"/>
      <c r="I64" s="1077">
        <f>H11*$G$64</f>
        <v>0</v>
      </c>
      <c r="J64" s="173"/>
      <c r="K64" s="1081"/>
      <c r="L64" s="1080">
        <f>K11*$G$64</f>
        <v>0</v>
      </c>
      <c r="M64" s="1079"/>
      <c r="N64" s="1078"/>
      <c r="O64" s="1077">
        <f>N11*$G$64</f>
        <v>0</v>
      </c>
      <c r="P64" s="1076"/>
      <c r="Q64" s="28"/>
    </row>
    <row r="65" spans="1:20" s="36" customFormat="1" ht="15" customHeight="1">
      <c r="A65" s="746"/>
      <c r="B65" s="716" t="s">
        <v>844</v>
      </c>
      <c r="C65" s="711"/>
      <c r="D65" s="711"/>
      <c r="E65" s="711"/>
      <c r="F65" s="34"/>
      <c r="G65" s="1047"/>
      <c r="H65" s="51"/>
      <c r="I65" s="51"/>
      <c r="J65" s="1041">
        <f>H66*$E66</f>
        <v>0</v>
      </c>
      <c r="K65" s="1056"/>
      <c r="L65" s="1056"/>
      <c r="M65" s="1044">
        <f>K66*$E66</f>
        <v>0</v>
      </c>
      <c r="N65" s="51"/>
      <c r="O65" s="51"/>
      <c r="P65" s="1041">
        <f>N66*$E66</f>
        <v>0</v>
      </c>
      <c r="Q65" s="28"/>
    </row>
    <row r="66" spans="1:20" s="36" customFormat="1" ht="15" customHeight="1">
      <c r="A66" s="746"/>
      <c r="B66" s="1075"/>
      <c r="C66" s="815"/>
      <c r="D66" s="222" t="s">
        <v>691</v>
      </c>
      <c r="E66" s="1074"/>
      <c r="F66" s="1049"/>
      <c r="G66" s="1073" t="s">
        <v>362</v>
      </c>
      <c r="H66" s="1071"/>
      <c r="I66" s="1070"/>
      <c r="J66" s="1059"/>
      <c r="K66" s="1071"/>
      <c r="L66" s="1072"/>
      <c r="M66" s="1062"/>
      <c r="N66" s="1071"/>
      <c r="O66" s="1070"/>
      <c r="P66" s="1059"/>
      <c r="Q66" s="28"/>
    </row>
    <row r="67" spans="1:20" s="511" customFormat="1" ht="22.95" customHeight="1">
      <c r="A67" s="711"/>
      <c r="B67" s="716" t="s">
        <v>843</v>
      </c>
      <c r="C67" s="711"/>
      <c r="D67" s="711"/>
      <c r="E67" s="175"/>
      <c r="F67" s="1069"/>
      <c r="G67" s="1047"/>
      <c r="H67" s="1066" t="s">
        <v>842</v>
      </c>
      <c r="I67" s="1065" t="s">
        <v>841</v>
      </c>
      <c r="J67" s="1041">
        <f>R68*(H9+H10)*I68%+F68</f>
        <v>29.800000000000058</v>
      </c>
      <c r="K67" s="1068" t="s">
        <v>842</v>
      </c>
      <c r="L67" s="1067" t="s">
        <v>841</v>
      </c>
      <c r="M67" s="1044">
        <f>S68*(K9+K10)*L68%+F68</f>
        <v>66.240000000000151</v>
      </c>
      <c r="N67" s="1066" t="s">
        <v>842</v>
      </c>
      <c r="O67" s="1065" t="s">
        <v>841</v>
      </c>
      <c r="P67" s="1041">
        <f>T68*(N9+N10)*O68%+F68</f>
        <v>103.87000000000025</v>
      </c>
      <c r="Q67" s="28"/>
    </row>
    <row r="68" spans="1:20" s="511" customFormat="1" ht="15" customHeight="1">
      <c r="A68" s="711"/>
      <c r="B68" s="1064"/>
      <c r="C68" s="4393" t="s">
        <v>840</v>
      </c>
      <c r="D68" s="4393"/>
      <c r="E68" s="4393"/>
      <c r="F68" s="1063"/>
      <c r="G68" s="1054" t="s">
        <v>163</v>
      </c>
      <c r="H68" s="1061">
        <v>16</v>
      </c>
      <c r="I68" s="1060">
        <v>50</v>
      </c>
      <c r="J68" s="1059"/>
      <c r="K68" s="1061">
        <v>18</v>
      </c>
      <c r="L68" s="1060">
        <v>50</v>
      </c>
      <c r="M68" s="1062"/>
      <c r="N68" s="1061">
        <v>20</v>
      </c>
      <c r="O68" s="1060">
        <v>50</v>
      </c>
      <c r="P68" s="1059"/>
      <c r="Q68" s="28"/>
      <c r="R68" s="1373">
        <f>IF(H68=0,0,VLOOKUP(H68,'SD6'!J8:K156,'SD6'!K1))*(1+'SDK1'!O11/100)</f>
        <v>5.9600000000000115</v>
      </c>
      <c r="S68" s="1373">
        <f>IF(K68=0,0,VLOOKUP(K68,'SD6'!J8:K156,'SD6'!K1))*(1+'SDK1'!O11/100)</f>
        <v>7.3600000000000163</v>
      </c>
      <c r="T68" s="1372">
        <f>IF(N68=0,0,VLOOKUP(N68,'SD6'!J8:K156,'SD6'!K1))*(1+'SDK1'!O11/100)</f>
        <v>7.9900000000000189</v>
      </c>
    </row>
    <row r="69" spans="1:20" s="511" customFormat="1" ht="18.75" customHeight="1">
      <c r="A69" s="711"/>
      <c r="B69" s="716" t="s">
        <v>839</v>
      </c>
      <c r="C69" s="711"/>
      <c r="D69" s="711"/>
      <c r="E69" s="34"/>
      <c r="F69" s="34"/>
      <c r="G69" s="1047"/>
      <c r="H69" s="38"/>
      <c r="I69" s="51"/>
      <c r="J69" s="1041" t="e">
        <f>H70*$F70/1000</f>
        <v>#REF!</v>
      </c>
      <c r="K69" s="1057"/>
      <c r="L69" s="1056"/>
      <c r="M69" s="1044" t="e">
        <f>K70*$F70/1000</f>
        <v>#REF!</v>
      </c>
      <c r="N69" s="38"/>
      <c r="O69" s="51"/>
      <c r="P69" s="1041" t="e">
        <f>N70*$F70/1000</f>
        <v>#REF!</v>
      </c>
      <c r="Q69" s="28"/>
    </row>
    <row r="70" spans="1:20" s="511" customFormat="1" ht="15" customHeight="1">
      <c r="A70" s="711"/>
      <c r="B70" s="772"/>
      <c r="C70" s="771" t="s">
        <v>606</v>
      </c>
      <c r="D70" s="285"/>
      <c r="E70" s="222"/>
      <c r="F70" s="3226" t="e">
        <f>'SDK7'!#REF!</f>
        <v>#REF!</v>
      </c>
      <c r="G70" s="1054" t="s">
        <v>163</v>
      </c>
      <c r="H70" s="1050">
        <f>I9+I10</f>
        <v>760</v>
      </c>
      <c r="I70" s="1049"/>
      <c r="J70" s="1048"/>
      <c r="K70" s="1053">
        <f>L9+L10</f>
        <v>1368</v>
      </c>
      <c r="L70" s="1052"/>
      <c r="M70" s="1051"/>
      <c r="N70" s="1050">
        <f>O9+O10</f>
        <v>1976</v>
      </c>
      <c r="O70" s="1049"/>
      <c r="P70" s="1048"/>
      <c r="Q70" s="28"/>
    </row>
    <row r="71" spans="1:20" ht="18.75" customHeight="1">
      <c r="A71" s="309"/>
      <c r="B71" s="245" t="s">
        <v>838</v>
      </c>
      <c r="C71" s="309"/>
      <c r="D71" s="309"/>
      <c r="E71" s="175"/>
      <c r="F71" s="34"/>
      <c r="G71" s="1047"/>
      <c r="H71" s="1043"/>
      <c r="I71" s="1042"/>
      <c r="J71" s="1041">
        <f>SUM(I73:I74)</f>
        <v>0</v>
      </c>
      <c r="K71" s="1046"/>
      <c r="L71" s="1045"/>
      <c r="M71" s="1044">
        <f>SUM(L73:L74)</f>
        <v>0</v>
      </c>
      <c r="N71" s="1043"/>
      <c r="O71" s="1042"/>
      <c r="P71" s="1041">
        <f>SUM(O73:O74)</f>
        <v>0</v>
      </c>
    </row>
    <row r="72" spans="1:20" ht="13.2" customHeight="1">
      <c r="A72" s="309"/>
      <c r="B72" s="1040"/>
      <c r="C72" s="1039" t="s">
        <v>837</v>
      </c>
      <c r="D72" s="1038">
        <f>'SDK1'!$O$12</f>
        <v>0</v>
      </c>
      <c r="E72" s="1037"/>
      <c r="F72" s="1036"/>
      <c r="G72" s="1035"/>
      <c r="H72" s="1034" t="s">
        <v>239</v>
      </c>
      <c r="I72" s="1033" t="s">
        <v>836</v>
      </c>
      <c r="J72" s="1032"/>
      <c r="K72" s="1031" t="s">
        <v>239</v>
      </c>
      <c r="L72" s="1030" t="s">
        <v>836</v>
      </c>
      <c r="M72" s="1029"/>
      <c r="N72" s="1028" t="s">
        <v>239</v>
      </c>
      <c r="O72" s="1027" t="s">
        <v>836</v>
      </c>
      <c r="P72" s="1026"/>
    </row>
    <row r="73" spans="1:20" s="36" customFormat="1" ht="15" customHeight="1">
      <c r="A73" s="746"/>
      <c r="B73" s="1021"/>
      <c r="C73" s="4400"/>
      <c r="D73" s="4400"/>
      <c r="E73" s="4400"/>
      <c r="F73" s="1025"/>
      <c r="G73" s="1024"/>
      <c r="H73" s="1018"/>
      <c r="I73" s="1022">
        <f>(100+$D$72)/100*H73</f>
        <v>0</v>
      </c>
      <c r="J73" s="39"/>
      <c r="K73" s="1018"/>
      <c r="L73" s="1023">
        <f>(100+$D$72)/100*K73</f>
        <v>0</v>
      </c>
      <c r="M73" s="1016"/>
      <c r="N73" s="1018"/>
      <c r="O73" s="1022">
        <f>(100+$D$72)/100*N73</f>
        <v>0</v>
      </c>
      <c r="P73" s="1013"/>
      <c r="Q73" s="28"/>
    </row>
    <row r="74" spans="1:20" s="36" customFormat="1" ht="15" customHeight="1">
      <c r="A74" s="746"/>
      <c r="B74" s="1021"/>
      <c r="C74" s="4399"/>
      <c r="D74" s="4399"/>
      <c r="E74" s="4399"/>
      <c r="F74" s="1020"/>
      <c r="G74" s="1019"/>
      <c r="H74" s="1015"/>
      <c r="I74" s="1014">
        <f>(100+$D$72)/100*H74</f>
        <v>0</v>
      </c>
      <c r="J74" s="39"/>
      <c r="K74" s="1018"/>
      <c r="L74" s="1017">
        <f>(100+$D$72)/100*K74</f>
        <v>0</v>
      </c>
      <c r="M74" s="1016"/>
      <c r="N74" s="1015"/>
      <c r="O74" s="1014">
        <f>(100+$D$72)/100*N74</f>
        <v>0</v>
      </c>
      <c r="P74" s="1013"/>
      <c r="Q74" s="28"/>
    </row>
    <row r="75" spans="1:20" s="511" customFormat="1" ht="30.15" customHeight="1">
      <c r="A75" s="711"/>
      <c r="B75" s="4391" t="s">
        <v>835</v>
      </c>
      <c r="C75" s="4392"/>
      <c r="D75" s="1012" t="s">
        <v>834</v>
      </c>
      <c r="E75" s="1011">
        <f>'SDK1'!$O$59/100</f>
        <v>0.02</v>
      </c>
      <c r="F75" s="1010" t="s">
        <v>833</v>
      </c>
      <c r="G75" s="1009">
        <v>7</v>
      </c>
      <c r="H75" s="1007"/>
      <c r="I75" s="1008"/>
      <c r="J75" s="1005" t="e">
        <f>(J23+J27+J34+J43+J60+J65+J67+J69+J71)*('SDK1'!$O$59%*$G$75/12)</f>
        <v>#N/A</v>
      </c>
      <c r="K75" s="2223"/>
      <c r="L75" s="522"/>
      <c r="M75" s="1005" t="e">
        <f>(M23+M27+M34+M43+M60+M65+M67+M69+M71)*('SDK1'!$O$59%*$G$75/12)</f>
        <v>#N/A</v>
      </c>
      <c r="N75" s="1007"/>
      <c r="O75" s="1006"/>
      <c r="P75" s="1005" t="e">
        <f>(P23+P27+P34+P43+P60+P65+P67+P69+P71)*('SDK1'!$O$59%*$G$75/12)</f>
        <v>#N/A</v>
      </c>
      <c r="Q75" s="28"/>
    </row>
    <row r="76" spans="1:20">
      <c r="L76" s="29"/>
    </row>
    <row r="77" spans="1:20">
      <c r="B77" s="2919"/>
      <c r="C77" s="2919"/>
      <c r="D77" s="2919"/>
      <c r="E77" s="2919"/>
      <c r="F77" s="2919"/>
      <c r="G77" s="2919"/>
      <c r="H77" s="2919"/>
      <c r="L77" s="29"/>
      <c r="N77" s="2608"/>
      <c r="O77" s="2608"/>
      <c r="P77" s="2608"/>
      <c r="Q77" s="2608"/>
    </row>
    <row r="78" spans="1:20">
      <c r="B78" s="2919"/>
      <c r="C78" s="2919"/>
      <c r="D78" s="2919"/>
      <c r="E78" s="2919"/>
      <c r="F78" s="2919"/>
      <c r="G78" s="2919"/>
      <c r="H78" s="2919"/>
      <c r="I78" s="2608"/>
      <c r="J78" s="2608"/>
      <c r="K78" s="2608"/>
      <c r="L78" s="2608"/>
      <c r="M78" s="2608"/>
      <c r="N78" s="2608"/>
      <c r="O78" s="2608"/>
      <c r="P78" s="2608"/>
    </row>
    <row r="79" spans="1:20">
      <c r="B79" s="2919"/>
      <c r="C79" s="2919"/>
      <c r="D79" s="2919"/>
      <c r="E79" s="2919"/>
      <c r="F79" s="2919"/>
      <c r="G79" s="2919"/>
      <c r="H79" s="2919"/>
      <c r="I79" s="2608"/>
      <c r="J79" s="2608"/>
      <c r="K79" s="2608"/>
      <c r="L79" s="2608"/>
      <c r="M79" s="2608"/>
      <c r="N79" s="2608"/>
      <c r="O79" s="2608"/>
      <c r="P79" s="2608"/>
      <c r="Q79" s="2608"/>
    </row>
    <row r="80" spans="1:20">
      <c r="B80" s="2919"/>
      <c r="C80" s="2919"/>
      <c r="D80" s="2919"/>
      <c r="E80" s="2919"/>
      <c r="F80" s="2919"/>
      <c r="G80" s="2919"/>
      <c r="H80" s="2919"/>
      <c r="I80" s="2608"/>
      <c r="J80" s="2608"/>
      <c r="K80" s="2608"/>
      <c r="L80" s="2608"/>
      <c r="M80" s="2608"/>
      <c r="N80" s="2608"/>
      <c r="O80" s="2608"/>
      <c r="P80" s="2608"/>
      <c r="Q80" s="2608"/>
    </row>
    <row r="81" spans="2:17">
      <c r="B81" s="2919"/>
      <c r="C81" s="2919"/>
      <c r="D81" s="2919"/>
      <c r="E81" s="2919"/>
      <c r="F81" s="2919"/>
      <c r="G81" s="2919"/>
      <c r="H81" s="2919"/>
      <c r="I81" s="2608"/>
      <c r="J81" s="2608"/>
      <c r="K81" s="2608"/>
      <c r="L81" s="2608"/>
      <c r="M81" s="2608"/>
      <c r="N81" s="2608"/>
      <c r="O81" s="2608"/>
      <c r="P81" s="2608"/>
      <c r="Q81" s="2608"/>
    </row>
    <row r="82" spans="2:17">
      <c r="B82" s="2919"/>
      <c r="C82" s="2919"/>
      <c r="D82" s="2919"/>
      <c r="E82" s="2919"/>
      <c r="F82" s="2919"/>
      <c r="G82" s="2919"/>
      <c r="H82" s="2919"/>
      <c r="I82" s="29"/>
      <c r="L82" s="2608"/>
      <c r="M82" s="2608"/>
      <c r="N82" s="2608"/>
      <c r="O82" s="2608"/>
      <c r="P82" s="2608"/>
      <c r="Q82" s="2608"/>
    </row>
    <row r="83" spans="2:17">
      <c r="B83" s="2919"/>
      <c r="C83" s="2919"/>
      <c r="D83" s="2919"/>
      <c r="E83" s="2919"/>
      <c r="F83" s="2919"/>
      <c r="G83" s="2919"/>
      <c r="H83" s="2919"/>
      <c r="I83" s="29"/>
      <c r="L83" s="2608"/>
      <c r="M83" s="2608"/>
      <c r="N83" s="2608"/>
      <c r="O83" s="2608"/>
      <c r="P83" s="2608"/>
      <c r="Q83" s="2608"/>
    </row>
    <row r="84" spans="2:17">
      <c r="B84" s="2919"/>
      <c r="C84" s="2919"/>
      <c r="D84" s="2919"/>
      <c r="E84" s="2919"/>
      <c r="F84" s="2919"/>
      <c r="G84" s="2919"/>
      <c r="H84" s="2919"/>
      <c r="I84" s="29"/>
      <c r="L84" s="2608"/>
      <c r="M84" s="2608"/>
      <c r="N84" s="2608"/>
      <c r="O84" s="2608"/>
      <c r="P84" s="2608"/>
      <c r="Q84" s="2608"/>
    </row>
    <row r="85" spans="2:17">
      <c r="B85" s="2919"/>
      <c r="C85" s="2919"/>
      <c r="D85" s="2919"/>
      <c r="E85" s="2919"/>
      <c r="F85" s="2919"/>
      <c r="G85" s="2919"/>
      <c r="H85" s="2919"/>
      <c r="I85" s="29"/>
      <c r="L85" s="2608"/>
      <c r="M85" s="2608"/>
      <c r="N85" s="2608"/>
      <c r="O85" s="2608"/>
      <c r="P85" s="2608"/>
      <c r="Q85" s="2608"/>
    </row>
    <row r="86" spans="2:17">
      <c r="B86" s="2919"/>
      <c r="C86" s="2919"/>
      <c r="D86" s="2919"/>
      <c r="E86" s="2919"/>
      <c r="F86" s="2919"/>
      <c r="G86" s="2919"/>
      <c r="H86" s="2919"/>
      <c r="I86" s="29"/>
      <c r="L86" s="2608"/>
      <c r="M86" s="2608"/>
      <c r="N86" s="2608"/>
      <c r="O86" s="2608"/>
      <c r="P86" s="2608"/>
      <c r="Q86" s="2608"/>
    </row>
    <row r="87" spans="2:17">
      <c r="B87" s="2919"/>
      <c r="C87" s="2919"/>
      <c r="D87" s="2919"/>
      <c r="E87" s="2919"/>
      <c r="F87" s="2919"/>
      <c r="G87" s="2919"/>
      <c r="H87" s="2919"/>
      <c r="I87" s="29"/>
      <c r="L87" s="2608"/>
      <c r="M87" s="2608"/>
      <c r="N87" s="2608"/>
      <c r="O87" s="2608"/>
      <c r="P87" s="2608"/>
      <c r="Q87" s="2608"/>
    </row>
    <row r="88" spans="2:17" ht="13.2" customHeight="1">
      <c r="B88" s="2919"/>
      <c r="C88" s="2919"/>
      <c r="D88" s="2919"/>
      <c r="E88" s="2919"/>
      <c r="F88" s="2919"/>
      <c r="G88" s="2919"/>
      <c r="H88" s="2919"/>
      <c r="I88" s="29"/>
      <c r="L88" s="2608"/>
      <c r="M88" s="2608"/>
      <c r="N88" s="2608"/>
      <c r="O88" s="2608"/>
      <c r="P88" s="2608"/>
      <c r="Q88" s="2608"/>
    </row>
    <row r="89" spans="2:17">
      <c r="B89" s="2919"/>
      <c r="C89" s="2919"/>
      <c r="D89" s="2919"/>
      <c r="E89" s="2919"/>
      <c r="F89" s="2919"/>
      <c r="G89" s="2919"/>
      <c r="H89" s="2919"/>
      <c r="I89" s="2237"/>
      <c r="L89" s="2608"/>
      <c r="M89" s="2608"/>
      <c r="N89" s="2608"/>
      <c r="O89" s="2608"/>
      <c r="P89" s="2608"/>
      <c r="Q89" s="2608"/>
    </row>
    <row r="90" spans="2:17">
      <c r="B90" s="2919"/>
      <c r="C90" s="2919"/>
      <c r="D90" s="2919"/>
      <c r="E90" s="2919"/>
      <c r="F90" s="2919"/>
      <c r="G90" s="2919"/>
      <c r="H90" s="2919"/>
      <c r="I90" s="2237"/>
      <c r="L90" s="2608"/>
      <c r="M90" s="2608"/>
      <c r="N90" s="2608"/>
      <c r="O90" s="2608"/>
      <c r="P90" s="2608"/>
      <c r="Q90" s="2608"/>
    </row>
    <row r="91" spans="2:17">
      <c r="B91" s="2919"/>
      <c r="C91" s="2919"/>
      <c r="D91" s="2919"/>
      <c r="E91" s="2919"/>
      <c r="F91" s="2919"/>
      <c r="G91" s="2919"/>
      <c r="H91" s="2919"/>
      <c r="I91" s="2608"/>
      <c r="J91" s="2608"/>
      <c r="L91" s="2608"/>
      <c r="M91" s="2608"/>
      <c r="N91" s="2608"/>
      <c r="O91" s="2608"/>
      <c r="P91" s="2608"/>
      <c r="Q91" s="2608"/>
    </row>
    <row r="92" spans="2:17">
      <c r="B92" s="2919"/>
      <c r="C92" s="2919"/>
      <c r="D92" s="2919"/>
      <c r="E92" s="2919"/>
      <c r="F92" s="2919"/>
      <c r="G92" s="2919"/>
      <c r="H92" s="2919"/>
      <c r="I92" s="2608"/>
      <c r="J92" s="2608"/>
      <c r="L92" s="2608"/>
      <c r="M92" s="2608"/>
      <c r="N92" s="2608"/>
      <c r="O92" s="2608"/>
      <c r="P92" s="2608"/>
      <c r="Q92" s="2608"/>
    </row>
    <row r="93" spans="2:17">
      <c r="B93" s="2919"/>
      <c r="C93" s="2919"/>
      <c r="D93" s="2919"/>
      <c r="E93" s="2919"/>
      <c r="F93" s="2919"/>
      <c r="G93" s="2919"/>
      <c r="H93" s="2919"/>
      <c r="I93" s="2608"/>
      <c r="J93" s="2608"/>
      <c r="L93" s="2608"/>
      <c r="M93" s="2608"/>
      <c r="N93" s="2608"/>
      <c r="O93" s="2608"/>
      <c r="P93" s="2608"/>
      <c r="Q93" s="2608"/>
    </row>
    <row r="94" spans="2:17">
      <c r="B94" s="2919"/>
      <c r="C94" s="2919"/>
      <c r="D94" s="2919"/>
      <c r="E94" s="2919"/>
      <c r="F94" s="2919"/>
      <c r="G94" s="2919"/>
      <c r="H94" s="2919"/>
      <c r="I94" s="2608"/>
      <c r="J94" s="2608"/>
      <c r="L94" s="2608"/>
      <c r="M94" s="2608"/>
      <c r="N94" s="2608"/>
      <c r="O94" s="2608"/>
      <c r="P94" s="2608"/>
      <c r="Q94" s="2608"/>
    </row>
    <row r="95" spans="2:17">
      <c r="B95" s="2919"/>
      <c r="C95" s="2919"/>
      <c r="D95" s="2919"/>
      <c r="E95" s="2919"/>
      <c r="F95" s="2919"/>
      <c r="G95" s="2919"/>
      <c r="H95" s="2919"/>
      <c r="I95" s="2608"/>
      <c r="J95" s="2608"/>
      <c r="L95" s="2608"/>
      <c r="M95" s="2608"/>
      <c r="N95" s="2608"/>
      <c r="O95" s="2608"/>
      <c r="P95" s="2608"/>
      <c r="Q95" s="2608"/>
    </row>
    <row r="96" spans="2:17">
      <c r="B96" s="2919"/>
      <c r="C96" s="2919"/>
      <c r="D96" s="2919"/>
      <c r="E96" s="2919"/>
      <c r="F96" s="2919"/>
      <c r="G96" s="2919"/>
      <c r="H96" s="2919"/>
      <c r="I96" s="2608"/>
      <c r="J96" s="2608"/>
      <c r="L96" s="2608"/>
      <c r="M96" s="2608"/>
      <c r="N96" s="2608"/>
      <c r="O96" s="2608"/>
      <c r="P96" s="2608"/>
      <c r="Q96" s="2608"/>
    </row>
    <row r="97" spans="3:17">
      <c r="C97" s="1712"/>
      <c r="D97" s="1712"/>
      <c r="E97" s="1712"/>
      <c r="G97" s="2608"/>
      <c r="H97" s="2608"/>
      <c r="I97" s="2608"/>
      <c r="J97" s="2608"/>
      <c r="L97" s="2608"/>
      <c r="M97" s="2608"/>
      <c r="N97" s="2608"/>
      <c r="O97" s="2608"/>
      <c r="P97" s="2608"/>
      <c r="Q97" s="2608"/>
    </row>
    <row r="98" spans="3:17">
      <c r="C98" s="1712"/>
      <c r="D98" s="1712"/>
      <c r="E98" s="1712"/>
      <c r="G98" s="2608"/>
      <c r="H98" s="2608"/>
      <c r="I98" s="2608"/>
      <c r="J98" s="2608"/>
      <c r="L98" s="2608"/>
      <c r="M98" s="2608"/>
      <c r="N98" s="2608"/>
      <c r="O98" s="2608"/>
      <c r="P98" s="2608"/>
      <c r="Q98" s="2608"/>
    </row>
    <row r="99" spans="3:17">
      <c r="C99" s="1712"/>
      <c r="D99" s="1712"/>
      <c r="E99" s="1712"/>
      <c r="G99" s="2608"/>
      <c r="H99" s="2608"/>
      <c r="I99" s="2608"/>
      <c r="J99" s="2608"/>
      <c r="L99" s="2608"/>
      <c r="M99" s="2608"/>
      <c r="N99" s="2608"/>
      <c r="O99" s="2608"/>
      <c r="P99" s="2608"/>
      <c r="Q99" s="2608"/>
    </row>
    <row r="100" spans="3:17">
      <c r="C100" s="1712"/>
      <c r="D100" s="1712"/>
      <c r="E100" s="1712"/>
      <c r="G100" s="2608"/>
      <c r="H100" s="2608"/>
      <c r="I100" s="2608"/>
      <c r="J100" s="2608"/>
      <c r="L100" s="2608"/>
      <c r="M100" s="2608"/>
      <c r="N100" s="2608"/>
      <c r="O100" s="2608"/>
      <c r="P100" s="2608"/>
      <c r="Q100" s="2608"/>
    </row>
    <row r="101" spans="3:17">
      <c r="C101" s="1712"/>
      <c r="E101" s="1712"/>
      <c r="G101" s="2608"/>
      <c r="H101" s="2608"/>
      <c r="I101" s="2608"/>
      <c r="J101" s="2608"/>
      <c r="L101" s="2608"/>
      <c r="M101" s="2608"/>
      <c r="N101" s="2608"/>
      <c r="O101" s="2608"/>
      <c r="P101" s="2608"/>
      <c r="Q101" s="2608"/>
    </row>
    <row r="102" spans="3:17">
      <c r="C102" s="1712"/>
      <c r="D102" s="1712"/>
      <c r="E102" s="1712"/>
      <c r="G102" s="2608"/>
      <c r="I102" s="2608"/>
      <c r="J102" s="2608"/>
      <c r="L102" s="2608"/>
      <c r="M102" s="2608"/>
      <c r="N102" s="2608"/>
      <c r="O102" s="2608"/>
      <c r="P102" s="2608"/>
      <c r="Q102" s="2608"/>
    </row>
    <row r="103" spans="3:17">
      <c r="C103" s="1712"/>
      <c r="D103" s="1712"/>
      <c r="E103" s="1712"/>
      <c r="G103" s="2608"/>
      <c r="H103" s="2608"/>
      <c r="I103" s="2608"/>
      <c r="J103" s="2608"/>
      <c r="L103" s="2608"/>
      <c r="M103" s="2608"/>
      <c r="N103" s="2608"/>
      <c r="O103" s="2608"/>
      <c r="P103" s="2608"/>
      <c r="Q103" s="2608"/>
    </row>
    <row r="104" spans="3:17">
      <c r="C104" s="1712"/>
      <c r="D104" s="1712"/>
      <c r="E104" s="1712"/>
      <c r="G104" s="2608"/>
      <c r="H104" s="2608"/>
      <c r="I104" s="2608"/>
      <c r="J104" s="2608"/>
      <c r="L104" s="2608"/>
      <c r="M104" s="2608"/>
      <c r="N104" s="2608"/>
      <c r="O104" s="2608"/>
      <c r="P104" s="2608"/>
      <c r="Q104" s="2608"/>
    </row>
    <row r="105" spans="3:17">
      <c r="C105" s="1712"/>
      <c r="D105" s="1712"/>
      <c r="E105" s="1712"/>
      <c r="G105" s="2608"/>
      <c r="H105" s="2608"/>
      <c r="I105" s="2608"/>
      <c r="J105" s="2608"/>
      <c r="L105" s="2608"/>
      <c r="M105" s="2608"/>
      <c r="N105" s="2608"/>
      <c r="O105" s="2608"/>
      <c r="P105" s="2608"/>
      <c r="Q105" s="2608"/>
    </row>
    <row r="106" spans="3:17">
      <c r="C106" s="1712"/>
      <c r="D106" s="1712"/>
      <c r="E106" s="1712"/>
      <c r="G106" s="2608"/>
      <c r="H106" s="2608"/>
      <c r="I106" s="2608"/>
      <c r="J106" s="2608"/>
      <c r="L106" s="2608"/>
      <c r="M106" s="2608"/>
      <c r="N106" s="2608"/>
      <c r="O106" s="2608"/>
      <c r="P106" s="2608"/>
      <c r="Q106" s="2608"/>
    </row>
    <row r="107" spans="3:17">
      <c r="C107" s="1712"/>
      <c r="D107" s="1712"/>
      <c r="E107" s="1712"/>
      <c r="G107" s="2608"/>
      <c r="H107" s="2608"/>
      <c r="I107" s="2608"/>
      <c r="J107" s="2608"/>
      <c r="L107" s="2608"/>
      <c r="M107" s="2608"/>
      <c r="N107" s="2608"/>
      <c r="O107" s="2608"/>
      <c r="P107" s="2608"/>
      <c r="Q107" s="2608"/>
    </row>
    <row r="108" spans="3:17">
      <c r="C108" s="1712"/>
      <c r="D108" s="1712"/>
      <c r="E108" s="1712"/>
      <c r="G108" s="2608"/>
      <c r="H108" s="2608"/>
      <c r="I108" s="2608"/>
      <c r="J108" s="2608"/>
      <c r="L108" s="2608"/>
      <c r="M108" s="2608"/>
      <c r="N108" s="2608"/>
      <c r="O108" s="2608"/>
      <c r="P108" s="2608"/>
      <c r="Q108" s="2608"/>
    </row>
    <row r="109" spans="3:17">
      <c r="C109" s="1712"/>
      <c r="D109" s="1712"/>
      <c r="E109" s="1712"/>
      <c r="G109" s="2608"/>
      <c r="H109" s="2608"/>
      <c r="I109" s="2608"/>
      <c r="J109" s="2608"/>
      <c r="L109" s="2608"/>
      <c r="M109" s="2608"/>
      <c r="N109" s="2608"/>
      <c r="O109" s="2608"/>
      <c r="P109" s="2608"/>
      <c r="Q109" s="2608"/>
    </row>
    <row r="110" spans="3:17">
      <c r="G110" s="2608"/>
      <c r="H110" s="2608"/>
      <c r="I110" s="2608"/>
      <c r="J110" s="2608"/>
      <c r="L110" s="2608"/>
      <c r="M110" s="2608"/>
      <c r="N110" s="2608"/>
      <c r="O110" s="2608"/>
      <c r="P110" s="2608"/>
      <c r="Q110" s="2608"/>
    </row>
    <row r="111" spans="3:17">
      <c r="G111" s="2608"/>
      <c r="H111" s="2608"/>
      <c r="I111" s="2608"/>
      <c r="J111" s="2608"/>
      <c r="L111" s="2608"/>
      <c r="M111" s="2608"/>
      <c r="N111" s="2608"/>
      <c r="O111" s="2608"/>
      <c r="P111" s="2608"/>
      <c r="Q111" s="2608"/>
    </row>
    <row r="112" spans="3:17">
      <c r="G112" s="2608"/>
      <c r="H112" s="2608"/>
      <c r="I112" s="2608"/>
      <c r="J112" s="2608"/>
      <c r="L112" s="2608"/>
      <c r="M112" s="2608"/>
      <c r="N112" s="2608"/>
      <c r="O112" s="2608"/>
      <c r="P112" s="2608"/>
      <c r="Q112" s="2608"/>
    </row>
    <row r="113" spans="2:17">
      <c r="G113" s="2608"/>
      <c r="H113" s="2608"/>
      <c r="I113" s="2608"/>
      <c r="J113" s="2608"/>
      <c r="L113" s="2608"/>
      <c r="M113" s="2608"/>
      <c r="N113" s="2608"/>
      <c r="O113" s="2608"/>
      <c r="P113" s="2608"/>
      <c r="Q113" s="2608"/>
    </row>
    <row r="114" spans="2:17">
      <c r="G114" s="2608"/>
      <c r="H114" s="2608"/>
      <c r="I114" s="2608"/>
      <c r="J114" s="2608"/>
      <c r="L114" s="2608"/>
      <c r="M114" s="2608"/>
      <c r="N114" s="2608"/>
      <c r="O114" s="2608"/>
      <c r="P114" s="2608"/>
      <c r="Q114" s="2608"/>
    </row>
    <row r="115" spans="2:17">
      <c r="G115" s="2608"/>
      <c r="H115" s="2608"/>
      <c r="I115" s="2608"/>
      <c r="J115" s="2608"/>
      <c r="L115" s="2608"/>
      <c r="M115" s="2608"/>
      <c r="N115" s="2608"/>
      <c r="O115" s="2608"/>
      <c r="P115" s="2608"/>
      <c r="Q115" s="2608"/>
    </row>
    <row r="116" spans="2:17">
      <c r="G116" s="2608"/>
      <c r="H116" s="2608"/>
      <c r="I116" s="2608"/>
      <c r="J116" s="2608"/>
      <c r="L116" s="2608"/>
      <c r="M116" s="2608"/>
      <c r="N116" s="2608"/>
      <c r="O116" s="2608"/>
      <c r="P116" s="2608"/>
      <c r="Q116" s="2608"/>
    </row>
    <row r="117" spans="2:17">
      <c r="L117" s="2608"/>
      <c r="M117" s="2608"/>
      <c r="N117" s="2608"/>
      <c r="O117" s="2608"/>
      <c r="P117" s="2608"/>
      <c r="Q117" s="2608"/>
    </row>
    <row r="118" spans="2:17">
      <c r="B118" s="440"/>
      <c r="C118" s="29"/>
      <c r="L118" s="2608"/>
      <c r="M118" s="2608"/>
      <c r="N118" s="2608"/>
      <c r="O118" s="2608"/>
      <c r="P118" s="2608"/>
      <c r="Q118" s="2608"/>
    </row>
    <row r="119" spans="2:17">
      <c r="B119" s="440"/>
      <c r="C119" s="29"/>
      <c r="L119" s="2608"/>
      <c r="M119" s="2608"/>
      <c r="N119" s="2608"/>
      <c r="O119" s="2608"/>
      <c r="P119" s="2608"/>
      <c r="Q119" s="2608"/>
    </row>
    <row r="120" spans="2:17">
      <c r="B120" s="440"/>
      <c r="C120" s="29"/>
      <c r="L120" s="2608"/>
      <c r="M120" s="2608"/>
      <c r="N120" s="2608"/>
      <c r="O120" s="2608"/>
      <c r="P120" s="2608"/>
      <c r="Q120" s="2608"/>
    </row>
    <row r="121" spans="2:17">
      <c r="B121" s="440"/>
      <c r="C121" s="29"/>
      <c r="L121" s="2608"/>
      <c r="M121" s="2608"/>
      <c r="N121" s="2608"/>
      <c r="O121" s="2608"/>
      <c r="P121" s="2608"/>
      <c r="Q121" s="2608"/>
    </row>
    <row r="122" spans="2:17">
      <c r="B122" s="440"/>
      <c r="C122" s="29"/>
      <c r="L122" s="2608"/>
      <c r="M122" s="2608"/>
      <c r="N122" s="2608"/>
      <c r="O122" s="2608"/>
      <c r="P122" s="2608"/>
      <c r="Q122" s="2608"/>
    </row>
    <row r="123" spans="2:17">
      <c r="B123" s="440"/>
      <c r="C123" s="29"/>
      <c r="L123" s="2608"/>
      <c r="M123" s="2608"/>
      <c r="N123" s="2608"/>
      <c r="O123" s="2608"/>
      <c r="P123" s="2608"/>
      <c r="Q123" s="2608"/>
    </row>
    <row r="124" spans="2:17">
      <c r="B124" s="440"/>
      <c r="C124" s="29"/>
      <c r="L124" s="2608"/>
      <c r="M124" s="2608"/>
      <c r="N124" s="2608"/>
      <c r="O124" s="2608"/>
      <c r="P124" s="2608"/>
      <c r="Q124" s="2608"/>
    </row>
    <row r="125" spans="2:17">
      <c r="B125" s="440"/>
      <c r="C125" s="29"/>
      <c r="L125" s="2608"/>
      <c r="M125" s="2608"/>
      <c r="N125" s="2608"/>
      <c r="O125" s="2608"/>
      <c r="P125" s="2608"/>
      <c r="Q125" s="2608"/>
    </row>
    <row r="126" spans="2:17">
      <c r="B126" s="440"/>
      <c r="C126" s="29"/>
      <c r="L126" s="2608"/>
      <c r="M126" s="2608"/>
      <c r="N126" s="2608"/>
      <c r="O126" s="2608"/>
      <c r="P126" s="2608"/>
      <c r="Q126" s="2608"/>
    </row>
    <row r="127" spans="2:17">
      <c r="B127" s="440"/>
      <c r="C127" s="29"/>
      <c r="L127" s="2608"/>
      <c r="M127" s="2608"/>
      <c r="N127" s="2608"/>
      <c r="O127" s="2608"/>
      <c r="P127" s="2608"/>
      <c r="Q127" s="2608"/>
    </row>
    <row r="128" spans="2:17">
      <c r="B128" s="440"/>
      <c r="C128" s="29"/>
      <c r="L128" s="2608"/>
      <c r="M128" s="2608"/>
      <c r="N128" s="2608"/>
      <c r="O128" s="2608"/>
      <c r="P128" s="2608"/>
      <c r="Q128" s="2608"/>
    </row>
    <row r="129" spans="2:17">
      <c r="B129" s="440"/>
      <c r="C129" s="29"/>
      <c r="L129" s="2608"/>
      <c r="M129" s="2608"/>
      <c r="N129" s="2608"/>
      <c r="O129" s="2608"/>
      <c r="P129" s="2608"/>
      <c r="Q129" s="2608"/>
    </row>
    <row r="130" spans="2:17">
      <c r="B130" s="440"/>
      <c r="C130" s="29"/>
      <c r="L130" s="2608"/>
      <c r="M130" s="2608"/>
      <c r="N130" s="2608"/>
      <c r="O130" s="2608"/>
      <c r="P130" s="2608"/>
      <c r="Q130" s="2608"/>
    </row>
    <row r="131" spans="2:17">
      <c r="B131" s="440"/>
      <c r="C131" s="29"/>
      <c r="L131" s="2608"/>
      <c r="M131" s="2608"/>
      <c r="N131" s="2608"/>
      <c r="O131" s="2608"/>
      <c r="P131" s="2608"/>
      <c r="Q131" s="2608"/>
    </row>
    <row r="132" spans="2:17">
      <c r="B132" s="440"/>
      <c r="C132" s="29"/>
      <c r="L132" s="2608"/>
      <c r="M132" s="2608"/>
      <c r="N132" s="2608"/>
      <c r="O132" s="2608"/>
      <c r="P132" s="2608"/>
      <c r="Q132" s="2608"/>
    </row>
    <row r="133" spans="2:17">
      <c r="B133" s="440"/>
      <c r="C133" s="29"/>
      <c r="L133" s="2608"/>
      <c r="M133" s="2608"/>
      <c r="N133" s="2608"/>
      <c r="O133" s="2608"/>
      <c r="P133" s="2608"/>
      <c r="Q133" s="2608"/>
    </row>
    <row r="134" spans="2:17">
      <c r="B134" s="440"/>
      <c r="C134" s="29"/>
      <c r="L134" s="2608"/>
      <c r="M134" s="2608"/>
      <c r="N134" s="2608"/>
      <c r="O134" s="2608"/>
      <c r="P134" s="2608"/>
      <c r="Q134" s="2608"/>
    </row>
    <row r="135" spans="2:17">
      <c r="B135" s="440"/>
      <c r="C135" s="29"/>
      <c r="L135" s="2608"/>
      <c r="M135" s="2608"/>
      <c r="N135" s="2608"/>
      <c r="O135" s="2608"/>
      <c r="P135" s="2608"/>
      <c r="Q135" s="2608"/>
    </row>
    <row r="136" spans="2:17">
      <c r="B136" s="440"/>
      <c r="C136" s="29"/>
      <c r="L136" s="2608"/>
      <c r="M136" s="2608"/>
      <c r="N136" s="2608"/>
      <c r="O136" s="2608"/>
      <c r="P136" s="2608"/>
      <c r="Q136" s="2608"/>
    </row>
    <row r="137" spans="2:17">
      <c r="B137" s="440"/>
      <c r="C137" s="29"/>
      <c r="L137" s="2608"/>
      <c r="M137" s="2608"/>
      <c r="N137" s="2608"/>
      <c r="O137" s="2608"/>
      <c r="P137" s="2608"/>
      <c r="Q137" s="2608"/>
    </row>
    <row r="138" spans="2:17">
      <c r="B138" s="440"/>
      <c r="C138" s="29"/>
      <c r="L138" s="2608"/>
      <c r="M138" s="2608"/>
      <c r="N138" s="2608"/>
      <c r="O138" s="2608"/>
      <c r="P138" s="2608"/>
      <c r="Q138" s="2608"/>
    </row>
    <row r="139" spans="2:17">
      <c r="B139" s="440"/>
      <c r="C139" s="29"/>
      <c r="L139" s="2608"/>
      <c r="M139" s="2608"/>
      <c r="N139" s="2608"/>
      <c r="O139" s="2608"/>
      <c r="P139" s="2608"/>
      <c r="Q139" s="2608"/>
    </row>
    <row r="140" spans="2:17">
      <c r="B140" s="440"/>
      <c r="C140" s="29"/>
      <c r="L140" s="2608"/>
      <c r="M140" s="2608"/>
      <c r="N140" s="2608"/>
      <c r="O140" s="2608"/>
      <c r="P140" s="2608"/>
      <c r="Q140" s="2608"/>
    </row>
    <row r="141" spans="2:17">
      <c r="B141" s="440"/>
      <c r="C141" s="29"/>
      <c r="L141" s="29"/>
    </row>
    <row r="142" spans="2:17">
      <c r="B142" s="440"/>
      <c r="C142" s="29"/>
      <c r="L142" s="29"/>
    </row>
    <row r="143" spans="2:17">
      <c r="B143" s="440"/>
      <c r="C143" s="29"/>
      <c r="L143" s="29"/>
    </row>
    <row r="144" spans="2:17">
      <c r="B144" s="440"/>
      <c r="C144" s="29"/>
      <c r="L144" s="29"/>
    </row>
    <row r="145" spans="2:12">
      <c r="B145" s="440"/>
      <c r="C145" s="29"/>
      <c r="L145" s="29"/>
    </row>
    <row r="146" spans="2:12">
      <c r="B146" s="440"/>
      <c r="C146" s="29"/>
      <c r="L146" s="29"/>
    </row>
    <row r="147" spans="2:12">
      <c r="B147" s="440"/>
      <c r="C147" s="29"/>
    </row>
    <row r="148" spans="2:12">
      <c r="B148" s="440"/>
      <c r="C148" s="29"/>
      <c r="H148" s="1354"/>
      <c r="J148" s="1563"/>
    </row>
    <row r="149" spans="2:12">
      <c r="B149" s="440"/>
      <c r="C149" s="29"/>
      <c r="H149" s="1354"/>
      <c r="J149" s="1563"/>
    </row>
    <row r="150" spans="2:12">
      <c r="B150" s="440"/>
      <c r="C150" s="29"/>
      <c r="H150" s="1354"/>
      <c r="J150" s="1563"/>
    </row>
    <row r="151" spans="2:12">
      <c r="B151" s="440"/>
      <c r="C151" s="29"/>
      <c r="H151" s="1354"/>
      <c r="J151" s="1563"/>
    </row>
    <row r="152" spans="2:12">
      <c r="B152" s="440"/>
      <c r="C152" s="29"/>
      <c r="H152" s="1354"/>
      <c r="J152" s="1563"/>
    </row>
    <row r="153" spans="2:12">
      <c r="B153" s="440"/>
      <c r="C153" s="29"/>
      <c r="D153" s="29"/>
      <c r="F153" s="29"/>
      <c r="H153" s="29"/>
      <c r="I153" s="29"/>
      <c r="J153" s="29"/>
      <c r="K153" s="29"/>
    </row>
    <row r="154" spans="2:12">
      <c r="B154" s="440"/>
      <c r="C154" s="29"/>
      <c r="D154" s="29"/>
      <c r="F154" s="29"/>
      <c r="G154" s="29"/>
      <c r="H154" s="29"/>
      <c r="I154" s="29"/>
      <c r="J154" s="29"/>
      <c r="K154" s="29"/>
    </row>
    <row r="155" spans="2:12">
      <c r="B155" s="440"/>
      <c r="C155" s="29"/>
      <c r="D155" s="29"/>
      <c r="F155" s="29"/>
      <c r="G155" s="29"/>
      <c r="H155" s="29"/>
      <c r="I155" s="29"/>
      <c r="J155" s="29"/>
      <c r="K155" s="29"/>
    </row>
    <row r="156" spans="2:12">
      <c r="B156" s="440"/>
      <c r="C156" s="29"/>
      <c r="D156" s="29"/>
      <c r="F156" s="29"/>
      <c r="G156" s="29"/>
      <c r="H156" s="29"/>
      <c r="I156" s="29"/>
      <c r="J156" s="29"/>
      <c r="K156" s="29"/>
    </row>
    <row r="157" spans="2:12">
      <c r="B157" s="440"/>
      <c r="C157" s="29"/>
    </row>
    <row r="158" spans="2:12">
      <c r="B158" s="440"/>
      <c r="C158" s="29"/>
    </row>
    <row r="159" spans="2:12">
      <c r="B159" s="440"/>
      <c r="C159" s="29"/>
    </row>
    <row r="160" spans="2:12">
      <c r="B160" s="440"/>
      <c r="C160" s="29"/>
    </row>
    <row r="161" spans="2:3">
      <c r="B161" s="440"/>
      <c r="C161" s="29"/>
    </row>
    <row r="162" spans="2:3">
      <c r="B162" s="440"/>
      <c r="C162" s="29"/>
    </row>
    <row r="163" spans="2:3">
      <c r="B163" s="440"/>
      <c r="C163" s="29"/>
    </row>
    <row r="164" spans="2:3">
      <c r="B164" s="440"/>
      <c r="C164" s="29"/>
    </row>
    <row r="165" spans="2:3">
      <c r="B165" s="440"/>
      <c r="C165" s="29"/>
    </row>
    <row r="166" spans="2:3">
      <c r="B166" s="440"/>
      <c r="C166" s="29"/>
    </row>
    <row r="167" spans="2:3">
      <c r="B167" s="440"/>
      <c r="C167" s="29"/>
    </row>
    <row r="168" spans="2:3">
      <c r="B168" s="440"/>
      <c r="C168" s="29"/>
    </row>
    <row r="169" spans="2:3">
      <c r="B169" s="440"/>
      <c r="C169" s="29"/>
    </row>
    <row r="170" spans="2:3">
      <c r="B170" s="440"/>
      <c r="C170" s="29"/>
    </row>
    <row r="171" spans="2:3">
      <c r="B171" s="440"/>
      <c r="C171" s="29"/>
    </row>
    <row r="172" spans="2:3">
      <c r="B172" s="440"/>
      <c r="C172" s="29"/>
    </row>
    <row r="173" spans="2:3">
      <c r="B173" s="440"/>
      <c r="C173" s="29"/>
    </row>
    <row r="174" spans="2:3">
      <c r="B174" s="440"/>
      <c r="C174" s="29"/>
    </row>
    <row r="175" spans="2:3">
      <c r="B175" s="440"/>
      <c r="C175" s="29"/>
    </row>
    <row r="176" spans="2:3">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sheetData>
  <sheetProtection selectLockedCells="1"/>
  <customSheetViews>
    <customSheetView guid="{8063F48F-80B5-4ECD-B18A-51CBF126E780}" fitToPage="1" printArea="1" hiddenRows="1" hiddenColumns="1">
      <selection activeCell="Q1" sqref="Q1:Q1048576"/>
      <pageMargins left="0.59055118110236227" right="0.57999999999999996" top="0.59055118110236227" bottom="0.59055118110236227" header="0.39370078740157483" footer="0.39370078740157483"/>
      <printOptions horizontalCentered="1"/>
      <pageSetup paperSize="9" scale="69" firstPageNumber="70" orientation="portrait" r:id="rId1"/>
      <headerFooter alignWithMargins="0">
        <oddFooter>&amp;L&amp;11LEL Schwäbisch Gmünd&amp;C
&amp;R&amp;11&amp;F</oddFooter>
      </headerFooter>
    </customSheetView>
    <customSheetView guid="{5D5C9B61-9ABD-4513-AAEB-8333A9D6196C}" fitToPage="1" hiddenRows="1" hiddenColumns="1">
      <selection activeCell="Q25" sqref="Q25"/>
      <pageMargins left="0.59055118110236227" right="0.57999999999999996" top="0.59055118110236227" bottom="0.59055118110236227" header="0.39370078740157483" footer="0.39370078740157483"/>
      <printOptions horizontalCentered="1"/>
      <pageSetup paperSize="9" scale="69" firstPageNumber="70" orientation="portrait" r:id="rId2"/>
      <headerFooter alignWithMargins="0">
        <oddFooter>&amp;L&amp;11LEL Schwäbisch Gmünd&amp;C
&amp;R&amp;11&amp;F</oddFooter>
      </headerFooter>
    </customSheetView>
    <customSheetView guid="{22A73C4F-9004-4CEF-8499-B1F91BE1B569}" fitToPage="1" hiddenRows="1" hiddenColumns="1">
      <selection activeCell="Q1" sqref="Q1:Q1048576"/>
      <pageMargins left="0.59055118110236227" right="0.57999999999999996" top="0.59055118110236227" bottom="0.59055118110236227" header="0.39370078740157483" footer="0.39370078740157483"/>
      <printOptions horizontalCentered="1"/>
      <pageSetup paperSize="9" scale="69" firstPageNumber="70" orientation="portrait" r:id="rId3"/>
      <headerFooter alignWithMargins="0">
        <oddFooter>&amp;L&amp;11LEL Schwäbisch Gmünd&amp;C
&amp;R&amp;11&amp;F</oddFooter>
      </headerFooter>
    </customSheetView>
  </customSheetViews>
  <mergeCells count="48">
    <mergeCell ref="C20:F20"/>
    <mergeCell ref="C42:E42"/>
    <mergeCell ref="C39:E39"/>
    <mergeCell ref="C54:D54"/>
    <mergeCell ref="C50:D50"/>
    <mergeCell ref="C51:D51"/>
    <mergeCell ref="C46:D46"/>
    <mergeCell ref="C40:E40"/>
    <mergeCell ref="C41:E41"/>
    <mergeCell ref="C49:D49"/>
    <mergeCell ref="C53:D53"/>
    <mergeCell ref="C47:D47"/>
    <mergeCell ref="C48:D48"/>
    <mergeCell ref="C52:D52"/>
    <mergeCell ref="N1:O1"/>
    <mergeCell ref="C36:E36"/>
    <mergeCell ref="C37:E37"/>
    <mergeCell ref="C38:E38"/>
    <mergeCell ref="E10:F10"/>
    <mergeCell ref="K2:P2"/>
    <mergeCell ref="C16:F16"/>
    <mergeCell ref="C17:F17"/>
    <mergeCell ref="C19:F19"/>
    <mergeCell ref="F23:G23"/>
    <mergeCell ref="E22:G22"/>
    <mergeCell ref="D25:E25"/>
    <mergeCell ref="D26:E26"/>
    <mergeCell ref="F34:G34"/>
    <mergeCell ref="C21:F21"/>
    <mergeCell ref="K1:L1"/>
    <mergeCell ref="W3:Y3"/>
    <mergeCell ref="E4:I4"/>
    <mergeCell ref="W4:Y4"/>
    <mergeCell ref="C15:F15"/>
    <mergeCell ref="N6:O6"/>
    <mergeCell ref="C14:F14"/>
    <mergeCell ref="H6:I6"/>
    <mergeCell ref="K6:L6"/>
    <mergeCell ref="B75:C75"/>
    <mergeCell ref="C55:D55"/>
    <mergeCell ref="C63:E63"/>
    <mergeCell ref="C68:E68"/>
    <mergeCell ref="C62:E62"/>
    <mergeCell ref="C57:D57"/>
    <mergeCell ref="C73:E73"/>
    <mergeCell ref="C56:D56"/>
    <mergeCell ref="C74:E74"/>
    <mergeCell ref="C64:E64"/>
  </mergeCells>
  <dataValidations count="5">
    <dataValidation type="whole" allowBlank="1" showInputMessage="1" showErrorMessage="1" errorTitle="Anteil Erntegut" error="Prozentwert darf nur zwischen 0 und 100 liegen." sqref="O68 L68 I68" xr:uid="{00000000-0002-0000-4F00-000000000000}">
      <formula1>0</formula1>
      <formula2>100</formula2>
    </dataValidation>
    <dataValidation type="decimal" allowBlank="1" showInputMessage="1" showErrorMessage="1" errorTitle="Wassergehalt Getreide" error="Zulässig sind nur Werte zwischen 14,1 und 22,0 % Wassergehalt." sqref="H68 K68 N68" xr:uid="{00000000-0002-0000-4F00-000001000000}">
      <formula1>14.1</formula1>
      <formula2>22</formula2>
    </dataValidation>
    <dataValidation type="list" showInputMessage="1" showErrorMessage="1" sqref="H14 K14 N14" xr:uid="{00000000-0002-0000-4F00-000002000000}">
      <formula1>"ja,nein"</formula1>
    </dataValidation>
    <dataValidation type="list" allowBlank="1" showInputMessage="1" showErrorMessage="1" sqref="H15:H17 K15:K17 N15:N17" xr:uid="{00000000-0002-0000-4F00-000003000000}">
      <formula1>"ja,nein"</formula1>
    </dataValidation>
    <dataValidation type="list" allowBlank="1" showInputMessage="1" showErrorMessage="1" sqref="D19:F19" xr:uid="{00000000-0002-0000-4F00-000004000000}">
      <formula1>$C$60:$C$75</formula1>
    </dataValidation>
  </dataValidations>
  <hyperlinks>
    <hyperlink ref="F9" location="SDÖ1!A1" display="Preis ändern" xr:uid="{00000000-0004-0000-4F00-000000000000}"/>
  </hyperlinks>
  <printOptions horizontalCentered="1"/>
  <pageMargins left="0.59055118110236227" right="0.57999999999999996" top="0.59055118110236227" bottom="0.59055118110236227" header="0.39370078740157483" footer="0.39370078740157483"/>
  <pageSetup paperSize="9" scale="69" firstPageNumber="70" orientation="portrait" r:id="rId4"/>
  <headerFooter alignWithMargins="0">
    <oddFooter>&amp;L&amp;11LEL Schwäbisch Gmünd&amp;C
&amp;R&amp;11&amp;F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F00-000005000000}">
          <x14:formula1>
            <xm:f>'SD2'!$C$11:$C$50</xm:f>
          </x14:formula1>
          <xm:sqref>C14:F17</xm:sqref>
        </x14:dataValidation>
        <x14:dataValidation type="list" allowBlank="1" showInputMessage="1" showErrorMessage="1" xr:uid="{00000000-0002-0000-4F00-000006000000}">
          <x14:formula1>
            <xm:f>'SD2'!$C$60:$C$77</xm:f>
          </x14:formula1>
          <xm:sqref>C19:C21</xm:sqref>
        </x14:dataValidation>
        <x14:dataValidation type="list" allowBlank="1" showInputMessage="1" showErrorMessage="1" xr:uid="{00000000-0002-0000-4F00-000007000000}">
          <x14:formula1>
            <xm:f>SDÖ5!$C$5:$C$16</xm:f>
          </x14:formula1>
          <xm:sqref>C36:E42</xm:sqref>
        </x14:dataValidation>
        <x14:dataValidation type="list" allowBlank="1" showInputMessage="1" showErrorMessage="1" errorTitle="Arbeitsgänge" error="Bitte aus Dropdownliste auswählen." xr:uid="{00000000-0002-0000-4F00-000008000000}">
          <x14:formula1>
            <xm:f>'SD3'!$C$23:$C$75</xm:f>
          </x14:formula1>
          <xm:sqref>C46:D57</xm:sqref>
        </x14:dataValidation>
        <x14:dataValidation type="list" allowBlank="1" showInputMessage="1" showErrorMessage="1" errorTitle="Lohnmaschinen" error="Bitte aus Dropdownliste auswählen." xr:uid="{00000000-0002-0000-4F00-000009000000}">
          <x14:formula1>
            <xm:f>'SD3'!$C$90:$C$104</xm:f>
          </x14:formula1>
          <xm:sqref>C62:E64</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Tabelle98">
    <tabColor rgb="FFFF0000"/>
    <pageSetUpPr fitToPage="1"/>
  </sheetPr>
  <dimension ref="A1:AO211"/>
  <sheetViews>
    <sheetView workbookViewId="0"/>
  </sheetViews>
  <sheetFormatPr baseColWidth="10" defaultColWidth="10.5" defaultRowHeight="13.2"/>
  <cols>
    <col min="1" max="1" width="1.5" style="1707" customWidth="1"/>
    <col min="2" max="2" width="3.19921875" style="1707" customWidth="1"/>
    <col min="3" max="3" width="13.19921875" style="1707" customWidth="1"/>
    <col min="4" max="6" width="9.19921875" style="1707" customWidth="1"/>
    <col min="7" max="7" width="9.19921875" style="35" customWidth="1"/>
    <col min="8" max="8" width="7.19921875" style="1707" customWidth="1"/>
    <col min="9" max="9" width="7.69921875" style="1707" customWidth="1"/>
    <col min="10" max="10" width="8" style="1707" customWidth="1"/>
    <col min="11" max="11" width="7.19921875" style="1707" customWidth="1"/>
    <col min="12" max="12" width="7.69921875" style="1707" customWidth="1"/>
    <col min="13" max="13" width="8.09765625" style="1707" customWidth="1"/>
    <col min="14" max="14" width="7.19921875" style="1707" customWidth="1"/>
    <col min="15" max="15" width="8.09765625" style="1707" customWidth="1"/>
    <col min="16" max="16" width="8.19921875" style="1707" customWidth="1"/>
    <col min="17" max="17" width="19.69921875" style="1707" hidden="1" customWidth="1"/>
    <col min="18" max="30" width="0" style="1711" hidden="1" customWidth="1"/>
    <col min="31" max="16384" width="10.5" style="1711"/>
  </cols>
  <sheetData>
    <row r="1" spans="1:41" s="219" customFormat="1" ht="30.15" customHeight="1">
      <c r="A1" s="1681"/>
      <c r="B1" s="258"/>
      <c r="C1" s="1333"/>
      <c r="D1" s="100"/>
      <c r="E1" s="255"/>
      <c r="F1" s="255"/>
      <c r="G1" s="4477" t="s">
        <v>1136</v>
      </c>
      <c r="H1" s="4477"/>
      <c r="I1" s="4477"/>
      <c r="J1" s="1332" t="e">
        <f>(J7+J13+J19+J22+I11+I12)-(J23+J27+J34+J43+J63+J59+J68+J70+J72+J76)</f>
        <v>#REF!</v>
      </c>
      <c r="K1" s="4476" t="e">
        <f>M1-J1</f>
        <v>#REF!</v>
      </c>
      <c r="L1" s="4476"/>
      <c r="M1" s="1332" t="e">
        <f>(M7+M13+M19+M22+L11+L12)-(M23+M27+M34+M43+M63+M59+M68+M70+M72+M76)</f>
        <v>#REF!</v>
      </c>
      <c r="N1" s="4476" t="e">
        <f>P1-M1</f>
        <v>#REF!</v>
      </c>
      <c r="O1" s="4476"/>
      <c r="P1" s="1332" t="e">
        <f>(P7+P13+P19+P22+O11+O12)-(P23+P27+P34+P43+P63+P59+P68+P70+P72+P76)</f>
        <v>#REF!</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1344" t="s">
        <v>1371</v>
      </c>
      <c r="G2" s="1317"/>
      <c r="H2" s="1328"/>
      <c r="K2" s="4441" t="s">
        <v>1370</v>
      </c>
      <c r="L2" s="4441"/>
      <c r="M2" s="4441"/>
      <c r="N2" s="4441"/>
      <c r="O2" s="4441"/>
      <c r="P2" s="4441"/>
      <c r="Q2" s="1321"/>
    </row>
    <row r="3" spans="1:41" s="219" customFormat="1" ht="21.75" customHeight="1">
      <c r="A3" s="1681"/>
      <c r="B3" s="1344"/>
      <c r="G3" s="1317"/>
      <c r="H3" s="1328"/>
      <c r="J3" s="4368" t="s">
        <v>886</v>
      </c>
      <c r="K3" s="4447"/>
      <c r="L3" s="4447"/>
      <c r="M3" s="1327"/>
      <c r="N3" s="4444" t="str">
        <f>IF(AND(T3=TRUE,T4=TRUE),"nur 1 Strohnutzung möglich","")</f>
        <v/>
      </c>
      <c r="O3" s="4374"/>
      <c r="P3" s="1326"/>
      <c r="Q3" s="1681"/>
      <c r="T3" s="1343" t="b">
        <v>0</v>
      </c>
      <c r="W3" s="4368" t="s">
        <v>886</v>
      </c>
      <c r="X3" s="4447"/>
      <c r="Y3" s="4447"/>
      <c r="Z3" s="1327"/>
    </row>
    <row r="4" spans="1:41" s="219" customFormat="1" ht="20.25" customHeight="1">
      <c r="A4" s="1681"/>
      <c r="B4" s="309" t="s">
        <v>779</v>
      </c>
      <c r="C4" s="1711"/>
      <c r="D4" s="1711"/>
      <c r="E4" s="4406" t="s">
        <v>1147</v>
      </c>
      <c r="F4" s="4406"/>
      <c r="G4" s="4406"/>
      <c r="H4" s="4406"/>
      <c r="I4" s="4406"/>
      <c r="J4" s="4368" t="s">
        <v>875</v>
      </c>
      <c r="K4" s="4447"/>
      <c r="L4" s="4447"/>
      <c r="M4" s="1696"/>
      <c r="N4" s="4374"/>
      <c r="O4" s="4374"/>
      <c r="P4" s="1322">
        <f>SDÖ1!O3</f>
        <v>2024</v>
      </c>
      <c r="Q4" s="1681"/>
      <c r="T4" s="1343" t="b">
        <v>0</v>
      </c>
      <c r="W4" s="4368" t="s">
        <v>875</v>
      </c>
      <c r="X4" s="4447"/>
      <c r="Y4" s="4447"/>
      <c r="Z4" s="1696"/>
    </row>
    <row r="5" spans="1:41" ht="6" customHeight="1" thickBot="1"/>
    <row r="6" spans="1:41" s="1311" customFormat="1" ht="24" customHeight="1">
      <c r="A6" s="41"/>
      <c r="B6" s="2187" t="s">
        <v>832</v>
      </c>
      <c r="C6" s="2186"/>
      <c r="D6" s="2186"/>
      <c r="E6" s="2186"/>
      <c r="F6" s="2186"/>
      <c r="G6" s="2185" t="s">
        <v>1141</v>
      </c>
      <c r="H6" s="4510"/>
      <c r="I6" s="4511"/>
      <c r="J6" s="1678">
        <v>1</v>
      </c>
      <c r="K6" s="4512"/>
      <c r="L6" s="4513"/>
      <c r="M6" s="1678">
        <v>1</v>
      </c>
      <c r="N6" s="4514"/>
      <c r="O6" s="4515"/>
      <c r="P6" s="1677">
        <f>M6*1.25</f>
        <v>1.25</v>
      </c>
      <c r="Q6" s="49"/>
      <c r="R6" s="1311" t="s">
        <v>1369</v>
      </c>
    </row>
    <row r="7" spans="1:41" s="196" customFormat="1" ht="18.75" customHeight="1">
      <c r="A7" s="40"/>
      <c r="B7" s="1676" t="s">
        <v>1133</v>
      </c>
      <c r="C7" s="40"/>
      <c r="D7" s="40"/>
      <c r="E7" s="40"/>
      <c r="F7" s="40"/>
      <c r="G7" s="1675" t="s">
        <v>163</v>
      </c>
      <c r="H7" s="1307"/>
      <c r="I7" s="1306"/>
      <c r="J7" s="1041">
        <f>SUM(I9:I10)</f>
        <v>0</v>
      </c>
      <c r="K7" s="1309"/>
      <c r="L7" s="1308"/>
      <c r="M7" s="1044">
        <f>SUM(L9:L10)</f>
        <v>0</v>
      </c>
      <c r="N7" s="1307"/>
      <c r="O7" s="1306"/>
      <c r="P7" s="1589">
        <f>SUM(O9:O10)</f>
        <v>0</v>
      </c>
      <c r="Q7" s="1707"/>
    </row>
    <row r="8" spans="1:41" s="196" customFormat="1" ht="13.2" customHeight="1">
      <c r="A8" s="40"/>
      <c r="B8" s="1665"/>
      <c r="C8" s="1305"/>
      <c r="D8" s="1305"/>
      <c r="E8" s="1305"/>
      <c r="F8" s="1305"/>
      <c r="G8" s="1585" t="s">
        <v>220</v>
      </c>
      <c r="H8" s="1655" t="s">
        <v>164</v>
      </c>
      <c r="I8" s="1581" t="s">
        <v>163</v>
      </c>
      <c r="J8" s="1026"/>
      <c r="K8" s="1657" t="s">
        <v>164</v>
      </c>
      <c r="L8" s="1583" t="s">
        <v>163</v>
      </c>
      <c r="M8" s="1227"/>
      <c r="N8" s="1655" t="s">
        <v>164</v>
      </c>
      <c r="O8" s="1581" t="s">
        <v>163</v>
      </c>
      <c r="P8" s="1580"/>
      <c r="Q8" s="1707"/>
    </row>
    <row r="9" spans="1:41" s="196" customFormat="1" ht="16.5" customHeight="1">
      <c r="A9" s="40"/>
      <c r="B9" s="1591"/>
      <c r="C9" s="39" t="s">
        <v>1132</v>
      </c>
      <c r="D9" s="40"/>
      <c r="E9" s="40"/>
      <c r="F9" s="40"/>
      <c r="G9" s="1221"/>
      <c r="H9" s="1303">
        <f>J6-H10</f>
        <v>0.75</v>
      </c>
      <c r="I9" s="1299">
        <f>H9*G9</f>
        <v>0</v>
      </c>
      <c r="J9" s="37"/>
      <c r="K9" s="1302">
        <f>M6-K10</f>
        <v>0.75</v>
      </c>
      <c r="L9" s="1301">
        <f>K9*G9</f>
        <v>0</v>
      </c>
      <c r="M9" s="1280"/>
      <c r="N9" s="1300">
        <f>P6-N10</f>
        <v>0.9375</v>
      </c>
      <c r="O9" s="1299">
        <f>N9*G9</f>
        <v>0</v>
      </c>
      <c r="P9" s="216"/>
      <c r="Q9" s="1707"/>
      <c r="R9" s="517"/>
      <c r="S9" s="208" t="s">
        <v>887</v>
      </c>
      <c r="T9" s="1298"/>
    </row>
    <row r="10" spans="1:41" s="1268" customFormat="1" ht="15" customHeight="1">
      <c r="A10" s="309"/>
      <c r="B10" s="1492"/>
      <c r="C10" s="223" t="s">
        <v>1131</v>
      </c>
      <c r="D10" s="1277"/>
      <c r="E10" s="4508" t="s">
        <v>1151</v>
      </c>
      <c r="F10" s="4509"/>
      <c r="G10" s="1297"/>
      <c r="H10" s="1292">
        <f>J6*0.25</f>
        <v>0.25</v>
      </c>
      <c r="I10" s="1291">
        <f>H10*G10</f>
        <v>0</v>
      </c>
      <c r="K10" s="1295">
        <f>M6*25%</f>
        <v>0.25</v>
      </c>
      <c r="L10" s="1294">
        <f>K10*G10</f>
        <v>0</v>
      </c>
      <c r="M10" s="1293"/>
      <c r="N10" s="1292">
        <f>P6*25%</f>
        <v>0.3125</v>
      </c>
      <c r="O10" s="1291">
        <f>N10*G10</f>
        <v>0</v>
      </c>
      <c r="P10" s="1674"/>
      <c r="Q10" s="1707"/>
      <c r="R10" s="1289">
        <f>I10+I11+I12</f>
        <v>0</v>
      </c>
      <c r="S10" s="1288">
        <f>L10+L11+L12</f>
        <v>0</v>
      </c>
      <c r="T10" s="1287">
        <f>O10+O11+O12</f>
        <v>0</v>
      </c>
      <c r="W10" s="196" t="s">
        <v>879</v>
      </c>
    </row>
    <row r="11" spans="1:41" s="1268" customFormat="1" ht="15" customHeight="1">
      <c r="A11" s="309"/>
      <c r="B11" s="218"/>
      <c r="C11" s="39" t="s">
        <v>878</v>
      </c>
      <c r="D11" s="309"/>
      <c r="E11" s="1673">
        <v>0.8</v>
      </c>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216"/>
      <c r="Q11" s="1707"/>
      <c r="W11" s="1268" t="s">
        <v>876</v>
      </c>
    </row>
    <row r="12" spans="1:41" s="1268" customFormat="1" ht="15" customHeight="1">
      <c r="A12" s="309"/>
      <c r="B12" s="1492"/>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216"/>
      <c r="Q12" s="1707"/>
    </row>
    <row r="13" spans="1:41" s="196" customFormat="1" ht="18.75" customHeight="1">
      <c r="A13" s="40"/>
      <c r="B13" s="1591" t="s">
        <v>1130</v>
      </c>
      <c r="C13" s="40"/>
      <c r="D13" s="1672"/>
      <c r="E13" s="1672"/>
      <c r="F13" s="1672"/>
      <c r="G13" s="1671" t="s">
        <v>163</v>
      </c>
      <c r="H13" s="1351"/>
      <c r="I13" s="1249"/>
      <c r="J13" s="1041" t="e">
        <f>SUM(I14:I18)</f>
        <v>#REF!</v>
      </c>
      <c r="K13" s="1352"/>
      <c r="L13" s="1251"/>
      <c r="M13" s="1044" t="e">
        <f>SUM(L14:L18)</f>
        <v>#REF!</v>
      </c>
      <c r="N13" s="1351"/>
      <c r="O13" s="1249"/>
      <c r="P13" s="1589" t="e">
        <f>SUM(O14:O18)</f>
        <v>#REF!</v>
      </c>
      <c r="Q13" s="1707"/>
      <c r="R13" s="100"/>
      <c r="W13" s="1266" t="s">
        <v>872</v>
      </c>
      <c r="X13" s="1264" t="str">
        <f>IF(OR(T3=TRUE,T4=TRUE),J6*$E$11,"0")</f>
        <v>0</v>
      </c>
      <c r="Y13" s="1265" t="str">
        <f>IF(OR(T3=TRUE,T4=TRUE),M6*$E$11,"0")</f>
        <v>0</v>
      </c>
      <c r="Z13" s="1264" t="str">
        <f>IF(OR(T3=TRUE,T4=TRUE),P6*$E$11,"0")</f>
        <v>0</v>
      </c>
    </row>
    <row r="14" spans="1:41" s="36" customFormat="1" ht="15" customHeight="1">
      <c r="A14" s="39"/>
      <c r="B14" s="1669"/>
      <c r="C14" s="4484" t="s">
        <v>1029</v>
      </c>
      <c r="D14" s="4484"/>
      <c r="E14" s="4484"/>
      <c r="F14" s="4484"/>
      <c r="G14" s="1263"/>
      <c r="H14" s="1705"/>
      <c r="I14" s="1243" t="e">
        <f>IF(R14=TRUE,Q14,0)</f>
        <v>#REF!</v>
      </c>
      <c r="K14" s="1705"/>
      <c r="L14" s="1098" t="e">
        <f>IF(S14=TRUE,Q14,0)</f>
        <v>#REF!</v>
      </c>
      <c r="M14" s="1578"/>
      <c r="N14" s="1705"/>
      <c r="O14" s="1243" t="e">
        <f>IF(T14=TRUE,Q14,0)</f>
        <v>#REF!</v>
      </c>
      <c r="P14" s="1577"/>
      <c r="Q14" s="1261" t="e">
        <f>IF(C14=0,0,VLOOKUP(C14,#REF!,10,FALSE))</f>
        <v>#REF!</v>
      </c>
      <c r="R14" s="1350" t="b">
        <v>1</v>
      </c>
      <c r="S14" s="1349" t="b">
        <v>1</v>
      </c>
      <c r="T14" s="1348" t="b">
        <v>1</v>
      </c>
      <c r="W14" s="36" t="s">
        <v>236</v>
      </c>
      <c r="X14" s="1260">
        <f>$X$13*F30</f>
        <v>0</v>
      </c>
      <c r="Y14" s="1260">
        <f>$Y$13*F30</f>
        <v>0</v>
      </c>
      <c r="Z14" s="1260">
        <f>$Z$13*F30</f>
        <v>0</v>
      </c>
    </row>
    <row r="15" spans="1:41" s="36" customFormat="1" ht="15" customHeight="1">
      <c r="A15" s="39"/>
      <c r="B15" s="1669"/>
      <c r="C15" s="4484"/>
      <c r="D15" s="4484"/>
      <c r="E15" s="4484"/>
      <c r="F15" s="4484"/>
      <c r="G15" s="1263"/>
      <c r="H15" s="1705"/>
      <c r="I15" s="1243">
        <f>IF(R15=TRUE,Q15,0)</f>
        <v>0</v>
      </c>
      <c r="J15" s="45"/>
      <c r="K15" s="1705"/>
      <c r="L15" s="1098">
        <f>IF(S15=TRUE,Q15,0)</f>
        <v>0</v>
      </c>
      <c r="M15" s="1578"/>
      <c r="N15" s="1705"/>
      <c r="O15" s="1243">
        <f>IF(T15=TRUE,Q15,0)</f>
        <v>0</v>
      </c>
      <c r="P15" s="1577"/>
      <c r="Q15" s="1261">
        <f>IF(C15=0,0,VLOOKUP(C15,#REF!,10,FALSE))</f>
        <v>0</v>
      </c>
      <c r="R15" s="1347" t="b">
        <v>0</v>
      </c>
      <c r="S15" s="1343" t="b">
        <v>0</v>
      </c>
      <c r="T15" s="1346" t="b">
        <v>0</v>
      </c>
      <c r="W15" s="36" t="s">
        <v>685</v>
      </c>
      <c r="X15" s="1260">
        <f>$X$13*F31</f>
        <v>0</v>
      </c>
      <c r="Y15" s="1260">
        <f>$Y$13*F31</f>
        <v>0</v>
      </c>
      <c r="Z15" s="1260">
        <f>$Z$13*F31</f>
        <v>0</v>
      </c>
    </row>
    <row r="16" spans="1:41" s="36" customFormat="1" ht="15" customHeight="1">
      <c r="A16" s="39"/>
      <c r="B16" s="1669">
        <v>0</v>
      </c>
      <c r="C16" s="4484">
        <v>0</v>
      </c>
      <c r="D16" s="4484"/>
      <c r="E16" s="4484"/>
      <c r="F16" s="4484"/>
      <c r="G16" s="1263"/>
      <c r="H16" s="1705"/>
      <c r="I16" s="1243">
        <f>IF(R16=TRUE,Q16,0)</f>
        <v>0</v>
      </c>
      <c r="K16" s="1705"/>
      <c r="L16" s="1098">
        <f>IF(S16=TRUE,Q16,0)</f>
        <v>0</v>
      </c>
      <c r="M16" s="1578"/>
      <c r="N16" s="1705"/>
      <c r="O16" s="1243">
        <f>IF(T16=TRUE,Q16,0)</f>
        <v>0</v>
      </c>
      <c r="P16" s="1577"/>
      <c r="Q16" s="1261">
        <f>IF(C16=0,0,VLOOKUP(C16,#REF!,10,FALSE))</f>
        <v>0</v>
      </c>
      <c r="R16" s="1347" t="b">
        <v>0</v>
      </c>
      <c r="S16" s="1343" t="b">
        <v>0</v>
      </c>
      <c r="T16" s="1346" t="b">
        <v>0</v>
      </c>
      <c r="W16" s="36" t="s">
        <v>684</v>
      </c>
      <c r="X16" s="1260">
        <f>$X$13*F32</f>
        <v>0</v>
      </c>
      <c r="Y16" s="1260">
        <f>$Y$13*F32</f>
        <v>0</v>
      </c>
      <c r="Z16" s="1260">
        <f>$Z$13*F32</f>
        <v>0</v>
      </c>
    </row>
    <row r="17" spans="1:26" s="36" customFormat="1" ht="15" customHeight="1">
      <c r="A17" s="39"/>
      <c r="B17" s="1669"/>
      <c r="C17" s="4484">
        <v>0</v>
      </c>
      <c r="D17" s="4484"/>
      <c r="E17" s="4484"/>
      <c r="F17" s="4484"/>
      <c r="G17" s="1263"/>
      <c r="H17" s="1705"/>
      <c r="I17" s="1243">
        <f>IF(R17=TRUE,Q17,0)</f>
        <v>0</v>
      </c>
      <c r="K17" s="1705"/>
      <c r="L17" s="1098">
        <f>IF(S17=TRUE,Q17,0)</f>
        <v>0</v>
      </c>
      <c r="M17" s="1578"/>
      <c r="N17" s="1705"/>
      <c r="O17" s="1243">
        <f>IF(T17=TRUE,Q17,0)</f>
        <v>0</v>
      </c>
      <c r="P17" s="1577"/>
      <c r="Q17" s="1261">
        <f>IF(C17=0,0,VLOOKUP(C17,#REF!,10,FALSE))</f>
        <v>0</v>
      </c>
      <c r="R17" s="1347" t="b">
        <v>0</v>
      </c>
      <c r="S17" s="1343" t="b">
        <v>0</v>
      </c>
      <c r="T17" s="1346" t="b">
        <v>0</v>
      </c>
      <c r="W17" s="36" t="s">
        <v>230</v>
      </c>
      <c r="X17" s="1260">
        <f>$X$13*F33</f>
        <v>0</v>
      </c>
      <c r="Y17" s="1260">
        <f>$Y$13*F33</f>
        <v>0</v>
      </c>
      <c r="Z17" s="1260">
        <f>$Z$13*F33</f>
        <v>0</v>
      </c>
    </row>
    <row r="18" spans="1:26" s="36" customFormat="1" ht="15" customHeight="1">
      <c r="A18" s="39"/>
      <c r="B18" s="1603"/>
      <c r="C18" s="1259"/>
      <c r="D18" s="223"/>
      <c r="E18" s="223"/>
      <c r="F18" s="223"/>
      <c r="G18" s="1238"/>
      <c r="H18" s="1255"/>
      <c r="I18" s="1258">
        <f>IF($R18=TRUE,IF(G18=0,0,LOOKUP($G$18,#REF!)),0)</f>
        <v>0</v>
      </c>
      <c r="J18" s="223"/>
      <c r="K18" s="1255"/>
      <c r="L18" s="1257">
        <f>IF($S18=TRUE,IF(G18=0,0,LOOKUP($G$18,#REF!)),0)</f>
        <v>0</v>
      </c>
      <c r="M18" s="1256"/>
      <c r="N18" s="1255"/>
      <c r="O18" s="1254">
        <f>IF($T18=TRUE,IF(G18=0,0,LOOKUP($G$18,#REF!)),0)</f>
        <v>0</v>
      </c>
      <c r="P18" s="2184"/>
      <c r="Q18" s="1261">
        <f>IF(C18=0,0,VLOOKUP(C18,#REF!,10,FALSE))</f>
        <v>0</v>
      </c>
      <c r="R18" s="2183" t="b">
        <v>0</v>
      </c>
      <c r="S18" s="2182" t="b">
        <v>0</v>
      </c>
      <c r="T18" s="1319" t="b">
        <v>0</v>
      </c>
    </row>
    <row r="19" spans="1:26" s="1706" customFormat="1" ht="18.75" customHeight="1">
      <c r="A19" s="40"/>
      <c r="B19" s="1591" t="s">
        <v>1129</v>
      </c>
      <c r="C19" s="40"/>
      <c r="D19" s="40"/>
      <c r="E19" s="40"/>
      <c r="F19" s="40"/>
      <c r="G19" s="175" t="s">
        <v>163</v>
      </c>
      <c r="H19" s="1250"/>
      <c r="I19" s="1249"/>
      <c r="J19" s="1041" t="e">
        <f>SUM(I20:I21)</f>
        <v>#REF!</v>
      </c>
      <c r="K19" s="1252"/>
      <c r="L19" s="1251"/>
      <c r="M19" s="1044" t="e">
        <f>SUM(L20:L21)</f>
        <v>#REF!</v>
      </c>
      <c r="N19" s="1250"/>
      <c r="O19" s="1249"/>
      <c r="P19" s="1589" t="e">
        <f>SUM(O20:O21)</f>
        <v>#REF!</v>
      </c>
      <c r="Q19" s="1707"/>
      <c r="R19" s="514" t="s">
        <v>870</v>
      </c>
      <c r="S19" s="308"/>
      <c r="T19" s="1248"/>
    </row>
    <row r="20" spans="1:26" s="36" customFormat="1" ht="15" customHeight="1">
      <c r="A20" s="39"/>
      <c r="B20" s="1669"/>
      <c r="C20" s="4484" t="s">
        <v>276</v>
      </c>
      <c r="D20" s="4484"/>
      <c r="E20" s="4484"/>
      <c r="F20" s="4484"/>
      <c r="G20" s="1246"/>
      <c r="H20" s="1244"/>
      <c r="I20" s="1243" t="e">
        <f>IF(OR($C20=0,$J$6=0),0,VLOOKUP($C20,#REF!,10,FALSE))</f>
        <v>#REF!</v>
      </c>
      <c r="K20" s="1245"/>
      <c r="L20" s="1098" t="e">
        <f>IF($C20=0,0,VLOOKUP($C20,#REF!,10,FALSE))</f>
        <v>#REF!</v>
      </c>
      <c r="M20" s="1578"/>
      <c r="N20" s="1244"/>
      <c r="O20" s="1243" t="e">
        <f>IF(OR($C20=0,$P$6=0),0,VLOOKUP($C20,#REF!,10,FALSE))</f>
        <v>#REF!</v>
      </c>
      <c r="P20" s="1577"/>
      <c r="Q20" s="1707"/>
      <c r="R20" s="1242" t="e">
        <f>J13+J19</f>
        <v>#REF!</v>
      </c>
      <c r="S20" s="1241" t="e">
        <f>M13+M19</f>
        <v>#REF!</v>
      </c>
      <c r="T20" s="1240" t="e">
        <f>P13+P19</f>
        <v>#REF!</v>
      </c>
    </row>
    <row r="21" spans="1:26" s="36" customFormat="1" ht="0.75" customHeight="1">
      <c r="A21" s="39"/>
      <c r="B21" s="1668"/>
      <c r="C21" s="4501"/>
      <c r="D21" s="4501"/>
      <c r="E21" s="4501"/>
      <c r="F21" s="4501"/>
      <c r="G21" s="1238"/>
      <c r="H21" s="1236"/>
      <c r="I21" s="1235">
        <f>IF(OR($C21=0,$J$6=0),0,VLOOKUP($C21,#REF!,10,FALSE))</f>
        <v>0</v>
      </c>
      <c r="K21" s="1237"/>
      <c r="L21" s="1080">
        <f>IF(OR($C21=0,$M$6=0),0,VLOOKUP($C21,#REF!,10,FALSE))</f>
        <v>0</v>
      </c>
      <c r="M21" s="1578"/>
      <c r="N21" s="1236"/>
      <c r="O21" s="1235">
        <f>IF(OR($C21=0,$P$6=0),0,VLOOKUP($C21,#REF!,10,FALSE))</f>
        <v>0</v>
      </c>
      <c r="P21" s="1601"/>
      <c r="Q21" s="1707"/>
    </row>
    <row r="22" spans="1:26" ht="16.5" customHeight="1">
      <c r="A22" s="309"/>
      <c r="B22" s="1591" t="s">
        <v>610</v>
      </c>
      <c r="C22" s="39"/>
      <c r="D22" s="4502"/>
      <c r="E22" s="4502"/>
      <c r="F22" s="4502"/>
      <c r="G22" s="4503"/>
      <c r="H22" s="1231"/>
      <c r="I22" s="1230"/>
      <c r="J22" s="1229"/>
      <c r="K22" s="1233"/>
      <c r="L22" s="1232"/>
      <c r="M22" s="1229"/>
      <c r="N22" s="1231"/>
      <c r="O22" s="1230"/>
      <c r="P22" s="1667"/>
      <c r="R22" s="1707"/>
      <c r="S22" s="1707"/>
      <c r="T22" s="1707"/>
    </row>
    <row r="23" spans="1:26" ht="18.75" customHeight="1">
      <c r="A23" s="309"/>
      <c r="B23" s="1666" t="s">
        <v>214</v>
      </c>
      <c r="C23" s="1228"/>
      <c r="D23" s="1228"/>
      <c r="G23" s="1650" t="s">
        <v>163</v>
      </c>
      <c r="H23" s="1043"/>
      <c r="I23" s="1042"/>
      <c r="J23" s="1026">
        <f>SUM(I25:I26)</f>
        <v>0</v>
      </c>
      <c r="K23" s="1046"/>
      <c r="L23" s="1045"/>
      <c r="M23" s="1227">
        <f>SUM(L25:L26)</f>
        <v>0</v>
      </c>
      <c r="N23" s="1043"/>
      <c r="O23" s="1042"/>
      <c r="P23" s="1580">
        <f>SUM(O25:O26)</f>
        <v>0</v>
      </c>
      <c r="R23" s="1706" t="s">
        <v>1368</v>
      </c>
    </row>
    <row r="24" spans="1:26" ht="13.2" customHeight="1">
      <c r="A24" s="309"/>
      <c r="B24" s="1665"/>
      <c r="C24" s="1039" t="s">
        <v>837</v>
      </c>
      <c r="D24" s="1110">
        <f>SDÖ1!$O$10</f>
        <v>0</v>
      </c>
      <c r="E24" s="1664"/>
      <c r="F24" s="1585" t="s">
        <v>239</v>
      </c>
      <c r="G24" s="1608" t="s">
        <v>836</v>
      </c>
      <c r="H24" s="1655" t="s">
        <v>857</v>
      </c>
      <c r="I24" s="1581" t="s">
        <v>163</v>
      </c>
      <c r="J24" s="1663"/>
      <c r="K24" s="1657" t="s">
        <v>857</v>
      </c>
      <c r="L24" s="1583" t="s">
        <v>163</v>
      </c>
      <c r="M24" s="1662"/>
      <c r="N24" s="1655" t="s">
        <v>857</v>
      </c>
      <c r="O24" s="1581" t="s">
        <v>163</v>
      </c>
      <c r="P24" s="1645"/>
      <c r="R24" s="1711" t="s">
        <v>1367</v>
      </c>
    </row>
    <row r="25" spans="1:26" s="36" customFormat="1" ht="15" customHeight="1">
      <c r="A25" s="746"/>
      <c r="B25" s="1661"/>
      <c r="C25" s="746" t="s">
        <v>866</v>
      </c>
      <c r="D25" s="4383"/>
      <c r="E25" s="4384"/>
      <c r="F25" s="1222"/>
      <c r="G25" s="1221">
        <f>F25*(100+$D$24)/100</f>
        <v>0</v>
      </c>
      <c r="H25" s="1220"/>
      <c r="I25" s="1181">
        <f>H25*$G25</f>
        <v>0</v>
      </c>
      <c r="K25" s="1220"/>
      <c r="L25" s="1023">
        <f>K25*$G25</f>
        <v>0</v>
      </c>
      <c r="M25" s="1578"/>
      <c r="N25" s="1220"/>
      <c r="O25" s="1181">
        <f>N25*$G25</f>
        <v>0</v>
      </c>
      <c r="P25" s="1623"/>
      <c r="Q25" s="1707"/>
    </row>
    <row r="26" spans="1:26" s="36" customFormat="1" ht="15" customHeight="1">
      <c r="A26" s="746"/>
      <c r="B26" s="1593"/>
      <c r="C26" s="1682" t="s">
        <v>183</v>
      </c>
      <c r="D26" s="4385"/>
      <c r="E26" s="4386"/>
      <c r="F26" s="1218"/>
      <c r="G26" s="1217">
        <f>F26*(100+$D$24)/100</f>
        <v>0</v>
      </c>
      <c r="H26" s="1216"/>
      <c r="I26" s="1177">
        <f>H26*$G26</f>
        <v>0</v>
      </c>
      <c r="K26" s="1216"/>
      <c r="L26" s="1017">
        <f>K26*$G26</f>
        <v>0</v>
      </c>
      <c r="M26" s="1578"/>
      <c r="N26" s="1216"/>
      <c r="O26" s="1177">
        <f>N26*$G26</f>
        <v>0</v>
      </c>
      <c r="P26" s="1640"/>
      <c r="Q26" s="1707"/>
    </row>
    <row r="27" spans="1:26" s="1706" customFormat="1" ht="18.75" customHeight="1">
      <c r="A27" s="711"/>
      <c r="B27" s="1639" t="s">
        <v>213</v>
      </c>
      <c r="C27" s="711"/>
      <c r="D27" s="1660" t="str">
        <f>IF(SDÖ1!V17=FALSE,"(Nährstoffabfuhr nicht bewertet)","(Nährstoffabfuhr bewertet)")</f>
        <v>(Nährstoffabfuhr nicht bewertet)</v>
      </c>
      <c r="E27" s="1707"/>
      <c r="F27" s="1707"/>
      <c r="G27" s="1650" t="s">
        <v>163</v>
      </c>
      <c r="H27" s="1173"/>
      <c r="I27" s="1172"/>
      <c r="J27" s="1041">
        <f>SUM(I30:I33)</f>
        <v>0</v>
      </c>
      <c r="K27" s="1175"/>
      <c r="L27" s="1174"/>
      <c r="M27" s="1044">
        <f>SUM(L30:L33)</f>
        <v>0</v>
      </c>
      <c r="N27" s="1173"/>
      <c r="O27" s="1172"/>
      <c r="P27" s="1589">
        <f>SUM(O30:O33)</f>
        <v>0</v>
      </c>
      <c r="Q27" s="1707"/>
    </row>
    <row r="28" spans="1:26" s="1706" customFormat="1" ht="13.65" customHeight="1">
      <c r="A28" s="711"/>
      <c r="B28" s="1633"/>
      <c r="C28" s="1709"/>
      <c r="D28" s="1213" t="s">
        <v>706</v>
      </c>
      <c r="E28" s="1213" t="s">
        <v>864</v>
      </c>
      <c r="F28" s="1213" t="s">
        <v>864</v>
      </c>
      <c r="G28" s="1212" t="s">
        <v>863</v>
      </c>
      <c r="H28" s="1172"/>
      <c r="I28" s="1209"/>
      <c r="J28" s="1710"/>
      <c r="K28" s="1175"/>
      <c r="L28" s="1105"/>
      <c r="M28" s="1210"/>
      <c r="N28" s="1173"/>
      <c r="O28" s="1209"/>
      <c r="P28" s="1580"/>
      <c r="Q28" s="1707"/>
    </row>
    <row r="29" spans="1:26" s="1706" customFormat="1" ht="15" customHeight="1">
      <c r="A29" s="711"/>
      <c r="B29" s="1659"/>
      <c r="C29" s="747" t="s">
        <v>862</v>
      </c>
      <c r="D29" s="1586" t="s">
        <v>611</v>
      </c>
      <c r="E29" s="1586" t="s">
        <v>861</v>
      </c>
      <c r="F29" s="1586" t="s">
        <v>860</v>
      </c>
      <c r="G29" s="1586" t="s">
        <v>612</v>
      </c>
      <c r="H29" s="1655" t="s">
        <v>612</v>
      </c>
      <c r="I29" s="1581" t="s">
        <v>163</v>
      </c>
      <c r="J29" s="1658"/>
      <c r="K29" s="1657" t="s">
        <v>612</v>
      </c>
      <c r="L29" s="1583" t="s">
        <v>163</v>
      </c>
      <c r="M29" s="1656"/>
      <c r="N29" s="1655" t="s">
        <v>612</v>
      </c>
      <c r="O29" s="1581" t="s">
        <v>163</v>
      </c>
      <c r="P29" s="1654"/>
      <c r="Q29" s="1707"/>
    </row>
    <row r="30" spans="1:26" s="36" customFormat="1" ht="15" customHeight="1">
      <c r="A30" s="746"/>
      <c r="B30" s="1653"/>
      <c r="C30" s="1202" t="s">
        <v>236</v>
      </c>
      <c r="D30" s="1150">
        <f>IF(SDÖ1!$V$17=TRUE,SDÖ1!O56,0)</f>
        <v>0</v>
      </c>
      <c r="E30" s="1652"/>
      <c r="F30" s="1652"/>
      <c r="G30" s="1200"/>
      <c r="H30" s="1198">
        <f>IF(J$6=0,0,(J$6*$E30+$G30+X14))</f>
        <v>0</v>
      </c>
      <c r="I30" s="1181">
        <f>H30*$D30</f>
        <v>0</v>
      </c>
      <c r="K30" s="1199">
        <f>IF(M$6=0,0,(M$6*$E30+$G30+Y14))</f>
        <v>0</v>
      </c>
      <c r="L30" s="1023">
        <f>K30*$D30</f>
        <v>0</v>
      </c>
      <c r="M30" s="1578"/>
      <c r="N30" s="1198">
        <f>IF(P$6=0,0,(P$6*$E30+$G30+Z14))</f>
        <v>0</v>
      </c>
      <c r="O30" s="1181">
        <f>N30*$D30</f>
        <v>0</v>
      </c>
      <c r="P30" s="1623"/>
      <c r="Q30" s="1707"/>
    </row>
    <row r="31" spans="1:26" s="36" customFormat="1" ht="15" customHeight="1">
      <c r="A31" s="746"/>
      <c r="B31" s="218"/>
      <c r="C31" s="746" t="s">
        <v>234</v>
      </c>
      <c r="D31" s="1150">
        <f>IF(SDÖ1!$V$17=TRUE,SDÖ1!O57,0)</f>
        <v>0</v>
      </c>
      <c r="E31" s="1652"/>
      <c r="F31" s="1652"/>
      <c r="G31" s="1200"/>
      <c r="H31" s="1198">
        <f>IF(J$6=0,0,(J$6*$E31+$G31+X15))</f>
        <v>0</v>
      </c>
      <c r="I31" s="1181">
        <f>H31*$D31</f>
        <v>0</v>
      </c>
      <c r="K31" s="1199">
        <f>IF(M$6=0,0,(M$6*$E31+$G31+Y15))</f>
        <v>0</v>
      </c>
      <c r="L31" s="1023">
        <f>K31*$D31</f>
        <v>0</v>
      </c>
      <c r="M31" s="1578"/>
      <c r="N31" s="1198">
        <f>IF(P$6=0,0,(P$6*$E31+$G31+Z15))</f>
        <v>0</v>
      </c>
      <c r="O31" s="1181">
        <f>N31*$D31</f>
        <v>0</v>
      </c>
      <c r="P31" s="1623"/>
      <c r="Q31" s="1707"/>
    </row>
    <row r="32" spans="1:26" s="36" customFormat="1" ht="15" customHeight="1">
      <c r="A32" s="746"/>
      <c r="B32" s="218"/>
      <c r="C32" s="746" t="s">
        <v>232</v>
      </c>
      <c r="D32" s="1150">
        <f>IF(SDÖ1!$V$17=TRUE,SDÖ1!O58,0)</f>
        <v>0</v>
      </c>
      <c r="E32" s="1652"/>
      <c r="F32" s="1652"/>
      <c r="G32" s="1200"/>
      <c r="H32" s="1198">
        <f>IF(J$6=0,0,(J$6*$E32+$G32+X16))</f>
        <v>0</v>
      </c>
      <c r="I32" s="1181">
        <f>H32*$D32</f>
        <v>0</v>
      </c>
      <c r="K32" s="1199">
        <f>IF(M$6=0,0,(M$6*$E32+$G32+Y16))</f>
        <v>0</v>
      </c>
      <c r="L32" s="1023">
        <f>K32*$D32</f>
        <v>0</v>
      </c>
      <c r="M32" s="1578"/>
      <c r="N32" s="1198">
        <f>IF(P$6=0,0,(P$6*$E32+$G32+Z16))</f>
        <v>0</v>
      </c>
      <c r="O32" s="1181">
        <f>N32*$D32</f>
        <v>0</v>
      </c>
      <c r="P32" s="1623"/>
      <c r="Q32" s="1707"/>
    </row>
    <row r="33" spans="1:18" s="36" customFormat="1" ht="15" customHeight="1">
      <c r="A33" s="746"/>
      <c r="B33" s="1492"/>
      <c r="C33" s="771" t="s">
        <v>230</v>
      </c>
      <c r="D33" s="1133">
        <f>IF(SDÖ1!$V$17=TRUE,SDÖ1!P59,0)</f>
        <v>0</v>
      </c>
      <c r="E33" s="1651"/>
      <c r="F33" s="1651"/>
      <c r="G33" s="1196"/>
      <c r="H33" s="1194">
        <f>IF(J$6=0,0,(J$6*$E33+$G33+X17))</f>
        <v>0</v>
      </c>
      <c r="I33" s="1177">
        <f>H33*$D33</f>
        <v>0</v>
      </c>
      <c r="K33" s="1195">
        <f>IF(M$6=0,0,(M$6*$E33+$G33+Y17))</f>
        <v>0</v>
      </c>
      <c r="L33" s="1017">
        <f>K33*$D33</f>
        <v>0</v>
      </c>
      <c r="M33" s="1578"/>
      <c r="N33" s="1194">
        <f>IF(P$6=0,0,(P$6*$E33+$G33+Z17))</f>
        <v>0</v>
      </c>
      <c r="O33" s="1177">
        <f>N33*$D33</f>
        <v>0</v>
      </c>
      <c r="P33" s="1640"/>
      <c r="Q33" s="1707"/>
    </row>
    <row r="34" spans="1:18" s="1706" customFormat="1" ht="18.75" customHeight="1">
      <c r="A34" s="711"/>
      <c r="B34" s="1594" t="s">
        <v>212</v>
      </c>
      <c r="C34" s="711"/>
      <c r="G34" s="1650" t="s">
        <v>163</v>
      </c>
      <c r="H34" s="1191"/>
      <c r="I34" s="1190"/>
      <c r="J34" s="1041">
        <f>SUM(I36:I42)</f>
        <v>0</v>
      </c>
      <c r="K34" s="1193"/>
      <c r="L34" s="1192"/>
      <c r="M34" s="1044">
        <f>SUM(L36:L42)</f>
        <v>0</v>
      </c>
      <c r="N34" s="1191"/>
      <c r="O34" s="1190"/>
      <c r="P34" s="1589">
        <f>SUM(O36:O42)</f>
        <v>0</v>
      </c>
      <c r="Q34" s="1707"/>
    </row>
    <row r="35" spans="1:18" s="1706" customFormat="1" ht="13.2" customHeight="1">
      <c r="A35" s="711"/>
      <c r="B35" s="1588"/>
      <c r="C35" s="1039" t="s">
        <v>837</v>
      </c>
      <c r="D35" s="1110">
        <f>SDÖ1!$O$11</f>
        <v>0</v>
      </c>
      <c r="E35" s="1587"/>
      <c r="F35" s="1585" t="s">
        <v>239</v>
      </c>
      <c r="G35" s="1608" t="s">
        <v>836</v>
      </c>
      <c r="H35" s="1646" t="s">
        <v>857</v>
      </c>
      <c r="I35" s="1581" t="s">
        <v>163</v>
      </c>
      <c r="J35" s="1649"/>
      <c r="K35" s="1648" t="s">
        <v>857</v>
      </c>
      <c r="L35" s="1583" t="s">
        <v>163</v>
      </c>
      <c r="M35" s="1647"/>
      <c r="N35" s="1646" t="s">
        <v>857</v>
      </c>
      <c r="O35" s="1581" t="s">
        <v>163</v>
      </c>
      <c r="P35" s="1580"/>
      <c r="Q35" s="1707"/>
    </row>
    <row r="36" spans="1:18" s="36" customFormat="1" ht="15" customHeight="1">
      <c r="A36" s="746"/>
      <c r="B36" s="1579"/>
      <c r="C36" s="4490"/>
      <c r="D36" s="4490"/>
      <c r="E36" s="4491"/>
      <c r="F36" s="1183">
        <f>IF(C36=0,0,VLOOKUP(C36,SDÖ5!$C$7:$D$16,2,FALSE))</f>
        <v>0</v>
      </c>
      <c r="G36" s="1183">
        <f t="shared" ref="G36:G42" si="0">F36*(100+$D$35)/100</f>
        <v>0</v>
      </c>
      <c r="H36" s="1643"/>
      <c r="I36" s="1181">
        <f t="shared" ref="I36:I42" si="1">$G36*H36</f>
        <v>0</v>
      </c>
      <c r="K36" s="1643"/>
      <c r="L36" s="1023">
        <f t="shared" ref="L36:L42" si="2">$G36*K36</f>
        <v>0</v>
      </c>
      <c r="M36" s="1578"/>
      <c r="N36" s="1643"/>
      <c r="O36" s="1181">
        <f t="shared" ref="O36:O42" si="3">$G36*N36</f>
        <v>0</v>
      </c>
      <c r="P36" s="1645"/>
      <c r="Q36" s="1707"/>
    </row>
    <row r="37" spans="1:18" s="36" customFormat="1" ht="15" customHeight="1">
      <c r="A37" s="746"/>
      <c r="B37" s="1579"/>
      <c r="C37" s="4488"/>
      <c r="D37" s="4488"/>
      <c r="E37" s="4489"/>
      <c r="F37" s="1183">
        <f>IF(C37=0,0,VLOOKUP(C37,SDÖ5!$C$7:$D$16,2,FALSE))</f>
        <v>0</v>
      </c>
      <c r="G37" s="1183">
        <f t="shared" si="0"/>
        <v>0</v>
      </c>
      <c r="H37" s="1643"/>
      <c r="I37" s="1181">
        <f t="shared" si="1"/>
        <v>0</v>
      </c>
      <c r="K37" s="1643"/>
      <c r="L37" s="1023">
        <f t="shared" si="2"/>
        <v>0</v>
      </c>
      <c r="M37" s="1578"/>
      <c r="N37" s="1643"/>
      <c r="O37" s="1181">
        <f t="shared" si="3"/>
        <v>0</v>
      </c>
      <c r="P37" s="1623"/>
      <c r="Q37" s="1707"/>
    </row>
    <row r="38" spans="1:18" s="36" customFormat="1" ht="15" customHeight="1">
      <c r="A38" s="746"/>
      <c r="B38" s="1644"/>
      <c r="C38" s="4488"/>
      <c r="D38" s="4488"/>
      <c r="E38" s="4489"/>
      <c r="F38" s="1183">
        <f>IF(C38=0,0,VLOOKUP(C38,SDÖ5!$C$7:$D$16,2,FALSE))</f>
        <v>0</v>
      </c>
      <c r="G38" s="1183">
        <f t="shared" si="0"/>
        <v>0</v>
      </c>
      <c r="H38" s="1643"/>
      <c r="I38" s="1181">
        <f t="shared" si="1"/>
        <v>0</v>
      </c>
      <c r="K38" s="1643"/>
      <c r="L38" s="1023">
        <f t="shared" si="2"/>
        <v>0</v>
      </c>
      <c r="M38" s="1578"/>
      <c r="N38" s="1643"/>
      <c r="O38" s="1181">
        <f t="shared" si="3"/>
        <v>0</v>
      </c>
      <c r="P38" s="1623"/>
      <c r="Q38" s="1707"/>
      <c r="R38" s="36" t="s">
        <v>1366</v>
      </c>
    </row>
    <row r="39" spans="1:18" s="36" customFormat="1" ht="15" hidden="1" customHeight="1">
      <c r="A39" s="746"/>
      <c r="B39" s="1579"/>
      <c r="C39" s="4488"/>
      <c r="D39" s="4488"/>
      <c r="E39" s="4489"/>
      <c r="F39" s="1183">
        <f>IF(C39=0,0,VLOOKUP(C39,SDÖ5!$C$7:$D$16,2,FALSE))</f>
        <v>0</v>
      </c>
      <c r="G39" s="1183">
        <f t="shared" si="0"/>
        <v>0</v>
      </c>
      <c r="H39" s="1643"/>
      <c r="I39" s="1181">
        <f t="shared" si="1"/>
        <v>0</v>
      </c>
      <c r="K39" s="1643"/>
      <c r="L39" s="1023">
        <f t="shared" si="2"/>
        <v>0</v>
      </c>
      <c r="M39" s="1578"/>
      <c r="N39" s="1643"/>
      <c r="O39" s="1181">
        <f t="shared" si="3"/>
        <v>0</v>
      </c>
      <c r="P39" s="1623"/>
      <c r="Q39" s="1707"/>
    </row>
    <row r="40" spans="1:18" s="36" customFormat="1" ht="15" hidden="1" customHeight="1">
      <c r="A40" s="746"/>
      <c r="B40" s="1579"/>
      <c r="C40" s="4488"/>
      <c r="D40" s="4488"/>
      <c r="E40" s="4489"/>
      <c r="F40" s="1183">
        <f>IF(C40=0,0,VLOOKUP(C40,SDÖ5!$C$7:$D$16,2,FALSE))</f>
        <v>0</v>
      </c>
      <c r="G40" s="1183">
        <f t="shared" si="0"/>
        <v>0</v>
      </c>
      <c r="H40" s="1643"/>
      <c r="I40" s="1181">
        <f t="shared" si="1"/>
        <v>0</v>
      </c>
      <c r="K40" s="1643"/>
      <c r="L40" s="1023">
        <f t="shared" si="2"/>
        <v>0</v>
      </c>
      <c r="M40" s="1578"/>
      <c r="N40" s="1643"/>
      <c r="O40" s="1181">
        <f t="shared" si="3"/>
        <v>0</v>
      </c>
      <c r="P40" s="1623"/>
      <c r="Q40" s="1707"/>
    </row>
    <row r="41" spans="1:18" s="36" customFormat="1" ht="15" hidden="1" customHeight="1">
      <c r="A41" s="746"/>
      <c r="B41" s="1579"/>
      <c r="C41" s="4488"/>
      <c r="D41" s="4488"/>
      <c r="E41" s="4489"/>
      <c r="F41" s="1183">
        <f>IF(C41=0,0,VLOOKUP(C41,SDÖ5!$C$7:$D$16,2,FALSE))</f>
        <v>0</v>
      </c>
      <c r="G41" s="1183">
        <f t="shared" si="0"/>
        <v>0</v>
      </c>
      <c r="H41" s="1643"/>
      <c r="I41" s="1181">
        <f t="shared" si="1"/>
        <v>0</v>
      </c>
      <c r="K41" s="1643"/>
      <c r="L41" s="1023">
        <f t="shared" si="2"/>
        <v>0</v>
      </c>
      <c r="M41" s="1578"/>
      <c r="N41" s="1643"/>
      <c r="O41" s="1181">
        <f t="shared" si="3"/>
        <v>0</v>
      </c>
      <c r="P41" s="1623"/>
      <c r="Q41" s="1707"/>
    </row>
    <row r="42" spans="1:18" s="36" customFormat="1" ht="15" hidden="1" customHeight="1">
      <c r="A42" s="746"/>
      <c r="B42" s="1642"/>
      <c r="C42" s="4492"/>
      <c r="D42" s="4492"/>
      <c r="E42" s="4493"/>
      <c r="F42" s="1179">
        <f>IF(C42=0,0,VLOOKUP(C42,SDÖ5!$C$7:$D$16,2,FALSE))</f>
        <v>0</v>
      </c>
      <c r="G42" s="1179">
        <f t="shared" si="0"/>
        <v>0</v>
      </c>
      <c r="H42" s="1641"/>
      <c r="I42" s="1177">
        <f t="shared" si="1"/>
        <v>0</v>
      </c>
      <c r="K42" s="1641"/>
      <c r="L42" s="1017">
        <f t="shared" si="2"/>
        <v>0</v>
      </c>
      <c r="M42" s="1578"/>
      <c r="N42" s="1641"/>
      <c r="O42" s="1177">
        <f t="shared" si="3"/>
        <v>0</v>
      </c>
      <c r="P42" s="1640"/>
      <c r="Q42" s="1707"/>
    </row>
    <row r="43" spans="1:18" s="1706" customFormat="1" ht="18.75" customHeight="1">
      <c r="A43" s="711"/>
      <c r="B43" s="1639" t="s">
        <v>1126</v>
      </c>
      <c r="C43" s="814"/>
      <c r="D43" s="814"/>
      <c r="E43" s="814"/>
      <c r="F43" s="814"/>
      <c r="G43" s="1638" t="s">
        <v>163</v>
      </c>
      <c r="H43" s="1635"/>
      <c r="I43" s="1634"/>
      <c r="J43" s="1041">
        <f>SUM(J46:J57)</f>
        <v>0</v>
      </c>
      <c r="K43" s="1637"/>
      <c r="L43" s="1636"/>
      <c r="M43" s="1044">
        <f>SUM(M46:M57)</f>
        <v>0</v>
      </c>
      <c r="N43" s="1635"/>
      <c r="O43" s="1634"/>
      <c r="P43" s="1589">
        <f>SUM(P46:P57)</f>
        <v>0</v>
      </c>
      <c r="Q43" s="1707"/>
    </row>
    <row r="44" spans="1:18" s="36" customFormat="1" ht="15" customHeight="1">
      <c r="A44" s="746"/>
      <c r="B44" s="1633"/>
      <c r="C44" s="746" t="s">
        <v>855</v>
      </c>
      <c r="D44" s="746"/>
      <c r="E44" s="1171" t="s">
        <v>365</v>
      </c>
      <c r="F44" s="1170" t="s">
        <v>854</v>
      </c>
      <c r="G44" s="1169"/>
      <c r="H44" s="306" t="s">
        <v>853</v>
      </c>
      <c r="I44" s="1165" t="s">
        <v>852</v>
      </c>
      <c r="J44" s="1164"/>
      <c r="K44" s="1168" t="s">
        <v>853</v>
      </c>
      <c r="L44" s="1167" t="s">
        <v>852</v>
      </c>
      <c r="M44" s="1166"/>
      <c r="N44" s="306" t="s">
        <v>853</v>
      </c>
      <c r="O44" s="1165" t="s">
        <v>852</v>
      </c>
      <c r="P44" s="1632"/>
      <c r="Q44" s="1707"/>
    </row>
    <row r="45" spans="1:18" s="36" customFormat="1" ht="15" customHeight="1">
      <c r="A45" s="746"/>
      <c r="B45" s="1631"/>
      <c r="C45" s="1630"/>
      <c r="D45" s="1163"/>
      <c r="E45" s="1034" t="s">
        <v>1125</v>
      </c>
      <c r="F45" s="1586" t="s">
        <v>850</v>
      </c>
      <c r="G45" s="1586" t="s">
        <v>441</v>
      </c>
      <c r="H45" s="1159" t="s">
        <v>849</v>
      </c>
      <c r="I45" s="1585" t="s">
        <v>113</v>
      </c>
      <c r="J45" s="1629" t="s">
        <v>163</v>
      </c>
      <c r="K45" s="1162" t="s">
        <v>849</v>
      </c>
      <c r="L45" s="1628" t="s">
        <v>113</v>
      </c>
      <c r="M45" s="1627" t="s">
        <v>163</v>
      </c>
      <c r="N45" s="1159" t="s">
        <v>849</v>
      </c>
      <c r="O45" s="1585" t="s">
        <v>113</v>
      </c>
      <c r="P45" s="1626" t="s">
        <v>163</v>
      </c>
      <c r="Q45" s="1707"/>
    </row>
    <row r="46" spans="1:18" s="36" customFormat="1" ht="15" customHeight="1">
      <c r="A46" s="746"/>
      <c r="B46" s="1625"/>
      <c r="C46" s="4494"/>
      <c r="D46" s="4495"/>
      <c r="E46" s="1152">
        <f>IF($C46=0,0,VLOOKUP($C46,'SD3'!$C$24:$N$74,4,FALSE))</f>
        <v>0</v>
      </c>
      <c r="F46" s="1151">
        <f>IF($C46=0,0,VLOOKUP($C46,'SD3'!$C$24:$N$74,12,FALSE))</f>
        <v>0</v>
      </c>
      <c r="G46" s="1150">
        <f>IF($C46=0,0,VLOOKUP($C46,'SD3'!$C$24:$N$74,13,FALSE))</f>
        <v>0</v>
      </c>
      <c r="H46" s="1155"/>
      <c r="I46" s="1154">
        <f t="shared" ref="I46:I57" si="4">$F46*H46</f>
        <v>0</v>
      </c>
      <c r="J46" s="1145">
        <f t="shared" ref="J46:J57" si="5">H46*$G46</f>
        <v>0</v>
      </c>
      <c r="K46" s="1155"/>
      <c r="L46" s="1156">
        <f t="shared" ref="L46:L57" si="6">$F46*K46</f>
        <v>0</v>
      </c>
      <c r="M46" s="1148">
        <f t="shared" ref="M46:M57" si="7">K46*$G46</f>
        <v>0</v>
      </c>
      <c r="N46" s="1155"/>
      <c r="O46" s="1154">
        <f t="shared" ref="O46:O57" si="8">$F46*N46</f>
        <v>0</v>
      </c>
      <c r="P46" s="1623">
        <f t="shared" ref="P46:P57" si="9">N46*$G46</f>
        <v>0</v>
      </c>
      <c r="Q46" s="1707"/>
    </row>
    <row r="47" spans="1:18" s="36" customFormat="1" ht="15" customHeight="1">
      <c r="A47" s="746"/>
      <c r="B47" s="1624"/>
      <c r="C47" s="4481"/>
      <c r="D47" s="4482"/>
      <c r="E47" s="1152">
        <f>IF($C47=0,0,VLOOKUP($C47,'SD3'!$C$24:$N$74,4,FALSE))</f>
        <v>0</v>
      </c>
      <c r="F47" s="1151">
        <f>IF($C47=0,0,VLOOKUP($C47,'SD3'!$C$24:$N$74,12,FALSE))</f>
        <v>0</v>
      </c>
      <c r="G47" s="1150">
        <f>IF($C47=0,0,VLOOKUP($C47,'SD3'!$C$24:$N$74,13,FALSE))</f>
        <v>0</v>
      </c>
      <c r="H47" s="1147"/>
      <c r="I47" s="1146">
        <f t="shared" si="4"/>
        <v>0</v>
      </c>
      <c r="J47" s="1145">
        <f t="shared" si="5"/>
        <v>0</v>
      </c>
      <c r="K47" s="1147"/>
      <c r="L47" s="1149">
        <f t="shared" si="6"/>
        <v>0</v>
      </c>
      <c r="M47" s="1148">
        <f t="shared" si="7"/>
        <v>0</v>
      </c>
      <c r="N47" s="1147"/>
      <c r="O47" s="1146">
        <f t="shared" si="8"/>
        <v>0</v>
      </c>
      <c r="P47" s="1623">
        <f t="shared" si="9"/>
        <v>0</v>
      </c>
      <c r="Q47" s="1707"/>
    </row>
    <row r="48" spans="1:18" s="36" customFormat="1" ht="15" customHeight="1">
      <c r="A48" s="746"/>
      <c r="B48" s="1624"/>
      <c r="C48" s="4481"/>
      <c r="D48" s="4482"/>
      <c r="E48" s="1152">
        <f>IF($C48=0,0,VLOOKUP($C48,'SD3'!$C$24:$N$74,4,FALSE))</f>
        <v>0</v>
      </c>
      <c r="F48" s="1151">
        <f>IF($C48=0,0,VLOOKUP($C48,'SD3'!$C$24:$N$74,12,FALSE))</f>
        <v>0</v>
      </c>
      <c r="G48" s="1150">
        <f>IF($C48=0,0,VLOOKUP($C48,'SD3'!$C$24:$N$74,13,FALSE))</f>
        <v>0</v>
      </c>
      <c r="H48" s="1147"/>
      <c r="I48" s="1146">
        <f t="shared" si="4"/>
        <v>0</v>
      </c>
      <c r="J48" s="1145">
        <f t="shared" si="5"/>
        <v>0</v>
      </c>
      <c r="K48" s="1147"/>
      <c r="L48" s="1149">
        <f t="shared" si="6"/>
        <v>0</v>
      </c>
      <c r="M48" s="1148">
        <f t="shared" si="7"/>
        <v>0</v>
      </c>
      <c r="N48" s="1147"/>
      <c r="O48" s="1146">
        <f t="shared" si="8"/>
        <v>0</v>
      </c>
      <c r="P48" s="1623">
        <f t="shared" si="9"/>
        <v>0</v>
      </c>
      <c r="Q48" s="1707"/>
    </row>
    <row r="49" spans="1:17" s="36" customFormat="1" ht="15" customHeight="1">
      <c r="A49" s="746"/>
      <c r="B49" s="1624"/>
      <c r="C49" s="4481"/>
      <c r="D49" s="4482"/>
      <c r="E49" s="1152">
        <f>IF($C49=0,0,VLOOKUP($C49,'SD3'!$C$24:$N$74,4,FALSE))</f>
        <v>0</v>
      </c>
      <c r="F49" s="1151">
        <f>IF($C49=0,0,VLOOKUP($C49,'SD3'!$C$24:$N$74,12,FALSE))</f>
        <v>0</v>
      </c>
      <c r="G49" s="1150">
        <f>IF($C49=0,0,VLOOKUP($C49,'SD3'!$C$24:$N$74,13,FALSE))</f>
        <v>0</v>
      </c>
      <c r="H49" s="1147"/>
      <c r="I49" s="1146">
        <f t="shared" si="4"/>
        <v>0</v>
      </c>
      <c r="J49" s="1145">
        <f t="shared" si="5"/>
        <v>0</v>
      </c>
      <c r="K49" s="1147"/>
      <c r="L49" s="1149">
        <f t="shared" si="6"/>
        <v>0</v>
      </c>
      <c r="M49" s="1148">
        <f t="shared" si="7"/>
        <v>0</v>
      </c>
      <c r="N49" s="1147"/>
      <c r="O49" s="1146">
        <f t="shared" si="8"/>
        <v>0</v>
      </c>
      <c r="P49" s="1623">
        <f t="shared" si="9"/>
        <v>0</v>
      </c>
      <c r="Q49" s="1707"/>
    </row>
    <row r="50" spans="1:17" s="36" customFormat="1" ht="15" customHeight="1">
      <c r="A50" s="746"/>
      <c r="B50" s="1624"/>
      <c r="C50" s="4481"/>
      <c r="D50" s="4482"/>
      <c r="E50" s="1152">
        <f>IF($C50=0,0,VLOOKUP($C50,'SD3'!$C$24:$N$74,4,FALSE))</f>
        <v>0</v>
      </c>
      <c r="F50" s="1151">
        <f>IF($C50=0,0,VLOOKUP($C50,'SD3'!$C$24:$N$74,12,FALSE))</f>
        <v>0</v>
      </c>
      <c r="G50" s="1150">
        <f>IF($C50=0,0,VLOOKUP($C50,'SD3'!$C$24:$N$74,13,FALSE))</f>
        <v>0</v>
      </c>
      <c r="H50" s="1147"/>
      <c r="I50" s="1146">
        <f t="shared" si="4"/>
        <v>0</v>
      </c>
      <c r="J50" s="1145">
        <f t="shared" si="5"/>
        <v>0</v>
      </c>
      <c r="K50" s="1147"/>
      <c r="L50" s="1149">
        <f t="shared" si="6"/>
        <v>0</v>
      </c>
      <c r="M50" s="1148">
        <f t="shared" si="7"/>
        <v>0</v>
      </c>
      <c r="N50" s="1147"/>
      <c r="O50" s="1146">
        <f t="shared" si="8"/>
        <v>0</v>
      </c>
      <c r="P50" s="1623">
        <f t="shared" si="9"/>
        <v>0</v>
      </c>
      <c r="Q50" s="1707"/>
    </row>
    <row r="51" spans="1:17" s="36" customFormat="1" ht="15" customHeight="1">
      <c r="A51" s="746"/>
      <c r="B51" s="1624"/>
      <c r="C51" s="4481"/>
      <c r="D51" s="4482"/>
      <c r="E51" s="1152">
        <f>IF($C51=0,0,VLOOKUP($C51,'SD3'!$C$24:$N$74,4,FALSE))</f>
        <v>0</v>
      </c>
      <c r="F51" s="1151">
        <f>IF($C51=0,0,VLOOKUP($C51,'SD3'!$C$24:$N$74,12,FALSE))</f>
        <v>0</v>
      </c>
      <c r="G51" s="1150">
        <f>IF($C51=0,0,VLOOKUP($C51,'SD3'!$C$24:$N$74,13,FALSE))</f>
        <v>0</v>
      </c>
      <c r="H51" s="1147"/>
      <c r="I51" s="1146">
        <f t="shared" si="4"/>
        <v>0</v>
      </c>
      <c r="J51" s="1145">
        <f t="shared" si="5"/>
        <v>0</v>
      </c>
      <c r="K51" s="1147"/>
      <c r="L51" s="1149">
        <f t="shared" si="6"/>
        <v>0</v>
      </c>
      <c r="M51" s="1148">
        <f t="shared" si="7"/>
        <v>0</v>
      </c>
      <c r="N51" s="1147"/>
      <c r="O51" s="1146">
        <f t="shared" si="8"/>
        <v>0</v>
      </c>
      <c r="P51" s="1623">
        <f t="shared" si="9"/>
        <v>0</v>
      </c>
      <c r="Q51" s="1707"/>
    </row>
    <row r="52" spans="1:17" s="36" customFormat="1" ht="15" customHeight="1">
      <c r="A52" s="746"/>
      <c r="B52" s="1624"/>
      <c r="C52" s="4481"/>
      <c r="D52" s="4482"/>
      <c r="E52" s="1152">
        <f>IF($C52=0,0,VLOOKUP($C52,'SD3'!$C$24:$N$74,4,FALSE))</f>
        <v>0</v>
      </c>
      <c r="F52" s="1151">
        <f>IF($C52=0,0,VLOOKUP($C52,'SD3'!$C$24:$N$74,12,FALSE))</f>
        <v>0</v>
      </c>
      <c r="G52" s="1150">
        <f>IF($C52=0,0,VLOOKUP($C52,'SD3'!$C$24:$N$74,13,FALSE))</f>
        <v>0</v>
      </c>
      <c r="H52" s="1147"/>
      <c r="I52" s="1146">
        <f t="shared" si="4"/>
        <v>0</v>
      </c>
      <c r="J52" s="1145">
        <f t="shared" si="5"/>
        <v>0</v>
      </c>
      <c r="K52" s="1147"/>
      <c r="L52" s="1149">
        <f t="shared" si="6"/>
        <v>0</v>
      </c>
      <c r="M52" s="1148">
        <f t="shared" si="7"/>
        <v>0</v>
      </c>
      <c r="N52" s="1147"/>
      <c r="O52" s="1146">
        <f t="shared" si="8"/>
        <v>0</v>
      </c>
      <c r="P52" s="1623">
        <f t="shared" si="9"/>
        <v>0</v>
      </c>
      <c r="Q52" s="1707"/>
    </row>
    <row r="53" spans="1:17" s="36" customFormat="1" ht="15" customHeight="1">
      <c r="A53" s="746"/>
      <c r="B53" s="1624"/>
      <c r="C53" s="4481"/>
      <c r="D53" s="4482"/>
      <c r="E53" s="1152">
        <f>IF($C53=0,0,VLOOKUP($C53,'SD3'!$C$24:$N$74,4,FALSE))</f>
        <v>0</v>
      </c>
      <c r="F53" s="1151">
        <f>IF($C53=0,0,VLOOKUP($C53,'SD3'!$C$24:$N$74,12,FALSE))</f>
        <v>0</v>
      </c>
      <c r="G53" s="1150">
        <f>IF($C53=0,0,VLOOKUP($C53,'SD3'!$C$24:$N$74,13,FALSE))</f>
        <v>0</v>
      </c>
      <c r="H53" s="1147"/>
      <c r="I53" s="1146">
        <f t="shared" si="4"/>
        <v>0</v>
      </c>
      <c r="J53" s="1145">
        <f t="shared" si="5"/>
        <v>0</v>
      </c>
      <c r="K53" s="1147"/>
      <c r="L53" s="1149">
        <f t="shared" si="6"/>
        <v>0</v>
      </c>
      <c r="M53" s="1148">
        <f t="shared" si="7"/>
        <v>0</v>
      </c>
      <c r="N53" s="1147"/>
      <c r="O53" s="1146">
        <f t="shared" si="8"/>
        <v>0</v>
      </c>
      <c r="P53" s="1623">
        <f t="shared" si="9"/>
        <v>0</v>
      </c>
      <c r="Q53" s="1707"/>
    </row>
    <row r="54" spans="1:17" s="36" customFormat="1" ht="15" customHeight="1">
      <c r="A54" s="746"/>
      <c r="B54" s="1624"/>
      <c r="C54" s="4481"/>
      <c r="D54" s="4482"/>
      <c r="E54" s="1152">
        <f>IF($C54=0,0,VLOOKUP($C54,'SD3'!$C$24:$N$74,4,FALSE))</f>
        <v>0</v>
      </c>
      <c r="F54" s="1151">
        <f>IF($C54=0,0,VLOOKUP($C54,'SD3'!$C$24:$N$74,12,FALSE))</f>
        <v>0</v>
      </c>
      <c r="G54" s="1150">
        <f>IF($C54=0,0,VLOOKUP($C54,'SD3'!$C$24:$N$74,13,FALSE))</f>
        <v>0</v>
      </c>
      <c r="H54" s="1147"/>
      <c r="I54" s="1146">
        <f t="shared" si="4"/>
        <v>0</v>
      </c>
      <c r="J54" s="1145">
        <f t="shared" si="5"/>
        <v>0</v>
      </c>
      <c r="K54" s="1147"/>
      <c r="L54" s="1149">
        <f t="shared" si="6"/>
        <v>0</v>
      </c>
      <c r="M54" s="1148">
        <f t="shared" si="7"/>
        <v>0</v>
      </c>
      <c r="N54" s="1147"/>
      <c r="O54" s="1146">
        <f t="shared" si="8"/>
        <v>0</v>
      </c>
      <c r="P54" s="1623">
        <f t="shared" si="9"/>
        <v>0</v>
      </c>
      <c r="Q54" s="1707"/>
    </row>
    <row r="55" spans="1:17" s="36" customFormat="1" ht="15" customHeight="1">
      <c r="A55" s="746"/>
      <c r="B55" s="1624"/>
      <c r="C55" s="4481"/>
      <c r="D55" s="4482"/>
      <c r="E55" s="1152">
        <f>IF($C55=0,0,VLOOKUP($C55,'SD3'!$C$24:$N$74,4,FALSE))</f>
        <v>0</v>
      </c>
      <c r="F55" s="1151">
        <f>IF($C55=0,0,VLOOKUP($C55,'SD3'!$C$24:$N$74,12,FALSE))</f>
        <v>0</v>
      </c>
      <c r="G55" s="1150">
        <f>IF($C55=0,0,VLOOKUP($C55,'SD3'!$C$24:$N$74,13,FALSE))</f>
        <v>0</v>
      </c>
      <c r="H55" s="1147"/>
      <c r="I55" s="1146">
        <f t="shared" si="4"/>
        <v>0</v>
      </c>
      <c r="J55" s="1145">
        <f t="shared" si="5"/>
        <v>0</v>
      </c>
      <c r="K55" s="1147"/>
      <c r="L55" s="1149">
        <f t="shared" si="6"/>
        <v>0</v>
      </c>
      <c r="M55" s="1148">
        <f t="shared" si="7"/>
        <v>0</v>
      </c>
      <c r="N55" s="1147"/>
      <c r="O55" s="1146">
        <f t="shared" si="8"/>
        <v>0</v>
      </c>
      <c r="P55" s="1623">
        <f t="shared" si="9"/>
        <v>0</v>
      </c>
      <c r="Q55" s="1707"/>
    </row>
    <row r="56" spans="1:17" s="36" customFormat="1" ht="15" customHeight="1">
      <c r="A56" s="746"/>
      <c r="B56" s="1624"/>
      <c r="C56" s="4481"/>
      <c r="D56" s="4482"/>
      <c r="E56" s="1152">
        <f>IF($C56=0,0,VLOOKUP($C56,'SD3'!$C$24:$N$74,4,FALSE))</f>
        <v>0</v>
      </c>
      <c r="F56" s="1151">
        <f>IF($C56=0,0,VLOOKUP($C56,'SD3'!$C$24:$N$74,12,FALSE))</f>
        <v>0</v>
      </c>
      <c r="G56" s="1150">
        <f>IF($C56=0,0,VLOOKUP($C56,'SD3'!$C$24:$N$74,13,FALSE))</f>
        <v>0</v>
      </c>
      <c r="H56" s="1147"/>
      <c r="I56" s="1146">
        <f t="shared" si="4"/>
        <v>0</v>
      </c>
      <c r="J56" s="1145">
        <f t="shared" si="5"/>
        <v>0</v>
      </c>
      <c r="K56" s="1147"/>
      <c r="L56" s="1149">
        <f t="shared" si="6"/>
        <v>0</v>
      </c>
      <c r="M56" s="1148">
        <f t="shared" si="7"/>
        <v>0</v>
      </c>
      <c r="N56" s="1147"/>
      <c r="O56" s="1146">
        <f t="shared" si="8"/>
        <v>0</v>
      </c>
      <c r="P56" s="1623">
        <f t="shared" si="9"/>
        <v>0</v>
      </c>
      <c r="Q56" s="1707"/>
    </row>
    <row r="57" spans="1:17" s="36" customFormat="1" ht="24.75" customHeight="1">
      <c r="A57" s="746"/>
      <c r="B57" s="1603"/>
      <c r="C57" s="4516">
        <v>0</v>
      </c>
      <c r="D57" s="4517"/>
      <c r="E57" s="1135">
        <f>IF($C57=0,0,VLOOKUP($C57,'SD3'!$C$24:$N$74,4,FALSE))</f>
        <v>0</v>
      </c>
      <c r="F57" s="1134">
        <f>IF($C57=0,0,VLOOKUP($C57,'SD3'!$C$24:$N$74,12,FALSE))</f>
        <v>0</v>
      </c>
      <c r="G57" s="1133">
        <f>IF($C57=0,0,VLOOKUP($C57,'SD3'!$C$24:$N$74,13,FALSE))</f>
        <v>0</v>
      </c>
      <c r="H57" s="1131">
        <f>H11/50</f>
        <v>0</v>
      </c>
      <c r="I57" s="1130">
        <f t="shared" si="4"/>
        <v>0</v>
      </c>
      <c r="J57" s="1129">
        <f t="shared" si="5"/>
        <v>0</v>
      </c>
      <c r="K57" s="1131">
        <f>K11/50</f>
        <v>0</v>
      </c>
      <c r="L57" s="1132">
        <f t="shared" si="6"/>
        <v>0</v>
      </c>
      <c r="M57" s="1079">
        <f t="shared" si="7"/>
        <v>0</v>
      </c>
      <c r="N57" s="1131">
        <f>N11/50</f>
        <v>0</v>
      </c>
      <c r="O57" s="1130">
        <f t="shared" si="8"/>
        <v>0</v>
      </c>
      <c r="P57" s="1622">
        <f t="shared" si="9"/>
        <v>0</v>
      </c>
      <c r="Q57" s="1707"/>
    </row>
    <row r="58" spans="1:17" s="36" customFormat="1" ht="24.75" customHeight="1">
      <c r="A58" s="746"/>
      <c r="B58" s="1621" t="s">
        <v>1124</v>
      </c>
      <c r="C58" s="1620"/>
      <c r="D58" s="1620"/>
      <c r="E58" s="1620"/>
      <c r="F58" s="1620"/>
      <c r="G58" s="1620"/>
      <c r="H58" s="1617"/>
      <c r="I58" s="1616">
        <f>SUM(I46:I57)</f>
        <v>0</v>
      </c>
      <c r="J58" s="1619"/>
      <c r="K58" s="1617"/>
      <c r="L58" s="1616">
        <f>SUM(L46:L57)</f>
        <v>0</v>
      </c>
      <c r="M58" s="1618"/>
      <c r="N58" s="1617"/>
      <c r="O58" s="1616">
        <f>SUM(O46:O57)</f>
        <v>0</v>
      </c>
      <c r="P58" s="1615"/>
      <c r="Q58" s="1707"/>
    </row>
    <row r="59" spans="1:17" s="1706" customFormat="1" ht="18.75" customHeight="1">
      <c r="A59" s="711"/>
      <c r="B59" s="1594" t="s">
        <v>1123</v>
      </c>
      <c r="C59" s="711"/>
      <c r="D59" s="711"/>
      <c r="E59" s="711"/>
      <c r="F59" s="1707"/>
      <c r="G59" s="1590" t="s">
        <v>163</v>
      </c>
      <c r="H59" s="51"/>
      <c r="I59" s="51"/>
      <c r="J59" s="1041">
        <f>H60*$E60</f>
        <v>0</v>
      </c>
      <c r="K59" s="1056"/>
      <c r="L59" s="1056"/>
      <c r="M59" s="1044">
        <f>K60*$E60</f>
        <v>0</v>
      </c>
      <c r="N59" s="51"/>
      <c r="O59" s="51"/>
      <c r="P59" s="1589">
        <f>N60*$E60</f>
        <v>0</v>
      </c>
      <c r="Q59" s="1707"/>
    </row>
    <row r="60" spans="1:17" s="1706" customFormat="1" ht="15" customHeight="1">
      <c r="A60" s="711"/>
      <c r="B60" s="1614"/>
      <c r="C60" s="815"/>
      <c r="D60" s="222" t="s">
        <v>691</v>
      </c>
      <c r="E60" s="1074">
        <v>10</v>
      </c>
      <c r="F60" s="1049"/>
      <c r="G60" s="1613" t="s">
        <v>362</v>
      </c>
      <c r="H60" s="1015"/>
      <c r="I60" s="1070"/>
      <c r="J60" s="1059"/>
      <c r="K60" s="1015"/>
      <c r="L60" s="1072"/>
      <c r="M60" s="1062"/>
      <c r="N60" s="1015"/>
      <c r="O60" s="1070"/>
      <c r="P60" s="1595"/>
      <c r="Q60" s="1707"/>
    </row>
    <row r="61" spans="1:17" s="46" customFormat="1" ht="18.75" customHeight="1">
      <c r="A61" s="811"/>
      <c r="B61" s="1594" t="s">
        <v>1122</v>
      </c>
      <c r="C61" s="811"/>
      <c r="D61" s="811"/>
      <c r="E61" s="811"/>
      <c r="F61" s="1707"/>
      <c r="G61" s="1590" t="s">
        <v>362</v>
      </c>
      <c r="H61" s="1124"/>
      <c r="I61" s="1123">
        <f>I58-H60</f>
        <v>0</v>
      </c>
      <c r="J61" s="1128"/>
      <c r="K61" s="1127"/>
      <c r="L61" s="1126">
        <f>L58-K60</f>
        <v>0</v>
      </c>
      <c r="M61" s="1125"/>
      <c r="N61" s="1124"/>
      <c r="O61" s="1123">
        <f>O58-N60</f>
        <v>0</v>
      </c>
      <c r="P61" s="1612"/>
      <c r="Q61" s="1707"/>
    </row>
    <row r="62" spans="1:17" s="46" customFormat="1" ht="15" customHeight="1">
      <c r="A62" s="811"/>
      <c r="B62" s="1611"/>
      <c r="C62" s="251"/>
      <c r="D62" s="222" t="s">
        <v>847</v>
      </c>
      <c r="E62" s="1120">
        <v>80</v>
      </c>
      <c r="F62" s="251" t="s">
        <v>846</v>
      </c>
      <c r="G62" s="106"/>
      <c r="H62" s="1115"/>
      <c r="I62" s="1114">
        <f>IF(I61+SUM($I$46:$I$57)*$E$62%&gt;I61+10,I61+10,I61+SUM($I$46:$I$57)*$E$62%)</f>
        <v>0</v>
      </c>
      <c r="J62" s="1113"/>
      <c r="K62" s="1118"/>
      <c r="L62" s="1117">
        <f>IF(L61+SUM($L$46:$L$57)*$E$62%&gt;L61+10,L61+10,L61+SUM($L$46:$L$57)*$E$62%)</f>
        <v>0</v>
      </c>
      <c r="M62" s="1116"/>
      <c r="N62" s="1115"/>
      <c r="O62" s="1114">
        <f>IF(O61+SUM($O$46:$O$57)*$E$62%&gt;O61+10,O61+10,O61+SUM($O$46:$O$57)*$E$62%)</f>
        <v>0</v>
      </c>
      <c r="P62" s="1610"/>
      <c r="Q62" s="1707"/>
    </row>
    <row r="63" spans="1:17" s="36" customFormat="1" ht="18.75" customHeight="1">
      <c r="A63" s="746"/>
      <c r="B63" s="1594" t="s">
        <v>305</v>
      </c>
      <c r="C63" s="811"/>
      <c r="D63" s="811"/>
      <c r="G63" s="1609" t="s">
        <v>163</v>
      </c>
      <c r="H63" s="1607"/>
      <c r="I63" s="1606"/>
      <c r="J63" s="1041">
        <f>IF(J6=0,0,SUM(I65:I67))</f>
        <v>0</v>
      </c>
      <c r="K63" s="1107"/>
      <c r="L63" s="1106"/>
      <c r="M63" s="1044">
        <f>IF(M6=0,0,SUM(L65:L67))</f>
        <v>0</v>
      </c>
      <c r="N63" s="1607"/>
      <c r="O63" s="1606"/>
      <c r="P63" s="1589">
        <f>IF(P6=0,0,SUM(O65:O67))</f>
        <v>0</v>
      </c>
      <c r="Q63" s="1707"/>
    </row>
    <row r="64" spans="1:17" s="36" customFormat="1" ht="13.2" customHeight="1">
      <c r="A64" s="746"/>
      <c r="B64" s="1588"/>
      <c r="C64" s="1039" t="s">
        <v>837</v>
      </c>
      <c r="D64" s="1110">
        <f>SDÖ1!$O$11</f>
        <v>0</v>
      </c>
      <c r="E64" s="1587"/>
      <c r="F64" s="1585" t="s">
        <v>239</v>
      </c>
      <c r="G64" s="1608" t="s">
        <v>836</v>
      </c>
      <c r="H64" s="1607"/>
      <c r="I64" s="1606"/>
      <c r="J64" s="1209"/>
      <c r="K64" s="1107"/>
      <c r="L64" s="1106"/>
      <c r="M64" s="1105"/>
      <c r="N64" s="1607"/>
      <c r="O64" s="1606"/>
      <c r="P64" s="1580"/>
      <c r="Q64" s="1707"/>
    </row>
    <row r="65" spans="1:20" s="36" customFormat="1" ht="15" customHeight="1">
      <c r="A65" s="746"/>
      <c r="B65" s="1579"/>
      <c r="C65" s="4484"/>
      <c r="D65" s="4484"/>
      <c r="E65" s="4484"/>
      <c r="F65" s="1101">
        <f>IF($C65=0,0,VLOOKUP($C65,'SD3'!$C$92:$D$114,2,FALSE))</f>
        <v>0</v>
      </c>
      <c r="G65" s="1100">
        <f>(100+$D$64)/100*F65</f>
        <v>0</v>
      </c>
      <c r="I65" s="1243">
        <f>$G$65</f>
        <v>0</v>
      </c>
      <c r="K65" s="1099"/>
      <c r="L65" s="1098">
        <f>$G$65</f>
        <v>0</v>
      </c>
      <c r="M65" s="1578"/>
      <c r="N65" s="1604"/>
      <c r="O65" s="1243">
        <f>$G$65</f>
        <v>0</v>
      </c>
      <c r="P65" s="1577"/>
      <c r="Q65" s="1707"/>
    </row>
    <row r="66" spans="1:20" s="36" customFormat="1" ht="15" customHeight="1">
      <c r="A66" s="746"/>
      <c r="B66" s="1579"/>
      <c r="C66" s="4484"/>
      <c r="D66" s="4484"/>
      <c r="E66" s="4485"/>
      <c r="F66" s="1605">
        <f>IF($C66=0,0,VLOOKUP($C66,'SD3'!$C$92:$D$114,2,FALSE))</f>
        <v>0</v>
      </c>
      <c r="G66" s="1013">
        <f>(100+$D$64)/100*F66</f>
        <v>0</v>
      </c>
      <c r="K66" s="1099"/>
      <c r="L66" s="1098"/>
      <c r="M66" s="1578"/>
      <c r="N66" s="1604"/>
      <c r="O66" s="1243"/>
      <c r="P66" s="1577"/>
      <c r="Q66" s="1707"/>
    </row>
    <row r="67" spans="1:20" s="36" customFormat="1" ht="15" customHeight="1">
      <c r="A67" s="746"/>
      <c r="B67" s="1603"/>
      <c r="C67" s="4486" t="s">
        <v>289</v>
      </c>
      <c r="D67" s="4486"/>
      <c r="E67" s="4486"/>
      <c r="F67" s="1083">
        <f>IF($T$3=FALSE,0,VLOOKUP($C67,'SD3'!$C$92:$D$114,2,FALSE))</f>
        <v>0</v>
      </c>
      <c r="G67" s="1082">
        <f>(100+$D$64)/100*F67</f>
        <v>0</v>
      </c>
      <c r="H67" s="1602"/>
      <c r="I67" s="1235">
        <f>H11*$G$67</f>
        <v>0</v>
      </c>
      <c r="K67" s="1081"/>
      <c r="L67" s="1080">
        <f>K11*$G$67</f>
        <v>0</v>
      </c>
      <c r="M67" s="1079"/>
      <c r="N67" s="1602"/>
      <c r="O67" s="1235">
        <f>N11*$G$67</f>
        <v>0</v>
      </c>
      <c r="P67" s="1601"/>
      <c r="Q67" s="1707"/>
    </row>
    <row r="68" spans="1:20" s="1706" customFormat="1" ht="22.95" customHeight="1">
      <c r="A68" s="711"/>
      <c r="B68" s="1594" t="s">
        <v>1121</v>
      </c>
      <c r="C68" s="711"/>
      <c r="D68" s="711"/>
      <c r="E68" s="175"/>
      <c r="F68" s="1069"/>
      <c r="G68" s="1590" t="s">
        <v>163</v>
      </c>
      <c r="H68" s="1598" t="s">
        <v>842</v>
      </c>
      <c r="I68" s="1597" t="s">
        <v>841</v>
      </c>
      <c r="J68" s="1387">
        <f>IF($F$69=0,$R$69*H$9*I$69%,$F$69*H$9*I$69%)</f>
        <v>0</v>
      </c>
      <c r="K68" s="1600" t="s">
        <v>842</v>
      </c>
      <c r="L68" s="1599" t="s">
        <v>841</v>
      </c>
      <c r="M68" s="1387">
        <f>IF($F$69=0,$S$69*K$9*L$69%,$F$69*K$9*L$69%)</f>
        <v>0</v>
      </c>
      <c r="N68" s="1598" t="s">
        <v>842</v>
      </c>
      <c r="O68" s="1597" t="s">
        <v>841</v>
      </c>
      <c r="P68" s="2181">
        <f>IF($F$69=0,$T$69*N$9*O$69%,$F$69*N$9*O$69%)</f>
        <v>0</v>
      </c>
      <c r="Q68" s="1707"/>
    </row>
    <row r="69" spans="1:20" s="1706" customFormat="1" ht="15" customHeight="1">
      <c r="A69" s="711"/>
      <c r="B69" s="1596"/>
      <c r="C69" s="4487" t="s">
        <v>1120</v>
      </c>
      <c r="D69" s="4487"/>
      <c r="E69" s="4487"/>
      <c r="F69" s="1063"/>
      <c r="G69" s="1054" t="s">
        <v>220</v>
      </c>
      <c r="H69" s="1061"/>
      <c r="I69" s="1060"/>
      <c r="J69" s="1059"/>
      <c r="K69" s="1061"/>
      <c r="L69" s="1060"/>
      <c r="M69" s="1062"/>
      <c r="N69" s="1061"/>
      <c r="O69" s="1060"/>
      <c r="P69" s="1595"/>
      <c r="Q69" s="1707"/>
      <c r="R69" s="1369">
        <f>IF($H$69=0,0,VLOOKUP($H$69,#REF!,2,FALSE))*(1+SDÖ1!$O$11/100)</f>
        <v>0</v>
      </c>
      <c r="S69" s="1058">
        <f>IF($K$69=0,0,VLOOKUP($K$69,#REF!,2,FALSE))*(1+SDÖ1!$O$11/100)</f>
        <v>0</v>
      </c>
      <c r="T69" s="1369">
        <f>IF($N$69=0,0,VLOOKUP($N$69,#REF!,2,FALSE))*(1+SDÖ1!$O$11/100)</f>
        <v>0</v>
      </c>
    </row>
    <row r="70" spans="1:20" s="1706" customFormat="1" ht="18.75" customHeight="1">
      <c r="A70" s="711"/>
      <c r="B70" s="1594" t="s">
        <v>1119</v>
      </c>
      <c r="C70" s="711"/>
      <c r="D70" s="711"/>
      <c r="E70" s="175"/>
      <c r="F70" s="175"/>
      <c r="G70" s="1590" t="s">
        <v>163</v>
      </c>
      <c r="H70" s="38"/>
      <c r="I70" s="51"/>
      <c r="J70" s="1041">
        <f>H71*$F71/1000</f>
        <v>0</v>
      </c>
      <c r="K70" s="1057"/>
      <c r="L70" s="1056"/>
      <c r="M70" s="1044">
        <f>K71*$F71/1000</f>
        <v>0</v>
      </c>
      <c r="N70" s="38"/>
      <c r="O70" s="51"/>
      <c r="P70" s="1589">
        <f>N71*$F71/1000</f>
        <v>0</v>
      </c>
      <c r="Q70" s="1707"/>
    </row>
    <row r="71" spans="1:20" s="1706" customFormat="1" ht="15" customHeight="1">
      <c r="A71" s="711"/>
      <c r="B71" s="1593"/>
      <c r="C71" s="771" t="s">
        <v>606</v>
      </c>
      <c r="D71" s="251"/>
      <c r="E71" s="222"/>
      <c r="F71" s="1386"/>
      <c r="G71" s="1054" t="s">
        <v>163</v>
      </c>
      <c r="H71" s="1050">
        <f>I9+I10</f>
        <v>0</v>
      </c>
      <c r="I71" s="1049"/>
      <c r="J71" s="1048"/>
      <c r="K71" s="1053">
        <f>L9+L10</f>
        <v>0</v>
      </c>
      <c r="L71" s="1052"/>
      <c r="M71" s="1051"/>
      <c r="N71" s="1050">
        <f>O9+O10</f>
        <v>0</v>
      </c>
      <c r="O71" s="1049"/>
      <c r="P71" s="1592"/>
      <c r="Q71" s="1707"/>
    </row>
    <row r="72" spans="1:20" ht="18.75" customHeight="1">
      <c r="A72" s="309"/>
      <c r="B72" s="1591" t="s">
        <v>210</v>
      </c>
      <c r="C72" s="309"/>
      <c r="D72" s="309"/>
      <c r="E72" s="175"/>
      <c r="F72" s="1711"/>
      <c r="G72" s="1590" t="s">
        <v>163</v>
      </c>
      <c r="H72" s="1043"/>
      <c r="I72" s="1042"/>
      <c r="J72" s="1041">
        <f>SUM(I74:I75)</f>
        <v>0</v>
      </c>
      <c r="K72" s="1046"/>
      <c r="L72" s="1045"/>
      <c r="M72" s="1044">
        <f>SUM(L74:L75)</f>
        <v>0</v>
      </c>
      <c r="N72" s="1043"/>
      <c r="O72" s="1042"/>
      <c r="P72" s="1589">
        <f>SUM(O74:O75)</f>
        <v>0</v>
      </c>
    </row>
    <row r="73" spans="1:20" ht="13.2" customHeight="1">
      <c r="A73" s="309"/>
      <c r="B73" s="1588"/>
      <c r="C73" s="1039" t="s">
        <v>837</v>
      </c>
      <c r="D73" s="1038">
        <f>SDÖ1!$O$12</f>
        <v>0</v>
      </c>
      <c r="E73" s="1587"/>
      <c r="F73" s="1036"/>
      <c r="G73" s="1035"/>
      <c r="H73" s="1586" t="s">
        <v>239</v>
      </c>
      <c r="I73" s="1585" t="s">
        <v>836</v>
      </c>
      <c r="J73" s="1032"/>
      <c r="K73" s="1584" t="s">
        <v>239</v>
      </c>
      <c r="L73" s="1583" t="s">
        <v>836</v>
      </c>
      <c r="M73" s="1029"/>
      <c r="N73" s="1582" t="s">
        <v>239</v>
      </c>
      <c r="O73" s="1581" t="s">
        <v>836</v>
      </c>
      <c r="P73" s="1580"/>
    </row>
    <row r="74" spans="1:20" s="36" customFormat="1" ht="15" customHeight="1">
      <c r="A74" s="746"/>
      <c r="B74" s="1579"/>
      <c r="C74" s="4498" t="s">
        <v>1156</v>
      </c>
      <c r="D74" s="4498"/>
      <c r="E74" s="4498"/>
      <c r="F74" s="1025"/>
      <c r="G74" s="1024"/>
      <c r="H74" s="1018"/>
      <c r="I74" s="1022">
        <f>(100+$D$73)/100*H74</f>
        <v>0</v>
      </c>
      <c r="K74" s="1018"/>
      <c r="L74" s="1023">
        <f>(100+$D$73)/100*K74</f>
        <v>0</v>
      </c>
      <c r="M74" s="1578"/>
      <c r="N74" s="1018"/>
      <c r="O74" s="1022">
        <f>(100+$D$73)/100*N74</f>
        <v>0</v>
      </c>
      <c r="P74" s="1577"/>
      <c r="Q74" s="1707"/>
    </row>
    <row r="75" spans="1:20" s="36" customFormat="1" ht="15" customHeight="1">
      <c r="A75" s="746"/>
      <c r="B75" s="1579"/>
      <c r="C75" s="4483"/>
      <c r="D75" s="4483"/>
      <c r="E75" s="4483"/>
      <c r="F75" s="1020"/>
      <c r="G75" s="1019"/>
      <c r="H75" s="1015"/>
      <c r="I75" s="1014">
        <f>(100+$D$73)/100*H75</f>
        <v>0</v>
      </c>
      <c r="K75" s="1018"/>
      <c r="L75" s="1017">
        <f>(100+$D$73)/100*K75</f>
        <v>0</v>
      </c>
      <c r="M75" s="1578"/>
      <c r="N75" s="1015"/>
      <c r="O75" s="1014">
        <f>(100+$D$73)/100*N75</f>
        <v>0</v>
      </c>
      <c r="P75" s="1577"/>
      <c r="Q75" s="1707"/>
    </row>
    <row r="76" spans="1:20" s="1706" customFormat="1" ht="30.15" customHeight="1" thickBot="1">
      <c r="A76" s="711"/>
      <c r="B76" s="4499" t="s">
        <v>835</v>
      </c>
      <c r="C76" s="4500"/>
      <c r="D76" s="1576" t="s">
        <v>834</v>
      </c>
      <c r="E76" s="1575">
        <f>SDÖ1!$O$72/100</f>
        <v>0.02</v>
      </c>
      <c r="F76" s="1574" t="s">
        <v>1118</v>
      </c>
      <c r="G76" s="1573">
        <v>5</v>
      </c>
      <c r="H76" s="1569"/>
      <c r="I76" s="1572"/>
      <c r="J76" s="1567">
        <f>(J23+J27+J34+J43+J63+J59+J68+J70+J72)*(SDÖ1!$O$72%*$G$76/12)</f>
        <v>0</v>
      </c>
      <c r="K76" s="1571"/>
      <c r="L76" s="1570"/>
      <c r="M76" s="1567">
        <f>(M23+M27+M34+M43+M63+M59+M68+M70+M72)*(SDÖ1!$O$72%*$G$76/12)</f>
        <v>0</v>
      </c>
      <c r="N76" s="1569"/>
      <c r="O76" s="1568"/>
      <c r="P76" s="1567">
        <f>(P23+P27+P34+P43+P63+P59+P68+P70+P72)*(SDÖ1!$O$72%*$G$76/12)</f>
        <v>0</v>
      </c>
      <c r="Q76" s="1707"/>
    </row>
    <row r="81" spans="3:16">
      <c r="C81" s="1564" t="e">
        <f>#REF!</f>
        <v>#REF!</v>
      </c>
      <c r="D81" s="215"/>
      <c r="E81" s="515"/>
      <c r="G81" s="1564" t="e">
        <f>#REF!</f>
        <v>#REF!</v>
      </c>
      <c r="H81" s="215"/>
      <c r="I81" s="515"/>
      <c r="L81" s="29"/>
    </row>
    <row r="82" spans="3:16">
      <c r="C82" s="516" t="e">
        <f>#REF!</f>
        <v>#REF!</v>
      </c>
      <c r="E82" s="1708"/>
      <c r="G82" s="1565" t="e">
        <f>#REF!</f>
        <v>#REF!</v>
      </c>
      <c r="I82" s="1708"/>
      <c r="L82" s="29"/>
      <c r="N82" s="1564" t="str">
        <f>'SD3'!C24</f>
        <v>Drehpflug, 5 Schare</v>
      </c>
      <c r="O82" s="215"/>
      <c r="P82" s="515"/>
    </row>
    <row r="83" spans="3:16">
      <c r="C83" s="516" t="e">
        <f>#REF!</f>
        <v>#REF!</v>
      </c>
      <c r="E83" s="1708"/>
      <c r="G83" s="1566"/>
      <c r="H83" s="251"/>
      <c r="I83" s="512"/>
      <c r="L83" s="29"/>
      <c r="N83" s="1565" t="str">
        <f>'SD3'!C25</f>
        <v>Schwergrubber 3 m</v>
      </c>
      <c r="P83" s="1708"/>
    </row>
    <row r="84" spans="3:16">
      <c r="C84" s="516" t="e">
        <f>#REF!</f>
        <v>#REF!</v>
      </c>
      <c r="E84" s="1708"/>
      <c r="G84" s="29"/>
      <c r="H84" s="29"/>
      <c r="I84" s="29"/>
      <c r="L84" s="29"/>
      <c r="N84" s="1565" t="str">
        <f>'SD3'!C26</f>
        <v>Scheibenegge 5 m</v>
      </c>
      <c r="P84" s="1708"/>
    </row>
    <row r="85" spans="3:16">
      <c r="C85" s="516" t="e">
        <f>#REF!</f>
        <v>#REF!</v>
      </c>
      <c r="E85" s="1708"/>
      <c r="G85" s="29"/>
      <c r="H85" s="29"/>
      <c r="I85" s="29"/>
      <c r="L85" s="29"/>
      <c r="N85" s="1565" t="str">
        <f>'SD3'!C28</f>
        <v>Kreiselegge 3 m</v>
      </c>
      <c r="P85" s="1708"/>
    </row>
    <row r="86" spans="3:16">
      <c r="C86" s="516" t="e">
        <f>#REF!</f>
        <v>#REF!</v>
      </c>
      <c r="E86" s="1708"/>
      <c r="G86" s="29" t="e">
        <f>#REF!</f>
        <v>#REF!</v>
      </c>
      <c r="H86" s="29"/>
      <c r="I86" s="29"/>
      <c r="L86" s="29"/>
      <c r="N86" s="1565" t="str">
        <f>'SD3'!C29</f>
        <v>Cambridgewalze 4,5 m</v>
      </c>
      <c r="P86" s="1708"/>
    </row>
    <row r="87" spans="3:16">
      <c r="C87" s="516" t="e">
        <f>#REF!</f>
        <v>#REF!</v>
      </c>
      <c r="E87" s="1708"/>
      <c r="G87" s="29"/>
      <c r="H87" s="29"/>
      <c r="I87" s="29"/>
      <c r="L87" s="29"/>
      <c r="N87" s="1565" t="str">
        <f>'SD3'!C30</f>
        <v>Bodenfräse 3m</v>
      </c>
      <c r="P87" s="1708"/>
    </row>
    <row r="88" spans="3:16">
      <c r="C88" s="516" t="e">
        <f>#REF!</f>
        <v>#REF!</v>
      </c>
      <c r="E88" s="1708"/>
      <c r="G88" s="29" t="e">
        <f>#REF!</f>
        <v>#REF!</v>
      </c>
      <c r="H88" s="29"/>
      <c r="I88" s="29"/>
      <c r="L88" s="29"/>
      <c r="N88" s="1565" t="str">
        <f>'SD3'!C32</f>
        <v>Kreiselegge-Säkomb. 3 m</v>
      </c>
      <c r="P88" s="1708"/>
    </row>
    <row r="89" spans="3:16">
      <c r="C89" s="516" t="e">
        <f>#REF!</f>
        <v>#REF!</v>
      </c>
      <c r="E89" s="1708"/>
      <c r="G89" s="29" t="e">
        <f>#REF!</f>
        <v>#REF!</v>
      </c>
      <c r="H89" s="29"/>
      <c r="I89" s="29"/>
      <c r="L89" s="29"/>
      <c r="N89" s="1565" t="e">
        <f>'SD3'!#REF!</f>
        <v>#REF!</v>
      </c>
      <c r="P89" s="1708"/>
    </row>
    <row r="90" spans="3:16">
      <c r="C90" s="516" t="e">
        <f>#REF!</f>
        <v>#REF!</v>
      </c>
      <c r="E90" s="1708"/>
      <c r="G90" s="29" t="e">
        <f>#REF!</f>
        <v>#REF!</v>
      </c>
      <c r="H90" s="29"/>
      <c r="I90" s="29"/>
      <c r="L90" s="29"/>
      <c r="N90" s="1565" t="str">
        <f>'SD3'!C33</f>
        <v>Sämaschine 3m</v>
      </c>
      <c r="P90" s="1708"/>
    </row>
    <row r="91" spans="3:16">
      <c r="C91" s="516" t="e">
        <f>#REF!</f>
        <v>#REF!</v>
      </c>
      <c r="E91" s="1708"/>
      <c r="G91" s="29"/>
      <c r="H91" s="29"/>
      <c r="I91" s="29"/>
      <c r="L91" s="29"/>
      <c r="N91" s="1565" t="str">
        <f>'SD3'!C34</f>
        <v>Einzelkornsaat 4 r (Mais, Sonnenblume)</v>
      </c>
      <c r="P91" s="1708"/>
    </row>
    <row r="92" spans="3:16">
      <c r="C92" s="516" t="e">
        <f>#REF!</f>
        <v>#REF!</v>
      </c>
      <c r="E92" s="1708"/>
      <c r="L92" s="29"/>
      <c r="N92" s="1565" t="e">
        <f>'SD3'!#REF!</f>
        <v>#REF!</v>
      </c>
      <c r="P92" s="1708"/>
    </row>
    <row r="93" spans="3:16">
      <c r="C93" s="516" t="e">
        <f>#REF!</f>
        <v>#REF!</v>
      </c>
      <c r="E93" s="1708"/>
      <c r="L93" s="29"/>
      <c r="N93" s="1565" t="str">
        <f>'SD3'!C35</f>
        <v>Direktsämaschine 3 m</v>
      </c>
      <c r="P93" s="1708"/>
    </row>
    <row r="94" spans="3:16">
      <c r="C94" s="516" t="e">
        <f>#REF!</f>
        <v>#REF!</v>
      </c>
      <c r="E94" s="1708"/>
      <c r="G94" s="1564" t="str">
        <f>'SD3'!C92</f>
        <v>Mähdrescher - Erbsen/Ackerbohnen</v>
      </c>
      <c r="H94" s="215"/>
      <c r="I94" s="515"/>
      <c r="L94" s="29"/>
      <c r="N94" s="1565" t="e">
        <f>'SD3'!#REF!</f>
        <v>#REF!</v>
      </c>
      <c r="P94" s="1708"/>
    </row>
    <row r="95" spans="3:16">
      <c r="C95" s="516" t="e">
        <f>#REF!</f>
        <v>#REF!</v>
      </c>
      <c r="E95" s="1708"/>
      <c r="G95" s="1565" t="str">
        <f>'SD3'!C93</f>
        <v>Mähdrescher - Körnermais</v>
      </c>
      <c r="I95" s="1708"/>
      <c r="L95" s="29"/>
      <c r="N95" s="1565">
        <f>'SD3'!C36</f>
        <v>0</v>
      </c>
      <c r="P95" s="1708"/>
    </row>
    <row r="96" spans="3:16">
      <c r="C96" s="516" t="e">
        <f>#REF!</f>
        <v>#REF!</v>
      </c>
      <c r="E96" s="1708"/>
      <c r="G96" s="1565" t="str">
        <f>'SD3'!C94</f>
        <v>Mähdrescher - Getr. m. Strohhäcksler</v>
      </c>
      <c r="I96" s="1708"/>
      <c r="L96" s="29"/>
      <c r="N96" s="1565" t="str">
        <f>'SD3'!C37</f>
        <v xml:space="preserve">Düngerstreuer ab Hof 24 m, 400 kg/ha </v>
      </c>
      <c r="P96" s="1708"/>
    </row>
    <row r="97" spans="3:16">
      <c r="C97" s="516" t="e">
        <f>#REF!</f>
        <v>#REF!</v>
      </c>
      <c r="E97" s="1708"/>
      <c r="G97" s="1565" t="str">
        <f>'SD3'!C95</f>
        <v>ZR - Roden, 6-reihig</v>
      </c>
      <c r="I97" s="1708"/>
      <c r="L97" s="29"/>
      <c r="N97" s="1565" t="str">
        <f>'SD3'!C38</f>
        <v>Mist/Kompost streuen 20 t/ha  (6 m, 10,5 t) inkl. Beladen</v>
      </c>
      <c r="P97" s="1708"/>
    </row>
    <row r="98" spans="3:16">
      <c r="C98" s="516" t="e">
        <f>#REF!</f>
        <v>#REF!</v>
      </c>
      <c r="E98" s="1708"/>
      <c r="G98" s="1565" t="str">
        <f>'SD3'!C96</f>
        <v>KA - Vollernter mit Bunker, 2-reihig</v>
      </c>
      <c r="I98" s="1708"/>
      <c r="L98" s="29"/>
      <c r="N98" s="1565" t="e">
        <f>'SD3'!#REF!</f>
        <v>#REF!</v>
      </c>
      <c r="P98" s="1708"/>
    </row>
    <row r="99" spans="3:16">
      <c r="C99" s="228" t="e">
        <f>#REF!</f>
        <v>#REF!</v>
      </c>
      <c r="D99" s="251"/>
      <c r="E99" s="512"/>
      <c r="G99" s="1565" t="str">
        <f>'SD3'!C97</f>
        <v>KA - Schlägeln (m. Schl.+Fahrer)</v>
      </c>
      <c r="I99" s="1708"/>
      <c r="L99" s="29"/>
      <c r="N99" s="1565" t="e">
        <f>'SD3'!#REF!</f>
        <v>#REF!</v>
      </c>
      <c r="P99" s="1708"/>
    </row>
    <row r="100" spans="3:16">
      <c r="C100" s="516"/>
      <c r="E100" s="1708"/>
      <c r="G100" s="1565" t="str">
        <f>'SD3'!C98</f>
        <v>Hemp-Flax(Strohnutzung)</v>
      </c>
      <c r="I100" s="1708"/>
      <c r="L100" s="29"/>
      <c r="N100" s="1565" t="str">
        <f>'SD3'!C39</f>
        <v>Gülle ausbringen 20 m³/ha, (15 m³ Fass, Schleppschl. 15 m)</v>
      </c>
      <c r="P100" s="1708"/>
    </row>
    <row r="101" spans="3:16">
      <c r="C101" s="516"/>
      <c r="E101" s="1708"/>
      <c r="G101" s="1565" t="str">
        <f>'SD3'!C99</f>
        <v>Pressen (8,3 t FM; 250 kg/Ba.)</v>
      </c>
      <c r="I101" s="1708"/>
      <c r="L101" s="29"/>
      <c r="N101" s="1565" t="str">
        <f>'SD3'!C40</f>
        <v>Kalkstreuer 6 m³,15 m, 2l/ha (ab Feld, mit Beladen)</v>
      </c>
      <c r="P101" s="1708"/>
    </row>
    <row r="102" spans="3:16">
      <c r="C102" s="215"/>
      <c r="D102" s="215"/>
      <c r="E102" s="215"/>
      <c r="G102" s="1565" t="str">
        <f>'SD3'!C100</f>
        <v>Pressen (10,7 t FM; 250 kg/Ba.)</v>
      </c>
      <c r="I102" s="1708"/>
      <c r="L102" s="29"/>
      <c r="N102" s="1565">
        <f>'SD3'!C41</f>
        <v>0</v>
      </c>
      <c r="P102" s="1708"/>
    </row>
    <row r="103" spans="3:16">
      <c r="G103" s="1565" t="str">
        <f>'SD3'!C101</f>
        <v>ZR - Laden, Abfuhr</v>
      </c>
      <c r="I103" s="1708"/>
      <c r="L103" s="29"/>
      <c r="N103" s="1565" t="str">
        <f>'SD3'!C42</f>
        <v>Pflanzenschutzspritze 21 m, 300 l/ha</v>
      </c>
      <c r="P103" s="1708"/>
    </row>
    <row r="104" spans="3:16">
      <c r="G104" s="1565" t="str">
        <f>'SD3'!C102</f>
        <v>Mulchen</v>
      </c>
      <c r="I104" s="1708"/>
      <c r="L104" s="29"/>
      <c r="N104" s="1565" t="str">
        <f>'SD3'!C43</f>
        <v>Mulchgerät 3 m</v>
      </c>
      <c r="P104" s="1708"/>
    </row>
    <row r="105" spans="3:16">
      <c r="C105" s="1702"/>
      <c r="G105" s="1565" t="str">
        <f>'SD3'!C103</f>
        <v>Stroh-Rundballen pressen je dt</v>
      </c>
      <c r="I105" s="1708"/>
      <c r="L105" s="29"/>
      <c r="N105" s="1565" t="str">
        <f>'SD3'!C44</f>
        <v>Präparatespritze 20 m</v>
      </c>
      <c r="P105" s="1708"/>
    </row>
    <row r="106" spans="3:16">
      <c r="C106" s="1701" t="s">
        <v>1146</v>
      </c>
      <c r="G106" s="1565" t="str">
        <f>'SD3'!C104</f>
        <v>Stroh-Quaderballen pres. (Schneidw.)</v>
      </c>
      <c r="I106" s="1708"/>
      <c r="L106" s="29"/>
      <c r="N106" s="1565" t="str">
        <f>'SD3'!C45</f>
        <v>Hackstriegel 9 m</v>
      </c>
      <c r="P106" s="1708"/>
    </row>
    <row r="107" spans="3:16">
      <c r="C107" s="1701" t="s">
        <v>607</v>
      </c>
      <c r="G107" s="1565">
        <f>'SD3'!C105</f>
        <v>0</v>
      </c>
      <c r="I107" s="1708"/>
      <c r="L107" s="29"/>
      <c r="N107" s="1565" t="str">
        <f>'SD3'!C47</f>
        <v>Reihenhackgerät 3 m</v>
      </c>
      <c r="P107" s="1708"/>
    </row>
    <row r="108" spans="3:16">
      <c r="C108" s="1701"/>
      <c r="G108" s="1565">
        <f>'SD3'!C106</f>
        <v>0</v>
      </c>
      <c r="I108" s="1708"/>
      <c r="L108" s="29"/>
      <c r="N108" s="1565" t="e">
        <f>'SD3'!#REF!</f>
        <v>#REF!</v>
      </c>
      <c r="P108" s="1708"/>
    </row>
    <row r="109" spans="3:16">
      <c r="C109" s="1701"/>
      <c r="G109" s="1565">
        <f>'SD3'!C107</f>
        <v>0</v>
      </c>
      <c r="I109" s="1708"/>
      <c r="L109" s="29"/>
      <c r="N109" s="1565" t="e">
        <f>'SD3'!#REF!</f>
        <v>#REF!</v>
      </c>
      <c r="P109" s="1708"/>
    </row>
    <row r="110" spans="3:16">
      <c r="C110" s="1700"/>
      <c r="G110" s="1565">
        <f>'SD3'!C108</f>
        <v>0</v>
      </c>
      <c r="I110" s="1708"/>
      <c r="L110" s="29"/>
      <c r="N110" s="1565" t="e">
        <f>'SD3'!#REF!</f>
        <v>#REF!</v>
      </c>
      <c r="P110" s="1708"/>
    </row>
    <row r="111" spans="3:16">
      <c r="G111" s="1565">
        <f>'SD3'!C109</f>
        <v>0</v>
      </c>
      <c r="I111" s="1708"/>
      <c r="L111" s="29"/>
      <c r="N111" s="1565">
        <f>'SD3'!C48</f>
        <v>0</v>
      </c>
      <c r="P111" s="1708"/>
    </row>
    <row r="112" spans="3:16">
      <c r="G112" s="1565">
        <f>'SD3'!C110</f>
        <v>0</v>
      </c>
      <c r="I112" s="1708"/>
      <c r="L112" s="29"/>
      <c r="N112" s="1565" t="str">
        <f>'SD3'!C49</f>
        <v>Transp. u. Abkip.  (7,5 t Ki.)</v>
      </c>
      <c r="P112" s="1708"/>
    </row>
    <row r="113" spans="2:16">
      <c r="G113" s="1565">
        <f>'SD3'!C111</f>
        <v>0</v>
      </c>
      <c r="I113" s="1708"/>
      <c r="L113" s="29"/>
      <c r="N113" s="1565" t="e">
        <f>'SD3'!#REF!</f>
        <v>#REF!</v>
      </c>
      <c r="P113" s="1708"/>
    </row>
    <row r="114" spans="2:16">
      <c r="G114" s="1565">
        <f>'SD3'!C112</f>
        <v>0</v>
      </c>
      <c r="I114" s="1708"/>
      <c r="L114" s="29"/>
      <c r="N114" s="1565" t="str">
        <f>'SD3'!C50</f>
        <v>Silagetransport Mais/GPS, 3S.Kip. (13,5t Nutzl.), 50 t FM</v>
      </c>
      <c r="P114" s="1708"/>
    </row>
    <row r="115" spans="2:16">
      <c r="G115" s="1565">
        <f>'SD3'!C113</f>
        <v>0</v>
      </c>
      <c r="I115" s="1708"/>
      <c r="L115" s="29"/>
      <c r="N115" s="1565" t="str">
        <f>'SD3'!C51</f>
        <v>Stroh-Rundballen 4 t/ha laden, abfahren, stapeln, 3-S-Kipp.</v>
      </c>
      <c r="P115" s="1708"/>
    </row>
    <row r="116" spans="2:16">
      <c r="G116" s="1565">
        <f>'SD3'!C114</f>
        <v>0</v>
      </c>
      <c r="I116" s="1708"/>
      <c r="L116" s="29"/>
      <c r="N116" s="1565">
        <f>'SD3'!C52</f>
        <v>0</v>
      </c>
      <c r="P116" s="1708"/>
    </row>
    <row r="117" spans="2:16">
      <c r="G117" s="1565">
        <f>'SD3'!C115</f>
        <v>0</v>
      </c>
      <c r="L117" s="29"/>
      <c r="N117" s="1565" t="str">
        <f>'SD3'!C53</f>
        <v>Wiesenwalze 3 m</v>
      </c>
      <c r="P117" s="1708"/>
    </row>
    <row r="118" spans="2:16">
      <c r="G118" s="1565">
        <f>'SD3'!C116</f>
        <v>0</v>
      </c>
      <c r="L118" s="29"/>
      <c r="N118" s="1565" t="str">
        <f>'SD3'!C54</f>
        <v>Wiesenegge 6 m</v>
      </c>
      <c r="P118" s="1708"/>
    </row>
    <row r="119" spans="2:16">
      <c r="G119" s="1565">
        <f>'SD3'!C117</f>
        <v>0</v>
      </c>
      <c r="L119" s="29"/>
      <c r="N119" s="1565" t="e">
        <f>'SD3'!#REF!</f>
        <v>#REF!</v>
      </c>
      <c r="P119" s="1708"/>
    </row>
    <row r="120" spans="2:16">
      <c r="L120" s="29"/>
      <c r="N120" s="1565" t="str">
        <f>'SD3'!C56</f>
        <v>Rotationsmähwerk (Heck) m. Aufb. 2,8 m</v>
      </c>
      <c r="P120" s="1708"/>
    </row>
    <row r="121" spans="2:16">
      <c r="L121" s="29"/>
      <c r="N121" s="1565" t="str">
        <f>'SD3'!C57</f>
        <v>Kreiselwender 10,75m</v>
      </c>
      <c r="P121" s="1708"/>
    </row>
    <row r="122" spans="2:16">
      <c r="L122" s="29"/>
      <c r="N122" s="1565" t="str">
        <f>'SD3'!C58</f>
        <v>Kreiselschwader 7,5m Seitenablage</v>
      </c>
      <c r="O122" s="1708"/>
    </row>
    <row r="123" spans="2:16">
      <c r="B123" s="440">
        <v>1</v>
      </c>
      <c r="C123" s="29" t="str">
        <f>SDÖ5!C7</f>
        <v>Novodor</v>
      </c>
      <c r="E123" s="1707">
        <f>IF(ISNA(VLOOKUP(B123,SDÖ5!$U$26:$X$37,SDÖ5!$U$23,FALSE)),0,(VLOOKUP(B123,SDÖ5!$U$26:$X$37,SDÖ5!$U$23,FALSE)))</f>
        <v>0</v>
      </c>
      <c r="L123" s="29"/>
      <c r="N123" s="1565" t="e">
        <f>'SD3'!#REF!</f>
        <v>#REF!</v>
      </c>
      <c r="P123" s="1708"/>
    </row>
    <row r="124" spans="2:16">
      <c r="B124" s="440">
        <v>2</v>
      </c>
      <c r="C124" s="29" t="str">
        <f>SDÖ5!C8</f>
        <v>Neem Azal</v>
      </c>
      <c r="E124" s="1707">
        <f>IF(ISNA(VLOOKUP(B124,SDÖ5!$U$26:$X$37,SDÖ5!$U$23,FALSE)),0,(VLOOKUP(B124,SDÖ5!$U$26:$X$37,SDÖ5!$U$23,FALSE)))</f>
        <v>0</v>
      </c>
      <c r="L124" s="29"/>
      <c r="N124" s="1565" t="e">
        <f>'SD3'!#REF!</f>
        <v>#REF!</v>
      </c>
      <c r="P124" s="1708"/>
    </row>
    <row r="125" spans="2:16">
      <c r="B125" s="440">
        <v>3</v>
      </c>
      <c r="C125" s="29" t="str">
        <f>SDÖ5!C9</f>
        <v>Sluxx HP</v>
      </c>
      <c r="E125" s="1707">
        <f>IF(ISNA(VLOOKUP(B125,SDÖ5!$U$26:$X$37,SDÖ5!$U$23,FALSE)),0,(VLOOKUP(B125,SDÖ5!$U$26:$X$37,SDÖ5!$U$23,FALSE)))</f>
        <v>0</v>
      </c>
      <c r="L125" s="29"/>
      <c r="N125" s="1565">
        <f>'SD3'!C59</f>
        <v>0</v>
      </c>
      <c r="P125" s="1708"/>
    </row>
    <row r="126" spans="2:16">
      <c r="B126" s="440">
        <v>4</v>
      </c>
      <c r="C126" s="29" t="str">
        <f>SDÖ5!C10</f>
        <v>Cuprozin Progress</v>
      </c>
      <c r="E126" s="1707">
        <f>IF(ISNA(VLOOKUP(B126,SDÖ5!$U$26:$X$37,SDÖ5!$U$23,FALSE)),0,(VLOOKUP(B126,SDÖ5!$U$26:$X$37,SDÖ5!$U$23,FALSE)))</f>
        <v>0</v>
      </c>
      <c r="L126" s="29"/>
      <c r="N126" s="1565" t="str">
        <f>'SD3'!C60</f>
        <v>Kartoffeln vorkeimen</v>
      </c>
      <c r="P126" s="1708"/>
    </row>
    <row r="127" spans="2:16">
      <c r="B127" s="440">
        <v>5</v>
      </c>
      <c r="C127" s="29" t="str">
        <f>SDÖ5!C11</f>
        <v>silico Sec</v>
      </c>
      <c r="E127" s="1707">
        <f>IF(ISNA(VLOOKUP(B127,SDÖ5!$U$26:$X$37,SDÖ5!$U$23,FALSE)),0,(VLOOKUP(B127,SDÖ5!$U$26:$X$37,SDÖ5!$U$23,FALSE)))</f>
        <v>0</v>
      </c>
      <c r="L127" s="29"/>
      <c r="N127" s="1565" t="str">
        <f>'SD3'!C61</f>
        <v>Pflanzkartoffeltransport,-laden 2,5 t/ha</v>
      </c>
      <c r="P127" s="1708"/>
    </row>
    <row r="128" spans="2:16">
      <c r="B128" s="440">
        <v>6</v>
      </c>
      <c r="C128" s="29">
        <f>SDÖ5!C12</f>
        <v>0</v>
      </c>
      <c r="E128" s="1707">
        <f>IF(ISNA(VLOOKUP(B128,SDÖ5!$U$26:$X$37,SDÖ5!$U$23,FALSE)),0,(VLOOKUP(B128,SDÖ5!$U$26:$X$37,SDÖ5!$U$23,FALSE)))</f>
        <v>0</v>
      </c>
      <c r="L128" s="29"/>
      <c r="N128" s="1565" t="e">
        <f>'SD3'!#REF!</f>
        <v>#REF!</v>
      </c>
      <c r="P128" s="1708"/>
    </row>
    <row r="129" spans="2:16">
      <c r="B129" s="440">
        <v>7</v>
      </c>
      <c r="C129" s="29">
        <f>SDÖ5!C13</f>
        <v>0</v>
      </c>
      <c r="E129" s="1707">
        <f>IF(ISNA(VLOOKUP(B129,SDÖ5!$U$26:$X$37,SDÖ5!$U$23,FALSE)),0,(VLOOKUP(B129,SDÖ5!$U$26:$X$37,SDÖ5!$U$23,FALSE)))</f>
        <v>0</v>
      </c>
      <c r="L129" s="29"/>
      <c r="N129" s="1565" t="str">
        <f>'SD3'!C62</f>
        <v>Legemaschine mit Kippbunker 4 r (Kartoffel)</v>
      </c>
      <c r="P129" s="1708"/>
    </row>
    <row r="130" spans="2:16">
      <c r="B130" s="440">
        <v>8</v>
      </c>
      <c r="C130" s="29">
        <f>SDÖ5!C14</f>
        <v>0</v>
      </c>
      <c r="E130" s="1707">
        <f>IF(ISNA(VLOOKUP(B130,SDÖ5!$U$26:$X$37,SDÖ5!$U$23,FALSE)),0,(VLOOKUP(B130,SDÖ5!$U$26:$X$37,SDÖ5!$U$23,FALSE)))</f>
        <v>0</v>
      </c>
      <c r="L130" s="29"/>
      <c r="N130" s="1565" t="str">
        <f>'SD3'!C63</f>
        <v>Häufeln 4 r, Vorauflauf (Kartoffel)</v>
      </c>
      <c r="P130" s="1708"/>
    </row>
    <row r="131" spans="2:16">
      <c r="B131" s="440">
        <v>9</v>
      </c>
      <c r="C131" s="29">
        <f>SDÖ5!C15</f>
        <v>0</v>
      </c>
      <c r="E131" s="1707">
        <f>IF(ISNA(VLOOKUP(B131,SDÖ5!$U$26:$X$37,SDÖ5!$U$23,FALSE)),0,(VLOOKUP(B131,SDÖ5!$U$26:$X$37,SDÖ5!$U$23,FALSE)))</f>
        <v>0</v>
      </c>
      <c r="L131" s="29"/>
      <c r="N131" s="1565" t="str">
        <f>'SD3'!C64</f>
        <v>Hacken Nachauflauf 4 r</v>
      </c>
      <c r="P131" s="1708"/>
    </row>
    <row r="132" spans="2:16">
      <c r="B132" s="440">
        <v>10</v>
      </c>
      <c r="C132" s="29">
        <f>SDÖ5!C16</f>
        <v>0</v>
      </c>
      <c r="E132" s="1707">
        <f>IF(ISNA(VLOOKUP(B132,SDÖ5!$U$26:$X$37,SDÖ5!$U$23,FALSE)),0,(VLOOKUP(B132,SDÖ5!$U$26:$X$37,SDÖ5!$U$23,FALSE)))</f>
        <v>0</v>
      </c>
      <c r="L132" s="29"/>
      <c r="N132" s="1565" t="e">
        <f>'SD3'!#REF!</f>
        <v>#REF!</v>
      </c>
      <c r="P132" s="1708"/>
    </row>
    <row r="133" spans="2:16">
      <c r="B133" s="440">
        <v>11</v>
      </c>
      <c r="C133" s="29" t="s">
        <v>1712</v>
      </c>
      <c r="E133" s="1707">
        <f>IF(ISNA(VLOOKUP(B133,SDÖ5!$U$26:$X$37,SDÖ5!$U$23,FALSE)),0,(VLOOKUP(B133,SDÖ5!$U$26:$X$37,SDÖ5!$U$23,FALSE)))</f>
        <v>0</v>
      </c>
      <c r="L133" s="29"/>
      <c r="N133" s="1565" t="str">
        <f>'SD3'!C65</f>
        <v>Häufeln 4 r, Nachauflauf (Kartoffel)</v>
      </c>
      <c r="P133" s="1708"/>
    </row>
    <row r="134" spans="2:16">
      <c r="B134" s="440">
        <v>12</v>
      </c>
      <c r="C134" s="29" t="e">
        <f>SDÖ5!#REF!</f>
        <v>#REF!</v>
      </c>
      <c r="E134" s="1707">
        <f>IF(ISNA(VLOOKUP(B134,SDÖ5!$U$26:$X$37,SDÖ5!$U$23,FALSE)),0,(VLOOKUP(B134,SDÖ5!$U$26:$X$37,SDÖ5!$U$23,FALSE)))</f>
        <v>0</v>
      </c>
      <c r="L134" s="29"/>
      <c r="N134" s="1565" t="e">
        <f>'SD3'!#REF!</f>
        <v>#REF!</v>
      </c>
    </row>
    <row r="135" spans="2:16">
      <c r="B135" s="440">
        <v>13</v>
      </c>
      <c r="C135" s="29" t="e">
        <f>SDÖ5!#REF!</f>
        <v>#REF!</v>
      </c>
      <c r="E135" s="1707">
        <f>IF(ISNA(VLOOKUP(B135,SDÖ5!$U$26:$X$37,SDÖ5!$U$23,FALSE)),0,(VLOOKUP(B135,SDÖ5!$U$26:$X$37,SDÖ5!$U$23,FALSE)))</f>
        <v>0</v>
      </c>
      <c r="L135" s="29"/>
      <c r="N135" s="1565" t="e">
        <f>'SD3'!#REF!</f>
        <v>#REF!</v>
      </c>
    </row>
    <row r="136" spans="2:16">
      <c r="B136" s="440">
        <v>14</v>
      </c>
      <c r="C136" s="29" t="e">
        <f>SDÖ5!#REF!</f>
        <v>#REF!</v>
      </c>
      <c r="E136" s="1707">
        <f>IF(ISNA(VLOOKUP(B136,SDÖ5!$U$26:$X$37,SDÖ5!$U$23,FALSE)),0,(VLOOKUP(B136,SDÖ5!$U$26:$X$37,SDÖ5!$U$23,FALSE)))</f>
        <v>0</v>
      </c>
      <c r="L136" s="29"/>
      <c r="N136" s="1565" t="e">
        <f>'SD3'!#REF!</f>
        <v>#REF!</v>
      </c>
    </row>
    <row r="137" spans="2:16">
      <c r="B137" s="440">
        <v>15</v>
      </c>
      <c r="C137" s="29"/>
      <c r="E137" s="1707">
        <f>IF(ISNA(VLOOKUP(B137,SDÖ5!$U$26:$X$37,SDÖ5!$U$23,FALSE)),0,(VLOOKUP(B137,SDÖ5!$U$26:$X$37,SDÖ5!$U$23,FALSE)))</f>
        <v>0</v>
      </c>
      <c r="L137" s="29"/>
      <c r="N137" s="1565" t="e">
        <f>'SD3'!#REF!</f>
        <v>#REF!</v>
      </c>
    </row>
    <row r="138" spans="2:16">
      <c r="B138" s="440">
        <v>16</v>
      </c>
      <c r="C138" s="29"/>
      <c r="E138" s="1707">
        <f>IF(ISNA(VLOOKUP(B138,SDÖ5!$U$26:$X$37,SDÖ5!$U$23,FALSE)),0,(VLOOKUP(B138,SDÖ5!$U$26:$X$37,SDÖ5!$U$23,FALSE)))</f>
        <v>0</v>
      </c>
      <c r="L138" s="29"/>
      <c r="N138" s="1565" t="e">
        <f>'SD3'!#REF!</f>
        <v>#REF!</v>
      </c>
    </row>
    <row r="139" spans="2:16">
      <c r="B139" s="440"/>
      <c r="C139" s="29"/>
      <c r="L139" s="29"/>
      <c r="N139" s="1565" t="e">
        <f>'SD3'!#REF!</f>
        <v>#REF!</v>
      </c>
    </row>
    <row r="140" spans="2:16">
      <c r="B140" s="440"/>
      <c r="C140" s="29"/>
      <c r="L140" s="29"/>
      <c r="N140" s="1565">
        <f>'SD3'!C73</f>
        <v>0</v>
      </c>
    </row>
    <row r="141" spans="2:16">
      <c r="B141" s="440"/>
      <c r="C141" s="29"/>
      <c r="L141" s="29"/>
      <c r="N141" s="1565">
        <f>'SD3'!C74</f>
        <v>0</v>
      </c>
    </row>
    <row r="142" spans="2:16">
      <c r="B142" s="440"/>
      <c r="C142" s="29" t="str">
        <f ca="1">MID(CELL("Dateiname",$A$1),FIND("]",CELL("Dateiname",$A$1))+1,31)</f>
        <v>Leerblatt II</v>
      </c>
      <c r="L142" s="29"/>
    </row>
    <row r="143" spans="2:16">
      <c r="B143" s="440"/>
      <c r="C143" s="29"/>
      <c r="L143" s="29"/>
    </row>
    <row r="144" spans="2:16">
      <c r="B144" s="440"/>
      <c r="C144" s="29"/>
      <c r="L144" s="29"/>
    </row>
    <row r="145" spans="2:12">
      <c r="B145" s="440"/>
      <c r="C145" s="29"/>
      <c r="L145" s="29"/>
    </row>
    <row r="146" spans="2:12">
      <c r="B146" s="440"/>
      <c r="C146" s="29"/>
      <c r="L146" s="29"/>
    </row>
    <row r="147" spans="2:12">
      <c r="B147" s="440"/>
      <c r="C147" s="29"/>
      <c r="L147" s="29"/>
    </row>
    <row r="148" spans="2:12">
      <c r="B148" s="440"/>
      <c r="C148" s="29"/>
      <c r="L148" s="29"/>
    </row>
    <row r="149" spans="2:12">
      <c r="B149" s="440"/>
      <c r="C149" s="29"/>
      <c r="L149" s="29"/>
    </row>
    <row r="150" spans="2:12">
      <c r="B150" s="440"/>
      <c r="C150" s="29"/>
      <c r="L150" s="29"/>
    </row>
    <row r="151" spans="2:12">
      <c r="B151" s="440"/>
      <c r="C151" s="29"/>
      <c r="L151" s="29"/>
    </row>
    <row r="152" spans="2:12">
      <c r="B152" s="440"/>
      <c r="C152" s="29"/>
    </row>
    <row r="153" spans="2:12">
      <c r="B153" s="440"/>
      <c r="C153" s="29"/>
    </row>
    <row r="154" spans="2:12">
      <c r="B154" s="440"/>
      <c r="C154" s="29"/>
    </row>
    <row r="155" spans="2:12">
      <c r="B155" s="440"/>
      <c r="C155" s="29"/>
    </row>
    <row r="156" spans="2:12">
      <c r="B156" s="440"/>
      <c r="C156" s="29"/>
      <c r="H156" s="1354"/>
      <c r="J156" s="1563"/>
    </row>
    <row r="157" spans="2:12">
      <c r="B157" s="440"/>
      <c r="C157" s="29"/>
      <c r="H157" s="1354"/>
      <c r="J157" s="1563"/>
    </row>
    <row r="158" spans="2:12">
      <c r="B158" s="440"/>
      <c r="C158" s="29"/>
      <c r="H158" s="1354"/>
      <c r="J158" s="1563"/>
    </row>
    <row r="159" spans="2:12">
      <c r="B159" s="440"/>
      <c r="C159" s="29"/>
      <c r="D159" s="29"/>
      <c r="F159" s="29"/>
      <c r="G159" s="29"/>
      <c r="H159" s="29"/>
      <c r="I159" s="29"/>
      <c r="J159" s="29"/>
      <c r="K159" s="29"/>
    </row>
    <row r="160" spans="2:12">
      <c r="B160" s="440"/>
      <c r="C160" s="29"/>
      <c r="D160" s="29"/>
      <c r="F160" s="29"/>
      <c r="G160" s="29"/>
      <c r="H160" s="29"/>
      <c r="I160" s="29"/>
      <c r="J160" s="29"/>
      <c r="K160" s="29"/>
    </row>
    <row r="161" spans="2:11">
      <c r="B161" s="440"/>
      <c r="C161" s="29"/>
      <c r="D161" s="29"/>
      <c r="F161" s="29"/>
      <c r="G161" s="29"/>
      <c r="H161" s="29"/>
      <c r="I161" s="29"/>
      <c r="J161" s="29"/>
      <c r="K161" s="29"/>
    </row>
    <row r="162" spans="2:11">
      <c r="B162" s="440"/>
      <c r="C162" s="29"/>
      <c r="H162" s="1354"/>
      <c r="J162" s="1563"/>
    </row>
    <row r="163" spans="2:11">
      <c r="B163" s="440"/>
      <c r="C163" s="29"/>
    </row>
    <row r="164" spans="2:11">
      <c r="B164" s="440"/>
      <c r="C164" s="29"/>
    </row>
    <row r="165" spans="2:11">
      <c r="B165" s="440"/>
      <c r="C165" s="29"/>
    </row>
    <row r="166" spans="2:11">
      <c r="B166" s="440"/>
      <c r="C166" s="29"/>
    </row>
    <row r="167" spans="2:11">
      <c r="B167" s="440"/>
      <c r="C167" s="29"/>
    </row>
    <row r="168" spans="2:11">
      <c r="B168" s="440"/>
      <c r="C168" s="29"/>
    </row>
    <row r="169" spans="2:11">
      <c r="B169" s="440"/>
      <c r="C169" s="29"/>
    </row>
    <row r="170" spans="2:11">
      <c r="B170" s="440"/>
      <c r="C170" s="29"/>
    </row>
    <row r="171" spans="2:11">
      <c r="B171" s="440"/>
      <c r="C171" s="29"/>
    </row>
    <row r="172" spans="2:11">
      <c r="B172" s="440"/>
      <c r="C172" s="29"/>
    </row>
    <row r="173" spans="2:11">
      <c r="B173" s="440"/>
      <c r="C173" s="29"/>
    </row>
    <row r="174" spans="2:11">
      <c r="B174" s="440"/>
      <c r="C174" s="29"/>
    </row>
    <row r="175" spans="2:11">
      <c r="B175" s="440"/>
      <c r="C175" s="29"/>
    </row>
    <row r="176" spans="2:11">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row r="207" spans="2:3">
      <c r="B207" s="440"/>
      <c r="C207" s="29"/>
    </row>
    <row r="208" spans="2:3">
      <c r="B208" s="440"/>
      <c r="C208" s="29"/>
    </row>
    <row r="209" spans="2:3">
      <c r="B209" s="440"/>
      <c r="C209" s="29"/>
    </row>
    <row r="210" spans="2:3">
      <c r="B210" s="440"/>
      <c r="C210" s="29"/>
    </row>
    <row r="211" spans="2:3">
      <c r="B211" s="440"/>
      <c r="C211" s="29"/>
    </row>
  </sheetData>
  <sheetProtection selectLockedCells="1"/>
  <customSheetViews>
    <customSheetView guid="{8063F48F-80B5-4ECD-B18A-51CBF126E780}" fitToPage="1" hiddenRows="1" hiddenColumns="1" state="hidden">
      <pageMargins left="0.59055118110236227" right="0.57999999999999996" top="0.59055118110236227" bottom="0.59055118110236227" header="0.39370078740157483" footer="0.39370078740157483"/>
      <printOptions horizontalCentered="1"/>
      <pageSetup paperSize="9" scale="67" firstPageNumber="68" orientation="portrait" r:id="rId1"/>
      <headerFooter alignWithMargins="0">
        <oddFooter>&amp;L&amp;11LEL Schwäbisch Gmünd&amp;C70&amp;R&amp;11&amp;F</oddFooter>
      </headerFooter>
    </customSheetView>
    <customSheetView guid="{5D5C9B61-9ABD-4513-AAEB-8333A9D6196C}" fitToPage="1" hiddenRows="1" hiddenColumns="1" state="hidden">
      <pageMargins left="0.59055118110236227" right="0.57999999999999996" top="0.59055118110236227" bottom="0.59055118110236227" header="0.39370078740157483" footer="0.39370078740157483"/>
      <printOptions horizontalCentered="1"/>
      <pageSetup paperSize="9" scale="67" firstPageNumber="68" orientation="portrait" r:id="rId2"/>
      <headerFooter alignWithMargins="0">
        <oddFooter>&amp;L&amp;11LEL Schwäbisch Gmünd&amp;C70&amp;R&amp;11&amp;F</oddFooter>
      </headerFooter>
    </customSheetView>
    <customSheetView guid="{22A73C4F-9004-4CEF-8499-B1F91BE1B569}" fitToPage="1" hiddenRows="1" hiddenColumns="1" state="hidden">
      <pageMargins left="0.59055118110236227" right="0.57999999999999996" top="0.59055118110236227" bottom="0.59055118110236227" header="0.39370078740157483" footer="0.39370078740157483"/>
      <printOptions horizontalCentered="1"/>
      <pageSetup paperSize="9" scale="67" firstPageNumber="68" orientation="portrait" r:id="rId3"/>
      <headerFooter alignWithMargins="0">
        <oddFooter>&amp;L&amp;11LEL Schwäbisch Gmünd&amp;C70&amp;R&amp;11&amp;F</oddFooter>
      </headerFooter>
    </customSheetView>
  </customSheetViews>
  <mergeCells count="49">
    <mergeCell ref="C75:E75"/>
    <mergeCell ref="B76:C76"/>
    <mergeCell ref="C57:D57"/>
    <mergeCell ref="C65:E65"/>
    <mergeCell ref="C66:E66"/>
    <mergeCell ref="C67:E67"/>
    <mergeCell ref="C69:E69"/>
    <mergeCell ref="C50:D50"/>
    <mergeCell ref="C51:D51"/>
    <mergeCell ref="C52:D52"/>
    <mergeCell ref="C53:D53"/>
    <mergeCell ref="C74:E74"/>
    <mergeCell ref="C54:D54"/>
    <mergeCell ref="C55:D55"/>
    <mergeCell ref="C56:D56"/>
    <mergeCell ref="C49:D49"/>
    <mergeCell ref="D26:E26"/>
    <mergeCell ref="C36:E36"/>
    <mergeCell ref="C37:E37"/>
    <mergeCell ref="C38:E38"/>
    <mergeCell ref="C39:E39"/>
    <mergeCell ref="C40:E40"/>
    <mergeCell ref="C41:E41"/>
    <mergeCell ref="C42:E42"/>
    <mergeCell ref="C46:D46"/>
    <mergeCell ref="C47:D47"/>
    <mergeCell ref="C48:D48"/>
    <mergeCell ref="D25:E25"/>
    <mergeCell ref="N1:O1"/>
    <mergeCell ref="K2:P2"/>
    <mergeCell ref="N3:O4"/>
    <mergeCell ref="E10:F10"/>
    <mergeCell ref="C14:F14"/>
    <mergeCell ref="C15:F15"/>
    <mergeCell ref="C16:F16"/>
    <mergeCell ref="C17:F17"/>
    <mergeCell ref="C20:F20"/>
    <mergeCell ref="C21:F21"/>
    <mergeCell ref="D22:G22"/>
    <mergeCell ref="W3:Y3"/>
    <mergeCell ref="E4:I4"/>
    <mergeCell ref="W4:Y4"/>
    <mergeCell ref="G1:I1"/>
    <mergeCell ref="H6:I6"/>
    <mergeCell ref="K6:L6"/>
    <mergeCell ref="N6:O6"/>
    <mergeCell ref="J3:L3"/>
    <mergeCell ref="J4:L4"/>
    <mergeCell ref="K1:L1"/>
  </mergeCells>
  <dataValidations count="5">
    <dataValidation type="list" allowBlank="1" showInputMessage="1" showErrorMessage="1" errorTitle="Organisationsabh. Ausgleichsl." error="Bitte aus Dropdownliste auswählen." sqref="C20:F21" xr:uid="{00000000-0002-0000-5300-000000000000}">
      <formula1>$G$81:$G$91</formula1>
    </dataValidation>
    <dataValidation type="whole" allowBlank="1" showInputMessage="1" showErrorMessage="1" errorTitle="Anteil Erntegut" error="Prozentwert darf nur zwischen 0 und 100 liegen." sqref="O69 L69 I69" xr:uid="{00000000-0002-0000-5300-000001000000}">
      <formula1>0</formula1>
      <formula2>100</formula2>
    </dataValidation>
    <dataValidation type="decimal" allowBlank="1" showInputMessage="1" showErrorMessage="1" errorTitle="Wassergehalt Getreide" error="Zulässig sind nur Werte zwischen 14,1 und 22,0 % Wassergehalt." sqref="H69 K69 N69" xr:uid="{00000000-0002-0000-5300-000002000000}">
      <formula1>14.1</formula1>
      <formula2>22</formula2>
    </dataValidation>
    <dataValidation type="list" allowBlank="1" showInputMessage="1" showErrorMessage="1" errorTitle="Verfahrensabh. Ausgleichsleist." error="Bitte aus Dropdownliste auswählen." sqref="C14:F17" xr:uid="{00000000-0002-0000-5300-000003000000}">
      <formula1>$C$81:$C$100</formula1>
    </dataValidation>
    <dataValidation type="list" allowBlank="1" showInputMessage="1" showErrorMessage="1" errorTitle="Pflanzenschutzmittel" error="Bitte aus Dropdownliste auswählen." sqref="C36:E42" xr:uid="{00000000-0002-0000-5300-000004000000}">
      <formula1>$E$122:$E$204</formula1>
    </dataValidation>
  </dataValidations>
  <printOptions horizontalCentered="1"/>
  <pageMargins left="0.59055118110236227" right="0.57999999999999996" top="0.59055118110236227" bottom="0.59055118110236227" header="0.39370078740157483" footer="0.39370078740157483"/>
  <pageSetup paperSize="9" scale="67" firstPageNumber="68" orientation="portrait" r:id="rId4"/>
  <headerFooter alignWithMargins="0">
    <oddFooter>&amp;L&amp;11LEL Schwäbisch Gmünd&amp;C70&amp;R&amp;11&amp;F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04464" r:id="rId7" name="Check Box 16">
              <controlPr defaultSize="0" autoFill="0" autoLine="0" autoPict="0">
                <anchor moveWithCells="1">
                  <from>
                    <xdr:col>17</xdr:col>
                    <xdr:colOff>754380</xdr:colOff>
                    <xdr:row>1</xdr:row>
                    <xdr:rowOff>251460</xdr:rowOff>
                  </from>
                  <to>
                    <xdr:col>30</xdr:col>
                    <xdr:colOff>259080</xdr:colOff>
                    <xdr:row>2</xdr:row>
                    <xdr:rowOff>175260</xdr:rowOff>
                  </to>
                </anchor>
              </controlPr>
            </control>
          </mc:Choice>
        </mc:AlternateContent>
        <mc:AlternateContent xmlns:mc="http://schemas.openxmlformats.org/markup-compatibility/2006">
          <mc:Choice Requires="x14">
            <control shapeId="104465" r:id="rId8" name="Check Box 17">
              <controlPr defaultSize="0" autoFill="0" autoLine="0" autoPict="0">
                <anchor moveWithCells="1">
                  <from>
                    <xdr:col>17</xdr:col>
                    <xdr:colOff>754380</xdr:colOff>
                    <xdr:row>1</xdr:row>
                    <xdr:rowOff>60960</xdr:rowOff>
                  </from>
                  <to>
                    <xdr:col>30</xdr:col>
                    <xdr:colOff>259080</xdr:colOff>
                    <xdr:row>1</xdr:row>
                    <xdr:rowOff>289560</xdr:rowOff>
                  </to>
                </anchor>
              </controlPr>
            </control>
          </mc:Choice>
        </mc:AlternateContent>
        <mc:AlternateContent xmlns:mc="http://schemas.openxmlformats.org/markup-compatibility/2006">
          <mc:Choice Requires="x14">
            <control shapeId="104466" r:id="rId9" name="Check Box 18">
              <controlPr defaultSize="0" print="0" autoFill="0" autoLine="0" autoPict="0">
                <anchor moveWithCells="1">
                  <from>
                    <xdr:col>10</xdr:col>
                    <xdr:colOff>175260</xdr:colOff>
                    <xdr:row>13</xdr:row>
                    <xdr:rowOff>60960</xdr:rowOff>
                  </from>
                  <to>
                    <xdr:col>10</xdr:col>
                    <xdr:colOff>388620</xdr:colOff>
                    <xdr:row>14</xdr:row>
                    <xdr:rowOff>45720</xdr:rowOff>
                  </to>
                </anchor>
              </controlPr>
            </control>
          </mc:Choice>
        </mc:AlternateContent>
        <mc:AlternateContent xmlns:mc="http://schemas.openxmlformats.org/markup-compatibility/2006">
          <mc:Choice Requires="x14">
            <control shapeId="104467" r:id="rId10" name="Check Box 19">
              <controlPr defaultSize="0" print="0" autoFill="0" autoLine="0" autoPict="0">
                <anchor moveWithCells="1">
                  <from>
                    <xdr:col>10</xdr:col>
                    <xdr:colOff>175260</xdr:colOff>
                    <xdr:row>14</xdr:row>
                    <xdr:rowOff>38100</xdr:rowOff>
                  </from>
                  <to>
                    <xdr:col>10</xdr:col>
                    <xdr:colOff>388620</xdr:colOff>
                    <xdr:row>14</xdr:row>
                    <xdr:rowOff>182880</xdr:rowOff>
                  </to>
                </anchor>
              </controlPr>
            </control>
          </mc:Choice>
        </mc:AlternateContent>
        <mc:AlternateContent xmlns:mc="http://schemas.openxmlformats.org/markup-compatibility/2006">
          <mc:Choice Requires="x14">
            <control shapeId="104468" r:id="rId11" name="Check Box 20">
              <controlPr defaultSize="0" print="0" autoFill="0" autoLine="0" autoPict="0">
                <anchor moveWithCells="1">
                  <from>
                    <xdr:col>10</xdr:col>
                    <xdr:colOff>175260</xdr:colOff>
                    <xdr:row>14</xdr:row>
                    <xdr:rowOff>175260</xdr:rowOff>
                  </from>
                  <to>
                    <xdr:col>10</xdr:col>
                    <xdr:colOff>388620</xdr:colOff>
                    <xdr:row>15</xdr:row>
                    <xdr:rowOff>121920</xdr:rowOff>
                  </to>
                </anchor>
              </controlPr>
            </control>
          </mc:Choice>
        </mc:AlternateContent>
        <mc:AlternateContent xmlns:mc="http://schemas.openxmlformats.org/markup-compatibility/2006">
          <mc:Choice Requires="x14">
            <control shapeId="104469" r:id="rId12" name="Check Box 21">
              <controlPr defaultSize="0" print="0" autoFill="0" autoLine="0" autoPict="0">
                <anchor moveWithCells="1">
                  <from>
                    <xdr:col>10</xdr:col>
                    <xdr:colOff>160020</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4470" r:id="rId13" name="Check Box 22">
              <controlPr defaultSize="0" print="0" autoFill="0" autoLine="0" autoPict="0">
                <anchor moveWithCells="1">
                  <from>
                    <xdr:col>7</xdr:col>
                    <xdr:colOff>137160</xdr:colOff>
                    <xdr:row>13</xdr:row>
                    <xdr:rowOff>38100</xdr:rowOff>
                  </from>
                  <to>
                    <xdr:col>7</xdr:col>
                    <xdr:colOff>365760</xdr:colOff>
                    <xdr:row>14</xdr:row>
                    <xdr:rowOff>22860</xdr:rowOff>
                  </to>
                </anchor>
              </controlPr>
            </control>
          </mc:Choice>
        </mc:AlternateContent>
        <mc:AlternateContent xmlns:mc="http://schemas.openxmlformats.org/markup-compatibility/2006">
          <mc:Choice Requires="x14">
            <control shapeId="104471" r:id="rId14" name="Check Box 23">
              <controlPr defaultSize="0" print="0" autoFill="0" autoLine="0" autoPict="0">
                <anchor moveWithCells="1">
                  <from>
                    <xdr:col>7</xdr:col>
                    <xdr:colOff>137160</xdr:colOff>
                    <xdr:row>14</xdr:row>
                    <xdr:rowOff>45720</xdr:rowOff>
                  </from>
                  <to>
                    <xdr:col>7</xdr:col>
                    <xdr:colOff>350520</xdr:colOff>
                    <xdr:row>15</xdr:row>
                    <xdr:rowOff>0</xdr:rowOff>
                  </to>
                </anchor>
              </controlPr>
            </control>
          </mc:Choice>
        </mc:AlternateContent>
        <mc:AlternateContent xmlns:mc="http://schemas.openxmlformats.org/markup-compatibility/2006">
          <mc:Choice Requires="x14">
            <control shapeId="104472" r:id="rId15" name="Check Box 24">
              <controlPr defaultSize="0" print="0" autoFill="0" autoLine="0" autoPict="0">
                <anchor moveWithCells="1">
                  <from>
                    <xdr:col>7</xdr:col>
                    <xdr:colOff>137160</xdr:colOff>
                    <xdr:row>15</xdr:row>
                    <xdr:rowOff>38100</xdr:rowOff>
                  </from>
                  <to>
                    <xdr:col>7</xdr:col>
                    <xdr:colOff>365760</xdr:colOff>
                    <xdr:row>15</xdr:row>
                    <xdr:rowOff>182880</xdr:rowOff>
                  </to>
                </anchor>
              </controlPr>
            </control>
          </mc:Choice>
        </mc:AlternateContent>
        <mc:AlternateContent xmlns:mc="http://schemas.openxmlformats.org/markup-compatibility/2006">
          <mc:Choice Requires="x14">
            <control shapeId="104473" r:id="rId16" name="Check Box 25">
              <controlPr defaultSize="0" print="0" autoFill="0" autoLine="0" autoPict="0">
                <anchor moveWithCells="1">
                  <from>
                    <xdr:col>7</xdr:col>
                    <xdr:colOff>160020</xdr:colOff>
                    <xdr:row>16</xdr:row>
                    <xdr:rowOff>38100</xdr:rowOff>
                  </from>
                  <to>
                    <xdr:col>7</xdr:col>
                    <xdr:colOff>388620</xdr:colOff>
                    <xdr:row>16</xdr:row>
                    <xdr:rowOff>182880</xdr:rowOff>
                  </to>
                </anchor>
              </controlPr>
            </control>
          </mc:Choice>
        </mc:AlternateContent>
        <mc:AlternateContent xmlns:mc="http://schemas.openxmlformats.org/markup-compatibility/2006">
          <mc:Choice Requires="x14">
            <control shapeId="104474" r:id="rId17" name="Check Box 26">
              <controlPr defaultSize="0" print="0" autoFill="0" autoLine="0" autoPict="0">
                <anchor moveWithCells="1">
                  <from>
                    <xdr:col>13</xdr:col>
                    <xdr:colOff>182880</xdr:colOff>
                    <xdr:row>13</xdr:row>
                    <xdr:rowOff>60960</xdr:rowOff>
                  </from>
                  <to>
                    <xdr:col>13</xdr:col>
                    <xdr:colOff>403860</xdr:colOff>
                    <xdr:row>14</xdr:row>
                    <xdr:rowOff>45720</xdr:rowOff>
                  </to>
                </anchor>
              </controlPr>
            </control>
          </mc:Choice>
        </mc:AlternateContent>
        <mc:AlternateContent xmlns:mc="http://schemas.openxmlformats.org/markup-compatibility/2006">
          <mc:Choice Requires="x14">
            <control shapeId="104475" r:id="rId18" name="Check Box 27">
              <controlPr defaultSize="0" print="0" autoFill="0" autoLine="0" autoPict="0">
                <anchor moveWithCells="1">
                  <from>
                    <xdr:col>13</xdr:col>
                    <xdr:colOff>182880</xdr:colOff>
                    <xdr:row>14</xdr:row>
                    <xdr:rowOff>38100</xdr:rowOff>
                  </from>
                  <to>
                    <xdr:col>13</xdr:col>
                    <xdr:colOff>403860</xdr:colOff>
                    <xdr:row>14</xdr:row>
                    <xdr:rowOff>182880</xdr:rowOff>
                  </to>
                </anchor>
              </controlPr>
            </control>
          </mc:Choice>
        </mc:AlternateContent>
        <mc:AlternateContent xmlns:mc="http://schemas.openxmlformats.org/markup-compatibility/2006">
          <mc:Choice Requires="x14">
            <control shapeId="104476" r:id="rId19" name="Check Box 28">
              <controlPr defaultSize="0" print="0" autoFill="0" autoLine="0" autoPict="0">
                <anchor moveWithCells="1">
                  <from>
                    <xdr:col>13</xdr:col>
                    <xdr:colOff>182880</xdr:colOff>
                    <xdr:row>15</xdr:row>
                    <xdr:rowOff>22860</xdr:rowOff>
                  </from>
                  <to>
                    <xdr:col>13</xdr:col>
                    <xdr:colOff>403860</xdr:colOff>
                    <xdr:row>15</xdr:row>
                    <xdr:rowOff>175260</xdr:rowOff>
                  </to>
                </anchor>
              </controlPr>
            </control>
          </mc:Choice>
        </mc:AlternateContent>
        <mc:AlternateContent xmlns:mc="http://schemas.openxmlformats.org/markup-compatibility/2006">
          <mc:Choice Requires="x14">
            <control shapeId="104477" r:id="rId20" name="Check Box 29">
              <controlPr defaultSize="0" print="0" autoFill="0" autoLine="0" autoPict="0">
                <anchor moveWithCells="1">
                  <from>
                    <xdr:col>13</xdr:col>
                    <xdr:colOff>182880</xdr:colOff>
                    <xdr:row>16</xdr:row>
                    <xdr:rowOff>22860</xdr:rowOff>
                  </from>
                  <to>
                    <xdr:col>13</xdr:col>
                    <xdr:colOff>403860</xdr:colOff>
                    <xdr:row>16</xdr:row>
                    <xdr:rowOff>175260</xdr:rowOff>
                  </to>
                </anchor>
              </controlPr>
            </control>
          </mc:Choice>
        </mc:AlternateContent>
        <mc:AlternateContent xmlns:mc="http://schemas.openxmlformats.org/markup-compatibility/2006">
          <mc:Choice Requires="x14">
            <control shapeId="104478" r:id="rId21" name="Check Box 30">
              <controlPr defaultSize="0" print="0" autoFill="0" autoLine="0" autoPict="0">
                <anchor moveWithCells="1">
                  <from>
                    <xdr:col>12</xdr:col>
                    <xdr:colOff>38100</xdr:colOff>
                    <xdr:row>2</xdr:row>
                    <xdr:rowOff>106680</xdr:rowOff>
                  </from>
                  <to>
                    <xdr:col>12</xdr:col>
                    <xdr:colOff>220980</xdr:colOff>
                    <xdr:row>2</xdr:row>
                    <xdr:rowOff>259080</xdr:rowOff>
                  </to>
                </anchor>
              </controlPr>
            </control>
          </mc:Choice>
        </mc:AlternateContent>
        <mc:AlternateContent xmlns:mc="http://schemas.openxmlformats.org/markup-compatibility/2006">
          <mc:Choice Requires="x14">
            <control shapeId="104479" r:id="rId22" name="Check Box 31">
              <controlPr defaultSize="0" print="0" autoFill="0" autoLine="0" autoPict="0">
                <anchor moveWithCells="1">
                  <from>
                    <xdr:col>12</xdr:col>
                    <xdr:colOff>45720</xdr:colOff>
                    <xdr:row>3</xdr:row>
                    <xdr:rowOff>60960</xdr:rowOff>
                  </from>
                  <to>
                    <xdr:col>12</xdr:col>
                    <xdr:colOff>228600</xdr:colOff>
                    <xdr:row>3</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Title="Arbeitsgänge" error="Bitte aus Dropdownliste auswählen." xr:uid="{00000000-0002-0000-5300-000005000000}">
          <x14:formula1>
            <xm:f>'SD3'!$C$23:$C$75</xm:f>
          </x14:formula1>
          <xm:sqref>C46:D57</xm:sqref>
        </x14:dataValidation>
        <x14:dataValidation type="list" allowBlank="1" showInputMessage="1" showErrorMessage="1" errorTitle="Lohnmaschinen" error="Bitte aus Dropdownliste auswählen." xr:uid="{00000000-0002-0000-5300-000006000000}">
          <x14:formula1>
            <xm:f>'SD3'!$C$90:$C$104</xm:f>
          </x14:formula1>
          <xm:sqref>C65:E67</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Tabelle99">
    <tabColor rgb="FFFF0000"/>
    <pageSetUpPr fitToPage="1"/>
  </sheetPr>
  <dimension ref="A1:AO211"/>
  <sheetViews>
    <sheetView workbookViewId="0"/>
  </sheetViews>
  <sheetFormatPr baseColWidth="10" defaultColWidth="10.5" defaultRowHeight="13.2"/>
  <cols>
    <col min="1" max="1" width="1.5" style="1707" customWidth="1"/>
    <col min="2" max="2" width="3.19921875" style="1707" customWidth="1"/>
    <col min="3" max="3" width="13.19921875" style="1707" customWidth="1"/>
    <col min="4" max="6" width="9.19921875" style="1707" customWidth="1"/>
    <col min="7" max="7" width="9.19921875" style="35" customWidth="1"/>
    <col min="8" max="9" width="7.19921875" style="1707" customWidth="1"/>
    <col min="10" max="10" width="9.5" style="1707" bestFit="1" customWidth="1"/>
    <col min="11" max="16" width="7.19921875" style="1707" customWidth="1"/>
    <col min="17" max="17" width="19.69921875" style="1707" customWidth="1"/>
    <col min="18" max="16384" width="10.5" style="1711"/>
  </cols>
  <sheetData>
    <row r="1" spans="1:41" s="219" customFormat="1" ht="30.15" customHeight="1">
      <c r="A1" s="1681"/>
      <c r="B1" s="258"/>
      <c r="C1" s="1333"/>
      <c r="D1" s="100"/>
      <c r="E1" s="255"/>
      <c r="F1" s="255"/>
      <c r="G1" s="4477" t="s">
        <v>1136</v>
      </c>
      <c r="H1" s="4477"/>
      <c r="I1" s="4477"/>
      <c r="J1" s="1332" t="e">
        <f>(J7+J13+J19+J22+I11+I12)-(J23+J27+J34+J43+J63+J59+J68+J70+J72+J76)</f>
        <v>#REF!</v>
      </c>
      <c r="K1" s="4476" t="e">
        <f>M1-J1</f>
        <v>#REF!</v>
      </c>
      <c r="L1" s="4476"/>
      <c r="M1" s="1332" t="e">
        <f>(M7+M13+M19+M22+L11+L12)-(M23+M27+M34+M43+M63+M59+M68+M70+M72+M76)</f>
        <v>#REF!</v>
      </c>
      <c r="N1" s="4476" t="e">
        <f>P1-M1</f>
        <v>#REF!</v>
      </c>
      <c r="O1" s="4476"/>
      <c r="P1" s="1332" t="e">
        <f>(P7+P13+P19+P22+O11+O12)-(P23+P27+P34+P43+P63+P59+P68+P70+P72+P76)</f>
        <v>#REF!</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1344" t="s">
        <v>1371</v>
      </c>
      <c r="G2" s="1317"/>
      <c r="H2" s="1328"/>
      <c r="K2" s="4441" t="s">
        <v>1374</v>
      </c>
      <c r="L2" s="4441"/>
      <c r="M2" s="4441"/>
      <c r="N2" s="4441"/>
      <c r="O2" s="4441"/>
      <c r="P2" s="4441"/>
      <c r="Q2" s="1681"/>
    </row>
    <row r="3" spans="1:41" s="219" customFormat="1" ht="21.75" customHeight="1">
      <c r="A3" s="1681"/>
      <c r="B3" s="1344"/>
      <c r="G3" s="1317"/>
      <c r="H3" s="1328"/>
      <c r="J3" s="4368" t="s">
        <v>886</v>
      </c>
      <c r="K3" s="4447"/>
      <c r="L3" s="4447"/>
      <c r="M3" s="1327"/>
      <c r="N3" s="4444" t="str">
        <f>IF(AND(T3=TRUE,T4=TRUE),"nur 1 Strohnutzung möglich","")</f>
        <v/>
      </c>
      <c r="O3" s="4374"/>
      <c r="P3" s="1326"/>
      <c r="Q3" s="1681"/>
      <c r="T3" s="1343" t="b">
        <v>0</v>
      </c>
      <c r="W3" s="4368" t="s">
        <v>886</v>
      </c>
      <c r="X3" s="4447"/>
      <c r="Y3" s="4447"/>
      <c r="Z3" s="1327"/>
    </row>
    <row r="4" spans="1:41" s="219" customFormat="1" ht="20.25" customHeight="1">
      <c r="A4" s="1681"/>
      <c r="B4" s="309" t="s">
        <v>779</v>
      </c>
      <c r="C4" s="1711"/>
      <c r="D4" s="1711"/>
      <c r="E4" s="4406" t="s">
        <v>1147</v>
      </c>
      <c r="F4" s="4406"/>
      <c r="G4" s="4406"/>
      <c r="H4" s="4406"/>
      <c r="I4" s="4406"/>
      <c r="J4" s="4368" t="s">
        <v>875</v>
      </c>
      <c r="K4" s="4447"/>
      <c r="L4" s="4447"/>
      <c r="M4" s="1696"/>
      <c r="N4" s="4374"/>
      <c r="O4" s="4374"/>
      <c r="P4" s="1322">
        <f>SDÖ1!O3</f>
        <v>2024</v>
      </c>
      <c r="Q4" s="1681"/>
      <c r="T4" s="1343"/>
      <c r="W4" s="4368" t="s">
        <v>875</v>
      </c>
      <c r="X4" s="4447"/>
      <c r="Y4" s="4447"/>
      <c r="Z4" s="1696"/>
    </row>
    <row r="5" spans="1:41" ht="6" customHeight="1" thickBot="1"/>
    <row r="6" spans="1:41" s="1311" customFormat="1" ht="24" customHeight="1">
      <c r="A6" s="41"/>
      <c r="B6" s="2187" t="s">
        <v>832</v>
      </c>
      <c r="C6" s="2186"/>
      <c r="D6" s="2186"/>
      <c r="E6" s="2186"/>
      <c r="F6" s="2186"/>
      <c r="G6" s="2185" t="s">
        <v>1141</v>
      </c>
      <c r="H6" s="4510"/>
      <c r="I6" s="4511"/>
      <c r="J6" s="1678">
        <v>1</v>
      </c>
      <c r="K6" s="4512"/>
      <c r="L6" s="4513"/>
      <c r="M6" s="1678">
        <v>1</v>
      </c>
      <c r="N6" s="4514"/>
      <c r="O6" s="4515"/>
      <c r="P6" s="1677">
        <f>M6*1.25</f>
        <v>1.25</v>
      </c>
      <c r="Q6" s="49"/>
      <c r="R6" s="1311" t="s">
        <v>1373</v>
      </c>
    </row>
    <row r="7" spans="1:41" s="196" customFormat="1" ht="18.75" customHeight="1">
      <c r="A7" s="40"/>
      <c r="B7" s="1676" t="s">
        <v>1133</v>
      </c>
      <c r="C7" s="40"/>
      <c r="D7" s="40"/>
      <c r="E7" s="40"/>
      <c r="F7" s="40"/>
      <c r="G7" s="1675" t="s">
        <v>163</v>
      </c>
      <c r="H7" s="1307"/>
      <c r="I7" s="1306"/>
      <c r="J7" s="1041">
        <f>SUM(I9:I10)</f>
        <v>0</v>
      </c>
      <c r="K7" s="1309"/>
      <c r="L7" s="1308"/>
      <c r="M7" s="1044">
        <f>SUM(L9:L10)</f>
        <v>0</v>
      </c>
      <c r="N7" s="1307"/>
      <c r="O7" s="1306"/>
      <c r="P7" s="1589">
        <f>SUM(O9:O10)</f>
        <v>0</v>
      </c>
      <c r="Q7" s="1707"/>
    </row>
    <row r="8" spans="1:41" s="196" customFormat="1" ht="13.2" customHeight="1">
      <c r="A8" s="40"/>
      <c r="B8" s="1665"/>
      <c r="C8" s="1305"/>
      <c r="D8" s="1305"/>
      <c r="E8" s="1305"/>
      <c r="F8" s="1305"/>
      <c r="G8" s="1585" t="s">
        <v>220</v>
      </c>
      <c r="H8" s="1655" t="s">
        <v>164</v>
      </c>
      <c r="I8" s="1581" t="s">
        <v>163</v>
      </c>
      <c r="J8" s="1026"/>
      <c r="K8" s="1657" t="s">
        <v>164</v>
      </c>
      <c r="L8" s="1583" t="s">
        <v>163</v>
      </c>
      <c r="M8" s="1227"/>
      <c r="N8" s="1655" t="s">
        <v>164</v>
      </c>
      <c r="O8" s="1581" t="s">
        <v>163</v>
      </c>
      <c r="P8" s="1580"/>
      <c r="Q8" s="1707"/>
    </row>
    <row r="9" spans="1:41" s="196" customFormat="1" ht="16.5" customHeight="1">
      <c r="A9" s="40"/>
      <c r="B9" s="1591"/>
      <c r="C9" s="39" t="s">
        <v>1132</v>
      </c>
      <c r="D9" s="40"/>
      <c r="E9" s="40"/>
      <c r="F9" s="40"/>
      <c r="G9" s="1221"/>
      <c r="H9" s="1303">
        <f>J6-H10</f>
        <v>0.75</v>
      </c>
      <c r="I9" s="1299">
        <f>H9*G9</f>
        <v>0</v>
      </c>
      <c r="J9" s="37"/>
      <c r="K9" s="1302">
        <f>M6-K10</f>
        <v>0.75</v>
      </c>
      <c r="L9" s="1301">
        <f>K9*G9</f>
        <v>0</v>
      </c>
      <c r="M9" s="1280"/>
      <c r="N9" s="1300">
        <f>P6-N10</f>
        <v>0.9375</v>
      </c>
      <c r="O9" s="1299">
        <f>N9*G9</f>
        <v>0</v>
      </c>
      <c r="P9" s="216"/>
      <c r="Q9" s="1707"/>
      <c r="R9" s="517"/>
      <c r="S9" s="208" t="s">
        <v>887</v>
      </c>
      <c r="T9" s="1298"/>
    </row>
    <row r="10" spans="1:41" s="1268" customFormat="1" ht="15" customHeight="1">
      <c r="A10" s="309"/>
      <c r="B10" s="1492"/>
      <c r="C10" s="223" t="s">
        <v>1131</v>
      </c>
      <c r="D10" s="1277"/>
      <c r="E10" s="4508" t="s">
        <v>1151</v>
      </c>
      <c r="F10" s="4509"/>
      <c r="G10" s="1297"/>
      <c r="H10" s="1292">
        <f>J6*0.25</f>
        <v>0.25</v>
      </c>
      <c r="I10" s="1291">
        <f>H10*G10</f>
        <v>0</v>
      </c>
      <c r="K10" s="1295">
        <f>M6*25%</f>
        <v>0.25</v>
      </c>
      <c r="L10" s="1294">
        <f>K10*G10</f>
        <v>0</v>
      </c>
      <c r="M10" s="1293"/>
      <c r="N10" s="1292">
        <f>P6*25%</f>
        <v>0.3125</v>
      </c>
      <c r="O10" s="1291">
        <f>N10*G10</f>
        <v>0</v>
      </c>
      <c r="P10" s="1674"/>
      <c r="Q10" s="34"/>
      <c r="R10" s="1289">
        <f>I10+I11+I12</f>
        <v>0</v>
      </c>
      <c r="S10" s="1288">
        <f>L10+L11+L12</f>
        <v>0</v>
      </c>
      <c r="T10" s="1287">
        <f>O10+O11+O12</f>
        <v>0</v>
      </c>
      <c r="W10" s="196" t="s">
        <v>879</v>
      </c>
    </row>
    <row r="11" spans="1:41" s="1268" customFormat="1" ht="15" customHeight="1">
      <c r="A11" s="309"/>
      <c r="B11" s="218"/>
      <c r="C11" s="39" t="s">
        <v>878</v>
      </c>
      <c r="D11" s="309"/>
      <c r="E11" s="1673">
        <v>0</v>
      </c>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216"/>
      <c r="Q11" s="34"/>
      <c r="W11" s="1268" t="s">
        <v>876</v>
      </c>
    </row>
    <row r="12" spans="1:41" s="1268" customFormat="1" ht="15" customHeight="1">
      <c r="A12" s="309"/>
      <c r="B12" s="1492"/>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216"/>
      <c r="Q12" s="34"/>
    </row>
    <row r="13" spans="1:41" s="196" customFormat="1" ht="18.75" customHeight="1">
      <c r="A13" s="40"/>
      <c r="B13" s="1591" t="s">
        <v>1130</v>
      </c>
      <c r="C13" s="40"/>
      <c r="D13" s="1672"/>
      <c r="E13" s="1672"/>
      <c r="F13" s="1672"/>
      <c r="G13" s="1671" t="s">
        <v>163</v>
      </c>
      <c r="H13" s="1351"/>
      <c r="I13" s="1249"/>
      <c r="J13" s="1041" t="e">
        <f>SUM(I14:I18)</f>
        <v>#REF!</v>
      </c>
      <c r="K13" s="1352"/>
      <c r="L13" s="1251"/>
      <c r="M13" s="1044" t="e">
        <f>SUM(L14:L18)</f>
        <v>#REF!</v>
      </c>
      <c r="N13" s="1351"/>
      <c r="O13" s="1249"/>
      <c r="P13" s="1589" t="e">
        <f>SUM(O14:O18)</f>
        <v>#REF!</v>
      </c>
      <c r="Q13" s="1707"/>
      <c r="R13" s="100"/>
      <c r="W13" s="1266" t="s">
        <v>872</v>
      </c>
      <c r="X13" s="1264" t="str">
        <f>IF(OR(T3=TRUE,T4=TRUE),J6*$E$11,"0")</f>
        <v>0</v>
      </c>
      <c r="Y13" s="1265" t="str">
        <f>IF(OR(T3=TRUE,T4=TRUE),M6*$E$11,"0")</f>
        <v>0</v>
      </c>
      <c r="Z13" s="1264" t="str">
        <f>IF(OR(T3=TRUE,T4=TRUE),P6*$E$11,"0")</f>
        <v>0</v>
      </c>
    </row>
    <row r="14" spans="1:41" s="36" customFormat="1" ht="15" customHeight="1">
      <c r="A14" s="39"/>
      <c r="B14" s="1669"/>
      <c r="C14" s="4484" t="s">
        <v>1029</v>
      </c>
      <c r="D14" s="4484"/>
      <c r="E14" s="4484"/>
      <c r="F14" s="4484"/>
      <c r="G14" s="1263"/>
      <c r="H14" s="1705"/>
      <c r="I14" s="1243" t="e">
        <f>IF(R14=TRUE,Q14,0)</f>
        <v>#REF!</v>
      </c>
      <c r="K14" s="1705"/>
      <c r="L14" s="1098" t="e">
        <f>IF(S14=TRUE,Q14,0)</f>
        <v>#REF!</v>
      </c>
      <c r="M14" s="1578"/>
      <c r="N14" s="1705"/>
      <c r="O14" s="1243" t="e">
        <f>IF(T14=TRUE,Q14,0)</f>
        <v>#REF!</v>
      </c>
      <c r="P14" s="1577"/>
      <c r="Q14" s="1261" t="e">
        <f>IF(C14=0,0,VLOOKUP(C14,#REF!,10,FALSE))</f>
        <v>#REF!</v>
      </c>
      <c r="R14" s="1350" t="b">
        <v>1</v>
      </c>
      <c r="S14" s="1349" t="b">
        <v>1</v>
      </c>
      <c r="T14" s="1348" t="b">
        <v>1</v>
      </c>
      <c r="W14" s="36" t="s">
        <v>236</v>
      </c>
      <c r="X14" s="1260">
        <f>$X$13*F30</f>
        <v>0</v>
      </c>
      <c r="Y14" s="1260">
        <f>$Y$13*F30</f>
        <v>0</v>
      </c>
      <c r="Z14" s="1260">
        <f>$Z$13*F30</f>
        <v>0</v>
      </c>
    </row>
    <row r="15" spans="1:41" s="36" customFormat="1" ht="15" customHeight="1">
      <c r="A15" s="39"/>
      <c r="B15" s="1669"/>
      <c r="C15" s="4484"/>
      <c r="D15" s="4484"/>
      <c r="E15" s="4484"/>
      <c r="F15" s="4484"/>
      <c r="G15" s="1263"/>
      <c r="H15" s="1705"/>
      <c r="I15" s="1243">
        <f>IF(R15=TRUE,Q15,0)</f>
        <v>0</v>
      </c>
      <c r="J15" s="45"/>
      <c r="K15" s="1705"/>
      <c r="L15" s="1098">
        <f>IF(S15=TRUE,Q15,0)</f>
        <v>0</v>
      </c>
      <c r="M15" s="1578"/>
      <c r="N15" s="1705"/>
      <c r="O15" s="1243">
        <f>IF(T15=TRUE,Q15,0)</f>
        <v>0</v>
      </c>
      <c r="P15" s="1577"/>
      <c r="Q15" s="1261">
        <f>IF(C15=0,0,VLOOKUP(C15,#REF!,10,FALSE))</f>
        <v>0</v>
      </c>
      <c r="R15" s="1347" t="b">
        <v>0</v>
      </c>
      <c r="S15" s="1343" t="b">
        <v>0</v>
      </c>
      <c r="T15" s="1346" t="b">
        <v>0</v>
      </c>
      <c r="W15" s="36" t="s">
        <v>685</v>
      </c>
      <c r="X15" s="1260">
        <f>$X$13*F31</f>
        <v>0</v>
      </c>
      <c r="Y15" s="1260">
        <f>$Y$13*F31</f>
        <v>0</v>
      </c>
      <c r="Z15" s="1260">
        <f>$Z$13*F31</f>
        <v>0</v>
      </c>
    </row>
    <row r="16" spans="1:41" s="36" customFormat="1" ht="15" customHeight="1">
      <c r="A16" s="39"/>
      <c r="B16" s="1669">
        <v>0</v>
      </c>
      <c r="C16" s="4484">
        <v>0</v>
      </c>
      <c r="D16" s="4484"/>
      <c r="E16" s="4484"/>
      <c r="F16" s="4484"/>
      <c r="G16" s="1263"/>
      <c r="H16" s="1705"/>
      <c r="I16" s="1243">
        <f>IF(R16=TRUE,Q16,0)</f>
        <v>0</v>
      </c>
      <c r="K16" s="1705"/>
      <c r="L16" s="1098">
        <f>IF(S16=TRUE,Q16,0)</f>
        <v>0</v>
      </c>
      <c r="M16" s="1578"/>
      <c r="N16" s="1705"/>
      <c r="O16" s="1243">
        <f>IF(T16=TRUE,Q16,0)</f>
        <v>0</v>
      </c>
      <c r="P16" s="1577"/>
      <c r="Q16" s="1261">
        <f>IF(C16=0,0,VLOOKUP(C16,#REF!,10,FALSE))</f>
        <v>0</v>
      </c>
      <c r="R16" s="1347" t="b">
        <v>0</v>
      </c>
      <c r="S16" s="1343" t="b">
        <v>0</v>
      </c>
      <c r="T16" s="1346" t="b">
        <v>0</v>
      </c>
      <c r="W16" s="36" t="s">
        <v>684</v>
      </c>
      <c r="X16" s="1260">
        <f>$X$13*F32</f>
        <v>0</v>
      </c>
      <c r="Y16" s="1260">
        <f>$Y$13*F32</f>
        <v>0</v>
      </c>
      <c r="Z16" s="1260">
        <f>$Z$13*F32</f>
        <v>0</v>
      </c>
    </row>
    <row r="17" spans="1:26" s="36" customFormat="1" ht="15" customHeight="1">
      <c r="A17" s="39"/>
      <c r="B17" s="1669"/>
      <c r="C17" s="4484">
        <v>0</v>
      </c>
      <c r="D17" s="4484"/>
      <c r="E17" s="4484"/>
      <c r="F17" s="4484"/>
      <c r="G17" s="1263"/>
      <c r="H17" s="1705"/>
      <c r="I17" s="1243">
        <f>IF(R17=TRUE,Q17,0)</f>
        <v>0</v>
      </c>
      <c r="K17" s="1705"/>
      <c r="L17" s="1098">
        <f>IF(S17=TRUE,Q17,0)</f>
        <v>0</v>
      </c>
      <c r="M17" s="1578"/>
      <c r="N17" s="1705"/>
      <c r="O17" s="1243">
        <f>IF(T17=TRUE,Q17,0)</f>
        <v>0</v>
      </c>
      <c r="P17" s="1577"/>
      <c r="Q17" s="1261">
        <f>IF(C17=0,0,VLOOKUP(C17,#REF!,10,FALSE))</f>
        <v>0</v>
      </c>
      <c r="R17" s="1347" t="b">
        <v>0</v>
      </c>
      <c r="S17" s="1343" t="b">
        <v>0</v>
      </c>
      <c r="T17" s="1346" t="b">
        <v>0</v>
      </c>
      <c r="W17" s="36" t="s">
        <v>230</v>
      </c>
      <c r="X17" s="1260">
        <f>$X$13*F33</f>
        <v>0</v>
      </c>
      <c r="Y17" s="1260">
        <f>$Y$13*F33</f>
        <v>0</v>
      </c>
      <c r="Z17" s="1260">
        <f>$Z$13*F33</f>
        <v>0</v>
      </c>
    </row>
    <row r="18" spans="1:26" s="36" customFormat="1" ht="15" customHeight="1">
      <c r="A18" s="39"/>
      <c r="B18" s="1603"/>
      <c r="C18" s="1259"/>
      <c r="D18" s="223"/>
      <c r="E18" s="223"/>
      <c r="F18" s="223"/>
      <c r="G18" s="1238"/>
      <c r="H18" s="1255"/>
      <c r="I18" s="1258">
        <f>IF($R18=TRUE,IF(G18=0,0,LOOKUP($G$18,#REF!)),0)</f>
        <v>0</v>
      </c>
      <c r="J18" s="223"/>
      <c r="K18" s="1255"/>
      <c r="L18" s="1257">
        <f>IF($S18=TRUE,IF(G18=0,0,LOOKUP($G$18,#REF!)),0)</f>
        <v>0</v>
      </c>
      <c r="M18" s="1256"/>
      <c r="N18" s="1255"/>
      <c r="O18" s="1254">
        <f>IF($T18=TRUE,IF(G18=0,0,LOOKUP($G$18,#REF!)),0)</f>
        <v>0</v>
      </c>
      <c r="P18" s="2184"/>
      <c r="Q18" s="1261">
        <f>IF(C18=0,0,VLOOKUP(C18,#REF!,10,FALSE))</f>
        <v>0</v>
      </c>
      <c r="R18" s="2183" t="b">
        <v>0</v>
      </c>
      <c r="S18" s="2182" t="b">
        <v>0</v>
      </c>
      <c r="T18" s="1319" t="b">
        <v>0</v>
      </c>
    </row>
    <row r="19" spans="1:26" s="1706" customFormat="1" ht="18.75" customHeight="1">
      <c r="A19" s="40"/>
      <c r="B19" s="1591" t="s">
        <v>1129</v>
      </c>
      <c r="C19" s="40"/>
      <c r="D19" s="40"/>
      <c r="E19" s="40"/>
      <c r="F19" s="40"/>
      <c r="G19" s="175" t="s">
        <v>163</v>
      </c>
      <c r="H19" s="1250"/>
      <c r="I19" s="1249"/>
      <c r="J19" s="1041" t="e">
        <f>SUM(I20:I21)</f>
        <v>#REF!</v>
      </c>
      <c r="K19" s="1252"/>
      <c r="L19" s="1251"/>
      <c r="M19" s="1044" t="e">
        <f>SUM(L20:L21)</f>
        <v>#REF!</v>
      </c>
      <c r="N19" s="1250"/>
      <c r="O19" s="1249"/>
      <c r="P19" s="1589" t="e">
        <f>SUM(O20:O21)</f>
        <v>#REF!</v>
      </c>
      <c r="Q19" s="1707"/>
      <c r="R19" s="514" t="s">
        <v>870</v>
      </c>
      <c r="S19" s="308"/>
      <c r="T19" s="1248"/>
    </row>
    <row r="20" spans="1:26" s="36" customFormat="1" ht="15" customHeight="1">
      <c r="A20" s="39"/>
      <c r="B20" s="1669"/>
      <c r="C20" s="4484" t="s">
        <v>276</v>
      </c>
      <c r="D20" s="4484"/>
      <c r="E20" s="4484"/>
      <c r="F20" s="4484"/>
      <c r="G20" s="1246"/>
      <c r="H20" s="1244"/>
      <c r="I20" s="1243" t="e">
        <f>IF(OR($C20=0,$J$6=0),0,VLOOKUP($C20,#REF!,10,FALSE))</f>
        <v>#REF!</v>
      </c>
      <c r="K20" s="1245"/>
      <c r="L20" s="1098" t="e">
        <f>IF($C20=0,0,VLOOKUP($C20,#REF!,10,FALSE))</f>
        <v>#REF!</v>
      </c>
      <c r="M20" s="1578"/>
      <c r="N20" s="1244"/>
      <c r="O20" s="1243" t="e">
        <f>IF(OR($C20=0,$P$6=0),0,VLOOKUP($C20,#REF!,10,FALSE))</f>
        <v>#REF!</v>
      </c>
      <c r="P20" s="1577"/>
      <c r="Q20" s="1707"/>
      <c r="R20" s="1242" t="e">
        <f>J13+J19</f>
        <v>#REF!</v>
      </c>
      <c r="S20" s="1241" t="e">
        <f>M13+M19</f>
        <v>#REF!</v>
      </c>
      <c r="T20" s="1240" t="e">
        <f>P13+P19</f>
        <v>#REF!</v>
      </c>
    </row>
    <row r="21" spans="1:26" s="36" customFormat="1" ht="0.75" customHeight="1">
      <c r="A21" s="39"/>
      <c r="B21" s="1668"/>
      <c r="C21" s="4501"/>
      <c r="D21" s="4501"/>
      <c r="E21" s="4501"/>
      <c r="F21" s="4501"/>
      <c r="G21" s="1238"/>
      <c r="H21" s="1236"/>
      <c r="I21" s="1235">
        <f>IF(OR($C21=0,$J$6=0),0,VLOOKUP($C21,#REF!,10,FALSE))</f>
        <v>0</v>
      </c>
      <c r="K21" s="1237"/>
      <c r="L21" s="1080">
        <f>IF(OR($C21=0,$M$6=0),0,VLOOKUP($C21,#REF!,10,FALSE))</f>
        <v>0</v>
      </c>
      <c r="M21" s="1578"/>
      <c r="N21" s="1236"/>
      <c r="O21" s="1235">
        <f>IF(OR($C21=0,$P$6=0),0,VLOOKUP($C21,#REF!,10,FALSE))</f>
        <v>0</v>
      </c>
      <c r="P21" s="1601"/>
      <c r="Q21" s="1707"/>
    </row>
    <row r="22" spans="1:26" ht="16.5" customHeight="1">
      <c r="A22" s="309"/>
      <c r="B22" s="1591" t="s">
        <v>610</v>
      </c>
      <c r="C22" s="39"/>
      <c r="D22" s="4502"/>
      <c r="E22" s="4502"/>
      <c r="F22" s="4502"/>
      <c r="G22" s="4503"/>
      <c r="H22" s="1231"/>
      <c r="I22" s="1230"/>
      <c r="J22" s="1229"/>
      <c r="K22" s="1233"/>
      <c r="L22" s="1232"/>
      <c r="M22" s="1229"/>
      <c r="N22" s="1231"/>
      <c r="O22" s="1230"/>
      <c r="P22" s="1667"/>
      <c r="R22" s="1707"/>
      <c r="S22" s="1707"/>
      <c r="T22" s="1707"/>
    </row>
    <row r="23" spans="1:26" ht="18.75" customHeight="1">
      <c r="A23" s="309"/>
      <c r="B23" s="1666" t="s">
        <v>214</v>
      </c>
      <c r="C23" s="1228"/>
      <c r="D23" s="1228"/>
      <c r="G23" s="1650" t="s">
        <v>163</v>
      </c>
      <c r="H23" s="1043"/>
      <c r="I23" s="1042"/>
      <c r="J23" s="1026">
        <f>SUM(I25:I26)</f>
        <v>0</v>
      </c>
      <c r="K23" s="1046"/>
      <c r="L23" s="1045"/>
      <c r="M23" s="1227">
        <f>SUM(L25:L26)</f>
        <v>0</v>
      </c>
      <c r="N23" s="1043"/>
      <c r="O23" s="1042"/>
      <c r="P23" s="1580">
        <f>SUM(O25:O26)</f>
        <v>0</v>
      </c>
      <c r="Q23" s="34"/>
    </row>
    <row r="24" spans="1:26" ht="13.2" customHeight="1">
      <c r="A24" s="309"/>
      <c r="B24" s="1665"/>
      <c r="C24" s="1039" t="s">
        <v>837</v>
      </c>
      <c r="D24" s="1110">
        <f>SDÖ1!$O$10</f>
        <v>0</v>
      </c>
      <c r="E24" s="1664"/>
      <c r="F24" s="1585" t="s">
        <v>239</v>
      </c>
      <c r="G24" s="1608" t="s">
        <v>836</v>
      </c>
      <c r="H24" s="1655" t="s">
        <v>857</v>
      </c>
      <c r="I24" s="1581" t="s">
        <v>163</v>
      </c>
      <c r="J24" s="1663"/>
      <c r="K24" s="1657" t="s">
        <v>857</v>
      </c>
      <c r="L24" s="1583" t="s">
        <v>163</v>
      </c>
      <c r="M24" s="1662"/>
      <c r="N24" s="1655" t="s">
        <v>857</v>
      </c>
      <c r="O24" s="1581" t="s">
        <v>163</v>
      </c>
      <c r="P24" s="1645"/>
    </row>
    <row r="25" spans="1:26" s="36" customFormat="1" ht="15" customHeight="1">
      <c r="A25" s="746"/>
      <c r="B25" s="1661"/>
      <c r="C25" s="746" t="s">
        <v>866</v>
      </c>
      <c r="D25" s="4383"/>
      <c r="E25" s="4384"/>
      <c r="F25" s="1222"/>
      <c r="G25" s="1221">
        <f>F25*(100+$D$24)/100</f>
        <v>0</v>
      </c>
      <c r="H25" s="1220"/>
      <c r="I25" s="1181">
        <f>H25*$G25</f>
        <v>0</v>
      </c>
      <c r="K25" s="1220"/>
      <c r="L25" s="1023">
        <f>K25*$G25</f>
        <v>0</v>
      </c>
      <c r="M25" s="1578"/>
      <c r="N25" s="1220"/>
      <c r="O25" s="1181">
        <f>N25*$G25</f>
        <v>0</v>
      </c>
      <c r="P25" s="1623"/>
      <c r="Q25" s="1707"/>
    </row>
    <row r="26" spans="1:26" s="36" customFormat="1" ht="15" customHeight="1">
      <c r="A26" s="746"/>
      <c r="B26" s="1593"/>
      <c r="C26" s="1682" t="s">
        <v>183</v>
      </c>
      <c r="D26" s="4385"/>
      <c r="E26" s="4386"/>
      <c r="F26" s="1218"/>
      <c r="G26" s="1217">
        <f>F26*(100+$D$24)/100</f>
        <v>0</v>
      </c>
      <c r="H26" s="1216"/>
      <c r="I26" s="1177">
        <f>H26*$G26</f>
        <v>0</v>
      </c>
      <c r="K26" s="1216"/>
      <c r="L26" s="1017">
        <f>K26*$G26</f>
        <v>0</v>
      </c>
      <c r="M26" s="1578"/>
      <c r="N26" s="1216"/>
      <c r="O26" s="1177">
        <f>N26*$G26</f>
        <v>0</v>
      </c>
      <c r="P26" s="1640"/>
      <c r="Q26" s="1707"/>
    </row>
    <row r="27" spans="1:26" s="1706" customFormat="1" ht="18.75" customHeight="1">
      <c r="A27" s="711"/>
      <c r="B27" s="1639" t="s">
        <v>213</v>
      </c>
      <c r="C27" s="711"/>
      <c r="D27" s="1660" t="str">
        <f>IF(SDÖ1!V17=FALSE,"(Nährstoffabfuhr nicht bewertet)","(Nährstoffabfuhr bewertet)")</f>
        <v>(Nährstoffabfuhr nicht bewertet)</v>
      </c>
      <c r="E27" s="1707"/>
      <c r="F27" s="1707"/>
      <c r="G27" s="1650" t="s">
        <v>163</v>
      </c>
      <c r="H27" s="1173"/>
      <c r="I27" s="1172"/>
      <c r="J27" s="1041">
        <f>SUM(I30:I33)</f>
        <v>0</v>
      </c>
      <c r="K27" s="1175"/>
      <c r="L27" s="1174"/>
      <c r="M27" s="1044">
        <f>SUM(L30:L33)</f>
        <v>0</v>
      </c>
      <c r="N27" s="1173"/>
      <c r="O27" s="1172"/>
      <c r="P27" s="1589">
        <f>SUM(O30:O33)</f>
        <v>0</v>
      </c>
      <c r="Q27" s="1707"/>
    </row>
    <row r="28" spans="1:26" s="1706" customFormat="1" ht="13.65" customHeight="1">
      <c r="A28" s="711"/>
      <c r="B28" s="1633"/>
      <c r="C28" s="1709"/>
      <c r="D28" s="1213" t="s">
        <v>706</v>
      </c>
      <c r="E28" s="1213" t="s">
        <v>864</v>
      </c>
      <c r="F28" s="1213" t="s">
        <v>864</v>
      </c>
      <c r="G28" s="1212" t="s">
        <v>863</v>
      </c>
      <c r="H28" s="1172"/>
      <c r="I28" s="1209"/>
      <c r="J28" s="1710"/>
      <c r="K28" s="1175"/>
      <c r="L28" s="1105"/>
      <c r="M28" s="1210"/>
      <c r="N28" s="1173"/>
      <c r="O28" s="1209"/>
      <c r="P28" s="1580"/>
      <c r="Q28" s="1707"/>
    </row>
    <row r="29" spans="1:26" s="1706" customFormat="1" ht="15" customHeight="1">
      <c r="A29" s="711"/>
      <c r="B29" s="1659"/>
      <c r="C29" s="747" t="s">
        <v>862</v>
      </c>
      <c r="D29" s="1586" t="s">
        <v>611</v>
      </c>
      <c r="E29" s="1586" t="s">
        <v>861</v>
      </c>
      <c r="F29" s="1586" t="s">
        <v>860</v>
      </c>
      <c r="G29" s="1586" t="s">
        <v>612</v>
      </c>
      <c r="H29" s="1655" t="s">
        <v>612</v>
      </c>
      <c r="I29" s="1581" t="s">
        <v>163</v>
      </c>
      <c r="J29" s="1658"/>
      <c r="K29" s="1657" t="s">
        <v>612</v>
      </c>
      <c r="L29" s="1583" t="s">
        <v>163</v>
      </c>
      <c r="M29" s="1656"/>
      <c r="N29" s="1655" t="s">
        <v>612</v>
      </c>
      <c r="O29" s="1581" t="s">
        <v>163</v>
      </c>
      <c r="P29" s="1654"/>
      <c r="Q29" s="1707"/>
    </row>
    <row r="30" spans="1:26" s="36" customFormat="1" ht="15" customHeight="1">
      <c r="A30" s="746"/>
      <c r="B30" s="1653"/>
      <c r="C30" s="1202" t="s">
        <v>236</v>
      </c>
      <c r="D30" s="1150">
        <f>IF(SDÖ1!$V$17=TRUE,SDÖ1!O56,0)</f>
        <v>0</v>
      </c>
      <c r="E30" s="1652"/>
      <c r="F30" s="1652"/>
      <c r="G30" s="1200"/>
      <c r="H30" s="1198">
        <f>IF(J$6=0,0,(J$6*$E30+$G30+X14))</f>
        <v>0</v>
      </c>
      <c r="I30" s="1181">
        <f>H30*$D30</f>
        <v>0</v>
      </c>
      <c r="K30" s="1199">
        <f>IF(M$6=0,0,(M$6*$E30+$G30+Y14))</f>
        <v>0</v>
      </c>
      <c r="L30" s="1023">
        <f>K30*$D30</f>
        <v>0</v>
      </c>
      <c r="M30" s="1578"/>
      <c r="N30" s="1198">
        <f>IF(P$6=0,0,(P$6*$E30+$G30+Z14))</f>
        <v>0</v>
      </c>
      <c r="O30" s="1181">
        <f>N30*$D30</f>
        <v>0</v>
      </c>
      <c r="P30" s="1623"/>
      <c r="Q30" s="1707"/>
    </row>
    <row r="31" spans="1:26" s="36" customFormat="1" ht="15" customHeight="1">
      <c r="A31" s="746"/>
      <c r="B31" s="218"/>
      <c r="C31" s="746" t="s">
        <v>234</v>
      </c>
      <c r="D31" s="1150">
        <f>IF(SDÖ1!$V$17=TRUE,SDÖ1!O57,0)</f>
        <v>0</v>
      </c>
      <c r="E31" s="1652"/>
      <c r="F31" s="1652"/>
      <c r="G31" s="1200"/>
      <c r="H31" s="1198">
        <f>IF(J$6=0,0,(J$6*$E31+$G31+X15))</f>
        <v>0</v>
      </c>
      <c r="I31" s="1181">
        <f>H31*$D31</f>
        <v>0</v>
      </c>
      <c r="K31" s="1199">
        <f>IF(M$6=0,0,(M$6*$E31+$G31+Y15))</f>
        <v>0</v>
      </c>
      <c r="L31" s="1023">
        <f>K31*$D31</f>
        <v>0</v>
      </c>
      <c r="M31" s="1578"/>
      <c r="N31" s="1198">
        <f>IF(P$6=0,0,(P$6*$E31+$G31+Z15))</f>
        <v>0</v>
      </c>
      <c r="O31" s="1181">
        <f>N31*$D31</f>
        <v>0</v>
      </c>
      <c r="P31" s="1623"/>
      <c r="Q31" s="1707"/>
    </row>
    <row r="32" spans="1:26" s="36" customFormat="1" ht="15" customHeight="1">
      <c r="A32" s="746"/>
      <c r="B32" s="218"/>
      <c r="C32" s="746" t="s">
        <v>232</v>
      </c>
      <c r="D32" s="1150">
        <f>IF(SDÖ1!$V$17=TRUE,SDÖ1!O58,0)</f>
        <v>0</v>
      </c>
      <c r="E32" s="1652"/>
      <c r="F32" s="1652"/>
      <c r="G32" s="1200"/>
      <c r="H32" s="1198">
        <f>IF(J$6=0,0,(J$6*$E32+$G32+X16))</f>
        <v>0</v>
      </c>
      <c r="I32" s="1181">
        <f>H32*$D32</f>
        <v>0</v>
      </c>
      <c r="K32" s="1199">
        <f>IF(M$6=0,0,(M$6*$E32+$G32+Y16))</f>
        <v>0</v>
      </c>
      <c r="L32" s="1023">
        <f>K32*$D32</f>
        <v>0</v>
      </c>
      <c r="M32" s="1578"/>
      <c r="N32" s="1198">
        <f>IF(P$6=0,0,(P$6*$E32+$G32+Z16))</f>
        <v>0</v>
      </c>
      <c r="O32" s="1181">
        <f>N32*$D32</f>
        <v>0</v>
      </c>
      <c r="P32" s="1623"/>
      <c r="Q32" s="1707"/>
    </row>
    <row r="33" spans="1:17" s="36" customFormat="1" ht="15" customHeight="1">
      <c r="A33" s="746"/>
      <c r="B33" s="1492"/>
      <c r="C33" s="771" t="s">
        <v>230</v>
      </c>
      <c r="D33" s="1133">
        <f>IF(SDÖ1!$V$17=TRUE,SDÖ1!P59,0)</f>
        <v>0</v>
      </c>
      <c r="E33" s="1651"/>
      <c r="F33" s="1651"/>
      <c r="G33" s="1196"/>
      <c r="H33" s="1194">
        <f>IF(J$6=0,0,(J$6*$E33+$G33+X17))</f>
        <v>0</v>
      </c>
      <c r="I33" s="1177">
        <f>H33*$D33</f>
        <v>0</v>
      </c>
      <c r="K33" s="1195">
        <f>IF(M$6=0,0,(M$6*$E33+$G33+Y17))</f>
        <v>0</v>
      </c>
      <c r="L33" s="1017">
        <f>K33*$D33</f>
        <v>0</v>
      </c>
      <c r="M33" s="1578"/>
      <c r="N33" s="1194">
        <f>IF(P$6=0,0,(P$6*$E33+$G33+Z17))</f>
        <v>0</v>
      </c>
      <c r="O33" s="1177">
        <f>N33*$D33</f>
        <v>0</v>
      </c>
      <c r="P33" s="1640"/>
      <c r="Q33" s="1707"/>
    </row>
    <row r="34" spans="1:17" s="1706" customFormat="1" ht="18.75" customHeight="1">
      <c r="A34" s="711"/>
      <c r="B34" s="1594" t="s">
        <v>212</v>
      </c>
      <c r="C34" s="711"/>
      <c r="G34" s="1650" t="s">
        <v>163</v>
      </c>
      <c r="H34" s="1191"/>
      <c r="I34" s="1190"/>
      <c r="J34" s="1041">
        <f>SUM(I36:I42)</f>
        <v>0</v>
      </c>
      <c r="K34" s="1193"/>
      <c r="L34" s="1192"/>
      <c r="M34" s="1044">
        <f>SUM(L36:L42)</f>
        <v>0</v>
      </c>
      <c r="N34" s="1191"/>
      <c r="O34" s="1190"/>
      <c r="P34" s="1589">
        <f>SUM(O36:O42)</f>
        <v>0</v>
      </c>
      <c r="Q34" s="1707"/>
    </row>
    <row r="35" spans="1:17" s="1706" customFormat="1" ht="13.2" customHeight="1">
      <c r="A35" s="711"/>
      <c r="B35" s="1588"/>
      <c r="C35" s="1039" t="s">
        <v>837</v>
      </c>
      <c r="D35" s="1110">
        <f>SDÖ1!$O$11</f>
        <v>0</v>
      </c>
      <c r="E35" s="1587"/>
      <c r="F35" s="1585" t="s">
        <v>239</v>
      </c>
      <c r="G35" s="1608" t="s">
        <v>836</v>
      </c>
      <c r="H35" s="1646" t="s">
        <v>857</v>
      </c>
      <c r="I35" s="1581" t="s">
        <v>163</v>
      </c>
      <c r="J35" s="1649"/>
      <c r="K35" s="1648" t="s">
        <v>857</v>
      </c>
      <c r="L35" s="1583" t="s">
        <v>163</v>
      </c>
      <c r="M35" s="1647"/>
      <c r="N35" s="1646" t="s">
        <v>857</v>
      </c>
      <c r="O35" s="1581" t="s">
        <v>163</v>
      </c>
      <c r="P35" s="1580"/>
      <c r="Q35" s="1707"/>
    </row>
    <row r="36" spans="1:17" s="36" customFormat="1" ht="15" customHeight="1">
      <c r="A36" s="746"/>
      <c r="B36" s="1579"/>
      <c r="C36" s="4490"/>
      <c r="D36" s="4490"/>
      <c r="E36" s="4491"/>
      <c r="F36" s="1183">
        <f>IF(C36=0,0,VLOOKUP(C36,SDÖ5!$C$7:$D$16,2,FALSE))</f>
        <v>0</v>
      </c>
      <c r="G36" s="1183">
        <f t="shared" ref="G36:G42" si="0">F36*(100+$D$35)/100</f>
        <v>0</v>
      </c>
      <c r="H36" s="1643"/>
      <c r="I36" s="1181">
        <f t="shared" ref="I36:I42" si="1">$G36*H36</f>
        <v>0</v>
      </c>
      <c r="K36" s="1643"/>
      <c r="L36" s="1023">
        <f t="shared" ref="L36:L42" si="2">$G36*K36</f>
        <v>0</v>
      </c>
      <c r="M36" s="1578"/>
      <c r="N36" s="1643"/>
      <c r="O36" s="1181">
        <f t="shared" ref="O36:O42" si="3">$G36*N36</f>
        <v>0</v>
      </c>
      <c r="P36" s="1645"/>
      <c r="Q36" s="1707"/>
    </row>
    <row r="37" spans="1:17" s="36" customFormat="1" ht="15" customHeight="1">
      <c r="A37" s="746"/>
      <c r="B37" s="1579"/>
      <c r="C37" s="4488"/>
      <c r="D37" s="4488"/>
      <c r="E37" s="4489"/>
      <c r="F37" s="1183">
        <f>IF(C37=0,0,VLOOKUP(C37,SDÖ5!$C$7:$D$16,2,FALSE))</f>
        <v>0</v>
      </c>
      <c r="G37" s="1183">
        <f t="shared" si="0"/>
        <v>0</v>
      </c>
      <c r="H37" s="1643"/>
      <c r="I37" s="1181">
        <f t="shared" si="1"/>
        <v>0</v>
      </c>
      <c r="K37" s="1643"/>
      <c r="L37" s="1023">
        <f t="shared" si="2"/>
        <v>0</v>
      </c>
      <c r="M37" s="1578"/>
      <c r="N37" s="1643"/>
      <c r="O37" s="1181">
        <f t="shared" si="3"/>
        <v>0</v>
      </c>
      <c r="P37" s="1623"/>
      <c r="Q37" s="1707"/>
    </row>
    <row r="38" spans="1:17" s="36" customFormat="1" ht="15" customHeight="1">
      <c r="A38" s="746"/>
      <c r="B38" s="1644"/>
      <c r="C38" s="4488"/>
      <c r="D38" s="4488"/>
      <c r="E38" s="4489"/>
      <c r="F38" s="1183">
        <f>IF(C38=0,0,VLOOKUP(C38,SDÖ5!$C$7:$D$16,2,FALSE))</f>
        <v>0</v>
      </c>
      <c r="G38" s="1183">
        <f t="shared" si="0"/>
        <v>0</v>
      </c>
      <c r="H38" s="1643"/>
      <c r="I38" s="1181">
        <f t="shared" si="1"/>
        <v>0</v>
      </c>
      <c r="K38" s="1643"/>
      <c r="L38" s="1023">
        <f t="shared" si="2"/>
        <v>0</v>
      </c>
      <c r="M38" s="1578"/>
      <c r="N38" s="1643"/>
      <c r="O38" s="1181">
        <f t="shared" si="3"/>
        <v>0</v>
      </c>
      <c r="P38" s="1623"/>
      <c r="Q38" s="1707"/>
    </row>
    <row r="39" spans="1:17" s="36" customFormat="1" ht="15" hidden="1" customHeight="1">
      <c r="A39" s="746"/>
      <c r="B39" s="1579"/>
      <c r="C39" s="4488"/>
      <c r="D39" s="4488"/>
      <c r="E39" s="4489"/>
      <c r="F39" s="1183">
        <f>IF(C39=0,0,VLOOKUP(C39,SDÖ5!$C$7:$D$16,2,FALSE))</f>
        <v>0</v>
      </c>
      <c r="G39" s="1183">
        <f t="shared" si="0"/>
        <v>0</v>
      </c>
      <c r="H39" s="1643"/>
      <c r="I39" s="1181">
        <f t="shared" si="1"/>
        <v>0</v>
      </c>
      <c r="K39" s="1643"/>
      <c r="L39" s="1023">
        <f t="shared" si="2"/>
        <v>0</v>
      </c>
      <c r="M39" s="1578"/>
      <c r="N39" s="1643"/>
      <c r="O39" s="1181">
        <f t="shared" si="3"/>
        <v>0</v>
      </c>
      <c r="P39" s="1623"/>
      <c r="Q39" s="1707"/>
    </row>
    <row r="40" spans="1:17" s="36" customFormat="1" ht="15" hidden="1" customHeight="1">
      <c r="A40" s="746"/>
      <c r="B40" s="1579"/>
      <c r="C40" s="4488"/>
      <c r="D40" s="4488"/>
      <c r="E40" s="4489"/>
      <c r="F40" s="1183">
        <f>IF(C40=0,0,VLOOKUP(C40,SDÖ5!$C$7:$D$16,2,FALSE))</f>
        <v>0</v>
      </c>
      <c r="G40" s="1183">
        <f t="shared" si="0"/>
        <v>0</v>
      </c>
      <c r="H40" s="1643"/>
      <c r="I40" s="1181">
        <f t="shared" si="1"/>
        <v>0</v>
      </c>
      <c r="K40" s="1643"/>
      <c r="L40" s="1023">
        <f t="shared" si="2"/>
        <v>0</v>
      </c>
      <c r="M40" s="1578"/>
      <c r="N40" s="1643"/>
      <c r="O40" s="1181">
        <f t="shared" si="3"/>
        <v>0</v>
      </c>
      <c r="P40" s="1623"/>
      <c r="Q40" s="1707"/>
    </row>
    <row r="41" spans="1:17" s="36" customFormat="1" ht="15" hidden="1" customHeight="1">
      <c r="A41" s="746"/>
      <c r="B41" s="1579"/>
      <c r="C41" s="4488"/>
      <c r="D41" s="4488"/>
      <c r="E41" s="4489"/>
      <c r="F41" s="1183">
        <f>IF(C41=0,0,VLOOKUP(C41,SDÖ5!$C$7:$D$16,2,FALSE))</f>
        <v>0</v>
      </c>
      <c r="G41" s="1183">
        <f t="shared" si="0"/>
        <v>0</v>
      </c>
      <c r="H41" s="1643"/>
      <c r="I41" s="1181">
        <f t="shared" si="1"/>
        <v>0</v>
      </c>
      <c r="K41" s="1643"/>
      <c r="L41" s="1023">
        <f t="shared" si="2"/>
        <v>0</v>
      </c>
      <c r="M41" s="1578"/>
      <c r="N41" s="1643"/>
      <c r="O41" s="1181">
        <f t="shared" si="3"/>
        <v>0</v>
      </c>
      <c r="P41" s="1623"/>
      <c r="Q41" s="1707"/>
    </row>
    <row r="42" spans="1:17" s="36" customFormat="1" ht="15" hidden="1" customHeight="1">
      <c r="A42" s="746"/>
      <c r="B42" s="1642"/>
      <c r="C42" s="4492"/>
      <c r="D42" s="4492"/>
      <c r="E42" s="4493"/>
      <c r="F42" s="1179">
        <f>IF(C42=0,0,VLOOKUP(C42,SDÖ5!$C$7:$D$16,2,FALSE))</f>
        <v>0</v>
      </c>
      <c r="G42" s="1179">
        <f t="shared" si="0"/>
        <v>0</v>
      </c>
      <c r="H42" s="1641"/>
      <c r="I42" s="1177">
        <f t="shared" si="1"/>
        <v>0</v>
      </c>
      <c r="K42" s="1641"/>
      <c r="L42" s="1017">
        <f t="shared" si="2"/>
        <v>0</v>
      </c>
      <c r="M42" s="1578"/>
      <c r="N42" s="1641"/>
      <c r="O42" s="1177">
        <f t="shared" si="3"/>
        <v>0</v>
      </c>
      <c r="P42" s="1640"/>
      <c r="Q42" s="1707"/>
    </row>
    <row r="43" spans="1:17" s="1706" customFormat="1" ht="18.75" customHeight="1">
      <c r="A43" s="711"/>
      <c r="B43" s="1639" t="s">
        <v>1126</v>
      </c>
      <c r="C43" s="814"/>
      <c r="D43" s="814"/>
      <c r="E43" s="814"/>
      <c r="F43" s="814"/>
      <c r="G43" s="1638" t="s">
        <v>163</v>
      </c>
      <c r="H43" s="1635"/>
      <c r="I43" s="1634"/>
      <c r="J43" s="1041">
        <f>SUM(J46:J57)</f>
        <v>0</v>
      </c>
      <c r="K43" s="1637"/>
      <c r="L43" s="1636"/>
      <c r="M43" s="1044">
        <f>SUM(M46:M57)</f>
        <v>0</v>
      </c>
      <c r="N43" s="1635"/>
      <c r="O43" s="1634"/>
      <c r="P43" s="1589">
        <f>SUM(P46:P57)</f>
        <v>0</v>
      </c>
      <c r="Q43" s="1707"/>
    </row>
    <row r="44" spans="1:17" s="36" customFormat="1" ht="15" customHeight="1">
      <c r="A44" s="746"/>
      <c r="B44" s="1633"/>
      <c r="C44" s="746" t="s">
        <v>855</v>
      </c>
      <c r="D44" s="746"/>
      <c r="E44" s="1171" t="s">
        <v>365</v>
      </c>
      <c r="F44" s="1170" t="s">
        <v>854</v>
      </c>
      <c r="G44" s="1169"/>
      <c r="H44" s="306" t="s">
        <v>853</v>
      </c>
      <c r="I44" s="1165" t="s">
        <v>852</v>
      </c>
      <c r="J44" s="1164"/>
      <c r="K44" s="1168" t="s">
        <v>853</v>
      </c>
      <c r="L44" s="1167" t="s">
        <v>852</v>
      </c>
      <c r="M44" s="1166"/>
      <c r="N44" s="306" t="s">
        <v>853</v>
      </c>
      <c r="O44" s="1165" t="s">
        <v>852</v>
      </c>
      <c r="P44" s="1632"/>
      <c r="Q44" s="1707"/>
    </row>
    <row r="45" spans="1:17" s="36" customFormat="1" ht="15" customHeight="1">
      <c r="A45" s="746"/>
      <c r="B45" s="1631"/>
      <c r="C45" s="1630"/>
      <c r="D45" s="1163"/>
      <c r="E45" s="1034" t="s">
        <v>1125</v>
      </c>
      <c r="F45" s="1586" t="s">
        <v>850</v>
      </c>
      <c r="G45" s="1586" t="s">
        <v>441</v>
      </c>
      <c r="H45" s="1159" t="s">
        <v>849</v>
      </c>
      <c r="I45" s="1585" t="s">
        <v>113</v>
      </c>
      <c r="J45" s="1629" t="s">
        <v>163</v>
      </c>
      <c r="K45" s="1162" t="s">
        <v>849</v>
      </c>
      <c r="L45" s="1628" t="s">
        <v>113</v>
      </c>
      <c r="M45" s="1627" t="s">
        <v>163</v>
      </c>
      <c r="N45" s="1159" t="s">
        <v>849</v>
      </c>
      <c r="O45" s="1585" t="s">
        <v>113</v>
      </c>
      <c r="P45" s="1626" t="s">
        <v>163</v>
      </c>
      <c r="Q45" s="1707"/>
    </row>
    <row r="46" spans="1:17" s="36" customFormat="1" ht="15" customHeight="1">
      <c r="A46" s="746"/>
      <c r="B46" s="1625"/>
      <c r="C46" s="4494"/>
      <c r="D46" s="4495"/>
      <c r="E46" s="1152">
        <f>IF($C46=0,0,VLOOKUP($C46,'SD3'!$C$24:$N$74,4,FALSE))</f>
        <v>0</v>
      </c>
      <c r="F46" s="1151">
        <f>IF($C46=0,0,VLOOKUP($C46,'SD3'!$C$24:$N$74,12,FALSE))</f>
        <v>0</v>
      </c>
      <c r="G46" s="1150">
        <f>IF($C46=0,0,VLOOKUP($C46,'SD3'!$C$24:$N$74,13,FALSE))</f>
        <v>0</v>
      </c>
      <c r="H46" s="1155"/>
      <c r="I46" s="1154">
        <f t="shared" ref="I46:I57" si="4">$F46*H46</f>
        <v>0</v>
      </c>
      <c r="J46" s="1145">
        <f t="shared" ref="J46:J57" si="5">H46*$G46</f>
        <v>0</v>
      </c>
      <c r="K46" s="1155"/>
      <c r="L46" s="1156">
        <f t="shared" ref="L46:L57" si="6">$F46*K46</f>
        <v>0</v>
      </c>
      <c r="M46" s="1148">
        <f t="shared" ref="M46:M57" si="7">K46*$G46</f>
        <v>0</v>
      </c>
      <c r="N46" s="1155"/>
      <c r="O46" s="1154">
        <f t="shared" ref="O46:O57" si="8">$F46*N46</f>
        <v>0</v>
      </c>
      <c r="P46" s="1623">
        <f t="shared" ref="P46:P57" si="9">N46*$G46</f>
        <v>0</v>
      </c>
      <c r="Q46" s="1707"/>
    </row>
    <row r="47" spans="1:17" s="36" customFormat="1" ht="15" customHeight="1">
      <c r="A47" s="746"/>
      <c r="B47" s="1624"/>
      <c r="C47" s="4481"/>
      <c r="D47" s="4482"/>
      <c r="E47" s="1152">
        <f>IF($C47=0,0,VLOOKUP($C47,'SD3'!$C$24:$N$74,4,FALSE))</f>
        <v>0</v>
      </c>
      <c r="F47" s="1151">
        <f>IF($C47=0,0,VLOOKUP($C47,'SD3'!$C$24:$N$74,12,FALSE))</f>
        <v>0</v>
      </c>
      <c r="G47" s="1150">
        <f>IF($C47=0,0,VLOOKUP($C47,'SD3'!$C$24:$N$74,13,FALSE))</f>
        <v>0</v>
      </c>
      <c r="H47" s="1147"/>
      <c r="I47" s="1146">
        <f t="shared" si="4"/>
        <v>0</v>
      </c>
      <c r="J47" s="1145">
        <f t="shared" si="5"/>
        <v>0</v>
      </c>
      <c r="K47" s="1147"/>
      <c r="L47" s="1149">
        <f t="shared" si="6"/>
        <v>0</v>
      </c>
      <c r="M47" s="1148">
        <f t="shared" si="7"/>
        <v>0</v>
      </c>
      <c r="N47" s="1147"/>
      <c r="O47" s="1146">
        <f t="shared" si="8"/>
        <v>0</v>
      </c>
      <c r="P47" s="1623">
        <f t="shared" si="9"/>
        <v>0</v>
      </c>
      <c r="Q47" s="1707"/>
    </row>
    <row r="48" spans="1:17" s="36" customFormat="1" ht="15" customHeight="1">
      <c r="A48" s="746"/>
      <c r="B48" s="1624"/>
      <c r="C48" s="4481"/>
      <c r="D48" s="4482"/>
      <c r="E48" s="1152">
        <f>IF($C48=0,0,VLOOKUP($C48,'SD3'!$C$24:$N$74,4,FALSE))</f>
        <v>0</v>
      </c>
      <c r="F48" s="1151">
        <f>IF($C48=0,0,VLOOKUP($C48,'SD3'!$C$24:$N$74,12,FALSE))</f>
        <v>0</v>
      </c>
      <c r="G48" s="1150">
        <f>IF($C48=0,0,VLOOKUP($C48,'SD3'!$C$24:$N$74,13,FALSE))</f>
        <v>0</v>
      </c>
      <c r="H48" s="1147"/>
      <c r="I48" s="1146">
        <f t="shared" si="4"/>
        <v>0</v>
      </c>
      <c r="J48" s="1145">
        <f t="shared" si="5"/>
        <v>0</v>
      </c>
      <c r="K48" s="1147"/>
      <c r="L48" s="1149">
        <f t="shared" si="6"/>
        <v>0</v>
      </c>
      <c r="M48" s="1148">
        <f t="shared" si="7"/>
        <v>0</v>
      </c>
      <c r="N48" s="1147"/>
      <c r="O48" s="1146">
        <f t="shared" si="8"/>
        <v>0</v>
      </c>
      <c r="P48" s="1623">
        <f t="shared" si="9"/>
        <v>0</v>
      </c>
      <c r="Q48" s="1707"/>
    </row>
    <row r="49" spans="1:17" s="36" customFormat="1" ht="15" customHeight="1">
      <c r="A49" s="746"/>
      <c r="B49" s="1624"/>
      <c r="C49" s="4481"/>
      <c r="D49" s="4482"/>
      <c r="E49" s="1152">
        <f>IF($C49=0,0,VLOOKUP($C49,'SD3'!$C$24:$N$74,4,FALSE))</f>
        <v>0</v>
      </c>
      <c r="F49" s="1151">
        <f>IF($C49=0,0,VLOOKUP($C49,'SD3'!$C$24:$N$74,12,FALSE))</f>
        <v>0</v>
      </c>
      <c r="G49" s="1150">
        <f>IF($C49=0,0,VLOOKUP($C49,'SD3'!$C$24:$N$74,13,FALSE))</f>
        <v>0</v>
      </c>
      <c r="H49" s="1147"/>
      <c r="I49" s="1146">
        <f t="shared" si="4"/>
        <v>0</v>
      </c>
      <c r="J49" s="1145">
        <f t="shared" si="5"/>
        <v>0</v>
      </c>
      <c r="K49" s="1147"/>
      <c r="L49" s="1149">
        <f t="shared" si="6"/>
        <v>0</v>
      </c>
      <c r="M49" s="1148">
        <f t="shared" si="7"/>
        <v>0</v>
      </c>
      <c r="N49" s="1147"/>
      <c r="O49" s="1146">
        <f t="shared" si="8"/>
        <v>0</v>
      </c>
      <c r="P49" s="1623">
        <f t="shared" si="9"/>
        <v>0</v>
      </c>
      <c r="Q49" s="1707"/>
    </row>
    <row r="50" spans="1:17" s="36" customFormat="1" ht="15" customHeight="1">
      <c r="A50" s="746"/>
      <c r="B50" s="1624"/>
      <c r="C50" s="4481"/>
      <c r="D50" s="4482"/>
      <c r="E50" s="1152">
        <f>IF($C50=0,0,VLOOKUP($C50,'SD3'!$C$24:$N$74,4,FALSE))</f>
        <v>0</v>
      </c>
      <c r="F50" s="1151">
        <f>IF($C50=0,0,VLOOKUP($C50,'SD3'!$C$24:$N$74,12,FALSE))</f>
        <v>0</v>
      </c>
      <c r="G50" s="1150">
        <f>IF($C50=0,0,VLOOKUP($C50,'SD3'!$C$24:$N$74,13,FALSE))</f>
        <v>0</v>
      </c>
      <c r="H50" s="1147"/>
      <c r="I50" s="1146">
        <f t="shared" si="4"/>
        <v>0</v>
      </c>
      <c r="J50" s="1145">
        <f t="shared" si="5"/>
        <v>0</v>
      </c>
      <c r="K50" s="1147"/>
      <c r="L50" s="1149">
        <f t="shared" si="6"/>
        <v>0</v>
      </c>
      <c r="M50" s="1148">
        <f t="shared" si="7"/>
        <v>0</v>
      </c>
      <c r="N50" s="1147"/>
      <c r="O50" s="1146">
        <f t="shared" si="8"/>
        <v>0</v>
      </c>
      <c r="P50" s="1623">
        <f t="shared" si="9"/>
        <v>0</v>
      </c>
      <c r="Q50" s="1707"/>
    </row>
    <row r="51" spans="1:17" s="36" customFormat="1" ht="15" customHeight="1">
      <c r="A51" s="746"/>
      <c r="B51" s="1624"/>
      <c r="C51" s="4481"/>
      <c r="D51" s="4482"/>
      <c r="E51" s="1152">
        <f>IF($C51=0,0,VLOOKUP($C51,'SD3'!$C$24:$N$74,4,FALSE))</f>
        <v>0</v>
      </c>
      <c r="F51" s="1151">
        <f>IF($C51=0,0,VLOOKUP($C51,'SD3'!$C$24:$N$74,12,FALSE))</f>
        <v>0</v>
      </c>
      <c r="G51" s="1150">
        <f>IF($C51=0,0,VLOOKUP($C51,'SD3'!$C$24:$N$74,13,FALSE))</f>
        <v>0</v>
      </c>
      <c r="H51" s="1147"/>
      <c r="I51" s="1146">
        <f t="shared" si="4"/>
        <v>0</v>
      </c>
      <c r="J51" s="1145">
        <f t="shared" si="5"/>
        <v>0</v>
      </c>
      <c r="K51" s="1147"/>
      <c r="L51" s="1149">
        <f t="shared" si="6"/>
        <v>0</v>
      </c>
      <c r="M51" s="1148">
        <f t="shared" si="7"/>
        <v>0</v>
      </c>
      <c r="N51" s="1147"/>
      <c r="O51" s="1146">
        <f t="shared" si="8"/>
        <v>0</v>
      </c>
      <c r="P51" s="1623">
        <f t="shared" si="9"/>
        <v>0</v>
      </c>
      <c r="Q51" s="1707"/>
    </row>
    <row r="52" spans="1:17" s="36" customFormat="1" ht="15" customHeight="1">
      <c r="A52" s="746"/>
      <c r="B52" s="1624"/>
      <c r="C52" s="4481"/>
      <c r="D52" s="4482"/>
      <c r="E52" s="1152">
        <f>IF($C52=0,0,VLOOKUP($C52,'SD3'!$C$24:$N$74,4,FALSE))</f>
        <v>0</v>
      </c>
      <c r="F52" s="1151">
        <f>IF($C52=0,0,VLOOKUP($C52,'SD3'!$C$24:$N$74,12,FALSE))</f>
        <v>0</v>
      </c>
      <c r="G52" s="1150">
        <f>IF($C52=0,0,VLOOKUP($C52,'SD3'!$C$24:$N$74,13,FALSE))</f>
        <v>0</v>
      </c>
      <c r="H52" s="1147"/>
      <c r="I52" s="1146">
        <f t="shared" si="4"/>
        <v>0</v>
      </c>
      <c r="J52" s="1145">
        <f t="shared" si="5"/>
        <v>0</v>
      </c>
      <c r="K52" s="1147"/>
      <c r="L52" s="1149">
        <f t="shared" si="6"/>
        <v>0</v>
      </c>
      <c r="M52" s="1148">
        <f t="shared" si="7"/>
        <v>0</v>
      </c>
      <c r="N52" s="1147"/>
      <c r="O52" s="1146">
        <f t="shared" si="8"/>
        <v>0</v>
      </c>
      <c r="P52" s="1623">
        <f t="shared" si="9"/>
        <v>0</v>
      </c>
      <c r="Q52" s="1707"/>
    </row>
    <row r="53" spans="1:17" s="36" customFormat="1" ht="15" customHeight="1">
      <c r="A53" s="746"/>
      <c r="B53" s="1624"/>
      <c r="C53" s="4481"/>
      <c r="D53" s="4482"/>
      <c r="E53" s="1152">
        <f>IF($C53=0,0,VLOOKUP($C53,'SD3'!$C$24:$N$74,4,FALSE))</f>
        <v>0</v>
      </c>
      <c r="F53" s="1151">
        <f>IF($C53=0,0,VLOOKUP($C53,'SD3'!$C$24:$N$74,12,FALSE))</f>
        <v>0</v>
      </c>
      <c r="G53" s="1150">
        <f>IF($C53=0,0,VLOOKUP($C53,'SD3'!$C$24:$N$74,13,FALSE))</f>
        <v>0</v>
      </c>
      <c r="H53" s="1147"/>
      <c r="I53" s="1146">
        <f t="shared" si="4"/>
        <v>0</v>
      </c>
      <c r="J53" s="1145">
        <f t="shared" si="5"/>
        <v>0</v>
      </c>
      <c r="K53" s="1147"/>
      <c r="L53" s="1149">
        <f t="shared" si="6"/>
        <v>0</v>
      </c>
      <c r="M53" s="1148">
        <f t="shared" si="7"/>
        <v>0</v>
      </c>
      <c r="N53" s="1147"/>
      <c r="O53" s="1146">
        <f t="shared" si="8"/>
        <v>0</v>
      </c>
      <c r="P53" s="1623">
        <f t="shared" si="9"/>
        <v>0</v>
      </c>
      <c r="Q53" s="1707"/>
    </row>
    <row r="54" spans="1:17" s="36" customFormat="1" ht="15" customHeight="1">
      <c r="A54" s="746"/>
      <c r="B54" s="1624"/>
      <c r="C54" s="4481"/>
      <c r="D54" s="4482"/>
      <c r="E54" s="1152">
        <f>IF($C54=0,0,VLOOKUP($C54,'SD3'!$C$24:$N$74,4,FALSE))</f>
        <v>0</v>
      </c>
      <c r="F54" s="1151">
        <f>IF($C54=0,0,VLOOKUP($C54,'SD3'!$C$24:$N$74,12,FALSE))</f>
        <v>0</v>
      </c>
      <c r="G54" s="1150">
        <f>IF($C54=0,0,VLOOKUP($C54,'SD3'!$C$24:$N$74,13,FALSE))</f>
        <v>0</v>
      </c>
      <c r="H54" s="1147"/>
      <c r="I54" s="1146">
        <f t="shared" si="4"/>
        <v>0</v>
      </c>
      <c r="J54" s="1145">
        <f t="shared" si="5"/>
        <v>0</v>
      </c>
      <c r="K54" s="1147"/>
      <c r="L54" s="1149">
        <f t="shared" si="6"/>
        <v>0</v>
      </c>
      <c r="M54" s="1148">
        <f t="shared" si="7"/>
        <v>0</v>
      </c>
      <c r="N54" s="1147"/>
      <c r="O54" s="1146">
        <f t="shared" si="8"/>
        <v>0</v>
      </c>
      <c r="P54" s="1623">
        <f t="shared" si="9"/>
        <v>0</v>
      </c>
      <c r="Q54" s="34" t="s">
        <v>1372</v>
      </c>
    </row>
    <row r="55" spans="1:17" s="36" customFormat="1" ht="15" customHeight="1">
      <c r="A55" s="746"/>
      <c r="B55" s="1624"/>
      <c r="C55" s="4481"/>
      <c r="D55" s="4482"/>
      <c r="E55" s="1152">
        <f>IF($C55=0,0,VLOOKUP($C55,'SD3'!$C$24:$N$74,4,FALSE))</f>
        <v>0</v>
      </c>
      <c r="F55" s="1151">
        <f>IF($C55=0,0,VLOOKUP($C55,'SD3'!$C$24:$N$74,12,FALSE))</f>
        <v>0</v>
      </c>
      <c r="G55" s="1150">
        <f>IF($C55=0,0,VLOOKUP($C55,'SD3'!$C$24:$N$74,13,FALSE))</f>
        <v>0</v>
      </c>
      <c r="H55" s="1147"/>
      <c r="I55" s="1146">
        <f t="shared" si="4"/>
        <v>0</v>
      </c>
      <c r="J55" s="1145">
        <f t="shared" si="5"/>
        <v>0</v>
      </c>
      <c r="K55" s="1147"/>
      <c r="L55" s="1149">
        <f t="shared" si="6"/>
        <v>0</v>
      </c>
      <c r="M55" s="1148">
        <f t="shared" si="7"/>
        <v>0</v>
      </c>
      <c r="N55" s="1147"/>
      <c r="O55" s="1146">
        <f t="shared" si="8"/>
        <v>0</v>
      </c>
      <c r="P55" s="1623">
        <f t="shared" si="9"/>
        <v>0</v>
      </c>
      <c r="Q55" s="1707"/>
    </row>
    <row r="56" spans="1:17" s="36" customFormat="1" ht="15" customHeight="1">
      <c r="A56" s="746"/>
      <c r="B56" s="1624"/>
      <c r="C56" s="4481"/>
      <c r="D56" s="4482"/>
      <c r="E56" s="1152">
        <f>IF($C56=0,0,VLOOKUP($C56,'SD3'!$C$24:$N$74,4,FALSE))</f>
        <v>0</v>
      </c>
      <c r="F56" s="1151">
        <f>IF($C56=0,0,VLOOKUP($C56,'SD3'!$C$24:$N$74,12,FALSE))</f>
        <v>0</v>
      </c>
      <c r="G56" s="1150">
        <f>IF($C56=0,0,VLOOKUP($C56,'SD3'!$C$24:$N$74,13,FALSE))</f>
        <v>0</v>
      </c>
      <c r="H56" s="1147"/>
      <c r="I56" s="1146">
        <f t="shared" si="4"/>
        <v>0</v>
      </c>
      <c r="J56" s="1145">
        <f t="shared" si="5"/>
        <v>0</v>
      </c>
      <c r="K56" s="1147"/>
      <c r="L56" s="1149">
        <f t="shared" si="6"/>
        <v>0</v>
      </c>
      <c r="M56" s="1148">
        <f t="shared" si="7"/>
        <v>0</v>
      </c>
      <c r="N56" s="1147"/>
      <c r="O56" s="1146">
        <f t="shared" si="8"/>
        <v>0</v>
      </c>
      <c r="P56" s="1623">
        <f t="shared" si="9"/>
        <v>0</v>
      </c>
      <c r="Q56" s="1707"/>
    </row>
    <row r="57" spans="1:17" s="36" customFormat="1" ht="24.75" customHeight="1">
      <c r="A57" s="746"/>
      <c r="B57" s="1603"/>
      <c r="C57" s="4516">
        <v>0</v>
      </c>
      <c r="D57" s="4517"/>
      <c r="E57" s="1135">
        <f>IF($C57=0,0,VLOOKUP($C57,'SD3'!$C$24:$N$74,4,FALSE))</f>
        <v>0</v>
      </c>
      <c r="F57" s="1134">
        <f>IF($C57=0,0,VLOOKUP($C57,'SD3'!$C$24:$N$74,12,FALSE))</f>
        <v>0</v>
      </c>
      <c r="G57" s="1133">
        <f>IF($C57=0,0,VLOOKUP($C57,'SD3'!$C$24:$N$74,13,FALSE))</f>
        <v>0</v>
      </c>
      <c r="H57" s="1131">
        <f>H11/50</f>
        <v>0</v>
      </c>
      <c r="I57" s="1130">
        <f t="shared" si="4"/>
        <v>0</v>
      </c>
      <c r="J57" s="1129">
        <f t="shared" si="5"/>
        <v>0</v>
      </c>
      <c r="K57" s="1131">
        <f>K11/50</f>
        <v>0</v>
      </c>
      <c r="L57" s="1132">
        <f t="shared" si="6"/>
        <v>0</v>
      </c>
      <c r="M57" s="1079">
        <f t="shared" si="7"/>
        <v>0</v>
      </c>
      <c r="N57" s="1131">
        <f>N11/50</f>
        <v>0</v>
      </c>
      <c r="O57" s="1130">
        <f t="shared" si="8"/>
        <v>0</v>
      </c>
      <c r="P57" s="1622">
        <f t="shared" si="9"/>
        <v>0</v>
      </c>
      <c r="Q57" s="1707"/>
    </row>
    <row r="58" spans="1:17" s="36" customFormat="1" ht="24.75" customHeight="1">
      <c r="A58" s="746"/>
      <c r="B58" s="1621" t="s">
        <v>1124</v>
      </c>
      <c r="C58" s="1620"/>
      <c r="D58" s="1620"/>
      <c r="E58" s="1620"/>
      <c r="F58" s="1620"/>
      <c r="G58" s="1620"/>
      <c r="H58" s="1617"/>
      <c r="I58" s="1616">
        <f>SUM(I46:I57)</f>
        <v>0</v>
      </c>
      <c r="J58" s="1619"/>
      <c r="K58" s="1617"/>
      <c r="L58" s="1616">
        <f>SUM(L46:L57)</f>
        <v>0</v>
      </c>
      <c r="M58" s="1618"/>
      <c r="N58" s="1617"/>
      <c r="O58" s="1616">
        <f>SUM(O46:O57)</f>
        <v>0</v>
      </c>
      <c r="P58" s="1615"/>
      <c r="Q58" s="1707"/>
    </row>
    <row r="59" spans="1:17" s="1706" customFormat="1" ht="18.75" customHeight="1">
      <c r="A59" s="711"/>
      <c r="B59" s="1594" t="s">
        <v>1123</v>
      </c>
      <c r="C59" s="711"/>
      <c r="D59" s="711"/>
      <c r="E59" s="711"/>
      <c r="F59" s="1707"/>
      <c r="G59" s="1590" t="s">
        <v>163</v>
      </c>
      <c r="H59" s="51"/>
      <c r="I59" s="51"/>
      <c r="J59" s="1041">
        <f>H60*$E60</f>
        <v>0</v>
      </c>
      <c r="K59" s="1056"/>
      <c r="L59" s="1056"/>
      <c r="M59" s="1044">
        <f>K60*$E60</f>
        <v>0</v>
      </c>
      <c r="N59" s="51"/>
      <c r="O59" s="51"/>
      <c r="P59" s="1589">
        <f>N60*$E60</f>
        <v>0</v>
      </c>
      <c r="Q59" s="1707"/>
    </row>
    <row r="60" spans="1:17" s="1706" customFormat="1" ht="15" customHeight="1">
      <c r="A60" s="711"/>
      <c r="B60" s="1614"/>
      <c r="C60" s="815"/>
      <c r="D60" s="222" t="s">
        <v>691</v>
      </c>
      <c r="E60" s="1074">
        <v>10</v>
      </c>
      <c r="F60" s="1049"/>
      <c r="G60" s="1613" t="s">
        <v>362</v>
      </c>
      <c r="H60" s="1015"/>
      <c r="I60" s="1070"/>
      <c r="J60" s="1059"/>
      <c r="K60" s="1015"/>
      <c r="L60" s="1072"/>
      <c r="M60" s="1062"/>
      <c r="N60" s="1015"/>
      <c r="O60" s="1070"/>
      <c r="P60" s="1595"/>
      <c r="Q60" s="1707"/>
    </row>
    <row r="61" spans="1:17" s="46" customFormat="1" ht="18.75" customHeight="1">
      <c r="A61" s="811"/>
      <c r="B61" s="1594" t="s">
        <v>1122</v>
      </c>
      <c r="C61" s="811"/>
      <c r="D61" s="811"/>
      <c r="E61" s="811"/>
      <c r="F61" s="1707"/>
      <c r="G61" s="1590" t="s">
        <v>362</v>
      </c>
      <c r="H61" s="1124"/>
      <c r="I61" s="1123">
        <f>I58-H60</f>
        <v>0</v>
      </c>
      <c r="J61" s="1128"/>
      <c r="K61" s="1127"/>
      <c r="L61" s="1126">
        <f>L58-K60</f>
        <v>0</v>
      </c>
      <c r="M61" s="1125"/>
      <c r="N61" s="1124"/>
      <c r="O61" s="1123">
        <f>O58-N60</f>
        <v>0</v>
      </c>
      <c r="P61" s="1612"/>
      <c r="Q61" s="1707"/>
    </row>
    <row r="62" spans="1:17" s="46" customFormat="1" ht="15" customHeight="1">
      <c r="A62" s="811"/>
      <c r="B62" s="1611"/>
      <c r="C62" s="251"/>
      <c r="D62" s="222" t="s">
        <v>847</v>
      </c>
      <c r="E62" s="1120">
        <v>80</v>
      </c>
      <c r="F62" s="251" t="s">
        <v>846</v>
      </c>
      <c r="G62" s="106"/>
      <c r="H62" s="1115"/>
      <c r="I62" s="1114">
        <f>IF(I61+SUM($I$46:$I$57)*$E$62%&gt;I61+10,I61+10,I61+SUM($I$46:$I$57)*$E$62%)</f>
        <v>0</v>
      </c>
      <c r="J62" s="1113"/>
      <c r="K62" s="1118"/>
      <c r="L62" s="1117">
        <f>IF(L61+SUM($L$46:$L$57)*$E$62%&gt;L61+10,L61+10,L61+SUM($L$46:$L$57)*$E$62%)</f>
        <v>0</v>
      </c>
      <c r="M62" s="1116"/>
      <c r="N62" s="1115"/>
      <c r="O62" s="1114">
        <f>IF(O61+SUM($O$46:$O$57)*$E$62%&gt;O61+10,O61+10,O61+SUM($O$46:$O$57)*$E$62%)</f>
        <v>0</v>
      </c>
      <c r="P62" s="1610"/>
      <c r="Q62" s="1707"/>
    </row>
    <row r="63" spans="1:17" s="36" customFormat="1" ht="18.75" customHeight="1">
      <c r="A63" s="746"/>
      <c r="B63" s="1594" t="s">
        <v>305</v>
      </c>
      <c r="C63" s="811"/>
      <c r="D63" s="811"/>
      <c r="G63" s="1609" t="s">
        <v>163</v>
      </c>
      <c r="H63" s="1607"/>
      <c r="I63" s="1606"/>
      <c r="J63" s="1041">
        <f>IF(J6=0,0,SUM(I65:I67))</f>
        <v>0</v>
      </c>
      <c r="K63" s="1107"/>
      <c r="L63" s="1106"/>
      <c r="M63" s="1044">
        <f>IF(M6=0,0,SUM(L65:L67))</f>
        <v>0</v>
      </c>
      <c r="N63" s="1607"/>
      <c r="O63" s="1606"/>
      <c r="P63" s="1589">
        <f>IF(P6=0,0,SUM(O65:O67))</f>
        <v>0</v>
      </c>
      <c r="Q63" s="1707"/>
    </row>
    <row r="64" spans="1:17" s="36" customFormat="1" ht="13.2" customHeight="1">
      <c r="A64" s="746"/>
      <c r="B64" s="1588"/>
      <c r="C64" s="1039" t="s">
        <v>837</v>
      </c>
      <c r="D64" s="1110">
        <f>SDÖ1!$O$11</f>
        <v>0</v>
      </c>
      <c r="E64" s="1587"/>
      <c r="F64" s="1585" t="s">
        <v>239</v>
      </c>
      <c r="G64" s="1608" t="s">
        <v>836</v>
      </c>
      <c r="H64" s="1607"/>
      <c r="I64" s="1606"/>
      <c r="J64" s="1209"/>
      <c r="K64" s="1107"/>
      <c r="L64" s="1106"/>
      <c r="M64" s="1105"/>
      <c r="N64" s="1607"/>
      <c r="O64" s="1606"/>
      <c r="P64" s="1580"/>
      <c r="Q64" s="1707"/>
    </row>
    <row r="65" spans="1:20" s="36" customFormat="1" ht="15" customHeight="1">
      <c r="A65" s="746"/>
      <c r="B65" s="1579"/>
      <c r="C65" s="4484"/>
      <c r="D65" s="4484"/>
      <c r="E65" s="4484"/>
      <c r="F65" s="1101">
        <f>IF($C65=0,0,VLOOKUP($C65,'SD3'!$C$92:$D$114,2,FALSE))</f>
        <v>0</v>
      </c>
      <c r="G65" s="1100">
        <f>(100+$D$64)/100*F65</f>
        <v>0</v>
      </c>
      <c r="I65" s="1243">
        <f>$G$65</f>
        <v>0</v>
      </c>
      <c r="K65" s="1099"/>
      <c r="L65" s="1098">
        <f>$G$65</f>
        <v>0</v>
      </c>
      <c r="M65" s="1578"/>
      <c r="N65" s="1604"/>
      <c r="O65" s="1243">
        <f>$G$65</f>
        <v>0</v>
      </c>
      <c r="P65" s="1577"/>
      <c r="Q65" s="1707"/>
    </row>
    <row r="66" spans="1:20" s="36" customFormat="1" ht="15" customHeight="1">
      <c r="A66" s="746"/>
      <c r="B66" s="1579"/>
      <c r="C66" s="4484"/>
      <c r="D66" s="4484"/>
      <c r="E66" s="4485"/>
      <c r="F66" s="1605">
        <f>IF($C66=0,0,VLOOKUP($C66,'SD3'!$C$92:$D$114,2,FALSE))</f>
        <v>0</v>
      </c>
      <c r="G66" s="1013">
        <f>(100+$D$64)/100*F66</f>
        <v>0</v>
      </c>
      <c r="K66" s="1099"/>
      <c r="L66" s="1098"/>
      <c r="M66" s="1578"/>
      <c r="N66" s="1604"/>
      <c r="O66" s="1243"/>
      <c r="P66" s="1577"/>
      <c r="Q66" s="1707"/>
    </row>
    <row r="67" spans="1:20" s="36" customFormat="1" ht="15" customHeight="1">
      <c r="A67" s="746"/>
      <c r="B67" s="1603"/>
      <c r="C67" s="4486" t="s">
        <v>289</v>
      </c>
      <c r="D67" s="4486"/>
      <c r="E67" s="4486"/>
      <c r="F67" s="1083">
        <f>IF($T$3=FALSE,0,VLOOKUP($C67,'SD3'!$C$92:$D$114,2,FALSE))</f>
        <v>0</v>
      </c>
      <c r="G67" s="1082">
        <f>(100+$D$64)/100*F67</f>
        <v>0</v>
      </c>
      <c r="H67" s="1602"/>
      <c r="I67" s="1235">
        <f>H11*$G$67</f>
        <v>0</v>
      </c>
      <c r="K67" s="1081"/>
      <c r="L67" s="1080">
        <f>K11*$G$67</f>
        <v>0</v>
      </c>
      <c r="M67" s="1079"/>
      <c r="N67" s="1602"/>
      <c r="O67" s="1235">
        <f>N11*$G$67</f>
        <v>0</v>
      </c>
      <c r="P67" s="1601"/>
      <c r="Q67" s="1707"/>
    </row>
    <row r="68" spans="1:20" s="1706" customFormat="1" ht="22.95" customHeight="1">
      <c r="A68" s="711"/>
      <c r="B68" s="1594" t="s">
        <v>1121</v>
      </c>
      <c r="C68" s="711"/>
      <c r="D68" s="711"/>
      <c r="E68" s="175"/>
      <c r="F68" s="1069"/>
      <c r="G68" s="1590" t="s">
        <v>163</v>
      </c>
      <c r="H68" s="1598" t="s">
        <v>842</v>
      </c>
      <c r="I68" s="1597" t="s">
        <v>841</v>
      </c>
      <c r="J68" s="1387">
        <f>IF($F$69=0,$R$69*H$9*I$69%,$F$69*H$9*I$69%)</f>
        <v>0</v>
      </c>
      <c r="K68" s="1600" t="s">
        <v>842</v>
      </c>
      <c r="L68" s="1599" t="s">
        <v>841</v>
      </c>
      <c r="M68" s="1387">
        <f>IF($F$69=0,$S$69*K$9*L$69%,$F$69*K$9*L$69%)</f>
        <v>0</v>
      </c>
      <c r="N68" s="1598" t="s">
        <v>842</v>
      </c>
      <c r="O68" s="1597" t="s">
        <v>841</v>
      </c>
      <c r="P68" s="2181">
        <f>IF($F$69=0,$T$69*N$9*O$69%,$F$69*N$9*O$69%)</f>
        <v>0</v>
      </c>
      <c r="Q68" s="1707"/>
    </row>
    <row r="69" spans="1:20" s="1706" customFormat="1" ht="15" customHeight="1">
      <c r="A69" s="711"/>
      <c r="B69" s="1596"/>
      <c r="C69" s="4487" t="s">
        <v>1120</v>
      </c>
      <c r="D69" s="4487"/>
      <c r="E69" s="4487"/>
      <c r="F69" s="1063"/>
      <c r="G69" s="1054" t="s">
        <v>220</v>
      </c>
      <c r="H69" s="1061"/>
      <c r="I69" s="1060"/>
      <c r="J69" s="1059"/>
      <c r="K69" s="1061"/>
      <c r="L69" s="1060"/>
      <c r="M69" s="1062"/>
      <c r="N69" s="1061"/>
      <c r="O69" s="1060"/>
      <c r="P69" s="1595"/>
      <c r="Q69" s="1707"/>
      <c r="R69" s="1058">
        <f>IF($H$69=0,0,VLOOKUP($H$69,#REF!,#REF!,FALSE))*(1+SDÖ1!$O$11/100)</f>
        <v>0</v>
      </c>
      <c r="S69" s="1058">
        <f>IF($K$69=0,0,VLOOKUP($K$69,#REF!,#REF!,FALSE))*(1+SDÖ1!$O$11/100)</f>
        <v>0</v>
      </c>
      <c r="T69" s="1058">
        <f>IF($N$69=0,0,VLOOKUP($N$69,#REF!,#REF!,FALSE))*(1+SDÖ1!$O$11/100)</f>
        <v>0</v>
      </c>
    </row>
    <row r="70" spans="1:20" s="1706" customFormat="1" ht="18.75" customHeight="1">
      <c r="A70" s="711"/>
      <c r="B70" s="1594" t="s">
        <v>1119</v>
      </c>
      <c r="C70" s="711"/>
      <c r="D70" s="711"/>
      <c r="E70" s="175"/>
      <c r="F70" s="175"/>
      <c r="G70" s="1590" t="s">
        <v>163</v>
      </c>
      <c r="H70" s="38"/>
      <c r="I70" s="51"/>
      <c r="J70" s="1041">
        <f>H71*$F71/1000</f>
        <v>0</v>
      </c>
      <c r="K70" s="1057"/>
      <c r="L70" s="1056"/>
      <c r="M70" s="1044">
        <f>K71*$F71/1000</f>
        <v>0</v>
      </c>
      <c r="N70" s="38"/>
      <c r="O70" s="51"/>
      <c r="P70" s="1589">
        <f>N71*$F71/1000</f>
        <v>0</v>
      </c>
      <c r="Q70" s="1707"/>
    </row>
    <row r="71" spans="1:20" s="1706" customFormat="1" ht="15" customHeight="1">
      <c r="A71" s="711"/>
      <c r="B71" s="1593"/>
      <c r="C71" s="771" t="s">
        <v>606</v>
      </c>
      <c r="D71" s="251"/>
      <c r="E71" s="222"/>
      <c r="F71" s="1386"/>
      <c r="G71" s="1054" t="s">
        <v>163</v>
      </c>
      <c r="H71" s="1050">
        <f>I9+I10</f>
        <v>0</v>
      </c>
      <c r="I71" s="1049"/>
      <c r="J71" s="1048"/>
      <c r="K71" s="1053">
        <f>L9+L10</f>
        <v>0</v>
      </c>
      <c r="L71" s="1052"/>
      <c r="M71" s="1051"/>
      <c r="N71" s="1050">
        <f>O9+O10</f>
        <v>0</v>
      </c>
      <c r="O71" s="1049"/>
      <c r="P71" s="1592"/>
      <c r="Q71" s="1707"/>
    </row>
    <row r="72" spans="1:20" ht="18.75" customHeight="1">
      <c r="A72" s="309"/>
      <c r="B72" s="1591" t="s">
        <v>210</v>
      </c>
      <c r="C72" s="309"/>
      <c r="D72" s="309"/>
      <c r="E72" s="175"/>
      <c r="F72" s="1711"/>
      <c r="G72" s="1590" t="s">
        <v>163</v>
      </c>
      <c r="H72" s="1043"/>
      <c r="I72" s="1042"/>
      <c r="J72" s="1041">
        <f>SUM(I74:I75)</f>
        <v>0</v>
      </c>
      <c r="K72" s="1046"/>
      <c r="L72" s="1045"/>
      <c r="M72" s="1044">
        <f>SUM(L74:L75)</f>
        <v>0</v>
      </c>
      <c r="N72" s="1043"/>
      <c r="O72" s="1042"/>
      <c r="P72" s="1589">
        <f>SUM(O74:O75)</f>
        <v>0</v>
      </c>
    </row>
    <row r="73" spans="1:20" ht="13.2" customHeight="1">
      <c r="A73" s="309"/>
      <c r="B73" s="1588"/>
      <c r="C73" s="1039" t="s">
        <v>837</v>
      </c>
      <c r="D73" s="1038">
        <f>SDÖ1!$O$12</f>
        <v>0</v>
      </c>
      <c r="E73" s="1587"/>
      <c r="F73" s="1036"/>
      <c r="G73" s="1035"/>
      <c r="H73" s="1586" t="s">
        <v>239</v>
      </c>
      <c r="I73" s="1585" t="s">
        <v>836</v>
      </c>
      <c r="J73" s="1032"/>
      <c r="K73" s="1584" t="s">
        <v>239</v>
      </c>
      <c r="L73" s="1583" t="s">
        <v>836</v>
      </c>
      <c r="M73" s="1029"/>
      <c r="N73" s="1582" t="s">
        <v>239</v>
      </c>
      <c r="O73" s="1581" t="s">
        <v>836</v>
      </c>
      <c r="P73" s="1580"/>
    </row>
    <row r="74" spans="1:20" s="36" customFormat="1" ht="15" customHeight="1">
      <c r="A74" s="746"/>
      <c r="B74" s="1579"/>
      <c r="C74" s="4498" t="s">
        <v>1156</v>
      </c>
      <c r="D74" s="4498"/>
      <c r="E74" s="4498"/>
      <c r="F74" s="1025"/>
      <c r="G74" s="1024"/>
      <c r="H74" s="1018"/>
      <c r="I74" s="1022">
        <f>(100+$D$73)/100*H74</f>
        <v>0</v>
      </c>
      <c r="K74" s="1018"/>
      <c r="L74" s="1023">
        <f>(100+$D$73)/100*K74</f>
        <v>0</v>
      </c>
      <c r="M74" s="1578"/>
      <c r="N74" s="1018"/>
      <c r="O74" s="1022">
        <f>(100+$D$73)/100*N74</f>
        <v>0</v>
      </c>
      <c r="P74" s="1577"/>
      <c r="Q74" s="1707"/>
    </row>
    <row r="75" spans="1:20" s="36" customFormat="1" ht="15" customHeight="1">
      <c r="A75" s="746"/>
      <c r="B75" s="1579"/>
      <c r="C75" s="4483"/>
      <c r="D75" s="4483"/>
      <c r="E75" s="4483"/>
      <c r="F75" s="1020"/>
      <c r="G75" s="1019"/>
      <c r="H75" s="1015"/>
      <c r="I75" s="1014">
        <f>(100+$D$73)/100*H75</f>
        <v>0</v>
      </c>
      <c r="K75" s="1018"/>
      <c r="L75" s="1017">
        <f>(100+$D$73)/100*K75</f>
        <v>0</v>
      </c>
      <c r="M75" s="1578"/>
      <c r="N75" s="1015"/>
      <c r="O75" s="1014">
        <f>(100+$D$73)/100*N75</f>
        <v>0</v>
      </c>
      <c r="P75" s="1577"/>
      <c r="Q75" s="1707"/>
    </row>
    <row r="76" spans="1:20" s="1706" customFormat="1" ht="30.15" customHeight="1" thickBot="1">
      <c r="A76" s="711"/>
      <c r="B76" s="4499" t="s">
        <v>835</v>
      </c>
      <c r="C76" s="4500"/>
      <c r="D76" s="1576" t="s">
        <v>834</v>
      </c>
      <c r="E76" s="1575">
        <f>SDÖ1!$O$72/100</f>
        <v>0.02</v>
      </c>
      <c r="F76" s="1574" t="s">
        <v>1118</v>
      </c>
      <c r="G76" s="1573">
        <v>5</v>
      </c>
      <c r="H76" s="1569"/>
      <c r="I76" s="1572"/>
      <c r="J76" s="1567">
        <f>(J23+J27+J34+J43+J63+J59+J68+J70+J72)*(SDÖ1!$O$72%*$G$76/12)</f>
        <v>0</v>
      </c>
      <c r="K76" s="1571"/>
      <c r="L76" s="1570"/>
      <c r="M76" s="1567">
        <f>(M23+M27+M34+M43+M63+M59+M68+M70+M72)*(SDÖ1!$O$72%*$G$76/12)</f>
        <v>0</v>
      </c>
      <c r="N76" s="1569"/>
      <c r="O76" s="1568"/>
      <c r="P76" s="1567">
        <f>(P23+P27+P34+P43+P63+P59+P68+P70+P72)*(SDÖ1!$O$72%*$G$76/12)</f>
        <v>0</v>
      </c>
      <c r="Q76" s="1707"/>
    </row>
    <row r="81" spans="3:16">
      <c r="C81" s="1564" t="e">
        <f>#REF!</f>
        <v>#REF!</v>
      </c>
      <c r="D81" s="215"/>
      <c r="E81" s="515"/>
      <c r="G81" s="1564" t="e">
        <f>#REF!</f>
        <v>#REF!</v>
      </c>
      <c r="H81" s="215"/>
      <c r="I81" s="515"/>
      <c r="L81" s="29"/>
    </row>
    <row r="82" spans="3:16">
      <c r="C82" s="516" t="e">
        <f>#REF!</f>
        <v>#REF!</v>
      </c>
      <c r="E82" s="1708"/>
      <c r="G82" s="1565" t="e">
        <f>#REF!</f>
        <v>#REF!</v>
      </c>
      <c r="I82" s="1708"/>
      <c r="L82" s="29"/>
      <c r="N82" s="1564" t="str">
        <f>'SD3'!C24</f>
        <v>Drehpflug, 5 Schare</v>
      </c>
      <c r="O82" s="215"/>
      <c r="P82" s="515"/>
    </row>
    <row r="83" spans="3:16">
      <c r="C83" s="516" t="e">
        <f>#REF!</f>
        <v>#REF!</v>
      </c>
      <c r="E83" s="1708"/>
      <c r="G83" s="1566"/>
      <c r="H83" s="251"/>
      <c r="I83" s="512"/>
      <c r="L83" s="29"/>
      <c r="N83" s="1565" t="str">
        <f>'SD3'!C25</f>
        <v>Schwergrubber 3 m</v>
      </c>
      <c r="P83" s="1708"/>
    </row>
    <row r="84" spans="3:16">
      <c r="C84" s="516" t="e">
        <f>#REF!</f>
        <v>#REF!</v>
      </c>
      <c r="E84" s="1708"/>
      <c r="G84" s="29"/>
      <c r="H84" s="29"/>
      <c r="I84" s="29"/>
      <c r="L84" s="29"/>
      <c r="N84" s="1565" t="str">
        <f>'SD3'!C26</f>
        <v>Scheibenegge 5 m</v>
      </c>
      <c r="P84" s="1708"/>
    </row>
    <row r="85" spans="3:16">
      <c r="C85" s="516" t="e">
        <f>#REF!</f>
        <v>#REF!</v>
      </c>
      <c r="E85" s="1708"/>
      <c r="G85" s="29"/>
      <c r="H85" s="29"/>
      <c r="I85" s="29"/>
      <c r="L85" s="29"/>
      <c r="N85" s="1565" t="str">
        <f>'SD3'!C28</f>
        <v>Kreiselegge 3 m</v>
      </c>
      <c r="P85" s="1708"/>
    </row>
    <row r="86" spans="3:16">
      <c r="C86" s="516" t="e">
        <f>#REF!</f>
        <v>#REF!</v>
      </c>
      <c r="E86" s="1708"/>
      <c r="G86" s="29" t="e">
        <f>#REF!</f>
        <v>#REF!</v>
      </c>
      <c r="H86" s="29"/>
      <c r="I86" s="29"/>
      <c r="L86" s="29"/>
      <c r="N86" s="1565" t="str">
        <f>'SD3'!C29</f>
        <v>Cambridgewalze 4,5 m</v>
      </c>
      <c r="P86" s="1708"/>
    </row>
    <row r="87" spans="3:16">
      <c r="C87" s="516" t="e">
        <f>#REF!</f>
        <v>#REF!</v>
      </c>
      <c r="E87" s="1708"/>
      <c r="G87" s="29"/>
      <c r="H87" s="29"/>
      <c r="I87" s="29"/>
      <c r="L87" s="29"/>
      <c r="N87" s="1565" t="str">
        <f>'SD3'!C30</f>
        <v>Bodenfräse 3m</v>
      </c>
      <c r="P87" s="1708"/>
    </row>
    <row r="88" spans="3:16">
      <c r="C88" s="516" t="e">
        <f>#REF!</f>
        <v>#REF!</v>
      </c>
      <c r="E88" s="1708"/>
      <c r="G88" s="29" t="e">
        <f>#REF!</f>
        <v>#REF!</v>
      </c>
      <c r="H88" s="29"/>
      <c r="I88" s="29"/>
      <c r="L88" s="29"/>
      <c r="N88" s="1565" t="str">
        <f>'SD3'!C32</f>
        <v>Kreiselegge-Säkomb. 3 m</v>
      </c>
      <c r="P88" s="1708"/>
    </row>
    <row r="89" spans="3:16">
      <c r="C89" s="516" t="e">
        <f>#REF!</f>
        <v>#REF!</v>
      </c>
      <c r="E89" s="1708"/>
      <c r="G89" s="29" t="e">
        <f>#REF!</f>
        <v>#REF!</v>
      </c>
      <c r="H89" s="29"/>
      <c r="I89" s="29"/>
      <c r="L89" s="29"/>
      <c r="N89" s="1565" t="e">
        <f>'SD3'!#REF!</f>
        <v>#REF!</v>
      </c>
      <c r="P89" s="1708"/>
    </row>
    <row r="90" spans="3:16">
      <c r="C90" s="516" t="e">
        <f>#REF!</f>
        <v>#REF!</v>
      </c>
      <c r="E90" s="1708"/>
      <c r="G90" s="29" t="e">
        <f>#REF!</f>
        <v>#REF!</v>
      </c>
      <c r="H90" s="29"/>
      <c r="I90" s="29"/>
      <c r="L90" s="29"/>
      <c r="N90" s="1565" t="str">
        <f>'SD3'!C33</f>
        <v>Sämaschine 3m</v>
      </c>
      <c r="P90" s="1708"/>
    </row>
    <row r="91" spans="3:16">
      <c r="C91" s="516" t="e">
        <f>#REF!</f>
        <v>#REF!</v>
      </c>
      <c r="E91" s="1708"/>
      <c r="G91" s="29"/>
      <c r="H91" s="29"/>
      <c r="I91" s="29"/>
      <c r="L91" s="29"/>
      <c r="N91" s="1565" t="str">
        <f>'SD3'!C34</f>
        <v>Einzelkornsaat 4 r (Mais, Sonnenblume)</v>
      </c>
      <c r="P91" s="1708"/>
    </row>
    <row r="92" spans="3:16">
      <c r="C92" s="516" t="e">
        <f>#REF!</f>
        <v>#REF!</v>
      </c>
      <c r="E92" s="1708"/>
      <c r="L92" s="29"/>
      <c r="N92" s="1565" t="e">
        <f>'SD3'!#REF!</f>
        <v>#REF!</v>
      </c>
      <c r="P92" s="1708"/>
    </row>
    <row r="93" spans="3:16">
      <c r="C93" s="516" t="e">
        <f>#REF!</f>
        <v>#REF!</v>
      </c>
      <c r="E93" s="1708"/>
      <c r="L93" s="29"/>
      <c r="N93" s="1565" t="str">
        <f>'SD3'!C35</f>
        <v>Direktsämaschine 3 m</v>
      </c>
      <c r="P93" s="1708"/>
    </row>
    <row r="94" spans="3:16">
      <c r="C94" s="516" t="e">
        <f>#REF!</f>
        <v>#REF!</v>
      </c>
      <c r="E94" s="1708"/>
      <c r="G94" s="1564" t="str">
        <f>'SD3'!C92</f>
        <v>Mähdrescher - Erbsen/Ackerbohnen</v>
      </c>
      <c r="H94" s="215"/>
      <c r="I94" s="515"/>
      <c r="L94" s="29"/>
      <c r="N94" s="1565" t="e">
        <f>'SD3'!#REF!</f>
        <v>#REF!</v>
      </c>
      <c r="P94" s="1708"/>
    </row>
    <row r="95" spans="3:16">
      <c r="C95" s="516" t="e">
        <f>#REF!</f>
        <v>#REF!</v>
      </c>
      <c r="E95" s="1708"/>
      <c r="G95" s="1565" t="str">
        <f>'SD3'!C93</f>
        <v>Mähdrescher - Körnermais</v>
      </c>
      <c r="I95" s="1708"/>
      <c r="L95" s="29"/>
      <c r="N95" s="1565">
        <f>'SD3'!C36</f>
        <v>0</v>
      </c>
      <c r="P95" s="1708"/>
    </row>
    <row r="96" spans="3:16">
      <c r="C96" s="516" t="e">
        <f>#REF!</f>
        <v>#REF!</v>
      </c>
      <c r="E96" s="1708"/>
      <c r="G96" s="1565" t="str">
        <f>'SD3'!C94</f>
        <v>Mähdrescher - Getr. m. Strohhäcksler</v>
      </c>
      <c r="I96" s="1708"/>
      <c r="L96" s="29"/>
      <c r="N96" s="1565" t="str">
        <f>'SD3'!C37</f>
        <v xml:space="preserve">Düngerstreuer ab Hof 24 m, 400 kg/ha </v>
      </c>
      <c r="P96" s="1708"/>
    </row>
    <row r="97" spans="3:16">
      <c r="C97" s="516" t="e">
        <f>#REF!</f>
        <v>#REF!</v>
      </c>
      <c r="E97" s="1708"/>
      <c r="G97" s="1565" t="str">
        <f>'SD3'!C95</f>
        <v>ZR - Roden, 6-reihig</v>
      </c>
      <c r="I97" s="1708"/>
      <c r="L97" s="29"/>
      <c r="N97" s="1565" t="str">
        <f>'SD3'!C38</f>
        <v>Mist/Kompost streuen 20 t/ha  (6 m, 10,5 t) inkl. Beladen</v>
      </c>
      <c r="P97" s="1708"/>
    </row>
    <row r="98" spans="3:16">
      <c r="C98" s="516" t="e">
        <f>#REF!</f>
        <v>#REF!</v>
      </c>
      <c r="E98" s="1708"/>
      <c r="G98" s="1565" t="str">
        <f>'SD3'!C96</f>
        <v>KA - Vollernter mit Bunker, 2-reihig</v>
      </c>
      <c r="I98" s="1708"/>
      <c r="L98" s="29"/>
      <c r="N98" s="1565" t="e">
        <f>'SD3'!#REF!</f>
        <v>#REF!</v>
      </c>
      <c r="P98" s="1708"/>
    </row>
    <row r="99" spans="3:16">
      <c r="C99" s="228" t="e">
        <f>#REF!</f>
        <v>#REF!</v>
      </c>
      <c r="D99" s="251"/>
      <c r="E99" s="512"/>
      <c r="G99" s="1565" t="str">
        <f>'SD3'!C97</f>
        <v>KA - Schlägeln (m. Schl.+Fahrer)</v>
      </c>
      <c r="I99" s="1708"/>
      <c r="L99" s="29"/>
      <c r="N99" s="1565" t="e">
        <f>'SD3'!#REF!</f>
        <v>#REF!</v>
      </c>
      <c r="P99" s="1708"/>
    </row>
    <row r="100" spans="3:16">
      <c r="C100" s="516"/>
      <c r="E100" s="1708"/>
      <c r="G100" s="1565" t="str">
        <f>'SD3'!C98</f>
        <v>Hemp-Flax(Strohnutzung)</v>
      </c>
      <c r="I100" s="1708"/>
      <c r="L100" s="29"/>
      <c r="N100" s="1565" t="str">
        <f>'SD3'!C39</f>
        <v>Gülle ausbringen 20 m³/ha, (15 m³ Fass, Schleppschl. 15 m)</v>
      </c>
      <c r="P100" s="1708"/>
    </row>
    <row r="101" spans="3:16">
      <c r="C101" s="516"/>
      <c r="E101" s="1708"/>
      <c r="G101" s="1565" t="str">
        <f>'SD3'!C99</f>
        <v>Pressen (8,3 t FM; 250 kg/Ba.)</v>
      </c>
      <c r="I101" s="1708"/>
      <c r="L101" s="29"/>
      <c r="N101" s="1565" t="str">
        <f>'SD3'!C40</f>
        <v>Kalkstreuer 6 m³,15 m, 2l/ha (ab Feld, mit Beladen)</v>
      </c>
      <c r="P101" s="1708"/>
    </row>
    <row r="102" spans="3:16">
      <c r="C102" s="215"/>
      <c r="D102" s="215"/>
      <c r="E102" s="215"/>
      <c r="G102" s="1565" t="str">
        <f>'SD3'!C100</f>
        <v>Pressen (10,7 t FM; 250 kg/Ba.)</v>
      </c>
      <c r="I102" s="1708"/>
      <c r="L102" s="29"/>
      <c r="N102" s="1565">
        <f>'SD3'!C41</f>
        <v>0</v>
      </c>
      <c r="P102" s="1708"/>
    </row>
    <row r="103" spans="3:16">
      <c r="G103" s="1565" t="str">
        <f>'SD3'!C101</f>
        <v>ZR - Laden, Abfuhr</v>
      </c>
      <c r="I103" s="1708"/>
      <c r="L103" s="29"/>
      <c r="N103" s="1565" t="str">
        <f>'SD3'!C42</f>
        <v>Pflanzenschutzspritze 21 m, 300 l/ha</v>
      </c>
      <c r="P103" s="1708"/>
    </row>
    <row r="104" spans="3:16">
      <c r="G104" s="1565" t="str">
        <f>'SD3'!C102</f>
        <v>Mulchen</v>
      </c>
      <c r="I104" s="1708"/>
      <c r="L104" s="29"/>
      <c r="N104" s="1565" t="str">
        <f>'SD3'!C43</f>
        <v>Mulchgerät 3 m</v>
      </c>
      <c r="P104" s="1708"/>
    </row>
    <row r="105" spans="3:16">
      <c r="C105" s="1702"/>
      <c r="G105" s="1565" t="str">
        <f>'SD3'!C103</f>
        <v>Stroh-Rundballen pressen je dt</v>
      </c>
      <c r="I105" s="1708"/>
      <c r="L105" s="29"/>
      <c r="N105" s="1565" t="str">
        <f>'SD3'!C44</f>
        <v>Präparatespritze 20 m</v>
      </c>
      <c r="P105" s="1708"/>
    </row>
    <row r="106" spans="3:16">
      <c r="C106" s="1701" t="s">
        <v>1146</v>
      </c>
      <c r="G106" s="1565" t="str">
        <f>'SD3'!C104</f>
        <v>Stroh-Quaderballen pres. (Schneidw.)</v>
      </c>
      <c r="I106" s="1708"/>
      <c r="L106" s="29"/>
      <c r="N106" s="1565" t="str">
        <f>'SD3'!C45</f>
        <v>Hackstriegel 9 m</v>
      </c>
      <c r="P106" s="1708"/>
    </row>
    <row r="107" spans="3:16">
      <c r="C107" s="1701" t="s">
        <v>607</v>
      </c>
      <c r="G107" s="1565">
        <f>'SD3'!C105</f>
        <v>0</v>
      </c>
      <c r="I107" s="1708"/>
      <c r="L107" s="29"/>
      <c r="N107" s="1565" t="str">
        <f>'SD3'!C47</f>
        <v>Reihenhackgerät 3 m</v>
      </c>
      <c r="P107" s="1708"/>
    </row>
    <row r="108" spans="3:16">
      <c r="C108" s="1701"/>
      <c r="G108" s="1565">
        <f>'SD3'!C106</f>
        <v>0</v>
      </c>
      <c r="I108" s="1708"/>
      <c r="L108" s="29"/>
      <c r="N108" s="1565" t="e">
        <f>'SD3'!#REF!</f>
        <v>#REF!</v>
      </c>
      <c r="P108" s="1708"/>
    </row>
    <row r="109" spans="3:16">
      <c r="C109" s="1701"/>
      <c r="G109" s="1565">
        <f>'SD3'!C107</f>
        <v>0</v>
      </c>
      <c r="I109" s="1708"/>
      <c r="L109" s="29"/>
      <c r="N109" s="1565" t="e">
        <f>'SD3'!#REF!</f>
        <v>#REF!</v>
      </c>
      <c r="P109" s="1708"/>
    </row>
    <row r="110" spans="3:16">
      <c r="C110" s="1700"/>
      <c r="G110" s="1565">
        <f>'SD3'!C108</f>
        <v>0</v>
      </c>
      <c r="I110" s="1708"/>
      <c r="L110" s="29"/>
      <c r="N110" s="1565" t="e">
        <f>'SD3'!#REF!</f>
        <v>#REF!</v>
      </c>
      <c r="P110" s="1708"/>
    </row>
    <row r="111" spans="3:16">
      <c r="G111" s="1565">
        <f>'SD3'!C109</f>
        <v>0</v>
      </c>
      <c r="I111" s="1708"/>
      <c r="L111" s="29"/>
      <c r="N111" s="1565">
        <f>'SD3'!C48</f>
        <v>0</v>
      </c>
      <c r="P111" s="1708"/>
    </row>
    <row r="112" spans="3:16">
      <c r="G112" s="1565">
        <f>'SD3'!C110</f>
        <v>0</v>
      </c>
      <c r="I112" s="1708"/>
      <c r="L112" s="29"/>
      <c r="N112" s="1565" t="str">
        <f>'SD3'!C49</f>
        <v>Transp. u. Abkip.  (7,5 t Ki.)</v>
      </c>
      <c r="P112" s="1708"/>
    </row>
    <row r="113" spans="2:16">
      <c r="G113" s="1565">
        <f>'SD3'!C111</f>
        <v>0</v>
      </c>
      <c r="I113" s="1708"/>
      <c r="L113" s="29"/>
      <c r="N113" s="1565" t="e">
        <f>'SD3'!#REF!</f>
        <v>#REF!</v>
      </c>
      <c r="P113" s="1708"/>
    </row>
    <row r="114" spans="2:16">
      <c r="G114" s="1565">
        <f>'SD3'!C112</f>
        <v>0</v>
      </c>
      <c r="I114" s="1708"/>
      <c r="L114" s="29"/>
      <c r="N114" s="1565" t="str">
        <f>'SD3'!C50</f>
        <v>Silagetransport Mais/GPS, 3S.Kip. (13,5t Nutzl.), 50 t FM</v>
      </c>
      <c r="P114" s="1708"/>
    </row>
    <row r="115" spans="2:16">
      <c r="G115" s="1565">
        <f>'SD3'!C113</f>
        <v>0</v>
      </c>
      <c r="I115" s="1708"/>
      <c r="L115" s="29"/>
      <c r="N115" s="1565" t="str">
        <f>'SD3'!C51</f>
        <v>Stroh-Rundballen 4 t/ha laden, abfahren, stapeln, 3-S-Kipp.</v>
      </c>
      <c r="P115" s="1708"/>
    </row>
    <row r="116" spans="2:16">
      <c r="G116" s="1565">
        <f>'SD3'!C114</f>
        <v>0</v>
      </c>
      <c r="I116" s="1708"/>
      <c r="L116" s="29"/>
      <c r="N116" s="1565">
        <f>'SD3'!C52</f>
        <v>0</v>
      </c>
      <c r="P116" s="1708"/>
    </row>
    <row r="117" spans="2:16">
      <c r="G117" s="1565">
        <f>'SD3'!C115</f>
        <v>0</v>
      </c>
      <c r="L117" s="29"/>
      <c r="N117" s="1565" t="str">
        <f>'SD3'!C53</f>
        <v>Wiesenwalze 3 m</v>
      </c>
      <c r="P117" s="1708"/>
    </row>
    <row r="118" spans="2:16">
      <c r="G118" s="1565">
        <f>'SD3'!C116</f>
        <v>0</v>
      </c>
      <c r="L118" s="29"/>
      <c r="N118" s="1565" t="str">
        <f>'SD3'!C54</f>
        <v>Wiesenegge 6 m</v>
      </c>
      <c r="P118" s="1708"/>
    </row>
    <row r="119" spans="2:16">
      <c r="G119" s="1565">
        <f>'SD3'!C117</f>
        <v>0</v>
      </c>
      <c r="L119" s="29"/>
      <c r="N119" s="1565" t="e">
        <f>'SD3'!#REF!</f>
        <v>#REF!</v>
      </c>
      <c r="P119" s="1708"/>
    </row>
    <row r="120" spans="2:16">
      <c r="L120" s="29"/>
      <c r="N120" s="1565" t="str">
        <f>'SD3'!C56</f>
        <v>Rotationsmähwerk (Heck) m. Aufb. 2,8 m</v>
      </c>
      <c r="P120" s="1708"/>
    </row>
    <row r="121" spans="2:16">
      <c r="L121" s="29"/>
      <c r="N121" s="1565" t="str">
        <f>'SD3'!C57</f>
        <v>Kreiselwender 10,75m</v>
      </c>
      <c r="P121" s="1708"/>
    </row>
    <row r="122" spans="2:16">
      <c r="L122" s="29"/>
      <c r="N122" s="1565" t="str">
        <f>'SD3'!C58</f>
        <v>Kreiselschwader 7,5m Seitenablage</v>
      </c>
      <c r="O122" s="1708"/>
    </row>
    <row r="123" spans="2:16">
      <c r="B123" s="440">
        <v>1</v>
      </c>
      <c r="C123" s="29" t="str">
        <f>SDÖ5!C7</f>
        <v>Novodor</v>
      </c>
      <c r="E123" s="1707">
        <f>IF(ISNA(VLOOKUP(B123,SDÖ5!$U$26:$X$37,SDÖ5!$U$23,FALSE)),0,(VLOOKUP(B123,SDÖ5!$U$26:$X$37,SDÖ5!$U$23,FALSE)))</f>
        <v>0</v>
      </c>
      <c r="L123" s="29"/>
      <c r="N123" s="1565" t="e">
        <f>'SD3'!#REF!</f>
        <v>#REF!</v>
      </c>
      <c r="P123" s="1708"/>
    </row>
    <row r="124" spans="2:16">
      <c r="B124" s="440">
        <v>2</v>
      </c>
      <c r="C124" s="29" t="str">
        <f>SDÖ5!C8</f>
        <v>Neem Azal</v>
      </c>
      <c r="E124" s="1707">
        <f>IF(ISNA(VLOOKUP(B124,SDÖ5!$U$26:$X$37,SDÖ5!$U$23,FALSE)),0,(VLOOKUP(B124,SDÖ5!$U$26:$X$37,SDÖ5!$U$23,FALSE)))</f>
        <v>0</v>
      </c>
      <c r="L124" s="29"/>
      <c r="N124" s="1565" t="e">
        <f>'SD3'!#REF!</f>
        <v>#REF!</v>
      </c>
      <c r="P124" s="1708"/>
    </row>
    <row r="125" spans="2:16">
      <c r="B125" s="440">
        <v>3</v>
      </c>
      <c r="C125" s="29" t="str">
        <f>SDÖ5!C9</f>
        <v>Sluxx HP</v>
      </c>
      <c r="E125" s="1707">
        <f>IF(ISNA(VLOOKUP(B125,SDÖ5!$U$26:$X$37,SDÖ5!$U$23,FALSE)),0,(VLOOKUP(B125,SDÖ5!$U$26:$X$37,SDÖ5!$U$23,FALSE)))</f>
        <v>0</v>
      </c>
      <c r="L125" s="29"/>
      <c r="N125" s="1565">
        <f>'SD3'!C59</f>
        <v>0</v>
      </c>
      <c r="P125" s="1708"/>
    </row>
    <row r="126" spans="2:16">
      <c r="B126" s="440">
        <v>4</v>
      </c>
      <c r="C126" s="29" t="str">
        <f>SDÖ5!C10</f>
        <v>Cuprozin Progress</v>
      </c>
      <c r="E126" s="1707">
        <f>IF(ISNA(VLOOKUP(B126,SDÖ5!$U$26:$X$37,SDÖ5!$U$23,FALSE)),0,(VLOOKUP(B126,SDÖ5!$U$26:$X$37,SDÖ5!$U$23,FALSE)))</f>
        <v>0</v>
      </c>
      <c r="L126" s="29"/>
      <c r="N126" s="1565" t="str">
        <f>'SD3'!C60</f>
        <v>Kartoffeln vorkeimen</v>
      </c>
      <c r="P126" s="1708"/>
    </row>
    <row r="127" spans="2:16">
      <c r="B127" s="440">
        <v>5</v>
      </c>
      <c r="C127" s="29" t="str">
        <f>SDÖ5!C11</f>
        <v>silico Sec</v>
      </c>
      <c r="E127" s="1707">
        <f>IF(ISNA(VLOOKUP(B127,SDÖ5!$U$26:$X$37,SDÖ5!$U$23,FALSE)),0,(VLOOKUP(B127,SDÖ5!$U$26:$X$37,SDÖ5!$U$23,FALSE)))</f>
        <v>0</v>
      </c>
      <c r="L127" s="29"/>
      <c r="N127" s="1565" t="str">
        <f>'SD3'!C61</f>
        <v>Pflanzkartoffeltransport,-laden 2,5 t/ha</v>
      </c>
      <c r="P127" s="1708"/>
    </row>
    <row r="128" spans="2:16">
      <c r="B128" s="440">
        <v>6</v>
      </c>
      <c r="C128" s="29">
        <f>SDÖ5!C12</f>
        <v>0</v>
      </c>
      <c r="E128" s="1707">
        <f>IF(ISNA(VLOOKUP(B128,SDÖ5!$U$26:$X$37,SDÖ5!$U$23,FALSE)),0,(VLOOKUP(B128,SDÖ5!$U$26:$X$37,SDÖ5!$U$23,FALSE)))</f>
        <v>0</v>
      </c>
      <c r="L128" s="29"/>
      <c r="N128" s="1565" t="e">
        <f>'SD3'!#REF!</f>
        <v>#REF!</v>
      </c>
      <c r="P128" s="1708"/>
    </row>
    <row r="129" spans="2:16">
      <c r="B129" s="440">
        <v>7</v>
      </c>
      <c r="C129" s="29">
        <f>SDÖ5!C13</f>
        <v>0</v>
      </c>
      <c r="E129" s="1707">
        <f>IF(ISNA(VLOOKUP(B129,SDÖ5!$U$26:$X$37,SDÖ5!$U$23,FALSE)),0,(VLOOKUP(B129,SDÖ5!$U$26:$X$37,SDÖ5!$U$23,FALSE)))</f>
        <v>0</v>
      </c>
      <c r="L129" s="29"/>
      <c r="N129" s="1565" t="str">
        <f>'SD3'!C62</f>
        <v>Legemaschine mit Kippbunker 4 r (Kartoffel)</v>
      </c>
      <c r="P129" s="1708"/>
    </row>
    <row r="130" spans="2:16">
      <c r="B130" s="440">
        <v>8</v>
      </c>
      <c r="C130" s="29">
        <f>SDÖ5!C14</f>
        <v>0</v>
      </c>
      <c r="E130" s="1707">
        <f>IF(ISNA(VLOOKUP(B130,SDÖ5!$U$26:$X$37,SDÖ5!$U$23,FALSE)),0,(VLOOKUP(B130,SDÖ5!$U$26:$X$37,SDÖ5!$U$23,FALSE)))</f>
        <v>0</v>
      </c>
      <c r="L130" s="29"/>
      <c r="N130" s="1565" t="str">
        <f>'SD3'!C63</f>
        <v>Häufeln 4 r, Vorauflauf (Kartoffel)</v>
      </c>
      <c r="P130" s="1708"/>
    </row>
    <row r="131" spans="2:16">
      <c r="B131" s="440">
        <v>9</v>
      </c>
      <c r="C131" s="29">
        <f>SDÖ5!C15</f>
        <v>0</v>
      </c>
      <c r="E131" s="1707">
        <f>IF(ISNA(VLOOKUP(B131,SDÖ5!$U$26:$X$37,SDÖ5!$U$23,FALSE)),0,(VLOOKUP(B131,SDÖ5!$U$26:$X$37,SDÖ5!$U$23,FALSE)))</f>
        <v>0</v>
      </c>
      <c r="L131" s="29"/>
      <c r="N131" s="1565" t="str">
        <f>'SD3'!C64</f>
        <v>Hacken Nachauflauf 4 r</v>
      </c>
      <c r="P131" s="1708"/>
    </row>
    <row r="132" spans="2:16">
      <c r="B132" s="440">
        <v>10</v>
      </c>
      <c r="C132" s="29">
        <f>SDÖ5!C16</f>
        <v>0</v>
      </c>
      <c r="E132" s="1707">
        <f>IF(ISNA(VLOOKUP(B132,SDÖ5!$U$26:$X$37,SDÖ5!$U$23,FALSE)),0,(VLOOKUP(B132,SDÖ5!$U$26:$X$37,SDÖ5!$U$23,FALSE)))</f>
        <v>0</v>
      </c>
      <c r="L132" s="29"/>
      <c r="N132" s="1565" t="e">
        <f>'SD3'!#REF!</f>
        <v>#REF!</v>
      </c>
      <c r="P132" s="1708"/>
    </row>
    <row r="133" spans="2:16">
      <c r="B133" s="440">
        <v>11</v>
      </c>
      <c r="C133" s="29" t="s">
        <v>1712</v>
      </c>
      <c r="E133" s="1707">
        <f>IF(ISNA(VLOOKUP(B133,SDÖ5!$U$26:$X$37,SDÖ5!$U$23,FALSE)),0,(VLOOKUP(B133,SDÖ5!$U$26:$X$37,SDÖ5!$U$23,FALSE)))</f>
        <v>0</v>
      </c>
      <c r="L133" s="29"/>
      <c r="N133" s="1565" t="str">
        <f>'SD3'!C65</f>
        <v>Häufeln 4 r, Nachauflauf (Kartoffel)</v>
      </c>
      <c r="P133" s="1708"/>
    </row>
    <row r="134" spans="2:16">
      <c r="B134" s="440">
        <v>12</v>
      </c>
      <c r="C134" s="29" t="e">
        <f>SDÖ5!#REF!</f>
        <v>#REF!</v>
      </c>
      <c r="E134" s="1707">
        <f>IF(ISNA(VLOOKUP(B134,SDÖ5!$U$26:$X$37,SDÖ5!$U$23,FALSE)),0,(VLOOKUP(B134,SDÖ5!$U$26:$X$37,SDÖ5!$U$23,FALSE)))</f>
        <v>0</v>
      </c>
      <c r="L134" s="29"/>
      <c r="N134" s="1565" t="e">
        <f>'SD3'!#REF!</f>
        <v>#REF!</v>
      </c>
    </row>
    <row r="135" spans="2:16">
      <c r="B135" s="440">
        <v>13</v>
      </c>
      <c r="C135" s="29" t="e">
        <f>SDÖ5!#REF!</f>
        <v>#REF!</v>
      </c>
      <c r="E135" s="1707">
        <f>IF(ISNA(VLOOKUP(B135,SDÖ5!$U$26:$X$37,SDÖ5!$U$23,FALSE)),0,(VLOOKUP(B135,SDÖ5!$U$26:$X$37,SDÖ5!$U$23,FALSE)))</f>
        <v>0</v>
      </c>
      <c r="L135" s="29"/>
      <c r="N135" s="1565" t="e">
        <f>'SD3'!#REF!</f>
        <v>#REF!</v>
      </c>
    </row>
    <row r="136" spans="2:16">
      <c r="B136" s="440">
        <v>14</v>
      </c>
      <c r="C136" s="29" t="e">
        <f>SDÖ5!#REF!</f>
        <v>#REF!</v>
      </c>
      <c r="E136" s="1707">
        <f>IF(ISNA(VLOOKUP(B136,SDÖ5!$U$26:$X$37,SDÖ5!$U$23,FALSE)),0,(VLOOKUP(B136,SDÖ5!$U$26:$X$37,SDÖ5!$U$23,FALSE)))</f>
        <v>0</v>
      </c>
      <c r="L136" s="29"/>
      <c r="N136" s="1565" t="e">
        <f>'SD3'!#REF!</f>
        <v>#REF!</v>
      </c>
    </row>
    <row r="137" spans="2:16">
      <c r="B137" s="440">
        <v>15</v>
      </c>
      <c r="C137" s="29"/>
      <c r="E137" s="1707">
        <f>IF(ISNA(VLOOKUP(B137,SDÖ5!$U$26:$X$37,SDÖ5!$U$23,FALSE)),0,(VLOOKUP(B137,SDÖ5!$U$26:$X$37,SDÖ5!$U$23,FALSE)))</f>
        <v>0</v>
      </c>
      <c r="L137" s="29"/>
      <c r="N137" s="1565" t="e">
        <f>'SD3'!#REF!</f>
        <v>#REF!</v>
      </c>
    </row>
    <row r="138" spans="2:16">
      <c r="B138" s="440">
        <v>16</v>
      </c>
      <c r="C138" s="29"/>
      <c r="E138" s="1707">
        <f>IF(ISNA(VLOOKUP(B138,SDÖ5!$U$26:$X$37,SDÖ5!$U$23,FALSE)),0,(VLOOKUP(B138,SDÖ5!$U$26:$X$37,SDÖ5!$U$23,FALSE)))</f>
        <v>0</v>
      </c>
      <c r="L138" s="29"/>
      <c r="N138" s="1565" t="e">
        <f>'SD3'!#REF!</f>
        <v>#REF!</v>
      </c>
    </row>
    <row r="139" spans="2:16">
      <c r="B139" s="440"/>
      <c r="C139" s="29"/>
      <c r="L139" s="29"/>
      <c r="N139" s="1565" t="e">
        <f>'SD3'!#REF!</f>
        <v>#REF!</v>
      </c>
    </row>
    <row r="140" spans="2:16">
      <c r="B140" s="440"/>
      <c r="C140" s="29"/>
      <c r="L140" s="29"/>
      <c r="N140" s="1565">
        <f>'SD3'!C73</f>
        <v>0</v>
      </c>
    </row>
    <row r="141" spans="2:16">
      <c r="B141" s="440"/>
      <c r="C141" s="29"/>
      <c r="L141" s="29"/>
      <c r="N141" s="1565">
        <f>'SD3'!C74</f>
        <v>0</v>
      </c>
    </row>
    <row r="142" spans="2:16">
      <c r="B142" s="440"/>
      <c r="C142" s="29" t="str">
        <f ca="1">MID(CELL("Dateiname",$A$1),FIND("]",CELL("Dateiname",$A$1))+1,31)</f>
        <v>TE6</v>
      </c>
      <c r="L142" s="29"/>
    </row>
    <row r="143" spans="2:16">
      <c r="B143" s="440"/>
      <c r="C143" s="29"/>
      <c r="L143" s="29"/>
    </row>
    <row r="144" spans="2:16">
      <c r="B144" s="440"/>
      <c r="C144" s="29"/>
      <c r="L144" s="29"/>
    </row>
    <row r="145" spans="2:12">
      <c r="B145" s="440"/>
      <c r="C145" s="29"/>
      <c r="L145" s="29"/>
    </row>
    <row r="146" spans="2:12">
      <c r="B146" s="440"/>
      <c r="C146" s="29"/>
      <c r="L146" s="29"/>
    </row>
    <row r="147" spans="2:12">
      <c r="B147" s="440"/>
      <c r="C147" s="29"/>
      <c r="L147" s="29"/>
    </row>
    <row r="148" spans="2:12">
      <c r="B148" s="440"/>
      <c r="C148" s="29"/>
      <c r="L148" s="29"/>
    </row>
    <row r="149" spans="2:12">
      <c r="B149" s="440"/>
      <c r="C149" s="29"/>
      <c r="L149" s="29"/>
    </row>
    <row r="150" spans="2:12">
      <c r="B150" s="440"/>
      <c r="C150" s="29"/>
      <c r="L150" s="29"/>
    </row>
    <row r="151" spans="2:12">
      <c r="B151" s="440"/>
      <c r="C151" s="29"/>
      <c r="L151" s="29"/>
    </row>
    <row r="152" spans="2:12">
      <c r="B152" s="440"/>
      <c r="C152" s="29"/>
    </row>
    <row r="153" spans="2:12">
      <c r="B153" s="440"/>
      <c r="C153" s="29"/>
    </row>
    <row r="154" spans="2:12">
      <c r="B154" s="440"/>
      <c r="C154" s="29"/>
    </row>
    <row r="155" spans="2:12">
      <c r="B155" s="440"/>
      <c r="C155" s="29"/>
    </row>
    <row r="156" spans="2:12">
      <c r="B156" s="440"/>
      <c r="C156" s="29"/>
      <c r="H156" s="1354"/>
      <c r="J156" s="1563"/>
    </row>
    <row r="157" spans="2:12">
      <c r="B157" s="440"/>
      <c r="C157" s="29"/>
      <c r="H157" s="1354"/>
      <c r="J157" s="1563"/>
    </row>
    <row r="158" spans="2:12">
      <c r="B158" s="440"/>
      <c r="C158" s="29"/>
      <c r="H158" s="1354"/>
      <c r="J158" s="1563"/>
    </row>
    <row r="159" spans="2:12">
      <c r="B159" s="440"/>
      <c r="C159" s="29"/>
      <c r="D159" s="29"/>
      <c r="F159" s="29"/>
      <c r="G159" s="29"/>
      <c r="H159" s="29"/>
      <c r="I159" s="29"/>
      <c r="J159" s="29"/>
      <c r="K159" s="29"/>
    </row>
    <row r="160" spans="2:12">
      <c r="B160" s="440"/>
      <c r="C160" s="29"/>
      <c r="D160" s="29"/>
      <c r="F160" s="29"/>
      <c r="G160" s="29"/>
      <c r="H160" s="29"/>
      <c r="I160" s="29"/>
      <c r="J160" s="29"/>
      <c r="K160" s="29"/>
    </row>
    <row r="161" spans="2:11">
      <c r="B161" s="440"/>
      <c r="C161" s="29"/>
      <c r="D161" s="29"/>
      <c r="F161" s="29"/>
      <c r="G161" s="29"/>
      <c r="H161" s="29"/>
      <c r="I161" s="29"/>
      <c r="J161" s="29"/>
      <c r="K161" s="29"/>
    </row>
    <row r="162" spans="2:11">
      <c r="B162" s="440"/>
      <c r="C162" s="29"/>
      <c r="D162" s="29"/>
      <c r="F162" s="29"/>
      <c r="G162" s="29"/>
      <c r="H162" s="29"/>
      <c r="I162" s="29"/>
      <c r="J162" s="29"/>
      <c r="K162" s="29"/>
    </row>
    <row r="163" spans="2:11">
      <c r="B163" s="440"/>
      <c r="C163" s="29"/>
      <c r="D163" s="29"/>
      <c r="F163" s="29"/>
      <c r="G163" s="29"/>
      <c r="H163" s="29"/>
      <c r="I163" s="29"/>
      <c r="J163" s="29"/>
      <c r="K163" s="29"/>
    </row>
    <row r="164" spans="2:11">
      <c r="B164" s="440"/>
      <c r="C164" s="29"/>
    </row>
    <row r="165" spans="2:11">
      <c r="B165" s="440"/>
      <c r="C165" s="29"/>
    </row>
    <row r="166" spans="2:11">
      <c r="B166" s="440"/>
      <c r="C166" s="29"/>
    </row>
    <row r="167" spans="2:11">
      <c r="B167" s="440"/>
      <c r="C167" s="29"/>
    </row>
    <row r="168" spans="2:11">
      <c r="B168" s="440"/>
      <c r="C168" s="29"/>
    </row>
    <row r="169" spans="2:11">
      <c r="B169" s="440"/>
      <c r="C169" s="29"/>
    </row>
    <row r="170" spans="2:11">
      <c r="B170" s="440"/>
      <c r="C170" s="29"/>
    </row>
    <row r="171" spans="2:11">
      <c r="B171" s="440"/>
      <c r="C171" s="29"/>
    </row>
    <row r="172" spans="2:11">
      <c r="B172" s="440"/>
      <c r="C172" s="29"/>
    </row>
    <row r="173" spans="2:11">
      <c r="B173" s="440"/>
      <c r="C173" s="29"/>
    </row>
    <row r="174" spans="2:11">
      <c r="B174" s="440"/>
      <c r="C174" s="29"/>
    </row>
    <row r="175" spans="2:11">
      <c r="B175" s="440"/>
      <c r="C175" s="29"/>
    </row>
    <row r="176" spans="2:11">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row r="207" spans="2:3">
      <c r="B207" s="440"/>
      <c r="C207" s="29"/>
    </row>
    <row r="208" spans="2:3">
      <c r="B208" s="440"/>
      <c r="C208" s="29"/>
    </row>
    <row r="209" spans="2:3">
      <c r="B209" s="440"/>
      <c r="C209" s="29"/>
    </row>
    <row r="210" spans="2:3">
      <c r="B210" s="440"/>
      <c r="C210" s="29"/>
    </row>
    <row r="211" spans="2:3">
      <c r="B211" s="440"/>
      <c r="C211" s="29"/>
    </row>
  </sheetData>
  <sheetProtection selectLockedCells="1"/>
  <customSheetViews>
    <customSheetView guid="{8063F48F-80B5-4ECD-B18A-51CBF126E780}" fitToPage="1" hiddenRows="1" state="hidden">
      <pageMargins left="0.59055118110236227" right="0.57999999999999996" top="0.59055118110236227" bottom="0.59055118110236227" header="0.39370078740157483" footer="0.39370078740157483"/>
      <printOptions horizontalCentered="1"/>
      <pageSetup paperSize="9" scale="68" firstPageNumber="50" orientation="portrait" r:id="rId1"/>
      <headerFooter alignWithMargins="0">
        <oddFooter>&amp;L&amp;11LEL Schwäbisch Gmünd&amp;C52&amp;R&amp;11&amp;F</oddFooter>
      </headerFooter>
    </customSheetView>
    <customSheetView guid="{5D5C9B61-9ABD-4513-AAEB-8333A9D6196C}" fitToPage="1" hiddenRows="1" state="hidden">
      <pageMargins left="0.59055118110236227" right="0.57999999999999996" top="0.59055118110236227" bottom="0.59055118110236227" header="0.39370078740157483" footer="0.39370078740157483"/>
      <printOptions horizontalCentered="1"/>
      <pageSetup paperSize="9" scale="68" firstPageNumber="50" orientation="portrait" r:id="rId2"/>
      <headerFooter alignWithMargins="0">
        <oddFooter>&amp;L&amp;11LEL Schwäbisch Gmünd&amp;C52&amp;R&amp;11&amp;F</oddFooter>
      </headerFooter>
    </customSheetView>
    <customSheetView guid="{22A73C4F-9004-4CEF-8499-B1F91BE1B569}" fitToPage="1" hiddenRows="1" state="hidden">
      <pageMargins left="0.59055118110236227" right="0.57999999999999996" top="0.59055118110236227" bottom="0.59055118110236227" header="0.39370078740157483" footer="0.39370078740157483"/>
      <printOptions horizontalCentered="1"/>
      <pageSetup paperSize="9" scale="68" firstPageNumber="50" orientation="portrait" r:id="rId3"/>
      <headerFooter alignWithMargins="0">
        <oddFooter>&amp;L&amp;11LEL Schwäbisch Gmünd&amp;C52&amp;R&amp;11&amp;F</oddFooter>
      </headerFooter>
    </customSheetView>
  </customSheetViews>
  <mergeCells count="49">
    <mergeCell ref="C15:F15"/>
    <mergeCell ref="E4:I4"/>
    <mergeCell ref="W4:Y4"/>
    <mergeCell ref="G1:I1"/>
    <mergeCell ref="J3:L3"/>
    <mergeCell ref="J4:L4"/>
    <mergeCell ref="K1:L1"/>
    <mergeCell ref="N1:O1"/>
    <mergeCell ref="K2:P2"/>
    <mergeCell ref="N3:O4"/>
    <mergeCell ref="W3:Y3"/>
    <mergeCell ref="H6:I6"/>
    <mergeCell ref="K6:L6"/>
    <mergeCell ref="N6:O6"/>
    <mergeCell ref="E10:F10"/>
    <mergeCell ref="C14:F14"/>
    <mergeCell ref="C40:E40"/>
    <mergeCell ref="C16:F16"/>
    <mergeCell ref="C17:F17"/>
    <mergeCell ref="C20:F20"/>
    <mergeCell ref="C21:F21"/>
    <mergeCell ref="D22:G22"/>
    <mergeCell ref="D25:E25"/>
    <mergeCell ref="D26:E26"/>
    <mergeCell ref="C36:E36"/>
    <mergeCell ref="C37:E37"/>
    <mergeCell ref="C38:E38"/>
    <mergeCell ref="C39:E39"/>
    <mergeCell ref="C55:D55"/>
    <mergeCell ref="C41:E41"/>
    <mergeCell ref="C42:E42"/>
    <mergeCell ref="C46:D46"/>
    <mergeCell ref="C47:D47"/>
    <mergeCell ref="C48:D48"/>
    <mergeCell ref="C49:D49"/>
    <mergeCell ref="C50:D50"/>
    <mergeCell ref="C51:D51"/>
    <mergeCell ref="C52:D52"/>
    <mergeCell ref="C53:D53"/>
    <mergeCell ref="C54:D54"/>
    <mergeCell ref="C74:E74"/>
    <mergeCell ref="C75:E75"/>
    <mergeCell ref="B76:C76"/>
    <mergeCell ref="C56:D56"/>
    <mergeCell ref="C57:D57"/>
    <mergeCell ref="C65:E65"/>
    <mergeCell ref="C66:E66"/>
    <mergeCell ref="C67:E67"/>
    <mergeCell ref="C69:E69"/>
  </mergeCells>
  <dataValidations count="5">
    <dataValidation type="decimal" allowBlank="1" showInputMessage="1" showErrorMessage="1" errorTitle="Wassergehalt Getreide" error="Zulässig sind nur Werte zwischen 14,1 und 22,0 % Wassergehalt." sqref="H69 K69 N69" xr:uid="{00000000-0002-0000-5400-000000000000}">
      <formula1>14.1</formula1>
      <formula2>22</formula2>
    </dataValidation>
    <dataValidation type="list" allowBlank="1" showInputMessage="1" showErrorMessage="1" errorTitle="Organisationsabh. Ausgleichsl." error="Bitte aus Dropdownliste auswählen." sqref="C20:F21" xr:uid="{00000000-0002-0000-5400-000001000000}">
      <formula1>$G$81:$G$91</formula1>
    </dataValidation>
    <dataValidation type="whole" allowBlank="1" showInputMessage="1" showErrorMessage="1" errorTitle="Anteil Erntegut" error="Prozentwert darf nur zwischen 0 und 100 liegen." sqref="O69 L69 I69" xr:uid="{00000000-0002-0000-5400-000002000000}">
      <formula1>0</formula1>
      <formula2>100</formula2>
    </dataValidation>
    <dataValidation type="list" allowBlank="1" showInputMessage="1" showErrorMessage="1" errorTitle="Verfahrensabh. Ausgleichsleist." error="Bitte aus Dropdownliste auswählen." sqref="C14:F17" xr:uid="{00000000-0002-0000-5400-000003000000}">
      <formula1>$C$81:$C$100</formula1>
    </dataValidation>
    <dataValidation type="list" allowBlank="1" showInputMessage="1" showErrorMessage="1" errorTitle="Pflanzenschutzmittel" error="Bitte aus Dropdownliste auswählen." sqref="C36:E42" xr:uid="{00000000-0002-0000-5400-000004000000}">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50" orientation="portrait" r:id="rId4"/>
  <headerFooter alignWithMargins="0">
    <oddFooter>&amp;L&amp;11LEL Schwäbisch Gmünd&amp;C52&amp;R&amp;11&amp;F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05488" r:id="rId7" name="Check Box 16">
              <controlPr defaultSize="0" autoFill="0" autoLine="0" autoPict="0">
                <anchor moveWithCells="1">
                  <from>
                    <xdr:col>18</xdr:col>
                    <xdr:colOff>266700</xdr:colOff>
                    <xdr:row>1</xdr:row>
                    <xdr:rowOff>259080</xdr:rowOff>
                  </from>
                  <to>
                    <xdr:col>18</xdr:col>
                    <xdr:colOff>525780</xdr:colOff>
                    <xdr:row>2</xdr:row>
                    <xdr:rowOff>182880</xdr:rowOff>
                  </to>
                </anchor>
              </controlPr>
            </control>
          </mc:Choice>
        </mc:AlternateContent>
        <mc:AlternateContent xmlns:mc="http://schemas.openxmlformats.org/markup-compatibility/2006">
          <mc:Choice Requires="x14">
            <control shapeId="105489" r:id="rId8" name="Check Box 17">
              <controlPr defaultSize="0" autoFill="0" autoLine="0" autoPict="0">
                <anchor moveWithCells="1">
                  <from>
                    <xdr:col>18</xdr:col>
                    <xdr:colOff>251460</xdr:colOff>
                    <xdr:row>1</xdr:row>
                    <xdr:rowOff>60960</xdr:rowOff>
                  </from>
                  <to>
                    <xdr:col>18</xdr:col>
                    <xdr:colOff>518160</xdr:colOff>
                    <xdr:row>1</xdr:row>
                    <xdr:rowOff>297180</xdr:rowOff>
                  </to>
                </anchor>
              </controlPr>
            </control>
          </mc:Choice>
        </mc:AlternateContent>
        <mc:AlternateContent xmlns:mc="http://schemas.openxmlformats.org/markup-compatibility/2006">
          <mc:Choice Requires="x14">
            <control shapeId="105490" r:id="rId9" name="Check Box 18">
              <controlPr defaultSize="0" print="0" autoFill="0" autoLine="0" autoPict="0">
                <anchor moveWithCells="1">
                  <from>
                    <xdr:col>10</xdr:col>
                    <xdr:colOff>175260</xdr:colOff>
                    <xdr:row>13</xdr:row>
                    <xdr:rowOff>60960</xdr:rowOff>
                  </from>
                  <to>
                    <xdr:col>10</xdr:col>
                    <xdr:colOff>388620</xdr:colOff>
                    <xdr:row>14</xdr:row>
                    <xdr:rowOff>45720</xdr:rowOff>
                  </to>
                </anchor>
              </controlPr>
            </control>
          </mc:Choice>
        </mc:AlternateContent>
        <mc:AlternateContent xmlns:mc="http://schemas.openxmlformats.org/markup-compatibility/2006">
          <mc:Choice Requires="x14">
            <control shapeId="105491" r:id="rId10" name="Check Box 19">
              <controlPr defaultSize="0" print="0" autoFill="0" autoLine="0" autoPict="0">
                <anchor moveWithCells="1">
                  <from>
                    <xdr:col>10</xdr:col>
                    <xdr:colOff>175260</xdr:colOff>
                    <xdr:row>14</xdr:row>
                    <xdr:rowOff>38100</xdr:rowOff>
                  </from>
                  <to>
                    <xdr:col>10</xdr:col>
                    <xdr:colOff>388620</xdr:colOff>
                    <xdr:row>14</xdr:row>
                    <xdr:rowOff>182880</xdr:rowOff>
                  </to>
                </anchor>
              </controlPr>
            </control>
          </mc:Choice>
        </mc:AlternateContent>
        <mc:AlternateContent xmlns:mc="http://schemas.openxmlformats.org/markup-compatibility/2006">
          <mc:Choice Requires="x14">
            <control shapeId="105492" r:id="rId11" name="Check Box 20">
              <controlPr defaultSize="0" print="0" autoFill="0" autoLine="0" autoPict="0">
                <anchor moveWithCells="1">
                  <from>
                    <xdr:col>10</xdr:col>
                    <xdr:colOff>175260</xdr:colOff>
                    <xdr:row>14</xdr:row>
                    <xdr:rowOff>175260</xdr:rowOff>
                  </from>
                  <to>
                    <xdr:col>10</xdr:col>
                    <xdr:colOff>388620</xdr:colOff>
                    <xdr:row>15</xdr:row>
                    <xdr:rowOff>121920</xdr:rowOff>
                  </to>
                </anchor>
              </controlPr>
            </control>
          </mc:Choice>
        </mc:AlternateContent>
        <mc:AlternateContent xmlns:mc="http://schemas.openxmlformats.org/markup-compatibility/2006">
          <mc:Choice Requires="x14">
            <control shapeId="105493" r:id="rId12" name="Check Box 21">
              <controlPr defaultSize="0" print="0" autoFill="0" autoLine="0" autoPict="0">
                <anchor moveWithCells="1">
                  <from>
                    <xdr:col>10</xdr:col>
                    <xdr:colOff>160020</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5494" r:id="rId13" name="Check Box 22">
              <controlPr defaultSize="0" print="0" autoFill="0" autoLine="0" autoPict="0">
                <anchor moveWithCells="1">
                  <from>
                    <xdr:col>7</xdr:col>
                    <xdr:colOff>137160</xdr:colOff>
                    <xdr:row>13</xdr:row>
                    <xdr:rowOff>38100</xdr:rowOff>
                  </from>
                  <to>
                    <xdr:col>7</xdr:col>
                    <xdr:colOff>365760</xdr:colOff>
                    <xdr:row>14</xdr:row>
                    <xdr:rowOff>22860</xdr:rowOff>
                  </to>
                </anchor>
              </controlPr>
            </control>
          </mc:Choice>
        </mc:AlternateContent>
        <mc:AlternateContent xmlns:mc="http://schemas.openxmlformats.org/markup-compatibility/2006">
          <mc:Choice Requires="x14">
            <control shapeId="105495" r:id="rId14" name="Check Box 23">
              <controlPr defaultSize="0" print="0" autoFill="0" autoLine="0" autoPict="0">
                <anchor moveWithCells="1">
                  <from>
                    <xdr:col>7</xdr:col>
                    <xdr:colOff>137160</xdr:colOff>
                    <xdr:row>14</xdr:row>
                    <xdr:rowOff>45720</xdr:rowOff>
                  </from>
                  <to>
                    <xdr:col>7</xdr:col>
                    <xdr:colOff>350520</xdr:colOff>
                    <xdr:row>15</xdr:row>
                    <xdr:rowOff>0</xdr:rowOff>
                  </to>
                </anchor>
              </controlPr>
            </control>
          </mc:Choice>
        </mc:AlternateContent>
        <mc:AlternateContent xmlns:mc="http://schemas.openxmlformats.org/markup-compatibility/2006">
          <mc:Choice Requires="x14">
            <control shapeId="105496" r:id="rId15" name="Check Box 24">
              <controlPr defaultSize="0" print="0" autoFill="0" autoLine="0" autoPict="0">
                <anchor moveWithCells="1">
                  <from>
                    <xdr:col>7</xdr:col>
                    <xdr:colOff>137160</xdr:colOff>
                    <xdr:row>15</xdr:row>
                    <xdr:rowOff>38100</xdr:rowOff>
                  </from>
                  <to>
                    <xdr:col>7</xdr:col>
                    <xdr:colOff>365760</xdr:colOff>
                    <xdr:row>15</xdr:row>
                    <xdr:rowOff>182880</xdr:rowOff>
                  </to>
                </anchor>
              </controlPr>
            </control>
          </mc:Choice>
        </mc:AlternateContent>
        <mc:AlternateContent xmlns:mc="http://schemas.openxmlformats.org/markup-compatibility/2006">
          <mc:Choice Requires="x14">
            <control shapeId="105497" r:id="rId16" name="Check Box 25">
              <controlPr defaultSize="0" print="0" autoFill="0" autoLine="0" autoPict="0">
                <anchor moveWithCells="1">
                  <from>
                    <xdr:col>7</xdr:col>
                    <xdr:colOff>160020</xdr:colOff>
                    <xdr:row>16</xdr:row>
                    <xdr:rowOff>38100</xdr:rowOff>
                  </from>
                  <to>
                    <xdr:col>7</xdr:col>
                    <xdr:colOff>388620</xdr:colOff>
                    <xdr:row>16</xdr:row>
                    <xdr:rowOff>182880</xdr:rowOff>
                  </to>
                </anchor>
              </controlPr>
            </control>
          </mc:Choice>
        </mc:AlternateContent>
        <mc:AlternateContent xmlns:mc="http://schemas.openxmlformats.org/markup-compatibility/2006">
          <mc:Choice Requires="x14">
            <control shapeId="105498" r:id="rId17" name="Check Box 26">
              <controlPr defaultSize="0" print="0" autoFill="0" autoLine="0" autoPict="0">
                <anchor moveWithCells="1">
                  <from>
                    <xdr:col>13</xdr:col>
                    <xdr:colOff>182880</xdr:colOff>
                    <xdr:row>13</xdr:row>
                    <xdr:rowOff>60960</xdr:rowOff>
                  </from>
                  <to>
                    <xdr:col>13</xdr:col>
                    <xdr:colOff>403860</xdr:colOff>
                    <xdr:row>14</xdr:row>
                    <xdr:rowOff>45720</xdr:rowOff>
                  </to>
                </anchor>
              </controlPr>
            </control>
          </mc:Choice>
        </mc:AlternateContent>
        <mc:AlternateContent xmlns:mc="http://schemas.openxmlformats.org/markup-compatibility/2006">
          <mc:Choice Requires="x14">
            <control shapeId="105499" r:id="rId18" name="Check Box 27">
              <controlPr defaultSize="0" print="0" autoFill="0" autoLine="0" autoPict="0">
                <anchor moveWithCells="1">
                  <from>
                    <xdr:col>13</xdr:col>
                    <xdr:colOff>182880</xdr:colOff>
                    <xdr:row>14</xdr:row>
                    <xdr:rowOff>38100</xdr:rowOff>
                  </from>
                  <to>
                    <xdr:col>13</xdr:col>
                    <xdr:colOff>403860</xdr:colOff>
                    <xdr:row>14</xdr:row>
                    <xdr:rowOff>182880</xdr:rowOff>
                  </to>
                </anchor>
              </controlPr>
            </control>
          </mc:Choice>
        </mc:AlternateContent>
        <mc:AlternateContent xmlns:mc="http://schemas.openxmlformats.org/markup-compatibility/2006">
          <mc:Choice Requires="x14">
            <control shapeId="105500" r:id="rId19" name="Check Box 28">
              <controlPr defaultSize="0" print="0" autoFill="0" autoLine="0" autoPict="0">
                <anchor moveWithCells="1">
                  <from>
                    <xdr:col>13</xdr:col>
                    <xdr:colOff>182880</xdr:colOff>
                    <xdr:row>15</xdr:row>
                    <xdr:rowOff>22860</xdr:rowOff>
                  </from>
                  <to>
                    <xdr:col>13</xdr:col>
                    <xdr:colOff>403860</xdr:colOff>
                    <xdr:row>15</xdr:row>
                    <xdr:rowOff>175260</xdr:rowOff>
                  </to>
                </anchor>
              </controlPr>
            </control>
          </mc:Choice>
        </mc:AlternateContent>
        <mc:AlternateContent xmlns:mc="http://schemas.openxmlformats.org/markup-compatibility/2006">
          <mc:Choice Requires="x14">
            <control shapeId="105501" r:id="rId20" name="Check Box 29">
              <controlPr defaultSize="0" print="0" autoFill="0" autoLine="0" autoPict="0">
                <anchor moveWithCells="1">
                  <from>
                    <xdr:col>13</xdr:col>
                    <xdr:colOff>182880</xdr:colOff>
                    <xdr:row>16</xdr:row>
                    <xdr:rowOff>22860</xdr:rowOff>
                  </from>
                  <to>
                    <xdr:col>13</xdr:col>
                    <xdr:colOff>403860</xdr:colOff>
                    <xdr:row>16</xdr:row>
                    <xdr:rowOff>175260</xdr:rowOff>
                  </to>
                </anchor>
              </controlPr>
            </control>
          </mc:Choice>
        </mc:AlternateContent>
        <mc:AlternateContent xmlns:mc="http://schemas.openxmlformats.org/markup-compatibility/2006">
          <mc:Choice Requires="x14">
            <control shapeId="105502" r:id="rId21" name="Check Box 30">
              <controlPr defaultSize="0" print="0" autoFill="0" autoLine="0" autoPict="0">
                <anchor moveWithCells="1">
                  <from>
                    <xdr:col>12</xdr:col>
                    <xdr:colOff>38100</xdr:colOff>
                    <xdr:row>2</xdr:row>
                    <xdr:rowOff>106680</xdr:rowOff>
                  </from>
                  <to>
                    <xdr:col>12</xdr:col>
                    <xdr:colOff>220980</xdr:colOff>
                    <xdr:row>2</xdr:row>
                    <xdr:rowOff>259080</xdr:rowOff>
                  </to>
                </anchor>
              </controlPr>
            </control>
          </mc:Choice>
        </mc:AlternateContent>
        <mc:AlternateContent xmlns:mc="http://schemas.openxmlformats.org/markup-compatibility/2006">
          <mc:Choice Requires="x14">
            <control shapeId="105503" r:id="rId22" name="Check Box 31">
              <controlPr defaultSize="0" print="0" autoFill="0" autoLine="0" autoPict="0">
                <anchor moveWithCells="1">
                  <from>
                    <xdr:col>12</xdr:col>
                    <xdr:colOff>45720</xdr:colOff>
                    <xdr:row>3</xdr:row>
                    <xdr:rowOff>60960</xdr:rowOff>
                  </from>
                  <to>
                    <xdr:col>12</xdr:col>
                    <xdr:colOff>228600</xdr:colOff>
                    <xdr:row>3</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Title="Arbeitsgänge" error="Bitte aus Dropdownliste auswählen." xr:uid="{00000000-0002-0000-5400-000005000000}">
          <x14:formula1>
            <xm:f>'SD3'!$C$23:$C$75</xm:f>
          </x14:formula1>
          <xm:sqref>C46:D57</xm:sqref>
        </x14:dataValidation>
        <x14:dataValidation type="list" allowBlank="1" showInputMessage="1" showErrorMessage="1" errorTitle="Lohnmaschinen" error="Bitte aus Dropdownliste auswählen." xr:uid="{00000000-0002-0000-5400-000006000000}">
          <x14:formula1>
            <xm:f>'SD3'!$C$90:$C$104</xm:f>
          </x14:formula1>
          <xm:sqref>C65:E67</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Tabelle100">
    <tabColor rgb="FFFF0000"/>
    <pageSetUpPr fitToPage="1"/>
  </sheetPr>
  <dimension ref="A1:AO211"/>
  <sheetViews>
    <sheetView workbookViewId="0"/>
  </sheetViews>
  <sheetFormatPr baseColWidth="10" defaultColWidth="10.5" defaultRowHeight="13.2"/>
  <cols>
    <col min="1" max="1" width="1.5" style="1707" customWidth="1"/>
    <col min="2" max="2" width="3.19921875" style="1707" customWidth="1"/>
    <col min="3" max="3" width="13.19921875" style="1707" customWidth="1"/>
    <col min="4" max="6" width="9.19921875" style="1707" customWidth="1"/>
    <col min="7" max="7" width="9.19921875" style="35" customWidth="1"/>
    <col min="8" max="8" width="7.19921875" style="1707" customWidth="1"/>
    <col min="9" max="9" width="8" style="1707" customWidth="1"/>
    <col min="10" max="11" width="7.19921875" style="1707" customWidth="1"/>
    <col min="12" max="12" width="7.69921875" style="1707" customWidth="1"/>
    <col min="13" max="14" width="7.19921875" style="1707" customWidth="1"/>
    <col min="15" max="15" width="8" style="1707" customWidth="1"/>
    <col min="16" max="16" width="7.19921875" style="1707" customWidth="1"/>
    <col min="17" max="17" width="19.69921875" style="1707" customWidth="1"/>
    <col min="18" max="16384" width="10.5" style="1711"/>
  </cols>
  <sheetData>
    <row r="1" spans="1:41" s="219" customFormat="1" ht="30.15" customHeight="1">
      <c r="A1" s="1681"/>
      <c r="B1" s="258"/>
      <c r="C1" s="1333"/>
      <c r="D1" s="100"/>
      <c r="E1" s="255"/>
      <c r="F1" s="255"/>
      <c r="G1" s="4477" t="s">
        <v>1136</v>
      </c>
      <c r="H1" s="4477"/>
      <c r="I1" s="4477"/>
      <c r="J1" s="1332" t="e">
        <f>(J7+J13+J19+J22+I11+I12)-(J23+J27+J34+J43+J63+J59+J68+J70+J72+J76)</f>
        <v>#REF!</v>
      </c>
      <c r="K1" s="4476" t="e">
        <f>M1-J1</f>
        <v>#REF!</v>
      </c>
      <c r="L1" s="4476"/>
      <c r="M1" s="1332" t="e">
        <f>(M7+M13+M19+M22+L11+L12)-(M23+M27+M34+M43+M63+M59+M68+M70+M72+M76)</f>
        <v>#REF!</v>
      </c>
      <c r="N1" s="4476" t="e">
        <f>P1-M1</f>
        <v>#REF!</v>
      </c>
      <c r="O1" s="4476"/>
      <c r="P1" s="1332" t="e">
        <f>(P7+P13+P19+P22+O11+O12)-(P23+P27+P34+P43+P63+P59+P68+P70+P72+P76)</f>
        <v>#REF!</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1344" t="s">
        <v>1371</v>
      </c>
      <c r="G2" s="1317"/>
      <c r="H2" s="1328"/>
      <c r="K2" s="4518" t="s">
        <v>1376</v>
      </c>
      <c r="L2" s="4518"/>
      <c r="M2" s="4518"/>
      <c r="N2" s="4518"/>
      <c r="O2" s="4518"/>
      <c r="P2" s="4518"/>
      <c r="Q2" s="1681"/>
    </row>
    <row r="3" spans="1:41" s="219" customFormat="1" ht="21.75" customHeight="1">
      <c r="A3" s="1681"/>
      <c r="B3" s="1344"/>
      <c r="G3" s="1317"/>
      <c r="H3" s="1328"/>
      <c r="J3" s="4368" t="s">
        <v>886</v>
      </c>
      <c r="K3" s="4447"/>
      <c r="L3" s="4447"/>
      <c r="M3" s="1327"/>
      <c r="N3" s="4444" t="str">
        <f>IF(AND(T3=TRUE,T4=TRUE),"nur 1 Strohnutzung möglich","")</f>
        <v/>
      </c>
      <c r="O3" s="4374"/>
      <c r="P3" s="1326"/>
      <c r="Q3" s="1681"/>
      <c r="T3" s="1343" t="b">
        <v>0</v>
      </c>
      <c r="W3" s="4368" t="s">
        <v>886</v>
      </c>
      <c r="X3" s="4447"/>
      <c r="Y3" s="4447"/>
      <c r="Z3" s="1327"/>
    </row>
    <row r="4" spans="1:41" s="219" customFormat="1" ht="20.25" customHeight="1">
      <c r="A4" s="1681"/>
      <c r="B4" s="309" t="s">
        <v>779</v>
      </c>
      <c r="C4" s="1711"/>
      <c r="D4" s="1711"/>
      <c r="E4" s="4406" t="s">
        <v>1147</v>
      </c>
      <c r="F4" s="4406"/>
      <c r="G4" s="4406"/>
      <c r="H4" s="4406"/>
      <c r="I4" s="4406"/>
      <c r="J4" s="4368" t="s">
        <v>875</v>
      </c>
      <c r="K4" s="4447"/>
      <c r="L4" s="4447"/>
      <c r="M4" s="1696"/>
      <c r="N4" s="4374"/>
      <c r="O4" s="4374"/>
      <c r="P4" s="1322">
        <f>SDÖ1!O3</f>
        <v>2024</v>
      </c>
      <c r="Q4" s="1681"/>
      <c r="T4" s="1343" t="b">
        <v>0</v>
      </c>
      <c r="W4" s="4368" t="s">
        <v>875</v>
      </c>
      <c r="X4" s="4447"/>
      <c r="Y4" s="4447"/>
      <c r="Z4" s="1696"/>
    </row>
    <row r="5" spans="1:41" ht="6" customHeight="1" thickBot="1"/>
    <row r="6" spans="1:41" s="1311" customFormat="1" ht="24" customHeight="1">
      <c r="A6" s="41"/>
      <c r="B6" s="2187" t="s">
        <v>832</v>
      </c>
      <c r="C6" s="2186"/>
      <c r="D6" s="2186"/>
      <c r="E6" s="2186"/>
      <c r="F6" s="2186"/>
      <c r="G6" s="2185" t="s">
        <v>1141</v>
      </c>
      <c r="H6" s="4510"/>
      <c r="I6" s="4511"/>
      <c r="J6" s="1678">
        <v>1</v>
      </c>
      <c r="K6" s="4512"/>
      <c r="L6" s="4513"/>
      <c r="M6" s="1678">
        <v>1</v>
      </c>
      <c r="N6" s="4514"/>
      <c r="O6" s="4515"/>
      <c r="P6" s="1677">
        <f>M6*1.25</f>
        <v>1.25</v>
      </c>
      <c r="Q6" s="49"/>
      <c r="R6" s="1311" t="s">
        <v>1375</v>
      </c>
    </row>
    <row r="7" spans="1:41" s="196" customFormat="1" ht="18.75" customHeight="1">
      <c r="A7" s="40"/>
      <c r="B7" s="1676" t="s">
        <v>1133</v>
      </c>
      <c r="C7" s="40"/>
      <c r="D7" s="40"/>
      <c r="E7" s="40"/>
      <c r="F7" s="40"/>
      <c r="G7" s="1675" t="s">
        <v>163</v>
      </c>
      <c r="H7" s="1307"/>
      <c r="I7" s="1306"/>
      <c r="J7" s="1041">
        <f>SUM(I9:I10)</f>
        <v>0</v>
      </c>
      <c r="K7" s="1309"/>
      <c r="L7" s="1308"/>
      <c r="M7" s="1044">
        <f>SUM(L9:L10)</f>
        <v>0</v>
      </c>
      <c r="N7" s="1307"/>
      <c r="O7" s="1306"/>
      <c r="P7" s="1589">
        <f>SUM(O9:O10)</f>
        <v>0</v>
      </c>
      <c r="Q7" s="1707"/>
    </row>
    <row r="8" spans="1:41" s="196" customFormat="1" ht="13.2" customHeight="1">
      <c r="A8" s="40"/>
      <c r="B8" s="1665"/>
      <c r="C8" s="1305"/>
      <c r="D8" s="1305"/>
      <c r="E8" s="1305"/>
      <c r="F8" s="1305"/>
      <c r="G8" s="1585" t="s">
        <v>220</v>
      </c>
      <c r="H8" s="1655" t="s">
        <v>164</v>
      </c>
      <c r="I8" s="1581" t="s">
        <v>163</v>
      </c>
      <c r="J8" s="1026"/>
      <c r="K8" s="1657" t="s">
        <v>164</v>
      </c>
      <c r="L8" s="1583" t="s">
        <v>163</v>
      </c>
      <c r="M8" s="1227"/>
      <c r="N8" s="1655" t="s">
        <v>164</v>
      </c>
      <c r="O8" s="1581" t="s">
        <v>163</v>
      </c>
      <c r="P8" s="1580"/>
      <c r="Q8" s="1707"/>
    </row>
    <row r="9" spans="1:41" s="196" customFormat="1" ht="16.5" customHeight="1">
      <c r="A9" s="40"/>
      <c r="B9" s="1591"/>
      <c r="C9" s="39" t="s">
        <v>1132</v>
      </c>
      <c r="D9" s="40"/>
      <c r="E9" s="40"/>
      <c r="F9" s="40"/>
      <c r="G9" s="1221"/>
      <c r="H9" s="1303">
        <f>J6-H10</f>
        <v>0.75</v>
      </c>
      <c r="I9" s="1299">
        <f>H9*G9</f>
        <v>0</v>
      </c>
      <c r="J9" s="37"/>
      <c r="K9" s="1302">
        <f>M6-K10</f>
        <v>0.75</v>
      </c>
      <c r="L9" s="1301">
        <f>K9*G9</f>
        <v>0</v>
      </c>
      <c r="M9" s="1280"/>
      <c r="N9" s="1300">
        <f>P6-N10</f>
        <v>0.9375</v>
      </c>
      <c r="O9" s="1299">
        <f>N9*G9</f>
        <v>0</v>
      </c>
      <c r="P9" s="216"/>
      <c r="Q9" s="1707"/>
      <c r="R9" s="517"/>
      <c r="S9" s="208" t="s">
        <v>887</v>
      </c>
      <c r="T9" s="1298"/>
    </row>
    <row r="10" spans="1:41" s="1268" customFormat="1" ht="15" customHeight="1">
      <c r="A10" s="309"/>
      <c r="B10" s="1492"/>
      <c r="C10" s="223" t="s">
        <v>1131</v>
      </c>
      <c r="D10" s="1277"/>
      <c r="E10" s="4508" t="s">
        <v>1151</v>
      </c>
      <c r="F10" s="4509"/>
      <c r="G10" s="1297"/>
      <c r="H10" s="1292">
        <f>J6*0.25</f>
        <v>0.25</v>
      </c>
      <c r="I10" s="1291">
        <f>H10*G10</f>
        <v>0</v>
      </c>
      <c r="K10" s="1295">
        <f>M6*25%</f>
        <v>0.25</v>
      </c>
      <c r="L10" s="1294">
        <f>K10*G10</f>
        <v>0</v>
      </c>
      <c r="M10" s="1293"/>
      <c r="N10" s="1292">
        <f>P6*25%</f>
        <v>0.3125</v>
      </c>
      <c r="O10" s="1291">
        <f>N10*G10</f>
        <v>0</v>
      </c>
      <c r="P10" s="1674"/>
      <c r="Q10" s="34"/>
      <c r="R10" s="1289">
        <f>I10+I11+I12</f>
        <v>0</v>
      </c>
      <c r="S10" s="1288">
        <f>L10+L11+L12</f>
        <v>0</v>
      </c>
      <c r="T10" s="1287">
        <f>O10+O11+O12</f>
        <v>0</v>
      </c>
      <c r="W10" s="196" t="s">
        <v>879</v>
      </c>
    </row>
    <row r="11" spans="1:41" s="1268" customFormat="1" ht="15" customHeight="1">
      <c r="A11" s="309"/>
      <c r="B11" s="218"/>
      <c r="C11" s="39" t="s">
        <v>878</v>
      </c>
      <c r="D11" s="309"/>
      <c r="E11" s="1673">
        <v>0</v>
      </c>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216"/>
      <c r="Q11" s="34"/>
      <c r="W11" s="1268" t="s">
        <v>876</v>
      </c>
    </row>
    <row r="12" spans="1:41" s="1268" customFormat="1" ht="15" customHeight="1">
      <c r="A12" s="309"/>
      <c r="B12" s="1492"/>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216"/>
      <c r="Q12" s="34"/>
    </row>
    <row r="13" spans="1:41" s="196" customFormat="1" ht="18.75" customHeight="1">
      <c r="A13" s="40"/>
      <c r="B13" s="1591" t="s">
        <v>1130</v>
      </c>
      <c r="C13" s="40"/>
      <c r="D13" s="1672"/>
      <c r="E13" s="1672"/>
      <c r="F13" s="1672"/>
      <c r="G13" s="1671" t="s">
        <v>163</v>
      </c>
      <c r="H13" s="1351"/>
      <c r="I13" s="1249"/>
      <c r="J13" s="1041" t="e">
        <f>SUM(I14:I18)</f>
        <v>#REF!</v>
      </c>
      <c r="K13" s="1352"/>
      <c r="L13" s="1251"/>
      <c r="M13" s="1044" t="e">
        <f>SUM(L14:L18)</f>
        <v>#REF!</v>
      </c>
      <c r="N13" s="1351"/>
      <c r="O13" s="1249"/>
      <c r="P13" s="1589" t="e">
        <f>SUM(O14:O18)</f>
        <v>#REF!</v>
      </c>
      <c r="Q13" s="1707"/>
      <c r="R13" s="100"/>
      <c r="W13" s="1266" t="s">
        <v>872</v>
      </c>
      <c r="X13" s="1264" t="str">
        <f>IF(OR(T3=TRUE,T4=TRUE),J6*$E$11,"0")</f>
        <v>0</v>
      </c>
      <c r="Y13" s="1265" t="str">
        <f>IF(OR(T3=TRUE,T4=TRUE),M6*$E$11,"0")</f>
        <v>0</v>
      </c>
      <c r="Z13" s="1264" t="str">
        <f>IF(OR(T3=TRUE,T4=TRUE),P6*$E$11,"0")</f>
        <v>0</v>
      </c>
    </row>
    <row r="14" spans="1:41" s="36" customFormat="1" ht="15" customHeight="1">
      <c r="A14" s="39"/>
      <c r="B14" s="1669"/>
      <c r="C14" s="4484" t="s">
        <v>1029</v>
      </c>
      <c r="D14" s="4484"/>
      <c r="E14" s="4484"/>
      <c r="F14" s="4484"/>
      <c r="G14" s="1263"/>
      <c r="H14" s="1705"/>
      <c r="I14" s="1243" t="e">
        <f>IF(R14=TRUE,Q14,0)</f>
        <v>#REF!</v>
      </c>
      <c r="K14" s="1705"/>
      <c r="L14" s="1098" t="e">
        <f>IF(S14=TRUE,Q14,0)</f>
        <v>#REF!</v>
      </c>
      <c r="M14" s="1578"/>
      <c r="N14" s="1705"/>
      <c r="O14" s="1243" t="e">
        <f>IF(T14=TRUE,Q14,0)</f>
        <v>#REF!</v>
      </c>
      <c r="P14" s="1577"/>
      <c r="Q14" s="1261" t="e">
        <f>IF(C14=0,0,VLOOKUP(C14,#REF!,10,FALSE))</f>
        <v>#REF!</v>
      </c>
      <c r="R14" s="1350" t="b">
        <v>1</v>
      </c>
      <c r="S14" s="1349" t="b">
        <v>1</v>
      </c>
      <c r="T14" s="1348" t="b">
        <v>1</v>
      </c>
      <c r="W14" s="36" t="s">
        <v>236</v>
      </c>
      <c r="X14" s="1260">
        <f>$X$13*F30</f>
        <v>0</v>
      </c>
      <c r="Y14" s="1260">
        <f>$Y$13*F30</f>
        <v>0</v>
      </c>
      <c r="Z14" s="1260">
        <f>$Z$13*F30</f>
        <v>0</v>
      </c>
    </row>
    <row r="15" spans="1:41" s="36" customFormat="1" ht="15" customHeight="1">
      <c r="A15" s="39"/>
      <c r="B15" s="1669"/>
      <c r="C15" s="4484"/>
      <c r="D15" s="4484"/>
      <c r="E15" s="4484"/>
      <c r="F15" s="4484"/>
      <c r="G15" s="1263"/>
      <c r="H15" s="1705"/>
      <c r="I15" s="1243">
        <f>IF(R15=TRUE,Q15,0)</f>
        <v>0</v>
      </c>
      <c r="J15" s="45"/>
      <c r="K15" s="1705"/>
      <c r="L15" s="1098">
        <f>IF(S15=TRUE,Q15,0)</f>
        <v>0</v>
      </c>
      <c r="M15" s="1578"/>
      <c r="N15" s="1705"/>
      <c r="O15" s="1243">
        <f>IF(T15=TRUE,Q15,0)</f>
        <v>0</v>
      </c>
      <c r="P15" s="1577"/>
      <c r="Q15" s="1261">
        <f>IF(C15=0,0,VLOOKUP(C15,#REF!,10,FALSE))</f>
        <v>0</v>
      </c>
      <c r="R15" s="1347" t="b">
        <v>0</v>
      </c>
      <c r="S15" s="1343" t="b">
        <v>0</v>
      </c>
      <c r="T15" s="1346" t="b">
        <v>0</v>
      </c>
      <c r="W15" s="36" t="s">
        <v>685</v>
      </c>
      <c r="X15" s="1260">
        <f>$X$13*F31</f>
        <v>0</v>
      </c>
      <c r="Y15" s="1260">
        <f>$Y$13*F31</f>
        <v>0</v>
      </c>
      <c r="Z15" s="1260">
        <f>$Z$13*F31</f>
        <v>0</v>
      </c>
    </row>
    <row r="16" spans="1:41" s="36" customFormat="1" ht="15" customHeight="1">
      <c r="A16" s="39"/>
      <c r="B16" s="1669">
        <v>0</v>
      </c>
      <c r="C16" s="4484">
        <v>0</v>
      </c>
      <c r="D16" s="4484"/>
      <c r="E16" s="4484"/>
      <c r="F16" s="4484"/>
      <c r="G16" s="1263"/>
      <c r="H16" s="1705"/>
      <c r="I16" s="1243">
        <f>IF(R16=TRUE,Q16,0)</f>
        <v>0</v>
      </c>
      <c r="K16" s="1705"/>
      <c r="L16" s="1098">
        <f>IF(S16=TRUE,Q16,0)</f>
        <v>0</v>
      </c>
      <c r="M16" s="1578"/>
      <c r="N16" s="1705"/>
      <c r="O16" s="1243">
        <f>IF(T16=TRUE,Q16,0)</f>
        <v>0</v>
      </c>
      <c r="P16" s="1577"/>
      <c r="Q16" s="1261">
        <f>IF(C16=0,0,VLOOKUP(C16,#REF!,10,FALSE))</f>
        <v>0</v>
      </c>
      <c r="R16" s="1347" t="b">
        <v>0</v>
      </c>
      <c r="S16" s="1343" t="b">
        <v>0</v>
      </c>
      <c r="T16" s="1346" t="b">
        <v>0</v>
      </c>
      <c r="W16" s="36" t="s">
        <v>684</v>
      </c>
      <c r="X16" s="1260">
        <f>$X$13*F32</f>
        <v>0</v>
      </c>
      <c r="Y16" s="1260">
        <f>$Y$13*F32</f>
        <v>0</v>
      </c>
      <c r="Z16" s="1260">
        <f>$Z$13*F32</f>
        <v>0</v>
      </c>
    </row>
    <row r="17" spans="1:26" s="36" customFormat="1" ht="15" customHeight="1">
      <c r="A17" s="39"/>
      <c r="B17" s="1669"/>
      <c r="C17" s="4484">
        <v>0</v>
      </c>
      <c r="D17" s="4484"/>
      <c r="E17" s="4484"/>
      <c r="F17" s="4484"/>
      <c r="G17" s="1263"/>
      <c r="H17" s="1705"/>
      <c r="I17" s="1243">
        <f>IF(R17=TRUE,Q17,0)</f>
        <v>0</v>
      </c>
      <c r="K17" s="1705"/>
      <c r="L17" s="1098">
        <f>IF(S17=TRUE,Q17,0)</f>
        <v>0</v>
      </c>
      <c r="M17" s="1578"/>
      <c r="N17" s="1705"/>
      <c r="O17" s="1243">
        <f>IF(T17=TRUE,Q17,0)</f>
        <v>0</v>
      </c>
      <c r="P17" s="1577"/>
      <c r="Q17" s="1261">
        <f>IF(C17=0,0,VLOOKUP(C17,#REF!,10,FALSE))</f>
        <v>0</v>
      </c>
      <c r="R17" s="1347" t="b">
        <v>0</v>
      </c>
      <c r="S17" s="1343" t="b">
        <v>0</v>
      </c>
      <c r="T17" s="1346" t="b">
        <v>0</v>
      </c>
      <c r="W17" s="36" t="s">
        <v>230</v>
      </c>
      <c r="X17" s="1260">
        <f>$X$13*F33</f>
        <v>0</v>
      </c>
      <c r="Y17" s="1260">
        <f>$Y$13*F33</f>
        <v>0</v>
      </c>
      <c r="Z17" s="1260">
        <f>$Z$13*F33</f>
        <v>0</v>
      </c>
    </row>
    <row r="18" spans="1:26" s="36" customFormat="1" ht="15" customHeight="1">
      <c r="A18" s="39"/>
      <c r="B18" s="1603"/>
      <c r="C18" s="1259"/>
      <c r="D18" s="223"/>
      <c r="E18" s="223"/>
      <c r="F18" s="223"/>
      <c r="G18" s="1238"/>
      <c r="H18" s="1255"/>
      <c r="I18" s="1258">
        <f>IF($R18=TRUE,IF(G18=0,0,LOOKUP($G$18,#REF!)),0)</f>
        <v>0</v>
      </c>
      <c r="J18" s="223"/>
      <c r="K18" s="1255"/>
      <c r="L18" s="1257">
        <f>IF($S18=TRUE,IF(G18=0,0,LOOKUP($G$18,#REF!)),0)</f>
        <v>0</v>
      </c>
      <c r="M18" s="1256"/>
      <c r="N18" s="1255"/>
      <c r="O18" s="1254">
        <f>IF($T18=TRUE,IF(G18=0,0,LOOKUP($G$18,#REF!)),0)</f>
        <v>0</v>
      </c>
      <c r="P18" s="2184"/>
      <c r="Q18" s="1261">
        <f>IF(C18=0,0,VLOOKUP(C18,#REF!,10,FALSE))</f>
        <v>0</v>
      </c>
      <c r="R18" s="2183" t="b">
        <v>0</v>
      </c>
      <c r="S18" s="2182" t="b">
        <v>0</v>
      </c>
      <c r="T18" s="1319" t="b">
        <v>0</v>
      </c>
    </row>
    <row r="19" spans="1:26" s="1706" customFormat="1" ht="18.75" customHeight="1">
      <c r="A19" s="40"/>
      <c r="B19" s="1591" t="s">
        <v>1129</v>
      </c>
      <c r="C19" s="40"/>
      <c r="D19" s="40"/>
      <c r="E19" s="40"/>
      <c r="F19" s="40"/>
      <c r="G19" s="175" t="s">
        <v>163</v>
      </c>
      <c r="H19" s="1250"/>
      <c r="I19" s="1249"/>
      <c r="J19" s="1041" t="e">
        <f>SUM(I20:I21)</f>
        <v>#REF!</v>
      </c>
      <c r="K19" s="1252"/>
      <c r="L19" s="1251"/>
      <c r="M19" s="1044" t="e">
        <f>SUM(L20:L21)</f>
        <v>#REF!</v>
      </c>
      <c r="N19" s="1250"/>
      <c r="O19" s="1249"/>
      <c r="P19" s="1589" t="e">
        <f>SUM(O20:O21)</f>
        <v>#REF!</v>
      </c>
      <c r="Q19" s="1707"/>
      <c r="R19" s="514" t="s">
        <v>870</v>
      </c>
      <c r="S19" s="308"/>
      <c r="T19" s="1248"/>
    </row>
    <row r="20" spans="1:26" s="36" customFormat="1" ht="15" customHeight="1">
      <c r="A20" s="39"/>
      <c r="B20" s="1669"/>
      <c r="C20" s="4484" t="s">
        <v>276</v>
      </c>
      <c r="D20" s="4484"/>
      <c r="E20" s="4484"/>
      <c r="F20" s="4484"/>
      <c r="G20" s="1246"/>
      <c r="H20" s="1244"/>
      <c r="I20" s="1243" t="e">
        <f>IF(OR($C20=0,$J$6=0),0,VLOOKUP($C20,#REF!,10,FALSE))</f>
        <v>#REF!</v>
      </c>
      <c r="K20" s="1245"/>
      <c r="L20" s="1098" t="e">
        <f>IF($C20=0,0,VLOOKUP($C20,#REF!,10,FALSE))</f>
        <v>#REF!</v>
      </c>
      <c r="M20" s="1578"/>
      <c r="N20" s="1244"/>
      <c r="O20" s="1243" t="e">
        <f>IF(OR($C20=0,$P$6=0),0,VLOOKUP($C20,#REF!,10,FALSE))</f>
        <v>#REF!</v>
      </c>
      <c r="P20" s="1577"/>
      <c r="Q20" s="1707"/>
      <c r="R20" s="1242" t="e">
        <f>J13+J19</f>
        <v>#REF!</v>
      </c>
      <c r="S20" s="1241" t="e">
        <f>M13+M19</f>
        <v>#REF!</v>
      </c>
      <c r="T20" s="1240" t="e">
        <f>P13+P19</f>
        <v>#REF!</v>
      </c>
    </row>
    <row r="21" spans="1:26" s="36" customFormat="1" ht="0.75" customHeight="1">
      <c r="A21" s="39"/>
      <c r="B21" s="1668"/>
      <c r="C21" s="4501"/>
      <c r="D21" s="4501"/>
      <c r="E21" s="4501"/>
      <c r="F21" s="4501"/>
      <c r="G21" s="1238"/>
      <c r="H21" s="1236"/>
      <c r="I21" s="1235">
        <f>IF(OR($C21=0,$J$6=0),0,VLOOKUP($C21,#REF!,10,FALSE))</f>
        <v>0</v>
      </c>
      <c r="K21" s="1237"/>
      <c r="L21" s="1080">
        <f>IF(OR($C21=0,$M$6=0),0,VLOOKUP($C21,#REF!,10,FALSE))</f>
        <v>0</v>
      </c>
      <c r="M21" s="1578"/>
      <c r="N21" s="1236"/>
      <c r="O21" s="1235">
        <f>IF(OR($C21=0,$P$6=0),0,VLOOKUP($C21,#REF!,10,FALSE))</f>
        <v>0</v>
      </c>
      <c r="P21" s="1601"/>
      <c r="Q21" s="1707"/>
    </row>
    <row r="22" spans="1:26" ht="16.5" customHeight="1">
      <c r="A22" s="309"/>
      <c r="B22" s="1591" t="s">
        <v>610</v>
      </c>
      <c r="C22" s="39"/>
      <c r="D22" s="4502"/>
      <c r="E22" s="4502"/>
      <c r="F22" s="4502"/>
      <c r="G22" s="4503"/>
      <c r="H22" s="1231"/>
      <c r="I22" s="1230"/>
      <c r="J22" s="1229"/>
      <c r="K22" s="1233"/>
      <c r="L22" s="1232"/>
      <c r="M22" s="1229"/>
      <c r="N22" s="1231"/>
      <c r="O22" s="1230"/>
      <c r="P22" s="1667"/>
      <c r="R22" s="1707"/>
      <c r="S22" s="1707"/>
      <c r="T22" s="1707"/>
    </row>
    <row r="23" spans="1:26" ht="18.75" customHeight="1">
      <c r="A23" s="309"/>
      <c r="B23" s="1666" t="s">
        <v>214</v>
      </c>
      <c r="C23" s="1228"/>
      <c r="D23" s="1228"/>
      <c r="G23" s="1650" t="s">
        <v>163</v>
      </c>
      <c r="H23" s="1043"/>
      <c r="I23" s="1042"/>
      <c r="J23" s="1026">
        <f>SUM(I25:I26)</f>
        <v>0</v>
      </c>
      <c r="K23" s="1046"/>
      <c r="L23" s="1045"/>
      <c r="M23" s="1227">
        <f>SUM(L25:L26)</f>
        <v>0</v>
      </c>
      <c r="N23" s="1043"/>
      <c r="O23" s="1042"/>
      <c r="P23" s="1580">
        <f>SUM(O25:O26)</f>
        <v>0</v>
      </c>
    </row>
    <row r="24" spans="1:26" ht="13.2" customHeight="1">
      <c r="A24" s="309"/>
      <c r="B24" s="1665"/>
      <c r="C24" s="1039" t="s">
        <v>837</v>
      </c>
      <c r="D24" s="1110">
        <f>SDÖ1!$O$10</f>
        <v>0</v>
      </c>
      <c r="E24" s="1664"/>
      <c r="F24" s="1585" t="s">
        <v>239</v>
      </c>
      <c r="G24" s="1608" t="s">
        <v>836</v>
      </c>
      <c r="H24" s="1655" t="s">
        <v>857</v>
      </c>
      <c r="I24" s="1581" t="s">
        <v>163</v>
      </c>
      <c r="J24" s="1663"/>
      <c r="K24" s="1657" t="s">
        <v>857</v>
      </c>
      <c r="L24" s="1583" t="s">
        <v>163</v>
      </c>
      <c r="M24" s="1662"/>
      <c r="N24" s="1655" t="s">
        <v>857</v>
      </c>
      <c r="O24" s="1581" t="s">
        <v>163</v>
      </c>
      <c r="P24" s="1645"/>
    </row>
    <row r="25" spans="1:26" s="36" customFormat="1" ht="15" customHeight="1">
      <c r="A25" s="746"/>
      <c r="B25" s="1661"/>
      <c r="C25" s="746" t="s">
        <v>866</v>
      </c>
      <c r="D25" s="4383"/>
      <c r="E25" s="4384"/>
      <c r="F25" s="1222"/>
      <c r="G25" s="1221">
        <f>F25*(100+$D$24)/100</f>
        <v>0</v>
      </c>
      <c r="H25" s="1220"/>
      <c r="I25" s="1181">
        <f>H25*$G25</f>
        <v>0</v>
      </c>
      <c r="K25" s="1220"/>
      <c r="L25" s="1023">
        <f>K25*$G25</f>
        <v>0</v>
      </c>
      <c r="M25" s="1578"/>
      <c r="N25" s="1220"/>
      <c r="O25" s="1181">
        <f>N25*$G25</f>
        <v>0</v>
      </c>
      <c r="P25" s="1623"/>
      <c r="Q25" s="1707"/>
    </row>
    <row r="26" spans="1:26" s="36" customFormat="1" ht="15" customHeight="1">
      <c r="A26" s="746"/>
      <c r="B26" s="1593"/>
      <c r="C26" s="1682" t="s">
        <v>183</v>
      </c>
      <c r="D26" s="4385"/>
      <c r="E26" s="4386"/>
      <c r="F26" s="1218"/>
      <c r="G26" s="1217">
        <f>F26*(100+$D$24)/100</f>
        <v>0</v>
      </c>
      <c r="H26" s="1216"/>
      <c r="I26" s="1177">
        <f>H26*$G26</f>
        <v>0</v>
      </c>
      <c r="K26" s="1216"/>
      <c r="L26" s="1017">
        <f>K26*$G26</f>
        <v>0</v>
      </c>
      <c r="M26" s="1578"/>
      <c r="N26" s="1216"/>
      <c r="O26" s="1177">
        <f>N26*$G26</f>
        <v>0</v>
      </c>
      <c r="P26" s="1640"/>
      <c r="Q26" s="1707"/>
    </row>
    <row r="27" spans="1:26" s="1706" customFormat="1" ht="18.75" customHeight="1">
      <c r="A27" s="711"/>
      <c r="B27" s="1639" t="s">
        <v>213</v>
      </c>
      <c r="C27" s="711"/>
      <c r="D27" s="1660" t="str">
        <f>IF(SDÖ1!V17=FALSE,"(Nährstoffabfuhr nicht bewertet)","(Nährstoffabfuhr bewertet)")</f>
        <v>(Nährstoffabfuhr nicht bewertet)</v>
      </c>
      <c r="E27" s="1707"/>
      <c r="F27" s="1707"/>
      <c r="G27" s="1650" t="s">
        <v>163</v>
      </c>
      <c r="H27" s="1173"/>
      <c r="I27" s="1172"/>
      <c r="J27" s="1041">
        <f>SUM(I30:I33)</f>
        <v>0</v>
      </c>
      <c r="K27" s="1175"/>
      <c r="L27" s="1174"/>
      <c r="M27" s="1044">
        <f>SUM(L30:L33)</f>
        <v>0</v>
      </c>
      <c r="N27" s="1173"/>
      <c r="O27" s="1172"/>
      <c r="P27" s="1589">
        <f>SUM(O30:O33)</f>
        <v>0</v>
      </c>
      <c r="Q27" s="1707"/>
    </row>
    <row r="28" spans="1:26" s="1706" customFormat="1" ht="13.65" customHeight="1">
      <c r="A28" s="711"/>
      <c r="B28" s="1633"/>
      <c r="C28" s="1709"/>
      <c r="D28" s="1213" t="s">
        <v>706</v>
      </c>
      <c r="E28" s="1213" t="s">
        <v>864</v>
      </c>
      <c r="F28" s="1213" t="s">
        <v>864</v>
      </c>
      <c r="G28" s="1212" t="s">
        <v>863</v>
      </c>
      <c r="H28" s="1172"/>
      <c r="I28" s="1209"/>
      <c r="J28" s="1710"/>
      <c r="K28" s="1175"/>
      <c r="L28" s="1105"/>
      <c r="M28" s="1210"/>
      <c r="N28" s="1173"/>
      <c r="O28" s="1209"/>
      <c r="P28" s="1580"/>
      <c r="Q28" s="1707"/>
    </row>
    <row r="29" spans="1:26" s="1706" customFormat="1" ht="15" customHeight="1">
      <c r="A29" s="711"/>
      <c r="B29" s="1659"/>
      <c r="C29" s="747" t="s">
        <v>862</v>
      </c>
      <c r="D29" s="1586" t="s">
        <v>611</v>
      </c>
      <c r="E29" s="1586" t="s">
        <v>861</v>
      </c>
      <c r="F29" s="1586" t="s">
        <v>860</v>
      </c>
      <c r="G29" s="1586" t="s">
        <v>612</v>
      </c>
      <c r="H29" s="1655" t="s">
        <v>612</v>
      </c>
      <c r="I29" s="1581" t="s">
        <v>163</v>
      </c>
      <c r="J29" s="1658"/>
      <c r="K29" s="1657" t="s">
        <v>612</v>
      </c>
      <c r="L29" s="1583" t="s">
        <v>163</v>
      </c>
      <c r="M29" s="1656"/>
      <c r="N29" s="1655" t="s">
        <v>612</v>
      </c>
      <c r="O29" s="1581" t="s">
        <v>163</v>
      </c>
      <c r="P29" s="1654"/>
      <c r="Q29" s="1707"/>
    </row>
    <row r="30" spans="1:26" s="36" customFormat="1" ht="15" customHeight="1">
      <c r="A30" s="746"/>
      <c r="B30" s="1653"/>
      <c r="C30" s="1202" t="s">
        <v>236</v>
      </c>
      <c r="D30" s="1150">
        <f>IF(SDÖ1!$V$17=TRUE,SDÖ1!O56,0)</f>
        <v>0</v>
      </c>
      <c r="E30" s="1652"/>
      <c r="F30" s="1652"/>
      <c r="G30" s="1200"/>
      <c r="H30" s="1198">
        <f>IF(J$6=0,0,(J$6*$E30+$G30+X14))</f>
        <v>0</v>
      </c>
      <c r="I30" s="1181">
        <f>H30*$D30</f>
        <v>0</v>
      </c>
      <c r="K30" s="1199">
        <f>IF(M$6=0,0,(M$6*$E30+$G30+Y14))</f>
        <v>0</v>
      </c>
      <c r="L30" s="1023">
        <f>K30*$D30</f>
        <v>0</v>
      </c>
      <c r="M30" s="1578"/>
      <c r="N30" s="1198">
        <f>IF(P$6=0,0,(P$6*$E30+$G30+Z14))</f>
        <v>0</v>
      </c>
      <c r="O30" s="1181">
        <f>N30*$D30</f>
        <v>0</v>
      </c>
      <c r="P30" s="1623"/>
      <c r="Q30" s="1707"/>
    </row>
    <row r="31" spans="1:26" s="36" customFormat="1" ht="15" customHeight="1">
      <c r="A31" s="746"/>
      <c r="B31" s="218"/>
      <c r="C31" s="746" t="s">
        <v>234</v>
      </c>
      <c r="D31" s="1150">
        <f>IF(SDÖ1!$V$17=TRUE,SDÖ1!O57,0)</f>
        <v>0</v>
      </c>
      <c r="E31" s="1652"/>
      <c r="F31" s="1652"/>
      <c r="G31" s="1200"/>
      <c r="H31" s="1198">
        <f>IF(J$6=0,0,(J$6*$E31+$G31+X15))</f>
        <v>0</v>
      </c>
      <c r="I31" s="1181">
        <f>H31*$D31</f>
        <v>0</v>
      </c>
      <c r="K31" s="1199">
        <f>IF(M$6=0,0,(M$6*$E31+$G31+Y15))</f>
        <v>0</v>
      </c>
      <c r="L31" s="1023">
        <f>K31*$D31</f>
        <v>0</v>
      </c>
      <c r="M31" s="1578"/>
      <c r="N31" s="1198">
        <f>IF(P$6=0,0,(P$6*$E31+$G31+Z15))</f>
        <v>0</v>
      </c>
      <c r="O31" s="1181">
        <f>N31*$D31</f>
        <v>0</v>
      </c>
      <c r="P31" s="1623"/>
      <c r="Q31" s="1707"/>
    </row>
    <row r="32" spans="1:26" s="36" customFormat="1" ht="15" customHeight="1">
      <c r="A32" s="746"/>
      <c r="B32" s="218"/>
      <c r="C32" s="746" t="s">
        <v>232</v>
      </c>
      <c r="D32" s="1150">
        <f>IF(SDÖ1!$V$17=TRUE,SDÖ1!O58,0)</f>
        <v>0</v>
      </c>
      <c r="E32" s="1652"/>
      <c r="F32" s="1652"/>
      <c r="G32" s="1200"/>
      <c r="H32" s="1198">
        <f>IF(J$6=0,0,(J$6*$E32+$G32+X16))</f>
        <v>0</v>
      </c>
      <c r="I32" s="1181">
        <f>H32*$D32</f>
        <v>0</v>
      </c>
      <c r="K32" s="1199">
        <f>IF(M$6=0,0,(M$6*$E32+$G32+Y16))</f>
        <v>0</v>
      </c>
      <c r="L32" s="1023">
        <f>K32*$D32</f>
        <v>0</v>
      </c>
      <c r="M32" s="1578"/>
      <c r="N32" s="1198">
        <f>IF(P$6=0,0,(P$6*$E32+$G32+Z16))</f>
        <v>0</v>
      </c>
      <c r="O32" s="1181">
        <f>N32*$D32</f>
        <v>0</v>
      </c>
      <c r="P32" s="1623"/>
      <c r="Q32" s="1707"/>
    </row>
    <row r="33" spans="1:17" s="36" customFormat="1" ht="15" customHeight="1">
      <c r="A33" s="746"/>
      <c r="B33" s="1492"/>
      <c r="C33" s="771" t="s">
        <v>230</v>
      </c>
      <c r="D33" s="1133">
        <f>IF(SDÖ1!$V$17=TRUE,SDÖ1!P59,0)</f>
        <v>0</v>
      </c>
      <c r="E33" s="1651"/>
      <c r="F33" s="1651"/>
      <c r="G33" s="1196"/>
      <c r="H33" s="1194">
        <f>IF(J$6=0,0,(J$6*$E33+$G33+X17))</f>
        <v>0</v>
      </c>
      <c r="I33" s="1177">
        <f>H33*$D33</f>
        <v>0</v>
      </c>
      <c r="K33" s="1195">
        <f>IF(M$6=0,0,(M$6*$E33+$G33+Y17))</f>
        <v>0</v>
      </c>
      <c r="L33" s="1017">
        <f>K33*$D33</f>
        <v>0</v>
      </c>
      <c r="M33" s="1578"/>
      <c r="N33" s="1194">
        <f>IF(P$6=0,0,(P$6*$E33+$G33+Z17))</f>
        <v>0</v>
      </c>
      <c r="O33" s="1177">
        <f>N33*$D33</f>
        <v>0</v>
      </c>
      <c r="P33" s="1640"/>
      <c r="Q33" s="1707"/>
    </row>
    <row r="34" spans="1:17" s="1706" customFormat="1" ht="18.75" customHeight="1">
      <c r="A34" s="711"/>
      <c r="B34" s="1594" t="s">
        <v>212</v>
      </c>
      <c r="C34" s="711"/>
      <c r="G34" s="1650" t="s">
        <v>163</v>
      </c>
      <c r="H34" s="1191"/>
      <c r="I34" s="1190"/>
      <c r="J34" s="1041">
        <f>SUM(I36:I42)</f>
        <v>0</v>
      </c>
      <c r="K34" s="1193"/>
      <c r="L34" s="1192"/>
      <c r="M34" s="1044">
        <f>SUM(L36:L42)</f>
        <v>0</v>
      </c>
      <c r="N34" s="1191"/>
      <c r="O34" s="1190"/>
      <c r="P34" s="1589">
        <f>SUM(O36:O42)</f>
        <v>0</v>
      </c>
      <c r="Q34" s="1707"/>
    </row>
    <row r="35" spans="1:17" s="1706" customFormat="1" ht="13.2" customHeight="1">
      <c r="A35" s="711"/>
      <c r="B35" s="1588"/>
      <c r="C35" s="1039" t="s">
        <v>837</v>
      </c>
      <c r="D35" s="1110">
        <f>SDÖ1!$O$11</f>
        <v>0</v>
      </c>
      <c r="E35" s="1587"/>
      <c r="F35" s="1585" t="s">
        <v>239</v>
      </c>
      <c r="G35" s="1608" t="s">
        <v>836</v>
      </c>
      <c r="H35" s="1646" t="s">
        <v>857</v>
      </c>
      <c r="I35" s="1581" t="s">
        <v>163</v>
      </c>
      <c r="J35" s="1649"/>
      <c r="K35" s="1648" t="s">
        <v>857</v>
      </c>
      <c r="L35" s="1583" t="s">
        <v>163</v>
      </c>
      <c r="M35" s="1647"/>
      <c r="N35" s="1646" t="s">
        <v>857</v>
      </c>
      <c r="O35" s="1581" t="s">
        <v>163</v>
      </c>
      <c r="P35" s="1580"/>
      <c r="Q35" s="1707"/>
    </row>
    <row r="36" spans="1:17" s="36" customFormat="1" ht="15" customHeight="1">
      <c r="A36" s="746"/>
      <c r="B36" s="1579"/>
      <c r="C36" s="4490"/>
      <c r="D36" s="4490"/>
      <c r="E36" s="4491"/>
      <c r="F36" s="1183">
        <f>IF(C36=0,0,VLOOKUP(C36,SDÖ5!$C$7:$D$16,2,FALSE))</f>
        <v>0</v>
      </c>
      <c r="G36" s="1183">
        <f t="shared" ref="G36:G42" si="0">F36*(100+$D$35)/100</f>
        <v>0</v>
      </c>
      <c r="H36" s="1643"/>
      <c r="I36" s="1181">
        <f t="shared" ref="I36:I42" si="1">$G36*H36</f>
        <v>0</v>
      </c>
      <c r="K36" s="1643"/>
      <c r="L36" s="1023">
        <f t="shared" ref="L36:L42" si="2">$G36*K36</f>
        <v>0</v>
      </c>
      <c r="M36" s="1578"/>
      <c r="N36" s="1643"/>
      <c r="O36" s="1181">
        <f t="shared" ref="O36:O42" si="3">$G36*N36</f>
        <v>0</v>
      </c>
      <c r="P36" s="1645"/>
      <c r="Q36" s="1707"/>
    </row>
    <row r="37" spans="1:17" s="36" customFormat="1" ht="15" customHeight="1">
      <c r="A37" s="746"/>
      <c r="B37" s="1579"/>
      <c r="C37" s="4488"/>
      <c r="D37" s="4488"/>
      <c r="E37" s="4489"/>
      <c r="F37" s="1183">
        <f>IF(C37=0,0,VLOOKUP(C37,SDÖ5!$C$7:$D$16,2,FALSE))</f>
        <v>0</v>
      </c>
      <c r="G37" s="1183">
        <f t="shared" si="0"/>
        <v>0</v>
      </c>
      <c r="H37" s="1643"/>
      <c r="I37" s="1181">
        <f t="shared" si="1"/>
        <v>0</v>
      </c>
      <c r="K37" s="1643"/>
      <c r="L37" s="1023">
        <f t="shared" si="2"/>
        <v>0</v>
      </c>
      <c r="M37" s="1578"/>
      <c r="N37" s="1643"/>
      <c r="O37" s="1181">
        <f t="shared" si="3"/>
        <v>0</v>
      </c>
      <c r="P37" s="1623"/>
      <c r="Q37" s="1707"/>
    </row>
    <row r="38" spans="1:17" s="36" customFormat="1" ht="15" customHeight="1">
      <c r="A38" s="746"/>
      <c r="B38" s="1644"/>
      <c r="C38" s="4488"/>
      <c r="D38" s="4488"/>
      <c r="E38" s="4489"/>
      <c r="F38" s="1183">
        <f>IF(C38=0,0,VLOOKUP(C38,SDÖ5!$C$7:$D$16,2,FALSE))</f>
        <v>0</v>
      </c>
      <c r="G38" s="1183">
        <f t="shared" si="0"/>
        <v>0</v>
      </c>
      <c r="H38" s="1643"/>
      <c r="I38" s="1181">
        <f t="shared" si="1"/>
        <v>0</v>
      </c>
      <c r="K38" s="1643"/>
      <c r="L38" s="1023">
        <f t="shared" si="2"/>
        <v>0</v>
      </c>
      <c r="M38" s="1578"/>
      <c r="N38" s="1643"/>
      <c r="O38" s="1181">
        <f t="shared" si="3"/>
        <v>0</v>
      </c>
      <c r="P38" s="1623"/>
      <c r="Q38" s="1707"/>
    </row>
    <row r="39" spans="1:17" s="36" customFormat="1" ht="15" hidden="1" customHeight="1">
      <c r="A39" s="746"/>
      <c r="B39" s="1579"/>
      <c r="C39" s="4488"/>
      <c r="D39" s="4488"/>
      <c r="E39" s="4489"/>
      <c r="F39" s="1183">
        <f>IF(C39=0,0,VLOOKUP(C39,SDÖ5!$C$7:$D$16,2,FALSE))</f>
        <v>0</v>
      </c>
      <c r="G39" s="1183">
        <f t="shared" si="0"/>
        <v>0</v>
      </c>
      <c r="H39" s="1643"/>
      <c r="I39" s="1181">
        <f t="shared" si="1"/>
        <v>0</v>
      </c>
      <c r="K39" s="1643"/>
      <c r="L39" s="1023">
        <f t="shared" si="2"/>
        <v>0</v>
      </c>
      <c r="M39" s="1578"/>
      <c r="N39" s="1643"/>
      <c r="O39" s="1181">
        <f t="shared" si="3"/>
        <v>0</v>
      </c>
      <c r="P39" s="1623"/>
      <c r="Q39" s="1707"/>
    </row>
    <row r="40" spans="1:17" s="36" customFormat="1" ht="15" hidden="1" customHeight="1">
      <c r="A40" s="746"/>
      <c r="B40" s="1579"/>
      <c r="C40" s="4488"/>
      <c r="D40" s="4488"/>
      <c r="E40" s="4489"/>
      <c r="F40" s="1183">
        <f>IF(C40=0,0,VLOOKUP(C40,SDÖ5!$C$7:$D$16,2,FALSE))</f>
        <v>0</v>
      </c>
      <c r="G40" s="1183">
        <f t="shared" si="0"/>
        <v>0</v>
      </c>
      <c r="H40" s="1643"/>
      <c r="I40" s="1181">
        <f t="shared" si="1"/>
        <v>0</v>
      </c>
      <c r="K40" s="1643"/>
      <c r="L40" s="1023">
        <f t="shared" si="2"/>
        <v>0</v>
      </c>
      <c r="M40" s="1578"/>
      <c r="N40" s="1643"/>
      <c r="O40" s="1181">
        <f t="shared" si="3"/>
        <v>0</v>
      </c>
      <c r="P40" s="1623"/>
      <c r="Q40" s="1707"/>
    </row>
    <row r="41" spans="1:17" s="36" customFormat="1" ht="15" hidden="1" customHeight="1">
      <c r="A41" s="746"/>
      <c r="B41" s="1579"/>
      <c r="C41" s="4488"/>
      <c r="D41" s="4488"/>
      <c r="E41" s="4489"/>
      <c r="F41" s="1183">
        <f>IF(C41=0,0,VLOOKUP(C41,SDÖ5!$C$7:$D$16,2,FALSE))</f>
        <v>0</v>
      </c>
      <c r="G41" s="1183">
        <f t="shared" si="0"/>
        <v>0</v>
      </c>
      <c r="H41" s="1643"/>
      <c r="I41" s="1181">
        <f t="shared" si="1"/>
        <v>0</v>
      </c>
      <c r="K41" s="1643"/>
      <c r="L41" s="1023">
        <f t="shared" si="2"/>
        <v>0</v>
      </c>
      <c r="M41" s="1578"/>
      <c r="N41" s="1643"/>
      <c r="O41" s="1181">
        <f t="shared" si="3"/>
        <v>0</v>
      </c>
      <c r="P41" s="1623"/>
      <c r="Q41" s="1707"/>
    </row>
    <row r="42" spans="1:17" s="36" customFormat="1" ht="15" hidden="1" customHeight="1">
      <c r="A42" s="746"/>
      <c r="B42" s="1642"/>
      <c r="C42" s="4492"/>
      <c r="D42" s="4492"/>
      <c r="E42" s="4493"/>
      <c r="F42" s="1179">
        <f>IF(C42=0,0,VLOOKUP(C42,SDÖ5!$C$7:$D$16,2,FALSE))</f>
        <v>0</v>
      </c>
      <c r="G42" s="1179">
        <f t="shared" si="0"/>
        <v>0</v>
      </c>
      <c r="H42" s="1641"/>
      <c r="I42" s="1177">
        <f t="shared" si="1"/>
        <v>0</v>
      </c>
      <c r="K42" s="1641"/>
      <c r="L42" s="1017">
        <f t="shared" si="2"/>
        <v>0</v>
      </c>
      <c r="M42" s="1578"/>
      <c r="N42" s="1641"/>
      <c r="O42" s="1177">
        <f t="shared" si="3"/>
        <v>0</v>
      </c>
      <c r="P42" s="1640"/>
      <c r="Q42" s="1707"/>
    </row>
    <row r="43" spans="1:17" s="1706" customFormat="1" ht="18.75" customHeight="1">
      <c r="A43" s="711"/>
      <c r="B43" s="1639" t="s">
        <v>1126</v>
      </c>
      <c r="C43" s="814"/>
      <c r="D43" s="814"/>
      <c r="E43" s="814"/>
      <c r="F43" s="814"/>
      <c r="G43" s="1638" t="s">
        <v>163</v>
      </c>
      <c r="H43" s="1635"/>
      <c r="I43" s="1634"/>
      <c r="J43" s="1041">
        <f>SUM(J46:J57)</f>
        <v>0</v>
      </c>
      <c r="K43" s="1637"/>
      <c r="L43" s="1636"/>
      <c r="M43" s="1044">
        <f>SUM(M46:M57)</f>
        <v>0</v>
      </c>
      <c r="N43" s="1635"/>
      <c r="O43" s="1634"/>
      <c r="P43" s="1589">
        <f>SUM(P46:P57)</f>
        <v>0</v>
      </c>
      <c r="Q43" s="1707"/>
    </row>
    <row r="44" spans="1:17" s="36" customFormat="1" ht="15" customHeight="1">
      <c r="A44" s="746"/>
      <c r="B44" s="1633"/>
      <c r="C44" s="746" t="s">
        <v>855</v>
      </c>
      <c r="D44" s="746"/>
      <c r="E44" s="1171" t="s">
        <v>365</v>
      </c>
      <c r="F44" s="1170" t="s">
        <v>854</v>
      </c>
      <c r="G44" s="1169"/>
      <c r="H44" s="306" t="s">
        <v>853</v>
      </c>
      <c r="I44" s="1165" t="s">
        <v>852</v>
      </c>
      <c r="J44" s="1164"/>
      <c r="K44" s="1168" t="s">
        <v>853</v>
      </c>
      <c r="L44" s="1167" t="s">
        <v>852</v>
      </c>
      <c r="M44" s="1166"/>
      <c r="N44" s="306" t="s">
        <v>853</v>
      </c>
      <c r="O44" s="1165" t="s">
        <v>852</v>
      </c>
      <c r="P44" s="1632"/>
      <c r="Q44" s="1707"/>
    </row>
    <row r="45" spans="1:17" s="36" customFormat="1" ht="15" customHeight="1">
      <c r="A45" s="746"/>
      <c r="B45" s="1631"/>
      <c r="C45" s="1630"/>
      <c r="D45" s="1163"/>
      <c r="E45" s="1034" t="s">
        <v>1125</v>
      </c>
      <c r="F45" s="1586" t="s">
        <v>850</v>
      </c>
      <c r="G45" s="1586" t="s">
        <v>441</v>
      </c>
      <c r="H45" s="1159" t="s">
        <v>849</v>
      </c>
      <c r="I45" s="1585" t="s">
        <v>113</v>
      </c>
      <c r="J45" s="1629" t="s">
        <v>163</v>
      </c>
      <c r="K45" s="1162" t="s">
        <v>849</v>
      </c>
      <c r="L45" s="1628" t="s">
        <v>113</v>
      </c>
      <c r="M45" s="1627" t="s">
        <v>163</v>
      </c>
      <c r="N45" s="1159" t="s">
        <v>849</v>
      </c>
      <c r="O45" s="1585" t="s">
        <v>113</v>
      </c>
      <c r="P45" s="1626" t="s">
        <v>163</v>
      </c>
      <c r="Q45" s="1707"/>
    </row>
    <row r="46" spans="1:17" s="36" customFormat="1" ht="15" customHeight="1">
      <c r="A46" s="746"/>
      <c r="B46" s="1625"/>
      <c r="C46" s="4494"/>
      <c r="D46" s="4495"/>
      <c r="E46" s="1152">
        <f>IF($C46=0,0,VLOOKUP($C46,'SD3'!$C$24:$N$74,4,FALSE))</f>
        <v>0</v>
      </c>
      <c r="F46" s="1151">
        <f>IF($C46=0,0,VLOOKUP($C46,'SD3'!$C$24:$N$74,12,FALSE))</f>
        <v>0</v>
      </c>
      <c r="G46" s="1150">
        <f>IF($C46=0,0,VLOOKUP($C46,'SD3'!$C$24:$N$74,13,FALSE))</f>
        <v>0</v>
      </c>
      <c r="H46" s="1155"/>
      <c r="I46" s="1154">
        <f t="shared" ref="I46:I57" si="4">$F46*H46</f>
        <v>0</v>
      </c>
      <c r="J46" s="1145">
        <f t="shared" ref="J46:J57" si="5">H46*$G46</f>
        <v>0</v>
      </c>
      <c r="K46" s="1155"/>
      <c r="L46" s="1156">
        <f t="shared" ref="L46:L57" si="6">$F46*K46</f>
        <v>0</v>
      </c>
      <c r="M46" s="1148">
        <f t="shared" ref="M46:M57" si="7">K46*$G46</f>
        <v>0</v>
      </c>
      <c r="N46" s="1155"/>
      <c r="O46" s="1154">
        <f t="shared" ref="O46:O57" si="8">$F46*N46</f>
        <v>0</v>
      </c>
      <c r="P46" s="1623">
        <f t="shared" ref="P46:P57" si="9">N46*$G46</f>
        <v>0</v>
      </c>
      <c r="Q46" s="1707"/>
    </row>
    <row r="47" spans="1:17" s="36" customFormat="1" ht="15" customHeight="1">
      <c r="A47" s="746"/>
      <c r="B47" s="1624"/>
      <c r="C47" s="4481"/>
      <c r="D47" s="4482"/>
      <c r="E47" s="1152">
        <f>IF($C47=0,0,VLOOKUP($C47,'SD3'!$C$24:$N$74,4,FALSE))</f>
        <v>0</v>
      </c>
      <c r="F47" s="1151">
        <f>IF($C47=0,0,VLOOKUP($C47,'SD3'!$C$24:$N$74,12,FALSE))</f>
        <v>0</v>
      </c>
      <c r="G47" s="1150">
        <f>IF($C47=0,0,VLOOKUP($C47,'SD3'!$C$24:$N$74,13,FALSE))</f>
        <v>0</v>
      </c>
      <c r="H47" s="1147"/>
      <c r="I47" s="1146">
        <f t="shared" si="4"/>
        <v>0</v>
      </c>
      <c r="J47" s="1145">
        <f t="shared" si="5"/>
        <v>0</v>
      </c>
      <c r="K47" s="1147"/>
      <c r="L47" s="1149">
        <f t="shared" si="6"/>
        <v>0</v>
      </c>
      <c r="M47" s="1148">
        <f t="shared" si="7"/>
        <v>0</v>
      </c>
      <c r="N47" s="1147"/>
      <c r="O47" s="1146">
        <f t="shared" si="8"/>
        <v>0</v>
      </c>
      <c r="P47" s="1623">
        <f t="shared" si="9"/>
        <v>0</v>
      </c>
      <c r="Q47" s="1707"/>
    </row>
    <row r="48" spans="1:17" s="36" customFormat="1" ht="15" customHeight="1">
      <c r="A48" s="746"/>
      <c r="B48" s="1624"/>
      <c r="C48" s="4481"/>
      <c r="D48" s="4482"/>
      <c r="E48" s="1152">
        <f>IF($C48=0,0,VLOOKUP($C48,'SD3'!$C$24:$N$74,4,FALSE))</f>
        <v>0</v>
      </c>
      <c r="F48" s="1151">
        <f>IF($C48=0,0,VLOOKUP($C48,'SD3'!$C$24:$N$74,12,FALSE))</f>
        <v>0</v>
      </c>
      <c r="G48" s="1150">
        <f>IF($C48=0,0,VLOOKUP($C48,'SD3'!$C$24:$N$74,13,FALSE))</f>
        <v>0</v>
      </c>
      <c r="H48" s="1147"/>
      <c r="I48" s="1146">
        <f t="shared" si="4"/>
        <v>0</v>
      </c>
      <c r="J48" s="1145">
        <f t="shared" si="5"/>
        <v>0</v>
      </c>
      <c r="K48" s="1147"/>
      <c r="L48" s="1149">
        <f t="shared" si="6"/>
        <v>0</v>
      </c>
      <c r="M48" s="1148">
        <f t="shared" si="7"/>
        <v>0</v>
      </c>
      <c r="N48" s="1147"/>
      <c r="O48" s="1146">
        <f t="shared" si="8"/>
        <v>0</v>
      </c>
      <c r="P48" s="1623">
        <f t="shared" si="9"/>
        <v>0</v>
      </c>
      <c r="Q48" s="1707"/>
    </row>
    <row r="49" spans="1:17" s="36" customFormat="1" ht="15" customHeight="1">
      <c r="A49" s="746"/>
      <c r="B49" s="1624"/>
      <c r="C49" s="4481"/>
      <c r="D49" s="4482"/>
      <c r="E49" s="1152">
        <f>IF($C49=0,0,VLOOKUP($C49,'SD3'!$C$24:$N$74,4,FALSE))</f>
        <v>0</v>
      </c>
      <c r="F49" s="1151">
        <f>IF($C49=0,0,VLOOKUP($C49,'SD3'!$C$24:$N$74,12,FALSE))</f>
        <v>0</v>
      </c>
      <c r="G49" s="1150">
        <f>IF($C49=0,0,VLOOKUP($C49,'SD3'!$C$24:$N$74,13,FALSE))</f>
        <v>0</v>
      </c>
      <c r="H49" s="1147"/>
      <c r="I49" s="1146">
        <f t="shared" si="4"/>
        <v>0</v>
      </c>
      <c r="J49" s="1145">
        <f t="shared" si="5"/>
        <v>0</v>
      </c>
      <c r="K49" s="1147"/>
      <c r="L49" s="1149">
        <f t="shared" si="6"/>
        <v>0</v>
      </c>
      <c r="M49" s="1148">
        <f t="shared" si="7"/>
        <v>0</v>
      </c>
      <c r="N49" s="1147"/>
      <c r="O49" s="1146">
        <f t="shared" si="8"/>
        <v>0</v>
      </c>
      <c r="P49" s="1623">
        <f t="shared" si="9"/>
        <v>0</v>
      </c>
      <c r="Q49" s="1707"/>
    </row>
    <row r="50" spans="1:17" s="36" customFormat="1" ht="15" customHeight="1">
      <c r="A50" s="746"/>
      <c r="B50" s="1624"/>
      <c r="C50" s="4481"/>
      <c r="D50" s="4482"/>
      <c r="E50" s="1152">
        <f>IF($C50=0,0,VLOOKUP($C50,'SD3'!$C$24:$N$74,4,FALSE))</f>
        <v>0</v>
      </c>
      <c r="F50" s="1151">
        <f>IF($C50=0,0,VLOOKUP($C50,'SD3'!$C$24:$N$74,12,FALSE))</f>
        <v>0</v>
      </c>
      <c r="G50" s="1150">
        <f>IF($C50=0,0,VLOOKUP($C50,'SD3'!$C$24:$N$74,13,FALSE))</f>
        <v>0</v>
      </c>
      <c r="H50" s="1147"/>
      <c r="I50" s="1146">
        <f t="shared" si="4"/>
        <v>0</v>
      </c>
      <c r="J50" s="1145">
        <f t="shared" si="5"/>
        <v>0</v>
      </c>
      <c r="K50" s="1147"/>
      <c r="L50" s="1149">
        <f t="shared" si="6"/>
        <v>0</v>
      </c>
      <c r="M50" s="1148">
        <f t="shared" si="7"/>
        <v>0</v>
      </c>
      <c r="N50" s="1147"/>
      <c r="O50" s="1146">
        <f t="shared" si="8"/>
        <v>0</v>
      </c>
      <c r="P50" s="1623">
        <f t="shared" si="9"/>
        <v>0</v>
      </c>
      <c r="Q50" s="1707"/>
    </row>
    <row r="51" spans="1:17" s="36" customFormat="1" ht="15" customHeight="1">
      <c r="A51" s="746"/>
      <c r="B51" s="1624"/>
      <c r="C51" s="4481"/>
      <c r="D51" s="4482"/>
      <c r="E51" s="1152">
        <f>IF($C51=0,0,VLOOKUP($C51,'SD3'!$C$24:$N$74,4,FALSE))</f>
        <v>0</v>
      </c>
      <c r="F51" s="1151">
        <f>IF($C51=0,0,VLOOKUP($C51,'SD3'!$C$24:$N$74,12,FALSE))</f>
        <v>0</v>
      </c>
      <c r="G51" s="1150">
        <f>IF($C51=0,0,VLOOKUP($C51,'SD3'!$C$24:$N$74,13,FALSE))</f>
        <v>0</v>
      </c>
      <c r="H51" s="1147"/>
      <c r="I51" s="1146">
        <f t="shared" si="4"/>
        <v>0</v>
      </c>
      <c r="J51" s="1145">
        <f t="shared" si="5"/>
        <v>0</v>
      </c>
      <c r="K51" s="1147"/>
      <c r="L51" s="1149">
        <f t="shared" si="6"/>
        <v>0</v>
      </c>
      <c r="M51" s="1148">
        <f t="shared" si="7"/>
        <v>0</v>
      </c>
      <c r="N51" s="1147"/>
      <c r="O51" s="1146">
        <f t="shared" si="8"/>
        <v>0</v>
      </c>
      <c r="P51" s="1623">
        <f t="shared" si="9"/>
        <v>0</v>
      </c>
      <c r="Q51" s="1707"/>
    </row>
    <row r="52" spans="1:17" s="36" customFormat="1" ht="15" customHeight="1">
      <c r="A52" s="746"/>
      <c r="B52" s="1624"/>
      <c r="C52" s="4481"/>
      <c r="D52" s="4482"/>
      <c r="E52" s="1152">
        <f>IF($C52=0,0,VLOOKUP($C52,'SD3'!$C$24:$N$74,4,FALSE))</f>
        <v>0</v>
      </c>
      <c r="F52" s="1151">
        <f>IF($C52=0,0,VLOOKUP($C52,'SD3'!$C$24:$N$74,12,FALSE))</f>
        <v>0</v>
      </c>
      <c r="G52" s="1150">
        <f>IF($C52=0,0,VLOOKUP($C52,'SD3'!$C$24:$N$74,13,FALSE))</f>
        <v>0</v>
      </c>
      <c r="H52" s="1147"/>
      <c r="I52" s="1146">
        <f t="shared" si="4"/>
        <v>0</v>
      </c>
      <c r="J52" s="1145">
        <f t="shared" si="5"/>
        <v>0</v>
      </c>
      <c r="K52" s="1147"/>
      <c r="L52" s="1149">
        <f t="shared" si="6"/>
        <v>0</v>
      </c>
      <c r="M52" s="1148">
        <f t="shared" si="7"/>
        <v>0</v>
      </c>
      <c r="N52" s="1147"/>
      <c r="O52" s="1146">
        <f t="shared" si="8"/>
        <v>0</v>
      </c>
      <c r="P52" s="1623">
        <f t="shared" si="9"/>
        <v>0</v>
      </c>
      <c r="Q52" s="1707"/>
    </row>
    <row r="53" spans="1:17" s="36" customFormat="1" ht="15" customHeight="1">
      <c r="A53" s="746"/>
      <c r="B53" s="1624"/>
      <c r="C53" s="4481"/>
      <c r="D53" s="4482"/>
      <c r="E53" s="1152">
        <f>IF($C53=0,0,VLOOKUP($C53,'SD3'!$C$24:$N$74,4,FALSE))</f>
        <v>0</v>
      </c>
      <c r="F53" s="1151">
        <f>IF($C53=0,0,VLOOKUP($C53,'SD3'!$C$24:$N$74,12,FALSE))</f>
        <v>0</v>
      </c>
      <c r="G53" s="1150">
        <f>IF($C53=0,0,VLOOKUP($C53,'SD3'!$C$24:$N$74,13,FALSE))</f>
        <v>0</v>
      </c>
      <c r="H53" s="1147"/>
      <c r="I53" s="1146">
        <f t="shared" si="4"/>
        <v>0</v>
      </c>
      <c r="J53" s="1145">
        <f t="shared" si="5"/>
        <v>0</v>
      </c>
      <c r="K53" s="1147"/>
      <c r="L53" s="1149">
        <f t="shared" si="6"/>
        <v>0</v>
      </c>
      <c r="M53" s="1148">
        <f t="shared" si="7"/>
        <v>0</v>
      </c>
      <c r="N53" s="1147"/>
      <c r="O53" s="1146">
        <f t="shared" si="8"/>
        <v>0</v>
      </c>
      <c r="P53" s="1623">
        <f t="shared" si="9"/>
        <v>0</v>
      </c>
      <c r="Q53" s="1707"/>
    </row>
    <row r="54" spans="1:17" s="36" customFormat="1" ht="15" customHeight="1">
      <c r="A54" s="746"/>
      <c r="B54" s="1624"/>
      <c r="C54" s="4481"/>
      <c r="D54" s="4482"/>
      <c r="E54" s="1152">
        <f>IF($C54=0,0,VLOOKUP($C54,'SD3'!$C$24:$N$74,4,FALSE))</f>
        <v>0</v>
      </c>
      <c r="F54" s="1151">
        <f>IF($C54=0,0,VLOOKUP($C54,'SD3'!$C$24:$N$74,12,FALSE))</f>
        <v>0</v>
      </c>
      <c r="G54" s="1150">
        <f>IF($C54=0,0,VLOOKUP($C54,'SD3'!$C$24:$N$74,13,FALSE))</f>
        <v>0</v>
      </c>
      <c r="H54" s="1147"/>
      <c r="I54" s="1146">
        <f t="shared" si="4"/>
        <v>0</v>
      </c>
      <c r="J54" s="1145">
        <f t="shared" si="5"/>
        <v>0</v>
      </c>
      <c r="K54" s="1147"/>
      <c r="L54" s="1149">
        <f t="shared" si="6"/>
        <v>0</v>
      </c>
      <c r="M54" s="1148">
        <f t="shared" si="7"/>
        <v>0</v>
      </c>
      <c r="N54" s="1147"/>
      <c r="O54" s="1146">
        <f t="shared" si="8"/>
        <v>0</v>
      </c>
      <c r="P54" s="1623">
        <f t="shared" si="9"/>
        <v>0</v>
      </c>
      <c r="Q54" s="1707"/>
    </row>
    <row r="55" spans="1:17" s="36" customFormat="1" ht="15" customHeight="1">
      <c r="A55" s="746"/>
      <c r="B55" s="1624"/>
      <c r="C55" s="4481"/>
      <c r="D55" s="4482"/>
      <c r="E55" s="1152">
        <f>IF($C55=0,0,VLOOKUP($C55,'SD3'!$C$24:$N$74,4,FALSE))</f>
        <v>0</v>
      </c>
      <c r="F55" s="1151">
        <f>IF($C55=0,0,VLOOKUP($C55,'SD3'!$C$24:$N$74,12,FALSE))</f>
        <v>0</v>
      </c>
      <c r="G55" s="1150">
        <f>IF($C55=0,0,VLOOKUP($C55,'SD3'!$C$24:$N$74,13,FALSE))</f>
        <v>0</v>
      </c>
      <c r="H55" s="1147"/>
      <c r="I55" s="1146">
        <f t="shared" si="4"/>
        <v>0</v>
      </c>
      <c r="J55" s="1145">
        <f t="shared" si="5"/>
        <v>0</v>
      </c>
      <c r="K55" s="1147"/>
      <c r="L55" s="1149">
        <f t="shared" si="6"/>
        <v>0</v>
      </c>
      <c r="M55" s="1148">
        <f t="shared" si="7"/>
        <v>0</v>
      </c>
      <c r="N55" s="1147"/>
      <c r="O55" s="1146">
        <f t="shared" si="8"/>
        <v>0</v>
      </c>
      <c r="P55" s="1623">
        <f t="shared" si="9"/>
        <v>0</v>
      </c>
      <c r="Q55" s="1707"/>
    </row>
    <row r="56" spans="1:17" s="36" customFormat="1" ht="15" customHeight="1">
      <c r="A56" s="746"/>
      <c r="B56" s="1624"/>
      <c r="C56" s="4481"/>
      <c r="D56" s="4482"/>
      <c r="E56" s="1152">
        <f>IF($C56=0,0,VLOOKUP($C56,'SD3'!$C$24:$N$74,4,FALSE))</f>
        <v>0</v>
      </c>
      <c r="F56" s="1151">
        <f>IF($C56=0,0,VLOOKUP($C56,'SD3'!$C$24:$N$74,12,FALSE))</f>
        <v>0</v>
      </c>
      <c r="G56" s="1150">
        <f>IF($C56=0,0,VLOOKUP($C56,'SD3'!$C$24:$N$74,13,FALSE))</f>
        <v>0</v>
      </c>
      <c r="H56" s="1147"/>
      <c r="I56" s="1146">
        <f t="shared" si="4"/>
        <v>0</v>
      </c>
      <c r="J56" s="1145">
        <f t="shared" si="5"/>
        <v>0</v>
      </c>
      <c r="K56" s="1147"/>
      <c r="L56" s="1149">
        <f t="shared" si="6"/>
        <v>0</v>
      </c>
      <c r="M56" s="1148">
        <f t="shared" si="7"/>
        <v>0</v>
      </c>
      <c r="N56" s="1147"/>
      <c r="O56" s="1146">
        <f t="shared" si="8"/>
        <v>0</v>
      </c>
      <c r="P56" s="1623">
        <f t="shared" si="9"/>
        <v>0</v>
      </c>
      <c r="Q56" s="1707"/>
    </row>
    <row r="57" spans="1:17" s="36" customFormat="1" ht="24.75" customHeight="1">
      <c r="A57" s="746"/>
      <c r="B57" s="1603"/>
      <c r="C57" s="4516">
        <v>0</v>
      </c>
      <c r="D57" s="4517"/>
      <c r="E57" s="1135">
        <f>IF($C57=0,0,VLOOKUP($C57,'SD3'!$C$24:$N$74,4,FALSE))</f>
        <v>0</v>
      </c>
      <c r="F57" s="1134">
        <f>IF($C57=0,0,VLOOKUP($C57,'SD3'!$C$24:$N$74,12,FALSE))</f>
        <v>0</v>
      </c>
      <c r="G57" s="1133">
        <f>IF($C57=0,0,VLOOKUP($C57,'SD3'!$C$24:$N$74,13,FALSE))</f>
        <v>0</v>
      </c>
      <c r="H57" s="1131">
        <f>H11/50</f>
        <v>0</v>
      </c>
      <c r="I57" s="1130">
        <f t="shared" si="4"/>
        <v>0</v>
      </c>
      <c r="J57" s="1129">
        <f t="shared" si="5"/>
        <v>0</v>
      </c>
      <c r="K57" s="1131">
        <f>K11/50</f>
        <v>0</v>
      </c>
      <c r="L57" s="1132">
        <f t="shared" si="6"/>
        <v>0</v>
      </c>
      <c r="M57" s="1079">
        <f t="shared" si="7"/>
        <v>0</v>
      </c>
      <c r="N57" s="1131">
        <f>N11/50</f>
        <v>0</v>
      </c>
      <c r="O57" s="1130">
        <f t="shared" si="8"/>
        <v>0</v>
      </c>
      <c r="P57" s="1622">
        <f t="shared" si="9"/>
        <v>0</v>
      </c>
      <c r="Q57" s="1707"/>
    </row>
    <row r="58" spans="1:17" s="36" customFormat="1" ht="24.75" customHeight="1">
      <c r="A58" s="746"/>
      <c r="B58" s="1621" t="s">
        <v>1124</v>
      </c>
      <c r="C58" s="1620"/>
      <c r="D58" s="1620"/>
      <c r="E58" s="1620"/>
      <c r="F58" s="1620"/>
      <c r="G58" s="1620"/>
      <c r="H58" s="1617"/>
      <c r="I58" s="1616">
        <f>SUM(I46:I57)</f>
        <v>0</v>
      </c>
      <c r="J58" s="1619"/>
      <c r="K58" s="1617"/>
      <c r="L58" s="1616">
        <f>SUM(L46:L57)</f>
        <v>0</v>
      </c>
      <c r="M58" s="1618"/>
      <c r="N58" s="1617"/>
      <c r="O58" s="1616">
        <f>SUM(O46:O57)</f>
        <v>0</v>
      </c>
      <c r="P58" s="1615"/>
      <c r="Q58" s="1707"/>
    </row>
    <row r="59" spans="1:17" s="1706" customFormat="1" ht="18.75" customHeight="1">
      <c r="A59" s="711"/>
      <c r="B59" s="1594" t="s">
        <v>1123</v>
      </c>
      <c r="C59" s="711"/>
      <c r="D59" s="711"/>
      <c r="E59" s="711"/>
      <c r="F59" s="1707"/>
      <c r="G59" s="1590" t="s">
        <v>163</v>
      </c>
      <c r="H59" s="51"/>
      <c r="I59" s="51"/>
      <c r="J59" s="1041">
        <f>H60*$E60</f>
        <v>0</v>
      </c>
      <c r="K59" s="1056"/>
      <c r="L59" s="1056"/>
      <c r="M59" s="1044">
        <f>K60*$E60</f>
        <v>0</v>
      </c>
      <c r="N59" s="51"/>
      <c r="O59" s="51"/>
      <c r="P59" s="1589">
        <f>N60*$E60</f>
        <v>0</v>
      </c>
      <c r="Q59" s="1707"/>
    </row>
    <row r="60" spans="1:17" s="1706" customFormat="1" ht="15" customHeight="1">
      <c r="A60" s="711"/>
      <c r="B60" s="1614"/>
      <c r="C60" s="815"/>
      <c r="D60" s="222" t="s">
        <v>691</v>
      </c>
      <c r="E60" s="1074">
        <v>10</v>
      </c>
      <c r="F60" s="1049"/>
      <c r="G60" s="1613" t="s">
        <v>362</v>
      </c>
      <c r="H60" s="1015"/>
      <c r="I60" s="1070"/>
      <c r="J60" s="1059"/>
      <c r="K60" s="1015"/>
      <c r="L60" s="1072"/>
      <c r="M60" s="1062"/>
      <c r="N60" s="1015"/>
      <c r="O60" s="1070"/>
      <c r="P60" s="1595"/>
      <c r="Q60" s="1707"/>
    </row>
    <row r="61" spans="1:17" s="46" customFormat="1" ht="18.75" customHeight="1">
      <c r="A61" s="811"/>
      <c r="B61" s="1594" t="s">
        <v>1122</v>
      </c>
      <c r="C61" s="811"/>
      <c r="D61" s="811"/>
      <c r="E61" s="811"/>
      <c r="F61" s="1707"/>
      <c r="G61" s="1590" t="s">
        <v>362</v>
      </c>
      <c r="H61" s="1124"/>
      <c r="I61" s="1123">
        <f>I58-H60</f>
        <v>0</v>
      </c>
      <c r="J61" s="1128"/>
      <c r="K61" s="1127"/>
      <c r="L61" s="1126">
        <f>L58-K60</f>
        <v>0</v>
      </c>
      <c r="M61" s="1125"/>
      <c r="N61" s="1124"/>
      <c r="O61" s="1123">
        <f>O58-N60</f>
        <v>0</v>
      </c>
      <c r="P61" s="1612"/>
      <c r="Q61" s="1707"/>
    </row>
    <row r="62" spans="1:17" s="46" customFormat="1" ht="15" customHeight="1">
      <c r="A62" s="811"/>
      <c r="B62" s="1611"/>
      <c r="C62" s="251"/>
      <c r="D62" s="222" t="s">
        <v>847</v>
      </c>
      <c r="E62" s="1120">
        <v>80</v>
      </c>
      <c r="F62" s="251" t="s">
        <v>846</v>
      </c>
      <c r="G62" s="106"/>
      <c r="H62" s="1115"/>
      <c r="I62" s="1114">
        <f>IF(I61+SUM($I$46:$I$57)*$E$62%&gt;I61+10,I61+10,I61+SUM($I$46:$I$57)*$E$62%)</f>
        <v>0</v>
      </c>
      <c r="J62" s="1113"/>
      <c r="K62" s="1118"/>
      <c r="L62" s="1117">
        <f>IF(L61+SUM($L$46:$L$57)*$E$62%&gt;L61+10,L61+10,L61+SUM($L$46:$L$57)*$E$62%)</f>
        <v>0</v>
      </c>
      <c r="M62" s="1116"/>
      <c r="N62" s="1115"/>
      <c r="O62" s="1114">
        <f>IF(O61+SUM($O$46:$O$57)*$E$62%&gt;O61+10,O61+10,O61+SUM($O$46:$O$57)*$E$62%)</f>
        <v>0</v>
      </c>
      <c r="P62" s="1610"/>
      <c r="Q62" s="1707"/>
    </row>
    <row r="63" spans="1:17" s="36" customFormat="1" ht="18.75" customHeight="1">
      <c r="A63" s="746"/>
      <c r="B63" s="1594" t="s">
        <v>305</v>
      </c>
      <c r="C63" s="811"/>
      <c r="D63" s="811"/>
      <c r="G63" s="1609" t="s">
        <v>163</v>
      </c>
      <c r="H63" s="1607"/>
      <c r="I63" s="1606"/>
      <c r="J63" s="1041">
        <f>IF(J6=0,0,SUM(I65:I67))</f>
        <v>0</v>
      </c>
      <c r="K63" s="1107"/>
      <c r="L63" s="1106"/>
      <c r="M63" s="1044">
        <f>IF(M6=0,0,SUM(L65:L67))</f>
        <v>0</v>
      </c>
      <c r="N63" s="1607"/>
      <c r="O63" s="1606"/>
      <c r="P63" s="1589">
        <f>IF(P6=0,0,SUM(O65:O67))</f>
        <v>0</v>
      </c>
      <c r="Q63" s="1707"/>
    </row>
    <row r="64" spans="1:17" s="36" customFormat="1" ht="13.2" customHeight="1">
      <c r="A64" s="746"/>
      <c r="B64" s="1588"/>
      <c r="C64" s="1039" t="s">
        <v>837</v>
      </c>
      <c r="D64" s="1110">
        <f>SDÖ1!$O$11</f>
        <v>0</v>
      </c>
      <c r="E64" s="1587"/>
      <c r="F64" s="1585" t="s">
        <v>239</v>
      </c>
      <c r="G64" s="1608" t="s">
        <v>836</v>
      </c>
      <c r="H64" s="1607"/>
      <c r="I64" s="1606"/>
      <c r="J64" s="1209"/>
      <c r="K64" s="1107"/>
      <c r="L64" s="1106"/>
      <c r="M64" s="1105"/>
      <c r="N64" s="1607"/>
      <c r="O64" s="1606"/>
      <c r="P64" s="1580"/>
      <c r="Q64" s="1707"/>
    </row>
    <row r="65" spans="1:20" s="36" customFormat="1" ht="15" customHeight="1">
      <c r="A65" s="746"/>
      <c r="B65" s="1579"/>
      <c r="C65" s="4484"/>
      <c r="D65" s="4484"/>
      <c r="E65" s="4484"/>
      <c r="F65" s="1101">
        <f>IF($C65=0,0,VLOOKUP($C65,'SD3'!$C$92:$D$114,2,FALSE))</f>
        <v>0</v>
      </c>
      <c r="G65" s="1100">
        <f>(100+$D$64)/100*F65</f>
        <v>0</v>
      </c>
      <c r="I65" s="1243">
        <f>$G$65</f>
        <v>0</v>
      </c>
      <c r="K65" s="1099"/>
      <c r="L65" s="1098">
        <f>$G$65</f>
        <v>0</v>
      </c>
      <c r="M65" s="1578"/>
      <c r="N65" s="1604"/>
      <c r="O65" s="1243">
        <f>$G$65</f>
        <v>0</v>
      </c>
      <c r="P65" s="1577"/>
      <c r="Q65" s="1707"/>
    </row>
    <row r="66" spans="1:20" s="36" customFormat="1" ht="15" customHeight="1">
      <c r="A66" s="746"/>
      <c r="B66" s="1579"/>
      <c r="C66" s="4484"/>
      <c r="D66" s="4484"/>
      <c r="E66" s="4485"/>
      <c r="F66" s="1605">
        <f>IF($C66=0,0,VLOOKUP($C66,'SD3'!$C$92:$D$114,2,FALSE))</f>
        <v>0</v>
      </c>
      <c r="G66" s="1013">
        <f>(100+$D$64)/100*F66</f>
        <v>0</v>
      </c>
      <c r="K66" s="1099"/>
      <c r="L66" s="1098"/>
      <c r="M66" s="1578"/>
      <c r="N66" s="1604"/>
      <c r="O66" s="1243"/>
      <c r="P66" s="1577"/>
      <c r="Q66" s="1707"/>
    </row>
    <row r="67" spans="1:20" s="36" customFormat="1" ht="15" customHeight="1">
      <c r="A67" s="746"/>
      <c r="B67" s="1603"/>
      <c r="C67" s="4486" t="s">
        <v>289</v>
      </c>
      <c r="D67" s="4486"/>
      <c r="E67" s="4486"/>
      <c r="F67" s="1083">
        <f>IF($T$3=FALSE,0,VLOOKUP($C67,'SD3'!$C$92:$D$114,2,FALSE))</f>
        <v>0</v>
      </c>
      <c r="G67" s="1082">
        <f>(100+$D$64)/100*F67</f>
        <v>0</v>
      </c>
      <c r="H67" s="1602"/>
      <c r="I67" s="1235">
        <f>H11*$G$67</f>
        <v>0</v>
      </c>
      <c r="K67" s="1081"/>
      <c r="L67" s="1080">
        <f>K11*$G$67</f>
        <v>0</v>
      </c>
      <c r="M67" s="1079"/>
      <c r="N67" s="1602"/>
      <c r="O67" s="1235">
        <f>N11*$G$67</f>
        <v>0</v>
      </c>
      <c r="P67" s="1601"/>
      <c r="Q67" s="1707"/>
    </row>
    <row r="68" spans="1:20" s="1706" customFormat="1" ht="22.95" customHeight="1">
      <c r="A68" s="711"/>
      <c r="B68" s="1594" t="s">
        <v>1121</v>
      </c>
      <c r="C68" s="711"/>
      <c r="D68" s="711"/>
      <c r="E68" s="175"/>
      <c r="F68" s="1069"/>
      <c r="G68" s="1590" t="s">
        <v>163</v>
      </c>
      <c r="H68" s="1598" t="s">
        <v>842</v>
      </c>
      <c r="I68" s="1597" t="s">
        <v>841</v>
      </c>
      <c r="J68" s="1387">
        <f>IF($F$69=0,$R$69*H$9*I$69%,$F$69*H$9*I$69%)</f>
        <v>0</v>
      </c>
      <c r="K68" s="1600" t="s">
        <v>842</v>
      </c>
      <c r="L68" s="1599" t="s">
        <v>841</v>
      </c>
      <c r="M68" s="1387">
        <f>IF($F$69=0,$S$69*K$9*L$69%,$F$69*K$9*L$69%)</f>
        <v>0</v>
      </c>
      <c r="N68" s="1598" t="s">
        <v>842</v>
      </c>
      <c r="O68" s="1597" t="s">
        <v>841</v>
      </c>
      <c r="P68" s="2181">
        <f>IF($F$69=0,$T$69*N$9*O$69%,$F$69*N$9*O$69%)</f>
        <v>0</v>
      </c>
      <c r="Q68" s="1707"/>
    </row>
    <row r="69" spans="1:20" s="1706" customFormat="1" ht="15" customHeight="1">
      <c r="A69" s="711"/>
      <c r="B69" s="1596"/>
      <c r="C69" s="4487" t="s">
        <v>1120</v>
      </c>
      <c r="D69" s="4487"/>
      <c r="E69" s="4487"/>
      <c r="F69" s="1063"/>
      <c r="G69" s="1054" t="s">
        <v>220</v>
      </c>
      <c r="H69" s="1061"/>
      <c r="I69" s="1060"/>
      <c r="J69" s="1059"/>
      <c r="K69" s="1061"/>
      <c r="L69" s="1060"/>
      <c r="M69" s="1062"/>
      <c r="N69" s="1061"/>
      <c r="O69" s="1060"/>
      <c r="P69" s="1595"/>
      <c r="Q69" s="1707"/>
      <c r="R69" s="1369">
        <f>IF($H$69=0,0,VLOOKUP($H$69,#REF!,2,FALSE))*(1+SDÖ1!$O$11/100)</f>
        <v>0</v>
      </c>
      <c r="S69" s="1058">
        <f>IF($K$69=0,0,VLOOKUP($K$69,#REF!,2,FALSE))*(1+SDÖ1!$O$11/100)</f>
        <v>0</v>
      </c>
      <c r="T69" s="1369">
        <f>IF($N$69=0,0,VLOOKUP($N$69,#REF!,2,FALSE))*(1+SDÖ1!$O$11/100)</f>
        <v>0</v>
      </c>
    </row>
    <row r="70" spans="1:20" s="1706" customFormat="1" ht="18.75" customHeight="1">
      <c r="A70" s="711"/>
      <c r="B70" s="1594" t="s">
        <v>1119</v>
      </c>
      <c r="C70" s="711"/>
      <c r="D70" s="711"/>
      <c r="E70" s="175"/>
      <c r="F70" s="175"/>
      <c r="G70" s="1590" t="s">
        <v>163</v>
      </c>
      <c r="H70" s="38"/>
      <c r="I70" s="51"/>
      <c r="J70" s="1041">
        <f>H71*$F71/1000</f>
        <v>0</v>
      </c>
      <c r="K70" s="1057"/>
      <c r="L70" s="1056"/>
      <c r="M70" s="1044">
        <f>K71*$F71/1000</f>
        <v>0</v>
      </c>
      <c r="N70" s="38"/>
      <c r="O70" s="51"/>
      <c r="P70" s="1589">
        <f>N71*$F71/1000</f>
        <v>0</v>
      </c>
      <c r="Q70" s="1707"/>
    </row>
    <row r="71" spans="1:20" s="1706" customFormat="1" ht="15" customHeight="1">
      <c r="A71" s="711"/>
      <c r="B71" s="1593"/>
      <c r="C71" s="771" t="s">
        <v>606</v>
      </c>
      <c r="D71" s="251"/>
      <c r="E71" s="222"/>
      <c r="F71" s="1386"/>
      <c r="G71" s="1054" t="s">
        <v>163</v>
      </c>
      <c r="H71" s="1050">
        <f>I9+I10</f>
        <v>0</v>
      </c>
      <c r="I71" s="1049"/>
      <c r="J71" s="1048"/>
      <c r="K71" s="1053">
        <f>L9+L10</f>
        <v>0</v>
      </c>
      <c r="L71" s="1052"/>
      <c r="M71" s="1051"/>
      <c r="N71" s="1050">
        <f>O9+O10</f>
        <v>0</v>
      </c>
      <c r="O71" s="1049"/>
      <c r="P71" s="1592"/>
      <c r="Q71" s="1707"/>
    </row>
    <row r="72" spans="1:20" ht="18.75" customHeight="1">
      <c r="A72" s="309"/>
      <c r="B72" s="1591" t="s">
        <v>210</v>
      </c>
      <c r="C72" s="309"/>
      <c r="D72" s="309"/>
      <c r="E72" s="175"/>
      <c r="F72" s="1711"/>
      <c r="G72" s="1590" t="s">
        <v>163</v>
      </c>
      <c r="H72" s="1043"/>
      <c r="I72" s="1042"/>
      <c r="J72" s="1041">
        <f>SUM(I74:I75)</f>
        <v>0</v>
      </c>
      <c r="K72" s="1046"/>
      <c r="L72" s="1045"/>
      <c r="M72" s="1044">
        <f>SUM(L74:L75)</f>
        <v>0</v>
      </c>
      <c r="N72" s="1043"/>
      <c r="O72" s="1042"/>
      <c r="P72" s="1589">
        <f>SUM(O74:O75)</f>
        <v>0</v>
      </c>
    </row>
    <row r="73" spans="1:20" ht="13.2" customHeight="1">
      <c r="A73" s="309"/>
      <c r="B73" s="1588"/>
      <c r="C73" s="1039" t="s">
        <v>837</v>
      </c>
      <c r="D73" s="1038">
        <f>SDÖ1!$O$12</f>
        <v>0</v>
      </c>
      <c r="E73" s="1587"/>
      <c r="F73" s="1036"/>
      <c r="G73" s="1035"/>
      <c r="H73" s="1586" t="s">
        <v>239</v>
      </c>
      <c r="I73" s="1585" t="s">
        <v>836</v>
      </c>
      <c r="J73" s="1032"/>
      <c r="K73" s="1584" t="s">
        <v>239</v>
      </c>
      <c r="L73" s="1583" t="s">
        <v>836</v>
      </c>
      <c r="M73" s="1029"/>
      <c r="N73" s="1582" t="s">
        <v>239</v>
      </c>
      <c r="O73" s="1581" t="s">
        <v>836</v>
      </c>
      <c r="P73" s="1580"/>
    </row>
    <row r="74" spans="1:20" s="36" customFormat="1" ht="15" customHeight="1">
      <c r="A74" s="746"/>
      <c r="B74" s="1579"/>
      <c r="C74" s="4498" t="s">
        <v>1156</v>
      </c>
      <c r="D74" s="4498"/>
      <c r="E74" s="4498"/>
      <c r="F74" s="1025"/>
      <c r="G74" s="1024"/>
      <c r="H74" s="1018"/>
      <c r="I74" s="1022">
        <f>(100+$D$73)/100*H74</f>
        <v>0</v>
      </c>
      <c r="K74" s="1018"/>
      <c r="L74" s="1023">
        <f>(100+$D$73)/100*K74</f>
        <v>0</v>
      </c>
      <c r="M74" s="1578"/>
      <c r="N74" s="1018"/>
      <c r="O74" s="1022">
        <f>(100+$D$73)/100*N74</f>
        <v>0</v>
      </c>
      <c r="P74" s="1577"/>
      <c r="Q74" s="1707"/>
    </row>
    <row r="75" spans="1:20" s="36" customFormat="1" ht="15" customHeight="1">
      <c r="A75" s="746"/>
      <c r="B75" s="1579"/>
      <c r="C75" s="4483"/>
      <c r="D75" s="4483"/>
      <c r="E75" s="4483"/>
      <c r="F75" s="1020"/>
      <c r="G75" s="1019"/>
      <c r="H75" s="1015"/>
      <c r="I75" s="1014">
        <f>(100+$D$73)/100*H75</f>
        <v>0</v>
      </c>
      <c r="K75" s="1018"/>
      <c r="L75" s="1017">
        <f>(100+$D$73)/100*K75</f>
        <v>0</v>
      </c>
      <c r="M75" s="1578"/>
      <c r="N75" s="1015"/>
      <c r="O75" s="1014">
        <f>(100+$D$73)/100*N75</f>
        <v>0</v>
      </c>
      <c r="P75" s="1577"/>
      <c r="Q75" s="1707"/>
    </row>
    <row r="76" spans="1:20" s="1706" customFormat="1" ht="30.15" customHeight="1" thickBot="1">
      <c r="A76" s="711"/>
      <c r="B76" s="4499" t="s">
        <v>835</v>
      </c>
      <c r="C76" s="4500"/>
      <c r="D76" s="1576" t="s">
        <v>834</v>
      </c>
      <c r="E76" s="1575">
        <f>SDÖ1!$O$72/100</f>
        <v>0.02</v>
      </c>
      <c r="F76" s="1574" t="s">
        <v>1118</v>
      </c>
      <c r="G76" s="1573">
        <v>5</v>
      </c>
      <c r="H76" s="1569"/>
      <c r="I76" s="1572"/>
      <c r="J76" s="1567">
        <f>(J23+J27+J34+J43+J63+J59+J68+J70+J72)*(SDÖ1!$O$72%*$G$76/12)</f>
        <v>0</v>
      </c>
      <c r="K76" s="1571"/>
      <c r="L76" s="1570"/>
      <c r="M76" s="1567">
        <f>(M23+M27+M34+M43+M63+M59+M68+M70+M72)*(SDÖ1!$O$72%*$G$76/12)</f>
        <v>0</v>
      </c>
      <c r="N76" s="1569"/>
      <c r="O76" s="1568"/>
      <c r="P76" s="1567">
        <f>(P23+P27+P34+P43+P63+P59+P68+P70+P72)*(SDÖ1!$O$72%*$G$76/12)</f>
        <v>0</v>
      </c>
      <c r="Q76" s="1707"/>
    </row>
    <row r="81" spans="3:16">
      <c r="C81" s="1564" t="e">
        <f>#REF!</f>
        <v>#REF!</v>
      </c>
      <c r="D81" s="215"/>
      <c r="E81" s="515"/>
      <c r="G81" s="1564" t="e">
        <f>#REF!</f>
        <v>#REF!</v>
      </c>
      <c r="H81" s="215"/>
      <c r="I81" s="515"/>
      <c r="L81" s="29"/>
    </row>
    <row r="82" spans="3:16">
      <c r="C82" s="516" t="e">
        <f>#REF!</f>
        <v>#REF!</v>
      </c>
      <c r="E82" s="1708"/>
      <c r="G82" s="1565" t="e">
        <f>#REF!</f>
        <v>#REF!</v>
      </c>
      <c r="I82" s="1708"/>
      <c r="L82" s="29"/>
      <c r="N82" s="1564" t="str">
        <f>'SD3'!C24</f>
        <v>Drehpflug, 5 Schare</v>
      </c>
      <c r="O82" s="215"/>
      <c r="P82" s="515"/>
    </row>
    <row r="83" spans="3:16">
      <c r="C83" s="516" t="e">
        <f>#REF!</f>
        <v>#REF!</v>
      </c>
      <c r="E83" s="1708"/>
      <c r="G83" s="1566"/>
      <c r="H83" s="251"/>
      <c r="I83" s="512"/>
      <c r="L83" s="29"/>
      <c r="N83" s="1565" t="str">
        <f>'SD3'!C25</f>
        <v>Schwergrubber 3 m</v>
      </c>
      <c r="P83" s="1708"/>
    </row>
    <row r="84" spans="3:16">
      <c r="C84" s="516" t="e">
        <f>#REF!</f>
        <v>#REF!</v>
      </c>
      <c r="E84" s="1708"/>
      <c r="G84" s="29"/>
      <c r="H84" s="29"/>
      <c r="I84" s="29"/>
      <c r="L84" s="29"/>
      <c r="N84" s="1565" t="str">
        <f>'SD3'!C26</f>
        <v>Scheibenegge 5 m</v>
      </c>
      <c r="P84" s="1708"/>
    </row>
    <row r="85" spans="3:16">
      <c r="C85" s="516" t="e">
        <f>#REF!</f>
        <v>#REF!</v>
      </c>
      <c r="E85" s="1708"/>
      <c r="G85" s="29"/>
      <c r="H85" s="29"/>
      <c r="I85" s="29"/>
      <c r="L85" s="29"/>
      <c r="N85" s="1565" t="str">
        <f>'SD3'!C28</f>
        <v>Kreiselegge 3 m</v>
      </c>
      <c r="P85" s="1708"/>
    </row>
    <row r="86" spans="3:16">
      <c r="C86" s="516" t="e">
        <f>#REF!</f>
        <v>#REF!</v>
      </c>
      <c r="E86" s="1708"/>
      <c r="G86" s="29" t="e">
        <f>#REF!</f>
        <v>#REF!</v>
      </c>
      <c r="H86" s="29"/>
      <c r="I86" s="29"/>
      <c r="L86" s="29"/>
      <c r="N86" s="1565" t="str">
        <f>'SD3'!C29</f>
        <v>Cambridgewalze 4,5 m</v>
      </c>
      <c r="P86" s="1708"/>
    </row>
    <row r="87" spans="3:16">
      <c r="C87" s="516" t="e">
        <f>#REF!</f>
        <v>#REF!</v>
      </c>
      <c r="E87" s="1708"/>
      <c r="G87" s="29"/>
      <c r="H87" s="29"/>
      <c r="I87" s="29"/>
      <c r="L87" s="29"/>
      <c r="N87" s="1565" t="str">
        <f>'SD3'!C30</f>
        <v>Bodenfräse 3m</v>
      </c>
      <c r="P87" s="1708"/>
    </row>
    <row r="88" spans="3:16">
      <c r="C88" s="516" t="e">
        <f>#REF!</f>
        <v>#REF!</v>
      </c>
      <c r="E88" s="1708"/>
      <c r="G88" s="29" t="e">
        <f>#REF!</f>
        <v>#REF!</v>
      </c>
      <c r="H88" s="29"/>
      <c r="I88" s="29"/>
      <c r="L88" s="29"/>
      <c r="N88" s="1565" t="str">
        <f>'SD3'!C32</f>
        <v>Kreiselegge-Säkomb. 3 m</v>
      </c>
      <c r="P88" s="1708"/>
    </row>
    <row r="89" spans="3:16">
      <c r="C89" s="516" t="e">
        <f>#REF!</f>
        <v>#REF!</v>
      </c>
      <c r="E89" s="1708"/>
      <c r="G89" s="29" t="e">
        <f>#REF!</f>
        <v>#REF!</v>
      </c>
      <c r="H89" s="29"/>
      <c r="I89" s="29"/>
      <c r="L89" s="29"/>
      <c r="N89" s="1565" t="e">
        <f>'SD3'!#REF!</f>
        <v>#REF!</v>
      </c>
      <c r="P89" s="1708"/>
    </row>
    <row r="90" spans="3:16">
      <c r="C90" s="516" t="e">
        <f>#REF!</f>
        <v>#REF!</v>
      </c>
      <c r="E90" s="1708"/>
      <c r="G90" s="29" t="e">
        <f>#REF!</f>
        <v>#REF!</v>
      </c>
      <c r="H90" s="29"/>
      <c r="I90" s="29"/>
      <c r="L90" s="29"/>
      <c r="N90" s="1565" t="str">
        <f>'SD3'!C33</f>
        <v>Sämaschine 3m</v>
      </c>
      <c r="P90" s="1708"/>
    </row>
    <row r="91" spans="3:16">
      <c r="C91" s="516" t="e">
        <f>#REF!</f>
        <v>#REF!</v>
      </c>
      <c r="E91" s="1708"/>
      <c r="G91" s="29"/>
      <c r="H91" s="29"/>
      <c r="I91" s="29"/>
      <c r="L91" s="29"/>
      <c r="N91" s="1565" t="str">
        <f>'SD3'!C34</f>
        <v>Einzelkornsaat 4 r (Mais, Sonnenblume)</v>
      </c>
      <c r="P91" s="1708"/>
    </row>
    <row r="92" spans="3:16">
      <c r="C92" s="516" t="e">
        <f>#REF!</f>
        <v>#REF!</v>
      </c>
      <c r="E92" s="1708"/>
      <c r="L92" s="29"/>
      <c r="N92" s="1565" t="e">
        <f>'SD3'!#REF!</f>
        <v>#REF!</v>
      </c>
      <c r="P92" s="1708"/>
    </row>
    <row r="93" spans="3:16">
      <c r="C93" s="516" t="e">
        <f>#REF!</f>
        <v>#REF!</v>
      </c>
      <c r="E93" s="1708"/>
      <c r="L93" s="29"/>
      <c r="N93" s="1565" t="str">
        <f>'SD3'!C35</f>
        <v>Direktsämaschine 3 m</v>
      </c>
      <c r="P93" s="1708"/>
    </row>
    <row r="94" spans="3:16">
      <c r="C94" s="516" t="e">
        <f>#REF!</f>
        <v>#REF!</v>
      </c>
      <c r="E94" s="1708"/>
      <c r="G94" s="1564" t="str">
        <f>'SD3'!C92</f>
        <v>Mähdrescher - Erbsen/Ackerbohnen</v>
      </c>
      <c r="H94" s="215"/>
      <c r="I94" s="515"/>
      <c r="L94" s="29"/>
      <c r="N94" s="1565" t="e">
        <f>'SD3'!#REF!</f>
        <v>#REF!</v>
      </c>
      <c r="P94" s="1708"/>
    </row>
    <row r="95" spans="3:16">
      <c r="C95" s="516" t="e">
        <f>#REF!</f>
        <v>#REF!</v>
      </c>
      <c r="E95" s="1708"/>
      <c r="G95" s="1565" t="str">
        <f>'SD3'!C93</f>
        <v>Mähdrescher - Körnermais</v>
      </c>
      <c r="I95" s="1708"/>
      <c r="L95" s="29"/>
      <c r="N95" s="1565">
        <f>'SD3'!C36</f>
        <v>0</v>
      </c>
      <c r="P95" s="1708"/>
    </row>
    <row r="96" spans="3:16">
      <c r="C96" s="516" t="e">
        <f>#REF!</f>
        <v>#REF!</v>
      </c>
      <c r="E96" s="1708"/>
      <c r="G96" s="1565" t="str">
        <f>'SD3'!C94</f>
        <v>Mähdrescher - Getr. m. Strohhäcksler</v>
      </c>
      <c r="I96" s="1708"/>
      <c r="L96" s="29"/>
      <c r="N96" s="1565" t="str">
        <f>'SD3'!C37</f>
        <v xml:space="preserve">Düngerstreuer ab Hof 24 m, 400 kg/ha </v>
      </c>
      <c r="P96" s="1708"/>
    </row>
    <row r="97" spans="3:16">
      <c r="C97" s="516" t="e">
        <f>#REF!</f>
        <v>#REF!</v>
      </c>
      <c r="E97" s="1708"/>
      <c r="G97" s="1565" t="str">
        <f>'SD3'!C95</f>
        <v>ZR - Roden, 6-reihig</v>
      </c>
      <c r="I97" s="1708"/>
      <c r="L97" s="29"/>
      <c r="N97" s="1565" t="str">
        <f>'SD3'!C38</f>
        <v>Mist/Kompost streuen 20 t/ha  (6 m, 10,5 t) inkl. Beladen</v>
      </c>
      <c r="P97" s="1708"/>
    </row>
    <row r="98" spans="3:16">
      <c r="C98" s="516" t="e">
        <f>#REF!</f>
        <v>#REF!</v>
      </c>
      <c r="E98" s="1708"/>
      <c r="G98" s="1565" t="str">
        <f>'SD3'!C96</f>
        <v>KA - Vollernter mit Bunker, 2-reihig</v>
      </c>
      <c r="I98" s="1708"/>
      <c r="L98" s="29"/>
      <c r="N98" s="1565" t="e">
        <f>'SD3'!#REF!</f>
        <v>#REF!</v>
      </c>
      <c r="P98" s="1708"/>
    </row>
    <row r="99" spans="3:16">
      <c r="C99" s="228" t="e">
        <f>#REF!</f>
        <v>#REF!</v>
      </c>
      <c r="D99" s="251"/>
      <c r="E99" s="512"/>
      <c r="G99" s="1565" t="str">
        <f>'SD3'!C97</f>
        <v>KA - Schlägeln (m. Schl.+Fahrer)</v>
      </c>
      <c r="I99" s="1708"/>
      <c r="L99" s="29"/>
      <c r="N99" s="1565" t="e">
        <f>'SD3'!#REF!</f>
        <v>#REF!</v>
      </c>
      <c r="P99" s="1708"/>
    </row>
    <row r="100" spans="3:16">
      <c r="C100" s="516"/>
      <c r="E100" s="1708"/>
      <c r="G100" s="1565" t="str">
        <f>'SD3'!C98</f>
        <v>Hemp-Flax(Strohnutzung)</v>
      </c>
      <c r="I100" s="1708"/>
      <c r="L100" s="29"/>
      <c r="N100" s="1565" t="str">
        <f>'SD3'!C39</f>
        <v>Gülle ausbringen 20 m³/ha, (15 m³ Fass, Schleppschl. 15 m)</v>
      </c>
      <c r="P100" s="1708"/>
    </row>
    <row r="101" spans="3:16">
      <c r="C101" s="516"/>
      <c r="E101" s="1708"/>
      <c r="G101" s="1565" t="str">
        <f>'SD3'!C99</f>
        <v>Pressen (8,3 t FM; 250 kg/Ba.)</v>
      </c>
      <c r="I101" s="1708"/>
      <c r="L101" s="29"/>
      <c r="N101" s="1565" t="str">
        <f>'SD3'!C40</f>
        <v>Kalkstreuer 6 m³,15 m, 2l/ha (ab Feld, mit Beladen)</v>
      </c>
      <c r="P101" s="1708"/>
    </row>
    <row r="102" spans="3:16">
      <c r="C102" s="215"/>
      <c r="D102" s="215"/>
      <c r="E102" s="215"/>
      <c r="G102" s="1565" t="str">
        <f>'SD3'!C100</f>
        <v>Pressen (10,7 t FM; 250 kg/Ba.)</v>
      </c>
      <c r="I102" s="1708"/>
      <c r="L102" s="29"/>
      <c r="N102" s="1565">
        <f>'SD3'!C41</f>
        <v>0</v>
      </c>
      <c r="P102" s="1708"/>
    </row>
    <row r="103" spans="3:16">
      <c r="G103" s="1565" t="str">
        <f>'SD3'!C101</f>
        <v>ZR - Laden, Abfuhr</v>
      </c>
      <c r="I103" s="1708"/>
      <c r="L103" s="29"/>
      <c r="N103" s="1565" t="str">
        <f>'SD3'!C42</f>
        <v>Pflanzenschutzspritze 21 m, 300 l/ha</v>
      </c>
      <c r="P103" s="1708"/>
    </row>
    <row r="104" spans="3:16">
      <c r="G104" s="1565" t="str">
        <f>'SD3'!C102</f>
        <v>Mulchen</v>
      </c>
      <c r="I104" s="1708"/>
      <c r="L104" s="29"/>
      <c r="N104" s="1565" t="str">
        <f>'SD3'!C43</f>
        <v>Mulchgerät 3 m</v>
      </c>
      <c r="P104" s="1708"/>
    </row>
    <row r="105" spans="3:16">
      <c r="C105" s="1702"/>
      <c r="G105" s="1565" t="str">
        <f>'SD3'!C103</f>
        <v>Stroh-Rundballen pressen je dt</v>
      </c>
      <c r="I105" s="1708"/>
      <c r="L105" s="29"/>
      <c r="N105" s="1565" t="str">
        <f>'SD3'!C44</f>
        <v>Präparatespritze 20 m</v>
      </c>
      <c r="P105" s="1708"/>
    </row>
    <row r="106" spans="3:16">
      <c r="C106" s="1701" t="s">
        <v>1146</v>
      </c>
      <c r="G106" s="1565" t="str">
        <f>'SD3'!C104</f>
        <v>Stroh-Quaderballen pres. (Schneidw.)</v>
      </c>
      <c r="I106" s="1708"/>
      <c r="L106" s="29"/>
      <c r="N106" s="1565" t="str">
        <f>'SD3'!C45</f>
        <v>Hackstriegel 9 m</v>
      </c>
      <c r="P106" s="1708"/>
    </row>
    <row r="107" spans="3:16">
      <c r="C107" s="1701" t="s">
        <v>607</v>
      </c>
      <c r="G107" s="1565">
        <f>'SD3'!C105</f>
        <v>0</v>
      </c>
      <c r="I107" s="1708"/>
      <c r="L107" s="29"/>
      <c r="N107" s="1565" t="str">
        <f>'SD3'!C47</f>
        <v>Reihenhackgerät 3 m</v>
      </c>
      <c r="P107" s="1708"/>
    </row>
    <row r="108" spans="3:16">
      <c r="C108" s="1701"/>
      <c r="G108" s="1565">
        <f>'SD3'!C106</f>
        <v>0</v>
      </c>
      <c r="I108" s="1708"/>
      <c r="L108" s="29"/>
      <c r="N108" s="1565" t="e">
        <f>'SD3'!#REF!</f>
        <v>#REF!</v>
      </c>
      <c r="P108" s="1708"/>
    </row>
    <row r="109" spans="3:16">
      <c r="C109" s="1701"/>
      <c r="G109" s="1565">
        <f>'SD3'!C107</f>
        <v>0</v>
      </c>
      <c r="I109" s="1708"/>
      <c r="L109" s="29"/>
      <c r="N109" s="1565" t="e">
        <f>'SD3'!#REF!</f>
        <v>#REF!</v>
      </c>
      <c r="P109" s="1708"/>
    </row>
    <row r="110" spans="3:16">
      <c r="C110" s="1700"/>
      <c r="G110" s="1565">
        <f>'SD3'!C108</f>
        <v>0</v>
      </c>
      <c r="I110" s="1708"/>
      <c r="L110" s="29"/>
      <c r="N110" s="1565" t="e">
        <f>'SD3'!#REF!</f>
        <v>#REF!</v>
      </c>
      <c r="P110" s="1708"/>
    </row>
    <row r="111" spans="3:16">
      <c r="G111" s="1565">
        <f>'SD3'!C109</f>
        <v>0</v>
      </c>
      <c r="I111" s="1708"/>
      <c r="L111" s="29"/>
      <c r="N111" s="1565">
        <f>'SD3'!C48</f>
        <v>0</v>
      </c>
      <c r="P111" s="1708"/>
    </row>
    <row r="112" spans="3:16">
      <c r="G112" s="1565">
        <f>'SD3'!C110</f>
        <v>0</v>
      </c>
      <c r="I112" s="1708"/>
      <c r="L112" s="29"/>
      <c r="N112" s="1565" t="str">
        <f>'SD3'!C49</f>
        <v>Transp. u. Abkip.  (7,5 t Ki.)</v>
      </c>
      <c r="P112" s="1708"/>
    </row>
    <row r="113" spans="2:16">
      <c r="G113" s="1565">
        <f>'SD3'!C111</f>
        <v>0</v>
      </c>
      <c r="I113" s="1708"/>
      <c r="L113" s="29"/>
      <c r="N113" s="1565" t="e">
        <f>'SD3'!#REF!</f>
        <v>#REF!</v>
      </c>
      <c r="P113" s="1708"/>
    </row>
    <row r="114" spans="2:16">
      <c r="G114" s="1565">
        <f>'SD3'!C112</f>
        <v>0</v>
      </c>
      <c r="I114" s="1708"/>
      <c r="L114" s="29"/>
      <c r="N114" s="1565" t="str">
        <f>'SD3'!C50</f>
        <v>Silagetransport Mais/GPS, 3S.Kip. (13,5t Nutzl.), 50 t FM</v>
      </c>
      <c r="P114" s="1708"/>
    </row>
    <row r="115" spans="2:16">
      <c r="G115" s="1565">
        <f>'SD3'!C113</f>
        <v>0</v>
      </c>
      <c r="I115" s="1708"/>
      <c r="L115" s="29"/>
      <c r="N115" s="1565" t="str">
        <f>'SD3'!C51</f>
        <v>Stroh-Rundballen 4 t/ha laden, abfahren, stapeln, 3-S-Kipp.</v>
      </c>
      <c r="P115" s="1708"/>
    </row>
    <row r="116" spans="2:16">
      <c r="G116" s="1565">
        <f>'SD3'!C114</f>
        <v>0</v>
      </c>
      <c r="I116" s="1708"/>
      <c r="L116" s="29"/>
      <c r="N116" s="1565">
        <f>'SD3'!C52</f>
        <v>0</v>
      </c>
      <c r="P116" s="1708"/>
    </row>
    <row r="117" spans="2:16">
      <c r="G117" s="1565">
        <f>'SD3'!C115</f>
        <v>0</v>
      </c>
      <c r="L117" s="29"/>
      <c r="N117" s="1565" t="str">
        <f>'SD3'!C53</f>
        <v>Wiesenwalze 3 m</v>
      </c>
      <c r="P117" s="1708"/>
    </row>
    <row r="118" spans="2:16">
      <c r="G118" s="1565">
        <f>'SD3'!C116</f>
        <v>0</v>
      </c>
      <c r="L118" s="29"/>
      <c r="N118" s="1565" t="str">
        <f>'SD3'!C54</f>
        <v>Wiesenegge 6 m</v>
      </c>
      <c r="P118" s="1708"/>
    </row>
    <row r="119" spans="2:16">
      <c r="G119" s="1565">
        <f>'SD3'!C117</f>
        <v>0</v>
      </c>
      <c r="L119" s="29"/>
      <c r="N119" s="1565" t="e">
        <f>'SD3'!#REF!</f>
        <v>#REF!</v>
      </c>
      <c r="P119" s="1708"/>
    </row>
    <row r="120" spans="2:16">
      <c r="L120" s="29"/>
      <c r="N120" s="1565" t="str">
        <f>'SD3'!C56</f>
        <v>Rotationsmähwerk (Heck) m. Aufb. 2,8 m</v>
      </c>
      <c r="P120" s="1708"/>
    </row>
    <row r="121" spans="2:16">
      <c r="L121" s="29"/>
      <c r="N121" s="1565" t="str">
        <f>'SD3'!C57</f>
        <v>Kreiselwender 10,75m</v>
      </c>
      <c r="P121" s="1708"/>
    </row>
    <row r="122" spans="2:16">
      <c r="L122" s="29"/>
      <c r="N122" s="1565" t="str">
        <f>'SD3'!C58</f>
        <v>Kreiselschwader 7,5m Seitenablage</v>
      </c>
      <c r="O122" s="1708"/>
    </row>
    <row r="123" spans="2:16">
      <c r="B123" s="440">
        <v>1</v>
      </c>
      <c r="C123" s="29" t="str">
        <f>SDÖ5!C7</f>
        <v>Novodor</v>
      </c>
      <c r="E123" s="1707">
        <f>IF(ISNA(VLOOKUP(B123,SDÖ5!$U$26:$X$37,SDÖ5!$U$23,FALSE)),0,(VLOOKUP(B123,SDÖ5!$U$26:$X$37,SDÖ5!$U$23,FALSE)))</f>
        <v>0</v>
      </c>
      <c r="L123" s="29"/>
      <c r="N123" s="1565" t="e">
        <f>'SD3'!#REF!</f>
        <v>#REF!</v>
      </c>
      <c r="P123" s="1708"/>
    </row>
    <row r="124" spans="2:16">
      <c r="B124" s="440">
        <v>2</v>
      </c>
      <c r="C124" s="29" t="str">
        <f>SDÖ5!C8</f>
        <v>Neem Azal</v>
      </c>
      <c r="E124" s="1707">
        <f>IF(ISNA(VLOOKUP(B124,SDÖ5!$U$26:$X$37,SDÖ5!$U$23,FALSE)),0,(VLOOKUP(B124,SDÖ5!$U$26:$X$37,SDÖ5!$U$23,FALSE)))</f>
        <v>0</v>
      </c>
      <c r="L124" s="29"/>
      <c r="N124" s="1565" t="e">
        <f>'SD3'!#REF!</f>
        <v>#REF!</v>
      </c>
      <c r="P124" s="1708"/>
    </row>
    <row r="125" spans="2:16">
      <c r="B125" s="440">
        <v>3</v>
      </c>
      <c r="C125" s="29" t="str">
        <f>SDÖ5!C9</f>
        <v>Sluxx HP</v>
      </c>
      <c r="E125" s="1707">
        <f>IF(ISNA(VLOOKUP(B125,SDÖ5!$U$26:$X$37,SDÖ5!$U$23,FALSE)),0,(VLOOKUP(B125,SDÖ5!$U$26:$X$37,SDÖ5!$U$23,FALSE)))</f>
        <v>0</v>
      </c>
      <c r="L125" s="29"/>
      <c r="N125" s="1565">
        <f>'SD3'!C59</f>
        <v>0</v>
      </c>
      <c r="P125" s="1708"/>
    </row>
    <row r="126" spans="2:16">
      <c r="B126" s="440">
        <v>4</v>
      </c>
      <c r="C126" s="29" t="str">
        <f>SDÖ5!C10</f>
        <v>Cuprozin Progress</v>
      </c>
      <c r="E126" s="1707">
        <f>IF(ISNA(VLOOKUP(B126,SDÖ5!$U$26:$X$37,SDÖ5!$U$23,FALSE)),0,(VLOOKUP(B126,SDÖ5!$U$26:$X$37,SDÖ5!$U$23,FALSE)))</f>
        <v>0</v>
      </c>
      <c r="L126" s="29"/>
      <c r="N126" s="1565" t="str">
        <f>'SD3'!C60</f>
        <v>Kartoffeln vorkeimen</v>
      </c>
      <c r="P126" s="1708"/>
    </row>
    <row r="127" spans="2:16">
      <c r="B127" s="440">
        <v>5</v>
      </c>
      <c r="C127" s="29" t="str">
        <f>SDÖ5!C11</f>
        <v>silico Sec</v>
      </c>
      <c r="E127" s="1707">
        <f>IF(ISNA(VLOOKUP(B127,SDÖ5!$U$26:$X$37,SDÖ5!$U$23,FALSE)),0,(VLOOKUP(B127,SDÖ5!$U$26:$X$37,SDÖ5!$U$23,FALSE)))</f>
        <v>0</v>
      </c>
      <c r="L127" s="29"/>
      <c r="N127" s="1565" t="str">
        <f>'SD3'!C61</f>
        <v>Pflanzkartoffeltransport,-laden 2,5 t/ha</v>
      </c>
      <c r="P127" s="1708"/>
    </row>
    <row r="128" spans="2:16">
      <c r="B128" s="440">
        <v>6</v>
      </c>
      <c r="C128" s="29">
        <f>SDÖ5!C12</f>
        <v>0</v>
      </c>
      <c r="E128" s="1707">
        <f>IF(ISNA(VLOOKUP(B128,SDÖ5!$U$26:$X$37,SDÖ5!$U$23,FALSE)),0,(VLOOKUP(B128,SDÖ5!$U$26:$X$37,SDÖ5!$U$23,FALSE)))</f>
        <v>0</v>
      </c>
      <c r="L128" s="29"/>
      <c r="N128" s="1565" t="e">
        <f>'SD3'!#REF!</f>
        <v>#REF!</v>
      </c>
      <c r="P128" s="1708"/>
    </row>
    <row r="129" spans="2:16">
      <c r="B129" s="440">
        <v>7</v>
      </c>
      <c r="C129" s="29">
        <f>SDÖ5!C13</f>
        <v>0</v>
      </c>
      <c r="E129" s="1707">
        <f>IF(ISNA(VLOOKUP(B129,SDÖ5!$U$26:$X$37,SDÖ5!$U$23,FALSE)),0,(VLOOKUP(B129,SDÖ5!$U$26:$X$37,SDÖ5!$U$23,FALSE)))</f>
        <v>0</v>
      </c>
      <c r="L129" s="29"/>
      <c r="N129" s="1565" t="str">
        <f>'SD3'!C62</f>
        <v>Legemaschine mit Kippbunker 4 r (Kartoffel)</v>
      </c>
      <c r="P129" s="1708"/>
    </row>
    <row r="130" spans="2:16">
      <c r="B130" s="440">
        <v>8</v>
      </c>
      <c r="C130" s="29">
        <f>SDÖ5!C14</f>
        <v>0</v>
      </c>
      <c r="E130" s="1707">
        <f>IF(ISNA(VLOOKUP(B130,SDÖ5!$U$26:$X$37,SDÖ5!$U$23,FALSE)),0,(VLOOKUP(B130,SDÖ5!$U$26:$X$37,SDÖ5!$U$23,FALSE)))</f>
        <v>0</v>
      </c>
      <c r="L130" s="29"/>
      <c r="N130" s="1565" t="str">
        <f>'SD3'!C63</f>
        <v>Häufeln 4 r, Vorauflauf (Kartoffel)</v>
      </c>
      <c r="P130" s="1708"/>
    </row>
    <row r="131" spans="2:16">
      <c r="B131" s="440">
        <v>9</v>
      </c>
      <c r="C131" s="29">
        <f>SDÖ5!C15</f>
        <v>0</v>
      </c>
      <c r="E131" s="1707">
        <f>IF(ISNA(VLOOKUP(B131,SDÖ5!$U$26:$X$37,SDÖ5!$U$23,FALSE)),0,(VLOOKUP(B131,SDÖ5!$U$26:$X$37,SDÖ5!$U$23,FALSE)))</f>
        <v>0</v>
      </c>
      <c r="L131" s="29"/>
      <c r="N131" s="1565" t="str">
        <f>'SD3'!C64</f>
        <v>Hacken Nachauflauf 4 r</v>
      </c>
      <c r="P131" s="1708"/>
    </row>
    <row r="132" spans="2:16">
      <c r="B132" s="440">
        <v>10</v>
      </c>
      <c r="C132" s="29">
        <f>SDÖ5!C16</f>
        <v>0</v>
      </c>
      <c r="E132" s="1707">
        <f>IF(ISNA(VLOOKUP(B132,SDÖ5!$U$26:$X$37,SDÖ5!$U$23,FALSE)),0,(VLOOKUP(B132,SDÖ5!$U$26:$X$37,SDÖ5!$U$23,FALSE)))</f>
        <v>0</v>
      </c>
      <c r="L132" s="29"/>
      <c r="N132" s="1565" t="e">
        <f>'SD3'!#REF!</f>
        <v>#REF!</v>
      </c>
      <c r="P132" s="1708"/>
    </row>
    <row r="133" spans="2:16">
      <c r="B133" s="440">
        <v>11</v>
      </c>
      <c r="C133" s="29" t="s">
        <v>1712</v>
      </c>
      <c r="E133" s="1707">
        <f>IF(ISNA(VLOOKUP(B133,SDÖ5!$U$26:$X$37,SDÖ5!$U$23,FALSE)),0,(VLOOKUP(B133,SDÖ5!$U$26:$X$37,SDÖ5!$U$23,FALSE)))</f>
        <v>0</v>
      </c>
      <c r="L133" s="29"/>
      <c r="N133" s="1565" t="str">
        <f>'SD3'!C65</f>
        <v>Häufeln 4 r, Nachauflauf (Kartoffel)</v>
      </c>
      <c r="P133" s="1708"/>
    </row>
    <row r="134" spans="2:16">
      <c r="B134" s="440">
        <v>12</v>
      </c>
      <c r="C134" s="29" t="e">
        <f>SDÖ5!#REF!</f>
        <v>#REF!</v>
      </c>
      <c r="E134" s="1707">
        <f>IF(ISNA(VLOOKUP(B134,SDÖ5!$U$26:$X$37,SDÖ5!$U$23,FALSE)),0,(VLOOKUP(B134,SDÖ5!$U$26:$X$37,SDÖ5!$U$23,FALSE)))</f>
        <v>0</v>
      </c>
      <c r="L134" s="29"/>
      <c r="N134" s="1565" t="e">
        <f>'SD3'!#REF!</f>
        <v>#REF!</v>
      </c>
    </row>
    <row r="135" spans="2:16">
      <c r="B135" s="440">
        <v>13</v>
      </c>
      <c r="C135" s="29" t="e">
        <f>SDÖ5!#REF!</f>
        <v>#REF!</v>
      </c>
      <c r="E135" s="1707">
        <f>IF(ISNA(VLOOKUP(B135,SDÖ5!$U$26:$X$37,SDÖ5!$U$23,FALSE)),0,(VLOOKUP(B135,SDÖ5!$U$26:$X$37,SDÖ5!$U$23,FALSE)))</f>
        <v>0</v>
      </c>
      <c r="L135" s="29"/>
      <c r="N135" s="1565" t="e">
        <f>'SD3'!#REF!</f>
        <v>#REF!</v>
      </c>
    </row>
    <row r="136" spans="2:16">
      <c r="B136" s="440">
        <v>14</v>
      </c>
      <c r="C136" s="29" t="e">
        <f>SDÖ5!#REF!</f>
        <v>#REF!</v>
      </c>
      <c r="E136" s="1707">
        <f>IF(ISNA(VLOOKUP(B136,SDÖ5!$U$26:$X$37,SDÖ5!$U$23,FALSE)),0,(VLOOKUP(B136,SDÖ5!$U$26:$X$37,SDÖ5!$U$23,FALSE)))</f>
        <v>0</v>
      </c>
      <c r="L136" s="29"/>
      <c r="N136" s="1565" t="e">
        <f>'SD3'!#REF!</f>
        <v>#REF!</v>
      </c>
    </row>
    <row r="137" spans="2:16">
      <c r="B137" s="440">
        <v>15</v>
      </c>
      <c r="C137" s="29"/>
      <c r="E137" s="1707">
        <f>IF(ISNA(VLOOKUP(B137,SDÖ5!$U$26:$X$37,SDÖ5!$U$23,FALSE)),0,(VLOOKUP(B137,SDÖ5!$U$26:$X$37,SDÖ5!$U$23,FALSE)))</f>
        <v>0</v>
      </c>
      <c r="L137" s="29"/>
      <c r="N137" s="1565" t="e">
        <f>'SD3'!#REF!</f>
        <v>#REF!</v>
      </c>
    </row>
    <row r="138" spans="2:16">
      <c r="B138" s="440">
        <v>16</v>
      </c>
      <c r="C138" s="29"/>
      <c r="E138" s="1707">
        <f>IF(ISNA(VLOOKUP(B138,SDÖ5!$U$26:$X$37,SDÖ5!$U$23,FALSE)),0,(VLOOKUP(B138,SDÖ5!$U$26:$X$37,SDÖ5!$U$23,FALSE)))</f>
        <v>0</v>
      </c>
      <c r="L138" s="29"/>
      <c r="N138" s="1565" t="e">
        <f>'SD3'!#REF!</f>
        <v>#REF!</v>
      </c>
    </row>
    <row r="139" spans="2:16">
      <c r="B139" s="440"/>
      <c r="C139" s="29"/>
      <c r="L139" s="29"/>
      <c r="N139" s="1565" t="e">
        <f>'SD3'!#REF!</f>
        <v>#REF!</v>
      </c>
    </row>
    <row r="140" spans="2:16">
      <c r="B140" s="440"/>
      <c r="C140" s="29"/>
      <c r="L140" s="29"/>
      <c r="N140" s="1565">
        <f>'SD3'!C73</f>
        <v>0</v>
      </c>
    </row>
    <row r="141" spans="2:16">
      <c r="B141" s="440"/>
      <c r="C141" s="29"/>
      <c r="L141" s="29"/>
      <c r="N141" s="1565">
        <f>'SD3'!C74</f>
        <v>0</v>
      </c>
    </row>
    <row r="142" spans="2:16">
      <c r="B142" s="440"/>
      <c r="C142" s="29" t="str">
        <f ca="1">MID(CELL("Dateiname",$A$1),FIND("]",CELL("Dateiname",$A$1))+1,31)</f>
        <v>TE7</v>
      </c>
      <c r="L142" s="29"/>
    </row>
    <row r="143" spans="2:16">
      <c r="B143" s="440"/>
      <c r="C143" s="29"/>
      <c r="L143" s="29"/>
    </row>
    <row r="144" spans="2:16">
      <c r="B144" s="440"/>
      <c r="C144" s="29"/>
      <c r="L144" s="29"/>
    </row>
    <row r="145" spans="2:12">
      <c r="B145" s="440"/>
      <c r="C145" s="29"/>
      <c r="L145" s="29"/>
    </row>
    <row r="146" spans="2:12">
      <c r="B146" s="440"/>
      <c r="C146" s="29"/>
      <c r="L146" s="29"/>
    </row>
    <row r="147" spans="2:12">
      <c r="B147" s="440"/>
      <c r="C147" s="29"/>
      <c r="L147" s="29"/>
    </row>
    <row r="148" spans="2:12">
      <c r="B148" s="440"/>
      <c r="C148" s="29"/>
      <c r="L148" s="29"/>
    </row>
    <row r="149" spans="2:12">
      <c r="B149" s="440"/>
      <c r="C149" s="29"/>
      <c r="L149" s="29"/>
    </row>
    <row r="150" spans="2:12">
      <c r="B150" s="440"/>
      <c r="C150" s="29"/>
      <c r="L150" s="29"/>
    </row>
    <row r="151" spans="2:12">
      <c r="B151" s="440"/>
      <c r="C151" s="29"/>
      <c r="L151" s="29"/>
    </row>
    <row r="152" spans="2:12">
      <c r="B152" s="440"/>
      <c r="C152" s="29"/>
    </row>
    <row r="153" spans="2:12">
      <c r="B153" s="440"/>
      <c r="C153" s="29"/>
      <c r="H153" s="1354"/>
      <c r="J153" s="1563"/>
    </row>
    <row r="154" spans="2:12">
      <c r="B154" s="440"/>
      <c r="C154" s="29"/>
      <c r="H154" s="1354"/>
      <c r="J154" s="1563"/>
    </row>
    <row r="155" spans="2:12">
      <c r="B155" s="440"/>
      <c r="C155" s="29"/>
      <c r="H155" s="1354"/>
      <c r="J155" s="1563"/>
    </row>
    <row r="156" spans="2:12">
      <c r="B156" s="440"/>
      <c r="C156" s="29"/>
      <c r="H156" s="1354"/>
      <c r="J156" s="1563"/>
    </row>
    <row r="157" spans="2:12">
      <c r="B157" s="440"/>
      <c r="C157" s="29"/>
      <c r="H157" s="1354"/>
      <c r="J157" s="1563"/>
    </row>
    <row r="158" spans="2:12">
      <c r="B158" s="440"/>
      <c r="C158" s="29"/>
      <c r="D158" s="29"/>
      <c r="F158" s="29"/>
      <c r="H158" s="29"/>
      <c r="I158" s="29"/>
      <c r="J158" s="29"/>
      <c r="K158" s="29"/>
    </row>
    <row r="159" spans="2:12">
      <c r="B159" s="440"/>
      <c r="C159" s="29"/>
      <c r="D159" s="29"/>
      <c r="F159" s="29"/>
      <c r="G159" s="29"/>
      <c r="H159" s="29"/>
      <c r="I159" s="29"/>
      <c r="J159" s="29"/>
      <c r="K159" s="29"/>
    </row>
    <row r="160" spans="2:12">
      <c r="B160" s="440"/>
      <c r="C160" s="29"/>
      <c r="D160" s="29"/>
      <c r="F160" s="29"/>
      <c r="G160" s="29"/>
      <c r="H160" s="29"/>
      <c r="I160" s="29"/>
      <c r="J160" s="29"/>
      <c r="K160" s="29"/>
    </row>
    <row r="161" spans="2:11">
      <c r="B161" s="440"/>
      <c r="C161" s="29"/>
      <c r="D161" s="29"/>
      <c r="F161" s="29"/>
      <c r="G161" s="29"/>
      <c r="H161" s="29"/>
      <c r="I161" s="29"/>
      <c r="J161" s="29"/>
      <c r="K161" s="29"/>
    </row>
    <row r="162" spans="2:11">
      <c r="B162" s="440"/>
      <c r="C162" s="29"/>
    </row>
    <row r="163" spans="2:11">
      <c r="B163" s="440"/>
      <c r="C163" s="29"/>
    </row>
    <row r="164" spans="2:11">
      <c r="B164" s="440"/>
      <c r="C164" s="29"/>
    </row>
    <row r="165" spans="2:11">
      <c r="B165" s="440"/>
      <c r="C165" s="29"/>
    </row>
    <row r="166" spans="2:11">
      <c r="B166" s="440"/>
      <c r="C166" s="29"/>
    </row>
    <row r="167" spans="2:11">
      <c r="B167" s="440"/>
      <c r="C167" s="29"/>
    </row>
    <row r="168" spans="2:11">
      <c r="B168" s="440"/>
      <c r="C168" s="29"/>
    </row>
    <row r="169" spans="2:11">
      <c r="B169" s="440"/>
      <c r="C169" s="29"/>
    </row>
    <row r="170" spans="2:11">
      <c r="B170" s="440"/>
      <c r="C170" s="29"/>
    </row>
    <row r="171" spans="2:11">
      <c r="B171" s="440"/>
      <c r="C171" s="29"/>
    </row>
    <row r="172" spans="2:11">
      <c r="B172" s="440"/>
      <c r="C172" s="29"/>
    </row>
    <row r="173" spans="2:11">
      <c r="B173" s="440"/>
      <c r="C173" s="29"/>
    </row>
    <row r="174" spans="2:11">
      <c r="B174" s="440"/>
      <c r="C174" s="29"/>
    </row>
    <row r="175" spans="2:11">
      <c r="B175" s="440"/>
      <c r="C175" s="29"/>
    </row>
    <row r="176" spans="2:11">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row r="207" spans="2:3">
      <c r="B207" s="440"/>
      <c r="C207" s="29"/>
    </row>
    <row r="208" spans="2:3">
      <c r="B208" s="440"/>
      <c r="C208" s="29"/>
    </row>
    <row r="209" spans="2:3">
      <c r="B209" s="440"/>
      <c r="C209" s="29"/>
    </row>
    <row r="210" spans="2:3">
      <c r="B210" s="440"/>
      <c r="C210" s="29"/>
    </row>
    <row r="211" spans="2:3">
      <c r="B211" s="440"/>
      <c r="C211" s="29"/>
    </row>
  </sheetData>
  <sheetProtection selectLockedCells="1"/>
  <customSheetViews>
    <customSheetView guid="{8063F48F-80B5-4ECD-B18A-51CBF126E780}" fitToPage="1" hiddenRows="1" state="hidden">
      <pageMargins left="0.59055118110236227" right="0.57999999999999996" top="0.59055118110236227" bottom="0.59055118110236227" header="0.39370078740157483" footer="0.39370078740157483"/>
      <printOptions horizontalCentered="1"/>
      <pageSetup paperSize="9" scale="68" firstPageNumber="70" orientation="portrait" r:id="rId1"/>
      <headerFooter alignWithMargins="0">
        <oddFooter>&amp;L&amp;11LEL Schwäbisch Gmünd&amp;C72&amp;R&amp;11&amp;F</oddFooter>
      </headerFooter>
    </customSheetView>
    <customSheetView guid="{5D5C9B61-9ABD-4513-AAEB-8333A9D6196C}" fitToPage="1" hiddenRows="1" state="hidden">
      <pageMargins left="0.59055118110236227" right="0.57999999999999996" top="0.59055118110236227" bottom="0.59055118110236227" header="0.39370078740157483" footer="0.39370078740157483"/>
      <printOptions horizontalCentered="1"/>
      <pageSetup paperSize="9" scale="68" firstPageNumber="70" orientation="portrait" r:id="rId2"/>
      <headerFooter alignWithMargins="0">
        <oddFooter>&amp;L&amp;11LEL Schwäbisch Gmünd&amp;C72&amp;R&amp;11&amp;F</oddFooter>
      </headerFooter>
    </customSheetView>
    <customSheetView guid="{22A73C4F-9004-4CEF-8499-B1F91BE1B569}" fitToPage="1" hiddenRows="1" state="hidden">
      <pageMargins left="0.59055118110236227" right="0.57999999999999996" top="0.59055118110236227" bottom="0.59055118110236227" header="0.39370078740157483" footer="0.39370078740157483"/>
      <printOptions horizontalCentered="1"/>
      <pageSetup paperSize="9" scale="68" firstPageNumber="70" orientation="portrait" r:id="rId3"/>
      <headerFooter alignWithMargins="0">
        <oddFooter>&amp;L&amp;11LEL Schwäbisch Gmünd&amp;C72&amp;R&amp;11&amp;F</oddFooter>
      </headerFooter>
    </customSheetView>
  </customSheetViews>
  <mergeCells count="49">
    <mergeCell ref="C15:F15"/>
    <mergeCell ref="E4:I4"/>
    <mergeCell ref="W4:Y4"/>
    <mergeCell ref="G1:I1"/>
    <mergeCell ref="J3:L3"/>
    <mergeCell ref="J4:L4"/>
    <mergeCell ref="K1:L1"/>
    <mergeCell ref="N1:O1"/>
    <mergeCell ref="K2:P2"/>
    <mergeCell ref="N3:O4"/>
    <mergeCell ref="W3:Y3"/>
    <mergeCell ref="H6:I6"/>
    <mergeCell ref="K6:L6"/>
    <mergeCell ref="N6:O6"/>
    <mergeCell ref="E10:F10"/>
    <mergeCell ref="C14:F14"/>
    <mergeCell ref="C40:E40"/>
    <mergeCell ref="C16:F16"/>
    <mergeCell ref="C17:F17"/>
    <mergeCell ref="C20:F20"/>
    <mergeCell ref="C21:F21"/>
    <mergeCell ref="D22:G22"/>
    <mergeCell ref="D25:E25"/>
    <mergeCell ref="D26:E26"/>
    <mergeCell ref="C36:E36"/>
    <mergeCell ref="C37:E37"/>
    <mergeCell ref="C38:E38"/>
    <mergeCell ref="C39:E39"/>
    <mergeCell ref="C55:D55"/>
    <mergeCell ref="C41:E41"/>
    <mergeCell ref="C42:E42"/>
    <mergeCell ref="C46:D46"/>
    <mergeCell ref="C47:D47"/>
    <mergeCell ref="C48:D48"/>
    <mergeCell ref="C49:D49"/>
    <mergeCell ref="C50:D50"/>
    <mergeCell ref="C51:D51"/>
    <mergeCell ref="C52:D52"/>
    <mergeCell ref="C53:D53"/>
    <mergeCell ref="C54:D54"/>
    <mergeCell ref="C74:E74"/>
    <mergeCell ref="C75:E75"/>
    <mergeCell ref="B76:C76"/>
    <mergeCell ref="C56:D56"/>
    <mergeCell ref="C57:D57"/>
    <mergeCell ref="C65:E65"/>
    <mergeCell ref="C66:E66"/>
    <mergeCell ref="C67:E67"/>
    <mergeCell ref="C69:E69"/>
  </mergeCells>
  <dataValidations count="5">
    <dataValidation type="list" allowBlank="1" showInputMessage="1" showErrorMessage="1" errorTitle="Organisationsabh. Ausgleichsl." error="Bitte aus Dropdownliste auswählen." sqref="C20:F21" xr:uid="{00000000-0002-0000-5500-000000000000}">
      <formula1>$G$81:$G$91</formula1>
    </dataValidation>
    <dataValidation type="whole" allowBlank="1" showInputMessage="1" showErrorMessage="1" errorTitle="Anteil Erntegut" error="Prozentwert darf nur zwischen 0 und 100 liegen." sqref="O69 L69 I69" xr:uid="{00000000-0002-0000-5500-000001000000}">
      <formula1>0</formula1>
      <formula2>100</formula2>
    </dataValidation>
    <dataValidation type="decimal" allowBlank="1" showInputMessage="1" showErrorMessage="1" errorTitle="Wassergehalt Getreide" error="Zulässig sind nur Werte zwischen 14,1 und 22,0 % Wassergehalt." sqref="H69 K69 N69" xr:uid="{00000000-0002-0000-5500-000002000000}">
      <formula1>14.1</formula1>
      <formula2>22</formula2>
    </dataValidation>
    <dataValidation type="list" allowBlank="1" showInputMessage="1" showErrorMessage="1" errorTitle="Verfahrensabh. Ausgleichsleist." error="Bitte aus Dropdownliste auswählen." sqref="C14:F17" xr:uid="{00000000-0002-0000-5500-000003000000}">
      <formula1>$C$81:$C$100</formula1>
    </dataValidation>
    <dataValidation type="list" allowBlank="1" showInputMessage="1" showErrorMessage="1" errorTitle="Pflanzenschutzmittel" error="Bitte aus Dropdownliste auswählen." sqref="C36:E42" xr:uid="{00000000-0002-0000-5500-000004000000}">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70" orientation="portrait" r:id="rId4"/>
  <headerFooter alignWithMargins="0">
    <oddFooter>&amp;L&amp;11LEL Schwäbisch Gmünd&amp;C72&amp;R&amp;11&amp;F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06512" r:id="rId7" name="Check Box 16">
              <controlPr defaultSize="0" autoFill="0" autoLine="0" autoPict="0">
                <anchor moveWithCells="1">
                  <from>
                    <xdr:col>18</xdr:col>
                    <xdr:colOff>213360</xdr:colOff>
                    <xdr:row>1</xdr:row>
                    <xdr:rowOff>259080</xdr:rowOff>
                  </from>
                  <to>
                    <xdr:col>18</xdr:col>
                    <xdr:colOff>464820</xdr:colOff>
                    <xdr:row>2</xdr:row>
                    <xdr:rowOff>182880</xdr:rowOff>
                  </to>
                </anchor>
              </controlPr>
            </control>
          </mc:Choice>
        </mc:AlternateContent>
        <mc:AlternateContent xmlns:mc="http://schemas.openxmlformats.org/markup-compatibility/2006">
          <mc:Choice Requires="x14">
            <control shapeId="106513" r:id="rId8" name="Check Box 17">
              <controlPr defaultSize="0" autoFill="0" autoLine="0" autoPict="0">
                <anchor moveWithCells="1">
                  <from>
                    <xdr:col>18</xdr:col>
                    <xdr:colOff>198120</xdr:colOff>
                    <xdr:row>1</xdr:row>
                    <xdr:rowOff>60960</xdr:rowOff>
                  </from>
                  <to>
                    <xdr:col>18</xdr:col>
                    <xdr:colOff>464820</xdr:colOff>
                    <xdr:row>1</xdr:row>
                    <xdr:rowOff>297180</xdr:rowOff>
                  </to>
                </anchor>
              </controlPr>
            </control>
          </mc:Choice>
        </mc:AlternateContent>
        <mc:AlternateContent xmlns:mc="http://schemas.openxmlformats.org/markup-compatibility/2006">
          <mc:Choice Requires="x14">
            <control shapeId="106514" r:id="rId9" name="Check Box 18">
              <controlPr defaultSize="0" print="0" autoFill="0" autoLine="0" autoPict="0">
                <anchor moveWithCells="1">
                  <from>
                    <xdr:col>10</xdr:col>
                    <xdr:colOff>175260</xdr:colOff>
                    <xdr:row>13</xdr:row>
                    <xdr:rowOff>60960</xdr:rowOff>
                  </from>
                  <to>
                    <xdr:col>10</xdr:col>
                    <xdr:colOff>388620</xdr:colOff>
                    <xdr:row>14</xdr:row>
                    <xdr:rowOff>45720</xdr:rowOff>
                  </to>
                </anchor>
              </controlPr>
            </control>
          </mc:Choice>
        </mc:AlternateContent>
        <mc:AlternateContent xmlns:mc="http://schemas.openxmlformats.org/markup-compatibility/2006">
          <mc:Choice Requires="x14">
            <control shapeId="106515" r:id="rId10" name="Check Box 19">
              <controlPr defaultSize="0" print="0" autoFill="0" autoLine="0" autoPict="0">
                <anchor moveWithCells="1">
                  <from>
                    <xdr:col>10</xdr:col>
                    <xdr:colOff>175260</xdr:colOff>
                    <xdr:row>14</xdr:row>
                    <xdr:rowOff>38100</xdr:rowOff>
                  </from>
                  <to>
                    <xdr:col>10</xdr:col>
                    <xdr:colOff>388620</xdr:colOff>
                    <xdr:row>14</xdr:row>
                    <xdr:rowOff>182880</xdr:rowOff>
                  </to>
                </anchor>
              </controlPr>
            </control>
          </mc:Choice>
        </mc:AlternateContent>
        <mc:AlternateContent xmlns:mc="http://schemas.openxmlformats.org/markup-compatibility/2006">
          <mc:Choice Requires="x14">
            <control shapeId="106516" r:id="rId11" name="Check Box 20">
              <controlPr defaultSize="0" print="0" autoFill="0" autoLine="0" autoPict="0">
                <anchor moveWithCells="1">
                  <from>
                    <xdr:col>10</xdr:col>
                    <xdr:colOff>175260</xdr:colOff>
                    <xdr:row>14</xdr:row>
                    <xdr:rowOff>175260</xdr:rowOff>
                  </from>
                  <to>
                    <xdr:col>10</xdr:col>
                    <xdr:colOff>388620</xdr:colOff>
                    <xdr:row>15</xdr:row>
                    <xdr:rowOff>121920</xdr:rowOff>
                  </to>
                </anchor>
              </controlPr>
            </control>
          </mc:Choice>
        </mc:AlternateContent>
        <mc:AlternateContent xmlns:mc="http://schemas.openxmlformats.org/markup-compatibility/2006">
          <mc:Choice Requires="x14">
            <control shapeId="106517" r:id="rId12" name="Check Box 21">
              <controlPr defaultSize="0" print="0" autoFill="0" autoLine="0" autoPict="0">
                <anchor moveWithCells="1">
                  <from>
                    <xdr:col>10</xdr:col>
                    <xdr:colOff>160020</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6518" r:id="rId13" name="Check Box 22">
              <controlPr defaultSize="0" print="0" autoFill="0" autoLine="0" autoPict="0">
                <anchor moveWithCells="1">
                  <from>
                    <xdr:col>7</xdr:col>
                    <xdr:colOff>137160</xdr:colOff>
                    <xdr:row>13</xdr:row>
                    <xdr:rowOff>38100</xdr:rowOff>
                  </from>
                  <to>
                    <xdr:col>7</xdr:col>
                    <xdr:colOff>365760</xdr:colOff>
                    <xdr:row>14</xdr:row>
                    <xdr:rowOff>22860</xdr:rowOff>
                  </to>
                </anchor>
              </controlPr>
            </control>
          </mc:Choice>
        </mc:AlternateContent>
        <mc:AlternateContent xmlns:mc="http://schemas.openxmlformats.org/markup-compatibility/2006">
          <mc:Choice Requires="x14">
            <control shapeId="106519" r:id="rId14" name="Check Box 23">
              <controlPr defaultSize="0" print="0" autoFill="0" autoLine="0" autoPict="0">
                <anchor moveWithCells="1">
                  <from>
                    <xdr:col>7</xdr:col>
                    <xdr:colOff>137160</xdr:colOff>
                    <xdr:row>14</xdr:row>
                    <xdr:rowOff>45720</xdr:rowOff>
                  </from>
                  <to>
                    <xdr:col>7</xdr:col>
                    <xdr:colOff>350520</xdr:colOff>
                    <xdr:row>15</xdr:row>
                    <xdr:rowOff>0</xdr:rowOff>
                  </to>
                </anchor>
              </controlPr>
            </control>
          </mc:Choice>
        </mc:AlternateContent>
        <mc:AlternateContent xmlns:mc="http://schemas.openxmlformats.org/markup-compatibility/2006">
          <mc:Choice Requires="x14">
            <control shapeId="106520" r:id="rId15" name="Check Box 24">
              <controlPr defaultSize="0" print="0" autoFill="0" autoLine="0" autoPict="0">
                <anchor moveWithCells="1">
                  <from>
                    <xdr:col>7</xdr:col>
                    <xdr:colOff>137160</xdr:colOff>
                    <xdr:row>15</xdr:row>
                    <xdr:rowOff>38100</xdr:rowOff>
                  </from>
                  <to>
                    <xdr:col>7</xdr:col>
                    <xdr:colOff>365760</xdr:colOff>
                    <xdr:row>15</xdr:row>
                    <xdr:rowOff>182880</xdr:rowOff>
                  </to>
                </anchor>
              </controlPr>
            </control>
          </mc:Choice>
        </mc:AlternateContent>
        <mc:AlternateContent xmlns:mc="http://schemas.openxmlformats.org/markup-compatibility/2006">
          <mc:Choice Requires="x14">
            <control shapeId="106521" r:id="rId16" name="Check Box 25">
              <controlPr defaultSize="0" print="0" autoFill="0" autoLine="0" autoPict="0">
                <anchor moveWithCells="1">
                  <from>
                    <xdr:col>7</xdr:col>
                    <xdr:colOff>160020</xdr:colOff>
                    <xdr:row>16</xdr:row>
                    <xdr:rowOff>38100</xdr:rowOff>
                  </from>
                  <to>
                    <xdr:col>7</xdr:col>
                    <xdr:colOff>388620</xdr:colOff>
                    <xdr:row>16</xdr:row>
                    <xdr:rowOff>182880</xdr:rowOff>
                  </to>
                </anchor>
              </controlPr>
            </control>
          </mc:Choice>
        </mc:AlternateContent>
        <mc:AlternateContent xmlns:mc="http://schemas.openxmlformats.org/markup-compatibility/2006">
          <mc:Choice Requires="x14">
            <control shapeId="106522" r:id="rId17" name="Check Box 26">
              <controlPr defaultSize="0" print="0" autoFill="0" autoLine="0" autoPict="0">
                <anchor moveWithCells="1">
                  <from>
                    <xdr:col>13</xdr:col>
                    <xdr:colOff>182880</xdr:colOff>
                    <xdr:row>13</xdr:row>
                    <xdr:rowOff>60960</xdr:rowOff>
                  </from>
                  <to>
                    <xdr:col>13</xdr:col>
                    <xdr:colOff>403860</xdr:colOff>
                    <xdr:row>14</xdr:row>
                    <xdr:rowOff>45720</xdr:rowOff>
                  </to>
                </anchor>
              </controlPr>
            </control>
          </mc:Choice>
        </mc:AlternateContent>
        <mc:AlternateContent xmlns:mc="http://schemas.openxmlformats.org/markup-compatibility/2006">
          <mc:Choice Requires="x14">
            <control shapeId="106523" r:id="rId18" name="Check Box 27">
              <controlPr defaultSize="0" print="0" autoFill="0" autoLine="0" autoPict="0">
                <anchor moveWithCells="1">
                  <from>
                    <xdr:col>13</xdr:col>
                    <xdr:colOff>182880</xdr:colOff>
                    <xdr:row>14</xdr:row>
                    <xdr:rowOff>38100</xdr:rowOff>
                  </from>
                  <to>
                    <xdr:col>13</xdr:col>
                    <xdr:colOff>403860</xdr:colOff>
                    <xdr:row>14</xdr:row>
                    <xdr:rowOff>182880</xdr:rowOff>
                  </to>
                </anchor>
              </controlPr>
            </control>
          </mc:Choice>
        </mc:AlternateContent>
        <mc:AlternateContent xmlns:mc="http://schemas.openxmlformats.org/markup-compatibility/2006">
          <mc:Choice Requires="x14">
            <control shapeId="106524" r:id="rId19" name="Check Box 28">
              <controlPr defaultSize="0" print="0" autoFill="0" autoLine="0" autoPict="0">
                <anchor moveWithCells="1">
                  <from>
                    <xdr:col>13</xdr:col>
                    <xdr:colOff>182880</xdr:colOff>
                    <xdr:row>15</xdr:row>
                    <xdr:rowOff>22860</xdr:rowOff>
                  </from>
                  <to>
                    <xdr:col>13</xdr:col>
                    <xdr:colOff>403860</xdr:colOff>
                    <xdr:row>15</xdr:row>
                    <xdr:rowOff>175260</xdr:rowOff>
                  </to>
                </anchor>
              </controlPr>
            </control>
          </mc:Choice>
        </mc:AlternateContent>
        <mc:AlternateContent xmlns:mc="http://schemas.openxmlformats.org/markup-compatibility/2006">
          <mc:Choice Requires="x14">
            <control shapeId="106525" r:id="rId20" name="Check Box 29">
              <controlPr defaultSize="0" print="0" autoFill="0" autoLine="0" autoPict="0">
                <anchor moveWithCells="1">
                  <from>
                    <xdr:col>13</xdr:col>
                    <xdr:colOff>182880</xdr:colOff>
                    <xdr:row>16</xdr:row>
                    <xdr:rowOff>22860</xdr:rowOff>
                  </from>
                  <to>
                    <xdr:col>13</xdr:col>
                    <xdr:colOff>403860</xdr:colOff>
                    <xdr:row>16</xdr:row>
                    <xdr:rowOff>175260</xdr:rowOff>
                  </to>
                </anchor>
              </controlPr>
            </control>
          </mc:Choice>
        </mc:AlternateContent>
        <mc:AlternateContent xmlns:mc="http://schemas.openxmlformats.org/markup-compatibility/2006">
          <mc:Choice Requires="x14">
            <control shapeId="106526" r:id="rId21" name="Check Box 30">
              <controlPr defaultSize="0" print="0" autoFill="0" autoLine="0" autoPict="0">
                <anchor moveWithCells="1">
                  <from>
                    <xdr:col>12</xdr:col>
                    <xdr:colOff>38100</xdr:colOff>
                    <xdr:row>2</xdr:row>
                    <xdr:rowOff>106680</xdr:rowOff>
                  </from>
                  <to>
                    <xdr:col>12</xdr:col>
                    <xdr:colOff>220980</xdr:colOff>
                    <xdr:row>2</xdr:row>
                    <xdr:rowOff>259080</xdr:rowOff>
                  </to>
                </anchor>
              </controlPr>
            </control>
          </mc:Choice>
        </mc:AlternateContent>
        <mc:AlternateContent xmlns:mc="http://schemas.openxmlformats.org/markup-compatibility/2006">
          <mc:Choice Requires="x14">
            <control shapeId="106527" r:id="rId22" name="Check Box 31">
              <controlPr defaultSize="0" print="0" autoFill="0" autoLine="0" autoPict="0">
                <anchor moveWithCells="1">
                  <from>
                    <xdr:col>12</xdr:col>
                    <xdr:colOff>45720</xdr:colOff>
                    <xdr:row>3</xdr:row>
                    <xdr:rowOff>60960</xdr:rowOff>
                  </from>
                  <to>
                    <xdr:col>12</xdr:col>
                    <xdr:colOff>228600</xdr:colOff>
                    <xdr:row>3</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Title="Arbeitsgänge" error="Bitte aus Dropdownliste auswählen." xr:uid="{00000000-0002-0000-5500-000005000000}">
          <x14:formula1>
            <xm:f>'SD3'!$C$23:$C$75</xm:f>
          </x14:formula1>
          <xm:sqref>C46:D57</xm:sqref>
        </x14:dataValidation>
        <x14:dataValidation type="list" allowBlank="1" showInputMessage="1" showErrorMessage="1" errorTitle="Lohnmaschinen" error="Bitte aus Dropdownliste auswählen." xr:uid="{00000000-0002-0000-5500-000006000000}">
          <x14:formula1>
            <xm:f>'SD3'!$C$90:$C$104</xm:f>
          </x14:formula1>
          <xm:sqref>C65:E67</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Tabelle101">
    <tabColor rgb="FFFF0000"/>
    <pageSetUpPr fitToPage="1"/>
  </sheetPr>
  <dimension ref="A1:AO211"/>
  <sheetViews>
    <sheetView workbookViewId="0"/>
  </sheetViews>
  <sheetFormatPr baseColWidth="10" defaultColWidth="10.5" defaultRowHeight="13.2"/>
  <cols>
    <col min="1" max="1" width="1.5" style="1707" customWidth="1"/>
    <col min="2" max="2" width="3.19921875" style="1707" customWidth="1"/>
    <col min="3" max="3" width="13.19921875" style="1707" customWidth="1"/>
    <col min="4" max="6" width="9.19921875" style="1707" customWidth="1"/>
    <col min="7" max="7" width="9.19921875" style="35" customWidth="1"/>
    <col min="8" max="8" width="7.19921875" style="1707" customWidth="1"/>
    <col min="9" max="9" width="8.09765625" style="1707" customWidth="1"/>
    <col min="10" max="11" width="7.19921875" style="1707" customWidth="1"/>
    <col min="12" max="12" width="7.69921875" style="1707" customWidth="1"/>
    <col min="13" max="14" width="7.19921875" style="1707" customWidth="1"/>
    <col min="15" max="15" width="7.69921875" style="1707" customWidth="1"/>
    <col min="16" max="16" width="7.19921875" style="1707" customWidth="1"/>
    <col min="17" max="17" width="19.69921875" style="1707" customWidth="1"/>
    <col min="18" max="16384" width="10.5" style="1711"/>
  </cols>
  <sheetData>
    <row r="1" spans="1:41" s="219" customFormat="1" ht="30.15" customHeight="1">
      <c r="A1" s="1681"/>
      <c r="B1" s="258"/>
      <c r="C1" s="1333"/>
      <c r="D1" s="100"/>
      <c r="E1" s="255"/>
      <c r="F1" s="255"/>
      <c r="G1" s="4477" t="s">
        <v>1136</v>
      </c>
      <c r="H1" s="4477"/>
      <c r="I1" s="4477"/>
      <c r="J1" s="1332" t="e">
        <f>(J7+J13+J19+J22+I11+I12)-(J23+J27+J34+J43+J63+J59+J68+J70+J72+J76)</f>
        <v>#REF!</v>
      </c>
      <c r="K1" s="4476" t="e">
        <f>M1-J1</f>
        <v>#REF!</v>
      </c>
      <c r="L1" s="4476"/>
      <c r="M1" s="1332" t="e">
        <f>(M7+M13+M19+M22+L11+L12)-(M23+M27+M34+M43+M63+M59+M68+M70+M72+M76)</f>
        <v>#REF!</v>
      </c>
      <c r="N1" s="4476" t="e">
        <f>P1-M1</f>
        <v>#REF!</v>
      </c>
      <c r="O1" s="4476"/>
      <c r="P1" s="1332" t="e">
        <f>(P7+P13+P19+P22+O11+O12)-(P23+P27+P34+P43+P63+P59+P68+P70+P72+P76)</f>
        <v>#REF!</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1344" t="s">
        <v>1371</v>
      </c>
      <c r="G2" s="1317"/>
      <c r="H2" s="1328"/>
      <c r="K2" s="4518" t="s">
        <v>1378</v>
      </c>
      <c r="L2" s="4518"/>
      <c r="M2" s="4518"/>
      <c r="N2" s="4518"/>
      <c r="O2" s="4518"/>
      <c r="P2" s="4518"/>
      <c r="Q2" s="1681"/>
    </row>
    <row r="3" spans="1:41" s="219" customFormat="1" ht="21.75" customHeight="1">
      <c r="A3" s="1681"/>
      <c r="B3" s="1344"/>
      <c r="G3" s="1317"/>
      <c r="H3" s="1328"/>
      <c r="J3" s="4368" t="s">
        <v>886</v>
      </c>
      <c r="K3" s="4447"/>
      <c r="L3" s="4447"/>
      <c r="M3" s="1327"/>
      <c r="N3" s="4444" t="str">
        <f>IF(AND(T3=TRUE,T4=TRUE),"nur 1 Strohnutzung möglich","")</f>
        <v/>
      </c>
      <c r="O3" s="4374"/>
      <c r="P3" s="1326"/>
      <c r="Q3" s="1681"/>
      <c r="T3" s="1343" t="b">
        <v>0</v>
      </c>
      <c r="W3" s="4368" t="s">
        <v>886</v>
      </c>
      <c r="X3" s="4447"/>
      <c r="Y3" s="4447"/>
      <c r="Z3" s="1327"/>
    </row>
    <row r="4" spans="1:41" s="219" customFormat="1" ht="20.25" customHeight="1">
      <c r="A4" s="1681"/>
      <c r="B4" s="309" t="s">
        <v>779</v>
      </c>
      <c r="C4" s="1711"/>
      <c r="D4" s="1711"/>
      <c r="E4" s="4406" t="s">
        <v>1147</v>
      </c>
      <c r="F4" s="4406"/>
      <c r="G4" s="4406"/>
      <c r="H4" s="4406"/>
      <c r="I4" s="4406"/>
      <c r="J4" s="4368" t="s">
        <v>875</v>
      </c>
      <c r="K4" s="4447"/>
      <c r="L4" s="4447"/>
      <c r="M4" s="1696"/>
      <c r="N4" s="4374"/>
      <c r="O4" s="4374"/>
      <c r="P4" s="1322">
        <f>SDÖ1!O3</f>
        <v>2024</v>
      </c>
      <c r="Q4" s="1681"/>
      <c r="T4" s="1343" t="b">
        <v>0</v>
      </c>
      <c r="W4" s="4368" t="s">
        <v>875</v>
      </c>
      <c r="X4" s="4447"/>
      <c r="Y4" s="4447"/>
      <c r="Z4" s="1696"/>
    </row>
    <row r="5" spans="1:41" ht="6" customHeight="1" thickBot="1"/>
    <row r="6" spans="1:41" s="1311" customFormat="1" ht="24" customHeight="1">
      <c r="A6" s="41"/>
      <c r="B6" s="2187" t="s">
        <v>832</v>
      </c>
      <c r="C6" s="2186"/>
      <c r="D6" s="2186"/>
      <c r="E6" s="2186"/>
      <c r="F6" s="2186"/>
      <c r="G6" s="2185" t="s">
        <v>1141</v>
      </c>
      <c r="H6" s="4510"/>
      <c r="I6" s="4511"/>
      <c r="J6" s="1678">
        <v>1</v>
      </c>
      <c r="K6" s="4512"/>
      <c r="L6" s="4513"/>
      <c r="M6" s="1678">
        <v>1</v>
      </c>
      <c r="N6" s="4514"/>
      <c r="O6" s="4515"/>
      <c r="P6" s="1677">
        <f>M6*1.25</f>
        <v>1.25</v>
      </c>
      <c r="Q6" s="49"/>
    </row>
    <row r="7" spans="1:41" s="196" customFormat="1" ht="18.75" customHeight="1">
      <c r="A7" s="40"/>
      <c r="B7" s="1676" t="s">
        <v>1133</v>
      </c>
      <c r="C7" s="40"/>
      <c r="D7" s="40"/>
      <c r="E7" s="40"/>
      <c r="F7" s="40"/>
      <c r="G7" s="1675" t="s">
        <v>163</v>
      </c>
      <c r="H7" s="1307"/>
      <c r="I7" s="1306"/>
      <c r="J7" s="1041">
        <f>SUM(I9:I10)</f>
        <v>0</v>
      </c>
      <c r="K7" s="1309"/>
      <c r="L7" s="1308"/>
      <c r="M7" s="1044">
        <f>SUM(L9:L10)</f>
        <v>0</v>
      </c>
      <c r="N7" s="1307"/>
      <c r="O7" s="1306"/>
      <c r="P7" s="1589">
        <f>SUM(O9:O10)</f>
        <v>0</v>
      </c>
      <c r="Q7" s="1707"/>
    </row>
    <row r="8" spans="1:41" s="196" customFormat="1" ht="13.2" customHeight="1">
      <c r="A8" s="40"/>
      <c r="B8" s="1665"/>
      <c r="C8" s="1305"/>
      <c r="D8" s="1305"/>
      <c r="E8" s="1305"/>
      <c r="F8" s="1305"/>
      <c r="G8" s="1585" t="s">
        <v>220</v>
      </c>
      <c r="H8" s="1655" t="s">
        <v>164</v>
      </c>
      <c r="I8" s="1581" t="s">
        <v>163</v>
      </c>
      <c r="J8" s="1026"/>
      <c r="K8" s="1657" t="s">
        <v>164</v>
      </c>
      <c r="L8" s="1583" t="s">
        <v>163</v>
      </c>
      <c r="M8" s="1227"/>
      <c r="N8" s="1655" t="s">
        <v>164</v>
      </c>
      <c r="O8" s="1581" t="s">
        <v>163</v>
      </c>
      <c r="P8" s="1580"/>
      <c r="Q8" s="1707"/>
    </row>
    <row r="9" spans="1:41" s="196" customFormat="1" ht="16.5" customHeight="1">
      <c r="A9" s="40"/>
      <c r="B9" s="1591"/>
      <c r="C9" s="39" t="s">
        <v>1132</v>
      </c>
      <c r="D9" s="40"/>
      <c r="E9" s="40"/>
      <c r="F9" s="40"/>
      <c r="G9" s="1221"/>
      <c r="H9" s="1303">
        <f>J6-H10</f>
        <v>0.75</v>
      </c>
      <c r="I9" s="1299">
        <f>H9*G9</f>
        <v>0</v>
      </c>
      <c r="J9" s="37"/>
      <c r="K9" s="1302">
        <f>M6-K10</f>
        <v>0.75</v>
      </c>
      <c r="L9" s="1301">
        <f>K9*G9</f>
        <v>0</v>
      </c>
      <c r="M9" s="1280"/>
      <c r="N9" s="1300">
        <f>P6-N10</f>
        <v>0.9375</v>
      </c>
      <c r="O9" s="1299">
        <f>N9*G9</f>
        <v>0</v>
      </c>
      <c r="P9" s="216"/>
      <c r="Q9" s="1707"/>
      <c r="R9" s="517"/>
      <c r="S9" s="208" t="s">
        <v>887</v>
      </c>
      <c r="T9" s="1298"/>
    </row>
    <row r="10" spans="1:41" s="1268" customFormat="1" ht="15" customHeight="1">
      <c r="A10" s="309"/>
      <c r="B10" s="1492"/>
      <c r="C10" s="223" t="s">
        <v>1131</v>
      </c>
      <c r="D10" s="1277"/>
      <c r="E10" s="4508" t="s">
        <v>1151</v>
      </c>
      <c r="F10" s="4509"/>
      <c r="G10" s="1297"/>
      <c r="H10" s="1292">
        <f>J6*0.25</f>
        <v>0.25</v>
      </c>
      <c r="I10" s="1291">
        <f>H10*G10</f>
        <v>0</v>
      </c>
      <c r="K10" s="1295">
        <f>M6*25%</f>
        <v>0.25</v>
      </c>
      <c r="L10" s="1294">
        <f>K10*G10</f>
        <v>0</v>
      </c>
      <c r="M10" s="1293"/>
      <c r="N10" s="1292">
        <f>P6*25%</f>
        <v>0.3125</v>
      </c>
      <c r="O10" s="1291">
        <f>N10*G10</f>
        <v>0</v>
      </c>
      <c r="P10" s="1674"/>
      <c r="Q10" s="34"/>
      <c r="R10" s="1289">
        <f>I10+I11+I12</f>
        <v>0</v>
      </c>
      <c r="S10" s="1288">
        <f>L10+L11+L12</f>
        <v>0</v>
      </c>
      <c r="T10" s="1287">
        <f>O10+O11+O12</f>
        <v>0</v>
      </c>
      <c r="W10" s="196" t="s">
        <v>879</v>
      </c>
    </row>
    <row r="11" spans="1:41" s="1268" customFormat="1" ht="15" customHeight="1">
      <c r="A11" s="309"/>
      <c r="B11" s="218"/>
      <c r="C11" s="39" t="s">
        <v>878</v>
      </c>
      <c r="D11" s="309"/>
      <c r="E11" s="1673">
        <v>0.8</v>
      </c>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216"/>
      <c r="Q11" s="34"/>
      <c r="W11" s="1268" t="s">
        <v>876</v>
      </c>
    </row>
    <row r="12" spans="1:41" s="1268" customFormat="1" ht="15" customHeight="1">
      <c r="A12" s="309"/>
      <c r="B12" s="1492"/>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216"/>
      <c r="Q12" s="34"/>
    </row>
    <row r="13" spans="1:41" s="196" customFormat="1" ht="18.75" customHeight="1">
      <c r="A13" s="40"/>
      <c r="B13" s="1591" t="s">
        <v>1130</v>
      </c>
      <c r="C13" s="40"/>
      <c r="D13" s="1672"/>
      <c r="E13" s="1672"/>
      <c r="F13" s="1672"/>
      <c r="G13" s="1671" t="s">
        <v>163</v>
      </c>
      <c r="H13" s="1351"/>
      <c r="I13" s="1249"/>
      <c r="J13" s="1041" t="e">
        <f>SUM(I14:I18)</f>
        <v>#REF!</v>
      </c>
      <c r="K13" s="1352"/>
      <c r="L13" s="1251"/>
      <c r="M13" s="1044" t="e">
        <f>SUM(L14:L18)</f>
        <v>#REF!</v>
      </c>
      <c r="N13" s="1351"/>
      <c r="O13" s="1249"/>
      <c r="P13" s="1589" t="e">
        <f>SUM(O14:O18)</f>
        <v>#REF!</v>
      </c>
      <c r="Q13" s="1707"/>
      <c r="R13" s="100"/>
      <c r="W13" s="1266" t="s">
        <v>872</v>
      </c>
      <c r="X13" s="1264" t="str">
        <f>IF(OR(T3=TRUE,T4=TRUE),J6*$E$11,"0")</f>
        <v>0</v>
      </c>
      <c r="Y13" s="1265" t="str">
        <f>IF(OR(T3=TRUE,T4=TRUE),M6*$E$11,"0")</f>
        <v>0</v>
      </c>
      <c r="Z13" s="1264" t="str">
        <f>IF(OR(T3=TRUE,T4=TRUE),P6*$E$11,"0")</f>
        <v>0</v>
      </c>
    </row>
    <row r="14" spans="1:41" s="36" customFormat="1" ht="15" customHeight="1">
      <c r="A14" s="39"/>
      <c r="B14" s="1669"/>
      <c r="C14" s="4484" t="s">
        <v>1029</v>
      </c>
      <c r="D14" s="4484"/>
      <c r="E14" s="4484"/>
      <c r="F14" s="4484"/>
      <c r="G14" s="1263"/>
      <c r="H14" s="1705"/>
      <c r="I14" s="1243" t="e">
        <f>IF(R14=TRUE,Q14,0)</f>
        <v>#REF!</v>
      </c>
      <c r="K14" s="1705"/>
      <c r="L14" s="1098" t="e">
        <f>IF(S14=TRUE,Q14,0)</f>
        <v>#REF!</v>
      </c>
      <c r="M14" s="1578"/>
      <c r="N14" s="1705"/>
      <c r="O14" s="1243" t="e">
        <f>IF(T14=TRUE,Q14,0)</f>
        <v>#REF!</v>
      </c>
      <c r="P14" s="1577"/>
      <c r="Q14" s="1261" t="e">
        <f>IF(C14=0,0,VLOOKUP(C14,#REF!,10,FALSE))</f>
        <v>#REF!</v>
      </c>
      <c r="R14" s="1350" t="b">
        <v>1</v>
      </c>
      <c r="S14" s="1349" t="b">
        <v>1</v>
      </c>
      <c r="T14" s="1348" t="b">
        <v>1</v>
      </c>
      <c r="W14" s="36" t="s">
        <v>236</v>
      </c>
      <c r="X14" s="1260">
        <f>$X$13*F30</f>
        <v>0</v>
      </c>
      <c r="Y14" s="1260">
        <f>$Y$13*F30</f>
        <v>0</v>
      </c>
      <c r="Z14" s="1260">
        <f>$Z$13*F30</f>
        <v>0</v>
      </c>
    </row>
    <row r="15" spans="1:41" s="36" customFormat="1" ht="15" customHeight="1">
      <c r="A15" s="39"/>
      <c r="B15" s="1669"/>
      <c r="C15" s="4484"/>
      <c r="D15" s="4484"/>
      <c r="E15" s="4484"/>
      <c r="F15" s="4484"/>
      <c r="G15" s="1263"/>
      <c r="H15" s="1705"/>
      <c r="I15" s="1243">
        <f>IF(R15=TRUE,Q15,0)</f>
        <v>0</v>
      </c>
      <c r="J15" s="45"/>
      <c r="K15" s="1705"/>
      <c r="L15" s="1098">
        <f>IF(S15=TRUE,Q15,0)</f>
        <v>0</v>
      </c>
      <c r="M15" s="1578"/>
      <c r="N15" s="1705"/>
      <c r="O15" s="1243">
        <f>IF(T15=TRUE,Q15,0)</f>
        <v>0</v>
      </c>
      <c r="P15" s="1577"/>
      <c r="Q15" s="1261">
        <f>IF(C15=0,0,VLOOKUP(C15,#REF!,10,FALSE))</f>
        <v>0</v>
      </c>
      <c r="R15" s="1347" t="b">
        <v>0</v>
      </c>
      <c r="S15" s="1343" t="b">
        <v>0</v>
      </c>
      <c r="T15" s="1346" t="b">
        <v>0</v>
      </c>
      <c r="W15" s="36" t="s">
        <v>685</v>
      </c>
      <c r="X15" s="1260">
        <f>$X$13*F31</f>
        <v>0</v>
      </c>
      <c r="Y15" s="1260">
        <f>$Y$13*F31</f>
        <v>0</v>
      </c>
      <c r="Z15" s="1260">
        <f>$Z$13*F31</f>
        <v>0</v>
      </c>
    </row>
    <row r="16" spans="1:41" s="36" customFormat="1" ht="15" customHeight="1">
      <c r="A16" s="39"/>
      <c r="B16" s="1669">
        <v>0</v>
      </c>
      <c r="C16" s="4484">
        <v>0</v>
      </c>
      <c r="D16" s="4484"/>
      <c r="E16" s="4484"/>
      <c r="F16" s="4484"/>
      <c r="G16" s="1263"/>
      <c r="H16" s="1705"/>
      <c r="I16" s="1243">
        <f>IF(R16=TRUE,Q16,0)</f>
        <v>0</v>
      </c>
      <c r="K16" s="1705"/>
      <c r="L16" s="1098">
        <f>IF(S16=TRUE,Q16,0)</f>
        <v>0</v>
      </c>
      <c r="M16" s="1578"/>
      <c r="N16" s="1705"/>
      <c r="O16" s="1243">
        <f>IF(T16=TRUE,Q16,0)</f>
        <v>0</v>
      </c>
      <c r="P16" s="1577"/>
      <c r="Q16" s="1261">
        <f>IF(C16=0,0,VLOOKUP(C16,#REF!,10,FALSE))</f>
        <v>0</v>
      </c>
      <c r="R16" s="1347" t="b">
        <v>0</v>
      </c>
      <c r="S16" s="1343" t="b">
        <v>0</v>
      </c>
      <c r="T16" s="1346" t="b">
        <v>0</v>
      </c>
      <c r="W16" s="36" t="s">
        <v>684</v>
      </c>
      <c r="X16" s="1260">
        <f>$X$13*F32</f>
        <v>0</v>
      </c>
      <c r="Y16" s="1260">
        <f>$Y$13*F32</f>
        <v>0</v>
      </c>
      <c r="Z16" s="1260">
        <f>$Z$13*F32</f>
        <v>0</v>
      </c>
    </row>
    <row r="17" spans="1:26" s="36" customFormat="1" ht="15" customHeight="1">
      <c r="A17" s="39"/>
      <c r="B17" s="1669"/>
      <c r="C17" s="4484">
        <v>0</v>
      </c>
      <c r="D17" s="4484"/>
      <c r="E17" s="4484"/>
      <c r="F17" s="4484"/>
      <c r="G17" s="1263"/>
      <c r="H17" s="1705"/>
      <c r="I17" s="1243">
        <f>IF(R17=TRUE,Q17,0)</f>
        <v>0</v>
      </c>
      <c r="K17" s="1705"/>
      <c r="L17" s="1098">
        <f>IF(S17=TRUE,Q17,0)</f>
        <v>0</v>
      </c>
      <c r="M17" s="1578"/>
      <c r="N17" s="1705"/>
      <c r="O17" s="1243">
        <f>IF(T17=TRUE,Q17,0)</f>
        <v>0</v>
      </c>
      <c r="P17" s="1577"/>
      <c r="Q17" s="1261">
        <f>IF(C17=0,0,VLOOKUP(C17,#REF!,10,FALSE))</f>
        <v>0</v>
      </c>
      <c r="R17" s="1347" t="b">
        <v>0</v>
      </c>
      <c r="S17" s="1343" t="b">
        <v>0</v>
      </c>
      <c r="T17" s="1346" t="b">
        <v>0</v>
      </c>
      <c r="W17" s="36" t="s">
        <v>230</v>
      </c>
      <c r="X17" s="1260">
        <f>$X$13*F33</f>
        <v>0</v>
      </c>
      <c r="Y17" s="1260">
        <f>$Y$13*F33</f>
        <v>0</v>
      </c>
      <c r="Z17" s="1260">
        <f>$Z$13*F33</f>
        <v>0</v>
      </c>
    </row>
    <row r="18" spans="1:26" s="36" customFormat="1" ht="15" customHeight="1">
      <c r="A18" s="39"/>
      <c r="B18" s="1603"/>
      <c r="C18" s="1259"/>
      <c r="D18" s="223"/>
      <c r="E18" s="223"/>
      <c r="F18" s="223"/>
      <c r="G18" s="1238"/>
      <c r="H18" s="1255"/>
      <c r="I18" s="1258">
        <f>IF($R18=TRUE,IF(G18=0,0,LOOKUP($G$18,#REF!)),0)</f>
        <v>0</v>
      </c>
      <c r="J18" s="223"/>
      <c r="K18" s="1255"/>
      <c r="L18" s="1257">
        <f>IF($S18=TRUE,IF(G18=0,0,LOOKUP($G$18,#REF!)),0)</f>
        <v>0</v>
      </c>
      <c r="M18" s="1256"/>
      <c r="N18" s="1255"/>
      <c r="O18" s="1254">
        <f>IF($T18=TRUE,IF(G18=0,0,LOOKUP($G$18,#REF!)),0)</f>
        <v>0</v>
      </c>
      <c r="P18" s="2184"/>
      <c r="Q18" s="1261">
        <f>IF(C18=0,0,VLOOKUP(C18,#REF!,10,FALSE))</f>
        <v>0</v>
      </c>
      <c r="R18" s="2183" t="b">
        <v>1</v>
      </c>
      <c r="S18" s="2182" t="b">
        <v>0</v>
      </c>
      <c r="T18" s="1319" t="b">
        <v>0</v>
      </c>
    </row>
    <row r="19" spans="1:26" s="1706" customFormat="1" ht="18.75" customHeight="1">
      <c r="A19" s="40"/>
      <c r="B19" s="1591" t="s">
        <v>1129</v>
      </c>
      <c r="C19" s="40"/>
      <c r="D19" s="40"/>
      <c r="E19" s="40"/>
      <c r="F19" s="40"/>
      <c r="G19" s="175" t="s">
        <v>163</v>
      </c>
      <c r="H19" s="1250"/>
      <c r="I19" s="1249"/>
      <c r="J19" s="1041" t="e">
        <f>SUM(I20:I21)</f>
        <v>#REF!</v>
      </c>
      <c r="K19" s="1252"/>
      <c r="L19" s="1251"/>
      <c r="M19" s="1044" t="e">
        <f>SUM(L20:L21)</f>
        <v>#REF!</v>
      </c>
      <c r="N19" s="1250"/>
      <c r="O19" s="1249"/>
      <c r="P19" s="1589" t="e">
        <f>SUM(O20:O21)</f>
        <v>#REF!</v>
      </c>
      <c r="Q19" s="1707"/>
      <c r="R19" s="514" t="s">
        <v>870</v>
      </c>
      <c r="S19" s="308"/>
      <c r="T19" s="1248"/>
    </row>
    <row r="20" spans="1:26" s="36" customFormat="1" ht="15" customHeight="1">
      <c r="A20" s="39"/>
      <c r="B20" s="1669"/>
      <c r="C20" s="4484" t="s">
        <v>276</v>
      </c>
      <c r="D20" s="4484"/>
      <c r="E20" s="4484"/>
      <c r="F20" s="4484"/>
      <c r="G20" s="1246"/>
      <c r="H20" s="1244"/>
      <c r="I20" s="1243" t="e">
        <f>IF(OR($C20=0,$J$6=0),0,VLOOKUP($C20,#REF!,10,FALSE))</f>
        <v>#REF!</v>
      </c>
      <c r="K20" s="1245"/>
      <c r="L20" s="1098" t="e">
        <f>IF($C20=0,0,VLOOKUP($C20,#REF!,10,FALSE))</f>
        <v>#REF!</v>
      </c>
      <c r="M20" s="1578"/>
      <c r="N20" s="1244"/>
      <c r="O20" s="1243" t="e">
        <f>IF(OR($C20=0,$P$6=0),0,VLOOKUP($C20,#REF!,10,FALSE))</f>
        <v>#REF!</v>
      </c>
      <c r="P20" s="1577"/>
      <c r="Q20" s="1707"/>
      <c r="R20" s="1242" t="e">
        <f>J13+J19</f>
        <v>#REF!</v>
      </c>
      <c r="S20" s="1241" t="e">
        <f>M13+M19</f>
        <v>#REF!</v>
      </c>
      <c r="T20" s="1240" t="e">
        <f>P13+P19</f>
        <v>#REF!</v>
      </c>
    </row>
    <row r="21" spans="1:26" s="36" customFormat="1" ht="0.75" customHeight="1">
      <c r="A21" s="39"/>
      <c r="B21" s="1668"/>
      <c r="C21" s="4501"/>
      <c r="D21" s="4501"/>
      <c r="E21" s="4501"/>
      <c r="F21" s="4501"/>
      <c r="G21" s="1238"/>
      <c r="H21" s="1236"/>
      <c r="I21" s="1235">
        <f>IF(OR($C21=0,$J$6=0),0,VLOOKUP($C21,#REF!,10,FALSE))</f>
        <v>0</v>
      </c>
      <c r="K21" s="1237"/>
      <c r="L21" s="1080">
        <f>IF(OR($C21=0,$M$6=0),0,VLOOKUP($C21,#REF!,10,FALSE))</f>
        <v>0</v>
      </c>
      <c r="M21" s="1578"/>
      <c r="N21" s="1236"/>
      <c r="O21" s="1235">
        <f>IF(OR($C21=0,$P$6=0),0,VLOOKUP($C21,#REF!,10,FALSE))</f>
        <v>0</v>
      </c>
      <c r="P21" s="1601"/>
      <c r="Q21" s="1707"/>
    </row>
    <row r="22" spans="1:26" ht="16.5" customHeight="1">
      <c r="A22" s="309"/>
      <c r="B22" s="1591" t="s">
        <v>610</v>
      </c>
      <c r="C22" s="39"/>
      <c r="D22" s="4502"/>
      <c r="E22" s="4502"/>
      <c r="F22" s="4502"/>
      <c r="G22" s="4503"/>
      <c r="H22" s="1231"/>
      <c r="I22" s="1230"/>
      <c r="J22" s="1229"/>
      <c r="K22" s="1233"/>
      <c r="L22" s="1232"/>
      <c r="M22" s="1229"/>
      <c r="N22" s="1231"/>
      <c r="O22" s="1230"/>
      <c r="P22" s="1667"/>
      <c r="R22" s="1707"/>
      <c r="S22" s="1707"/>
      <c r="T22" s="1707"/>
    </row>
    <row r="23" spans="1:26" ht="18.75" customHeight="1">
      <c r="A23" s="309"/>
      <c r="B23" s="1666" t="s">
        <v>214</v>
      </c>
      <c r="C23" s="1228"/>
      <c r="D23" s="1228"/>
      <c r="G23" s="1650" t="s">
        <v>163</v>
      </c>
      <c r="H23" s="1043"/>
      <c r="I23" s="1042"/>
      <c r="J23" s="1026">
        <f>SUM(I25:I26)</f>
        <v>0</v>
      </c>
      <c r="K23" s="1046"/>
      <c r="L23" s="1045"/>
      <c r="M23" s="1227">
        <f>SUM(L25:L26)</f>
        <v>0</v>
      </c>
      <c r="N23" s="1043"/>
      <c r="O23" s="1042"/>
      <c r="P23" s="1580">
        <f>SUM(O25:O26)</f>
        <v>0</v>
      </c>
    </row>
    <row r="24" spans="1:26" ht="13.2" customHeight="1">
      <c r="A24" s="309"/>
      <c r="B24" s="1665"/>
      <c r="C24" s="1039" t="s">
        <v>837</v>
      </c>
      <c r="D24" s="1110">
        <f>SDÖ1!$O$10</f>
        <v>0</v>
      </c>
      <c r="E24" s="1664"/>
      <c r="F24" s="1585" t="s">
        <v>239</v>
      </c>
      <c r="G24" s="1608" t="s">
        <v>836</v>
      </c>
      <c r="H24" s="1655" t="s">
        <v>857</v>
      </c>
      <c r="I24" s="1581" t="s">
        <v>163</v>
      </c>
      <c r="J24" s="1663"/>
      <c r="K24" s="1657" t="s">
        <v>857</v>
      </c>
      <c r="L24" s="1583" t="s">
        <v>163</v>
      </c>
      <c r="M24" s="1662"/>
      <c r="N24" s="1655" t="s">
        <v>857</v>
      </c>
      <c r="O24" s="1581" t="s">
        <v>163</v>
      </c>
      <c r="P24" s="1645"/>
    </row>
    <row r="25" spans="1:26" s="36" customFormat="1" ht="15" customHeight="1">
      <c r="A25" s="746"/>
      <c r="B25" s="1661"/>
      <c r="C25" s="746" t="s">
        <v>866</v>
      </c>
      <c r="D25" s="4383"/>
      <c r="E25" s="4384"/>
      <c r="F25" s="1222"/>
      <c r="G25" s="1221">
        <f>F25*(100+$D$24)/100</f>
        <v>0</v>
      </c>
      <c r="H25" s="1220"/>
      <c r="I25" s="1181">
        <f>H25*$G25</f>
        <v>0</v>
      </c>
      <c r="K25" s="1220"/>
      <c r="L25" s="1023">
        <f>K25*$G25</f>
        <v>0</v>
      </c>
      <c r="M25" s="1578"/>
      <c r="N25" s="1220"/>
      <c r="O25" s="1181">
        <f>N25*$G25</f>
        <v>0</v>
      </c>
      <c r="P25" s="1623"/>
      <c r="Q25" s="1707"/>
      <c r="R25" s="36" t="s">
        <v>1377</v>
      </c>
    </row>
    <row r="26" spans="1:26" s="36" customFormat="1" ht="15" customHeight="1">
      <c r="A26" s="746"/>
      <c r="B26" s="1593"/>
      <c r="C26" s="1682" t="s">
        <v>183</v>
      </c>
      <c r="D26" s="4385"/>
      <c r="E26" s="4386"/>
      <c r="F26" s="1218"/>
      <c r="G26" s="1217">
        <f>F26*(100+$D$24)/100</f>
        <v>0</v>
      </c>
      <c r="H26" s="1216"/>
      <c r="I26" s="1177">
        <f>H26*$G26</f>
        <v>0</v>
      </c>
      <c r="K26" s="1216"/>
      <c r="L26" s="1017">
        <f>K26*$G26</f>
        <v>0</v>
      </c>
      <c r="M26" s="1578"/>
      <c r="N26" s="1216"/>
      <c r="O26" s="1177">
        <f>N26*$G26</f>
        <v>0</v>
      </c>
      <c r="P26" s="1640"/>
      <c r="Q26" s="1707"/>
    </row>
    <row r="27" spans="1:26" s="1706" customFormat="1" ht="18.75" customHeight="1">
      <c r="A27" s="711"/>
      <c r="B27" s="1639" t="s">
        <v>213</v>
      </c>
      <c r="C27" s="711"/>
      <c r="D27" s="1660" t="str">
        <f>IF(SDÖ1!V17=FALSE,"(Nährstoffabfuhr nicht bewertet)","(Nährstoffabfuhr bewertet)")</f>
        <v>(Nährstoffabfuhr nicht bewertet)</v>
      </c>
      <c r="E27" s="1707"/>
      <c r="F27" s="1707"/>
      <c r="G27" s="1650" t="s">
        <v>163</v>
      </c>
      <c r="H27" s="1173"/>
      <c r="I27" s="1172"/>
      <c r="J27" s="1041">
        <f>SUM(I30:I33)</f>
        <v>0</v>
      </c>
      <c r="K27" s="1175"/>
      <c r="L27" s="1174"/>
      <c r="M27" s="1044">
        <f>SUM(L30:L33)</f>
        <v>0</v>
      </c>
      <c r="N27" s="1173"/>
      <c r="O27" s="1172"/>
      <c r="P27" s="1589">
        <f>SUM(O30:O33)</f>
        <v>0</v>
      </c>
      <c r="Q27" s="1707"/>
    </row>
    <row r="28" spans="1:26" s="1706" customFormat="1" ht="13.65" customHeight="1">
      <c r="A28" s="711"/>
      <c r="B28" s="1633"/>
      <c r="C28" s="1709"/>
      <c r="D28" s="1213" t="s">
        <v>706</v>
      </c>
      <c r="E28" s="1213" t="s">
        <v>864</v>
      </c>
      <c r="F28" s="1213" t="s">
        <v>864</v>
      </c>
      <c r="G28" s="1212" t="s">
        <v>863</v>
      </c>
      <c r="H28" s="1172"/>
      <c r="I28" s="1209"/>
      <c r="J28" s="1710"/>
      <c r="K28" s="1175"/>
      <c r="L28" s="1105"/>
      <c r="M28" s="1210"/>
      <c r="N28" s="1173"/>
      <c r="O28" s="1209"/>
      <c r="P28" s="1580"/>
      <c r="Q28" s="1707"/>
    </row>
    <row r="29" spans="1:26" s="1706" customFormat="1" ht="15" customHeight="1">
      <c r="A29" s="711"/>
      <c r="B29" s="1659"/>
      <c r="C29" s="747" t="s">
        <v>862</v>
      </c>
      <c r="D29" s="1586" t="s">
        <v>611</v>
      </c>
      <c r="E29" s="1586" t="s">
        <v>861</v>
      </c>
      <c r="F29" s="1586" t="s">
        <v>860</v>
      </c>
      <c r="G29" s="1586" t="s">
        <v>612</v>
      </c>
      <c r="H29" s="1655" t="s">
        <v>612</v>
      </c>
      <c r="I29" s="1581" t="s">
        <v>163</v>
      </c>
      <c r="J29" s="1658"/>
      <c r="K29" s="1657" t="s">
        <v>612</v>
      </c>
      <c r="L29" s="1583" t="s">
        <v>163</v>
      </c>
      <c r="M29" s="1656"/>
      <c r="N29" s="1655" t="s">
        <v>612</v>
      </c>
      <c r="O29" s="1581" t="s">
        <v>163</v>
      </c>
      <c r="P29" s="1654"/>
      <c r="Q29" s="1707"/>
    </row>
    <row r="30" spans="1:26" s="36" customFormat="1" ht="15" customHeight="1">
      <c r="A30" s="746"/>
      <c r="B30" s="1653"/>
      <c r="C30" s="1202" t="s">
        <v>236</v>
      </c>
      <c r="D30" s="1150">
        <f>IF(SDÖ1!$V$17=TRUE,SDÖ1!O56,0)</f>
        <v>0</v>
      </c>
      <c r="E30" s="1652"/>
      <c r="F30" s="1652"/>
      <c r="G30" s="1200"/>
      <c r="H30" s="1198">
        <f>IF(J$6=0,0,(J$6*$E30+$G30+X14))</f>
        <v>0</v>
      </c>
      <c r="I30" s="1181">
        <f>H30*$D30</f>
        <v>0</v>
      </c>
      <c r="K30" s="1199">
        <f>IF(M$6=0,0,(M$6*$E30+$G30+Y14))</f>
        <v>0</v>
      </c>
      <c r="L30" s="1023">
        <f>K30*$D30</f>
        <v>0</v>
      </c>
      <c r="M30" s="1578"/>
      <c r="N30" s="1198">
        <f>IF(P$6=0,0,(P$6*$E30+$G30+Z14))</f>
        <v>0</v>
      </c>
      <c r="O30" s="1181">
        <f>N30*$D30</f>
        <v>0</v>
      </c>
      <c r="P30" s="1623"/>
      <c r="Q30" s="1707"/>
    </row>
    <row r="31" spans="1:26" s="36" customFormat="1" ht="15" customHeight="1">
      <c r="A31" s="746"/>
      <c r="B31" s="218"/>
      <c r="C31" s="746" t="s">
        <v>234</v>
      </c>
      <c r="D31" s="1150">
        <f>IF(SDÖ1!$V$17=TRUE,SDÖ1!O57,0)</f>
        <v>0</v>
      </c>
      <c r="E31" s="1652"/>
      <c r="F31" s="1652"/>
      <c r="G31" s="1200"/>
      <c r="H31" s="1198">
        <f>IF(J$6=0,0,(J$6*$E31+$G31+X15))</f>
        <v>0</v>
      </c>
      <c r="I31" s="1181">
        <f>H31*$D31</f>
        <v>0</v>
      </c>
      <c r="K31" s="1199">
        <f>IF(M$6=0,0,(M$6*$E31+$G31+Y15))</f>
        <v>0</v>
      </c>
      <c r="L31" s="1023">
        <f>K31*$D31</f>
        <v>0</v>
      </c>
      <c r="M31" s="1578"/>
      <c r="N31" s="1198">
        <f>IF(P$6=0,0,(P$6*$E31+$G31+Z15))</f>
        <v>0</v>
      </c>
      <c r="O31" s="1181">
        <f>N31*$D31</f>
        <v>0</v>
      </c>
      <c r="P31" s="1623"/>
      <c r="Q31" s="1707"/>
    </row>
    <row r="32" spans="1:26" s="36" customFormat="1" ht="15" customHeight="1">
      <c r="A32" s="746"/>
      <c r="B32" s="218"/>
      <c r="C32" s="746" t="s">
        <v>232</v>
      </c>
      <c r="D32" s="1150">
        <f>IF(SDÖ1!$V$17=TRUE,SDÖ1!O58,0)</f>
        <v>0</v>
      </c>
      <c r="E32" s="1652"/>
      <c r="F32" s="1652"/>
      <c r="G32" s="1200"/>
      <c r="H32" s="1198">
        <f>IF(J$6=0,0,(J$6*$E32+$G32+X16))</f>
        <v>0</v>
      </c>
      <c r="I32" s="1181">
        <f>H32*$D32</f>
        <v>0</v>
      </c>
      <c r="K32" s="1199">
        <f>IF(M$6=0,0,(M$6*$E32+$G32+Y16))</f>
        <v>0</v>
      </c>
      <c r="L32" s="1023">
        <f>K32*$D32</f>
        <v>0</v>
      </c>
      <c r="M32" s="1578"/>
      <c r="N32" s="1198">
        <f>IF(P$6=0,0,(P$6*$E32+$G32+Z16))</f>
        <v>0</v>
      </c>
      <c r="O32" s="1181">
        <f>N32*$D32</f>
        <v>0</v>
      </c>
      <c r="P32" s="1623"/>
      <c r="Q32" s="1707"/>
    </row>
    <row r="33" spans="1:17" s="36" customFormat="1" ht="15" customHeight="1">
      <c r="A33" s="746"/>
      <c r="B33" s="1492"/>
      <c r="C33" s="771" t="s">
        <v>230</v>
      </c>
      <c r="D33" s="1133">
        <f>IF(SDÖ1!$V$17=TRUE,SDÖ1!P59,0)</f>
        <v>0</v>
      </c>
      <c r="E33" s="1651"/>
      <c r="F33" s="1651"/>
      <c r="G33" s="1196"/>
      <c r="H33" s="1194">
        <f>IF(J$6=0,0,(J$6*$E33+$G33+X17))</f>
        <v>0</v>
      </c>
      <c r="I33" s="1177">
        <f>H33*$D33</f>
        <v>0</v>
      </c>
      <c r="K33" s="1195">
        <f>IF(M$6=0,0,(M$6*$E33+$G33+Y17))</f>
        <v>0</v>
      </c>
      <c r="L33" s="1017">
        <f>K33*$D33</f>
        <v>0</v>
      </c>
      <c r="M33" s="1578"/>
      <c r="N33" s="1194">
        <f>IF(P$6=0,0,(P$6*$E33+$G33+Z17))</f>
        <v>0</v>
      </c>
      <c r="O33" s="1177">
        <f>N33*$D33</f>
        <v>0</v>
      </c>
      <c r="P33" s="1640"/>
      <c r="Q33" s="1707"/>
    </row>
    <row r="34" spans="1:17" s="1706" customFormat="1" ht="18.75" customHeight="1">
      <c r="A34" s="711"/>
      <c r="B34" s="1594" t="s">
        <v>212</v>
      </c>
      <c r="C34" s="711"/>
      <c r="G34" s="1650" t="s">
        <v>163</v>
      </c>
      <c r="H34" s="1191"/>
      <c r="I34" s="1190"/>
      <c r="J34" s="1041">
        <f>SUM(I36:I42)</f>
        <v>0</v>
      </c>
      <c r="K34" s="1193"/>
      <c r="L34" s="1192"/>
      <c r="M34" s="1044">
        <f>SUM(L36:L42)</f>
        <v>0</v>
      </c>
      <c r="N34" s="1191"/>
      <c r="O34" s="1190"/>
      <c r="P34" s="1589">
        <f>SUM(O36:O42)</f>
        <v>0</v>
      </c>
      <c r="Q34" s="1707"/>
    </row>
    <row r="35" spans="1:17" s="1706" customFormat="1" ht="13.2" customHeight="1">
      <c r="A35" s="711"/>
      <c r="B35" s="1588"/>
      <c r="C35" s="1039" t="s">
        <v>837</v>
      </c>
      <c r="D35" s="1110">
        <f>SDÖ1!$O$11</f>
        <v>0</v>
      </c>
      <c r="E35" s="1587"/>
      <c r="F35" s="1585" t="s">
        <v>239</v>
      </c>
      <c r="G35" s="1608" t="s">
        <v>836</v>
      </c>
      <c r="H35" s="1646" t="s">
        <v>857</v>
      </c>
      <c r="I35" s="1581" t="s">
        <v>163</v>
      </c>
      <c r="J35" s="1649"/>
      <c r="K35" s="1648" t="s">
        <v>857</v>
      </c>
      <c r="L35" s="1583" t="s">
        <v>163</v>
      </c>
      <c r="M35" s="1647"/>
      <c r="N35" s="1646" t="s">
        <v>857</v>
      </c>
      <c r="O35" s="1581" t="s">
        <v>163</v>
      </c>
      <c r="P35" s="1580"/>
      <c r="Q35" s="1707"/>
    </row>
    <row r="36" spans="1:17" s="36" customFormat="1" ht="15" customHeight="1">
      <c r="A36" s="746"/>
      <c r="B36" s="1579"/>
      <c r="C36" s="4490"/>
      <c r="D36" s="4490"/>
      <c r="E36" s="4491"/>
      <c r="F36" s="1183">
        <f>IF(C36=0,0,VLOOKUP(C36,SDÖ5!$C$7:$D$16,2,FALSE))</f>
        <v>0</v>
      </c>
      <c r="G36" s="1183">
        <f t="shared" ref="G36:G42" si="0">F36*(100+$D$35)/100</f>
        <v>0</v>
      </c>
      <c r="H36" s="1643"/>
      <c r="I36" s="1181">
        <f t="shared" ref="I36:I42" si="1">$G36*H36</f>
        <v>0</v>
      </c>
      <c r="K36" s="1643"/>
      <c r="L36" s="1023">
        <f t="shared" ref="L36:L42" si="2">$G36*K36</f>
        <v>0</v>
      </c>
      <c r="M36" s="1578"/>
      <c r="N36" s="1643"/>
      <c r="O36" s="1181">
        <f t="shared" ref="O36:O42" si="3">$G36*N36</f>
        <v>0</v>
      </c>
      <c r="P36" s="1645"/>
      <c r="Q36" s="1707"/>
    </row>
    <row r="37" spans="1:17" s="36" customFormat="1" ht="15" customHeight="1">
      <c r="A37" s="746"/>
      <c r="B37" s="1579"/>
      <c r="C37" s="4488"/>
      <c r="D37" s="4488"/>
      <c r="E37" s="4489"/>
      <c r="F37" s="1183">
        <f>IF(C37=0,0,VLOOKUP(C37,SDÖ5!$C$7:$D$16,2,FALSE))</f>
        <v>0</v>
      </c>
      <c r="G37" s="1183">
        <f t="shared" si="0"/>
        <v>0</v>
      </c>
      <c r="H37" s="1643"/>
      <c r="I37" s="1181">
        <f t="shared" si="1"/>
        <v>0</v>
      </c>
      <c r="K37" s="1643"/>
      <c r="L37" s="1023">
        <f t="shared" si="2"/>
        <v>0</v>
      </c>
      <c r="M37" s="1578"/>
      <c r="N37" s="1643"/>
      <c r="O37" s="1181">
        <f t="shared" si="3"/>
        <v>0</v>
      </c>
      <c r="P37" s="1623"/>
      <c r="Q37" s="1707"/>
    </row>
    <row r="38" spans="1:17" s="36" customFormat="1" ht="15" customHeight="1">
      <c r="A38" s="746"/>
      <c r="B38" s="1644"/>
      <c r="C38" s="4488"/>
      <c r="D38" s="4488"/>
      <c r="E38" s="4489"/>
      <c r="F38" s="1183">
        <f>IF(C38=0,0,VLOOKUP(C38,SDÖ5!$C$7:$D$16,2,FALSE))</f>
        <v>0</v>
      </c>
      <c r="G38" s="1183">
        <f t="shared" si="0"/>
        <v>0</v>
      </c>
      <c r="H38" s="1643"/>
      <c r="I38" s="1181">
        <f t="shared" si="1"/>
        <v>0</v>
      </c>
      <c r="K38" s="1643"/>
      <c r="L38" s="1023">
        <f t="shared" si="2"/>
        <v>0</v>
      </c>
      <c r="M38" s="1578"/>
      <c r="N38" s="1643"/>
      <c r="O38" s="1181">
        <f t="shared" si="3"/>
        <v>0</v>
      </c>
      <c r="P38" s="1623"/>
      <c r="Q38" s="1707"/>
    </row>
    <row r="39" spans="1:17" s="36" customFormat="1" ht="15" hidden="1" customHeight="1">
      <c r="A39" s="746"/>
      <c r="B39" s="1579"/>
      <c r="C39" s="4488"/>
      <c r="D39" s="4488"/>
      <c r="E39" s="4489"/>
      <c r="F39" s="1183">
        <f>IF(C39=0,0,VLOOKUP(C39,SDÖ5!$C$7:$D$16,2,FALSE))</f>
        <v>0</v>
      </c>
      <c r="G39" s="1183">
        <f t="shared" si="0"/>
        <v>0</v>
      </c>
      <c r="H39" s="1643"/>
      <c r="I39" s="1181">
        <f t="shared" si="1"/>
        <v>0</v>
      </c>
      <c r="K39" s="1643"/>
      <c r="L39" s="1023">
        <f t="shared" si="2"/>
        <v>0</v>
      </c>
      <c r="M39" s="1578"/>
      <c r="N39" s="1643"/>
      <c r="O39" s="1181">
        <f t="shared" si="3"/>
        <v>0</v>
      </c>
      <c r="P39" s="1623"/>
      <c r="Q39" s="1707"/>
    </row>
    <row r="40" spans="1:17" s="36" customFormat="1" ht="15" hidden="1" customHeight="1">
      <c r="A40" s="746"/>
      <c r="B40" s="1579"/>
      <c r="C40" s="4488"/>
      <c r="D40" s="4488"/>
      <c r="E40" s="4489"/>
      <c r="F40" s="1183">
        <f>IF(C40=0,0,VLOOKUP(C40,SDÖ5!$C$7:$D$16,2,FALSE))</f>
        <v>0</v>
      </c>
      <c r="G40" s="1183">
        <f t="shared" si="0"/>
        <v>0</v>
      </c>
      <c r="H40" s="1643"/>
      <c r="I40" s="1181">
        <f t="shared" si="1"/>
        <v>0</v>
      </c>
      <c r="K40" s="1643"/>
      <c r="L40" s="1023">
        <f t="shared" si="2"/>
        <v>0</v>
      </c>
      <c r="M40" s="1578"/>
      <c r="N40" s="1643"/>
      <c r="O40" s="1181">
        <f t="shared" si="3"/>
        <v>0</v>
      </c>
      <c r="P40" s="1623"/>
      <c r="Q40" s="1707"/>
    </row>
    <row r="41" spans="1:17" s="36" customFormat="1" ht="15" hidden="1" customHeight="1">
      <c r="A41" s="746"/>
      <c r="B41" s="1579"/>
      <c r="C41" s="4488"/>
      <c r="D41" s="4488"/>
      <c r="E41" s="4489"/>
      <c r="F41" s="1183">
        <f>IF(C41=0,0,VLOOKUP(C41,SDÖ5!$C$7:$D$16,2,FALSE))</f>
        <v>0</v>
      </c>
      <c r="G41" s="1183">
        <f t="shared" si="0"/>
        <v>0</v>
      </c>
      <c r="H41" s="1643"/>
      <c r="I41" s="1181">
        <f t="shared" si="1"/>
        <v>0</v>
      </c>
      <c r="K41" s="1643"/>
      <c r="L41" s="1023">
        <f t="shared" si="2"/>
        <v>0</v>
      </c>
      <c r="M41" s="1578"/>
      <c r="N41" s="1643"/>
      <c r="O41" s="1181">
        <f t="shared" si="3"/>
        <v>0</v>
      </c>
      <c r="P41" s="1623"/>
      <c r="Q41" s="1707"/>
    </row>
    <row r="42" spans="1:17" s="36" customFormat="1" ht="15" hidden="1" customHeight="1">
      <c r="A42" s="746"/>
      <c r="B42" s="1642"/>
      <c r="C42" s="4492"/>
      <c r="D42" s="4492"/>
      <c r="E42" s="4493"/>
      <c r="F42" s="1179">
        <f>IF(C42=0,0,VLOOKUP(C42,SDÖ5!$C$7:$D$16,2,FALSE))</f>
        <v>0</v>
      </c>
      <c r="G42" s="1179">
        <f t="shared" si="0"/>
        <v>0</v>
      </c>
      <c r="H42" s="1641"/>
      <c r="I42" s="1177">
        <f t="shared" si="1"/>
        <v>0</v>
      </c>
      <c r="K42" s="1641"/>
      <c r="L42" s="1017">
        <f t="shared" si="2"/>
        <v>0</v>
      </c>
      <c r="M42" s="1578"/>
      <c r="N42" s="1641"/>
      <c r="O42" s="1177">
        <f t="shared" si="3"/>
        <v>0</v>
      </c>
      <c r="P42" s="1640"/>
      <c r="Q42" s="1707"/>
    </row>
    <row r="43" spans="1:17" s="1706" customFormat="1" ht="18.75" customHeight="1">
      <c r="A43" s="711"/>
      <c r="B43" s="1639" t="s">
        <v>1126</v>
      </c>
      <c r="C43" s="814"/>
      <c r="D43" s="814"/>
      <c r="E43" s="814"/>
      <c r="F43" s="814"/>
      <c r="G43" s="1638" t="s">
        <v>163</v>
      </c>
      <c r="H43" s="1635"/>
      <c r="I43" s="1634"/>
      <c r="J43" s="1041">
        <f>SUM(J46:J57)</f>
        <v>0</v>
      </c>
      <c r="K43" s="1637"/>
      <c r="L43" s="1636"/>
      <c r="M43" s="1044">
        <f>SUM(M46:M57)</f>
        <v>0</v>
      </c>
      <c r="N43" s="1635"/>
      <c r="O43" s="1634"/>
      <c r="P43" s="1589">
        <f>SUM(P46:P57)</f>
        <v>0</v>
      </c>
      <c r="Q43" s="1707"/>
    </row>
    <row r="44" spans="1:17" s="36" customFormat="1" ht="15" customHeight="1">
      <c r="A44" s="746"/>
      <c r="B44" s="1633"/>
      <c r="C44" s="746" t="s">
        <v>855</v>
      </c>
      <c r="D44" s="746"/>
      <c r="E44" s="1171" t="s">
        <v>365</v>
      </c>
      <c r="F44" s="1170" t="s">
        <v>854</v>
      </c>
      <c r="G44" s="1169"/>
      <c r="H44" s="306" t="s">
        <v>853</v>
      </c>
      <c r="I44" s="1165" t="s">
        <v>852</v>
      </c>
      <c r="J44" s="1164"/>
      <c r="K44" s="1168" t="s">
        <v>853</v>
      </c>
      <c r="L44" s="1167" t="s">
        <v>852</v>
      </c>
      <c r="M44" s="1166"/>
      <c r="N44" s="306" t="s">
        <v>853</v>
      </c>
      <c r="O44" s="1165" t="s">
        <v>852</v>
      </c>
      <c r="P44" s="1632"/>
      <c r="Q44" s="1707"/>
    </row>
    <row r="45" spans="1:17" s="36" customFormat="1" ht="15" customHeight="1">
      <c r="A45" s="746"/>
      <c r="B45" s="1631"/>
      <c r="C45" s="1630"/>
      <c r="D45" s="1163"/>
      <c r="E45" s="1034" t="s">
        <v>1125</v>
      </c>
      <c r="F45" s="1586" t="s">
        <v>850</v>
      </c>
      <c r="G45" s="1586" t="s">
        <v>441</v>
      </c>
      <c r="H45" s="1159" t="s">
        <v>849</v>
      </c>
      <c r="I45" s="1585" t="s">
        <v>113</v>
      </c>
      <c r="J45" s="1629" t="s">
        <v>163</v>
      </c>
      <c r="K45" s="1162" t="s">
        <v>849</v>
      </c>
      <c r="L45" s="1628" t="s">
        <v>113</v>
      </c>
      <c r="M45" s="1627" t="s">
        <v>163</v>
      </c>
      <c r="N45" s="1159" t="s">
        <v>849</v>
      </c>
      <c r="O45" s="1585" t="s">
        <v>113</v>
      </c>
      <c r="P45" s="1626" t="s">
        <v>163</v>
      </c>
      <c r="Q45" s="1707"/>
    </row>
    <row r="46" spans="1:17" s="36" customFormat="1" ht="15" customHeight="1">
      <c r="A46" s="746"/>
      <c r="B46" s="1625"/>
      <c r="C46" s="4494"/>
      <c r="D46" s="4495"/>
      <c r="E46" s="1152">
        <f>IF($C46=0,0,VLOOKUP($C46,'SD3'!$C$24:$N$74,4,FALSE))</f>
        <v>0</v>
      </c>
      <c r="F46" s="1151">
        <f>IF($C46=0,0,VLOOKUP($C46,'SD3'!$C$24:$N$74,12,FALSE))</f>
        <v>0</v>
      </c>
      <c r="G46" s="1150">
        <f>IF($C46=0,0,VLOOKUP($C46,'SD3'!$C$24:$N$74,13,FALSE))</f>
        <v>0</v>
      </c>
      <c r="H46" s="1155"/>
      <c r="I46" s="1154">
        <f t="shared" ref="I46:I57" si="4">$F46*H46</f>
        <v>0</v>
      </c>
      <c r="J46" s="1145">
        <f t="shared" ref="J46:J57" si="5">H46*$G46</f>
        <v>0</v>
      </c>
      <c r="K46" s="1155"/>
      <c r="L46" s="1156">
        <f t="shared" ref="L46:L57" si="6">$F46*K46</f>
        <v>0</v>
      </c>
      <c r="M46" s="1148">
        <f t="shared" ref="M46:M57" si="7">K46*$G46</f>
        <v>0</v>
      </c>
      <c r="N46" s="1155"/>
      <c r="O46" s="1154">
        <f t="shared" ref="O46:O57" si="8">$F46*N46</f>
        <v>0</v>
      </c>
      <c r="P46" s="1623">
        <f t="shared" ref="P46:P57" si="9">N46*$G46</f>
        <v>0</v>
      </c>
      <c r="Q46" s="1707"/>
    </row>
    <row r="47" spans="1:17" s="36" customFormat="1" ht="15" customHeight="1">
      <c r="A47" s="746"/>
      <c r="B47" s="1624"/>
      <c r="C47" s="4481"/>
      <c r="D47" s="4482"/>
      <c r="E47" s="1152">
        <f>IF($C47=0,0,VLOOKUP($C47,'SD3'!$C$24:$N$74,4,FALSE))</f>
        <v>0</v>
      </c>
      <c r="F47" s="1151">
        <f>IF($C47=0,0,VLOOKUP($C47,'SD3'!$C$24:$N$74,12,FALSE))</f>
        <v>0</v>
      </c>
      <c r="G47" s="1150">
        <f>IF($C47=0,0,VLOOKUP($C47,'SD3'!$C$24:$N$74,13,FALSE))</f>
        <v>0</v>
      </c>
      <c r="H47" s="1147"/>
      <c r="I47" s="1146">
        <f t="shared" si="4"/>
        <v>0</v>
      </c>
      <c r="J47" s="1145">
        <f t="shared" si="5"/>
        <v>0</v>
      </c>
      <c r="K47" s="1147"/>
      <c r="L47" s="1149">
        <f t="shared" si="6"/>
        <v>0</v>
      </c>
      <c r="M47" s="1148">
        <f t="shared" si="7"/>
        <v>0</v>
      </c>
      <c r="N47" s="1147"/>
      <c r="O47" s="1146">
        <f t="shared" si="8"/>
        <v>0</v>
      </c>
      <c r="P47" s="1623">
        <f t="shared" si="9"/>
        <v>0</v>
      </c>
      <c r="Q47" s="1707"/>
    </row>
    <row r="48" spans="1:17" s="36" customFormat="1" ht="15" customHeight="1">
      <c r="A48" s="746"/>
      <c r="B48" s="1624"/>
      <c r="C48" s="4481"/>
      <c r="D48" s="4482"/>
      <c r="E48" s="1152">
        <f>IF($C48=0,0,VLOOKUP($C48,'SD3'!$C$24:$N$74,4,FALSE))</f>
        <v>0</v>
      </c>
      <c r="F48" s="1151">
        <f>IF($C48=0,0,VLOOKUP($C48,'SD3'!$C$24:$N$74,12,FALSE))</f>
        <v>0</v>
      </c>
      <c r="G48" s="1150">
        <f>IF($C48=0,0,VLOOKUP($C48,'SD3'!$C$24:$N$74,13,FALSE))</f>
        <v>0</v>
      </c>
      <c r="H48" s="1147"/>
      <c r="I48" s="1146">
        <f t="shared" si="4"/>
        <v>0</v>
      </c>
      <c r="J48" s="1145">
        <f t="shared" si="5"/>
        <v>0</v>
      </c>
      <c r="K48" s="1147"/>
      <c r="L48" s="1149">
        <f t="shared" si="6"/>
        <v>0</v>
      </c>
      <c r="M48" s="1148">
        <f t="shared" si="7"/>
        <v>0</v>
      </c>
      <c r="N48" s="1147"/>
      <c r="O48" s="1146">
        <f t="shared" si="8"/>
        <v>0</v>
      </c>
      <c r="P48" s="1623">
        <f t="shared" si="9"/>
        <v>0</v>
      </c>
      <c r="Q48" s="1707"/>
    </row>
    <row r="49" spans="1:17" s="36" customFormat="1" ht="15" customHeight="1">
      <c r="A49" s="746"/>
      <c r="B49" s="1624"/>
      <c r="C49" s="4481"/>
      <c r="D49" s="4482"/>
      <c r="E49" s="1152">
        <f>IF($C49=0,0,VLOOKUP($C49,'SD3'!$C$24:$N$74,4,FALSE))</f>
        <v>0</v>
      </c>
      <c r="F49" s="1151">
        <f>IF($C49=0,0,VLOOKUP($C49,'SD3'!$C$24:$N$74,12,FALSE))</f>
        <v>0</v>
      </c>
      <c r="G49" s="1150">
        <f>IF($C49=0,0,VLOOKUP($C49,'SD3'!$C$24:$N$74,13,FALSE))</f>
        <v>0</v>
      </c>
      <c r="H49" s="1147"/>
      <c r="I49" s="1146">
        <f t="shared" si="4"/>
        <v>0</v>
      </c>
      <c r="J49" s="1145">
        <f t="shared" si="5"/>
        <v>0</v>
      </c>
      <c r="K49" s="1147"/>
      <c r="L49" s="1149">
        <f t="shared" si="6"/>
        <v>0</v>
      </c>
      <c r="M49" s="1148">
        <f t="shared" si="7"/>
        <v>0</v>
      </c>
      <c r="N49" s="1147"/>
      <c r="O49" s="1146">
        <f t="shared" si="8"/>
        <v>0</v>
      </c>
      <c r="P49" s="1623">
        <f t="shared" si="9"/>
        <v>0</v>
      </c>
      <c r="Q49" s="1707"/>
    </row>
    <row r="50" spans="1:17" s="36" customFormat="1" ht="15" customHeight="1">
      <c r="A50" s="746"/>
      <c r="B50" s="1624"/>
      <c r="C50" s="4481"/>
      <c r="D50" s="4482"/>
      <c r="E50" s="1152">
        <f>IF($C50=0,0,VLOOKUP($C50,'SD3'!$C$24:$N$74,4,FALSE))</f>
        <v>0</v>
      </c>
      <c r="F50" s="1151">
        <f>IF($C50=0,0,VLOOKUP($C50,'SD3'!$C$24:$N$74,12,FALSE))</f>
        <v>0</v>
      </c>
      <c r="G50" s="1150">
        <f>IF($C50=0,0,VLOOKUP($C50,'SD3'!$C$24:$N$74,13,FALSE))</f>
        <v>0</v>
      </c>
      <c r="H50" s="1147"/>
      <c r="I50" s="1146">
        <f t="shared" si="4"/>
        <v>0</v>
      </c>
      <c r="J50" s="1145">
        <f t="shared" si="5"/>
        <v>0</v>
      </c>
      <c r="K50" s="1147"/>
      <c r="L50" s="1149">
        <f t="shared" si="6"/>
        <v>0</v>
      </c>
      <c r="M50" s="1148">
        <f t="shared" si="7"/>
        <v>0</v>
      </c>
      <c r="N50" s="1147"/>
      <c r="O50" s="1146">
        <f t="shared" si="8"/>
        <v>0</v>
      </c>
      <c r="P50" s="1623">
        <f t="shared" si="9"/>
        <v>0</v>
      </c>
      <c r="Q50" s="1707"/>
    </row>
    <row r="51" spans="1:17" s="36" customFormat="1" ht="15" customHeight="1">
      <c r="A51" s="746"/>
      <c r="B51" s="1624"/>
      <c r="C51" s="4481"/>
      <c r="D51" s="4482"/>
      <c r="E51" s="1152">
        <f>IF($C51=0,0,VLOOKUP($C51,'SD3'!$C$24:$N$74,4,FALSE))</f>
        <v>0</v>
      </c>
      <c r="F51" s="1151">
        <f>IF($C51=0,0,VLOOKUP($C51,'SD3'!$C$24:$N$74,12,FALSE))</f>
        <v>0</v>
      </c>
      <c r="G51" s="1150">
        <f>IF($C51=0,0,VLOOKUP($C51,'SD3'!$C$24:$N$74,13,FALSE))</f>
        <v>0</v>
      </c>
      <c r="H51" s="1147"/>
      <c r="I51" s="1146">
        <f t="shared" si="4"/>
        <v>0</v>
      </c>
      <c r="J51" s="1145">
        <f t="shared" si="5"/>
        <v>0</v>
      </c>
      <c r="K51" s="1147"/>
      <c r="L51" s="1149">
        <f t="shared" si="6"/>
        <v>0</v>
      </c>
      <c r="M51" s="1148">
        <f t="shared" si="7"/>
        <v>0</v>
      </c>
      <c r="N51" s="1147"/>
      <c r="O51" s="1146">
        <f t="shared" si="8"/>
        <v>0</v>
      </c>
      <c r="P51" s="1623">
        <f t="shared" si="9"/>
        <v>0</v>
      </c>
      <c r="Q51" s="1707"/>
    </row>
    <row r="52" spans="1:17" s="36" customFormat="1" ht="15" customHeight="1">
      <c r="A52" s="746"/>
      <c r="B52" s="1624"/>
      <c r="C52" s="4481"/>
      <c r="D52" s="4482"/>
      <c r="E52" s="1152">
        <f>IF($C52=0,0,VLOOKUP($C52,'SD3'!$C$24:$N$74,4,FALSE))</f>
        <v>0</v>
      </c>
      <c r="F52" s="1151">
        <f>IF($C52=0,0,VLOOKUP($C52,'SD3'!$C$24:$N$74,12,FALSE))</f>
        <v>0</v>
      </c>
      <c r="G52" s="1150">
        <f>IF($C52=0,0,VLOOKUP($C52,'SD3'!$C$24:$N$74,13,FALSE))</f>
        <v>0</v>
      </c>
      <c r="H52" s="1147"/>
      <c r="I52" s="1146">
        <f t="shared" si="4"/>
        <v>0</v>
      </c>
      <c r="J52" s="1145">
        <f t="shared" si="5"/>
        <v>0</v>
      </c>
      <c r="K52" s="1147"/>
      <c r="L52" s="1149">
        <f t="shared" si="6"/>
        <v>0</v>
      </c>
      <c r="M52" s="1148">
        <f t="shared" si="7"/>
        <v>0</v>
      </c>
      <c r="N52" s="1147"/>
      <c r="O52" s="1146">
        <f t="shared" si="8"/>
        <v>0</v>
      </c>
      <c r="P52" s="1623">
        <f t="shared" si="9"/>
        <v>0</v>
      </c>
      <c r="Q52" s="1707"/>
    </row>
    <row r="53" spans="1:17" s="36" customFormat="1" ht="15" customHeight="1">
      <c r="A53" s="746"/>
      <c r="B53" s="1624"/>
      <c r="C53" s="4481"/>
      <c r="D53" s="4482"/>
      <c r="E53" s="1152">
        <f>IF($C53=0,0,VLOOKUP($C53,'SD3'!$C$24:$N$74,4,FALSE))</f>
        <v>0</v>
      </c>
      <c r="F53" s="1151">
        <f>IF($C53=0,0,VLOOKUP($C53,'SD3'!$C$24:$N$74,12,FALSE))</f>
        <v>0</v>
      </c>
      <c r="G53" s="1150">
        <f>IF($C53=0,0,VLOOKUP($C53,'SD3'!$C$24:$N$74,13,FALSE))</f>
        <v>0</v>
      </c>
      <c r="H53" s="1147"/>
      <c r="I53" s="1146">
        <f t="shared" si="4"/>
        <v>0</v>
      </c>
      <c r="J53" s="1145">
        <f t="shared" si="5"/>
        <v>0</v>
      </c>
      <c r="K53" s="1147"/>
      <c r="L53" s="1149">
        <f t="shared" si="6"/>
        <v>0</v>
      </c>
      <c r="M53" s="1148">
        <f t="shared" si="7"/>
        <v>0</v>
      </c>
      <c r="N53" s="1147"/>
      <c r="O53" s="1146">
        <f t="shared" si="8"/>
        <v>0</v>
      </c>
      <c r="P53" s="1623">
        <f t="shared" si="9"/>
        <v>0</v>
      </c>
      <c r="Q53" s="1707"/>
    </row>
    <row r="54" spans="1:17" s="36" customFormat="1" ht="15" customHeight="1">
      <c r="A54" s="746"/>
      <c r="B54" s="1624"/>
      <c r="C54" s="4481"/>
      <c r="D54" s="4482"/>
      <c r="E54" s="1152">
        <f>IF($C54=0,0,VLOOKUP($C54,'SD3'!$C$24:$N$74,4,FALSE))</f>
        <v>0</v>
      </c>
      <c r="F54" s="1151">
        <f>IF($C54=0,0,VLOOKUP($C54,'SD3'!$C$24:$N$74,12,FALSE))</f>
        <v>0</v>
      </c>
      <c r="G54" s="1150">
        <f>IF($C54=0,0,VLOOKUP($C54,'SD3'!$C$24:$N$74,13,FALSE))</f>
        <v>0</v>
      </c>
      <c r="H54" s="1147"/>
      <c r="I54" s="1146">
        <f t="shared" si="4"/>
        <v>0</v>
      </c>
      <c r="J54" s="1145">
        <f t="shared" si="5"/>
        <v>0</v>
      </c>
      <c r="K54" s="1147"/>
      <c r="L54" s="1149">
        <f t="shared" si="6"/>
        <v>0</v>
      </c>
      <c r="M54" s="1148">
        <f t="shared" si="7"/>
        <v>0</v>
      </c>
      <c r="N54" s="1147"/>
      <c r="O54" s="1146">
        <f t="shared" si="8"/>
        <v>0</v>
      </c>
      <c r="P54" s="1623">
        <f t="shared" si="9"/>
        <v>0</v>
      </c>
      <c r="Q54" s="1707"/>
    </row>
    <row r="55" spans="1:17" s="36" customFormat="1" ht="15" customHeight="1">
      <c r="A55" s="746"/>
      <c r="B55" s="1624"/>
      <c r="C55" s="4481"/>
      <c r="D55" s="4482"/>
      <c r="E55" s="1152">
        <f>IF($C55=0,0,VLOOKUP($C55,'SD3'!$C$24:$N$74,4,FALSE))</f>
        <v>0</v>
      </c>
      <c r="F55" s="1151">
        <f>IF($C55=0,0,VLOOKUP($C55,'SD3'!$C$24:$N$74,12,FALSE))</f>
        <v>0</v>
      </c>
      <c r="G55" s="1150">
        <f>IF($C55=0,0,VLOOKUP($C55,'SD3'!$C$24:$N$74,13,FALSE))</f>
        <v>0</v>
      </c>
      <c r="H55" s="1147"/>
      <c r="I55" s="1146">
        <f t="shared" si="4"/>
        <v>0</v>
      </c>
      <c r="J55" s="1145">
        <f t="shared" si="5"/>
        <v>0</v>
      </c>
      <c r="K55" s="1147"/>
      <c r="L55" s="1149">
        <f t="shared" si="6"/>
        <v>0</v>
      </c>
      <c r="M55" s="1148">
        <f t="shared" si="7"/>
        <v>0</v>
      </c>
      <c r="N55" s="1147"/>
      <c r="O55" s="1146">
        <f t="shared" si="8"/>
        <v>0</v>
      </c>
      <c r="P55" s="1623">
        <f t="shared" si="9"/>
        <v>0</v>
      </c>
      <c r="Q55" s="1707"/>
    </row>
    <row r="56" spans="1:17" s="36" customFormat="1" ht="15" customHeight="1">
      <c r="A56" s="746"/>
      <c r="B56" s="1624"/>
      <c r="C56" s="4481"/>
      <c r="D56" s="4482"/>
      <c r="E56" s="1152">
        <f>IF($C56=0,0,VLOOKUP($C56,'SD3'!$C$24:$N$74,4,FALSE))</f>
        <v>0</v>
      </c>
      <c r="F56" s="1151">
        <f>IF($C56=0,0,VLOOKUP($C56,'SD3'!$C$24:$N$74,12,FALSE))</f>
        <v>0</v>
      </c>
      <c r="G56" s="1150">
        <f>IF($C56=0,0,VLOOKUP($C56,'SD3'!$C$24:$N$74,13,FALSE))</f>
        <v>0</v>
      </c>
      <c r="H56" s="1147"/>
      <c r="I56" s="1146">
        <f t="shared" si="4"/>
        <v>0</v>
      </c>
      <c r="J56" s="1145">
        <f t="shared" si="5"/>
        <v>0</v>
      </c>
      <c r="K56" s="1147"/>
      <c r="L56" s="1149">
        <f t="shared" si="6"/>
        <v>0</v>
      </c>
      <c r="M56" s="1148">
        <f t="shared" si="7"/>
        <v>0</v>
      </c>
      <c r="N56" s="1147"/>
      <c r="O56" s="1146">
        <f t="shared" si="8"/>
        <v>0</v>
      </c>
      <c r="P56" s="1623">
        <f t="shared" si="9"/>
        <v>0</v>
      </c>
      <c r="Q56" s="1707"/>
    </row>
    <row r="57" spans="1:17" s="36" customFormat="1" ht="24.75" customHeight="1">
      <c r="A57" s="746"/>
      <c r="B57" s="1603"/>
      <c r="C57" s="4516">
        <v>0</v>
      </c>
      <c r="D57" s="4517"/>
      <c r="E57" s="1135">
        <f>IF($C57=0,0,VLOOKUP($C57,'SD3'!$C$24:$N$74,4,FALSE))</f>
        <v>0</v>
      </c>
      <c r="F57" s="1134">
        <f>IF($C57=0,0,VLOOKUP($C57,'SD3'!$C$24:$N$74,12,FALSE))</f>
        <v>0</v>
      </c>
      <c r="G57" s="1133">
        <f>IF($C57=0,0,VLOOKUP($C57,'SD3'!$C$24:$N$74,13,FALSE))</f>
        <v>0</v>
      </c>
      <c r="H57" s="1131">
        <f>H11/50</f>
        <v>0</v>
      </c>
      <c r="I57" s="1130">
        <f t="shared" si="4"/>
        <v>0</v>
      </c>
      <c r="J57" s="1129">
        <f t="shared" si="5"/>
        <v>0</v>
      </c>
      <c r="K57" s="1131">
        <f>K11/50</f>
        <v>0</v>
      </c>
      <c r="L57" s="1132">
        <f t="shared" si="6"/>
        <v>0</v>
      </c>
      <c r="M57" s="1079">
        <f t="shared" si="7"/>
        <v>0</v>
      </c>
      <c r="N57" s="1131">
        <f>N11/50</f>
        <v>0</v>
      </c>
      <c r="O57" s="1130">
        <f t="shared" si="8"/>
        <v>0</v>
      </c>
      <c r="P57" s="1622">
        <f t="shared" si="9"/>
        <v>0</v>
      </c>
      <c r="Q57" s="1707"/>
    </row>
    <row r="58" spans="1:17" s="36" customFormat="1" ht="24.75" customHeight="1">
      <c r="A58" s="746"/>
      <c r="B58" s="1621" t="s">
        <v>1124</v>
      </c>
      <c r="C58" s="1620"/>
      <c r="D58" s="1620"/>
      <c r="E58" s="1620"/>
      <c r="F58" s="1620"/>
      <c r="G58" s="1620"/>
      <c r="H58" s="1617"/>
      <c r="I58" s="1616">
        <f>SUM(I46:I57)</f>
        <v>0</v>
      </c>
      <c r="J58" s="1619"/>
      <c r="K58" s="1617"/>
      <c r="L58" s="1616">
        <f>SUM(L46:L57)</f>
        <v>0</v>
      </c>
      <c r="M58" s="1618"/>
      <c r="N58" s="1617"/>
      <c r="O58" s="1616">
        <f>SUM(O46:O57)</f>
        <v>0</v>
      </c>
      <c r="P58" s="1615"/>
      <c r="Q58" s="1707"/>
    </row>
    <row r="59" spans="1:17" s="1706" customFormat="1" ht="18.75" customHeight="1">
      <c r="A59" s="711"/>
      <c r="B59" s="1594" t="s">
        <v>1123</v>
      </c>
      <c r="C59" s="711"/>
      <c r="D59" s="711"/>
      <c r="E59" s="711"/>
      <c r="F59" s="1707"/>
      <c r="G59" s="1590" t="s">
        <v>163</v>
      </c>
      <c r="H59" s="51"/>
      <c r="I59" s="51"/>
      <c r="J59" s="1041">
        <f>H60*$E60</f>
        <v>0</v>
      </c>
      <c r="K59" s="1056"/>
      <c r="L59" s="1056"/>
      <c r="M59" s="1044">
        <f>K60*$E60</f>
        <v>0</v>
      </c>
      <c r="N59" s="51"/>
      <c r="O59" s="51"/>
      <c r="P59" s="1589">
        <f>N60*$E60</f>
        <v>0</v>
      </c>
      <c r="Q59" s="1707"/>
    </row>
    <row r="60" spans="1:17" s="1706" customFormat="1" ht="15" customHeight="1">
      <c r="A60" s="711"/>
      <c r="B60" s="1614"/>
      <c r="C60" s="815"/>
      <c r="D60" s="222" t="s">
        <v>691</v>
      </c>
      <c r="E60" s="1074">
        <v>10</v>
      </c>
      <c r="F60" s="1049"/>
      <c r="G60" s="1613" t="s">
        <v>362</v>
      </c>
      <c r="H60" s="1015"/>
      <c r="I60" s="1070"/>
      <c r="J60" s="1059"/>
      <c r="K60" s="1015"/>
      <c r="L60" s="1072"/>
      <c r="M60" s="1062"/>
      <c r="N60" s="1015"/>
      <c r="O60" s="1070"/>
      <c r="P60" s="1595"/>
      <c r="Q60" s="1707"/>
    </row>
    <row r="61" spans="1:17" s="46" customFormat="1" ht="18.75" customHeight="1">
      <c r="A61" s="811"/>
      <c r="B61" s="1594" t="s">
        <v>1122</v>
      </c>
      <c r="C61" s="811"/>
      <c r="D61" s="811"/>
      <c r="E61" s="811"/>
      <c r="F61" s="1707"/>
      <c r="G61" s="1590" t="s">
        <v>362</v>
      </c>
      <c r="H61" s="1124"/>
      <c r="I61" s="1123">
        <f>I58-H60</f>
        <v>0</v>
      </c>
      <c r="J61" s="1128"/>
      <c r="K61" s="1127"/>
      <c r="L61" s="1126">
        <f>L58-K60</f>
        <v>0</v>
      </c>
      <c r="M61" s="1125"/>
      <c r="N61" s="1124"/>
      <c r="O61" s="1123">
        <f>O58-N60</f>
        <v>0</v>
      </c>
      <c r="P61" s="1612"/>
      <c r="Q61" s="1707"/>
    </row>
    <row r="62" spans="1:17" s="46" customFormat="1" ht="15" customHeight="1">
      <c r="A62" s="811"/>
      <c r="B62" s="1611"/>
      <c r="C62" s="251"/>
      <c r="D62" s="222" t="s">
        <v>847</v>
      </c>
      <c r="E62" s="1120">
        <v>80</v>
      </c>
      <c r="F62" s="251" t="s">
        <v>846</v>
      </c>
      <c r="G62" s="106"/>
      <c r="H62" s="1115"/>
      <c r="I62" s="1114">
        <f>IF(I61+SUM($I$46:$I$57)*$E$62%&gt;I61+10,I61+10,I61+SUM($I$46:$I$57)*$E$62%)</f>
        <v>0</v>
      </c>
      <c r="J62" s="1113"/>
      <c r="K62" s="1118"/>
      <c r="L62" s="1117">
        <f>IF(L61+SUM($L$46:$L$57)*$E$62%&gt;L61+10,L61+10,L61+SUM($L$46:$L$57)*$E$62%)</f>
        <v>0</v>
      </c>
      <c r="M62" s="1116"/>
      <c r="N62" s="1115"/>
      <c r="O62" s="1114">
        <f>IF(O61+SUM($O$46:$O$57)*$E$62%&gt;O61+10,O61+10,O61+SUM($O$46:$O$57)*$E$62%)</f>
        <v>0</v>
      </c>
      <c r="P62" s="1610"/>
      <c r="Q62" s="1707"/>
    </row>
    <row r="63" spans="1:17" s="36" customFormat="1" ht="18.75" customHeight="1">
      <c r="A63" s="746"/>
      <c r="B63" s="1594" t="s">
        <v>305</v>
      </c>
      <c r="C63" s="811"/>
      <c r="D63" s="811"/>
      <c r="G63" s="1609" t="s">
        <v>163</v>
      </c>
      <c r="H63" s="1607"/>
      <c r="I63" s="1606"/>
      <c r="J63" s="1041">
        <f>IF(J6=0,0,SUM(I65:I67))</f>
        <v>0</v>
      </c>
      <c r="K63" s="1107"/>
      <c r="L63" s="1106"/>
      <c r="M63" s="1044">
        <f>IF(M6=0,0,SUM(L65:L67))</f>
        <v>0</v>
      </c>
      <c r="N63" s="1607"/>
      <c r="O63" s="1606"/>
      <c r="P63" s="1589">
        <f>IF(P6=0,0,SUM(O65:O67))</f>
        <v>0</v>
      </c>
      <c r="Q63" s="1707"/>
    </row>
    <row r="64" spans="1:17" s="36" customFormat="1" ht="13.2" customHeight="1">
      <c r="A64" s="746"/>
      <c r="B64" s="1588"/>
      <c r="C64" s="1039" t="s">
        <v>837</v>
      </c>
      <c r="D64" s="1110">
        <f>SDÖ1!$O$11</f>
        <v>0</v>
      </c>
      <c r="E64" s="1587"/>
      <c r="F64" s="1585" t="s">
        <v>239</v>
      </c>
      <c r="G64" s="1608" t="s">
        <v>836</v>
      </c>
      <c r="H64" s="1607"/>
      <c r="I64" s="1606"/>
      <c r="J64" s="1209"/>
      <c r="K64" s="1107"/>
      <c r="L64" s="1106"/>
      <c r="M64" s="1105"/>
      <c r="N64" s="1607"/>
      <c r="O64" s="1606"/>
      <c r="P64" s="1580"/>
      <c r="Q64" s="1707"/>
    </row>
    <row r="65" spans="1:20" s="36" customFormat="1" ht="15" customHeight="1">
      <c r="A65" s="746"/>
      <c r="B65" s="1579"/>
      <c r="C65" s="4484"/>
      <c r="D65" s="4484"/>
      <c r="E65" s="4484"/>
      <c r="F65" s="1101">
        <f>IF($C65=0,0,VLOOKUP($C65,'SD3'!$C$92:$D$114,2,FALSE))</f>
        <v>0</v>
      </c>
      <c r="G65" s="1100">
        <f>(100+$D$64)/100*F65</f>
        <v>0</v>
      </c>
      <c r="I65" s="1243">
        <f>$G$65</f>
        <v>0</v>
      </c>
      <c r="K65" s="1099"/>
      <c r="L65" s="1098">
        <f>$G$65</f>
        <v>0</v>
      </c>
      <c r="M65" s="1578"/>
      <c r="N65" s="1604"/>
      <c r="O65" s="1243">
        <f>$G$65</f>
        <v>0</v>
      </c>
      <c r="P65" s="1577"/>
      <c r="Q65" s="1707"/>
    </row>
    <row r="66" spans="1:20" s="36" customFormat="1" ht="15" customHeight="1">
      <c r="A66" s="746"/>
      <c r="B66" s="1579"/>
      <c r="C66" s="4484"/>
      <c r="D66" s="4484"/>
      <c r="E66" s="4485"/>
      <c r="F66" s="1605">
        <f>IF($C66=0,0,VLOOKUP($C66,'SD3'!$C$92:$D$114,2,FALSE))</f>
        <v>0</v>
      </c>
      <c r="G66" s="1013">
        <f>(100+$D$64)/100*F66</f>
        <v>0</v>
      </c>
      <c r="K66" s="1099"/>
      <c r="L66" s="1098"/>
      <c r="M66" s="1578"/>
      <c r="N66" s="1604"/>
      <c r="O66" s="1243"/>
      <c r="P66" s="1577"/>
      <c r="Q66" s="1707"/>
    </row>
    <row r="67" spans="1:20" s="36" customFormat="1" ht="15" customHeight="1">
      <c r="A67" s="746"/>
      <c r="B67" s="1603"/>
      <c r="C67" s="4486" t="s">
        <v>289</v>
      </c>
      <c r="D67" s="4486"/>
      <c r="E67" s="4486"/>
      <c r="F67" s="1083">
        <f>IF($T$3=FALSE,0,VLOOKUP($C67,'SD3'!$C$92:$D$114,2,FALSE))</f>
        <v>0</v>
      </c>
      <c r="G67" s="1082">
        <f>(100+$D$64)/100*F67</f>
        <v>0</v>
      </c>
      <c r="H67" s="1602"/>
      <c r="I67" s="1235">
        <f>H11*$G$67</f>
        <v>0</v>
      </c>
      <c r="K67" s="1081"/>
      <c r="L67" s="1080">
        <f>K11*$G$67</f>
        <v>0</v>
      </c>
      <c r="M67" s="1079"/>
      <c r="N67" s="1602"/>
      <c r="O67" s="1235">
        <f>N11*$G$67</f>
        <v>0</v>
      </c>
      <c r="P67" s="1601"/>
      <c r="Q67" s="1707"/>
    </row>
    <row r="68" spans="1:20" s="1706" customFormat="1" ht="22.95" customHeight="1">
      <c r="A68" s="711"/>
      <c r="B68" s="1594" t="s">
        <v>1121</v>
      </c>
      <c r="C68" s="711"/>
      <c r="D68" s="711"/>
      <c r="E68" s="175"/>
      <c r="F68" s="1069"/>
      <c r="G68" s="1590" t="s">
        <v>163</v>
      </c>
      <c r="H68" s="1598" t="s">
        <v>842</v>
      </c>
      <c r="I68" s="1597" t="s">
        <v>841</v>
      </c>
      <c r="J68" s="1387">
        <f>IF($F$69=0,$R$69*H$9*I$69%,$F$69*H$9*I$69%)</f>
        <v>0</v>
      </c>
      <c r="K68" s="1600" t="s">
        <v>842</v>
      </c>
      <c r="L68" s="1599" t="s">
        <v>841</v>
      </c>
      <c r="M68" s="1387">
        <f>IF($F$69=0,$S$69*K$9*L$69%,$F$69*K$9*L$69%)</f>
        <v>0</v>
      </c>
      <c r="N68" s="1598" t="s">
        <v>842</v>
      </c>
      <c r="O68" s="1597" t="s">
        <v>841</v>
      </c>
      <c r="P68" s="2181">
        <f>IF($F$69=0,$T$69*N$9*O$69%,$F$69*N$9*O$69%)</f>
        <v>0</v>
      </c>
      <c r="Q68" s="1707"/>
    </row>
    <row r="69" spans="1:20" s="1706" customFormat="1" ht="15" customHeight="1">
      <c r="A69" s="711"/>
      <c r="B69" s="1596"/>
      <c r="C69" s="4487" t="s">
        <v>1120</v>
      </c>
      <c r="D69" s="4487"/>
      <c r="E69" s="4487"/>
      <c r="F69" s="1063"/>
      <c r="G69" s="1054" t="s">
        <v>220</v>
      </c>
      <c r="H69" s="1061"/>
      <c r="I69" s="1060"/>
      <c r="J69" s="1059"/>
      <c r="K69" s="1061"/>
      <c r="L69" s="1060"/>
      <c r="M69" s="1062"/>
      <c r="N69" s="1061"/>
      <c r="O69" s="1060"/>
      <c r="P69" s="1595"/>
      <c r="Q69" s="1707"/>
      <c r="R69" s="1369">
        <f>IF($H$69=0,0,VLOOKUP($H$69,#REF!,2,FALSE))*(1+SDÖ1!$O$11/100)</f>
        <v>0</v>
      </c>
      <c r="S69" s="1058">
        <f>IF($K$69=0,0,VLOOKUP($K$69,#REF!,2,FALSE))*(1+SDÖ1!$O$11/100)</f>
        <v>0</v>
      </c>
      <c r="T69" s="1369">
        <f>IF($N$69=0,0,VLOOKUP($N$69,#REF!,2,FALSE))*(1+SDÖ1!$O$11/100)</f>
        <v>0</v>
      </c>
    </row>
    <row r="70" spans="1:20" s="1706" customFormat="1" ht="18.75" customHeight="1">
      <c r="A70" s="711"/>
      <c r="B70" s="1594" t="s">
        <v>1119</v>
      </c>
      <c r="C70" s="711"/>
      <c r="D70" s="711"/>
      <c r="E70" s="175"/>
      <c r="F70" s="175"/>
      <c r="G70" s="1590" t="s">
        <v>163</v>
      </c>
      <c r="H70" s="38"/>
      <c r="I70" s="51"/>
      <c r="J70" s="1041">
        <f>H71*$F71/1000</f>
        <v>0</v>
      </c>
      <c r="K70" s="1057"/>
      <c r="L70" s="1056"/>
      <c r="M70" s="1044">
        <f>K71*$F71/1000</f>
        <v>0</v>
      </c>
      <c r="N70" s="38"/>
      <c r="O70" s="51"/>
      <c r="P70" s="1589">
        <f>N71*$F71/1000</f>
        <v>0</v>
      </c>
      <c r="Q70" s="1707"/>
    </row>
    <row r="71" spans="1:20" s="1706" customFormat="1" ht="15" customHeight="1">
      <c r="A71" s="711"/>
      <c r="B71" s="1593"/>
      <c r="C71" s="771" t="s">
        <v>606</v>
      </c>
      <c r="D71" s="251"/>
      <c r="E71" s="222"/>
      <c r="F71" s="1386"/>
      <c r="G71" s="1054" t="s">
        <v>163</v>
      </c>
      <c r="H71" s="1050">
        <f>I9+I10</f>
        <v>0</v>
      </c>
      <c r="I71" s="1049"/>
      <c r="J71" s="1048"/>
      <c r="K71" s="1053">
        <f>L9+L10</f>
        <v>0</v>
      </c>
      <c r="L71" s="1052"/>
      <c r="M71" s="1051"/>
      <c r="N71" s="1050">
        <f>O9+O10</f>
        <v>0</v>
      </c>
      <c r="O71" s="1049"/>
      <c r="P71" s="1592"/>
      <c r="Q71" s="1707"/>
    </row>
    <row r="72" spans="1:20" ht="18.75" customHeight="1">
      <c r="A72" s="309"/>
      <c r="B72" s="1591" t="s">
        <v>210</v>
      </c>
      <c r="C72" s="309"/>
      <c r="D72" s="309"/>
      <c r="E72" s="175"/>
      <c r="F72" s="1711"/>
      <c r="G72" s="1590" t="s">
        <v>163</v>
      </c>
      <c r="H72" s="1043"/>
      <c r="I72" s="1042"/>
      <c r="J72" s="1041">
        <f>SUM(I74:I75)</f>
        <v>0</v>
      </c>
      <c r="K72" s="1046"/>
      <c r="L72" s="1045"/>
      <c r="M72" s="1044">
        <f>SUM(L74:L75)</f>
        <v>0</v>
      </c>
      <c r="N72" s="1043"/>
      <c r="O72" s="1042"/>
      <c r="P72" s="1589">
        <f>SUM(O74:O75)</f>
        <v>0</v>
      </c>
    </row>
    <row r="73" spans="1:20" ht="13.2" customHeight="1">
      <c r="A73" s="309"/>
      <c r="B73" s="1588"/>
      <c r="C73" s="1039" t="s">
        <v>837</v>
      </c>
      <c r="D73" s="1038">
        <f>SDÖ1!$O$12</f>
        <v>0</v>
      </c>
      <c r="E73" s="1587"/>
      <c r="F73" s="1036"/>
      <c r="G73" s="1035"/>
      <c r="H73" s="1586" t="s">
        <v>239</v>
      </c>
      <c r="I73" s="1585" t="s">
        <v>836</v>
      </c>
      <c r="J73" s="1032"/>
      <c r="K73" s="1584" t="s">
        <v>239</v>
      </c>
      <c r="L73" s="1583" t="s">
        <v>836</v>
      </c>
      <c r="M73" s="1029"/>
      <c r="N73" s="1582" t="s">
        <v>239</v>
      </c>
      <c r="O73" s="1581" t="s">
        <v>836</v>
      </c>
      <c r="P73" s="1580"/>
    </row>
    <row r="74" spans="1:20" s="36" customFormat="1" ht="15" customHeight="1">
      <c r="A74" s="746"/>
      <c r="B74" s="1579"/>
      <c r="C74" s="4498" t="s">
        <v>1156</v>
      </c>
      <c r="D74" s="4498"/>
      <c r="E74" s="4498"/>
      <c r="F74" s="1025"/>
      <c r="G74" s="1024"/>
      <c r="H74" s="1018"/>
      <c r="I74" s="1022">
        <f>(100+$D$73)/100*H74</f>
        <v>0</v>
      </c>
      <c r="K74" s="1018"/>
      <c r="L74" s="1023">
        <f>(100+$D$73)/100*K74</f>
        <v>0</v>
      </c>
      <c r="M74" s="1578"/>
      <c r="N74" s="1018"/>
      <c r="O74" s="1022">
        <f>(100+$D$73)/100*N74</f>
        <v>0</v>
      </c>
      <c r="P74" s="1577"/>
      <c r="Q74" s="1707"/>
    </row>
    <row r="75" spans="1:20" s="36" customFormat="1" ht="15" customHeight="1">
      <c r="A75" s="746"/>
      <c r="B75" s="1579"/>
      <c r="C75" s="4483"/>
      <c r="D75" s="4483"/>
      <c r="E75" s="4483"/>
      <c r="F75" s="1020"/>
      <c r="G75" s="1019"/>
      <c r="H75" s="1015"/>
      <c r="I75" s="1014">
        <f>(100+$D$73)/100*H75</f>
        <v>0</v>
      </c>
      <c r="K75" s="1018"/>
      <c r="L75" s="1017">
        <f>(100+$D$73)/100*K75</f>
        <v>0</v>
      </c>
      <c r="M75" s="1578"/>
      <c r="N75" s="1015"/>
      <c r="O75" s="1014">
        <f>(100+$D$73)/100*N75</f>
        <v>0</v>
      </c>
      <c r="P75" s="1577"/>
      <c r="Q75" s="1707"/>
    </row>
    <row r="76" spans="1:20" s="1706" customFormat="1" ht="30.15" customHeight="1" thickBot="1">
      <c r="A76" s="711"/>
      <c r="B76" s="4499" t="s">
        <v>835</v>
      </c>
      <c r="C76" s="4500"/>
      <c r="D76" s="1576" t="s">
        <v>834</v>
      </c>
      <c r="E76" s="1575">
        <f>SDÖ1!$O$72/100</f>
        <v>0.02</v>
      </c>
      <c r="F76" s="1574" t="s">
        <v>1118</v>
      </c>
      <c r="G76" s="1573">
        <v>5</v>
      </c>
      <c r="H76" s="1569"/>
      <c r="I76" s="1572"/>
      <c r="J76" s="1567">
        <f>(J23+J27+J34+J43+J63+J59+J68+J70+J72)*(SDÖ1!$O$72%*$G$76/12)</f>
        <v>0</v>
      </c>
      <c r="K76" s="1571"/>
      <c r="L76" s="1570"/>
      <c r="M76" s="1567">
        <f>(M23+M27+M34+M43+M63+M59+M68+M70+M72)*(SDÖ1!$O$72%*$G$76/12)</f>
        <v>0</v>
      </c>
      <c r="N76" s="1569"/>
      <c r="O76" s="1568"/>
      <c r="P76" s="1567">
        <f>(P23+P27+P34+P43+P63+P59+P68+P70+P72)*(SDÖ1!$O$72%*$G$76/12)</f>
        <v>0</v>
      </c>
      <c r="Q76" s="1707"/>
    </row>
    <row r="81" spans="3:16">
      <c r="C81" s="1564" t="e">
        <f>#REF!</f>
        <v>#REF!</v>
      </c>
      <c r="D81" s="215"/>
      <c r="E81" s="515"/>
      <c r="G81" s="1564" t="e">
        <f>#REF!</f>
        <v>#REF!</v>
      </c>
      <c r="H81" s="215"/>
      <c r="I81" s="515"/>
      <c r="L81" s="29"/>
    </row>
    <row r="82" spans="3:16">
      <c r="C82" s="516" t="e">
        <f>#REF!</f>
        <v>#REF!</v>
      </c>
      <c r="E82" s="1708"/>
      <c r="G82" s="1565" t="e">
        <f>#REF!</f>
        <v>#REF!</v>
      </c>
      <c r="I82" s="1708"/>
      <c r="L82" s="29"/>
      <c r="N82" s="1564" t="str">
        <f>'SD3'!C24</f>
        <v>Drehpflug, 5 Schare</v>
      </c>
      <c r="O82" s="215"/>
      <c r="P82" s="515"/>
    </row>
    <row r="83" spans="3:16">
      <c r="C83" s="516" t="e">
        <f>#REF!</f>
        <v>#REF!</v>
      </c>
      <c r="E83" s="1708"/>
      <c r="G83" s="1566"/>
      <c r="H83" s="251"/>
      <c r="I83" s="512"/>
      <c r="L83" s="29"/>
      <c r="N83" s="1565" t="str">
        <f>'SD3'!C25</f>
        <v>Schwergrubber 3 m</v>
      </c>
      <c r="P83" s="1708"/>
    </row>
    <row r="84" spans="3:16">
      <c r="C84" s="516" t="e">
        <f>#REF!</f>
        <v>#REF!</v>
      </c>
      <c r="E84" s="1708"/>
      <c r="G84" s="29"/>
      <c r="H84" s="29"/>
      <c r="I84" s="29"/>
      <c r="L84" s="29"/>
      <c r="N84" s="1565" t="str">
        <f>'SD3'!C26</f>
        <v>Scheibenegge 5 m</v>
      </c>
      <c r="P84" s="1708"/>
    </row>
    <row r="85" spans="3:16">
      <c r="C85" s="516" t="e">
        <f>#REF!</f>
        <v>#REF!</v>
      </c>
      <c r="E85" s="1708"/>
      <c r="G85" s="29"/>
      <c r="H85" s="29"/>
      <c r="I85" s="29"/>
      <c r="L85" s="29"/>
      <c r="N85" s="1565" t="str">
        <f>'SD3'!C28</f>
        <v>Kreiselegge 3 m</v>
      </c>
      <c r="P85" s="1708"/>
    </row>
    <row r="86" spans="3:16">
      <c r="C86" s="516" t="e">
        <f>#REF!</f>
        <v>#REF!</v>
      </c>
      <c r="E86" s="1708"/>
      <c r="G86" s="29" t="e">
        <f>#REF!</f>
        <v>#REF!</v>
      </c>
      <c r="H86" s="29"/>
      <c r="I86" s="29"/>
      <c r="L86" s="29"/>
      <c r="N86" s="1565" t="str">
        <f>'SD3'!C29</f>
        <v>Cambridgewalze 4,5 m</v>
      </c>
      <c r="P86" s="1708"/>
    </row>
    <row r="87" spans="3:16">
      <c r="C87" s="516" t="e">
        <f>#REF!</f>
        <v>#REF!</v>
      </c>
      <c r="E87" s="1708"/>
      <c r="G87" s="29"/>
      <c r="H87" s="29"/>
      <c r="I87" s="29"/>
      <c r="L87" s="29"/>
      <c r="N87" s="1565" t="str">
        <f>'SD3'!C30</f>
        <v>Bodenfräse 3m</v>
      </c>
      <c r="P87" s="1708"/>
    </row>
    <row r="88" spans="3:16">
      <c r="C88" s="516" t="e">
        <f>#REF!</f>
        <v>#REF!</v>
      </c>
      <c r="E88" s="1708"/>
      <c r="G88" s="29" t="e">
        <f>#REF!</f>
        <v>#REF!</v>
      </c>
      <c r="H88" s="29"/>
      <c r="I88" s="29"/>
      <c r="L88" s="29"/>
      <c r="N88" s="1565" t="str">
        <f>'SD3'!C32</f>
        <v>Kreiselegge-Säkomb. 3 m</v>
      </c>
      <c r="P88" s="1708"/>
    </row>
    <row r="89" spans="3:16">
      <c r="C89" s="516" t="e">
        <f>#REF!</f>
        <v>#REF!</v>
      </c>
      <c r="E89" s="1708"/>
      <c r="G89" s="29" t="e">
        <f>#REF!</f>
        <v>#REF!</v>
      </c>
      <c r="H89" s="29"/>
      <c r="I89" s="29"/>
      <c r="L89" s="29"/>
      <c r="N89" s="1565" t="e">
        <f>'SD3'!#REF!</f>
        <v>#REF!</v>
      </c>
      <c r="P89" s="1708"/>
    </row>
    <row r="90" spans="3:16">
      <c r="C90" s="516" t="e">
        <f>#REF!</f>
        <v>#REF!</v>
      </c>
      <c r="E90" s="1708"/>
      <c r="G90" s="29" t="e">
        <f>#REF!</f>
        <v>#REF!</v>
      </c>
      <c r="H90" s="29"/>
      <c r="I90" s="29"/>
      <c r="L90" s="29"/>
      <c r="N90" s="1565" t="str">
        <f>'SD3'!C33</f>
        <v>Sämaschine 3m</v>
      </c>
      <c r="P90" s="1708"/>
    </row>
    <row r="91" spans="3:16">
      <c r="C91" s="516" t="e">
        <f>#REF!</f>
        <v>#REF!</v>
      </c>
      <c r="E91" s="1708"/>
      <c r="G91" s="29"/>
      <c r="H91" s="29"/>
      <c r="I91" s="29"/>
      <c r="L91" s="29"/>
      <c r="N91" s="1565" t="str">
        <f>'SD3'!C34</f>
        <v>Einzelkornsaat 4 r (Mais, Sonnenblume)</v>
      </c>
      <c r="P91" s="1708"/>
    </row>
    <row r="92" spans="3:16">
      <c r="C92" s="516" t="e">
        <f>#REF!</f>
        <v>#REF!</v>
      </c>
      <c r="E92" s="1708"/>
      <c r="L92" s="29"/>
      <c r="N92" s="1565" t="e">
        <f>'SD3'!#REF!</f>
        <v>#REF!</v>
      </c>
      <c r="P92" s="1708"/>
    </row>
    <row r="93" spans="3:16">
      <c r="C93" s="516" t="e">
        <f>#REF!</f>
        <v>#REF!</v>
      </c>
      <c r="E93" s="1708"/>
      <c r="L93" s="29"/>
      <c r="N93" s="1565" t="str">
        <f>'SD3'!C35</f>
        <v>Direktsämaschine 3 m</v>
      </c>
      <c r="P93" s="1708"/>
    </row>
    <row r="94" spans="3:16">
      <c r="C94" s="516" t="e">
        <f>#REF!</f>
        <v>#REF!</v>
      </c>
      <c r="E94" s="1708"/>
      <c r="G94" s="1564" t="str">
        <f>'SD3'!C92</f>
        <v>Mähdrescher - Erbsen/Ackerbohnen</v>
      </c>
      <c r="H94" s="215"/>
      <c r="I94" s="515"/>
      <c r="L94" s="29"/>
      <c r="N94" s="1565" t="e">
        <f>'SD3'!#REF!</f>
        <v>#REF!</v>
      </c>
      <c r="P94" s="1708"/>
    </row>
    <row r="95" spans="3:16">
      <c r="C95" s="516" t="e">
        <f>#REF!</f>
        <v>#REF!</v>
      </c>
      <c r="E95" s="1708"/>
      <c r="G95" s="1565" t="str">
        <f>'SD3'!C93</f>
        <v>Mähdrescher - Körnermais</v>
      </c>
      <c r="I95" s="1708"/>
      <c r="L95" s="29"/>
      <c r="N95" s="1565">
        <f>'SD3'!C36</f>
        <v>0</v>
      </c>
      <c r="P95" s="1708"/>
    </row>
    <row r="96" spans="3:16">
      <c r="C96" s="516" t="e">
        <f>#REF!</f>
        <v>#REF!</v>
      </c>
      <c r="E96" s="1708"/>
      <c r="G96" s="1565" t="str">
        <f>'SD3'!C94</f>
        <v>Mähdrescher - Getr. m. Strohhäcksler</v>
      </c>
      <c r="I96" s="1708"/>
      <c r="L96" s="29"/>
      <c r="N96" s="1565" t="str">
        <f>'SD3'!C37</f>
        <v xml:space="preserve">Düngerstreuer ab Hof 24 m, 400 kg/ha </v>
      </c>
      <c r="P96" s="1708"/>
    </row>
    <row r="97" spans="3:16">
      <c r="C97" s="516" t="e">
        <f>#REF!</f>
        <v>#REF!</v>
      </c>
      <c r="E97" s="1708"/>
      <c r="G97" s="1565" t="str">
        <f>'SD3'!C95</f>
        <v>ZR - Roden, 6-reihig</v>
      </c>
      <c r="I97" s="1708"/>
      <c r="L97" s="29"/>
      <c r="N97" s="1565" t="str">
        <f>'SD3'!C38</f>
        <v>Mist/Kompost streuen 20 t/ha  (6 m, 10,5 t) inkl. Beladen</v>
      </c>
      <c r="P97" s="1708"/>
    </row>
    <row r="98" spans="3:16">
      <c r="C98" s="516" t="e">
        <f>#REF!</f>
        <v>#REF!</v>
      </c>
      <c r="E98" s="1708"/>
      <c r="G98" s="1565" t="str">
        <f>'SD3'!C96</f>
        <v>KA - Vollernter mit Bunker, 2-reihig</v>
      </c>
      <c r="I98" s="1708"/>
      <c r="L98" s="29"/>
      <c r="N98" s="1565" t="e">
        <f>'SD3'!#REF!</f>
        <v>#REF!</v>
      </c>
      <c r="P98" s="1708"/>
    </row>
    <row r="99" spans="3:16">
      <c r="C99" s="228" t="e">
        <f>#REF!</f>
        <v>#REF!</v>
      </c>
      <c r="D99" s="251"/>
      <c r="E99" s="512"/>
      <c r="G99" s="1565" t="str">
        <f>'SD3'!C97</f>
        <v>KA - Schlägeln (m. Schl.+Fahrer)</v>
      </c>
      <c r="I99" s="1708"/>
      <c r="L99" s="29"/>
      <c r="N99" s="1565" t="e">
        <f>'SD3'!#REF!</f>
        <v>#REF!</v>
      </c>
      <c r="P99" s="1708"/>
    </row>
    <row r="100" spans="3:16">
      <c r="C100" s="516"/>
      <c r="E100" s="1708"/>
      <c r="G100" s="1565" t="str">
        <f>'SD3'!C98</f>
        <v>Hemp-Flax(Strohnutzung)</v>
      </c>
      <c r="I100" s="1708"/>
      <c r="L100" s="29"/>
      <c r="N100" s="1565" t="str">
        <f>'SD3'!C39</f>
        <v>Gülle ausbringen 20 m³/ha, (15 m³ Fass, Schleppschl. 15 m)</v>
      </c>
      <c r="P100" s="1708"/>
    </row>
    <row r="101" spans="3:16">
      <c r="C101" s="516"/>
      <c r="E101" s="1708"/>
      <c r="G101" s="1565" t="str">
        <f>'SD3'!C99</f>
        <v>Pressen (8,3 t FM; 250 kg/Ba.)</v>
      </c>
      <c r="I101" s="1708"/>
      <c r="L101" s="29"/>
      <c r="N101" s="1565" t="str">
        <f>'SD3'!C40</f>
        <v>Kalkstreuer 6 m³,15 m, 2l/ha (ab Feld, mit Beladen)</v>
      </c>
      <c r="P101" s="1708"/>
    </row>
    <row r="102" spans="3:16">
      <c r="C102" s="215"/>
      <c r="D102" s="215"/>
      <c r="E102" s="215"/>
      <c r="G102" s="1565" t="str">
        <f>'SD3'!C100</f>
        <v>Pressen (10,7 t FM; 250 kg/Ba.)</v>
      </c>
      <c r="I102" s="1708"/>
      <c r="L102" s="29"/>
      <c r="N102" s="1565">
        <f>'SD3'!C41</f>
        <v>0</v>
      </c>
      <c r="P102" s="1708"/>
    </row>
    <row r="103" spans="3:16">
      <c r="G103" s="1565" t="str">
        <f>'SD3'!C101</f>
        <v>ZR - Laden, Abfuhr</v>
      </c>
      <c r="I103" s="1708"/>
      <c r="L103" s="29"/>
      <c r="N103" s="1565" t="str">
        <f>'SD3'!C42</f>
        <v>Pflanzenschutzspritze 21 m, 300 l/ha</v>
      </c>
      <c r="P103" s="1708"/>
    </row>
    <row r="104" spans="3:16">
      <c r="G104" s="1565" t="str">
        <f>'SD3'!C102</f>
        <v>Mulchen</v>
      </c>
      <c r="I104" s="1708"/>
      <c r="L104" s="29"/>
      <c r="N104" s="1565" t="str">
        <f>'SD3'!C43</f>
        <v>Mulchgerät 3 m</v>
      </c>
      <c r="P104" s="1708"/>
    </row>
    <row r="105" spans="3:16">
      <c r="C105" s="1702"/>
      <c r="G105" s="1565" t="str">
        <f>'SD3'!C103</f>
        <v>Stroh-Rundballen pressen je dt</v>
      </c>
      <c r="I105" s="1708"/>
      <c r="L105" s="29"/>
      <c r="N105" s="1565" t="str">
        <f>'SD3'!C44</f>
        <v>Präparatespritze 20 m</v>
      </c>
      <c r="P105" s="1708"/>
    </row>
    <row r="106" spans="3:16">
      <c r="C106" s="1701" t="s">
        <v>1146</v>
      </c>
      <c r="G106" s="1565" t="str">
        <f>'SD3'!C104</f>
        <v>Stroh-Quaderballen pres. (Schneidw.)</v>
      </c>
      <c r="I106" s="1708"/>
      <c r="L106" s="29"/>
      <c r="N106" s="1565" t="str">
        <f>'SD3'!C45</f>
        <v>Hackstriegel 9 m</v>
      </c>
      <c r="P106" s="1708"/>
    </row>
    <row r="107" spans="3:16">
      <c r="C107" s="1701" t="s">
        <v>607</v>
      </c>
      <c r="G107" s="1565">
        <f>'SD3'!C105</f>
        <v>0</v>
      </c>
      <c r="I107" s="1708"/>
      <c r="L107" s="29"/>
      <c r="N107" s="1565" t="str">
        <f>'SD3'!C47</f>
        <v>Reihenhackgerät 3 m</v>
      </c>
      <c r="P107" s="1708"/>
    </row>
    <row r="108" spans="3:16">
      <c r="C108" s="1701"/>
      <c r="G108" s="1565">
        <f>'SD3'!C106</f>
        <v>0</v>
      </c>
      <c r="I108" s="1708"/>
      <c r="L108" s="29"/>
      <c r="N108" s="1565" t="e">
        <f>'SD3'!#REF!</f>
        <v>#REF!</v>
      </c>
      <c r="P108" s="1708"/>
    </row>
    <row r="109" spans="3:16">
      <c r="C109" s="1701"/>
      <c r="G109" s="1565">
        <f>'SD3'!C107</f>
        <v>0</v>
      </c>
      <c r="I109" s="1708"/>
      <c r="L109" s="29"/>
      <c r="N109" s="1565" t="e">
        <f>'SD3'!#REF!</f>
        <v>#REF!</v>
      </c>
      <c r="P109" s="1708"/>
    </row>
    <row r="110" spans="3:16">
      <c r="C110" s="1700"/>
      <c r="G110" s="1565">
        <f>'SD3'!C108</f>
        <v>0</v>
      </c>
      <c r="I110" s="1708"/>
      <c r="L110" s="29"/>
      <c r="N110" s="1565" t="e">
        <f>'SD3'!#REF!</f>
        <v>#REF!</v>
      </c>
      <c r="P110" s="1708"/>
    </row>
    <row r="111" spans="3:16">
      <c r="G111" s="1565">
        <f>'SD3'!C109</f>
        <v>0</v>
      </c>
      <c r="I111" s="1708"/>
      <c r="L111" s="29"/>
      <c r="N111" s="1565">
        <f>'SD3'!C48</f>
        <v>0</v>
      </c>
      <c r="P111" s="1708"/>
    </row>
    <row r="112" spans="3:16">
      <c r="G112" s="1565">
        <f>'SD3'!C110</f>
        <v>0</v>
      </c>
      <c r="I112" s="1708"/>
      <c r="L112" s="29"/>
      <c r="N112" s="1565" t="str">
        <f>'SD3'!C49</f>
        <v>Transp. u. Abkip.  (7,5 t Ki.)</v>
      </c>
      <c r="P112" s="1708"/>
    </row>
    <row r="113" spans="2:16">
      <c r="G113" s="1565">
        <f>'SD3'!C111</f>
        <v>0</v>
      </c>
      <c r="I113" s="1708"/>
      <c r="L113" s="29"/>
      <c r="N113" s="1565" t="e">
        <f>'SD3'!#REF!</f>
        <v>#REF!</v>
      </c>
      <c r="P113" s="1708"/>
    </row>
    <row r="114" spans="2:16">
      <c r="G114" s="1565">
        <f>'SD3'!C112</f>
        <v>0</v>
      </c>
      <c r="I114" s="1708"/>
      <c r="L114" s="29"/>
      <c r="N114" s="1565" t="str">
        <f>'SD3'!C50</f>
        <v>Silagetransport Mais/GPS, 3S.Kip. (13,5t Nutzl.), 50 t FM</v>
      </c>
      <c r="P114" s="1708"/>
    </row>
    <row r="115" spans="2:16">
      <c r="G115" s="1565">
        <f>'SD3'!C113</f>
        <v>0</v>
      </c>
      <c r="I115" s="1708"/>
      <c r="L115" s="29"/>
      <c r="N115" s="1565" t="str">
        <f>'SD3'!C51</f>
        <v>Stroh-Rundballen 4 t/ha laden, abfahren, stapeln, 3-S-Kipp.</v>
      </c>
      <c r="P115" s="1708"/>
    </row>
    <row r="116" spans="2:16">
      <c r="G116" s="1565">
        <f>'SD3'!C114</f>
        <v>0</v>
      </c>
      <c r="I116" s="1708"/>
      <c r="L116" s="29"/>
      <c r="N116" s="1565">
        <f>'SD3'!C52</f>
        <v>0</v>
      </c>
      <c r="P116" s="1708"/>
    </row>
    <row r="117" spans="2:16">
      <c r="G117" s="1565">
        <f>'SD3'!C115</f>
        <v>0</v>
      </c>
      <c r="L117" s="29"/>
      <c r="N117" s="1565" t="str">
        <f>'SD3'!C53</f>
        <v>Wiesenwalze 3 m</v>
      </c>
      <c r="P117" s="1708"/>
    </row>
    <row r="118" spans="2:16">
      <c r="G118" s="1565">
        <f>'SD3'!C116</f>
        <v>0</v>
      </c>
      <c r="L118" s="29"/>
      <c r="N118" s="1565" t="str">
        <f>'SD3'!C54</f>
        <v>Wiesenegge 6 m</v>
      </c>
      <c r="P118" s="1708"/>
    </row>
    <row r="119" spans="2:16">
      <c r="G119" s="1565">
        <f>'SD3'!C117</f>
        <v>0</v>
      </c>
      <c r="L119" s="29"/>
      <c r="N119" s="1565" t="e">
        <f>'SD3'!#REF!</f>
        <v>#REF!</v>
      </c>
      <c r="P119" s="1708"/>
    </row>
    <row r="120" spans="2:16">
      <c r="L120" s="29"/>
      <c r="N120" s="1565" t="str">
        <f>'SD3'!C56</f>
        <v>Rotationsmähwerk (Heck) m. Aufb. 2,8 m</v>
      </c>
      <c r="P120" s="1708"/>
    </row>
    <row r="121" spans="2:16">
      <c r="L121" s="29"/>
      <c r="N121" s="1565" t="str">
        <f>'SD3'!C57</f>
        <v>Kreiselwender 10,75m</v>
      </c>
      <c r="P121" s="1708"/>
    </row>
    <row r="122" spans="2:16">
      <c r="L122" s="29"/>
      <c r="N122" s="1565" t="str">
        <f>'SD3'!C58</f>
        <v>Kreiselschwader 7,5m Seitenablage</v>
      </c>
      <c r="O122" s="1708"/>
    </row>
    <row r="123" spans="2:16">
      <c r="B123" s="440">
        <v>1</v>
      </c>
      <c r="C123" s="29" t="str">
        <f>SDÖ5!C7</f>
        <v>Novodor</v>
      </c>
      <c r="E123" s="1707">
        <f>IF(ISNA(VLOOKUP(B123,SDÖ5!$U$26:$X$37,SDÖ5!$U$23,FALSE)),0,(VLOOKUP(B123,SDÖ5!$U$26:$X$37,SDÖ5!$U$23,FALSE)))</f>
        <v>0</v>
      </c>
      <c r="L123" s="29"/>
      <c r="N123" s="1565" t="e">
        <f>'SD3'!#REF!</f>
        <v>#REF!</v>
      </c>
      <c r="P123" s="1708"/>
    </row>
    <row r="124" spans="2:16">
      <c r="B124" s="440">
        <v>2</v>
      </c>
      <c r="C124" s="29" t="str">
        <f>SDÖ5!C8</f>
        <v>Neem Azal</v>
      </c>
      <c r="E124" s="1707">
        <f>IF(ISNA(VLOOKUP(B124,SDÖ5!$U$26:$X$37,SDÖ5!$U$23,FALSE)),0,(VLOOKUP(B124,SDÖ5!$U$26:$X$37,SDÖ5!$U$23,FALSE)))</f>
        <v>0</v>
      </c>
      <c r="L124" s="29"/>
      <c r="N124" s="1565" t="e">
        <f>'SD3'!#REF!</f>
        <v>#REF!</v>
      </c>
      <c r="P124" s="1708"/>
    </row>
    <row r="125" spans="2:16">
      <c r="B125" s="440">
        <v>3</v>
      </c>
      <c r="C125" s="29" t="str">
        <f>SDÖ5!C9</f>
        <v>Sluxx HP</v>
      </c>
      <c r="E125" s="1707">
        <f>IF(ISNA(VLOOKUP(B125,SDÖ5!$U$26:$X$37,SDÖ5!$U$23,FALSE)),0,(VLOOKUP(B125,SDÖ5!$U$26:$X$37,SDÖ5!$U$23,FALSE)))</f>
        <v>0</v>
      </c>
      <c r="L125" s="29"/>
      <c r="N125" s="1565">
        <f>'SD3'!C59</f>
        <v>0</v>
      </c>
      <c r="P125" s="1708"/>
    </row>
    <row r="126" spans="2:16">
      <c r="B126" s="440">
        <v>4</v>
      </c>
      <c r="C126" s="29" t="str">
        <f>SDÖ5!C10</f>
        <v>Cuprozin Progress</v>
      </c>
      <c r="E126" s="1707">
        <f>IF(ISNA(VLOOKUP(B126,SDÖ5!$U$26:$X$37,SDÖ5!$U$23,FALSE)),0,(VLOOKUP(B126,SDÖ5!$U$26:$X$37,SDÖ5!$U$23,FALSE)))</f>
        <v>0</v>
      </c>
      <c r="L126" s="29"/>
      <c r="N126" s="1565" t="str">
        <f>'SD3'!C60</f>
        <v>Kartoffeln vorkeimen</v>
      </c>
      <c r="P126" s="1708"/>
    </row>
    <row r="127" spans="2:16">
      <c r="B127" s="440">
        <v>5</v>
      </c>
      <c r="C127" s="29" t="str">
        <f>SDÖ5!C11</f>
        <v>silico Sec</v>
      </c>
      <c r="E127" s="1707">
        <f>IF(ISNA(VLOOKUP(B127,SDÖ5!$U$26:$X$37,SDÖ5!$U$23,FALSE)),0,(VLOOKUP(B127,SDÖ5!$U$26:$X$37,SDÖ5!$U$23,FALSE)))</f>
        <v>0</v>
      </c>
      <c r="L127" s="29"/>
      <c r="N127" s="1565" t="str">
        <f>'SD3'!C61</f>
        <v>Pflanzkartoffeltransport,-laden 2,5 t/ha</v>
      </c>
      <c r="P127" s="1708"/>
    </row>
    <row r="128" spans="2:16">
      <c r="B128" s="440">
        <v>6</v>
      </c>
      <c r="C128" s="29">
        <f>SDÖ5!C12</f>
        <v>0</v>
      </c>
      <c r="E128" s="1707">
        <f>IF(ISNA(VLOOKUP(B128,SDÖ5!$U$26:$X$37,SDÖ5!$U$23,FALSE)),0,(VLOOKUP(B128,SDÖ5!$U$26:$X$37,SDÖ5!$U$23,FALSE)))</f>
        <v>0</v>
      </c>
      <c r="L128" s="29"/>
      <c r="N128" s="1565" t="e">
        <f>'SD3'!#REF!</f>
        <v>#REF!</v>
      </c>
      <c r="P128" s="1708"/>
    </row>
    <row r="129" spans="2:16">
      <c r="B129" s="440">
        <v>7</v>
      </c>
      <c r="C129" s="29">
        <f>SDÖ5!C13</f>
        <v>0</v>
      </c>
      <c r="E129" s="1707">
        <f>IF(ISNA(VLOOKUP(B129,SDÖ5!$U$26:$X$37,SDÖ5!$U$23,FALSE)),0,(VLOOKUP(B129,SDÖ5!$U$26:$X$37,SDÖ5!$U$23,FALSE)))</f>
        <v>0</v>
      </c>
      <c r="L129" s="29"/>
      <c r="N129" s="1565" t="str">
        <f>'SD3'!C62</f>
        <v>Legemaschine mit Kippbunker 4 r (Kartoffel)</v>
      </c>
      <c r="P129" s="1708"/>
    </row>
    <row r="130" spans="2:16">
      <c r="B130" s="440">
        <v>8</v>
      </c>
      <c r="C130" s="29">
        <f>SDÖ5!C14</f>
        <v>0</v>
      </c>
      <c r="E130" s="1707">
        <f>IF(ISNA(VLOOKUP(B130,SDÖ5!$U$26:$X$37,SDÖ5!$U$23,FALSE)),0,(VLOOKUP(B130,SDÖ5!$U$26:$X$37,SDÖ5!$U$23,FALSE)))</f>
        <v>0</v>
      </c>
      <c r="L130" s="29"/>
      <c r="N130" s="1565" t="str">
        <f>'SD3'!C63</f>
        <v>Häufeln 4 r, Vorauflauf (Kartoffel)</v>
      </c>
      <c r="P130" s="1708"/>
    </row>
    <row r="131" spans="2:16">
      <c r="B131" s="440">
        <v>9</v>
      </c>
      <c r="C131" s="29">
        <f>SDÖ5!C15</f>
        <v>0</v>
      </c>
      <c r="E131" s="1707">
        <f>IF(ISNA(VLOOKUP(B131,SDÖ5!$U$26:$X$37,SDÖ5!$U$23,FALSE)),0,(VLOOKUP(B131,SDÖ5!$U$26:$X$37,SDÖ5!$U$23,FALSE)))</f>
        <v>0</v>
      </c>
      <c r="L131" s="29"/>
      <c r="N131" s="1565" t="str">
        <f>'SD3'!C64</f>
        <v>Hacken Nachauflauf 4 r</v>
      </c>
      <c r="P131" s="1708"/>
    </row>
    <row r="132" spans="2:16">
      <c r="B132" s="440">
        <v>10</v>
      </c>
      <c r="C132" s="29">
        <f>SDÖ5!C16</f>
        <v>0</v>
      </c>
      <c r="E132" s="1707">
        <f>IF(ISNA(VLOOKUP(B132,SDÖ5!$U$26:$X$37,SDÖ5!$U$23,FALSE)),0,(VLOOKUP(B132,SDÖ5!$U$26:$X$37,SDÖ5!$U$23,FALSE)))</f>
        <v>0</v>
      </c>
      <c r="L132" s="29"/>
      <c r="N132" s="1565" t="e">
        <f>'SD3'!#REF!</f>
        <v>#REF!</v>
      </c>
      <c r="P132" s="1708"/>
    </row>
    <row r="133" spans="2:16">
      <c r="B133" s="440">
        <v>11</v>
      </c>
      <c r="C133" s="29" t="s">
        <v>1712</v>
      </c>
      <c r="E133" s="1707">
        <f>IF(ISNA(VLOOKUP(B133,SDÖ5!$U$26:$X$37,SDÖ5!$U$23,FALSE)),0,(VLOOKUP(B133,SDÖ5!$U$26:$X$37,SDÖ5!$U$23,FALSE)))</f>
        <v>0</v>
      </c>
      <c r="L133" s="29"/>
      <c r="N133" s="1565" t="str">
        <f>'SD3'!C65</f>
        <v>Häufeln 4 r, Nachauflauf (Kartoffel)</v>
      </c>
      <c r="P133" s="1708"/>
    </row>
    <row r="134" spans="2:16">
      <c r="B134" s="440">
        <v>12</v>
      </c>
      <c r="C134" s="29" t="e">
        <f>SDÖ5!#REF!</f>
        <v>#REF!</v>
      </c>
      <c r="E134" s="1707">
        <f>IF(ISNA(VLOOKUP(B134,SDÖ5!$U$26:$X$37,SDÖ5!$U$23,FALSE)),0,(VLOOKUP(B134,SDÖ5!$U$26:$X$37,SDÖ5!$U$23,FALSE)))</f>
        <v>0</v>
      </c>
      <c r="L134" s="29"/>
      <c r="N134" s="1565" t="e">
        <f>'SD3'!#REF!</f>
        <v>#REF!</v>
      </c>
    </row>
    <row r="135" spans="2:16">
      <c r="B135" s="440">
        <v>13</v>
      </c>
      <c r="C135" s="29" t="e">
        <f>SDÖ5!#REF!</f>
        <v>#REF!</v>
      </c>
      <c r="E135" s="1707">
        <f>IF(ISNA(VLOOKUP(B135,SDÖ5!$U$26:$X$37,SDÖ5!$U$23,FALSE)),0,(VLOOKUP(B135,SDÖ5!$U$26:$X$37,SDÖ5!$U$23,FALSE)))</f>
        <v>0</v>
      </c>
      <c r="L135" s="29"/>
      <c r="N135" s="1565" t="e">
        <f>'SD3'!#REF!</f>
        <v>#REF!</v>
      </c>
    </row>
    <row r="136" spans="2:16">
      <c r="B136" s="440">
        <v>14</v>
      </c>
      <c r="C136" s="29" t="e">
        <f>SDÖ5!#REF!</f>
        <v>#REF!</v>
      </c>
      <c r="E136" s="1707">
        <f>IF(ISNA(VLOOKUP(B136,SDÖ5!$U$26:$X$37,SDÖ5!$U$23,FALSE)),0,(VLOOKUP(B136,SDÖ5!$U$26:$X$37,SDÖ5!$U$23,FALSE)))</f>
        <v>0</v>
      </c>
      <c r="L136" s="29"/>
      <c r="N136" s="1565" t="e">
        <f>'SD3'!#REF!</f>
        <v>#REF!</v>
      </c>
    </row>
    <row r="137" spans="2:16">
      <c r="B137" s="440">
        <v>15</v>
      </c>
      <c r="C137" s="29"/>
      <c r="E137" s="1707">
        <f>IF(ISNA(VLOOKUP(B137,SDÖ5!$U$26:$X$37,SDÖ5!$U$23,FALSE)),0,(VLOOKUP(B137,SDÖ5!$U$26:$X$37,SDÖ5!$U$23,FALSE)))</f>
        <v>0</v>
      </c>
      <c r="L137" s="29"/>
      <c r="N137" s="1565" t="e">
        <f>'SD3'!#REF!</f>
        <v>#REF!</v>
      </c>
    </row>
    <row r="138" spans="2:16">
      <c r="B138" s="440">
        <v>16</v>
      </c>
      <c r="C138" s="29"/>
      <c r="E138" s="1707">
        <f>IF(ISNA(VLOOKUP(B138,SDÖ5!$U$26:$X$37,SDÖ5!$U$23,FALSE)),0,(VLOOKUP(B138,SDÖ5!$U$26:$X$37,SDÖ5!$U$23,FALSE)))</f>
        <v>0</v>
      </c>
      <c r="L138" s="29"/>
      <c r="N138" s="1565" t="e">
        <f>'SD3'!#REF!</f>
        <v>#REF!</v>
      </c>
    </row>
    <row r="139" spans="2:16">
      <c r="B139" s="440"/>
      <c r="C139" s="29"/>
      <c r="L139" s="29"/>
      <c r="N139" s="1565" t="e">
        <f>'SD3'!#REF!</f>
        <v>#REF!</v>
      </c>
    </row>
    <row r="140" spans="2:16">
      <c r="B140" s="440"/>
      <c r="C140" s="29"/>
      <c r="L140" s="29"/>
      <c r="N140" s="1565">
        <f>'SD3'!C73</f>
        <v>0</v>
      </c>
    </row>
    <row r="141" spans="2:16">
      <c r="B141" s="440"/>
      <c r="C141" s="29"/>
      <c r="L141" s="29"/>
      <c r="N141" s="1565">
        <f>'SD3'!C74</f>
        <v>0</v>
      </c>
    </row>
    <row r="142" spans="2:16">
      <c r="B142" s="440"/>
      <c r="C142" s="29" t="str">
        <f ca="1">MID(CELL("Dateiname",$A$1),FIND("]",CELL("Dateiname",$A$1))+1,31)</f>
        <v>TE8</v>
      </c>
      <c r="L142" s="29"/>
    </row>
    <row r="143" spans="2:16">
      <c r="B143" s="440"/>
      <c r="C143" s="29"/>
      <c r="L143" s="29"/>
    </row>
    <row r="144" spans="2:16">
      <c r="B144" s="440"/>
      <c r="C144" s="29"/>
      <c r="L144" s="29"/>
    </row>
    <row r="145" spans="2:12">
      <c r="B145" s="440"/>
      <c r="C145" s="29"/>
      <c r="L145" s="29"/>
    </row>
    <row r="146" spans="2:12">
      <c r="B146" s="440"/>
      <c r="C146" s="29"/>
      <c r="L146" s="29"/>
    </row>
    <row r="147" spans="2:12">
      <c r="B147" s="440"/>
      <c r="C147" s="29"/>
      <c r="L147" s="29"/>
    </row>
    <row r="148" spans="2:12">
      <c r="B148" s="440"/>
      <c r="C148" s="29"/>
      <c r="L148" s="29"/>
    </row>
    <row r="149" spans="2:12">
      <c r="B149" s="440"/>
      <c r="C149" s="29"/>
      <c r="L149" s="29"/>
    </row>
    <row r="150" spans="2:12">
      <c r="B150" s="440"/>
      <c r="C150" s="29"/>
      <c r="L150" s="29"/>
    </row>
    <row r="151" spans="2:12">
      <c r="B151" s="440"/>
      <c r="C151" s="29"/>
      <c r="L151" s="29"/>
    </row>
    <row r="152" spans="2:12">
      <c r="B152" s="440"/>
      <c r="C152" s="29"/>
    </row>
    <row r="153" spans="2:12">
      <c r="B153" s="440"/>
      <c r="C153" s="29"/>
      <c r="H153" s="1354"/>
      <c r="J153" s="1563"/>
    </row>
    <row r="154" spans="2:12">
      <c r="B154" s="440"/>
      <c r="C154" s="29"/>
      <c r="H154" s="1354"/>
      <c r="J154" s="1563"/>
    </row>
    <row r="155" spans="2:12">
      <c r="B155" s="440"/>
      <c r="C155" s="29"/>
      <c r="H155" s="1354"/>
      <c r="J155" s="1563"/>
    </row>
    <row r="156" spans="2:12">
      <c r="B156" s="440"/>
      <c r="C156" s="29"/>
      <c r="H156" s="1354"/>
      <c r="J156" s="1563"/>
    </row>
    <row r="157" spans="2:12">
      <c r="B157" s="440"/>
      <c r="C157" s="29"/>
      <c r="H157" s="1354"/>
      <c r="J157" s="1563"/>
    </row>
    <row r="158" spans="2:12">
      <c r="B158" s="440"/>
      <c r="C158" s="29"/>
      <c r="D158" s="29"/>
      <c r="F158" s="29"/>
      <c r="H158" s="29"/>
      <c r="I158" s="29"/>
      <c r="J158" s="29"/>
      <c r="K158" s="29"/>
    </row>
    <row r="159" spans="2:12">
      <c r="B159" s="440"/>
      <c r="C159" s="29"/>
      <c r="D159" s="29"/>
      <c r="F159" s="29"/>
      <c r="G159" s="29"/>
      <c r="H159" s="29"/>
      <c r="I159" s="29"/>
      <c r="J159" s="29"/>
      <c r="K159" s="29"/>
    </row>
    <row r="160" spans="2:12">
      <c r="B160" s="440"/>
      <c r="C160" s="29"/>
      <c r="D160" s="29"/>
      <c r="F160" s="29"/>
      <c r="G160" s="29"/>
      <c r="H160" s="29"/>
      <c r="I160" s="29"/>
      <c r="J160" s="29"/>
      <c r="K160" s="29"/>
    </row>
    <row r="161" spans="2:11">
      <c r="B161" s="440"/>
      <c r="C161" s="29"/>
      <c r="D161" s="29"/>
      <c r="F161" s="29"/>
      <c r="G161" s="29"/>
      <c r="H161" s="29"/>
      <c r="I161" s="29"/>
      <c r="J161" s="29"/>
      <c r="K161" s="29"/>
    </row>
    <row r="162" spans="2:11">
      <c r="B162" s="440"/>
      <c r="C162" s="29"/>
    </row>
    <row r="163" spans="2:11">
      <c r="B163" s="440"/>
      <c r="C163" s="29"/>
    </row>
    <row r="164" spans="2:11">
      <c r="B164" s="440"/>
      <c r="C164" s="29"/>
    </row>
    <row r="165" spans="2:11">
      <c r="B165" s="440"/>
      <c r="C165" s="29"/>
    </row>
    <row r="166" spans="2:11">
      <c r="B166" s="440"/>
      <c r="C166" s="29"/>
    </row>
    <row r="167" spans="2:11">
      <c r="B167" s="440"/>
      <c r="C167" s="29"/>
    </row>
    <row r="168" spans="2:11">
      <c r="B168" s="440"/>
      <c r="C168" s="29"/>
    </row>
    <row r="169" spans="2:11">
      <c r="B169" s="440"/>
      <c r="C169" s="29"/>
    </row>
    <row r="170" spans="2:11">
      <c r="B170" s="440"/>
      <c r="C170" s="29"/>
    </row>
    <row r="171" spans="2:11">
      <c r="B171" s="440"/>
      <c r="C171" s="29"/>
    </row>
    <row r="172" spans="2:11">
      <c r="B172" s="440"/>
      <c r="C172" s="29"/>
    </row>
    <row r="173" spans="2:11">
      <c r="B173" s="440"/>
      <c r="C173" s="29"/>
    </row>
    <row r="174" spans="2:11">
      <c r="B174" s="440"/>
      <c r="C174" s="29"/>
    </row>
    <row r="175" spans="2:11">
      <c r="B175" s="440"/>
      <c r="C175" s="29"/>
    </row>
    <row r="176" spans="2:11">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row r="207" spans="2:3">
      <c r="B207" s="440"/>
      <c r="C207" s="29"/>
    </row>
    <row r="208" spans="2:3">
      <c r="B208" s="440"/>
      <c r="C208" s="29"/>
    </row>
    <row r="209" spans="2:3">
      <c r="B209" s="440"/>
      <c r="C209" s="29"/>
    </row>
    <row r="210" spans="2:3">
      <c r="B210" s="440"/>
      <c r="C210" s="29"/>
    </row>
    <row r="211" spans="2:3">
      <c r="B211" s="440"/>
      <c r="C211" s="29"/>
    </row>
  </sheetData>
  <sheetProtection selectLockedCells="1"/>
  <customSheetViews>
    <customSheetView guid="{8063F48F-80B5-4ECD-B18A-51CBF126E780}" fitToPage="1" hiddenRows="1" state="hidden">
      <pageMargins left="0.59055118110236227" right="0.57999999999999996" top="0.59055118110236227" bottom="0.59055118110236227" header="0.39370078740157483" footer="0.39370078740157483"/>
      <printOptions horizontalCentered="1"/>
      <pageSetup paperSize="9" scale="68" firstPageNumber="70" orientation="portrait" r:id="rId1"/>
      <headerFooter alignWithMargins="0">
        <oddFooter>&amp;L&amp;11LEL Schwäbisch Gmünd&amp;C72&amp;R&amp;11&amp;F</oddFooter>
      </headerFooter>
    </customSheetView>
    <customSheetView guid="{5D5C9B61-9ABD-4513-AAEB-8333A9D6196C}" fitToPage="1" hiddenRows="1" state="hidden">
      <pageMargins left="0.59055118110236227" right="0.57999999999999996" top="0.59055118110236227" bottom="0.59055118110236227" header="0.39370078740157483" footer="0.39370078740157483"/>
      <printOptions horizontalCentered="1"/>
      <pageSetup paperSize="9" scale="68" firstPageNumber="70" orientation="portrait" r:id="rId2"/>
      <headerFooter alignWithMargins="0">
        <oddFooter>&amp;L&amp;11LEL Schwäbisch Gmünd&amp;C72&amp;R&amp;11&amp;F</oddFooter>
      </headerFooter>
    </customSheetView>
    <customSheetView guid="{22A73C4F-9004-4CEF-8499-B1F91BE1B569}" fitToPage="1" hiddenRows="1" state="hidden">
      <pageMargins left="0.59055118110236227" right="0.57999999999999996" top="0.59055118110236227" bottom="0.59055118110236227" header="0.39370078740157483" footer="0.39370078740157483"/>
      <printOptions horizontalCentered="1"/>
      <pageSetup paperSize="9" scale="68" firstPageNumber="70" orientation="portrait" r:id="rId3"/>
      <headerFooter alignWithMargins="0">
        <oddFooter>&amp;L&amp;11LEL Schwäbisch Gmünd&amp;C72&amp;R&amp;11&amp;F</oddFooter>
      </headerFooter>
    </customSheetView>
  </customSheetViews>
  <mergeCells count="49">
    <mergeCell ref="W3:Y3"/>
    <mergeCell ref="W4:Y4"/>
    <mergeCell ref="H6:I6"/>
    <mergeCell ref="D25:E25"/>
    <mergeCell ref="D26:E26"/>
    <mergeCell ref="C14:F14"/>
    <mergeCell ref="C15:F15"/>
    <mergeCell ref="K6:L6"/>
    <mergeCell ref="N3:O4"/>
    <mergeCell ref="C21:F21"/>
    <mergeCell ref="K1:L1"/>
    <mergeCell ref="C74:E74"/>
    <mergeCell ref="C48:D48"/>
    <mergeCell ref="C37:E37"/>
    <mergeCell ref="C53:D53"/>
    <mergeCell ref="C54:D54"/>
    <mergeCell ref="C56:D56"/>
    <mergeCell ref="C41:E41"/>
    <mergeCell ref="C51:D51"/>
    <mergeCell ref="C47:D47"/>
    <mergeCell ref="C50:D50"/>
    <mergeCell ref="C46:D46"/>
    <mergeCell ref="C39:E39"/>
    <mergeCell ref="C40:E40"/>
    <mergeCell ref="C42:E42"/>
    <mergeCell ref="E4:I4"/>
    <mergeCell ref="C38:E38"/>
    <mergeCell ref="C55:D55"/>
    <mergeCell ref="B76:C76"/>
    <mergeCell ref="C52:D52"/>
    <mergeCell ref="D22:G22"/>
    <mergeCell ref="C49:D49"/>
    <mergeCell ref="C66:E66"/>
    <mergeCell ref="N1:O1"/>
    <mergeCell ref="C16:F16"/>
    <mergeCell ref="C75:E75"/>
    <mergeCell ref="C17:F17"/>
    <mergeCell ref="C20:F20"/>
    <mergeCell ref="G1:I1"/>
    <mergeCell ref="J3:L3"/>
    <mergeCell ref="J4:L4"/>
    <mergeCell ref="N6:O6"/>
    <mergeCell ref="E10:F10"/>
    <mergeCell ref="C57:D57"/>
    <mergeCell ref="C69:E69"/>
    <mergeCell ref="C65:E65"/>
    <mergeCell ref="C36:E36"/>
    <mergeCell ref="C67:E67"/>
    <mergeCell ref="K2:P2"/>
  </mergeCells>
  <dataValidations count="5">
    <dataValidation type="list" allowBlank="1" showInputMessage="1" showErrorMessage="1" errorTitle="Pflanzenschutzmittel" error="Bitte aus Dropdownliste auswählen." sqref="C36:E42" xr:uid="{00000000-0002-0000-5600-000000000000}">
      <formula1>$E$122:$E$204</formula1>
    </dataValidation>
    <dataValidation type="list" allowBlank="1" showInputMessage="1" showErrorMessage="1" errorTitle="Verfahrensabh. Ausgleichsleist." error="Bitte aus Dropdownliste auswählen." sqref="C14:F17" xr:uid="{00000000-0002-0000-5600-000001000000}">
      <formula1>$C$81:$C$100</formula1>
    </dataValidation>
    <dataValidation type="decimal" allowBlank="1" showInputMessage="1" showErrorMessage="1" errorTitle="Wassergehalt Getreide" error="Zulässig sind nur Werte zwischen 14,1 und 22,0 % Wassergehalt." sqref="H69 K69 N69" xr:uid="{00000000-0002-0000-5600-000002000000}">
      <formula1>14.1</formula1>
      <formula2>22</formula2>
    </dataValidation>
    <dataValidation type="whole" allowBlank="1" showInputMessage="1" showErrorMessage="1" errorTitle="Anteil Erntegut" error="Prozentwert darf nur zwischen 0 und 100 liegen." sqref="O69 L69 I69" xr:uid="{00000000-0002-0000-5600-000003000000}">
      <formula1>0</formula1>
      <formula2>100</formula2>
    </dataValidation>
    <dataValidation type="list" allowBlank="1" showInputMessage="1" showErrorMessage="1" errorTitle="Organisationsabh. Ausgleichsl." error="Bitte aus Dropdownliste auswählen." sqref="C20:F21" xr:uid="{00000000-0002-0000-5600-000004000000}">
      <formula1>$G$81:$G$91</formula1>
    </dataValidation>
  </dataValidations>
  <printOptions horizontalCentered="1"/>
  <pageMargins left="0.59055118110236227" right="0.57999999999999996" top="0.59055118110236227" bottom="0.59055118110236227" header="0.39370078740157483" footer="0.39370078740157483"/>
  <pageSetup paperSize="9" scale="68" firstPageNumber="70" orientation="portrait" r:id="rId4"/>
  <headerFooter alignWithMargins="0">
    <oddFooter>&amp;L&amp;11LEL Schwäbisch Gmünd&amp;C72&amp;R&amp;11&amp;F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07536" r:id="rId7" name="Check Box 16">
              <controlPr defaultSize="0" autoFill="0" autoLine="0" autoPict="0">
                <anchor moveWithCells="1">
                  <from>
                    <xdr:col>18</xdr:col>
                    <xdr:colOff>213360</xdr:colOff>
                    <xdr:row>1</xdr:row>
                    <xdr:rowOff>259080</xdr:rowOff>
                  </from>
                  <to>
                    <xdr:col>18</xdr:col>
                    <xdr:colOff>464820</xdr:colOff>
                    <xdr:row>2</xdr:row>
                    <xdr:rowOff>182880</xdr:rowOff>
                  </to>
                </anchor>
              </controlPr>
            </control>
          </mc:Choice>
        </mc:AlternateContent>
        <mc:AlternateContent xmlns:mc="http://schemas.openxmlformats.org/markup-compatibility/2006">
          <mc:Choice Requires="x14">
            <control shapeId="107537" r:id="rId8" name="Check Box 17">
              <controlPr defaultSize="0" autoFill="0" autoLine="0" autoPict="0">
                <anchor moveWithCells="1">
                  <from>
                    <xdr:col>18</xdr:col>
                    <xdr:colOff>198120</xdr:colOff>
                    <xdr:row>1</xdr:row>
                    <xdr:rowOff>60960</xdr:rowOff>
                  </from>
                  <to>
                    <xdr:col>18</xdr:col>
                    <xdr:colOff>464820</xdr:colOff>
                    <xdr:row>1</xdr:row>
                    <xdr:rowOff>297180</xdr:rowOff>
                  </to>
                </anchor>
              </controlPr>
            </control>
          </mc:Choice>
        </mc:AlternateContent>
        <mc:AlternateContent xmlns:mc="http://schemas.openxmlformats.org/markup-compatibility/2006">
          <mc:Choice Requires="x14">
            <control shapeId="107538" r:id="rId9" name="Check Box 18">
              <controlPr defaultSize="0" print="0" autoFill="0" autoLine="0" autoPict="0">
                <anchor moveWithCells="1">
                  <from>
                    <xdr:col>10</xdr:col>
                    <xdr:colOff>175260</xdr:colOff>
                    <xdr:row>13</xdr:row>
                    <xdr:rowOff>60960</xdr:rowOff>
                  </from>
                  <to>
                    <xdr:col>10</xdr:col>
                    <xdr:colOff>388620</xdr:colOff>
                    <xdr:row>14</xdr:row>
                    <xdr:rowOff>45720</xdr:rowOff>
                  </to>
                </anchor>
              </controlPr>
            </control>
          </mc:Choice>
        </mc:AlternateContent>
        <mc:AlternateContent xmlns:mc="http://schemas.openxmlformats.org/markup-compatibility/2006">
          <mc:Choice Requires="x14">
            <control shapeId="107539" r:id="rId10" name="Check Box 19">
              <controlPr defaultSize="0" print="0" autoFill="0" autoLine="0" autoPict="0">
                <anchor moveWithCells="1">
                  <from>
                    <xdr:col>10</xdr:col>
                    <xdr:colOff>175260</xdr:colOff>
                    <xdr:row>14</xdr:row>
                    <xdr:rowOff>38100</xdr:rowOff>
                  </from>
                  <to>
                    <xdr:col>10</xdr:col>
                    <xdr:colOff>388620</xdr:colOff>
                    <xdr:row>14</xdr:row>
                    <xdr:rowOff>182880</xdr:rowOff>
                  </to>
                </anchor>
              </controlPr>
            </control>
          </mc:Choice>
        </mc:AlternateContent>
        <mc:AlternateContent xmlns:mc="http://schemas.openxmlformats.org/markup-compatibility/2006">
          <mc:Choice Requires="x14">
            <control shapeId="107540" r:id="rId11" name="Check Box 20">
              <controlPr defaultSize="0" print="0" autoFill="0" autoLine="0" autoPict="0">
                <anchor moveWithCells="1">
                  <from>
                    <xdr:col>10</xdr:col>
                    <xdr:colOff>175260</xdr:colOff>
                    <xdr:row>14</xdr:row>
                    <xdr:rowOff>175260</xdr:rowOff>
                  </from>
                  <to>
                    <xdr:col>10</xdr:col>
                    <xdr:colOff>388620</xdr:colOff>
                    <xdr:row>15</xdr:row>
                    <xdr:rowOff>121920</xdr:rowOff>
                  </to>
                </anchor>
              </controlPr>
            </control>
          </mc:Choice>
        </mc:AlternateContent>
        <mc:AlternateContent xmlns:mc="http://schemas.openxmlformats.org/markup-compatibility/2006">
          <mc:Choice Requires="x14">
            <control shapeId="107541" r:id="rId12" name="Check Box 21">
              <controlPr defaultSize="0" print="0" autoFill="0" autoLine="0" autoPict="0">
                <anchor moveWithCells="1">
                  <from>
                    <xdr:col>10</xdr:col>
                    <xdr:colOff>160020</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7542" r:id="rId13" name="Check Box 22">
              <controlPr defaultSize="0" print="0" autoFill="0" autoLine="0" autoPict="0">
                <anchor moveWithCells="1">
                  <from>
                    <xdr:col>7</xdr:col>
                    <xdr:colOff>137160</xdr:colOff>
                    <xdr:row>13</xdr:row>
                    <xdr:rowOff>38100</xdr:rowOff>
                  </from>
                  <to>
                    <xdr:col>7</xdr:col>
                    <xdr:colOff>365760</xdr:colOff>
                    <xdr:row>14</xdr:row>
                    <xdr:rowOff>22860</xdr:rowOff>
                  </to>
                </anchor>
              </controlPr>
            </control>
          </mc:Choice>
        </mc:AlternateContent>
        <mc:AlternateContent xmlns:mc="http://schemas.openxmlformats.org/markup-compatibility/2006">
          <mc:Choice Requires="x14">
            <control shapeId="107543" r:id="rId14" name="Check Box 23">
              <controlPr defaultSize="0" print="0" autoFill="0" autoLine="0" autoPict="0">
                <anchor moveWithCells="1">
                  <from>
                    <xdr:col>7</xdr:col>
                    <xdr:colOff>137160</xdr:colOff>
                    <xdr:row>14</xdr:row>
                    <xdr:rowOff>45720</xdr:rowOff>
                  </from>
                  <to>
                    <xdr:col>7</xdr:col>
                    <xdr:colOff>350520</xdr:colOff>
                    <xdr:row>15</xdr:row>
                    <xdr:rowOff>0</xdr:rowOff>
                  </to>
                </anchor>
              </controlPr>
            </control>
          </mc:Choice>
        </mc:AlternateContent>
        <mc:AlternateContent xmlns:mc="http://schemas.openxmlformats.org/markup-compatibility/2006">
          <mc:Choice Requires="x14">
            <control shapeId="107544" r:id="rId15" name="Check Box 24">
              <controlPr defaultSize="0" print="0" autoFill="0" autoLine="0" autoPict="0">
                <anchor moveWithCells="1">
                  <from>
                    <xdr:col>7</xdr:col>
                    <xdr:colOff>137160</xdr:colOff>
                    <xdr:row>15</xdr:row>
                    <xdr:rowOff>38100</xdr:rowOff>
                  </from>
                  <to>
                    <xdr:col>7</xdr:col>
                    <xdr:colOff>365760</xdr:colOff>
                    <xdr:row>15</xdr:row>
                    <xdr:rowOff>182880</xdr:rowOff>
                  </to>
                </anchor>
              </controlPr>
            </control>
          </mc:Choice>
        </mc:AlternateContent>
        <mc:AlternateContent xmlns:mc="http://schemas.openxmlformats.org/markup-compatibility/2006">
          <mc:Choice Requires="x14">
            <control shapeId="107545" r:id="rId16" name="Check Box 25">
              <controlPr defaultSize="0" print="0" autoFill="0" autoLine="0" autoPict="0">
                <anchor moveWithCells="1">
                  <from>
                    <xdr:col>7</xdr:col>
                    <xdr:colOff>160020</xdr:colOff>
                    <xdr:row>16</xdr:row>
                    <xdr:rowOff>38100</xdr:rowOff>
                  </from>
                  <to>
                    <xdr:col>7</xdr:col>
                    <xdr:colOff>388620</xdr:colOff>
                    <xdr:row>16</xdr:row>
                    <xdr:rowOff>182880</xdr:rowOff>
                  </to>
                </anchor>
              </controlPr>
            </control>
          </mc:Choice>
        </mc:AlternateContent>
        <mc:AlternateContent xmlns:mc="http://schemas.openxmlformats.org/markup-compatibility/2006">
          <mc:Choice Requires="x14">
            <control shapeId="107546" r:id="rId17" name="Check Box 26">
              <controlPr defaultSize="0" print="0" autoFill="0" autoLine="0" autoPict="0">
                <anchor moveWithCells="1">
                  <from>
                    <xdr:col>13</xdr:col>
                    <xdr:colOff>182880</xdr:colOff>
                    <xdr:row>13</xdr:row>
                    <xdr:rowOff>60960</xdr:rowOff>
                  </from>
                  <to>
                    <xdr:col>13</xdr:col>
                    <xdr:colOff>403860</xdr:colOff>
                    <xdr:row>14</xdr:row>
                    <xdr:rowOff>45720</xdr:rowOff>
                  </to>
                </anchor>
              </controlPr>
            </control>
          </mc:Choice>
        </mc:AlternateContent>
        <mc:AlternateContent xmlns:mc="http://schemas.openxmlformats.org/markup-compatibility/2006">
          <mc:Choice Requires="x14">
            <control shapeId="107547" r:id="rId18" name="Check Box 27">
              <controlPr defaultSize="0" print="0" autoFill="0" autoLine="0" autoPict="0">
                <anchor moveWithCells="1">
                  <from>
                    <xdr:col>13</xdr:col>
                    <xdr:colOff>182880</xdr:colOff>
                    <xdr:row>14</xdr:row>
                    <xdr:rowOff>38100</xdr:rowOff>
                  </from>
                  <to>
                    <xdr:col>13</xdr:col>
                    <xdr:colOff>403860</xdr:colOff>
                    <xdr:row>14</xdr:row>
                    <xdr:rowOff>182880</xdr:rowOff>
                  </to>
                </anchor>
              </controlPr>
            </control>
          </mc:Choice>
        </mc:AlternateContent>
        <mc:AlternateContent xmlns:mc="http://schemas.openxmlformats.org/markup-compatibility/2006">
          <mc:Choice Requires="x14">
            <control shapeId="107548" r:id="rId19" name="Check Box 28">
              <controlPr defaultSize="0" print="0" autoFill="0" autoLine="0" autoPict="0">
                <anchor moveWithCells="1">
                  <from>
                    <xdr:col>13</xdr:col>
                    <xdr:colOff>182880</xdr:colOff>
                    <xdr:row>15</xdr:row>
                    <xdr:rowOff>22860</xdr:rowOff>
                  </from>
                  <to>
                    <xdr:col>13</xdr:col>
                    <xdr:colOff>403860</xdr:colOff>
                    <xdr:row>15</xdr:row>
                    <xdr:rowOff>175260</xdr:rowOff>
                  </to>
                </anchor>
              </controlPr>
            </control>
          </mc:Choice>
        </mc:AlternateContent>
        <mc:AlternateContent xmlns:mc="http://schemas.openxmlformats.org/markup-compatibility/2006">
          <mc:Choice Requires="x14">
            <control shapeId="107549" r:id="rId20" name="Check Box 29">
              <controlPr defaultSize="0" print="0" autoFill="0" autoLine="0" autoPict="0">
                <anchor moveWithCells="1">
                  <from>
                    <xdr:col>13</xdr:col>
                    <xdr:colOff>182880</xdr:colOff>
                    <xdr:row>16</xdr:row>
                    <xdr:rowOff>22860</xdr:rowOff>
                  </from>
                  <to>
                    <xdr:col>13</xdr:col>
                    <xdr:colOff>403860</xdr:colOff>
                    <xdr:row>16</xdr:row>
                    <xdr:rowOff>175260</xdr:rowOff>
                  </to>
                </anchor>
              </controlPr>
            </control>
          </mc:Choice>
        </mc:AlternateContent>
        <mc:AlternateContent xmlns:mc="http://schemas.openxmlformats.org/markup-compatibility/2006">
          <mc:Choice Requires="x14">
            <control shapeId="107550" r:id="rId21" name="Check Box 30">
              <controlPr defaultSize="0" print="0" autoFill="0" autoLine="0" autoPict="0">
                <anchor moveWithCells="1">
                  <from>
                    <xdr:col>12</xdr:col>
                    <xdr:colOff>38100</xdr:colOff>
                    <xdr:row>2</xdr:row>
                    <xdr:rowOff>106680</xdr:rowOff>
                  </from>
                  <to>
                    <xdr:col>12</xdr:col>
                    <xdr:colOff>220980</xdr:colOff>
                    <xdr:row>2</xdr:row>
                    <xdr:rowOff>259080</xdr:rowOff>
                  </to>
                </anchor>
              </controlPr>
            </control>
          </mc:Choice>
        </mc:AlternateContent>
        <mc:AlternateContent xmlns:mc="http://schemas.openxmlformats.org/markup-compatibility/2006">
          <mc:Choice Requires="x14">
            <control shapeId="107551" r:id="rId22" name="Check Box 31">
              <controlPr defaultSize="0" print="0" autoFill="0" autoLine="0" autoPict="0">
                <anchor moveWithCells="1">
                  <from>
                    <xdr:col>12</xdr:col>
                    <xdr:colOff>45720</xdr:colOff>
                    <xdr:row>3</xdr:row>
                    <xdr:rowOff>60960</xdr:rowOff>
                  </from>
                  <to>
                    <xdr:col>12</xdr:col>
                    <xdr:colOff>228600</xdr:colOff>
                    <xdr:row>3</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Title="Arbeitsgänge" error="Bitte aus Dropdownliste auswählen." xr:uid="{00000000-0002-0000-5600-000005000000}">
          <x14:formula1>
            <xm:f>'SD3'!$C$23:$C$75</xm:f>
          </x14:formula1>
          <xm:sqref>C46:D57</xm:sqref>
        </x14:dataValidation>
        <x14:dataValidation type="list" allowBlank="1" showInputMessage="1" showErrorMessage="1" errorTitle="Lohnmaschinen" error="Bitte aus Dropdownliste auswählen." xr:uid="{00000000-0002-0000-5600-000006000000}">
          <x14:formula1>
            <xm:f>'SD3'!$C$90:$C$104</xm:f>
          </x14:formula1>
          <xm:sqref>C65:E67</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Tabelle102">
    <tabColor rgb="FFFF0000"/>
    <pageSetUpPr fitToPage="1"/>
  </sheetPr>
  <dimension ref="A1:AO211"/>
  <sheetViews>
    <sheetView workbookViewId="0"/>
  </sheetViews>
  <sheetFormatPr baseColWidth="10" defaultColWidth="10.5" defaultRowHeight="13.2"/>
  <cols>
    <col min="1" max="1" width="1.5" style="1707" customWidth="1"/>
    <col min="2" max="2" width="3.19921875" style="1707" customWidth="1"/>
    <col min="3" max="3" width="13.19921875" style="1707" customWidth="1"/>
    <col min="4" max="6" width="9.19921875" style="1707" customWidth="1"/>
    <col min="7" max="7" width="9.19921875" style="35" customWidth="1"/>
    <col min="8" max="9" width="7.19921875" style="1707" customWidth="1"/>
    <col min="10" max="10" width="7.69921875" style="1707" customWidth="1"/>
    <col min="11" max="12" width="7.19921875" style="1707" customWidth="1"/>
    <col min="13" max="13" width="7.69921875" style="1707" customWidth="1"/>
    <col min="14" max="15" width="7.19921875" style="1707" customWidth="1"/>
    <col min="16" max="16" width="7.69921875" style="1707" customWidth="1"/>
    <col min="17" max="17" width="19.69921875" style="1707" customWidth="1"/>
    <col min="18" max="16384" width="10.5" style="1711"/>
  </cols>
  <sheetData>
    <row r="1" spans="1:41" s="219" customFormat="1" ht="30.15" customHeight="1">
      <c r="A1" s="1681"/>
      <c r="B1" s="258"/>
      <c r="C1" s="1333"/>
      <c r="D1" s="100"/>
      <c r="E1" s="255"/>
      <c r="F1" s="255"/>
      <c r="G1" s="4477" t="s">
        <v>1136</v>
      </c>
      <c r="H1" s="4477"/>
      <c r="I1" s="4477"/>
      <c r="J1" s="1332" t="e">
        <f>(J7+J13+J19+J22+I11+I12)-(J23+J27+J34+J43+J63+J59+J68+J70+J72+J76)</f>
        <v>#REF!</v>
      </c>
      <c r="K1" s="4476" t="e">
        <f>M1-J1</f>
        <v>#REF!</v>
      </c>
      <c r="L1" s="4476"/>
      <c r="M1" s="1332" t="e">
        <f>(M7+M13+M19+M22+L11+L12)-(M23+M27+M34+M43+M63+M59+M68+M70+M72+M76)</f>
        <v>#REF!</v>
      </c>
      <c r="N1" s="4476" t="e">
        <f>P1-M1</f>
        <v>#REF!</v>
      </c>
      <c r="O1" s="4476"/>
      <c r="P1" s="1332" t="e">
        <f>(P7+P13+P19+P22+O11+O12)-(P23+P27+P34+P43+P63+P59+P68+P70+P72+P76)</f>
        <v>#REF!</v>
      </c>
      <c r="Q1" s="168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row>
    <row r="2" spans="1:41" s="219" customFormat="1" ht="24.6" customHeight="1">
      <c r="A2" s="1681"/>
      <c r="B2" s="1344" t="s">
        <v>1371</v>
      </c>
      <c r="G2" s="1317"/>
      <c r="H2" s="1328"/>
      <c r="K2" s="4441" t="s">
        <v>1380</v>
      </c>
      <c r="L2" s="4441"/>
      <c r="M2" s="4441"/>
      <c r="N2" s="4441"/>
      <c r="O2" s="4441"/>
      <c r="P2" s="4441"/>
      <c r="Q2" s="1681"/>
    </row>
    <row r="3" spans="1:41" s="219" customFormat="1" ht="21.75" customHeight="1">
      <c r="A3" s="1681"/>
      <c r="B3" s="1344"/>
      <c r="G3" s="1317"/>
      <c r="H3" s="1328"/>
      <c r="J3" s="4368" t="s">
        <v>886</v>
      </c>
      <c r="K3" s="4447"/>
      <c r="L3" s="4447"/>
      <c r="M3" s="1327"/>
      <c r="N3" s="4444" t="str">
        <f>IF(AND(T3=TRUE,T4=TRUE),"nur 1 Strohnutzung möglich","")</f>
        <v/>
      </c>
      <c r="O3" s="4374"/>
      <c r="P3" s="1326"/>
      <c r="Q3" s="1681"/>
      <c r="T3" s="1343" t="b">
        <v>0</v>
      </c>
      <c r="W3" s="4368" t="s">
        <v>886</v>
      </c>
      <c r="X3" s="4447"/>
      <c r="Y3" s="4447"/>
      <c r="Z3" s="1327"/>
    </row>
    <row r="4" spans="1:41" s="219" customFormat="1" ht="20.25" customHeight="1">
      <c r="A4" s="1681"/>
      <c r="B4" s="309" t="s">
        <v>779</v>
      </c>
      <c r="C4" s="1711"/>
      <c r="D4" s="1711"/>
      <c r="E4" s="4406" t="s">
        <v>1147</v>
      </c>
      <c r="F4" s="4406"/>
      <c r="G4" s="4406"/>
      <c r="H4" s="4406"/>
      <c r="I4" s="4406"/>
      <c r="J4" s="4368" t="s">
        <v>875</v>
      </c>
      <c r="K4" s="4447"/>
      <c r="L4" s="4447"/>
      <c r="M4" s="1696"/>
      <c r="N4" s="4374"/>
      <c r="O4" s="4374"/>
      <c r="P4" s="1322">
        <f>SDÖ1!O3</f>
        <v>2024</v>
      </c>
      <c r="Q4" s="1681"/>
      <c r="T4" s="1343" t="b">
        <v>0</v>
      </c>
      <c r="W4" s="4368" t="s">
        <v>875</v>
      </c>
      <c r="X4" s="4447"/>
      <c r="Y4" s="4447"/>
      <c r="Z4" s="1696"/>
    </row>
    <row r="5" spans="1:41" ht="6" customHeight="1" thickBot="1"/>
    <row r="6" spans="1:41" s="1311" customFormat="1" ht="24" customHeight="1">
      <c r="A6" s="41"/>
      <c r="B6" s="2187" t="s">
        <v>832</v>
      </c>
      <c r="C6" s="2186"/>
      <c r="D6" s="2186"/>
      <c r="E6" s="2186"/>
      <c r="F6" s="2186"/>
      <c r="G6" s="2185" t="s">
        <v>1141</v>
      </c>
      <c r="H6" s="4510"/>
      <c r="I6" s="4511"/>
      <c r="J6" s="1678">
        <v>1</v>
      </c>
      <c r="K6" s="4512"/>
      <c r="L6" s="4513"/>
      <c r="M6" s="1678">
        <v>1</v>
      </c>
      <c r="N6" s="4514"/>
      <c r="O6" s="4515"/>
      <c r="P6" s="1677">
        <f>M6*1.25</f>
        <v>1.25</v>
      </c>
      <c r="Q6" s="49"/>
    </row>
    <row r="7" spans="1:41" s="196" customFormat="1" ht="18.75" customHeight="1">
      <c r="A7" s="40"/>
      <c r="B7" s="1676" t="s">
        <v>1133</v>
      </c>
      <c r="C7" s="40"/>
      <c r="D7" s="40"/>
      <c r="E7" s="40"/>
      <c r="F7" s="40"/>
      <c r="G7" s="1675" t="s">
        <v>163</v>
      </c>
      <c r="H7" s="1307"/>
      <c r="I7" s="1306"/>
      <c r="J7" s="1041">
        <f>SUM(I9:I10)</f>
        <v>0</v>
      </c>
      <c r="K7" s="1309"/>
      <c r="L7" s="1308"/>
      <c r="M7" s="1044">
        <f>SUM(L9:L10)</f>
        <v>0</v>
      </c>
      <c r="N7" s="1307"/>
      <c r="O7" s="1306"/>
      <c r="P7" s="1589">
        <f>SUM(O9:O10)</f>
        <v>0</v>
      </c>
      <c r="Q7" s="1707"/>
    </row>
    <row r="8" spans="1:41" s="196" customFormat="1" ht="13.2" customHeight="1">
      <c r="A8" s="40"/>
      <c r="B8" s="1665"/>
      <c r="C8" s="1305"/>
      <c r="D8" s="1305"/>
      <c r="E8" s="1305"/>
      <c r="F8" s="1305"/>
      <c r="G8" s="1585" t="s">
        <v>220</v>
      </c>
      <c r="H8" s="1655" t="s">
        <v>164</v>
      </c>
      <c r="I8" s="1581" t="s">
        <v>163</v>
      </c>
      <c r="J8" s="1026"/>
      <c r="K8" s="1657" t="s">
        <v>164</v>
      </c>
      <c r="L8" s="1583" t="s">
        <v>163</v>
      </c>
      <c r="M8" s="1227"/>
      <c r="N8" s="1655" t="s">
        <v>164</v>
      </c>
      <c r="O8" s="1581" t="s">
        <v>163</v>
      </c>
      <c r="P8" s="1580"/>
      <c r="Q8" s="1707"/>
    </row>
    <row r="9" spans="1:41" s="196" customFormat="1" ht="16.5" customHeight="1">
      <c r="A9" s="40"/>
      <c r="B9" s="1591"/>
      <c r="C9" s="39" t="s">
        <v>1132</v>
      </c>
      <c r="D9" s="40"/>
      <c r="E9" s="40"/>
      <c r="F9" s="40"/>
      <c r="G9" s="1221"/>
      <c r="H9" s="1303">
        <f>J6-H10</f>
        <v>0.75</v>
      </c>
      <c r="I9" s="1299">
        <f>H9*G9</f>
        <v>0</v>
      </c>
      <c r="J9" s="37"/>
      <c r="K9" s="1302">
        <f>M6-K10</f>
        <v>0.75</v>
      </c>
      <c r="L9" s="1301">
        <f>K9*G9</f>
        <v>0</v>
      </c>
      <c r="M9" s="1280"/>
      <c r="N9" s="1300">
        <f>P6-N10</f>
        <v>0.9375</v>
      </c>
      <c r="O9" s="1299">
        <f>N9*G9</f>
        <v>0</v>
      </c>
      <c r="P9" s="216"/>
      <c r="Q9" s="1707"/>
      <c r="R9" s="517"/>
      <c r="S9" s="208" t="s">
        <v>887</v>
      </c>
      <c r="T9" s="1298"/>
    </row>
    <row r="10" spans="1:41" s="1268" customFormat="1" ht="15" customHeight="1">
      <c r="A10" s="309"/>
      <c r="B10" s="1492"/>
      <c r="C10" s="223" t="s">
        <v>1131</v>
      </c>
      <c r="D10" s="1277"/>
      <c r="E10" s="4508" t="s">
        <v>1151</v>
      </c>
      <c r="F10" s="4509"/>
      <c r="G10" s="1297"/>
      <c r="H10" s="1292">
        <f>J6*0.25</f>
        <v>0.25</v>
      </c>
      <c r="I10" s="1291">
        <f>H10*G10</f>
        <v>0</v>
      </c>
      <c r="K10" s="1295">
        <f>M6*25%</f>
        <v>0.25</v>
      </c>
      <c r="L10" s="1294">
        <f>K10*G10</f>
        <v>0</v>
      </c>
      <c r="M10" s="1293"/>
      <c r="N10" s="1292">
        <f>P6*25%</f>
        <v>0.3125</v>
      </c>
      <c r="O10" s="1291">
        <f>N10*G10</f>
        <v>0</v>
      </c>
      <c r="P10" s="1674"/>
      <c r="Q10" s="1707"/>
      <c r="R10" s="1289">
        <f>I10+I11+I12</f>
        <v>0</v>
      </c>
      <c r="S10" s="1288">
        <f>L10+L11+L12</f>
        <v>0</v>
      </c>
      <c r="T10" s="1287">
        <f>O10+O11+O12</f>
        <v>0</v>
      </c>
      <c r="W10" s="196" t="s">
        <v>879</v>
      </c>
    </row>
    <row r="11" spans="1:41" s="1268" customFormat="1" ht="15" customHeight="1">
      <c r="A11" s="309"/>
      <c r="B11" s="218"/>
      <c r="C11" s="39" t="s">
        <v>878</v>
      </c>
      <c r="D11" s="309"/>
      <c r="E11" s="1673">
        <v>0.8</v>
      </c>
      <c r="F11" s="39" t="s">
        <v>877</v>
      </c>
      <c r="G11" s="1285">
        <f>SDÖ1!$O$52</f>
        <v>12</v>
      </c>
      <c r="H11" s="1284">
        <f>IF($T$3=FALSE,0,J6*$E$11)</f>
        <v>0</v>
      </c>
      <c r="I11" s="1278">
        <f>H11*$G$11</f>
        <v>0</v>
      </c>
      <c r="J11" s="1283"/>
      <c r="K11" s="1282">
        <f>IF($T$3=FALSE,0,M6*$E$11)</f>
        <v>0</v>
      </c>
      <c r="L11" s="1281">
        <f>K11*$G$11</f>
        <v>0</v>
      </c>
      <c r="M11" s="1280"/>
      <c r="N11" s="1279">
        <f>IF($T$3=FALSE,0,P6*$E$11)</f>
        <v>0</v>
      </c>
      <c r="O11" s="1278">
        <f>N11*$G$11</f>
        <v>0</v>
      </c>
      <c r="P11" s="216"/>
      <c r="Q11" s="1707"/>
      <c r="W11" s="1268" t="s">
        <v>876</v>
      </c>
    </row>
    <row r="12" spans="1:41" s="1268" customFormat="1" ht="15" customHeight="1">
      <c r="A12" s="309"/>
      <c r="B12" s="1492"/>
      <c r="C12" s="223" t="s">
        <v>875</v>
      </c>
      <c r="D12" s="1277"/>
      <c r="E12" s="1276"/>
      <c r="F12" s="223" t="s">
        <v>874</v>
      </c>
      <c r="G12" s="1275"/>
      <c r="H12" s="1274"/>
      <c r="I12" s="1269">
        <f>IF(T4=TRUE,L12*(J6/M6),0)</f>
        <v>0</v>
      </c>
      <c r="J12" s="1273"/>
      <c r="K12" s="1270"/>
      <c r="L12" s="1272"/>
      <c r="M12" s="1271">
        <f>IF(AND(L12&gt;0,T4=FALSE),"keine Angabe bei M4 ?",0)</f>
        <v>0</v>
      </c>
      <c r="N12" s="1270"/>
      <c r="O12" s="1269">
        <f>IF(T4=TRUE,L12*(P6/M6),0)</f>
        <v>0</v>
      </c>
      <c r="P12" s="216"/>
      <c r="Q12" s="1707"/>
    </row>
    <row r="13" spans="1:41" s="196" customFormat="1" ht="18.75" customHeight="1">
      <c r="A13" s="40"/>
      <c r="B13" s="1591" t="s">
        <v>1130</v>
      </c>
      <c r="C13" s="40"/>
      <c r="D13" s="1672"/>
      <c r="E13" s="1672"/>
      <c r="F13" s="1672"/>
      <c r="G13" s="1671" t="s">
        <v>163</v>
      </c>
      <c r="H13" s="1351"/>
      <c r="I13" s="1249"/>
      <c r="J13" s="1041" t="e">
        <f>SUM(I14:I18)</f>
        <v>#REF!</v>
      </c>
      <c r="K13" s="1352"/>
      <c r="L13" s="1251"/>
      <c r="M13" s="1044" t="e">
        <f>SUM(L14:L18)</f>
        <v>#REF!</v>
      </c>
      <c r="N13" s="1351"/>
      <c r="O13" s="1249"/>
      <c r="P13" s="1589" t="e">
        <f>SUM(O14:O18)</f>
        <v>#REF!</v>
      </c>
      <c r="Q13" s="1707"/>
      <c r="R13" s="100"/>
      <c r="W13" s="1266" t="s">
        <v>872</v>
      </c>
      <c r="X13" s="1264" t="str">
        <f>IF(OR(T3=TRUE,T4=TRUE),J6*$E$11,"0")</f>
        <v>0</v>
      </c>
      <c r="Y13" s="1265" t="str">
        <f>IF(OR(T3=TRUE,T4=TRUE),M6*$E$11,"0")</f>
        <v>0</v>
      </c>
      <c r="Z13" s="1264" t="str">
        <f>IF(OR(T3=TRUE,T4=TRUE),P6*$E$11,"0")</f>
        <v>0</v>
      </c>
    </row>
    <row r="14" spans="1:41" s="36" customFormat="1" ht="15" customHeight="1">
      <c r="A14" s="39"/>
      <c r="B14" s="1669"/>
      <c r="C14" s="4484" t="s">
        <v>1029</v>
      </c>
      <c r="D14" s="4484"/>
      <c r="E14" s="4484"/>
      <c r="F14" s="4484"/>
      <c r="G14" s="1263"/>
      <c r="H14" s="1705"/>
      <c r="I14" s="1243" t="e">
        <f>IF(R14=TRUE,Q14,0)</f>
        <v>#REF!</v>
      </c>
      <c r="K14" s="1705"/>
      <c r="L14" s="1098" t="e">
        <f>IF(S14=TRUE,Q14,0)</f>
        <v>#REF!</v>
      </c>
      <c r="M14" s="1578"/>
      <c r="N14" s="1705"/>
      <c r="O14" s="1243" t="e">
        <f>IF(T14=TRUE,Q14,0)</f>
        <v>#REF!</v>
      </c>
      <c r="P14" s="1577"/>
      <c r="Q14" s="1261" t="e">
        <f>IF(C14=0,0,VLOOKUP(C14,#REF!,10,FALSE))</f>
        <v>#REF!</v>
      </c>
      <c r="R14" s="1350" t="b">
        <v>1</v>
      </c>
      <c r="S14" s="1349" t="b">
        <v>1</v>
      </c>
      <c r="T14" s="1348" t="b">
        <v>1</v>
      </c>
      <c r="W14" s="36" t="s">
        <v>236</v>
      </c>
      <c r="X14" s="1260">
        <f>$X$13*F30</f>
        <v>0</v>
      </c>
      <c r="Y14" s="1260">
        <f>$Y$13*F30</f>
        <v>0</v>
      </c>
      <c r="Z14" s="1260">
        <f>$Z$13*F30</f>
        <v>0</v>
      </c>
    </row>
    <row r="15" spans="1:41" s="36" customFormat="1" ht="15" customHeight="1">
      <c r="A15" s="39"/>
      <c r="B15" s="1669"/>
      <c r="C15" s="4484"/>
      <c r="D15" s="4484"/>
      <c r="E15" s="4484"/>
      <c r="F15" s="4484"/>
      <c r="G15" s="1263"/>
      <c r="H15" s="1705"/>
      <c r="I15" s="1243">
        <f>IF(R15=TRUE,Q15,0)</f>
        <v>0</v>
      </c>
      <c r="J15" s="45"/>
      <c r="K15" s="1705"/>
      <c r="L15" s="1098">
        <f>IF(S15=TRUE,Q15,0)</f>
        <v>0</v>
      </c>
      <c r="M15" s="1578"/>
      <c r="N15" s="1705"/>
      <c r="O15" s="1243">
        <f>IF(T15=TRUE,Q15,0)</f>
        <v>0</v>
      </c>
      <c r="P15" s="1577"/>
      <c r="Q15" s="1261">
        <f>IF(C15=0,0,VLOOKUP(C15,#REF!,10,FALSE))</f>
        <v>0</v>
      </c>
      <c r="R15" s="1347" t="b">
        <v>0</v>
      </c>
      <c r="S15" s="1343" t="b">
        <v>0</v>
      </c>
      <c r="T15" s="1346" t="b">
        <v>0</v>
      </c>
      <c r="W15" s="36" t="s">
        <v>685</v>
      </c>
      <c r="X15" s="1260">
        <f>$X$13*F31</f>
        <v>0</v>
      </c>
      <c r="Y15" s="1260">
        <f>$Y$13*F31</f>
        <v>0</v>
      </c>
      <c r="Z15" s="1260">
        <f>$Z$13*F31</f>
        <v>0</v>
      </c>
    </row>
    <row r="16" spans="1:41" s="36" customFormat="1" ht="15" customHeight="1">
      <c r="A16" s="39"/>
      <c r="B16" s="1669">
        <v>0</v>
      </c>
      <c r="C16" s="4484">
        <v>0</v>
      </c>
      <c r="D16" s="4484"/>
      <c r="E16" s="4484"/>
      <c r="F16" s="4484"/>
      <c r="G16" s="1263"/>
      <c r="H16" s="1705"/>
      <c r="I16" s="1243">
        <f>IF(R16=TRUE,Q16,0)</f>
        <v>0</v>
      </c>
      <c r="K16" s="1705"/>
      <c r="L16" s="1098">
        <f>IF(S16=TRUE,Q16,0)</f>
        <v>0</v>
      </c>
      <c r="M16" s="1578"/>
      <c r="N16" s="1705"/>
      <c r="O16" s="1243">
        <f>IF(T16=TRUE,Q16,0)</f>
        <v>0</v>
      </c>
      <c r="P16" s="1577"/>
      <c r="Q16" s="1261">
        <f>IF(C16=0,0,VLOOKUP(C16,#REF!,10,FALSE))</f>
        <v>0</v>
      </c>
      <c r="R16" s="1347" t="b">
        <v>0</v>
      </c>
      <c r="S16" s="1343" t="b">
        <v>0</v>
      </c>
      <c r="T16" s="1346" t="b">
        <v>0</v>
      </c>
      <c r="W16" s="36" t="s">
        <v>684</v>
      </c>
      <c r="X16" s="1260">
        <f>$X$13*F32</f>
        <v>0</v>
      </c>
      <c r="Y16" s="1260">
        <f>$Y$13*F32</f>
        <v>0</v>
      </c>
      <c r="Z16" s="1260">
        <f>$Z$13*F32</f>
        <v>0</v>
      </c>
    </row>
    <row r="17" spans="1:26" s="36" customFormat="1" ht="15" customHeight="1">
      <c r="A17" s="39"/>
      <c r="B17" s="1669"/>
      <c r="C17" s="4484">
        <v>0</v>
      </c>
      <c r="D17" s="4484"/>
      <c r="E17" s="4484"/>
      <c r="F17" s="4484"/>
      <c r="G17" s="1263"/>
      <c r="H17" s="1705"/>
      <c r="I17" s="1243">
        <f>IF(R17=TRUE,Q17,0)</f>
        <v>0</v>
      </c>
      <c r="K17" s="1705"/>
      <c r="L17" s="1098">
        <f>IF(S17=TRUE,Q17,0)</f>
        <v>0</v>
      </c>
      <c r="M17" s="1578"/>
      <c r="N17" s="1705"/>
      <c r="O17" s="1243">
        <f>IF(T17=TRUE,Q17,0)</f>
        <v>0</v>
      </c>
      <c r="P17" s="1577"/>
      <c r="Q17" s="1261">
        <f>IF(C17=0,0,VLOOKUP(C17,#REF!,10,FALSE))</f>
        <v>0</v>
      </c>
      <c r="R17" s="1347" t="b">
        <v>0</v>
      </c>
      <c r="S17" s="1343" t="b">
        <v>0</v>
      </c>
      <c r="T17" s="1346" t="b">
        <v>0</v>
      </c>
      <c r="W17" s="36" t="s">
        <v>230</v>
      </c>
      <c r="X17" s="1260">
        <f>$X$13*F33</f>
        <v>0</v>
      </c>
      <c r="Y17" s="1260">
        <f>$Y$13*F33</f>
        <v>0</v>
      </c>
      <c r="Z17" s="1260">
        <f>$Z$13*F33</f>
        <v>0</v>
      </c>
    </row>
    <row r="18" spans="1:26" s="36" customFormat="1" ht="15" customHeight="1">
      <c r="A18" s="39"/>
      <c r="B18" s="1603"/>
      <c r="C18" s="1259"/>
      <c r="D18" s="223"/>
      <c r="E18" s="223"/>
      <c r="F18" s="223"/>
      <c r="G18" s="1238"/>
      <c r="H18" s="1255"/>
      <c r="I18" s="1258">
        <f>IF($R18=TRUE,IF(G18=0,0,LOOKUP($G$18,#REF!)),0)</f>
        <v>0</v>
      </c>
      <c r="J18" s="223"/>
      <c r="K18" s="1255"/>
      <c r="L18" s="1257">
        <f>IF($S18=TRUE,IF(G18=0,0,LOOKUP($G$18,#REF!)),0)</f>
        <v>0</v>
      </c>
      <c r="M18" s="1256"/>
      <c r="N18" s="1255"/>
      <c r="O18" s="1254">
        <f>IF($T18=TRUE,IF(G18=0,0,LOOKUP($G$18,#REF!)),0)</f>
        <v>0</v>
      </c>
      <c r="P18" s="2184"/>
      <c r="Q18" s="1261">
        <f>IF(C18=0,0,VLOOKUP(C18,#REF!,10,FALSE))</f>
        <v>0</v>
      </c>
      <c r="R18" s="2183" t="b">
        <v>0</v>
      </c>
      <c r="S18" s="2182" t="b">
        <v>0</v>
      </c>
      <c r="T18" s="1319" t="b">
        <v>0</v>
      </c>
    </row>
    <row r="19" spans="1:26" s="1706" customFormat="1" ht="18.75" customHeight="1">
      <c r="A19" s="40"/>
      <c r="B19" s="1591" t="s">
        <v>1129</v>
      </c>
      <c r="C19" s="40"/>
      <c r="D19" s="40"/>
      <c r="E19" s="40"/>
      <c r="F19" s="40"/>
      <c r="G19" s="175" t="s">
        <v>163</v>
      </c>
      <c r="H19" s="1250"/>
      <c r="I19" s="1249"/>
      <c r="J19" s="1041" t="e">
        <f>SUM(I20:I21)</f>
        <v>#REF!</v>
      </c>
      <c r="K19" s="1252"/>
      <c r="L19" s="1251"/>
      <c r="M19" s="1044" t="e">
        <f>SUM(L20:L21)</f>
        <v>#REF!</v>
      </c>
      <c r="N19" s="1250"/>
      <c r="O19" s="1249"/>
      <c r="P19" s="1589" t="e">
        <f>SUM(O20:O21)</f>
        <v>#REF!</v>
      </c>
      <c r="Q19" s="1707"/>
      <c r="R19" s="514" t="s">
        <v>870</v>
      </c>
      <c r="S19" s="308"/>
      <c r="T19" s="1248"/>
    </row>
    <row r="20" spans="1:26" s="36" customFormat="1" ht="15" customHeight="1">
      <c r="A20" s="39"/>
      <c r="B20" s="1669"/>
      <c r="C20" s="4484" t="s">
        <v>276</v>
      </c>
      <c r="D20" s="4484"/>
      <c r="E20" s="4484"/>
      <c r="F20" s="4484"/>
      <c r="G20" s="1246"/>
      <c r="H20" s="1244"/>
      <c r="I20" s="1243" t="e">
        <f>IF(OR($C20=0,$J$6=0),0,VLOOKUP($C20,#REF!,10,FALSE))</f>
        <v>#REF!</v>
      </c>
      <c r="K20" s="1245"/>
      <c r="L20" s="1098" t="e">
        <f>IF($C20=0,0,VLOOKUP($C20,#REF!,10,FALSE))</f>
        <v>#REF!</v>
      </c>
      <c r="M20" s="1578"/>
      <c r="N20" s="1244"/>
      <c r="O20" s="1243" t="e">
        <f>IF(OR($C20=0,$P$6=0),0,VLOOKUP($C20,#REF!,10,FALSE))</f>
        <v>#REF!</v>
      </c>
      <c r="P20" s="1577"/>
      <c r="Q20" s="1707"/>
      <c r="R20" s="1242" t="e">
        <f>J13+J19</f>
        <v>#REF!</v>
      </c>
      <c r="S20" s="1241" t="e">
        <f>M13+M19</f>
        <v>#REF!</v>
      </c>
      <c r="T20" s="1240" t="e">
        <f>P13+P19</f>
        <v>#REF!</v>
      </c>
    </row>
    <row r="21" spans="1:26" s="36" customFormat="1" ht="0.75" customHeight="1">
      <c r="A21" s="39"/>
      <c r="B21" s="1668"/>
      <c r="C21" s="4501"/>
      <c r="D21" s="4501"/>
      <c r="E21" s="4501"/>
      <c r="F21" s="4501"/>
      <c r="G21" s="1238"/>
      <c r="H21" s="1236"/>
      <c r="I21" s="1235">
        <f>IF(OR($C21=0,$J$6=0),0,VLOOKUP($C21,#REF!,10,FALSE))</f>
        <v>0</v>
      </c>
      <c r="K21" s="1237"/>
      <c r="L21" s="1080">
        <f>IF(OR($C21=0,$M$6=0),0,VLOOKUP($C21,#REF!,10,FALSE))</f>
        <v>0</v>
      </c>
      <c r="M21" s="1578"/>
      <c r="N21" s="1236"/>
      <c r="O21" s="1235">
        <f>IF(OR($C21=0,$P$6=0),0,VLOOKUP($C21,#REF!,10,FALSE))</f>
        <v>0</v>
      </c>
      <c r="P21" s="1601"/>
      <c r="Q21" s="1707"/>
    </row>
    <row r="22" spans="1:26" ht="16.5" customHeight="1">
      <c r="A22" s="309"/>
      <c r="B22" s="1591" t="s">
        <v>610</v>
      </c>
      <c r="C22" s="39"/>
      <c r="D22" s="4502"/>
      <c r="E22" s="4502"/>
      <c r="F22" s="4502"/>
      <c r="G22" s="4503"/>
      <c r="H22" s="1231"/>
      <c r="I22" s="1230"/>
      <c r="J22" s="1229"/>
      <c r="K22" s="1233"/>
      <c r="L22" s="1232"/>
      <c r="M22" s="1229"/>
      <c r="N22" s="1231"/>
      <c r="O22" s="1230"/>
      <c r="P22" s="1667"/>
      <c r="R22" s="1707"/>
      <c r="S22" s="1707"/>
      <c r="T22" s="1707"/>
    </row>
    <row r="23" spans="1:26" ht="18.75" customHeight="1">
      <c r="A23" s="309"/>
      <c r="B23" s="1666" t="s">
        <v>214</v>
      </c>
      <c r="C23" s="1228"/>
      <c r="D23" s="1228"/>
      <c r="G23" s="1650" t="s">
        <v>163</v>
      </c>
      <c r="H23" s="1043"/>
      <c r="I23" s="1042"/>
      <c r="J23" s="1026">
        <f>SUM(I25:I26)</f>
        <v>0</v>
      </c>
      <c r="K23" s="1046"/>
      <c r="L23" s="1045"/>
      <c r="M23" s="1227">
        <f>SUM(L25:L26)</f>
        <v>0</v>
      </c>
      <c r="N23" s="1043"/>
      <c r="O23" s="1042"/>
      <c r="P23" s="1580">
        <f>SUM(O25:O26)</f>
        <v>0</v>
      </c>
      <c r="Q23" s="34"/>
    </row>
    <row r="24" spans="1:26" ht="13.2" customHeight="1">
      <c r="A24" s="309"/>
      <c r="B24" s="1665"/>
      <c r="C24" s="1039" t="s">
        <v>837</v>
      </c>
      <c r="D24" s="1110">
        <f>SDÖ1!$O$10</f>
        <v>0</v>
      </c>
      <c r="E24" s="1664"/>
      <c r="F24" s="1585" t="s">
        <v>239</v>
      </c>
      <c r="G24" s="1608" t="s">
        <v>836</v>
      </c>
      <c r="H24" s="1655" t="s">
        <v>857</v>
      </c>
      <c r="I24" s="1581" t="s">
        <v>163</v>
      </c>
      <c r="J24" s="1663"/>
      <c r="K24" s="1657" t="s">
        <v>857</v>
      </c>
      <c r="L24" s="1583" t="s">
        <v>163</v>
      </c>
      <c r="M24" s="1662"/>
      <c r="N24" s="1655" t="s">
        <v>857</v>
      </c>
      <c r="O24" s="1581" t="s">
        <v>163</v>
      </c>
      <c r="P24" s="1645"/>
      <c r="R24" s="31" t="s">
        <v>1140</v>
      </c>
    </row>
    <row r="25" spans="1:26" s="36" customFormat="1" ht="15" customHeight="1">
      <c r="A25" s="746"/>
      <c r="B25" s="1661"/>
      <c r="C25" s="746" t="s">
        <v>866</v>
      </c>
      <c r="D25" s="4383"/>
      <c r="E25" s="4384"/>
      <c r="F25" s="1222"/>
      <c r="G25" s="1221">
        <f>F25*(100+$D$24)/100</f>
        <v>0</v>
      </c>
      <c r="H25" s="1220"/>
      <c r="I25" s="1181">
        <f>H25*$G25</f>
        <v>0</v>
      </c>
      <c r="K25" s="1220"/>
      <c r="L25" s="1023">
        <f>K25*$G25</f>
        <v>0</v>
      </c>
      <c r="M25" s="1578"/>
      <c r="N25" s="1220"/>
      <c r="O25" s="1181">
        <f>N25*$G25</f>
        <v>0</v>
      </c>
      <c r="P25" s="1623"/>
      <c r="Q25" s="1707"/>
      <c r="R25" s="36" t="s">
        <v>1379</v>
      </c>
    </row>
    <row r="26" spans="1:26" s="36" customFormat="1" ht="15" customHeight="1">
      <c r="A26" s="746"/>
      <c r="B26" s="1593"/>
      <c r="C26" s="1682" t="s">
        <v>183</v>
      </c>
      <c r="D26" s="4385"/>
      <c r="E26" s="4386"/>
      <c r="F26" s="1218"/>
      <c r="G26" s="1217">
        <f>F26*(100+$D$24)/100</f>
        <v>0</v>
      </c>
      <c r="H26" s="1216"/>
      <c r="I26" s="1177">
        <f>H26*$G26</f>
        <v>0</v>
      </c>
      <c r="K26" s="1216"/>
      <c r="L26" s="1017">
        <f>K26*$G26</f>
        <v>0</v>
      </c>
      <c r="M26" s="1578"/>
      <c r="N26" s="1216"/>
      <c r="O26" s="1177">
        <f>N26*$G26</f>
        <v>0</v>
      </c>
      <c r="P26" s="1640"/>
      <c r="Q26" s="1707"/>
    </row>
    <row r="27" spans="1:26" s="1706" customFormat="1" ht="18.75" customHeight="1">
      <c r="A27" s="711"/>
      <c r="B27" s="1639" t="s">
        <v>213</v>
      </c>
      <c r="C27" s="711"/>
      <c r="D27" s="1660" t="str">
        <f>IF(SDÖ1!V17=FALSE,"(Nährstoffabfuhr nicht bewertet)","(Nährstoffabfuhr bewertet)")</f>
        <v>(Nährstoffabfuhr nicht bewertet)</v>
      </c>
      <c r="E27" s="1707"/>
      <c r="F27" s="1707"/>
      <c r="G27" s="1650" t="s">
        <v>163</v>
      </c>
      <c r="H27" s="1173"/>
      <c r="I27" s="1172"/>
      <c r="J27" s="1041">
        <f>SUM(I30:I33)</f>
        <v>0</v>
      </c>
      <c r="K27" s="1175"/>
      <c r="L27" s="1174"/>
      <c r="M27" s="1044">
        <f>SUM(L30:L33)</f>
        <v>0</v>
      </c>
      <c r="N27" s="1173"/>
      <c r="O27" s="1172"/>
      <c r="P27" s="1589">
        <f>SUM(O30:O33)</f>
        <v>0</v>
      </c>
      <c r="Q27" s="1707"/>
    </row>
    <row r="28" spans="1:26" s="1706" customFormat="1" ht="13.65" customHeight="1">
      <c r="A28" s="711"/>
      <c r="B28" s="1633"/>
      <c r="C28" s="1709"/>
      <c r="D28" s="1213" t="s">
        <v>706</v>
      </c>
      <c r="E28" s="1213" t="s">
        <v>864</v>
      </c>
      <c r="F28" s="1213" t="s">
        <v>864</v>
      </c>
      <c r="G28" s="1212" t="s">
        <v>863</v>
      </c>
      <c r="H28" s="1172"/>
      <c r="I28" s="1209"/>
      <c r="J28" s="1710"/>
      <c r="K28" s="1175"/>
      <c r="L28" s="1105"/>
      <c r="M28" s="1210"/>
      <c r="N28" s="1173"/>
      <c r="O28" s="1209"/>
      <c r="P28" s="1580"/>
      <c r="Q28" s="1707"/>
    </row>
    <row r="29" spans="1:26" s="1706" customFormat="1" ht="15" customHeight="1">
      <c r="A29" s="711"/>
      <c r="B29" s="1659"/>
      <c r="C29" s="747" t="s">
        <v>862</v>
      </c>
      <c r="D29" s="1586" t="s">
        <v>611</v>
      </c>
      <c r="E29" s="1586" t="s">
        <v>861</v>
      </c>
      <c r="F29" s="1586" t="s">
        <v>860</v>
      </c>
      <c r="G29" s="1586" t="s">
        <v>612</v>
      </c>
      <c r="H29" s="1655" t="s">
        <v>612</v>
      </c>
      <c r="I29" s="1581" t="s">
        <v>163</v>
      </c>
      <c r="J29" s="1658"/>
      <c r="K29" s="1657" t="s">
        <v>612</v>
      </c>
      <c r="L29" s="1583" t="s">
        <v>163</v>
      </c>
      <c r="M29" s="1656"/>
      <c r="N29" s="1655" t="s">
        <v>612</v>
      </c>
      <c r="O29" s="1581" t="s">
        <v>163</v>
      </c>
      <c r="P29" s="1654"/>
      <c r="Q29" s="1707"/>
    </row>
    <row r="30" spans="1:26" s="36" customFormat="1" ht="15" customHeight="1">
      <c r="A30" s="746"/>
      <c r="B30" s="1653"/>
      <c r="C30" s="1202" t="s">
        <v>236</v>
      </c>
      <c r="D30" s="1150">
        <f>IF(SDÖ1!$V$17=TRUE,SDÖ1!O56,0)</f>
        <v>0</v>
      </c>
      <c r="E30" s="1652"/>
      <c r="F30" s="1652"/>
      <c r="G30" s="1200"/>
      <c r="H30" s="1198">
        <f>IF(J$6=0,0,(J$6*$E30+$G30+X14))</f>
        <v>0</v>
      </c>
      <c r="I30" s="1181">
        <f>H30*$D30</f>
        <v>0</v>
      </c>
      <c r="K30" s="1199">
        <f>IF(M$6=0,0,(M$6*$E30+$G30+Y14))</f>
        <v>0</v>
      </c>
      <c r="L30" s="1023">
        <f>K30*$D30</f>
        <v>0</v>
      </c>
      <c r="M30" s="1578"/>
      <c r="N30" s="1198">
        <f>IF(P$6=0,0,(P$6*$E30+$G30+Z14))</f>
        <v>0</v>
      </c>
      <c r="O30" s="1181">
        <f>N30*$D30</f>
        <v>0</v>
      </c>
      <c r="P30" s="1623"/>
      <c r="Q30" s="1707"/>
    </row>
    <row r="31" spans="1:26" s="36" customFormat="1" ht="15" customHeight="1">
      <c r="A31" s="746"/>
      <c r="B31" s="218"/>
      <c r="C31" s="746" t="s">
        <v>234</v>
      </c>
      <c r="D31" s="1150">
        <f>IF(SDÖ1!$V$17=TRUE,SDÖ1!O57,0)</f>
        <v>0</v>
      </c>
      <c r="E31" s="1652"/>
      <c r="F31" s="1652"/>
      <c r="G31" s="1200"/>
      <c r="H31" s="1198">
        <f>IF(J$6=0,0,(J$6*$E31+$G31+X15))</f>
        <v>0</v>
      </c>
      <c r="I31" s="1181">
        <f>H31*$D31</f>
        <v>0</v>
      </c>
      <c r="K31" s="1199">
        <f>IF(M$6=0,0,(M$6*$E31+$G31+Y15))</f>
        <v>0</v>
      </c>
      <c r="L31" s="1023">
        <f>K31*$D31</f>
        <v>0</v>
      </c>
      <c r="M31" s="1578"/>
      <c r="N31" s="1198">
        <f>IF(P$6=0,0,(P$6*$E31+$G31+Z15))</f>
        <v>0</v>
      </c>
      <c r="O31" s="1181">
        <f>N31*$D31</f>
        <v>0</v>
      </c>
      <c r="P31" s="1623"/>
      <c r="Q31" s="1707"/>
    </row>
    <row r="32" spans="1:26" s="36" customFormat="1" ht="15" customHeight="1">
      <c r="A32" s="746"/>
      <c r="B32" s="218"/>
      <c r="C32" s="746" t="s">
        <v>232</v>
      </c>
      <c r="D32" s="1150">
        <f>IF(SDÖ1!$V$17=TRUE,SDÖ1!O58,0)</f>
        <v>0</v>
      </c>
      <c r="E32" s="1652"/>
      <c r="F32" s="1652"/>
      <c r="G32" s="1200"/>
      <c r="H32" s="1198">
        <f>IF(J$6=0,0,(J$6*$E32+$G32+X16))</f>
        <v>0</v>
      </c>
      <c r="I32" s="1181">
        <f>H32*$D32</f>
        <v>0</v>
      </c>
      <c r="K32" s="1199">
        <f>IF(M$6=0,0,(M$6*$E32+$G32+Y16))</f>
        <v>0</v>
      </c>
      <c r="L32" s="1023">
        <f>K32*$D32</f>
        <v>0</v>
      </c>
      <c r="M32" s="1578"/>
      <c r="N32" s="1198">
        <f>IF(P$6=0,0,(P$6*$E32+$G32+Z16))</f>
        <v>0</v>
      </c>
      <c r="O32" s="1181">
        <f>N32*$D32</f>
        <v>0</v>
      </c>
      <c r="P32" s="1623"/>
      <c r="Q32" s="1707"/>
    </row>
    <row r="33" spans="1:17" s="36" customFormat="1" ht="15" customHeight="1">
      <c r="A33" s="746"/>
      <c r="B33" s="1492"/>
      <c r="C33" s="771" t="s">
        <v>230</v>
      </c>
      <c r="D33" s="1133">
        <f>IF(SDÖ1!$V$17=TRUE,SDÖ1!P59,0)</f>
        <v>0</v>
      </c>
      <c r="E33" s="1651"/>
      <c r="F33" s="1651"/>
      <c r="G33" s="1196"/>
      <c r="H33" s="1194">
        <f>IF(J$6=0,0,(J$6*$E33+$G33+X17))</f>
        <v>0</v>
      </c>
      <c r="I33" s="1177">
        <f>H33*$D33</f>
        <v>0</v>
      </c>
      <c r="K33" s="1195">
        <f>IF(M$6=0,0,(M$6*$E33+$G33+Y17))</f>
        <v>0</v>
      </c>
      <c r="L33" s="1017">
        <f>K33*$D33</f>
        <v>0</v>
      </c>
      <c r="M33" s="1578"/>
      <c r="N33" s="1194">
        <f>IF(P$6=0,0,(P$6*$E33+$G33+Z17))</f>
        <v>0</v>
      </c>
      <c r="O33" s="1177">
        <f>N33*$D33</f>
        <v>0</v>
      </c>
      <c r="P33" s="1640"/>
      <c r="Q33" s="1707"/>
    </row>
    <row r="34" spans="1:17" s="1706" customFormat="1" ht="18.75" customHeight="1">
      <c r="A34" s="711"/>
      <c r="B34" s="1594" t="s">
        <v>212</v>
      </c>
      <c r="C34" s="711"/>
      <c r="G34" s="1650" t="s">
        <v>163</v>
      </c>
      <c r="H34" s="1191"/>
      <c r="I34" s="1190"/>
      <c r="J34" s="1041">
        <f>SUM(I36:I42)</f>
        <v>0</v>
      </c>
      <c r="K34" s="1193"/>
      <c r="L34" s="1192"/>
      <c r="M34" s="1044">
        <f>SUM(L36:L42)</f>
        <v>0</v>
      </c>
      <c r="N34" s="1191"/>
      <c r="O34" s="1190"/>
      <c r="P34" s="1589">
        <f>SUM(O36:O42)</f>
        <v>0</v>
      </c>
      <c r="Q34" s="1707"/>
    </row>
    <row r="35" spans="1:17" s="1706" customFormat="1" ht="13.2" customHeight="1">
      <c r="A35" s="711"/>
      <c r="B35" s="1588"/>
      <c r="C35" s="1039" t="s">
        <v>837</v>
      </c>
      <c r="D35" s="1110">
        <f>SDÖ1!$O$11</f>
        <v>0</v>
      </c>
      <c r="E35" s="1587"/>
      <c r="F35" s="1585" t="s">
        <v>239</v>
      </c>
      <c r="G35" s="1608" t="s">
        <v>836</v>
      </c>
      <c r="H35" s="1646" t="s">
        <v>857</v>
      </c>
      <c r="I35" s="1581" t="s">
        <v>163</v>
      </c>
      <c r="J35" s="1649"/>
      <c r="K35" s="1648" t="s">
        <v>857</v>
      </c>
      <c r="L35" s="1583" t="s">
        <v>163</v>
      </c>
      <c r="M35" s="1647"/>
      <c r="N35" s="1646" t="s">
        <v>857</v>
      </c>
      <c r="O35" s="1581" t="s">
        <v>163</v>
      </c>
      <c r="P35" s="1580"/>
      <c r="Q35" s="1707"/>
    </row>
    <row r="36" spans="1:17" s="36" customFormat="1" ht="15" customHeight="1">
      <c r="A36" s="746"/>
      <c r="B36" s="1579"/>
      <c r="C36" s="4490"/>
      <c r="D36" s="4490"/>
      <c r="E36" s="4491"/>
      <c r="F36" s="1183">
        <f>IF(C36=0,0,VLOOKUP(C36,SDÖ5!$C$7:$D$16,2,FALSE))</f>
        <v>0</v>
      </c>
      <c r="G36" s="1183">
        <f t="shared" ref="G36:G42" si="0">F36*(100+$D$35)/100</f>
        <v>0</v>
      </c>
      <c r="H36" s="1643"/>
      <c r="I36" s="1181">
        <f t="shared" ref="I36:I42" si="1">$G36*H36</f>
        <v>0</v>
      </c>
      <c r="K36" s="1643"/>
      <c r="L36" s="1023">
        <f t="shared" ref="L36:L42" si="2">$G36*K36</f>
        <v>0</v>
      </c>
      <c r="M36" s="1578"/>
      <c r="N36" s="1643"/>
      <c r="O36" s="1181">
        <f t="shared" ref="O36:O42" si="3">$G36*N36</f>
        <v>0</v>
      </c>
      <c r="P36" s="1645"/>
      <c r="Q36" s="1707"/>
    </row>
    <row r="37" spans="1:17" s="36" customFormat="1" ht="15" customHeight="1">
      <c r="A37" s="746"/>
      <c r="B37" s="1579"/>
      <c r="C37" s="4488"/>
      <c r="D37" s="4488"/>
      <c r="E37" s="4489"/>
      <c r="F37" s="1183">
        <f>IF(C37=0,0,VLOOKUP(C37,SDÖ5!$C$7:$D$16,2,FALSE))</f>
        <v>0</v>
      </c>
      <c r="G37" s="1183">
        <f t="shared" si="0"/>
        <v>0</v>
      </c>
      <c r="H37" s="1643"/>
      <c r="I37" s="1181">
        <f t="shared" si="1"/>
        <v>0</v>
      </c>
      <c r="K37" s="1643"/>
      <c r="L37" s="1023">
        <f t="shared" si="2"/>
        <v>0</v>
      </c>
      <c r="M37" s="1578"/>
      <c r="N37" s="1643"/>
      <c r="O37" s="1181">
        <f t="shared" si="3"/>
        <v>0</v>
      </c>
      <c r="P37" s="1623"/>
      <c r="Q37" s="1707"/>
    </row>
    <row r="38" spans="1:17" s="36" customFormat="1" ht="15" customHeight="1">
      <c r="A38" s="746"/>
      <c r="B38" s="1644"/>
      <c r="C38" s="4488"/>
      <c r="D38" s="4488"/>
      <c r="E38" s="4489"/>
      <c r="F38" s="1183">
        <f>IF(C38=0,0,VLOOKUP(C38,SDÖ5!$C$7:$D$16,2,FALSE))</f>
        <v>0</v>
      </c>
      <c r="G38" s="1183">
        <f t="shared" si="0"/>
        <v>0</v>
      </c>
      <c r="H38" s="1643"/>
      <c r="I38" s="1181">
        <f t="shared" si="1"/>
        <v>0</v>
      </c>
      <c r="K38" s="1643"/>
      <c r="L38" s="1023">
        <f t="shared" si="2"/>
        <v>0</v>
      </c>
      <c r="M38" s="1578"/>
      <c r="N38" s="1643"/>
      <c r="O38" s="1181">
        <f t="shared" si="3"/>
        <v>0</v>
      </c>
      <c r="P38" s="1623"/>
      <c r="Q38" s="1707"/>
    </row>
    <row r="39" spans="1:17" s="36" customFormat="1" ht="15" hidden="1" customHeight="1">
      <c r="A39" s="746"/>
      <c r="B39" s="1579"/>
      <c r="C39" s="4488"/>
      <c r="D39" s="4488"/>
      <c r="E39" s="4489"/>
      <c r="F39" s="1183">
        <f>IF(C39=0,0,VLOOKUP(C39,SDÖ5!$C$7:$D$16,2,FALSE))</f>
        <v>0</v>
      </c>
      <c r="G39" s="1183">
        <f t="shared" si="0"/>
        <v>0</v>
      </c>
      <c r="H39" s="1643"/>
      <c r="I39" s="1181">
        <f t="shared" si="1"/>
        <v>0</v>
      </c>
      <c r="K39" s="1643"/>
      <c r="L39" s="1023">
        <f t="shared" si="2"/>
        <v>0</v>
      </c>
      <c r="M39" s="1578"/>
      <c r="N39" s="1643"/>
      <c r="O39" s="1181">
        <f t="shared" si="3"/>
        <v>0</v>
      </c>
      <c r="P39" s="1623"/>
      <c r="Q39" s="1707"/>
    </row>
    <row r="40" spans="1:17" s="36" customFormat="1" ht="15" hidden="1" customHeight="1">
      <c r="A40" s="746"/>
      <c r="B40" s="1579"/>
      <c r="C40" s="4488"/>
      <c r="D40" s="4488"/>
      <c r="E40" s="4489"/>
      <c r="F40" s="1183">
        <f>IF(C40=0,0,VLOOKUP(C40,SDÖ5!$C$7:$D$16,2,FALSE))</f>
        <v>0</v>
      </c>
      <c r="G40" s="1183">
        <f t="shared" si="0"/>
        <v>0</v>
      </c>
      <c r="H40" s="1643"/>
      <c r="I40" s="1181">
        <f t="shared" si="1"/>
        <v>0</v>
      </c>
      <c r="K40" s="1643"/>
      <c r="L40" s="1023">
        <f t="shared" si="2"/>
        <v>0</v>
      </c>
      <c r="M40" s="1578"/>
      <c r="N40" s="1643"/>
      <c r="O40" s="1181">
        <f t="shared" si="3"/>
        <v>0</v>
      </c>
      <c r="P40" s="1623"/>
      <c r="Q40" s="1707"/>
    </row>
    <row r="41" spans="1:17" s="36" customFormat="1" ht="15" hidden="1" customHeight="1">
      <c r="A41" s="746"/>
      <c r="B41" s="1579"/>
      <c r="C41" s="4488"/>
      <c r="D41" s="4488"/>
      <c r="E41" s="4489"/>
      <c r="F41" s="1183">
        <f>IF(C41=0,0,VLOOKUP(C41,SDÖ5!$C$7:$D$16,2,FALSE))</f>
        <v>0</v>
      </c>
      <c r="G41" s="1183">
        <f t="shared" si="0"/>
        <v>0</v>
      </c>
      <c r="H41" s="1643"/>
      <c r="I41" s="1181">
        <f t="shared" si="1"/>
        <v>0</v>
      </c>
      <c r="K41" s="1643"/>
      <c r="L41" s="1023">
        <f t="shared" si="2"/>
        <v>0</v>
      </c>
      <c r="M41" s="1578"/>
      <c r="N41" s="1643"/>
      <c r="O41" s="1181">
        <f t="shared" si="3"/>
        <v>0</v>
      </c>
      <c r="P41" s="1623"/>
      <c r="Q41" s="1707"/>
    </row>
    <row r="42" spans="1:17" s="36" customFormat="1" ht="15" hidden="1" customHeight="1">
      <c r="A42" s="746"/>
      <c r="B42" s="1642"/>
      <c r="C42" s="4492"/>
      <c r="D42" s="4492"/>
      <c r="E42" s="4493"/>
      <c r="F42" s="1179">
        <f>IF(C42=0,0,VLOOKUP(C42,SDÖ5!$C$7:$D$16,2,FALSE))</f>
        <v>0</v>
      </c>
      <c r="G42" s="1179">
        <f t="shared" si="0"/>
        <v>0</v>
      </c>
      <c r="H42" s="1641"/>
      <c r="I42" s="1177">
        <f t="shared" si="1"/>
        <v>0</v>
      </c>
      <c r="K42" s="1641"/>
      <c r="L42" s="1017">
        <f t="shared" si="2"/>
        <v>0</v>
      </c>
      <c r="M42" s="1578"/>
      <c r="N42" s="1641"/>
      <c r="O42" s="1177">
        <f t="shared" si="3"/>
        <v>0</v>
      </c>
      <c r="P42" s="1640"/>
      <c r="Q42" s="1707"/>
    </row>
    <row r="43" spans="1:17" s="1706" customFormat="1" ht="18.75" customHeight="1">
      <c r="A43" s="711"/>
      <c r="B43" s="1639" t="s">
        <v>1126</v>
      </c>
      <c r="C43" s="814"/>
      <c r="D43" s="814"/>
      <c r="E43" s="814"/>
      <c r="F43" s="814"/>
      <c r="G43" s="1638" t="s">
        <v>163</v>
      </c>
      <c r="H43" s="1635"/>
      <c r="I43" s="1634"/>
      <c r="J43" s="1041">
        <f>SUM(J46:J57)</f>
        <v>0</v>
      </c>
      <c r="K43" s="1637"/>
      <c r="L43" s="1636"/>
      <c r="M43" s="1044">
        <f>SUM(M46:M57)</f>
        <v>0</v>
      </c>
      <c r="N43" s="1635"/>
      <c r="O43" s="1634"/>
      <c r="P43" s="1589">
        <f>SUM(P46:P57)</f>
        <v>0</v>
      </c>
      <c r="Q43" s="1707"/>
    </row>
    <row r="44" spans="1:17" s="36" customFormat="1" ht="15" customHeight="1">
      <c r="A44" s="746"/>
      <c r="B44" s="1633"/>
      <c r="C44" s="746" t="s">
        <v>855</v>
      </c>
      <c r="D44" s="746"/>
      <c r="E44" s="1171" t="s">
        <v>365</v>
      </c>
      <c r="F44" s="1170" t="s">
        <v>854</v>
      </c>
      <c r="G44" s="1169"/>
      <c r="H44" s="306" t="s">
        <v>853</v>
      </c>
      <c r="I44" s="1165" t="s">
        <v>852</v>
      </c>
      <c r="J44" s="1164"/>
      <c r="K44" s="1168" t="s">
        <v>853</v>
      </c>
      <c r="L44" s="1167" t="s">
        <v>852</v>
      </c>
      <c r="M44" s="1166"/>
      <c r="N44" s="306" t="s">
        <v>853</v>
      </c>
      <c r="O44" s="1165" t="s">
        <v>852</v>
      </c>
      <c r="P44" s="1632"/>
      <c r="Q44" s="1707"/>
    </row>
    <row r="45" spans="1:17" s="36" customFormat="1" ht="15" customHeight="1">
      <c r="A45" s="746"/>
      <c r="B45" s="1631"/>
      <c r="C45" s="1630"/>
      <c r="D45" s="1163"/>
      <c r="E45" s="1034" t="s">
        <v>1125</v>
      </c>
      <c r="F45" s="1586" t="s">
        <v>850</v>
      </c>
      <c r="G45" s="1586" t="s">
        <v>441</v>
      </c>
      <c r="H45" s="1159" t="s">
        <v>849</v>
      </c>
      <c r="I45" s="1585" t="s">
        <v>113</v>
      </c>
      <c r="J45" s="1629" t="s">
        <v>163</v>
      </c>
      <c r="K45" s="1162" t="s">
        <v>849</v>
      </c>
      <c r="L45" s="1628" t="s">
        <v>113</v>
      </c>
      <c r="M45" s="1627" t="s">
        <v>163</v>
      </c>
      <c r="N45" s="1159" t="s">
        <v>849</v>
      </c>
      <c r="O45" s="1585" t="s">
        <v>113</v>
      </c>
      <c r="P45" s="1626" t="s">
        <v>163</v>
      </c>
      <c r="Q45" s="1707"/>
    </row>
    <row r="46" spans="1:17" s="36" customFormat="1" ht="15" customHeight="1">
      <c r="A46" s="746"/>
      <c r="B46" s="1625"/>
      <c r="C46" s="4494"/>
      <c r="D46" s="4495"/>
      <c r="E46" s="1152">
        <f>IF($C46=0,0,VLOOKUP($C46,'SD3'!$C$24:$N$74,4,FALSE))</f>
        <v>0</v>
      </c>
      <c r="F46" s="1151">
        <f>IF($C46=0,0,VLOOKUP($C46,'SD3'!$C$24:$N$74,12,FALSE))</f>
        <v>0</v>
      </c>
      <c r="G46" s="1150">
        <f>IF($C46=0,0,VLOOKUP($C46,'SD3'!$C$24:$N$74,13,FALSE))</f>
        <v>0</v>
      </c>
      <c r="H46" s="1155"/>
      <c r="I46" s="1154">
        <f t="shared" ref="I46:I57" si="4">$F46*H46</f>
        <v>0</v>
      </c>
      <c r="J46" s="1145">
        <f t="shared" ref="J46:J57" si="5">H46*$G46</f>
        <v>0</v>
      </c>
      <c r="K46" s="1155"/>
      <c r="L46" s="1156">
        <f t="shared" ref="L46:L57" si="6">$F46*K46</f>
        <v>0</v>
      </c>
      <c r="M46" s="1148">
        <f t="shared" ref="M46:M57" si="7">K46*$G46</f>
        <v>0</v>
      </c>
      <c r="N46" s="1155"/>
      <c r="O46" s="1154">
        <f t="shared" ref="O46:O57" si="8">$F46*N46</f>
        <v>0</v>
      </c>
      <c r="P46" s="1623">
        <f t="shared" ref="P46:P57" si="9">N46*$G46</f>
        <v>0</v>
      </c>
      <c r="Q46" s="1707"/>
    </row>
    <row r="47" spans="1:17" s="36" customFormat="1" ht="15" customHeight="1">
      <c r="A47" s="746"/>
      <c r="B47" s="1624"/>
      <c r="C47" s="4481"/>
      <c r="D47" s="4482"/>
      <c r="E47" s="1152">
        <f>IF($C47=0,0,VLOOKUP($C47,'SD3'!$C$24:$N$74,4,FALSE))</f>
        <v>0</v>
      </c>
      <c r="F47" s="1151">
        <f>IF($C47=0,0,VLOOKUP($C47,'SD3'!$C$24:$N$74,12,FALSE))</f>
        <v>0</v>
      </c>
      <c r="G47" s="1150">
        <f>IF($C47=0,0,VLOOKUP($C47,'SD3'!$C$24:$N$74,13,FALSE))</f>
        <v>0</v>
      </c>
      <c r="H47" s="1147"/>
      <c r="I47" s="1146">
        <f t="shared" si="4"/>
        <v>0</v>
      </c>
      <c r="J47" s="1145">
        <f t="shared" si="5"/>
        <v>0</v>
      </c>
      <c r="K47" s="1147"/>
      <c r="L47" s="1149">
        <f t="shared" si="6"/>
        <v>0</v>
      </c>
      <c r="M47" s="1148">
        <f t="shared" si="7"/>
        <v>0</v>
      </c>
      <c r="N47" s="1147"/>
      <c r="O47" s="1146">
        <f t="shared" si="8"/>
        <v>0</v>
      </c>
      <c r="P47" s="1623">
        <f t="shared" si="9"/>
        <v>0</v>
      </c>
      <c r="Q47" s="1707"/>
    </row>
    <row r="48" spans="1:17" s="36" customFormat="1" ht="15" customHeight="1">
      <c r="A48" s="746"/>
      <c r="B48" s="1624"/>
      <c r="C48" s="4481"/>
      <c r="D48" s="4482"/>
      <c r="E48" s="1152">
        <f>IF($C48=0,0,VLOOKUP($C48,'SD3'!$C$24:$N$74,4,FALSE))</f>
        <v>0</v>
      </c>
      <c r="F48" s="1151">
        <f>IF($C48=0,0,VLOOKUP($C48,'SD3'!$C$24:$N$74,12,FALSE))</f>
        <v>0</v>
      </c>
      <c r="G48" s="1150">
        <f>IF($C48=0,0,VLOOKUP($C48,'SD3'!$C$24:$N$74,13,FALSE))</f>
        <v>0</v>
      </c>
      <c r="H48" s="1147"/>
      <c r="I48" s="1146">
        <f t="shared" si="4"/>
        <v>0</v>
      </c>
      <c r="J48" s="1145">
        <f t="shared" si="5"/>
        <v>0</v>
      </c>
      <c r="K48" s="1147"/>
      <c r="L48" s="1149">
        <f t="shared" si="6"/>
        <v>0</v>
      </c>
      <c r="M48" s="1148">
        <f t="shared" si="7"/>
        <v>0</v>
      </c>
      <c r="N48" s="1147"/>
      <c r="O48" s="1146">
        <f t="shared" si="8"/>
        <v>0</v>
      </c>
      <c r="P48" s="1623">
        <f t="shared" si="9"/>
        <v>0</v>
      </c>
      <c r="Q48" s="1707"/>
    </row>
    <row r="49" spans="1:17" s="36" customFormat="1" ht="15" customHeight="1">
      <c r="A49" s="746"/>
      <c r="B49" s="1624"/>
      <c r="C49" s="4481"/>
      <c r="D49" s="4482"/>
      <c r="E49" s="1152">
        <f>IF($C49=0,0,VLOOKUP($C49,'SD3'!$C$24:$N$74,4,FALSE))</f>
        <v>0</v>
      </c>
      <c r="F49" s="1151">
        <f>IF($C49=0,0,VLOOKUP($C49,'SD3'!$C$24:$N$74,12,FALSE))</f>
        <v>0</v>
      </c>
      <c r="G49" s="1150">
        <f>IF($C49=0,0,VLOOKUP($C49,'SD3'!$C$24:$N$74,13,FALSE))</f>
        <v>0</v>
      </c>
      <c r="H49" s="1147"/>
      <c r="I49" s="1146">
        <f t="shared" si="4"/>
        <v>0</v>
      </c>
      <c r="J49" s="1145">
        <f t="shared" si="5"/>
        <v>0</v>
      </c>
      <c r="K49" s="1147"/>
      <c r="L49" s="1149">
        <f t="shared" si="6"/>
        <v>0</v>
      </c>
      <c r="M49" s="1148">
        <f t="shared" si="7"/>
        <v>0</v>
      </c>
      <c r="N49" s="1147"/>
      <c r="O49" s="1146">
        <f t="shared" si="8"/>
        <v>0</v>
      </c>
      <c r="P49" s="1623">
        <f t="shared" si="9"/>
        <v>0</v>
      </c>
      <c r="Q49" s="1707"/>
    </row>
    <row r="50" spans="1:17" s="36" customFormat="1" ht="15" customHeight="1">
      <c r="A50" s="746"/>
      <c r="B50" s="1624"/>
      <c r="C50" s="4481"/>
      <c r="D50" s="4482"/>
      <c r="E50" s="1152">
        <f>IF($C50=0,0,VLOOKUP($C50,'SD3'!$C$24:$N$74,4,FALSE))</f>
        <v>0</v>
      </c>
      <c r="F50" s="1151">
        <f>IF($C50=0,0,VLOOKUP($C50,'SD3'!$C$24:$N$74,12,FALSE))</f>
        <v>0</v>
      </c>
      <c r="G50" s="1150">
        <f>IF($C50=0,0,VLOOKUP($C50,'SD3'!$C$24:$N$74,13,FALSE))</f>
        <v>0</v>
      </c>
      <c r="H50" s="1147"/>
      <c r="I50" s="1146">
        <f t="shared" si="4"/>
        <v>0</v>
      </c>
      <c r="J50" s="1145">
        <f t="shared" si="5"/>
        <v>0</v>
      </c>
      <c r="K50" s="1147"/>
      <c r="L50" s="1149">
        <f t="shared" si="6"/>
        <v>0</v>
      </c>
      <c r="M50" s="1148">
        <f t="shared" si="7"/>
        <v>0</v>
      </c>
      <c r="N50" s="1147"/>
      <c r="O50" s="1146">
        <f t="shared" si="8"/>
        <v>0</v>
      </c>
      <c r="P50" s="1623">
        <f t="shared" si="9"/>
        <v>0</v>
      </c>
      <c r="Q50" s="1707"/>
    </row>
    <row r="51" spans="1:17" s="36" customFormat="1" ht="15" customHeight="1">
      <c r="A51" s="746"/>
      <c r="B51" s="1624"/>
      <c r="C51" s="4481"/>
      <c r="D51" s="4482"/>
      <c r="E51" s="1152">
        <f>IF($C51=0,0,VLOOKUP($C51,'SD3'!$C$24:$N$74,4,FALSE))</f>
        <v>0</v>
      </c>
      <c r="F51" s="1151">
        <f>IF($C51=0,0,VLOOKUP($C51,'SD3'!$C$24:$N$74,12,FALSE))</f>
        <v>0</v>
      </c>
      <c r="G51" s="1150">
        <f>IF($C51=0,0,VLOOKUP($C51,'SD3'!$C$24:$N$74,13,FALSE))</f>
        <v>0</v>
      </c>
      <c r="H51" s="1147"/>
      <c r="I51" s="1146">
        <f t="shared" si="4"/>
        <v>0</v>
      </c>
      <c r="J51" s="1145">
        <f t="shared" si="5"/>
        <v>0</v>
      </c>
      <c r="K51" s="1147"/>
      <c r="L51" s="1149">
        <f t="shared" si="6"/>
        <v>0</v>
      </c>
      <c r="M51" s="1148">
        <f t="shared" si="7"/>
        <v>0</v>
      </c>
      <c r="N51" s="1147"/>
      <c r="O51" s="1146">
        <f t="shared" si="8"/>
        <v>0</v>
      </c>
      <c r="P51" s="1623">
        <f t="shared" si="9"/>
        <v>0</v>
      </c>
      <c r="Q51" s="1707"/>
    </row>
    <row r="52" spans="1:17" s="36" customFormat="1" ht="15" customHeight="1">
      <c r="A52" s="746"/>
      <c r="B52" s="1624"/>
      <c r="C52" s="4481"/>
      <c r="D52" s="4482"/>
      <c r="E52" s="1152">
        <f>IF($C52=0,0,VLOOKUP($C52,'SD3'!$C$24:$N$74,4,FALSE))</f>
        <v>0</v>
      </c>
      <c r="F52" s="1151">
        <f>IF($C52=0,0,VLOOKUP($C52,'SD3'!$C$24:$N$74,12,FALSE))</f>
        <v>0</v>
      </c>
      <c r="G52" s="1150">
        <f>IF($C52=0,0,VLOOKUP($C52,'SD3'!$C$24:$N$74,13,FALSE))</f>
        <v>0</v>
      </c>
      <c r="H52" s="1147"/>
      <c r="I52" s="1146">
        <f t="shared" si="4"/>
        <v>0</v>
      </c>
      <c r="J52" s="1145">
        <f t="shared" si="5"/>
        <v>0</v>
      </c>
      <c r="K52" s="1147"/>
      <c r="L52" s="1149">
        <f t="shared" si="6"/>
        <v>0</v>
      </c>
      <c r="M52" s="1148">
        <f t="shared" si="7"/>
        <v>0</v>
      </c>
      <c r="N52" s="1147"/>
      <c r="O52" s="1146">
        <f t="shared" si="8"/>
        <v>0</v>
      </c>
      <c r="P52" s="1623">
        <f t="shared" si="9"/>
        <v>0</v>
      </c>
      <c r="Q52" s="1707"/>
    </row>
    <row r="53" spans="1:17" s="36" customFormat="1" ht="15" customHeight="1">
      <c r="A53" s="746"/>
      <c r="B53" s="1624"/>
      <c r="C53" s="4481"/>
      <c r="D53" s="4482"/>
      <c r="E53" s="1152">
        <f>IF($C53=0,0,VLOOKUP($C53,'SD3'!$C$24:$N$74,4,FALSE))</f>
        <v>0</v>
      </c>
      <c r="F53" s="1151">
        <f>IF($C53=0,0,VLOOKUP($C53,'SD3'!$C$24:$N$74,12,FALSE))</f>
        <v>0</v>
      </c>
      <c r="G53" s="1150">
        <f>IF($C53=0,0,VLOOKUP($C53,'SD3'!$C$24:$N$74,13,FALSE))</f>
        <v>0</v>
      </c>
      <c r="H53" s="1147"/>
      <c r="I53" s="1146">
        <f t="shared" si="4"/>
        <v>0</v>
      </c>
      <c r="J53" s="1145">
        <f t="shared" si="5"/>
        <v>0</v>
      </c>
      <c r="K53" s="1147"/>
      <c r="L53" s="1149">
        <f t="shared" si="6"/>
        <v>0</v>
      </c>
      <c r="M53" s="1148">
        <f t="shared" si="7"/>
        <v>0</v>
      </c>
      <c r="N53" s="1147"/>
      <c r="O53" s="1146">
        <f t="shared" si="8"/>
        <v>0</v>
      </c>
      <c r="P53" s="1623">
        <f t="shared" si="9"/>
        <v>0</v>
      </c>
      <c r="Q53" s="1707"/>
    </row>
    <row r="54" spans="1:17" s="36" customFormat="1" ht="15" customHeight="1">
      <c r="A54" s="746"/>
      <c r="B54" s="1624"/>
      <c r="C54" s="4481"/>
      <c r="D54" s="4482"/>
      <c r="E54" s="1152">
        <f>IF($C54=0,0,VLOOKUP($C54,'SD3'!$C$24:$N$74,4,FALSE))</f>
        <v>0</v>
      </c>
      <c r="F54" s="1151">
        <f>IF($C54=0,0,VLOOKUP($C54,'SD3'!$C$24:$N$74,12,FALSE))</f>
        <v>0</v>
      </c>
      <c r="G54" s="1150">
        <f>IF($C54=0,0,VLOOKUP($C54,'SD3'!$C$24:$N$74,13,FALSE))</f>
        <v>0</v>
      </c>
      <c r="H54" s="1147"/>
      <c r="I54" s="1146">
        <f t="shared" si="4"/>
        <v>0</v>
      </c>
      <c r="J54" s="1145">
        <f t="shared" si="5"/>
        <v>0</v>
      </c>
      <c r="K54" s="1147"/>
      <c r="L54" s="1149">
        <f t="shared" si="6"/>
        <v>0</v>
      </c>
      <c r="M54" s="1148">
        <f t="shared" si="7"/>
        <v>0</v>
      </c>
      <c r="N54" s="1147"/>
      <c r="O54" s="1146">
        <f t="shared" si="8"/>
        <v>0</v>
      </c>
      <c r="P54" s="1623">
        <f t="shared" si="9"/>
        <v>0</v>
      </c>
      <c r="Q54" s="34"/>
    </row>
    <row r="55" spans="1:17" s="36" customFormat="1" ht="15" customHeight="1">
      <c r="A55" s="746"/>
      <c r="B55" s="1624"/>
      <c r="C55" s="4481"/>
      <c r="D55" s="4482"/>
      <c r="E55" s="1152">
        <f>IF($C55=0,0,VLOOKUP($C55,'SD3'!$C$24:$N$74,4,FALSE))</f>
        <v>0</v>
      </c>
      <c r="F55" s="1151">
        <f>IF($C55=0,0,VLOOKUP($C55,'SD3'!$C$24:$N$74,12,FALSE))</f>
        <v>0</v>
      </c>
      <c r="G55" s="1150">
        <f>IF($C55=0,0,VLOOKUP($C55,'SD3'!$C$24:$N$74,13,FALSE))</f>
        <v>0</v>
      </c>
      <c r="H55" s="1147"/>
      <c r="I55" s="1146">
        <f t="shared" si="4"/>
        <v>0</v>
      </c>
      <c r="J55" s="1145">
        <f t="shared" si="5"/>
        <v>0</v>
      </c>
      <c r="K55" s="1147"/>
      <c r="L55" s="1149">
        <f t="shared" si="6"/>
        <v>0</v>
      </c>
      <c r="M55" s="1148">
        <f t="shared" si="7"/>
        <v>0</v>
      </c>
      <c r="N55" s="1147"/>
      <c r="O55" s="1146">
        <f t="shared" si="8"/>
        <v>0</v>
      </c>
      <c r="P55" s="1623">
        <f t="shared" si="9"/>
        <v>0</v>
      </c>
      <c r="Q55" s="34"/>
    </row>
    <row r="56" spans="1:17" s="36" customFormat="1" ht="15" customHeight="1">
      <c r="A56" s="746"/>
      <c r="B56" s="1624"/>
      <c r="C56" s="4481"/>
      <c r="D56" s="4482"/>
      <c r="E56" s="1152">
        <f>IF($C56=0,0,VLOOKUP($C56,'SD3'!$C$24:$N$74,4,FALSE))</f>
        <v>0</v>
      </c>
      <c r="F56" s="1151">
        <f>IF($C56=0,0,VLOOKUP($C56,'SD3'!$C$24:$N$74,12,FALSE))</f>
        <v>0</v>
      </c>
      <c r="G56" s="1150">
        <f>IF($C56=0,0,VLOOKUP($C56,'SD3'!$C$24:$N$74,13,FALSE))</f>
        <v>0</v>
      </c>
      <c r="H56" s="1147"/>
      <c r="I56" s="1146">
        <f t="shared" si="4"/>
        <v>0</v>
      </c>
      <c r="J56" s="1145">
        <f t="shared" si="5"/>
        <v>0</v>
      </c>
      <c r="K56" s="1147"/>
      <c r="L56" s="1149">
        <f t="shared" si="6"/>
        <v>0</v>
      </c>
      <c r="M56" s="1148">
        <f t="shared" si="7"/>
        <v>0</v>
      </c>
      <c r="N56" s="1147"/>
      <c r="O56" s="1146">
        <f t="shared" si="8"/>
        <v>0</v>
      </c>
      <c r="P56" s="1623">
        <f t="shared" si="9"/>
        <v>0</v>
      </c>
      <c r="Q56" s="1707"/>
    </row>
    <row r="57" spans="1:17" s="36" customFormat="1" ht="24.75" customHeight="1">
      <c r="A57" s="746"/>
      <c r="B57" s="1603"/>
      <c r="C57" s="4516">
        <v>0</v>
      </c>
      <c r="D57" s="4517"/>
      <c r="E57" s="1135">
        <f>IF($C57=0,0,VLOOKUP($C57,'SD3'!$C$24:$N$74,4,FALSE))</f>
        <v>0</v>
      </c>
      <c r="F57" s="1134">
        <f>IF($C57=0,0,VLOOKUP($C57,'SD3'!$C$24:$N$74,12,FALSE))</f>
        <v>0</v>
      </c>
      <c r="G57" s="1133">
        <f>IF($C57=0,0,VLOOKUP($C57,'SD3'!$C$24:$N$74,13,FALSE))</f>
        <v>0</v>
      </c>
      <c r="H57" s="1131">
        <f>H11/50</f>
        <v>0</v>
      </c>
      <c r="I57" s="1130">
        <f t="shared" si="4"/>
        <v>0</v>
      </c>
      <c r="J57" s="1129">
        <f t="shared" si="5"/>
        <v>0</v>
      </c>
      <c r="K57" s="1131">
        <f>K11/50</f>
        <v>0</v>
      </c>
      <c r="L57" s="1132">
        <f t="shared" si="6"/>
        <v>0</v>
      </c>
      <c r="M57" s="1079">
        <f t="shared" si="7"/>
        <v>0</v>
      </c>
      <c r="N57" s="1131">
        <f>N11/50</f>
        <v>0</v>
      </c>
      <c r="O57" s="1130">
        <f t="shared" si="8"/>
        <v>0</v>
      </c>
      <c r="P57" s="1622">
        <f t="shared" si="9"/>
        <v>0</v>
      </c>
      <c r="Q57" s="1707"/>
    </row>
    <row r="58" spans="1:17" s="36" customFormat="1" ht="24.75" customHeight="1">
      <c r="A58" s="746"/>
      <c r="B58" s="1621" t="s">
        <v>1124</v>
      </c>
      <c r="C58" s="1620"/>
      <c r="D58" s="1620"/>
      <c r="E58" s="1620"/>
      <c r="F58" s="1620"/>
      <c r="G58" s="1620"/>
      <c r="H58" s="1617"/>
      <c r="I58" s="1616">
        <f>SUM(I46:I57)</f>
        <v>0</v>
      </c>
      <c r="J58" s="1619"/>
      <c r="K58" s="1617"/>
      <c r="L58" s="1616">
        <f>SUM(L46:L57)</f>
        <v>0</v>
      </c>
      <c r="M58" s="1618"/>
      <c r="N58" s="1617"/>
      <c r="O58" s="1616">
        <f>SUM(O46:O57)</f>
        <v>0</v>
      </c>
      <c r="P58" s="1615"/>
      <c r="Q58" s="1707"/>
    </row>
    <row r="59" spans="1:17" s="1706" customFormat="1" ht="18.75" customHeight="1">
      <c r="A59" s="711"/>
      <c r="B59" s="1594" t="s">
        <v>1123</v>
      </c>
      <c r="C59" s="711"/>
      <c r="D59" s="711"/>
      <c r="E59" s="711"/>
      <c r="F59" s="1707"/>
      <c r="G59" s="1590" t="s">
        <v>163</v>
      </c>
      <c r="H59" s="51"/>
      <c r="I59" s="51"/>
      <c r="J59" s="1041">
        <f>H60*$E60</f>
        <v>0</v>
      </c>
      <c r="K59" s="1056"/>
      <c r="L59" s="1056"/>
      <c r="M59" s="1044">
        <f>K60*$E60</f>
        <v>0</v>
      </c>
      <c r="N59" s="51"/>
      <c r="O59" s="51"/>
      <c r="P59" s="1589">
        <f>N60*$E60</f>
        <v>0</v>
      </c>
      <c r="Q59" s="1707"/>
    </row>
    <row r="60" spans="1:17" s="1706" customFormat="1" ht="15" customHeight="1">
      <c r="A60" s="711"/>
      <c r="B60" s="1614"/>
      <c r="C60" s="815"/>
      <c r="D60" s="222" t="s">
        <v>691</v>
      </c>
      <c r="E60" s="1074">
        <v>10</v>
      </c>
      <c r="F60" s="1049"/>
      <c r="G60" s="1613" t="s">
        <v>362</v>
      </c>
      <c r="H60" s="1015"/>
      <c r="I60" s="1070"/>
      <c r="J60" s="1059"/>
      <c r="K60" s="1015"/>
      <c r="L60" s="1072"/>
      <c r="M60" s="1062"/>
      <c r="N60" s="1015"/>
      <c r="O60" s="1070"/>
      <c r="P60" s="1595"/>
      <c r="Q60" s="1707"/>
    </row>
    <row r="61" spans="1:17" s="46" customFormat="1" ht="18.75" customHeight="1">
      <c r="A61" s="811"/>
      <c r="B61" s="1594" t="s">
        <v>1122</v>
      </c>
      <c r="C61" s="811"/>
      <c r="D61" s="811"/>
      <c r="E61" s="811"/>
      <c r="F61" s="1707"/>
      <c r="G61" s="1590" t="s">
        <v>362</v>
      </c>
      <c r="H61" s="1124"/>
      <c r="I61" s="1123">
        <f>I58-H60</f>
        <v>0</v>
      </c>
      <c r="J61" s="1128"/>
      <c r="K61" s="1127"/>
      <c r="L61" s="1126">
        <f>L58-K60</f>
        <v>0</v>
      </c>
      <c r="M61" s="1125"/>
      <c r="N61" s="1124"/>
      <c r="O61" s="1123">
        <f>O58-N60</f>
        <v>0</v>
      </c>
      <c r="P61" s="1612"/>
      <c r="Q61" s="1707"/>
    </row>
    <row r="62" spans="1:17" s="46" customFormat="1" ht="15" customHeight="1">
      <c r="A62" s="811"/>
      <c r="B62" s="1611"/>
      <c r="C62" s="251"/>
      <c r="D62" s="222" t="s">
        <v>847</v>
      </c>
      <c r="E62" s="1120">
        <v>80</v>
      </c>
      <c r="F62" s="251" t="s">
        <v>846</v>
      </c>
      <c r="G62" s="106"/>
      <c r="H62" s="1115"/>
      <c r="I62" s="1114">
        <f>IF(I61+SUM($I$46:$I$57)*$E$62%&gt;I61+10,I61+10,I61+SUM($I$46:$I$57)*$E$62%)</f>
        <v>0</v>
      </c>
      <c r="J62" s="1113"/>
      <c r="K62" s="1118"/>
      <c r="L62" s="1117">
        <f>IF(L61+SUM($L$46:$L$57)*$E$62%&gt;L61+10,L61+10,L61+SUM($L$46:$L$57)*$E$62%)</f>
        <v>0</v>
      </c>
      <c r="M62" s="1116"/>
      <c r="N62" s="1115"/>
      <c r="O62" s="1114">
        <f>IF(O61+SUM($O$46:$O$57)*$E$62%&gt;O61+10,O61+10,O61+SUM($O$46:$O$57)*$E$62%)</f>
        <v>0</v>
      </c>
      <c r="P62" s="1610"/>
      <c r="Q62" s="1707"/>
    </row>
    <row r="63" spans="1:17" s="36" customFormat="1" ht="18.75" customHeight="1">
      <c r="A63" s="746"/>
      <c r="B63" s="1594" t="s">
        <v>305</v>
      </c>
      <c r="C63" s="811"/>
      <c r="D63" s="811"/>
      <c r="G63" s="1609" t="s">
        <v>163</v>
      </c>
      <c r="H63" s="1607"/>
      <c r="I63" s="1606"/>
      <c r="J63" s="1041">
        <f>IF(J6=0,0,SUM(I65:I67))</f>
        <v>0</v>
      </c>
      <c r="K63" s="1107"/>
      <c r="L63" s="1106"/>
      <c r="M63" s="1044">
        <f>IF(M6=0,0,SUM(L65:L67))</f>
        <v>0</v>
      </c>
      <c r="N63" s="1607"/>
      <c r="O63" s="1606"/>
      <c r="P63" s="1589">
        <f>IF(P6=0,0,SUM(O65:O67))</f>
        <v>0</v>
      </c>
      <c r="Q63" s="1707"/>
    </row>
    <row r="64" spans="1:17" s="36" customFormat="1" ht="13.2" customHeight="1">
      <c r="A64" s="746"/>
      <c r="B64" s="1588"/>
      <c r="C64" s="1039" t="s">
        <v>837</v>
      </c>
      <c r="D64" s="1110">
        <f>SDÖ1!$O$11</f>
        <v>0</v>
      </c>
      <c r="E64" s="1587"/>
      <c r="F64" s="1585" t="s">
        <v>239</v>
      </c>
      <c r="G64" s="1608" t="s">
        <v>836</v>
      </c>
      <c r="H64" s="1607"/>
      <c r="I64" s="1606"/>
      <c r="J64" s="1209"/>
      <c r="K64" s="1107"/>
      <c r="L64" s="1106"/>
      <c r="M64" s="1105"/>
      <c r="N64" s="1607"/>
      <c r="O64" s="1606"/>
      <c r="P64" s="1580"/>
      <c r="Q64" s="1707"/>
    </row>
    <row r="65" spans="1:20" s="36" customFormat="1" ht="15" customHeight="1">
      <c r="A65" s="746"/>
      <c r="B65" s="1579"/>
      <c r="C65" s="4484"/>
      <c r="D65" s="4484"/>
      <c r="E65" s="4484"/>
      <c r="F65" s="1101">
        <f>IF($C65=0,0,VLOOKUP($C65,'SD3'!$C$92:$D$114,2,FALSE))</f>
        <v>0</v>
      </c>
      <c r="G65" s="1100">
        <f>(100+$D$64)/100*F65</f>
        <v>0</v>
      </c>
      <c r="I65" s="1243">
        <f>$G$65</f>
        <v>0</v>
      </c>
      <c r="K65" s="1099"/>
      <c r="L65" s="1098">
        <f>$G$65</f>
        <v>0</v>
      </c>
      <c r="M65" s="1578"/>
      <c r="N65" s="1604"/>
      <c r="O65" s="1243">
        <f>$G$65</f>
        <v>0</v>
      </c>
      <c r="P65" s="1577"/>
      <c r="Q65" s="1707"/>
    </row>
    <row r="66" spans="1:20" s="36" customFormat="1" ht="15" customHeight="1">
      <c r="A66" s="746"/>
      <c r="B66" s="1579"/>
      <c r="C66" s="4484"/>
      <c r="D66" s="4484"/>
      <c r="E66" s="4485"/>
      <c r="F66" s="1605">
        <f>IF($C66=0,0,VLOOKUP($C66,'SD3'!$C$92:$D$114,2,FALSE))</f>
        <v>0</v>
      </c>
      <c r="G66" s="1013">
        <f>(100+$D$64)/100*F66</f>
        <v>0</v>
      </c>
      <c r="K66" s="1099"/>
      <c r="L66" s="1098"/>
      <c r="M66" s="1578"/>
      <c r="N66" s="1604"/>
      <c r="O66" s="1243"/>
      <c r="P66" s="1577"/>
      <c r="Q66" s="1707"/>
    </row>
    <row r="67" spans="1:20" s="36" customFormat="1" ht="15" customHeight="1">
      <c r="A67" s="746"/>
      <c r="B67" s="1603"/>
      <c r="C67" s="4486" t="s">
        <v>289</v>
      </c>
      <c r="D67" s="4486"/>
      <c r="E67" s="4486"/>
      <c r="F67" s="1083">
        <f>IF($T$3=FALSE,0,VLOOKUP($C67,'SD3'!$C$92:$D$114,2,FALSE))</f>
        <v>0</v>
      </c>
      <c r="G67" s="1082">
        <f>(100+$D$64)/100*F67</f>
        <v>0</v>
      </c>
      <c r="H67" s="1602"/>
      <c r="I67" s="1235">
        <f>H11*$G$67</f>
        <v>0</v>
      </c>
      <c r="K67" s="1081"/>
      <c r="L67" s="1080">
        <f>K11*$G$67</f>
        <v>0</v>
      </c>
      <c r="M67" s="1079"/>
      <c r="N67" s="1602"/>
      <c r="O67" s="1235">
        <f>N11*$G$67</f>
        <v>0</v>
      </c>
      <c r="P67" s="1601"/>
      <c r="Q67" s="1707"/>
    </row>
    <row r="68" spans="1:20" s="1706" customFormat="1" ht="22.95" customHeight="1">
      <c r="A68" s="711"/>
      <c r="B68" s="1594" t="s">
        <v>1121</v>
      </c>
      <c r="C68" s="711"/>
      <c r="D68" s="711"/>
      <c r="E68" s="175"/>
      <c r="F68" s="1069"/>
      <c r="G68" s="1590" t="s">
        <v>163</v>
      </c>
      <c r="H68" s="1598" t="s">
        <v>842</v>
      </c>
      <c r="I68" s="1597" t="s">
        <v>841</v>
      </c>
      <c r="J68" s="1387">
        <f>IF($F$69=0,$R$69*H$9*I$69%,$F$69*H$9*I$69%)</f>
        <v>0</v>
      </c>
      <c r="K68" s="1600" t="s">
        <v>842</v>
      </c>
      <c r="L68" s="1599" t="s">
        <v>841</v>
      </c>
      <c r="M68" s="1387">
        <f>IF($F$69=0,$S$69*K$9*L$69%,$F$69*K$9*L$69%)</f>
        <v>0</v>
      </c>
      <c r="N68" s="1598" t="s">
        <v>842</v>
      </c>
      <c r="O68" s="1597" t="s">
        <v>841</v>
      </c>
      <c r="P68" s="2181">
        <f>IF($F$69=0,$T$69*N$9*O$69%,$F$69*N$9*O$69%)</f>
        <v>0</v>
      </c>
      <c r="Q68" s="1707"/>
    </row>
    <row r="69" spans="1:20" s="1706" customFormat="1" ht="15" customHeight="1">
      <c r="A69" s="711"/>
      <c r="B69" s="1596"/>
      <c r="C69" s="4487" t="s">
        <v>1120</v>
      </c>
      <c r="D69" s="4487"/>
      <c r="E69" s="4487"/>
      <c r="F69" s="1063"/>
      <c r="G69" s="1054" t="s">
        <v>220</v>
      </c>
      <c r="H69" s="1061"/>
      <c r="I69" s="1060"/>
      <c r="J69" s="1059"/>
      <c r="K69" s="1061"/>
      <c r="L69" s="1060"/>
      <c r="M69" s="1062"/>
      <c r="N69" s="1061"/>
      <c r="O69" s="1060"/>
      <c r="P69" s="1595"/>
      <c r="Q69" s="1707"/>
      <c r="R69" s="1369">
        <f>IF($H$69=0,0,VLOOKUP($H$69,#REF!,2,FALSE))*(1+SDÖ1!$O$11/100)</f>
        <v>0</v>
      </c>
      <c r="S69" s="1058">
        <f>IF($K$69=0,0,VLOOKUP($K$69,#REF!,2,FALSE))*(1+SDÖ1!$O$11/100)</f>
        <v>0</v>
      </c>
      <c r="T69" s="1369">
        <f>IF($N$69=0,0,VLOOKUP($N$69,#REF!,2,FALSE))*(1+SDÖ1!$O$11/100)</f>
        <v>0</v>
      </c>
    </row>
    <row r="70" spans="1:20" s="1706" customFormat="1" ht="18.75" customHeight="1">
      <c r="A70" s="711"/>
      <c r="B70" s="1594" t="s">
        <v>1119</v>
      </c>
      <c r="C70" s="711"/>
      <c r="D70" s="711"/>
      <c r="E70" s="175"/>
      <c r="F70" s="175"/>
      <c r="G70" s="1590" t="s">
        <v>163</v>
      </c>
      <c r="H70" s="38"/>
      <c r="I70" s="51"/>
      <c r="J70" s="1041">
        <f>H71*$F71/1000</f>
        <v>0</v>
      </c>
      <c r="K70" s="1057"/>
      <c r="L70" s="1056"/>
      <c r="M70" s="1044">
        <f>K71*$F71/1000</f>
        <v>0</v>
      </c>
      <c r="N70" s="38"/>
      <c r="O70" s="51"/>
      <c r="P70" s="1589">
        <f>N71*$F71/1000</f>
        <v>0</v>
      </c>
      <c r="Q70" s="1707"/>
    </row>
    <row r="71" spans="1:20" s="1706" customFormat="1" ht="15" customHeight="1">
      <c r="A71" s="711"/>
      <c r="B71" s="1593"/>
      <c r="C71" s="771" t="s">
        <v>606</v>
      </c>
      <c r="D71" s="251"/>
      <c r="E71" s="222"/>
      <c r="F71" s="1386"/>
      <c r="G71" s="1054" t="s">
        <v>163</v>
      </c>
      <c r="H71" s="1050">
        <f>I9+I10</f>
        <v>0</v>
      </c>
      <c r="I71" s="1049"/>
      <c r="J71" s="1048"/>
      <c r="K71" s="1053">
        <f>L9+L10</f>
        <v>0</v>
      </c>
      <c r="L71" s="1052"/>
      <c r="M71" s="1051"/>
      <c r="N71" s="1050">
        <f>O9+O10</f>
        <v>0</v>
      </c>
      <c r="O71" s="1049"/>
      <c r="P71" s="1592"/>
      <c r="Q71" s="1707"/>
    </row>
    <row r="72" spans="1:20" ht="18.75" customHeight="1">
      <c r="A72" s="309"/>
      <c r="B72" s="1591" t="s">
        <v>210</v>
      </c>
      <c r="C72" s="309"/>
      <c r="D72" s="309"/>
      <c r="E72" s="175"/>
      <c r="F72" s="1711"/>
      <c r="G72" s="1590" t="s">
        <v>163</v>
      </c>
      <c r="H72" s="1043"/>
      <c r="I72" s="1042"/>
      <c r="J72" s="1041">
        <f>SUM(I74:I75)</f>
        <v>0</v>
      </c>
      <c r="K72" s="1046"/>
      <c r="L72" s="1045"/>
      <c r="M72" s="1044">
        <f>SUM(L74:L75)</f>
        <v>0</v>
      </c>
      <c r="N72" s="1043"/>
      <c r="O72" s="1042"/>
      <c r="P72" s="1589">
        <f>SUM(O74:O75)</f>
        <v>0</v>
      </c>
    </row>
    <row r="73" spans="1:20" ht="13.2" customHeight="1">
      <c r="A73" s="309"/>
      <c r="B73" s="1588"/>
      <c r="C73" s="1039" t="s">
        <v>837</v>
      </c>
      <c r="D73" s="1038">
        <f>SDÖ1!$O$12</f>
        <v>0</v>
      </c>
      <c r="E73" s="1587"/>
      <c r="F73" s="1036"/>
      <c r="G73" s="1035"/>
      <c r="H73" s="1586" t="s">
        <v>239</v>
      </c>
      <c r="I73" s="1585" t="s">
        <v>836</v>
      </c>
      <c r="J73" s="1032"/>
      <c r="K73" s="1584" t="s">
        <v>239</v>
      </c>
      <c r="L73" s="1583" t="s">
        <v>836</v>
      </c>
      <c r="M73" s="1029"/>
      <c r="N73" s="1582" t="s">
        <v>239</v>
      </c>
      <c r="O73" s="1581" t="s">
        <v>836</v>
      </c>
      <c r="P73" s="1580"/>
    </row>
    <row r="74" spans="1:20" s="36" customFormat="1" ht="15" customHeight="1">
      <c r="A74" s="746"/>
      <c r="B74" s="1579"/>
      <c r="C74" s="4498"/>
      <c r="D74" s="4498"/>
      <c r="E74" s="4498"/>
      <c r="F74" s="1025"/>
      <c r="G74" s="1024"/>
      <c r="H74" s="1018"/>
      <c r="I74" s="1022">
        <f>(100+$D$73)/100*H74</f>
        <v>0</v>
      </c>
      <c r="K74" s="1018"/>
      <c r="L74" s="1023">
        <f>(100+$D$73)/100*K74</f>
        <v>0</v>
      </c>
      <c r="M74" s="1578"/>
      <c r="N74" s="1018"/>
      <c r="O74" s="1022">
        <f>(100+$D$73)/100*N74</f>
        <v>0</v>
      </c>
      <c r="P74" s="1577"/>
      <c r="Q74" s="1704"/>
      <c r="R74" s="1703"/>
    </row>
    <row r="75" spans="1:20" s="36" customFormat="1" ht="15" customHeight="1">
      <c r="A75" s="746"/>
      <c r="B75" s="1579"/>
      <c r="C75" s="4483"/>
      <c r="D75" s="4483"/>
      <c r="E75" s="4483"/>
      <c r="F75" s="1020"/>
      <c r="G75" s="1019"/>
      <c r="H75" s="1015"/>
      <c r="I75" s="1014">
        <f>(100+$D$73)/100*H75</f>
        <v>0</v>
      </c>
      <c r="K75" s="1018"/>
      <c r="L75" s="1017">
        <f>(100+$D$73)/100*K75</f>
        <v>0</v>
      </c>
      <c r="M75" s="1578"/>
      <c r="N75" s="1015"/>
      <c r="O75" s="1014">
        <f>(100+$D$73)/100*N75</f>
        <v>0</v>
      </c>
      <c r="P75" s="1577"/>
      <c r="Q75" s="1704"/>
      <c r="R75" s="1703"/>
    </row>
    <row r="76" spans="1:20" s="1706" customFormat="1" ht="30.15" customHeight="1" thickBot="1">
      <c r="A76" s="711"/>
      <c r="B76" s="4499" t="s">
        <v>835</v>
      </c>
      <c r="C76" s="4500"/>
      <c r="D76" s="1576" t="s">
        <v>834</v>
      </c>
      <c r="E76" s="1575">
        <f>SDÖ1!$O$72/100</f>
        <v>0.02</v>
      </c>
      <c r="F76" s="1574" t="s">
        <v>1118</v>
      </c>
      <c r="G76" s="1573">
        <v>5</v>
      </c>
      <c r="H76" s="1569"/>
      <c r="I76" s="1572"/>
      <c r="J76" s="1567">
        <f>(J23+J27+J34+J43+J63+J59+J68+J70+J72)*(SDÖ1!$O$72%*$G$76/12)</f>
        <v>0</v>
      </c>
      <c r="K76" s="1571"/>
      <c r="L76" s="1570"/>
      <c r="M76" s="1567">
        <f>(M23+M27+M34+M43+M63+M59+M68+M70+M72)*(SDÖ1!$O$72%*$G$76/12)</f>
        <v>0</v>
      </c>
      <c r="N76" s="1569"/>
      <c r="O76" s="1568"/>
      <c r="P76" s="1567">
        <f>(P23+P27+P34+P43+P63+P59+P68+P70+P72)*(SDÖ1!$O$72%*$G$76/12)</f>
        <v>0</v>
      </c>
      <c r="Q76" s="1707"/>
    </row>
    <row r="81" spans="3:16">
      <c r="C81" s="1564" t="e">
        <f>#REF!</f>
        <v>#REF!</v>
      </c>
      <c r="D81" s="215"/>
      <c r="E81" s="515"/>
      <c r="G81" s="1564" t="e">
        <f>#REF!</f>
        <v>#REF!</v>
      </c>
      <c r="H81" s="215"/>
      <c r="I81" s="515"/>
      <c r="L81" s="29"/>
    </row>
    <row r="82" spans="3:16">
      <c r="C82" s="516" t="e">
        <f>#REF!</f>
        <v>#REF!</v>
      </c>
      <c r="E82" s="1708"/>
      <c r="G82" s="1565" t="e">
        <f>#REF!</f>
        <v>#REF!</v>
      </c>
      <c r="I82" s="1708"/>
      <c r="L82" s="29"/>
      <c r="N82" s="1564" t="str">
        <f>'SD3'!C24</f>
        <v>Drehpflug, 5 Schare</v>
      </c>
      <c r="O82" s="215"/>
      <c r="P82" s="515"/>
    </row>
    <row r="83" spans="3:16">
      <c r="C83" s="516" t="e">
        <f>#REF!</f>
        <v>#REF!</v>
      </c>
      <c r="E83" s="1708"/>
      <c r="G83" s="1566"/>
      <c r="H83" s="251"/>
      <c r="I83" s="512"/>
      <c r="L83" s="29"/>
      <c r="N83" s="1565" t="str">
        <f>'SD3'!C25</f>
        <v>Schwergrubber 3 m</v>
      </c>
      <c r="P83" s="1708"/>
    </row>
    <row r="84" spans="3:16">
      <c r="C84" s="516" t="e">
        <f>#REF!</f>
        <v>#REF!</v>
      </c>
      <c r="E84" s="1708"/>
      <c r="G84" s="29"/>
      <c r="H84" s="29"/>
      <c r="I84" s="29"/>
      <c r="L84" s="29"/>
      <c r="N84" s="1565" t="str">
        <f>'SD3'!C26</f>
        <v>Scheibenegge 5 m</v>
      </c>
      <c r="P84" s="1708"/>
    </row>
    <row r="85" spans="3:16">
      <c r="C85" s="516" t="e">
        <f>#REF!</f>
        <v>#REF!</v>
      </c>
      <c r="E85" s="1708"/>
      <c r="G85" s="29"/>
      <c r="H85" s="29"/>
      <c r="I85" s="29"/>
      <c r="L85" s="29"/>
      <c r="N85" s="1565" t="str">
        <f>'SD3'!C28</f>
        <v>Kreiselegge 3 m</v>
      </c>
      <c r="P85" s="1708"/>
    </row>
    <row r="86" spans="3:16">
      <c r="C86" s="516" t="e">
        <f>#REF!</f>
        <v>#REF!</v>
      </c>
      <c r="E86" s="1708"/>
      <c r="G86" s="29" t="e">
        <f>#REF!</f>
        <v>#REF!</v>
      </c>
      <c r="H86" s="29"/>
      <c r="I86" s="29"/>
      <c r="L86" s="29"/>
      <c r="N86" s="1565" t="str">
        <f>'SD3'!C29</f>
        <v>Cambridgewalze 4,5 m</v>
      </c>
      <c r="P86" s="1708"/>
    </row>
    <row r="87" spans="3:16">
      <c r="C87" s="516" t="e">
        <f>#REF!</f>
        <v>#REF!</v>
      </c>
      <c r="E87" s="1708"/>
      <c r="G87" s="29"/>
      <c r="H87" s="29"/>
      <c r="I87" s="29"/>
      <c r="L87" s="29"/>
      <c r="N87" s="1565" t="str">
        <f>'SD3'!C30</f>
        <v>Bodenfräse 3m</v>
      </c>
      <c r="P87" s="1708"/>
    </row>
    <row r="88" spans="3:16">
      <c r="C88" s="516" t="e">
        <f>#REF!</f>
        <v>#REF!</v>
      </c>
      <c r="E88" s="1708"/>
      <c r="G88" s="29" t="e">
        <f>#REF!</f>
        <v>#REF!</v>
      </c>
      <c r="H88" s="29"/>
      <c r="I88" s="29"/>
      <c r="L88" s="29"/>
      <c r="N88" s="1565" t="str">
        <f>'SD3'!C32</f>
        <v>Kreiselegge-Säkomb. 3 m</v>
      </c>
      <c r="P88" s="1708"/>
    </row>
    <row r="89" spans="3:16">
      <c r="C89" s="516" t="e">
        <f>#REF!</f>
        <v>#REF!</v>
      </c>
      <c r="E89" s="1708"/>
      <c r="G89" s="29" t="e">
        <f>#REF!</f>
        <v>#REF!</v>
      </c>
      <c r="H89" s="29"/>
      <c r="I89" s="29"/>
      <c r="L89" s="29"/>
      <c r="N89" s="1565" t="e">
        <f>'SD3'!#REF!</f>
        <v>#REF!</v>
      </c>
      <c r="P89" s="1708"/>
    </row>
    <row r="90" spans="3:16">
      <c r="C90" s="516" t="e">
        <f>#REF!</f>
        <v>#REF!</v>
      </c>
      <c r="E90" s="1708"/>
      <c r="G90" s="29" t="e">
        <f>#REF!</f>
        <v>#REF!</v>
      </c>
      <c r="H90" s="29"/>
      <c r="I90" s="29"/>
      <c r="L90" s="29"/>
      <c r="N90" s="1565" t="str">
        <f>'SD3'!C33</f>
        <v>Sämaschine 3m</v>
      </c>
      <c r="P90" s="1708"/>
    </row>
    <row r="91" spans="3:16">
      <c r="C91" s="516" t="e">
        <f>#REF!</f>
        <v>#REF!</v>
      </c>
      <c r="E91" s="1708"/>
      <c r="G91" s="29"/>
      <c r="H91" s="29"/>
      <c r="I91" s="29"/>
      <c r="L91" s="29"/>
      <c r="N91" s="1565" t="str">
        <f>'SD3'!C34</f>
        <v>Einzelkornsaat 4 r (Mais, Sonnenblume)</v>
      </c>
      <c r="P91" s="1708"/>
    </row>
    <row r="92" spans="3:16">
      <c r="C92" s="516" t="e">
        <f>#REF!</f>
        <v>#REF!</v>
      </c>
      <c r="E92" s="1708"/>
      <c r="L92" s="29"/>
      <c r="N92" s="1565" t="e">
        <f>'SD3'!#REF!</f>
        <v>#REF!</v>
      </c>
      <c r="P92" s="1708"/>
    </row>
    <row r="93" spans="3:16">
      <c r="C93" s="516" t="e">
        <f>#REF!</f>
        <v>#REF!</v>
      </c>
      <c r="E93" s="1708"/>
      <c r="L93" s="29"/>
      <c r="N93" s="1565" t="str">
        <f>'SD3'!C35</f>
        <v>Direktsämaschine 3 m</v>
      </c>
      <c r="P93" s="1708"/>
    </row>
    <row r="94" spans="3:16">
      <c r="C94" s="516" t="e">
        <f>#REF!</f>
        <v>#REF!</v>
      </c>
      <c r="E94" s="1708"/>
      <c r="G94" s="1564" t="str">
        <f>'SD3'!C92</f>
        <v>Mähdrescher - Erbsen/Ackerbohnen</v>
      </c>
      <c r="H94" s="215"/>
      <c r="I94" s="515"/>
      <c r="L94" s="29"/>
      <c r="N94" s="1565" t="e">
        <f>'SD3'!#REF!</f>
        <v>#REF!</v>
      </c>
      <c r="P94" s="1708"/>
    </row>
    <row r="95" spans="3:16">
      <c r="C95" s="516" t="e">
        <f>#REF!</f>
        <v>#REF!</v>
      </c>
      <c r="E95" s="1708"/>
      <c r="G95" s="1565" t="str">
        <f>'SD3'!C93</f>
        <v>Mähdrescher - Körnermais</v>
      </c>
      <c r="I95" s="1708"/>
      <c r="L95" s="29"/>
      <c r="N95" s="1565">
        <f>'SD3'!C36</f>
        <v>0</v>
      </c>
      <c r="P95" s="1708"/>
    </row>
    <row r="96" spans="3:16">
      <c r="C96" s="516" t="e">
        <f>#REF!</f>
        <v>#REF!</v>
      </c>
      <c r="E96" s="1708"/>
      <c r="G96" s="1565" t="str">
        <f>'SD3'!C94</f>
        <v>Mähdrescher - Getr. m. Strohhäcksler</v>
      </c>
      <c r="I96" s="1708"/>
      <c r="L96" s="29"/>
      <c r="N96" s="1565" t="str">
        <f>'SD3'!C37</f>
        <v xml:space="preserve">Düngerstreuer ab Hof 24 m, 400 kg/ha </v>
      </c>
      <c r="P96" s="1708"/>
    </row>
    <row r="97" spans="3:16">
      <c r="C97" s="516" t="e">
        <f>#REF!</f>
        <v>#REF!</v>
      </c>
      <c r="E97" s="1708"/>
      <c r="G97" s="1565" t="str">
        <f>'SD3'!C95</f>
        <v>ZR - Roden, 6-reihig</v>
      </c>
      <c r="I97" s="1708"/>
      <c r="L97" s="29"/>
      <c r="N97" s="1565" t="str">
        <f>'SD3'!C38</f>
        <v>Mist/Kompost streuen 20 t/ha  (6 m, 10,5 t) inkl. Beladen</v>
      </c>
      <c r="P97" s="1708"/>
    </row>
    <row r="98" spans="3:16">
      <c r="C98" s="516" t="e">
        <f>#REF!</f>
        <v>#REF!</v>
      </c>
      <c r="E98" s="1708"/>
      <c r="G98" s="1565" t="str">
        <f>'SD3'!C96</f>
        <v>KA - Vollernter mit Bunker, 2-reihig</v>
      </c>
      <c r="I98" s="1708"/>
      <c r="L98" s="29"/>
      <c r="N98" s="1565" t="e">
        <f>'SD3'!#REF!</f>
        <v>#REF!</v>
      </c>
      <c r="P98" s="1708"/>
    </row>
    <row r="99" spans="3:16">
      <c r="C99" s="228" t="e">
        <f>#REF!</f>
        <v>#REF!</v>
      </c>
      <c r="D99" s="251"/>
      <c r="E99" s="512"/>
      <c r="G99" s="1565" t="str">
        <f>'SD3'!C97</f>
        <v>KA - Schlägeln (m. Schl.+Fahrer)</v>
      </c>
      <c r="I99" s="1708"/>
      <c r="L99" s="29"/>
      <c r="N99" s="1565" t="e">
        <f>'SD3'!#REF!</f>
        <v>#REF!</v>
      </c>
      <c r="P99" s="1708"/>
    </row>
    <row r="100" spans="3:16">
      <c r="C100" s="516"/>
      <c r="E100" s="1708"/>
      <c r="G100" s="1565" t="str">
        <f>'SD3'!C98</f>
        <v>Hemp-Flax(Strohnutzung)</v>
      </c>
      <c r="I100" s="1708"/>
      <c r="L100" s="29"/>
      <c r="N100" s="1565" t="str">
        <f>'SD3'!C39</f>
        <v>Gülle ausbringen 20 m³/ha, (15 m³ Fass, Schleppschl. 15 m)</v>
      </c>
      <c r="P100" s="1708"/>
    </row>
    <row r="101" spans="3:16">
      <c r="C101" s="516"/>
      <c r="E101" s="1708"/>
      <c r="G101" s="1565" t="str">
        <f>'SD3'!C99</f>
        <v>Pressen (8,3 t FM; 250 kg/Ba.)</v>
      </c>
      <c r="I101" s="1708"/>
      <c r="L101" s="29"/>
      <c r="N101" s="1565" t="str">
        <f>'SD3'!C40</f>
        <v>Kalkstreuer 6 m³,15 m, 2l/ha (ab Feld, mit Beladen)</v>
      </c>
      <c r="P101" s="1708"/>
    </row>
    <row r="102" spans="3:16">
      <c r="C102" s="215"/>
      <c r="D102" s="215"/>
      <c r="E102" s="215"/>
      <c r="G102" s="1565" t="str">
        <f>'SD3'!C100</f>
        <v>Pressen (10,7 t FM; 250 kg/Ba.)</v>
      </c>
      <c r="I102" s="1708"/>
      <c r="L102" s="29"/>
      <c r="N102" s="1565">
        <f>'SD3'!C41</f>
        <v>0</v>
      </c>
      <c r="P102" s="1708"/>
    </row>
    <row r="103" spans="3:16">
      <c r="G103" s="1565" t="str">
        <f>'SD3'!C101</f>
        <v>ZR - Laden, Abfuhr</v>
      </c>
      <c r="I103" s="1708"/>
      <c r="L103" s="29"/>
      <c r="N103" s="1565" t="str">
        <f>'SD3'!C42</f>
        <v>Pflanzenschutzspritze 21 m, 300 l/ha</v>
      </c>
      <c r="P103" s="1708"/>
    </row>
    <row r="104" spans="3:16">
      <c r="G104" s="1565" t="str">
        <f>'SD3'!C102</f>
        <v>Mulchen</v>
      </c>
      <c r="I104" s="1708"/>
      <c r="L104" s="29"/>
      <c r="N104" s="1565" t="str">
        <f>'SD3'!C43</f>
        <v>Mulchgerät 3 m</v>
      </c>
      <c r="P104" s="1708"/>
    </row>
    <row r="105" spans="3:16">
      <c r="C105" s="1702"/>
      <c r="G105" s="1565" t="str">
        <f>'SD3'!C103</f>
        <v>Stroh-Rundballen pressen je dt</v>
      </c>
      <c r="I105" s="1708"/>
      <c r="L105" s="29"/>
      <c r="N105" s="1565" t="str">
        <f>'SD3'!C44</f>
        <v>Präparatespritze 20 m</v>
      </c>
      <c r="P105" s="1708"/>
    </row>
    <row r="106" spans="3:16">
      <c r="C106" s="1701" t="s">
        <v>1146</v>
      </c>
      <c r="G106" s="1565" t="str">
        <f>'SD3'!C104</f>
        <v>Stroh-Quaderballen pres. (Schneidw.)</v>
      </c>
      <c r="I106" s="1708"/>
      <c r="L106" s="29"/>
      <c r="N106" s="1565" t="str">
        <f>'SD3'!C45</f>
        <v>Hackstriegel 9 m</v>
      </c>
      <c r="P106" s="1708"/>
    </row>
    <row r="107" spans="3:16">
      <c r="C107" s="1701" t="s">
        <v>607</v>
      </c>
      <c r="G107" s="1565">
        <f>'SD3'!C105</f>
        <v>0</v>
      </c>
      <c r="I107" s="1708"/>
      <c r="L107" s="29"/>
      <c r="N107" s="1565" t="str">
        <f>'SD3'!C47</f>
        <v>Reihenhackgerät 3 m</v>
      </c>
      <c r="P107" s="1708"/>
    </row>
    <row r="108" spans="3:16">
      <c r="C108" s="1701"/>
      <c r="G108" s="1565">
        <f>'SD3'!C106</f>
        <v>0</v>
      </c>
      <c r="I108" s="1708"/>
      <c r="L108" s="29"/>
      <c r="N108" s="1565" t="e">
        <f>'SD3'!#REF!</f>
        <v>#REF!</v>
      </c>
      <c r="P108" s="1708"/>
    </row>
    <row r="109" spans="3:16">
      <c r="C109" s="1701"/>
      <c r="G109" s="1565">
        <f>'SD3'!C107</f>
        <v>0</v>
      </c>
      <c r="I109" s="1708"/>
      <c r="L109" s="29"/>
      <c r="N109" s="1565" t="e">
        <f>'SD3'!#REF!</f>
        <v>#REF!</v>
      </c>
      <c r="P109" s="1708"/>
    </row>
    <row r="110" spans="3:16">
      <c r="C110" s="1700"/>
      <c r="G110" s="1565">
        <f>'SD3'!C108</f>
        <v>0</v>
      </c>
      <c r="I110" s="1708"/>
      <c r="L110" s="29"/>
      <c r="N110" s="1565" t="e">
        <f>'SD3'!#REF!</f>
        <v>#REF!</v>
      </c>
      <c r="P110" s="1708"/>
    </row>
    <row r="111" spans="3:16">
      <c r="G111" s="1565">
        <f>'SD3'!C109</f>
        <v>0</v>
      </c>
      <c r="I111" s="1708"/>
      <c r="L111" s="29"/>
      <c r="N111" s="1565">
        <f>'SD3'!C48</f>
        <v>0</v>
      </c>
      <c r="P111" s="1708"/>
    </row>
    <row r="112" spans="3:16">
      <c r="G112" s="1565">
        <f>'SD3'!C110</f>
        <v>0</v>
      </c>
      <c r="I112" s="1708"/>
      <c r="L112" s="29"/>
      <c r="N112" s="1565" t="str">
        <f>'SD3'!C49</f>
        <v>Transp. u. Abkip.  (7,5 t Ki.)</v>
      </c>
      <c r="P112" s="1708"/>
    </row>
    <row r="113" spans="2:16">
      <c r="G113" s="1565">
        <f>'SD3'!C111</f>
        <v>0</v>
      </c>
      <c r="I113" s="1708"/>
      <c r="L113" s="29"/>
      <c r="N113" s="1565" t="e">
        <f>'SD3'!#REF!</f>
        <v>#REF!</v>
      </c>
      <c r="P113" s="1708"/>
    </row>
    <row r="114" spans="2:16">
      <c r="G114" s="1565">
        <f>'SD3'!C112</f>
        <v>0</v>
      </c>
      <c r="I114" s="1708"/>
      <c r="L114" s="29"/>
      <c r="N114" s="1565" t="str">
        <f>'SD3'!C50</f>
        <v>Silagetransport Mais/GPS, 3S.Kip. (13,5t Nutzl.), 50 t FM</v>
      </c>
      <c r="P114" s="1708"/>
    </row>
    <row r="115" spans="2:16">
      <c r="G115" s="1565">
        <f>'SD3'!C113</f>
        <v>0</v>
      </c>
      <c r="I115" s="1708"/>
      <c r="L115" s="29"/>
      <c r="N115" s="1565" t="str">
        <f>'SD3'!C51</f>
        <v>Stroh-Rundballen 4 t/ha laden, abfahren, stapeln, 3-S-Kipp.</v>
      </c>
      <c r="P115" s="1708"/>
    </row>
    <row r="116" spans="2:16">
      <c r="G116" s="1565">
        <f>'SD3'!C114</f>
        <v>0</v>
      </c>
      <c r="I116" s="1708"/>
      <c r="L116" s="29"/>
      <c r="N116" s="1565">
        <f>'SD3'!C52</f>
        <v>0</v>
      </c>
      <c r="P116" s="1708"/>
    </row>
    <row r="117" spans="2:16">
      <c r="G117" s="1565">
        <f>'SD3'!C115</f>
        <v>0</v>
      </c>
      <c r="L117" s="29"/>
      <c r="N117" s="1565" t="str">
        <f>'SD3'!C53</f>
        <v>Wiesenwalze 3 m</v>
      </c>
      <c r="P117" s="1708"/>
    </row>
    <row r="118" spans="2:16">
      <c r="G118" s="1565">
        <f>'SD3'!C116</f>
        <v>0</v>
      </c>
      <c r="L118" s="29"/>
      <c r="N118" s="1565" t="str">
        <f>'SD3'!C54</f>
        <v>Wiesenegge 6 m</v>
      </c>
      <c r="P118" s="1708"/>
    </row>
    <row r="119" spans="2:16">
      <c r="G119" s="1565">
        <f>'SD3'!C117</f>
        <v>0</v>
      </c>
      <c r="L119" s="29"/>
      <c r="N119" s="1565" t="e">
        <f>'SD3'!#REF!</f>
        <v>#REF!</v>
      </c>
      <c r="P119" s="1708"/>
    </row>
    <row r="120" spans="2:16">
      <c r="L120" s="29"/>
      <c r="N120" s="1565" t="str">
        <f>'SD3'!C56</f>
        <v>Rotationsmähwerk (Heck) m. Aufb. 2,8 m</v>
      </c>
      <c r="P120" s="1708"/>
    </row>
    <row r="121" spans="2:16">
      <c r="L121" s="29"/>
      <c r="N121" s="1565" t="str">
        <f>'SD3'!C57</f>
        <v>Kreiselwender 10,75m</v>
      </c>
      <c r="P121" s="1708"/>
    </row>
    <row r="122" spans="2:16">
      <c r="L122" s="29"/>
      <c r="N122" s="1565" t="str">
        <f>'SD3'!C58</f>
        <v>Kreiselschwader 7,5m Seitenablage</v>
      </c>
      <c r="O122" s="1708"/>
    </row>
    <row r="123" spans="2:16">
      <c r="B123" s="440">
        <v>1</v>
      </c>
      <c r="C123" s="29" t="str">
        <f>SDÖ5!C7</f>
        <v>Novodor</v>
      </c>
      <c r="E123" s="1707">
        <f>IF(ISNA(VLOOKUP(B123,SDÖ5!$U$26:$X$37,SDÖ5!$U$23,FALSE)),0,(VLOOKUP(B123,SDÖ5!$U$26:$X$37,SDÖ5!$U$23,FALSE)))</f>
        <v>0</v>
      </c>
      <c r="L123" s="29"/>
      <c r="N123" s="1565" t="e">
        <f>'SD3'!#REF!</f>
        <v>#REF!</v>
      </c>
      <c r="P123" s="1708"/>
    </row>
    <row r="124" spans="2:16">
      <c r="B124" s="440">
        <v>2</v>
      </c>
      <c r="C124" s="29" t="str">
        <f>SDÖ5!C8</f>
        <v>Neem Azal</v>
      </c>
      <c r="E124" s="1707">
        <f>IF(ISNA(VLOOKUP(B124,SDÖ5!$U$26:$X$37,SDÖ5!$U$23,FALSE)),0,(VLOOKUP(B124,SDÖ5!$U$26:$X$37,SDÖ5!$U$23,FALSE)))</f>
        <v>0</v>
      </c>
      <c r="L124" s="29"/>
      <c r="N124" s="1565" t="e">
        <f>'SD3'!#REF!</f>
        <v>#REF!</v>
      </c>
      <c r="P124" s="1708"/>
    </row>
    <row r="125" spans="2:16">
      <c r="B125" s="440">
        <v>3</v>
      </c>
      <c r="C125" s="29" t="str">
        <f>SDÖ5!C9</f>
        <v>Sluxx HP</v>
      </c>
      <c r="E125" s="1707">
        <f>IF(ISNA(VLOOKUP(B125,SDÖ5!$U$26:$X$37,SDÖ5!$U$23,FALSE)),0,(VLOOKUP(B125,SDÖ5!$U$26:$X$37,SDÖ5!$U$23,FALSE)))</f>
        <v>0</v>
      </c>
      <c r="L125" s="29"/>
      <c r="N125" s="1565">
        <f>'SD3'!C59</f>
        <v>0</v>
      </c>
      <c r="P125" s="1708"/>
    </row>
    <row r="126" spans="2:16">
      <c r="B126" s="440">
        <v>4</v>
      </c>
      <c r="C126" s="29" t="str">
        <f>SDÖ5!C10</f>
        <v>Cuprozin Progress</v>
      </c>
      <c r="E126" s="1707">
        <f>IF(ISNA(VLOOKUP(B126,SDÖ5!$U$26:$X$37,SDÖ5!$U$23,FALSE)),0,(VLOOKUP(B126,SDÖ5!$U$26:$X$37,SDÖ5!$U$23,FALSE)))</f>
        <v>0</v>
      </c>
      <c r="L126" s="29"/>
      <c r="N126" s="1565" t="str">
        <f>'SD3'!C60</f>
        <v>Kartoffeln vorkeimen</v>
      </c>
      <c r="P126" s="1708"/>
    </row>
    <row r="127" spans="2:16">
      <c r="B127" s="440">
        <v>5</v>
      </c>
      <c r="C127" s="29" t="str">
        <f>SDÖ5!C11</f>
        <v>silico Sec</v>
      </c>
      <c r="E127" s="1707">
        <f>IF(ISNA(VLOOKUP(B127,SDÖ5!$U$26:$X$37,SDÖ5!$U$23,FALSE)),0,(VLOOKUP(B127,SDÖ5!$U$26:$X$37,SDÖ5!$U$23,FALSE)))</f>
        <v>0</v>
      </c>
      <c r="L127" s="29"/>
      <c r="N127" s="1565" t="str">
        <f>'SD3'!C61</f>
        <v>Pflanzkartoffeltransport,-laden 2,5 t/ha</v>
      </c>
      <c r="P127" s="1708"/>
    </row>
    <row r="128" spans="2:16">
      <c r="B128" s="440">
        <v>6</v>
      </c>
      <c r="C128" s="29">
        <f>SDÖ5!C12</f>
        <v>0</v>
      </c>
      <c r="E128" s="1707">
        <f>IF(ISNA(VLOOKUP(B128,SDÖ5!$U$26:$X$37,SDÖ5!$U$23,FALSE)),0,(VLOOKUP(B128,SDÖ5!$U$26:$X$37,SDÖ5!$U$23,FALSE)))</f>
        <v>0</v>
      </c>
      <c r="L128" s="29"/>
      <c r="N128" s="1565" t="e">
        <f>'SD3'!#REF!</f>
        <v>#REF!</v>
      </c>
      <c r="P128" s="1708"/>
    </row>
    <row r="129" spans="2:16">
      <c r="B129" s="440">
        <v>7</v>
      </c>
      <c r="C129" s="29">
        <f>SDÖ5!C13</f>
        <v>0</v>
      </c>
      <c r="E129" s="1707">
        <f>IF(ISNA(VLOOKUP(B129,SDÖ5!$U$26:$X$37,SDÖ5!$U$23,FALSE)),0,(VLOOKUP(B129,SDÖ5!$U$26:$X$37,SDÖ5!$U$23,FALSE)))</f>
        <v>0</v>
      </c>
      <c r="L129" s="29"/>
      <c r="N129" s="1565" t="str">
        <f>'SD3'!C62</f>
        <v>Legemaschine mit Kippbunker 4 r (Kartoffel)</v>
      </c>
      <c r="P129" s="1708"/>
    </row>
    <row r="130" spans="2:16">
      <c r="B130" s="440">
        <v>8</v>
      </c>
      <c r="C130" s="29">
        <f>SDÖ5!C14</f>
        <v>0</v>
      </c>
      <c r="E130" s="1707">
        <f>IF(ISNA(VLOOKUP(B130,SDÖ5!$U$26:$X$37,SDÖ5!$U$23,FALSE)),0,(VLOOKUP(B130,SDÖ5!$U$26:$X$37,SDÖ5!$U$23,FALSE)))</f>
        <v>0</v>
      </c>
      <c r="L130" s="29"/>
      <c r="N130" s="1565" t="str">
        <f>'SD3'!C63</f>
        <v>Häufeln 4 r, Vorauflauf (Kartoffel)</v>
      </c>
      <c r="P130" s="1708"/>
    </row>
    <row r="131" spans="2:16">
      <c r="B131" s="440">
        <v>9</v>
      </c>
      <c r="C131" s="29">
        <f>SDÖ5!C15</f>
        <v>0</v>
      </c>
      <c r="E131" s="1707">
        <f>IF(ISNA(VLOOKUP(B131,SDÖ5!$U$26:$X$37,SDÖ5!$U$23,FALSE)),0,(VLOOKUP(B131,SDÖ5!$U$26:$X$37,SDÖ5!$U$23,FALSE)))</f>
        <v>0</v>
      </c>
      <c r="L131" s="29"/>
      <c r="N131" s="1565" t="str">
        <f>'SD3'!C64</f>
        <v>Hacken Nachauflauf 4 r</v>
      </c>
      <c r="P131" s="1708"/>
    </row>
    <row r="132" spans="2:16">
      <c r="B132" s="440">
        <v>10</v>
      </c>
      <c r="C132" s="29">
        <f>SDÖ5!C16</f>
        <v>0</v>
      </c>
      <c r="E132" s="1707">
        <f>IF(ISNA(VLOOKUP(B132,SDÖ5!$U$26:$X$37,SDÖ5!$U$23,FALSE)),0,(VLOOKUP(B132,SDÖ5!$U$26:$X$37,SDÖ5!$U$23,FALSE)))</f>
        <v>0</v>
      </c>
      <c r="L132" s="29"/>
      <c r="N132" s="1565" t="e">
        <f>'SD3'!#REF!</f>
        <v>#REF!</v>
      </c>
      <c r="P132" s="1708"/>
    </row>
    <row r="133" spans="2:16">
      <c r="B133" s="440">
        <v>11</v>
      </c>
      <c r="C133" s="29" t="s">
        <v>1712</v>
      </c>
      <c r="E133" s="1707">
        <f>IF(ISNA(VLOOKUP(B133,SDÖ5!$U$26:$X$37,SDÖ5!$U$23,FALSE)),0,(VLOOKUP(B133,SDÖ5!$U$26:$X$37,SDÖ5!$U$23,FALSE)))</f>
        <v>0</v>
      </c>
      <c r="L133" s="29"/>
      <c r="N133" s="1565" t="str">
        <f>'SD3'!C65</f>
        <v>Häufeln 4 r, Nachauflauf (Kartoffel)</v>
      </c>
      <c r="P133" s="1708"/>
    </row>
    <row r="134" spans="2:16">
      <c r="B134" s="440">
        <v>12</v>
      </c>
      <c r="C134" s="29" t="e">
        <f>SDÖ5!#REF!</f>
        <v>#REF!</v>
      </c>
      <c r="E134" s="1707">
        <f>IF(ISNA(VLOOKUP(B134,SDÖ5!$U$26:$X$37,SDÖ5!$U$23,FALSE)),0,(VLOOKUP(B134,SDÖ5!$U$26:$X$37,SDÖ5!$U$23,FALSE)))</f>
        <v>0</v>
      </c>
      <c r="L134" s="29"/>
      <c r="N134" s="1565" t="e">
        <f>'SD3'!#REF!</f>
        <v>#REF!</v>
      </c>
    </row>
    <row r="135" spans="2:16">
      <c r="B135" s="440">
        <v>13</v>
      </c>
      <c r="C135" s="29" t="e">
        <f>SDÖ5!#REF!</f>
        <v>#REF!</v>
      </c>
      <c r="E135" s="1707">
        <f>IF(ISNA(VLOOKUP(B135,SDÖ5!$U$26:$X$37,SDÖ5!$U$23,FALSE)),0,(VLOOKUP(B135,SDÖ5!$U$26:$X$37,SDÖ5!$U$23,FALSE)))</f>
        <v>0</v>
      </c>
      <c r="L135" s="29"/>
      <c r="N135" s="1565" t="e">
        <f>'SD3'!#REF!</f>
        <v>#REF!</v>
      </c>
    </row>
    <row r="136" spans="2:16">
      <c r="B136" s="440">
        <v>14</v>
      </c>
      <c r="C136" s="29" t="e">
        <f>SDÖ5!#REF!</f>
        <v>#REF!</v>
      </c>
      <c r="E136" s="1707">
        <f>IF(ISNA(VLOOKUP(B136,SDÖ5!$U$26:$X$37,SDÖ5!$U$23,FALSE)),0,(VLOOKUP(B136,SDÖ5!$U$26:$X$37,SDÖ5!$U$23,FALSE)))</f>
        <v>0</v>
      </c>
      <c r="L136" s="29"/>
      <c r="N136" s="1565" t="e">
        <f>'SD3'!#REF!</f>
        <v>#REF!</v>
      </c>
    </row>
    <row r="137" spans="2:16">
      <c r="B137" s="440">
        <v>15</v>
      </c>
      <c r="C137" s="29"/>
      <c r="E137" s="1707">
        <f>IF(ISNA(VLOOKUP(B137,SDÖ5!$U$26:$X$37,SDÖ5!$U$23,FALSE)),0,(VLOOKUP(B137,SDÖ5!$U$26:$X$37,SDÖ5!$U$23,FALSE)))</f>
        <v>0</v>
      </c>
      <c r="L137" s="29"/>
      <c r="N137" s="1565" t="e">
        <f>'SD3'!#REF!</f>
        <v>#REF!</v>
      </c>
    </row>
    <row r="138" spans="2:16">
      <c r="B138" s="440">
        <v>16</v>
      </c>
      <c r="C138" s="29"/>
      <c r="E138" s="1707">
        <f>IF(ISNA(VLOOKUP(B138,SDÖ5!$U$26:$X$37,SDÖ5!$U$23,FALSE)),0,(VLOOKUP(B138,SDÖ5!$U$26:$X$37,SDÖ5!$U$23,FALSE)))</f>
        <v>0</v>
      </c>
      <c r="L138" s="29"/>
      <c r="N138" s="1565" t="e">
        <f>'SD3'!#REF!</f>
        <v>#REF!</v>
      </c>
    </row>
    <row r="139" spans="2:16">
      <c r="B139" s="440"/>
      <c r="C139" s="29"/>
      <c r="L139" s="29"/>
      <c r="N139" s="1565" t="e">
        <f>'SD3'!#REF!</f>
        <v>#REF!</v>
      </c>
    </row>
    <row r="140" spans="2:16">
      <c r="B140" s="440"/>
      <c r="C140" s="29"/>
      <c r="L140" s="29"/>
      <c r="N140" s="1565">
        <f>'SD3'!C73</f>
        <v>0</v>
      </c>
    </row>
    <row r="141" spans="2:16">
      <c r="B141" s="440"/>
      <c r="C141" s="29"/>
      <c r="L141" s="29"/>
      <c r="N141" s="1565">
        <f>'SD3'!C74</f>
        <v>0</v>
      </c>
    </row>
    <row r="142" spans="2:16">
      <c r="B142" s="440"/>
      <c r="C142" s="29" t="str">
        <f ca="1">MID(CELL("Dateiname",$A$1),FIND("]",CELL("Dateiname",$A$1))+1,31)</f>
        <v>TE9</v>
      </c>
      <c r="L142" s="29"/>
    </row>
    <row r="143" spans="2:16">
      <c r="B143" s="440"/>
      <c r="C143" s="29"/>
      <c r="L143" s="29"/>
    </row>
    <row r="144" spans="2:16">
      <c r="B144" s="440"/>
      <c r="C144" s="29"/>
      <c r="L144" s="29"/>
    </row>
    <row r="145" spans="2:12">
      <c r="B145" s="440"/>
      <c r="C145" s="29"/>
      <c r="L145" s="29"/>
    </row>
    <row r="146" spans="2:12">
      <c r="B146" s="440"/>
      <c r="C146" s="29"/>
      <c r="L146" s="29"/>
    </row>
    <row r="147" spans="2:12">
      <c r="B147" s="440"/>
      <c r="C147" s="29"/>
      <c r="L147" s="29"/>
    </row>
    <row r="148" spans="2:12">
      <c r="B148" s="440"/>
      <c r="C148" s="29"/>
      <c r="L148" s="29"/>
    </row>
    <row r="149" spans="2:12">
      <c r="B149" s="440"/>
      <c r="C149" s="29"/>
      <c r="L149" s="29"/>
    </row>
    <row r="150" spans="2:12">
      <c r="B150" s="440"/>
      <c r="C150" s="29"/>
      <c r="L150" s="29"/>
    </row>
    <row r="151" spans="2:12">
      <c r="B151" s="440"/>
      <c r="C151" s="29"/>
      <c r="L151" s="29"/>
    </row>
    <row r="152" spans="2:12">
      <c r="B152" s="440"/>
      <c r="C152" s="29"/>
    </row>
    <row r="153" spans="2:12">
      <c r="B153" s="440"/>
      <c r="C153" s="29"/>
    </row>
    <row r="154" spans="2:12">
      <c r="B154" s="440"/>
      <c r="C154" s="29"/>
    </row>
    <row r="155" spans="2:12">
      <c r="B155" s="440"/>
      <c r="C155" s="29"/>
    </row>
    <row r="156" spans="2:12">
      <c r="B156" s="440"/>
      <c r="C156" s="29"/>
      <c r="H156" s="1354"/>
      <c r="J156" s="1563"/>
    </row>
    <row r="157" spans="2:12">
      <c r="B157" s="440"/>
      <c r="C157" s="29"/>
      <c r="H157" s="1354"/>
      <c r="J157" s="1563"/>
    </row>
    <row r="158" spans="2:12">
      <c r="B158" s="440"/>
      <c r="C158" s="29"/>
      <c r="H158" s="1354"/>
      <c r="J158" s="1563"/>
    </row>
    <row r="159" spans="2:12">
      <c r="B159" s="440"/>
      <c r="C159" s="29"/>
      <c r="D159" s="29"/>
      <c r="F159" s="29"/>
      <c r="G159" s="29"/>
      <c r="H159" s="29"/>
      <c r="I159" s="29"/>
      <c r="J159" s="29"/>
      <c r="K159" s="29"/>
    </row>
    <row r="160" spans="2:12">
      <c r="B160" s="440"/>
      <c r="C160" s="29"/>
      <c r="D160" s="29"/>
      <c r="F160" s="29"/>
      <c r="G160" s="29"/>
      <c r="H160" s="29"/>
      <c r="I160" s="29"/>
      <c r="J160" s="29"/>
      <c r="K160" s="29"/>
    </row>
    <row r="161" spans="2:11">
      <c r="B161" s="440"/>
      <c r="C161" s="29"/>
      <c r="D161" s="29"/>
      <c r="F161" s="29"/>
      <c r="G161" s="29"/>
      <c r="H161" s="29"/>
      <c r="I161" s="29"/>
      <c r="J161" s="29"/>
      <c r="K161" s="29"/>
    </row>
    <row r="162" spans="2:11">
      <c r="B162" s="440"/>
      <c r="C162" s="29"/>
      <c r="H162" s="1354"/>
      <c r="J162" s="1563"/>
    </row>
    <row r="163" spans="2:11">
      <c r="B163" s="440"/>
      <c r="C163" s="29"/>
    </row>
    <row r="164" spans="2:11">
      <c r="B164" s="440"/>
      <c r="C164" s="29"/>
    </row>
    <row r="165" spans="2:11">
      <c r="B165" s="440"/>
      <c r="C165" s="29"/>
    </row>
    <row r="166" spans="2:11">
      <c r="B166" s="440"/>
      <c r="C166" s="29"/>
    </row>
    <row r="167" spans="2:11">
      <c r="B167" s="440"/>
      <c r="C167" s="29"/>
    </row>
    <row r="168" spans="2:11">
      <c r="B168" s="440"/>
      <c r="C168" s="29"/>
    </row>
    <row r="169" spans="2:11">
      <c r="B169" s="440"/>
      <c r="C169" s="29"/>
    </row>
    <row r="170" spans="2:11">
      <c r="B170" s="440"/>
      <c r="C170" s="29"/>
    </row>
    <row r="171" spans="2:11">
      <c r="B171" s="440"/>
      <c r="C171" s="29"/>
    </row>
    <row r="172" spans="2:11">
      <c r="B172" s="440"/>
      <c r="C172" s="29"/>
    </row>
    <row r="173" spans="2:11">
      <c r="B173" s="440"/>
      <c r="C173" s="29"/>
    </row>
    <row r="174" spans="2:11">
      <c r="B174" s="440"/>
      <c r="C174" s="29"/>
    </row>
    <row r="175" spans="2:11">
      <c r="B175" s="440"/>
      <c r="C175" s="29"/>
    </row>
    <row r="176" spans="2:11">
      <c r="B176" s="440"/>
      <c r="C176" s="29"/>
    </row>
    <row r="177" spans="2:3">
      <c r="B177" s="440"/>
      <c r="C177" s="29"/>
    </row>
    <row r="178" spans="2:3">
      <c r="B178" s="440"/>
      <c r="C178" s="29"/>
    </row>
    <row r="179" spans="2:3">
      <c r="B179" s="440"/>
      <c r="C179" s="29"/>
    </row>
    <row r="180" spans="2:3">
      <c r="B180" s="440"/>
      <c r="C180" s="29"/>
    </row>
    <row r="181" spans="2:3">
      <c r="B181" s="440"/>
      <c r="C181" s="29"/>
    </row>
    <row r="182" spans="2:3">
      <c r="B182" s="440"/>
      <c r="C182" s="29"/>
    </row>
    <row r="183" spans="2:3">
      <c r="B183" s="440"/>
      <c r="C183" s="29"/>
    </row>
    <row r="184" spans="2:3">
      <c r="B184" s="440"/>
      <c r="C184" s="29"/>
    </row>
    <row r="185" spans="2:3">
      <c r="B185" s="440"/>
      <c r="C185" s="29"/>
    </row>
    <row r="186" spans="2:3">
      <c r="B186" s="440"/>
      <c r="C186" s="29"/>
    </row>
    <row r="187" spans="2:3">
      <c r="B187" s="440"/>
      <c r="C187" s="29"/>
    </row>
    <row r="188" spans="2:3">
      <c r="B188" s="440"/>
      <c r="C188" s="29"/>
    </row>
    <row r="189" spans="2:3">
      <c r="B189" s="440"/>
      <c r="C189" s="29"/>
    </row>
    <row r="190" spans="2:3">
      <c r="B190" s="440"/>
      <c r="C190" s="29"/>
    </row>
    <row r="191" spans="2:3">
      <c r="B191" s="440"/>
      <c r="C191" s="29"/>
    </row>
    <row r="192" spans="2:3">
      <c r="B192" s="440"/>
      <c r="C192" s="29"/>
    </row>
    <row r="193" spans="2:3">
      <c r="B193" s="440"/>
      <c r="C193" s="29"/>
    </row>
    <row r="194" spans="2:3">
      <c r="B194" s="440"/>
      <c r="C194" s="29"/>
    </row>
    <row r="195" spans="2:3">
      <c r="B195" s="440"/>
      <c r="C195" s="29"/>
    </row>
    <row r="196" spans="2:3">
      <c r="B196" s="440"/>
      <c r="C196" s="29"/>
    </row>
    <row r="197" spans="2:3">
      <c r="B197" s="440"/>
      <c r="C197" s="29"/>
    </row>
    <row r="198" spans="2:3">
      <c r="B198" s="440"/>
      <c r="C198" s="29"/>
    </row>
    <row r="199" spans="2:3">
      <c r="B199" s="440"/>
      <c r="C199" s="29"/>
    </row>
    <row r="200" spans="2:3">
      <c r="B200" s="440"/>
      <c r="C200" s="29"/>
    </row>
    <row r="201" spans="2:3">
      <c r="B201" s="440"/>
      <c r="C201" s="29"/>
    </row>
    <row r="202" spans="2:3">
      <c r="B202" s="440"/>
      <c r="C202" s="29"/>
    </row>
    <row r="203" spans="2:3">
      <c r="B203" s="440"/>
      <c r="C203" s="29"/>
    </row>
    <row r="204" spans="2:3">
      <c r="B204" s="440"/>
      <c r="C204" s="29"/>
    </row>
    <row r="205" spans="2:3">
      <c r="B205" s="440"/>
      <c r="C205" s="29"/>
    </row>
    <row r="206" spans="2:3">
      <c r="B206" s="440"/>
      <c r="C206" s="29"/>
    </row>
    <row r="207" spans="2:3">
      <c r="B207" s="440"/>
      <c r="C207" s="29"/>
    </row>
    <row r="208" spans="2:3">
      <c r="B208" s="440"/>
      <c r="C208" s="29"/>
    </row>
    <row r="209" spans="2:3">
      <c r="B209" s="440"/>
      <c r="C209" s="29"/>
    </row>
    <row r="210" spans="2:3">
      <c r="B210" s="440"/>
      <c r="C210" s="29"/>
    </row>
    <row r="211" spans="2:3">
      <c r="B211" s="440"/>
      <c r="C211" s="29"/>
    </row>
  </sheetData>
  <sheetProtection selectLockedCells="1"/>
  <customSheetViews>
    <customSheetView guid="{8063F48F-80B5-4ECD-B18A-51CBF126E780}" fitToPage="1" hiddenRows="1" state="hidden">
      <pageMargins left="0.59055118110236227" right="0.57999999999999996" top="0.59055118110236227" bottom="0.59055118110236227" header="0.39370078740157483" footer="0.39370078740157483"/>
      <printOptions horizontalCentered="1"/>
      <pageSetup paperSize="9" scale="68" firstPageNumber="66" orientation="portrait" r:id="rId1"/>
      <headerFooter alignWithMargins="0">
        <oddFooter>&amp;L&amp;11LEL Schwäbisch Gmünd&amp;C68&amp;R&amp;11&amp;F</oddFooter>
      </headerFooter>
    </customSheetView>
    <customSheetView guid="{5D5C9B61-9ABD-4513-AAEB-8333A9D6196C}" fitToPage="1" hiddenRows="1" state="hidden">
      <pageMargins left="0.59055118110236227" right="0.57999999999999996" top="0.59055118110236227" bottom="0.59055118110236227" header="0.39370078740157483" footer="0.39370078740157483"/>
      <printOptions horizontalCentered="1"/>
      <pageSetup paperSize="9" scale="68" firstPageNumber="66" orientation="portrait" r:id="rId2"/>
      <headerFooter alignWithMargins="0">
        <oddFooter>&amp;L&amp;11LEL Schwäbisch Gmünd&amp;C68&amp;R&amp;11&amp;F</oddFooter>
      </headerFooter>
    </customSheetView>
    <customSheetView guid="{22A73C4F-9004-4CEF-8499-B1F91BE1B569}" fitToPage="1" hiddenRows="1" state="hidden">
      <pageMargins left="0.59055118110236227" right="0.57999999999999996" top="0.59055118110236227" bottom="0.59055118110236227" header="0.39370078740157483" footer="0.39370078740157483"/>
      <printOptions horizontalCentered="1"/>
      <pageSetup paperSize="9" scale="68" firstPageNumber="66" orientation="portrait" r:id="rId3"/>
      <headerFooter alignWithMargins="0">
        <oddFooter>&amp;L&amp;11LEL Schwäbisch Gmünd&amp;C68&amp;R&amp;11&amp;F</oddFooter>
      </headerFooter>
    </customSheetView>
  </customSheetViews>
  <mergeCells count="49">
    <mergeCell ref="D22:G22"/>
    <mergeCell ref="C20:F20"/>
    <mergeCell ref="C21:F21"/>
    <mergeCell ref="C51:D51"/>
    <mergeCell ref="D25:E25"/>
    <mergeCell ref="C41:E41"/>
    <mergeCell ref="C47:D47"/>
    <mergeCell ref="C48:D48"/>
    <mergeCell ref="C49:D49"/>
    <mergeCell ref="C38:E38"/>
    <mergeCell ref="W3:Y3"/>
    <mergeCell ref="E4:I4"/>
    <mergeCell ref="W4:Y4"/>
    <mergeCell ref="C17:F17"/>
    <mergeCell ref="H6:I6"/>
    <mergeCell ref="K6:L6"/>
    <mergeCell ref="N6:O6"/>
    <mergeCell ref="E10:F10"/>
    <mergeCell ref="C14:F14"/>
    <mergeCell ref="C15:F15"/>
    <mergeCell ref="C16:F16"/>
    <mergeCell ref="G1:I1"/>
    <mergeCell ref="J3:L3"/>
    <mergeCell ref="J4:L4"/>
    <mergeCell ref="K1:L1"/>
    <mergeCell ref="N1:O1"/>
    <mergeCell ref="K2:P2"/>
    <mergeCell ref="N3:O4"/>
    <mergeCell ref="B76:C76"/>
    <mergeCell ref="C66:E66"/>
    <mergeCell ref="C67:E67"/>
    <mergeCell ref="C69:E69"/>
    <mergeCell ref="C74:E74"/>
    <mergeCell ref="C75:E75"/>
    <mergeCell ref="C65:E65"/>
    <mergeCell ref="D26:E26"/>
    <mergeCell ref="C39:E39"/>
    <mergeCell ref="C40:E40"/>
    <mergeCell ref="C46:D46"/>
    <mergeCell ref="C54:D54"/>
    <mergeCell ref="C55:D55"/>
    <mergeCell ref="C42:E42"/>
    <mergeCell ref="C36:E36"/>
    <mergeCell ref="C37:E37"/>
    <mergeCell ref="C53:D53"/>
    <mergeCell ref="C56:D56"/>
    <mergeCell ref="C57:D57"/>
    <mergeCell ref="C52:D52"/>
    <mergeCell ref="C50:D50"/>
  </mergeCells>
  <dataValidations count="5">
    <dataValidation type="list" allowBlank="1" showInputMessage="1" showErrorMessage="1" errorTitle="Organisationsabh. Ausgleichsl." error="Bitte aus Dropdownliste auswählen." sqref="C20:F21" xr:uid="{00000000-0002-0000-5700-000000000000}">
      <formula1>$G$81:$G$91</formula1>
    </dataValidation>
    <dataValidation type="whole" allowBlank="1" showInputMessage="1" showErrorMessage="1" errorTitle="Anteil Erntegut" error="Prozentwert darf nur zwischen 0 und 100 liegen." sqref="O69 L69 I69" xr:uid="{00000000-0002-0000-5700-000001000000}">
      <formula1>0</formula1>
      <formula2>100</formula2>
    </dataValidation>
    <dataValidation type="decimal" allowBlank="1" showInputMessage="1" showErrorMessage="1" errorTitle="Wassergehalt Getreide" error="Zulässig sind nur Werte zwischen 14,1 und 22,0 % Wassergehalt." sqref="H69 K69 N69" xr:uid="{00000000-0002-0000-5700-000002000000}">
      <formula1>14.1</formula1>
      <formula2>22</formula2>
    </dataValidation>
    <dataValidation type="list" allowBlank="1" showInputMessage="1" showErrorMessage="1" errorTitle="Verfahrensabh. Ausgleichsleist." error="Bitte aus Dropdownliste auswählen." sqref="C14:F17" xr:uid="{00000000-0002-0000-5700-000003000000}">
      <formula1>$C$81:$C$100</formula1>
    </dataValidation>
    <dataValidation type="list" allowBlank="1" showInputMessage="1" showErrorMessage="1" errorTitle="Pflanzenschutzmittel" error="Bitte aus Dropdownliste auswählen." sqref="C36:E42" xr:uid="{00000000-0002-0000-5700-000004000000}">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66" orientation="portrait" r:id="rId4"/>
  <headerFooter alignWithMargins="0">
    <oddFooter>&amp;L&amp;11LEL Schwäbisch Gmünd&amp;C68&amp;R&amp;11&amp;F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08560" r:id="rId7" name="Check Box 16">
              <controlPr defaultSize="0" autoFill="0" autoLine="0" autoPict="0">
                <anchor moveWithCells="1">
                  <from>
                    <xdr:col>18</xdr:col>
                    <xdr:colOff>213360</xdr:colOff>
                    <xdr:row>1</xdr:row>
                    <xdr:rowOff>259080</xdr:rowOff>
                  </from>
                  <to>
                    <xdr:col>18</xdr:col>
                    <xdr:colOff>480060</xdr:colOff>
                    <xdr:row>2</xdr:row>
                    <xdr:rowOff>182880</xdr:rowOff>
                  </to>
                </anchor>
              </controlPr>
            </control>
          </mc:Choice>
        </mc:AlternateContent>
        <mc:AlternateContent xmlns:mc="http://schemas.openxmlformats.org/markup-compatibility/2006">
          <mc:Choice Requires="x14">
            <control shapeId="108561" r:id="rId8" name="Check Box 17">
              <controlPr defaultSize="0" autoFill="0" autoLine="0" autoPict="0">
                <anchor moveWithCells="1">
                  <from>
                    <xdr:col>18</xdr:col>
                    <xdr:colOff>213360</xdr:colOff>
                    <xdr:row>1</xdr:row>
                    <xdr:rowOff>60960</xdr:rowOff>
                  </from>
                  <to>
                    <xdr:col>18</xdr:col>
                    <xdr:colOff>480060</xdr:colOff>
                    <xdr:row>1</xdr:row>
                    <xdr:rowOff>297180</xdr:rowOff>
                  </to>
                </anchor>
              </controlPr>
            </control>
          </mc:Choice>
        </mc:AlternateContent>
        <mc:AlternateContent xmlns:mc="http://schemas.openxmlformats.org/markup-compatibility/2006">
          <mc:Choice Requires="x14">
            <control shapeId="108562" r:id="rId9" name="Check Box 18">
              <controlPr defaultSize="0" print="0" autoFill="0" autoLine="0" autoPict="0">
                <anchor moveWithCells="1">
                  <from>
                    <xdr:col>10</xdr:col>
                    <xdr:colOff>175260</xdr:colOff>
                    <xdr:row>13</xdr:row>
                    <xdr:rowOff>60960</xdr:rowOff>
                  </from>
                  <to>
                    <xdr:col>10</xdr:col>
                    <xdr:colOff>388620</xdr:colOff>
                    <xdr:row>14</xdr:row>
                    <xdr:rowOff>45720</xdr:rowOff>
                  </to>
                </anchor>
              </controlPr>
            </control>
          </mc:Choice>
        </mc:AlternateContent>
        <mc:AlternateContent xmlns:mc="http://schemas.openxmlformats.org/markup-compatibility/2006">
          <mc:Choice Requires="x14">
            <control shapeId="108563" r:id="rId10" name="Check Box 19">
              <controlPr defaultSize="0" print="0" autoFill="0" autoLine="0" autoPict="0">
                <anchor moveWithCells="1">
                  <from>
                    <xdr:col>10</xdr:col>
                    <xdr:colOff>175260</xdr:colOff>
                    <xdr:row>14</xdr:row>
                    <xdr:rowOff>38100</xdr:rowOff>
                  </from>
                  <to>
                    <xdr:col>10</xdr:col>
                    <xdr:colOff>388620</xdr:colOff>
                    <xdr:row>14</xdr:row>
                    <xdr:rowOff>182880</xdr:rowOff>
                  </to>
                </anchor>
              </controlPr>
            </control>
          </mc:Choice>
        </mc:AlternateContent>
        <mc:AlternateContent xmlns:mc="http://schemas.openxmlformats.org/markup-compatibility/2006">
          <mc:Choice Requires="x14">
            <control shapeId="108564" r:id="rId11" name="Check Box 20">
              <controlPr defaultSize="0" print="0" autoFill="0" autoLine="0" autoPict="0">
                <anchor moveWithCells="1">
                  <from>
                    <xdr:col>10</xdr:col>
                    <xdr:colOff>175260</xdr:colOff>
                    <xdr:row>14</xdr:row>
                    <xdr:rowOff>175260</xdr:rowOff>
                  </from>
                  <to>
                    <xdr:col>10</xdr:col>
                    <xdr:colOff>388620</xdr:colOff>
                    <xdr:row>15</xdr:row>
                    <xdr:rowOff>121920</xdr:rowOff>
                  </to>
                </anchor>
              </controlPr>
            </control>
          </mc:Choice>
        </mc:AlternateContent>
        <mc:AlternateContent xmlns:mc="http://schemas.openxmlformats.org/markup-compatibility/2006">
          <mc:Choice Requires="x14">
            <control shapeId="108565" r:id="rId12" name="Check Box 21">
              <controlPr defaultSize="0" print="0" autoFill="0" autoLine="0" autoPict="0">
                <anchor moveWithCells="1">
                  <from>
                    <xdr:col>10</xdr:col>
                    <xdr:colOff>160020</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8566" r:id="rId13" name="Check Box 22">
              <controlPr defaultSize="0" print="0" autoFill="0" autoLine="0" autoPict="0">
                <anchor moveWithCells="1">
                  <from>
                    <xdr:col>7</xdr:col>
                    <xdr:colOff>137160</xdr:colOff>
                    <xdr:row>13</xdr:row>
                    <xdr:rowOff>38100</xdr:rowOff>
                  </from>
                  <to>
                    <xdr:col>7</xdr:col>
                    <xdr:colOff>365760</xdr:colOff>
                    <xdr:row>14</xdr:row>
                    <xdr:rowOff>22860</xdr:rowOff>
                  </to>
                </anchor>
              </controlPr>
            </control>
          </mc:Choice>
        </mc:AlternateContent>
        <mc:AlternateContent xmlns:mc="http://schemas.openxmlformats.org/markup-compatibility/2006">
          <mc:Choice Requires="x14">
            <control shapeId="108567" r:id="rId14" name="Check Box 23">
              <controlPr defaultSize="0" print="0" autoFill="0" autoLine="0" autoPict="0">
                <anchor moveWithCells="1">
                  <from>
                    <xdr:col>7</xdr:col>
                    <xdr:colOff>137160</xdr:colOff>
                    <xdr:row>14</xdr:row>
                    <xdr:rowOff>45720</xdr:rowOff>
                  </from>
                  <to>
                    <xdr:col>7</xdr:col>
                    <xdr:colOff>350520</xdr:colOff>
                    <xdr:row>15</xdr:row>
                    <xdr:rowOff>0</xdr:rowOff>
                  </to>
                </anchor>
              </controlPr>
            </control>
          </mc:Choice>
        </mc:AlternateContent>
        <mc:AlternateContent xmlns:mc="http://schemas.openxmlformats.org/markup-compatibility/2006">
          <mc:Choice Requires="x14">
            <control shapeId="108568" r:id="rId15" name="Check Box 24">
              <controlPr defaultSize="0" print="0" autoFill="0" autoLine="0" autoPict="0">
                <anchor moveWithCells="1">
                  <from>
                    <xdr:col>7</xdr:col>
                    <xdr:colOff>137160</xdr:colOff>
                    <xdr:row>15</xdr:row>
                    <xdr:rowOff>38100</xdr:rowOff>
                  </from>
                  <to>
                    <xdr:col>7</xdr:col>
                    <xdr:colOff>365760</xdr:colOff>
                    <xdr:row>15</xdr:row>
                    <xdr:rowOff>182880</xdr:rowOff>
                  </to>
                </anchor>
              </controlPr>
            </control>
          </mc:Choice>
        </mc:AlternateContent>
        <mc:AlternateContent xmlns:mc="http://schemas.openxmlformats.org/markup-compatibility/2006">
          <mc:Choice Requires="x14">
            <control shapeId="108569" r:id="rId16" name="Check Box 25">
              <controlPr defaultSize="0" print="0" autoFill="0" autoLine="0" autoPict="0">
                <anchor moveWithCells="1">
                  <from>
                    <xdr:col>7</xdr:col>
                    <xdr:colOff>160020</xdr:colOff>
                    <xdr:row>16</xdr:row>
                    <xdr:rowOff>38100</xdr:rowOff>
                  </from>
                  <to>
                    <xdr:col>7</xdr:col>
                    <xdr:colOff>388620</xdr:colOff>
                    <xdr:row>16</xdr:row>
                    <xdr:rowOff>182880</xdr:rowOff>
                  </to>
                </anchor>
              </controlPr>
            </control>
          </mc:Choice>
        </mc:AlternateContent>
        <mc:AlternateContent xmlns:mc="http://schemas.openxmlformats.org/markup-compatibility/2006">
          <mc:Choice Requires="x14">
            <control shapeId="108570" r:id="rId17" name="Check Box 26">
              <controlPr defaultSize="0" print="0" autoFill="0" autoLine="0" autoPict="0">
                <anchor moveWithCells="1">
                  <from>
                    <xdr:col>13</xdr:col>
                    <xdr:colOff>182880</xdr:colOff>
                    <xdr:row>13</xdr:row>
                    <xdr:rowOff>60960</xdr:rowOff>
                  </from>
                  <to>
                    <xdr:col>13</xdr:col>
                    <xdr:colOff>403860</xdr:colOff>
                    <xdr:row>14</xdr:row>
                    <xdr:rowOff>45720</xdr:rowOff>
                  </to>
                </anchor>
              </controlPr>
            </control>
          </mc:Choice>
        </mc:AlternateContent>
        <mc:AlternateContent xmlns:mc="http://schemas.openxmlformats.org/markup-compatibility/2006">
          <mc:Choice Requires="x14">
            <control shapeId="108571" r:id="rId18" name="Check Box 27">
              <controlPr defaultSize="0" print="0" autoFill="0" autoLine="0" autoPict="0">
                <anchor moveWithCells="1">
                  <from>
                    <xdr:col>13</xdr:col>
                    <xdr:colOff>182880</xdr:colOff>
                    <xdr:row>14</xdr:row>
                    <xdr:rowOff>38100</xdr:rowOff>
                  </from>
                  <to>
                    <xdr:col>13</xdr:col>
                    <xdr:colOff>403860</xdr:colOff>
                    <xdr:row>14</xdr:row>
                    <xdr:rowOff>182880</xdr:rowOff>
                  </to>
                </anchor>
              </controlPr>
            </control>
          </mc:Choice>
        </mc:AlternateContent>
        <mc:AlternateContent xmlns:mc="http://schemas.openxmlformats.org/markup-compatibility/2006">
          <mc:Choice Requires="x14">
            <control shapeId="108572" r:id="rId19" name="Check Box 28">
              <controlPr defaultSize="0" print="0" autoFill="0" autoLine="0" autoPict="0">
                <anchor moveWithCells="1">
                  <from>
                    <xdr:col>13</xdr:col>
                    <xdr:colOff>182880</xdr:colOff>
                    <xdr:row>15</xdr:row>
                    <xdr:rowOff>22860</xdr:rowOff>
                  </from>
                  <to>
                    <xdr:col>13</xdr:col>
                    <xdr:colOff>403860</xdr:colOff>
                    <xdr:row>15</xdr:row>
                    <xdr:rowOff>175260</xdr:rowOff>
                  </to>
                </anchor>
              </controlPr>
            </control>
          </mc:Choice>
        </mc:AlternateContent>
        <mc:AlternateContent xmlns:mc="http://schemas.openxmlformats.org/markup-compatibility/2006">
          <mc:Choice Requires="x14">
            <control shapeId="108573" r:id="rId20" name="Check Box 29">
              <controlPr defaultSize="0" print="0" autoFill="0" autoLine="0" autoPict="0">
                <anchor moveWithCells="1">
                  <from>
                    <xdr:col>13</xdr:col>
                    <xdr:colOff>182880</xdr:colOff>
                    <xdr:row>16</xdr:row>
                    <xdr:rowOff>22860</xdr:rowOff>
                  </from>
                  <to>
                    <xdr:col>13</xdr:col>
                    <xdr:colOff>403860</xdr:colOff>
                    <xdr:row>16</xdr:row>
                    <xdr:rowOff>175260</xdr:rowOff>
                  </to>
                </anchor>
              </controlPr>
            </control>
          </mc:Choice>
        </mc:AlternateContent>
        <mc:AlternateContent xmlns:mc="http://schemas.openxmlformats.org/markup-compatibility/2006">
          <mc:Choice Requires="x14">
            <control shapeId="108574" r:id="rId21" name="Check Box 30">
              <controlPr defaultSize="0" print="0" autoFill="0" autoLine="0" autoPict="0">
                <anchor moveWithCells="1">
                  <from>
                    <xdr:col>12</xdr:col>
                    <xdr:colOff>38100</xdr:colOff>
                    <xdr:row>2</xdr:row>
                    <xdr:rowOff>106680</xdr:rowOff>
                  </from>
                  <to>
                    <xdr:col>12</xdr:col>
                    <xdr:colOff>220980</xdr:colOff>
                    <xdr:row>2</xdr:row>
                    <xdr:rowOff>259080</xdr:rowOff>
                  </to>
                </anchor>
              </controlPr>
            </control>
          </mc:Choice>
        </mc:AlternateContent>
        <mc:AlternateContent xmlns:mc="http://schemas.openxmlformats.org/markup-compatibility/2006">
          <mc:Choice Requires="x14">
            <control shapeId="108575" r:id="rId22" name="Check Box 31">
              <controlPr defaultSize="0" print="0" autoFill="0" autoLine="0" autoPict="0">
                <anchor moveWithCells="1">
                  <from>
                    <xdr:col>12</xdr:col>
                    <xdr:colOff>45720</xdr:colOff>
                    <xdr:row>3</xdr:row>
                    <xdr:rowOff>60960</xdr:rowOff>
                  </from>
                  <to>
                    <xdr:col>12</xdr:col>
                    <xdr:colOff>228600</xdr:colOff>
                    <xdr:row>3</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Title="Arbeitsgänge" error="Bitte aus Dropdownliste auswählen." xr:uid="{00000000-0002-0000-5700-000005000000}">
          <x14:formula1>
            <xm:f>'SD3'!$C$23:$C$75</xm:f>
          </x14:formula1>
          <xm:sqref>C46:D57</xm:sqref>
        </x14:dataValidation>
        <x14:dataValidation type="list" allowBlank="1" showInputMessage="1" showErrorMessage="1" errorTitle="Lohnmaschinen" error="Bitte aus Dropdownliste auswählen." xr:uid="{00000000-0002-0000-5700-000006000000}">
          <x14:formula1>
            <xm:f>'SD3'!$C$90:$C$104</xm:f>
          </x14:formula1>
          <xm:sqref>C65:E67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5">
    <pageSetUpPr fitToPage="1"/>
  </sheetPr>
  <dimension ref="A1:FO87"/>
  <sheetViews>
    <sheetView topLeftCell="A4" zoomScale="196" zoomScaleNormal="196" workbookViewId="0">
      <pane xSplit="3" topLeftCell="D1" activePane="topRight" state="frozen"/>
      <selection pane="topRight" activeCell="E15" sqref="E15"/>
    </sheetView>
  </sheetViews>
  <sheetFormatPr baseColWidth="10" defaultColWidth="10.5" defaultRowHeight="7.8"/>
  <cols>
    <col min="1" max="1" width="2.3984375" style="892" customWidth="1"/>
    <col min="2" max="2" width="23.69921875" style="894" customWidth="1"/>
    <col min="3" max="4" width="6.59765625" style="893" bestFit="1" customWidth="1"/>
    <col min="5" max="5" width="6.59765625" style="893" customWidth="1"/>
    <col min="6" max="32" width="5.5" style="893" customWidth="1"/>
    <col min="33" max="33" width="6.19921875" style="893" customWidth="1"/>
    <col min="34" max="35" width="5.5" style="893" customWidth="1"/>
    <col min="36" max="101" width="5.5" style="892" customWidth="1"/>
    <col min="102" max="102" width="6.59765625" style="893" bestFit="1" customWidth="1"/>
    <col min="103" max="103" width="5.5" style="892" customWidth="1"/>
    <col min="104" max="104" width="6" style="892" customWidth="1"/>
    <col min="105" max="108" width="5.5" style="892" customWidth="1"/>
    <col min="109" max="109" width="5.5" style="892" hidden="1" customWidth="1"/>
    <col min="110" max="113" width="5.5" style="892" customWidth="1"/>
    <col min="114" max="114" width="6.59765625" style="892" customWidth="1"/>
    <col min="115" max="124" width="5.5" style="892" customWidth="1"/>
    <col min="125" max="125" width="6" style="892" customWidth="1"/>
    <col min="126" max="131" width="5.5" style="892" customWidth="1"/>
    <col min="132" max="132" width="5.5" style="892" hidden="1" customWidth="1"/>
    <col min="133" max="169" width="5.5" style="892" customWidth="1"/>
    <col min="170" max="16384" width="10.5" style="892"/>
  </cols>
  <sheetData>
    <row r="1" spans="1:169">
      <c r="A1" s="899">
        <f>ROWS($A1:A$1)</f>
        <v>1</v>
      </c>
      <c r="D1" s="893">
        <v>202</v>
      </c>
      <c r="E1" s="893">
        <v>203</v>
      </c>
      <c r="F1" s="893">
        <v>204</v>
      </c>
      <c r="G1" s="893">
        <v>205</v>
      </c>
      <c r="H1" s="893">
        <v>206</v>
      </c>
      <c r="I1" s="893">
        <v>207</v>
      </c>
      <c r="J1" s="893">
        <v>208</v>
      </c>
      <c r="K1" s="893">
        <v>209</v>
      </c>
      <c r="L1" s="893">
        <v>210</v>
      </c>
      <c r="M1" s="893">
        <v>211</v>
      </c>
      <c r="N1" s="893">
        <v>212</v>
      </c>
      <c r="O1" s="893">
        <v>213</v>
      </c>
      <c r="P1" s="893">
        <v>214</v>
      </c>
      <c r="Q1" s="893">
        <v>215</v>
      </c>
      <c r="R1" s="893">
        <v>216</v>
      </c>
      <c r="S1" s="893">
        <v>217</v>
      </c>
      <c r="T1" s="893">
        <v>218</v>
      </c>
      <c r="U1" s="893">
        <v>219</v>
      </c>
      <c r="V1" s="893">
        <v>220</v>
      </c>
      <c r="W1" s="893">
        <v>221</v>
      </c>
      <c r="X1" s="893">
        <v>222</v>
      </c>
      <c r="Y1" s="893">
        <v>223</v>
      </c>
      <c r="Z1" s="893">
        <v>224</v>
      </c>
      <c r="AA1" s="893">
        <v>225</v>
      </c>
      <c r="AB1" s="893">
        <v>226</v>
      </c>
      <c r="AC1" s="893">
        <v>227</v>
      </c>
      <c r="AD1" s="893">
        <v>228</v>
      </c>
      <c r="AE1" s="893">
        <v>229</v>
      </c>
      <c r="AF1" s="893">
        <v>230</v>
      </c>
      <c r="AG1" s="893">
        <v>231</v>
      </c>
      <c r="AH1" s="893">
        <v>232</v>
      </c>
      <c r="AJ1" s="1003">
        <v>302</v>
      </c>
      <c r="AK1" s="893">
        <v>303</v>
      </c>
      <c r="AL1" s="893">
        <v>304</v>
      </c>
      <c r="AM1" s="893">
        <v>305</v>
      </c>
      <c r="AN1" s="893">
        <v>306</v>
      </c>
      <c r="AO1" s="893">
        <v>307</v>
      </c>
      <c r="AP1" s="893">
        <v>308</v>
      </c>
      <c r="AQ1" s="893">
        <v>309</v>
      </c>
      <c r="AR1" s="893">
        <v>310</v>
      </c>
      <c r="AS1" s="893">
        <v>311</v>
      </c>
      <c r="AT1" s="893">
        <v>312</v>
      </c>
      <c r="AU1" s="893">
        <v>313</v>
      </c>
      <c r="AV1" s="893">
        <v>314</v>
      </c>
      <c r="AW1" s="893">
        <v>315</v>
      </c>
      <c r="AX1" s="893">
        <v>316</v>
      </c>
      <c r="AY1" s="893">
        <v>317</v>
      </c>
      <c r="AZ1" s="893">
        <v>318</v>
      </c>
      <c r="BA1" s="893">
        <v>319</v>
      </c>
      <c r="BB1" s="893">
        <v>320</v>
      </c>
      <c r="BC1" s="893">
        <v>321</v>
      </c>
      <c r="BD1" s="893">
        <v>322</v>
      </c>
      <c r="BE1" s="893">
        <v>323</v>
      </c>
      <c r="BF1" s="893">
        <v>324</v>
      </c>
      <c r="BG1" s="893">
        <v>325</v>
      </c>
      <c r="BH1" s="893">
        <v>326</v>
      </c>
      <c r="BI1" s="893">
        <v>327</v>
      </c>
      <c r="BJ1" s="893">
        <v>328</v>
      </c>
      <c r="BK1" s="893">
        <v>329</v>
      </c>
      <c r="BL1" s="893">
        <v>330</v>
      </c>
      <c r="BM1" s="893">
        <v>331</v>
      </c>
      <c r="BN1" s="893">
        <v>332</v>
      </c>
      <c r="BO1" s="893"/>
      <c r="BP1" s="1003">
        <v>402</v>
      </c>
      <c r="BQ1" s="893">
        <v>403</v>
      </c>
      <c r="BR1" s="893">
        <v>404</v>
      </c>
      <c r="BS1" s="893">
        <v>405</v>
      </c>
      <c r="BT1" s="893">
        <v>406</v>
      </c>
      <c r="BU1" s="893">
        <v>407</v>
      </c>
      <c r="BV1" s="893">
        <v>408</v>
      </c>
      <c r="BW1" s="893">
        <v>409</v>
      </c>
      <c r="BX1" s="893">
        <v>410</v>
      </c>
      <c r="BY1" s="893">
        <v>411</v>
      </c>
      <c r="BZ1" s="893">
        <v>412</v>
      </c>
      <c r="CA1" s="893">
        <v>413</v>
      </c>
      <c r="CB1" s="893">
        <v>414</v>
      </c>
      <c r="CC1" s="893">
        <v>415</v>
      </c>
      <c r="CD1" s="893">
        <v>416</v>
      </c>
      <c r="CE1" s="893">
        <v>417</v>
      </c>
      <c r="CF1" s="893">
        <v>418</v>
      </c>
      <c r="CG1" s="893">
        <v>419</v>
      </c>
      <c r="CH1" s="893">
        <v>420</v>
      </c>
      <c r="CI1" s="893">
        <v>421</v>
      </c>
      <c r="CJ1" s="893">
        <v>422</v>
      </c>
      <c r="CK1" s="893">
        <v>423</v>
      </c>
      <c r="CL1" s="893">
        <v>424</v>
      </c>
      <c r="CM1" s="893">
        <v>425</v>
      </c>
      <c r="CN1" s="893">
        <v>426</v>
      </c>
      <c r="CO1" s="893">
        <v>427</v>
      </c>
      <c r="CP1" s="893">
        <v>428</v>
      </c>
      <c r="CQ1" s="893">
        <v>429</v>
      </c>
      <c r="CR1" s="893">
        <v>430</v>
      </c>
      <c r="CS1" s="893">
        <v>431</v>
      </c>
      <c r="CT1" s="893">
        <v>432</v>
      </c>
      <c r="CV1" s="2615"/>
      <c r="CW1" s="2616"/>
      <c r="CX1" s="893">
        <f t="shared" ref="CX1:DS1" si="0">200+CX2</f>
        <v>233</v>
      </c>
      <c r="CY1" s="2617">
        <f t="shared" si="0"/>
        <v>234</v>
      </c>
      <c r="CZ1" s="2617">
        <f t="shared" si="0"/>
        <v>235</v>
      </c>
      <c r="DA1" s="2617">
        <f t="shared" si="0"/>
        <v>236</v>
      </c>
      <c r="DB1" s="2617">
        <f t="shared" si="0"/>
        <v>237</v>
      </c>
      <c r="DC1" s="2617">
        <f t="shared" si="0"/>
        <v>238</v>
      </c>
      <c r="DD1" s="2617">
        <f t="shared" si="0"/>
        <v>239</v>
      </c>
      <c r="DE1" s="2617">
        <f t="shared" si="0"/>
        <v>240</v>
      </c>
      <c r="DF1" s="2617">
        <f t="shared" si="0"/>
        <v>241</v>
      </c>
      <c r="DG1" s="2617">
        <f t="shared" si="0"/>
        <v>242</v>
      </c>
      <c r="DH1" s="2617">
        <f t="shared" si="0"/>
        <v>243</v>
      </c>
      <c r="DI1" s="2617">
        <f t="shared" si="0"/>
        <v>244</v>
      </c>
      <c r="DJ1" s="2617">
        <f t="shared" si="0"/>
        <v>245</v>
      </c>
      <c r="DK1" s="2617">
        <f t="shared" si="0"/>
        <v>246</v>
      </c>
      <c r="DL1" s="2617">
        <f t="shared" si="0"/>
        <v>247</v>
      </c>
      <c r="DM1" s="2617">
        <f t="shared" si="0"/>
        <v>248</v>
      </c>
      <c r="DN1" s="2617">
        <f t="shared" si="0"/>
        <v>249</v>
      </c>
      <c r="DO1" s="2617">
        <f t="shared" si="0"/>
        <v>250</v>
      </c>
      <c r="DP1" s="2617">
        <f t="shared" si="0"/>
        <v>251</v>
      </c>
      <c r="DQ1" s="2617">
        <f t="shared" si="0"/>
        <v>252</v>
      </c>
      <c r="DR1" s="2617">
        <f t="shared" si="0"/>
        <v>253</v>
      </c>
      <c r="DS1" s="2617">
        <f t="shared" si="0"/>
        <v>254</v>
      </c>
      <c r="DT1" s="2617"/>
      <c r="DU1" s="2617">
        <f>300+DU2</f>
        <v>333</v>
      </c>
      <c r="DV1" s="2617">
        <f t="shared" ref="DV1:EP1" si="1">300+DV2</f>
        <v>334</v>
      </c>
      <c r="DW1" s="2617">
        <f t="shared" si="1"/>
        <v>335</v>
      </c>
      <c r="DX1" s="2617">
        <f t="shared" si="1"/>
        <v>336</v>
      </c>
      <c r="DY1" s="2617">
        <f t="shared" si="1"/>
        <v>337</v>
      </c>
      <c r="DZ1" s="2617">
        <f t="shared" si="1"/>
        <v>338</v>
      </c>
      <c r="EA1" s="2617">
        <f t="shared" si="1"/>
        <v>339</v>
      </c>
      <c r="EB1" s="2617">
        <f t="shared" si="1"/>
        <v>340</v>
      </c>
      <c r="EC1" s="2617">
        <f t="shared" si="1"/>
        <v>341</v>
      </c>
      <c r="ED1" s="2617">
        <f t="shared" si="1"/>
        <v>342</v>
      </c>
      <c r="EE1" s="2617">
        <f t="shared" si="1"/>
        <v>343</v>
      </c>
      <c r="EF1" s="2617">
        <f t="shared" si="1"/>
        <v>344</v>
      </c>
      <c r="EG1" s="2617">
        <f t="shared" si="1"/>
        <v>345</v>
      </c>
      <c r="EH1" s="2617">
        <f t="shared" si="1"/>
        <v>346</v>
      </c>
      <c r="EI1" s="2617">
        <f t="shared" si="1"/>
        <v>347</v>
      </c>
      <c r="EJ1" s="2617">
        <f t="shared" si="1"/>
        <v>348</v>
      </c>
      <c r="EK1" s="2617">
        <f t="shared" si="1"/>
        <v>349</v>
      </c>
      <c r="EL1" s="2617">
        <f t="shared" si="1"/>
        <v>350</v>
      </c>
      <c r="EM1" s="2617">
        <f t="shared" si="1"/>
        <v>351</v>
      </c>
      <c r="EN1" s="2617">
        <f t="shared" si="1"/>
        <v>352</v>
      </c>
      <c r="EO1" s="2617">
        <f t="shared" si="1"/>
        <v>353</v>
      </c>
      <c r="EP1" s="2617">
        <f t="shared" si="1"/>
        <v>354</v>
      </c>
      <c r="EQ1" s="2617"/>
      <c r="ER1" s="2617">
        <f>400+ER2</f>
        <v>433</v>
      </c>
      <c r="ES1" s="2617">
        <f t="shared" ref="ES1:FM1" si="2">400+ES2</f>
        <v>434</v>
      </c>
      <c r="ET1" s="2617">
        <f t="shared" si="2"/>
        <v>435</v>
      </c>
      <c r="EU1" s="2617">
        <f t="shared" si="2"/>
        <v>436</v>
      </c>
      <c r="EV1" s="2617">
        <f t="shared" si="2"/>
        <v>437</v>
      </c>
      <c r="EW1" s="2617">
        <f t="shared" si="2"/>
        <v>438</v>
      </c>
      <c r="EX1" s="2617">
        <f t="shared" si="2"/>
        <v>439</v>
      </c>
      <c r="EY1" s="2617">
        <f t="shared" si="2"/>
        <v>440</v>
      </c>
      <c r="EZ1" s="2617">
        <f t="shared" si="2"/>
        <v>441</v>
      </c>
      <c r="FA1" s="2617">
        <f t="shared" si="2"/>
        <v>442</v>
      </c>
      <c r="FB1" s="2617">
        <f t="shared" si="2"/>
        <v>443</v>
      </c>
      <c r="FC1" s="2617">
        <f t="shared" si="2"/>
        <v>444</v>
      </c>
      <c r="FD1" s="2617">
        <f t="shared" si="2"/>
        <v>445</v>
      </c>
      <c r="FE1" s="2617">
        <f t="shared" si="2"/>
        <v>446</v>
      </c>
      <c r="FF1" s="2617">
        <f t="shared" si="2"/>
        <v>447</v>
      </c>
      <c r="FG1" s="2617">
        <f t="shared" si="2"/>
        <v>448</v>
      </c>
      <c r="FH1" s="2617">
        <f t="shared" si="2"/>
        <v>449</v>
      </c>
      <c r="FI1" s="2617">
        <f t="shared" si="2"/>
        <v>450</v>
      </c>
      <c r="FJ1" s="2617">
        <f t="shared" si="2"/>
        <v>451</v>
      </c>
      <c r="FK1" s="2617">
        <f t="shared" si="2"/>
        <v>452</v>
      </c>
      <c r="FL1" s="2617">
        <f t="shared" si="2"/>
        <v>453</v>
      </c>
      <c r="FM1" s="2617">
        <f t="shared" si="2"/>
        <v>454</v>
      </c>
    </row>
    <row r="2" spans="1:169" ht="19.5" customHeight="1">
      <c r="A2" s="899">
        <f>ROWS($A$1:A2)</f>
        <v>2</v>
      </c>
      <c r="B2" s="1004" t="s">
        <v>99</v>
      </c>
      <c r="C2" s="892"/>
      <c r="D2" s="892">
        <v>2</v>
      </c>
      <c r="E2" s="892">
        <v>3</v>
      </c>
      <c r="F2" s="892">
        <v>4</v>
      </c>
      <c r="G2" s="892">
        <v>5</v>
      </c>
      <c r="H2" s="892">
        <v>6</v>
      </c>
      <c r="I2" s="892">
        <v>7</v>
      </c>
      <c r="J2" s="892">
        <v>8</v>
      </c>
      <c r="K2" s="892">
        <v>9</v>
      </c>
      <c r="L2" s="892">
        <v>10</v>
      </c>
      <c r="M2" s="892">
        <v>11</v>
      </c>
      <c r="N2" s="892">
        <v>12</v>
      </c>
      <c r="O2" s="892">
        <v>13</v>
      </c>
      <c r="P2" s="892">
        <v>14</v>
      </c>
      <c r="Q2" s="892">
        <v>15</v>
      </c>
      <c r="R2" s="892">
        <v>16</v>
      </c>
      <c r="S2" s="892">
        <v>17</v>
      </c>
      <c r="T2" s="892">
        <v>18</v>
      </c>
      <c r="U2" s="892">
        <v>19</v>
      </c>
      <c r="V2" s="892">
        <v>20</v>
      </c>
      <c r="W2" s="892">
        <v>21</v>
      </c>
      <c r="X2" s="892">
        <v>22</v>
      </c>
      <c r="Y2" s="892">
        <v>23</v>
      </c>
      <c r="Z2" s="892">
        <v>24</v>
      </c>
      <c r="AA2" s="892">
        <v>25</v>
      </c>
      <c r="AB2" s="892">
        <v>26</v>
      </c>
      <c r="AC2" s="892">
        <v>27</v>
      </c>
      <c r="AD2" s="892">
        <v>28</v>
      </c>
      <c r="AE2" s="892">
        <v>29</v>
      </c>
      <c r="AF2" s="892">
        <v>30</v>
      </c>
      <c r="AG2" s="892">
        <v>31</v>
      </c>
      <c r="AH2" s="892">
        <v>32</v>
      </c>
      <c r="AI2" s="892"/>
      <c r="AJ2" s="1003">
        <v>2</v>
      </c>
      <c r="AK2" s="893">
        <v>3</v>
      </c>
      <c r="AL2" s="893">
        <v>4</v>
      </c>
      <c r="AM2" s="893">
        <v>5</v>
      </c>
      <c r="AN2" s="893">
        <v>6</v>
      </c>
      <c r="AO2" s="893">
        <v>7</v>
      </c>
      <c r="AP2" s="893">
        <v>8</v>
      </c>
      <c r="AQ2" s="893">
        <v>9</v>
      </c>
      <c r="AR2" s="893">
        <v>10</v>
      </c>
      <c r="AS2" s="893">
        <v>11</v>
      </c>
      <c r="AT2" s="893">
        <v>12</v>
      </c>
      <c r="AU2" s="893">
        <v>13</v>
      </c>
      <c r="AV2" s="893">
        <v>14</v>
      </c>
      <c r="AW2" s="893">
        <v>15</v>
      </c>
      <c r="AX2" s="893">
        <v>16</v>
      </c>
      <c r="AY2" s="893">
        <v>17</v>
      </c>
      <c r="AZ2" s="893">
        <v>18</v>
      </c>
      <c r="BA2" s="893">
        <v>19</v>
      </c>
      <c r="BB2" s="893">
        <v>20</v>
      </c>
      <c r="BC2" s="893">
        <v>21</v>
      </c>
      <c r="BD2" s="893">
        <v>22</v>
      </c>
      <c r="BE2" s="893">
        <v>23</v>
      </c>
      <c r="BF2" s="893">
        <v>24</v>
      </c>
      <c r="BG2" s="893">
        <v>25</v>
      </c>
      <c r="BH2" s="893">
        <v>26</v>
      </c>
      <c r="BI2" s="893">
        <v>27</v>
      </c>
      <c r="BJ2" s="893">
        <v>28</v>
      </c>
      <c r="BK2" s="893">
        <v>29</v>
      </c>
      <c r="BL2" s="893">
        <v>30</v>
      </c>
      <c r="BM2" s="893">
        <v>31</v>
      </c>
      <c r="BN2" s="893">
        <v>32</v>
      </c>
      <c r="BO2" s="893"/>
      <c r="BP2" s="1003">
        <v>2</v>
      </c>
      <c r="BQ2" s="893">
        <v>3</v>
      </c>
      <c r="BR2" s="893">
        <v>4</v>
      </c>
      <c r="BS2" s="893">
        <v>5</v>
      </c>
      <c r="BT2" s="893">
        <v>6</v>
      </c>
      <c r="BU2" s="893">
        <v>7</v>
      </c>
      <c r="BV2" s="893">
        <v>8</v>
      </c>
      <c r="BW2" s="893">
        <v>9</v>
      </c>
      <c r="BX2" s="893">
        <v>10</v>
      </c>
      <c r="BY2" s="893">
        <v>11</v>
      </c>
      <c r="BZ2" s="893">
        <v>12</v>
      </c>
      <c r="CA2" s="893">
        <v>13</v>
      </c>
      <c r="CB2" s="893">
        <v>14</v>
      </c>
      <c r="CC2" s="893">
        <v>15</v>
      </c>
      <c r="CD2" s="893">
        <v>16</v>
      </c>
      <c r="CE2" s="893">
        <v>17</v>
      </c>
      <c r="CF2" s="893">
        <v>18</v>
      </c>
      <c r="CG2" s="893">
        <v>19</v>
      </c>
      <c r="CH2" s="893">
        <v>20</v>
      </c>
      <c r="CI2" s="893">
        <v>21</v>
      </c>
      <c r="CJ2" s="893">
        <v>22</v>
      </c>
      <c r="CK2" s="893">
        <v>23</v>
      </c>
      <c r="CL2" s="893">
        <v>24</v>
      </c>
      <c r="CM2" s="893">
        <v>25</v>
      </c>
      <c r="CN2" s="893">
        <v>26</v>
      </c>
      <c r="CO2" s="893">
        <v>27</v>
      </c>
      <c r="CP2" s="893">
        <v>28</v>
      </c>
      <c r="CQ2" s="893">
        <v>29</v>
      </c>
      <c r="CR2" s="893">
        <v>30</v>
      </c>
      <c r="CS2" s="893">
        <v>31</v>
      </c>
      <c r="CT2" s="893">
        <v>32</v>
      </c>
      <c r="CV2" s="2381"/>
      <c r="CX2" s="892">
        <f>AH2+1</f>
        <v>33</v>
      </c>
      <c r="CY2" s="892">
        <f>CX2+1</f>
        <v>34</v>
      </c>
      <c r="CZ2" s="892">
        <f>CY2+1</f>
        <v>35</v>
      </c>
      <c r="DA2" s="892">
        <f t="shared" ref="DA2:DF2" si="3">CZ2+1</f>
        <v>36</v>
      </c>
      <c r="DB2" s="892">
        <f t="shared" si="3"/>
        <v>37</v>
      </c>
      <c r="DC2" s="892">
        <f t="shared" si="3"/>
        <v>38</v>
      </c>
      <c r="DD2" s="892">
        <f t="shared" si="3"/>
        <v>39</v>
      </c>
      <c r="DE2" s="892">
        <f t="shared" si="3"/>
        <v>40</v>
      </c>
      <c r="DF2" s="892">
        <f t="shared" si="3"/>
        <v>41</v>
      </c>
      <c r="DG2" s="892">
        <f t="shared" ref="DG2:DQ2" si="4">DF2+1</f>
        <v>42</v>
      </c>
      <c r="DH2" s="892">
        <f t="shared" si="4"/>
        <v>43</v>
      </c>
      <c r="DI2" s="892">
        <f t="shared" si="4"/>
        <v>44</v>
      </c>
      <c r="DJ2" s="892">
        <f t="shared" si="4"/>
        <v>45</v>
      </c>
      <c r="DK2" s="892">
        <f t="shared" si="4"/>
        <v>46</v>
      </c>
      <c r="DL2" s="892">
        <f t="shared" si="4"/>
        <v>47</v>
      </c>
      <c r="DM2" s="892">
        <f t="shared" si="4"/>
        <v>48</v>
      </c>
      <c r="DN2" s="892">
        <f t="shared" si="4"/>
        <v>49</v>
      </c>
      <c r="DO2" s="892">
        <f t="shared" si="4"/>
        <v>50</v>
      </c>
      <c r="DP2" s="892">
        <f t="shared" si="4"/>
        <v>51</v>
      </c>
      <c r="DQ2" s="892">
        <f t="shared" si="4"/>
        <v>52</v>
      </c>
      <c r="DR2" s="892">
        <f t="shared" ref="DR2" si="5">DQ2+1</f>
        <v>53</v>
      </c>
      <c r="DS2" s="892">
        <f t="shared" ref="DS2" si="6">DR2+1</f>
        <v>54</v>
      </c>
      <c r="DU2" s="892">
        <f>BN2+1</f>
        <v>33</v>
      </c>
      <c r="DV2" s="892">
        <f t="shared" ref="DV2:EP2" si="7">DU2+1</f>
        <v>34</v>
      </c>
      <c r="DW2" s="892">
        <f t="shared" si="7"/>
        <v>35</v>
      </c>
      <c r="DX2" s="892">
        <f t="shared" si="7"/>
        <v>36</v>
      </c>
      <c r="DY2" s="892">
        <f t="shared" si="7"/>
        <v>37</v>
      </c>
      <c r="DZ2" s="892">
        <f t="shared" si="7"/>
        <v>38</v>
      </c>
      <c r="EA2" s="892">
        <f t="shared" si="7"/>
        <v>39</v>
      </c>
      <c r="EB2" s="892">
        <f t="shared" si="7"/>
        <v>40</v>
      </c>
      <c r="EC2" s="892">
        <f t="shared" si="7"/>
        <v>41</v>
      </c>
      <c r="ED2" s="892">
        <f t="shared" si="7"/>
        <v>42</v>
      </c>
      <c r="EE2" s="892">
        <f t="shared" si="7"/>
        <v>43</v>
      </c>
      <c r="EF2" s="892">
        <f t="shared" si="7"/>
        <v>44</v>
      </c>
      <c r="EG2" s="892">
        <f t="shared" si="7"/>
        <v>45</v>
      </c>
      <c r="EH2" s="892">
        <f t="shared" si="7"/>
        <v>46</v>
      </c>
      <c r="EI2" s="892">
        <f t="shared" si="7"/>
        <v>47</v>
      </c>
      <c r="EJ2" s="892">
        <f t="shared" si="7"/>
        <v>48</v>
      </c>
      <c r="EK2" s="892">
        <f t="shared" si="7"/>
        <v>49</v>
      </c>
      <c r="EL2" s="892">
        <f t="shared" si="7"/>
        <v>50</v>
      </c>
      <c r="EM2" s="892">
        <f t="shared" si="7"/>
        <v>51</v>
      </c>
      <c r="EN2" s="892">
        <f t="shared" si="7"/>
        <v>52</v>
      </c>
      <c r="EO2" s="892">
        <f t="shared" si="7"/>
        <v>53</v>
      </c>
      <c r="EP2" s="892">
        <f t="shared" si="7"/>
        <v>54</v>
      </c>
      <c r="ER2" s="1561">
        <f>CT2+1</f>
        <v>33</v>
      </c>
      <c r="ES2" s="1559">
        <f>ER2+1</f>
        <v>34</v>
      </c>
      <c r="ET2" s="1559">
        <f>ES2+1</f>
        <v>35</v>
      </c>
      <c r="EU2" s="1559">
        <f t="shared" ref="EU2:FB2" si="8">ET2+1</f>
        <v>36</v>
      </c>
      <c r="EV2" s="1559">
        <f t="shared" si="8"/>
        <v>37</v>
      </c>
      <c r="EW2" s="1559">
        <f t="shared" si="8"/>
        <v>38</v>
      </c>
      <c r="EX2" s="1559">
        <f t="shared" si="8"/>
        <v>39</v>
      </c>
      <c r="EY2" s="1559">
        <f t="shared" si="8"/>
        <v>40</v>
      </c>
      <c r="EZ2" s="1559">
        <f t="shared" si="8"/>
        <v>41</v>
      </c>
      <c r="FA2" s="1559">
        <f t="shared" si="8"/>
        <v>42</v>
      </c>
      <c r="FB2" s="1559">
        <f t="shared" si="8"/>
        <v>43</v>
      </c>
      <c r="FC2" s="1559">
        <f t="shared" ref="FC2:FM2" si="9">FB2+1</f>
        <v>44</v>
      </c>
      <c r="FD2" s="1559">
        <f t="shared" si="9"/>
        <v>45</v>
      </c>
      <c r="FE2" s="1559">
        <f t="shared" si="9"/>
        <v>46</v>
      </c>
      <c r="FF2" s="1559">
        <f t="shared" si="9"/>
        <v>47</v>
      </c>
      <c r="FG2" s="1559">
        <f t="shared" si="9"/>
        <v>48</v>
      </c>
      <c r="FH2" s="1559">
        <f t="shared" si="9"/>
        <v>49</v>
      </c>
      <c r="FI2" s="1559">
        <f t="shared" si="9"/>
        <v>50</v>
      </c>
      <c r="FJ2" s="1559">
        <f t="shared" si="9"/>
        <v>51</v>
      </c>
      <c r="FK2" s="1559">
        <f t="shared" si="9"/>
        <v>52</v>
      </c>
      <c r="FL2" s="1559">
        <f t="shared" si="9"/>
        <v>53</v>
      </c>
      <c r="FM2" s="1559">
        <f t="shared" si="9"/>
        <v>54</v>
      </c>
    </row>
    <row r="3" spans="1:169" ht="40.200000000000003" customHeight="1" thickBot="1">
      <c r="A3" s="899">
        <f>ROWS($A$1:A3)</f>
        <v>3</v>
      </c>
      <c r="B3" s="1002">
        <f>'SDK1'!D5</f>
        <v>45901</v>
      </c>
      <c r="C3" s="892"/>
      <c r="D3" s="1001" t="str">
        <f t="shared" ref="D3:AG3" si="10">D2&amp;"n"</f>
        <v>2n</v>
      </c>
      <c r="E3" s="1001" t="str">
        <f t="shared" si="10"/>
        <v>3n</v>
      </c>
      <c r="F3" s="1001" t="str">
        <f t="shared" si="10"/>
        <v>4n</v>
      </c>
      <c r="G3" s="1001" t="str">
        <f t="shared" si="10"/>
        <v>5n</v>
      </c>
      <c r="H3" s="1001" t="str">
        <f t="shared" si="10"/>
        <v>6n</v>
      </c>
      <c r="I3" s="1001" t="str">
        <f t="shared" si="10"/>
        <v>7n</v>
      </c>
      <c r="J3" s="1001" t="str">
        <f t="shared" si="10"/>
        <v>8n</v>
      </c>
      <c r="K3" s="1001" t="str">
        <f t="shared" si="10"/>
        <v>9n</v>
      </c>
      <c r="L3" s="1001" t="str">
        <f t="shared" si="10"/>
        <v>10n</v>
      </c>
      <c r="M3" s="1001" t="str">
        <f t="shared" si="10"/>
        <v>11n</v>
      </c>
      <c r="N3" s="1001" t="str">
        <f t="shared" si="10"/>
        <v>12n</v>
      </c>
      <c r="O3" s="1001" t="str">
        <f t="shared" si="10"/>
        <v>13n</v>
      </c>
      <c r="P3" s="1001" t="str">
        <f t="shared" si="10"/>
        <v>14n</v>
      </c>
      <c r="Q3" s="1001" t="str">
        <f t="shared" si="10"/>
        <v>15n</v>
      </c>
      <c r="R3" s="1001" t="str">
        <f t="shared" si="10"/>
        <v>16n</v>
      </c>
      <c r="S3" s="1001" t="str">
        <f t="shared" si="10"/>
        <v>17n</v>
      </c>
      <c r="T3" s="1001" t="str">
        <f t="shared" si="10"/>
        <v>18n</v>
      </c>
      <c r="U3" s="1001" t="str">
        <f t="shared" si="10"/>
        <v>19n</v>
      </c>
      <c r="V3" s="1001" t="str">
        <f t="shared" si="10"/>
        <v>20n</v>
      </c>
      <c r="W3" s="1001" t="str">
        <f t="shared" si="10"/>
        <v>21n</v>
      </c>
      <c r="X3" s="1001" t="str">
        <f t="shared" si="10"/>
        <v>22n</v>
      </c>
      <c r="Y3" s="1001" t="str">
        <f t="shared" si="10"/>
        <v>23n</v>
      </c>
      <c r="Z3" s="1001" t="str">
        <f t="shared" si="10"/>
        <v>24n</v>
      </c>
      <c r="AA3" s="1001" t="str">
        <f t="shared" si="10"/>
        <v>25n</v>
      </c>
      <c r="AB3" s="1001" t="str">
        <f t="shared" si="10"/>
        <v>26n</v>
      </c>
      <c r="AC3" s="1001" t="str">
        <f t="shared" si="10"/>
        <v>27n</v>
      </c>
      <c r="AD3" s="1001" t="str">
        <f t="shared" si="10"/>
        <v>28n</v>
      </c>
      <c r="AE3" s="1001" t="str">
        <f t="shared" si="10"/>
        <v>29n</v>
      </c>
      <c r="AF3" s="1001" t="str">
        <f t="shared" si="10"/>
        <v>30n</v>
      </c>
      <c r="AG3" s="1001" t="str">
        <f t="shared" si="10"/>
        <v>31n</v>
      </c>
      <c r="AH3" s="1001" t="str">
        <f>AH2&amp;"n"</f>
        <v>32n</v>
      </c>
      <c r="AI3" s="2921"/>
      <c r="AJ3" s="1001" t="str">
        <f t="shared" ref="AJ3:BN3" si="11">AJ2&amp; "m"</f>
        <v>2m</v>
      </c>
      <c r="AK3" s="1001" t="str">
        <f t="shared" si="11"/>
        <v>3m</v>
      </c>
      <c r="AL3" s="1001" t="str">
        <f t="shared" si="11"/>
        <v>4m</v>
      </c>
      <c r="AM3" s="1001" t="str">
        <f t="shared" si="11"/>
        <v>5m</v>
      </c>
      <c r="AN3" s="1001" t="str">
        <f t="shared" si="11"/>
        <v>6m</v>
      </c>
      <c r="AO3" s="1001" t="str">
        <f t="shared" si="11"/>
        <v>7m</v>
      </c>
      <c r="AP3" s="1001" t="str">
        <f t="shared" si="11"/>
        <v>8m</v>
      </c>
      <c r="AQ3" s="1001" t="str">
        <f t="shared" si="11"/>
        <v>9m</v>
      </c>
      <c r="AR3" s="1001" t="str">
        <f t="shared" si="11"/>
        <v>10m</v>
      </c>
      <c r="AS3" s="1001" t="str">
        <f t="shared" si="11"/>
        <v>11m</v>
      </c>
      <c r="AT3" s="1001" t="str">
        <f t="shared" si="11"/>
        <v>12m</v>
      </c>
      <c r="AU3" s="1001" t="str">
        <f t="shared" si="11"/>
        <v>13m</v>
      </c>
      <c r="AV3" s="1001" t="str">
        <f t="shared" si="11"/>
        <v>14m</v>
      </c>
      <c r="AW3" s="1001" t="str">
        <f t="shared" si="11"/>
        <v>15m</v>
      </c>
      <c r="AX3" s="1001" t="str">
        <f t="shared" si="11"/>
        <v>16m</v>
      </c>
      <c r="AY3" s="1001" t="str">
        <f t="shared" si="11"/>
        <v>17m</v>
      </c>
      <c r="AZ3" s="1001" t="str">
        <f t="shared" si="11"/>
        <v>18m</v>
      </c>
      <c r="BA3" s="1001" t="str">
        <f t="shared" si="11"/>
        <v>19m</v>
      </c>
      <c r="BB3" s="1001" t="str">
        <f t="shared" si="11"/>
        <v>20m</v>
      </c>
      <c r="BC3" s="1001" t="str">
        <f t="shared" si="11"/>
        <v>21m</v>
      </c>
      <c r="BD3" s="1001" t="str">
        <f t="shared" si="11"/>
        <v>22m</v>
      </c>
      <c r="BE3" s="1001" t="str">
        <f t="shared" si="11"/>
        <v>23m</v>
      </c>
      <c r="BF3" s="1001" t="str">
        <f t="shared" si="11"/>
        <v>24m</v>
      </c>
      <c r="BG3" s="1001" t="str">
        <f t="shared" si="11"/>
        <v>25m</v>
      </c>
      <c r="BH3" s="1001" t="str">
        <f t="shared" si="11"/>
        <v>26m</v>
      </c>
      <c r="BI3" s="1001" t="str">
        <f t="shared" si="11"/>
        <v>27m</v>
      </c>
      <c r="BJ3" s="1001" t="str">
        <f t="shared" si="11"/>
        <v>28m</v>
      </c>
      <c r="BK3" s="1001" t="str">
        <f t="shared" si="11"/>
        <v>29m</v>
      </c>
      <c r="BL3" s="1001" t="str">
        <f t="shared" si="11"/>
        <v>30m</v>
      </c>
      <c r="BM3" s="1001" t="str">
        <f t="shared" si="11"/>
        <v>31m</v>
      </c>
      <c r="BN3" s="1001" t="str">
        <f t="shared" si="11"/>
        <v>32m</v>
      </c>
      <c r="BO3" s="2921"/>
      <c r="BP3" s="1001" t="str">
        <f t="shared" ref="BP3:CT3" si="12">BP2&amp; "h"</f>
        <v>2h</v>
      </c>
      <c r="BQ3" s="1001" t="str">
        <f t="shared" si="12"/>
        <v>3h</v>
      </c>
      <c r="BR3" s="1001" t="str">
        <f t="shared" si="12"/>
        <v>4h</v>
      </c>
      <c r="BS3" s="1001" t="str">
        <f t="shared" si="12"/>
        <v>5h</v>
      </c>
      <c r="BT3" s="1001" t="str">
        <f t="shared" si="12"/>
        <v>6h</v>
      </c>
      <c r="BU3" s="1001" t="str">
        <f t="shared" si="12"/>
        <v>7h</v>
      </c>
      <c r="BV3" s="1001" t="str">
        <f t="shared" si="12"/>
        <v>8h</v>
      </c>
      <c r="BW3" s="1001" t="str">
        <f t="shared" si="12"/>
        <v>9h</v>
      </c>
      <c r="BX3" s="1001" t="str">
        <f t="shared" si="12"/>
        <v>10h</v>
      </c>
      <c r="BY3" s="1001" t="str">
        <f t="shared" si="12"/>
        <v>11h</v>
      </c>
      <c r="BZ3" s="1001" t="str">
        <f t="shared" si="12"/>
        <v>12h</v>
      </c>
      <c r="CA3" s="1001" t="str">
        <f t="shared" si="12"/>
        <v>13h</v>
      </c>
      <c r="CB3" s="1001" t="str">
        <f t="shared" si="12"/>
        <v>14h</v>
      </c>
      <c r="CC3" s="1001" t="str">
        <f t="shared" si="12"/>
        <v>15h</v>
      </c>
      <c r="CD3" s="1001" t="str">
        <f t="shared" si="12"/>
        <v>16h</v>
      </c>
      <c r="CE3" s="1001" t="str">
        <f t="shared" si="12"/>
        <v>17h</v>
      </c>
      <c r="CF3" s="1001" t="str">
        <f t="shared" si="12"/>
        <v>18h</v>
      </c>
      <c r="CG3" s="1001" t="str">
        <f t="shared" si="12"/>
        <v>19h</v>
      </c>
      <c r="CH3" s="1001" t="str">
        <f t="shared" si="12"/>
        <v>20h</v>
      </c>
      <c r="CI3" s="1001" t="str">
        <f t="shared" si="12"/>
        <v>21h</v>
      </c>
      <c r="CJ3" s="1001" t="str">
        <f t="shared" si="12"/>
        <v>22h</v>
      </c>
      <c r="CK3" s="1001" t="str">
        <f t="shared" si="12"/>
        <v>23h</v>
      </c>
      <c r="CL3" s="1001" t="str">
        <f t="shared" si="12"/>
        <v>24h</v>
      </c>
      <c r="CM3" s="1001" t="str">
        <f t="shared" si="12"/>
        <v>25h</v>
      </c>
      <c r="CN3" s="1001" t="str">
        <f t="shared" si="12"/>
        <v>26h</v>
      </c>
      <c r="CO3" s="1001" t="str">
        <f t="shared" si="12"/>
        <v>27h</v>
      </c>
      <c r="CP3" s="1001" t="str">
        <f t="shared" si="12"/>
        <v>28h</v>
      </c>
      <c r="CQ3" s="1001" t="str">
        <f t="shared" si="12"/>
        <v>29h</v>
      </c>
      <c r="CR3" s="1001" t="str">
        <f t="shared" si="12"/>
        <v>30h</v>
      </c>
      <c r="CS3" s="1001" t="str">
        <f t="shared" si="12"/>
        <v>31h</v>
      </c>
      <c r="CT3" s="1001" t="str">
        <f t="shared" si="12"/>
        <v>32h</v>
      </c>
      <c r="CV3" s="2382"/>
      <c r="CW3" s="1560"/>
      <c r="CX3" s="1001" t="str">
        <f>CX2&amp;"n"</f>
        <v>33n</v>
      </c>
      <c r="CY3" s="1001" t="str">
        <f>CY2&amp;"n"</f>
        <v>34n</v>
      </c>
      <c r="CZ3" s="1001" t="str">
        <f t="shared" ref="CZ3:DF3" si="13">CZ2&amp;"n"</f>
        <v>35n</v>
      </c>
      <c r="DA3" s="1001" t="str">
        <f t="shared" si="13"/>
        <v>36n</v>
      </c>
      <c r="DB3" s="1001" t="str">
        <f t="shared" si="13"/>
        <v>37n</v>
      </c>
      <c r="DC3" s="1001" t="str">
        <f t="shared" si="13"/>
        <v>38n</v>
      </c>
      <c r="DD3" s="1001" t="str">
        <f t="shared" si="13"/>
        <v>39n</v>
      </c>
      <c r="DE3" s="1001" t="str">
        <f t="shared" si="13"/>
        <v>40n</v>
      </c>
      <c r="DF3" s="1001" t="str">
        <f t="shared" si="13"/>
        <v>41n</v>
      </c>
      <c r="DG3" s="1001" t="str">
        <f t="shared" ref="DG3:DS3" si="14">DG2&amp;"n"</f>
        <v>42n</v>
      </c>
      <c r="DH3" s="1001" t="str">
        <f t="shared" si="14"/>
        <v>43n</v>
      </c>
      <c r="DI3" s="1001" t="str">
        <f t="shared" si="14"/>
        <v>44n</v>
      </c>
      <c r="DJ3" s="1001" t="str">
        <f t="shared" si="14"/>
        <v>45n</v>
      </c>
      <c r="DK3" s="1001" t="str">
        <f t="shared" si="14"/>
        <v>46n</v>
      </c>
      <c r="DL3" s="1001" t="str">
        <f t="shared" si="14"/>
        <v>47n</v>
      </c>
      <c r="DM3" s="1001" t="str">
        <f t="shared" si="14"/>
        <v>48n</v>
      </c>
      <c r="DN3" s="1001" t="str">
        <f t="shared" si="14"/>
        <v>49n</v>
      </c>
      <c r="DO3" s="1001" t="str">
        <f t="shared" si="14"/>
        <v>50n</v>
      </c>
      <c r="DP3" s="1001" t="str">
        <f t="shared" si="14"/>
        <v>51n</v>
      </c>
      <c r="DQ3" s="1001" t="str">
        <f t="shared" si="14"/>
        <v>52n</v>
      </c>
      <c r="DR3" s="1001" t="str">
        <f t="shared" si="14"/>
        <v>53n</v>
      </c>
      <c r="DS3" s="1001" t="str">
        <f t="shared" si="14"/>
        <v>54n</v>
      </c>
      <c r="DT3" s="2191"/>
      <c r="DU3" s="1001" t="str">
        <f>DU2&amp;"m"</f>
        <v>33m</v>
      </c>
      <c r="DV3" s="1001" t="str">
        <f>DV2&amp;"m"</f>
        <v>34m</v>
      </c>
      <c r="DW3" s="1001" t="str">
        <f t="shared" ref="DW3:EP3" si="15">DW2&amp;"m"</f>
        <v>35m</v>
      </c>
      <c r="DX3" s="1001" t="str">
        <f>DX2&amp;"m"</f>
        <v>36m</v>
      </c>
      <c r="DY3" s="1001" t="str">
        <f>DY2&amp;"m"</f>
        <v>37m</v>
      </c>
      <c r="DZ3" s="1001" t="str">
        <f>DZ2&amp;"m"</f>
        <v>38m</v>
      </c>
      <c r="EA3" s="1001" t="str">
        <f t="shared" si="15"/>
        <v>39m</v>
      </c>
      <c r="EB3" s="1001" t="str">
        <f t="shared" si="15"/>
        <v>40m</v>
      </c>
      <c r="EC3" s="1001" t="str">
        <f t="shared" si="15"/>
        <v>41m</v>
      </c>
      <c r="ED3" s="1001" t="str">
        <f t="shared" si="15"/>
        <v>42m</v>
      </c>
      <c r="EE3" s="1001" t="str">
        <f t="shared" si="15"/>
        <v>43m</v>
      </c>
      <c r="EF3" s="1001" t="str">
        <f t="shared" si="15"/>
        <v>44m</v>
      </c>
      <c r="EG3" s="1001" t="str">
        <f t="shared" si="15"/>
        <v>45m</v>
      </c>
      <c r="EH3" s="1001" t="str">
        <f t="shared" si="15"/>
        <v>46m</v>
      </c>
      <c r="EI3" s="1001" t="str">
        <f t="shared" si="15"/>
        <v>47m</v>
      </c>
      <c r="EJ3" s="1001" t="str">
        <f t="shared" si="15"/>
        <v>48m</v>
      </c>
      <c r="EK3" s="1001" t="str">
        <f t="shared" si="15"/>
        <v>49m</v>
      </c>
      <c r="EL3" s="1001" t="str">
        <f t="shared" si="15"/>
        <v>50m</v>
      </c>
      <c r="EM3" s="1001" t="str">
        <f t="shared" si="15"/>
        <v>51m</v>
      </c>
      <c r="EN3" s="1001" t="str">
        <f t="shared" si="15"/>
        <v>52m</v>
      </c>
      <c r="EO3" s="1001" t="str">
        <f>EO2&amp;"m"</f>
        <v>53m</v>
      </c>
      <c r="EP3" s="1001" t="str">
        <f t="shared" si="15"/>
        <v>54m</v>
      </c>
      <c r="EQ3" s="2191"/>
      <c r="ER3" s="1001" t="str">
        <f>ER2&amp;"h"</f>
        <v>33h</v>
      </c>
      <c r="ES3" s="1001" t="str">
        <f t="shared" ref="ES3:FM3" si="16">ES2&amp;"h"</f>
        <v>34h</v>
      </c>
      <c r="ET3" s="1001" t="str">
        <f t="shared" si="16"/>
        <v>35h</v>
      </c>
      <c r="EU3" s="1001" t="str">
        <f t="shared" si="16"/>
        <v>36h</v>
      </c>
      <c r="EV3" s="1001" t="str">
        <f t="shared" si="16"/>
        <v>37h</v>
      </c>
      <c r="EW3" s="1001" t="str">
        <f t="shared" si="16"/>
        <v>38h</v>
      </c>
      <c r="EX3" s="1001" t="str">
        <f t="shared" si="16"/>
        <v>39h</v>
      </c>
      <c r="EY3" s="1001" t="str">
        <f t="shared" si="16"/>
        <v>40h</v>
      </c>
      <c r="EZ3" s="1001" t="str">
        <f t="shared" si="16"/>
        <v>41h</v>
      </c>
      <c r="FA3" s="1001" t="str">
        <f t="shared" si="16"/>
        <v>42h</v>
      </c>
      <c r="FB3" s="1001" t="str">
        <f t="shared" si="16"/>
        <v>43h</v>
      </c>
      <c r="FC3" s="1001" t="str">
        <f t="shared" si="16"/>
        <v>44h</v>
      </c>
      <c r="FD3" s="1001" t="str">
        <f t="shared" si="16"/>
        <v>45h</v>
      </c>
      <c r="FE3" s="1001" t="str">
        <f t="shared" si="16"/>
        <v>46h</v>
      </c>
      <c r="FF3" s="1001" t="str">
        <f t="shared" si="16"/>
        <v>47h</v>
      </c>
      <c r="FG3" s="1001" t="str">
        <f t="shared" si="16"/>
        <v>48h</v>
      </c>
      <c r="FH3" s="1001" t="str">
        <f t="shared" si="16"/>
        <v>49h</v>
      </c>
      <c r="FI3" s="1001" t="str">
        <f t="shared" si="16"/>
        <v>50h</v>
      </c>
      <c r="FJ3" s="1001" t="str">
        <f t="shared" si="16"/>
        <v>51h</v>
      </c>
      <c r="FK3" s="1001" t="str">
        <f t="shared" si="16"/>
        <v>52h</v>
      </c>
      <c r="FL3" s="1001" t="str">
        <f t="shared" si="16"/>
        <v>53h</v>
      </c>
      <c r="FM3" s="1001" t="str">
        <f t="shared" si="16"/>
        <v>54h</v>
      </c>
    </row>
    <row r="4" spans="1:169" s="997" customFormat="1" ht="30.45" customHeight="1">
      <c r="A4" s="899">
        <f>ROWS($A$1:A4)</f>
        <v>4</v>
      </c>
      <c r="B4" s="1000" t="s">
        <v>832</v>
      </c>
      <c r="C4" s="999"/>
      <c r="D4" s="998" t="str">
        <f>'WW1'!$K$2</f>
        <v>Winterweizen (Futter-)</v>
      </c>
      <c r="E4" s="998" t="str">
        <f ca="1">INDIRECT("'"&amp;E65&amp;"'!$K$2")</f>
        <v>Winterweizen (Brot-)</v>
      </c>
      <c r="F4" s="998" t="str">
        <f t="shared" ref="F4:BQ4" ca="1" si="17">INDIRECT("'"&amp;F65&amp;"'!$K$2")</f>
        <v>Winterweizen (Aufmisch-; A-Sort.)</v>
      </c>
      <c r="G4" s="998" t="str">
        <f t="shared" ca="1" si="17"/>
        <v>Winterweizen (Qualität-; E-Sorte)</v>
      </c>
      <c r="H4" s="998" t="str">
        <f t="shared" ca="1" si="17"/>
        <v>Winterroggen</v>
      </c>
      <c r="I4" s="998" t="str">
        <f t="shared" ca="1" si="17"/>
        <v>Triticale</v>
      </c>
      <c r="J4" s="998" t="str">
        <f t="shared" ca="1" si="17"/>
        <v>Wintergerste</v>
      </c>
      <c r="K4" s="998" t="str">
        <f t="shared" ca="1" si="17"/>
        <v>Dinkel</v>
      </c>
      <c r="L4" s="998" t="str">
        <f t="shared" ca="1" si="17"/>
        <v xml:space="preserve">Sommerweizen </v>
      </c>
      <c r="M4" s="998" t="str">
        <f t="shared" ca="1" si="17"/>
        <v xml:space="preserve">Sommerfuttergerste </v>
      </c>
      <c r="N4" s="998" t="str">
        <f t="shared" ca="1" si="17"/>
        <v>Braugerste</v>
      </c>
      <c r="O4" s="998" t="str">
        <f t="shared" ca="1" si="17"/>
        <v xml:space="preserve">Hafer </v>
      </c>
      <c r="P4" s="998" t="str">
        <f t="shared" ca="1" si="17"/>
        <v>Durum</v>
      </c>
      <c r="Q4" s="998" t="str">
        <f t="shared" ca="1" si="17"/>
        <v xml:space="preserve">Körnermais </v>
      </c>
      <c r="R4" s="998" t="str">
        <f t="shared" ca="1" si="17"/>
        <v>Körnerhirse (Lebens-/Futtermittel)</v>
      </c>
      <c r="S4" s="998" t="str">
        <f t="shared" ca="1" si="17"/>
        <v>Winterraps</v>
      </c>
      <c r="T4" s="998" t="str">
        <f t="shared" ca="1" si="17"/>
        <v xml:space="preserve">Sommerraps </v>
      </c>
      <c r="U4" s="998" t="str">
        <f ca="1">INDIRECT("'"&amp;U65&amp;"'!$K$2")</f>
        <v xml:space="preserve">Sonnenblumen </v>
      </c>
      <c r="V4" s="998" t="str">
        <f t="shared" ca="1" si="17"/>
        <v xml:space="preserve">Sojabohne </v>
      </c>
      <c r="W4" s="998" t="str">
        <f t="shared" ca="1" si="17"/>
        <v xml:space="preserve">Öllein (Industrie) </v>
      </c>
      <c r="X4" s="998" t="str">
        <f t="shared" ca="1" si="17"/>
        <v xml:space="preserve">Futtererbsen </v>
      </c>
      <c r="Y4" s="998" t="str">
        <f t="shared" ca="1" si="17"/>
        <v xml:space="preserve">Ackerbohnen </v>
      </c>
      <c r="Z4" s="998" t="str">
        <f t="shared" ca="1" si="17"/>
        <v xml:space="preserve">Blaue Lupine </v>
      </c>
      <c r="AA4" s="998" t="str">
        <f t="shared" ca="1" si="17"/>
        <v xml:space="preserve">Zuckerrüben </v>
      </c>
      <c r="AB4" s="998" t="str">
        <f t="shared" ca="1" si="17"/>
        <v>Frühkartoffeln</v>
      </c>
      <c r="AC4" s="998" t="str">
        <f t="shared" ca="1" si="17"/>
        <v>Frühkartoffeln, Folie, beregnet</v>
      </c>
      <c r="AD4" s="998" t="str">
        <f t="shared" ca="1" si="17"/>
        <v>Speisekartoffeln spät</v>
      </c>
      <c r="AE4" s="998" t="str">
        <f t="shared" ca="1" si="17"/>
        <v>Speisekartoffeln spät, beregnet</v>
      </c>
      <c r="AF4" s="998" t="str">
        <f t="shared" ca="1" si="17"/>
        <v>Kultur A</v>
      </c>
      <c r="AG4" s="998" t="str">
        <f ca="1">INDIRECT("'"&amp;AG65&amp;"'!$K$2")</f>
        <v>FAKT - Brachebegrünung</v>
      </c>
      <c r="AH4" s="998" t="str">
        <f t="shared" ca="1" si="17"/>
        <v>Begrünung</v>
      </c>
      <c r="AI4" s="2924"/>
      <c r="AJ4" s="998" t="str">
        <f t="shared" ca="1" si="17"/>
        <v>Winterweizen (Futter-)</v>
      </c>
      <c r="AK4" s="998" t="str">
        <f t="shared" ca="1" si="17"/>
        <v>Winterweizen (Brot-)</v>
      </c>
      <c r="AL4" s="998" t="str">
        <f t="shared" ca="1" si="17"/>
        <v>Winterweizen (Aufmisch-; A-Sort.)</v>
      </c>
      <c r="AM4" s="998" t="str">
        <f t="shared" ca="1" si="17"/>
        <v>Winterweizen (Qualität-; E-Sorte)</v>
      </c>
      <c r="AN4" s="998" t="str">
        <f t="shared" ca="1" si="17"/>
        <v>Winterroggen</v>
      </c>
      <c r="AO4" s="998" t="str">
        <f t="shared" ca="1" si="17"/>
        <v>Triticale</v>
      </c>
      <c r="AP4" s="998" t="str">
        <f t="shared" ca="1" si="17"/>
        <v>Wintergerste</v>
      </c>
      <c r="AQ4" s="998" t="str">
        <f t="shared" ca="1" si="17"/>
        <v>Dinkel</v>
      </c>
      <c r="AR4" s="998" t="str">
        <f t="shared" ca="1" si="17"/>
        <v xml:space="preserve">Sommerweizen </v>
      </c>
      <c r="AS4" s="998" t="str">
        <f t="shared" ca="1" si="17"/>
        <v xml:space="preserve">Sommerfuttergerste </v>
      </c>
      <c r="AT4" s="998" t="str">
        <f t="shared" ca="1" si="17"/>
        <v>Braugerste</v>
      </c>
      <c r="AU4" s="998" t="str">
        <f t="shared" ca="1" si="17"/>
        <v xml:space="preserve">Hafer </v>
      </c>
      <c r="AV4" s="998" t="str">
        <f t="shared" ca="1" si="17"/>
        <v>Durum</v>
      </c>
      <c r="AW4" s="998" t="str">
        <f t="shared" ca="1" si="17"/>
        <v xml:space="preserve">Körnermais </v>
      </c>
      <c r="AX4" s="998" t="str">
        <f t="shared" ca="1" si="17"/>
        <v>Körnerhirse (Lebens-/Futtermittel)</v>
      </c>
      <c r="AY4" s="998" t="str">
        <f t="shared" ca="1" si="17"/>
        <v>Winterraps</v>
      </c>
      <c r="AZ4" s="998" t="str">
        <f t="shared" ca="1" si="17"/>
        <v xml:space="preserve">Sommerraps </v>
      </c>
      <c r="BA4" s="998" t="str">
        <f t="shared" ca="1" si="17"/>
        <v xml:space="preserve">Sonnenblumen </v>
      </c>
      <c r="BB4" s="998" t="str">
        <f t="shared" ca="1" si="17"/>
        <v xml:space="preserve">Sojabohne </v>
      </c>
      <c r="BC4" s="998" t="str">
        <f t="shared" ca="1" si="17"/>
        <v xml:space="preserve">Öllein (Industrie) </v>
      </c>
      <c r="BD4" s="998" t="str">
        <f t="shared" ca="1" si="17"/>
        <v xml:space="preserve">Futtererbsen </v>
      </c>
      <c r="BE4" s="998" t="str">
        <f t="shared" ca="1" si="17"/>
        <v xml:space="preserve">Ackerbohnen </v>
      </c>
      <c r="BF4" s="998" t="str">
        <f t="shared" ca="1" si="17"/>
        <v xml:space="preserve">Blaue Lupine </v>
      </c>
      <c r="BG4" s="998" t="str">
        <f t="shared" ca="1" si="17"/>
        <v xml:space="preserve">Zuckerrüben </v>
      </c>
      <c r="BH4" s="998" t="str">
        <f t="shared" ca="1" si="17"/>
        <v>Frühkartoffeln</v>
      </c>
      <c r="BI4" s="998" t="str">
        <f t="shared" ca="1" si="17"/>
        <v>Frühkartoffeln, Folie, beregnet</v>
      </c>
      <c r="BJ4" s="998" t="str">
        <f t="shared" ca="1" si="17"/>
        <v>Speisekartoffeln spät</v>
      </c>
      <c r="BK4" s="998" t="str">
        <f t="shared" ca="1" si="17"/>
        <v>Speisekartoffeln spät, beregnet</v>
      </c>
      <c r="BL4" s="998" t="str">
        <f t="shared" ca="1" si="17"/>
        <v>Kultur A</v>
      </c>
      <c r="BM4" s="998" t="str">
        <f ca="1">INDIRECT("'"&amp;BM65&amp;"'!$K$2")</f>
        <v>FAKT - Brachebegrünung</v>
      </c>
      <c r="BN4" s="998" t="str">
        <f t="shared" ca="1" si="17"/>
        <v>Begrünung</v>
      </c>
      <c r="BO4" s="2920"/>
      <c r="BP4" s="998" t="str">
        <f t="shared" ca="1" si="17"/>
        <v>Winterweizen (Futter-)</v>
      </c>
      <c r="BQ4" s="998" t="str">
        <f t="shared" ca="1" si="17"/>
        <v>Winterweizen (Brot-)</v>
      </c>
      <c r="BR4" s="998" t="str">
        <f t="shared" ref="BR4:CT4" ca="1" si="18">INDIRECT("'"&amp;BR65&amp;"'!$K$2")</f>
        <v>Winterweizen (Aufmisch-; A-Sort.)</v>
      </c>
      <c r="BS4" s="998" t="str">
        <f t="shared" ca="1" si="18"/>
        <v>Winterweizen (Qualität-; E-Sorte)</v>
      </c>
      <c r="BT4" s="998" t="str">
        <f t="shared" ca="1" si="18"/>
        <v>Winterroggen</v>
      </c>
      <c r="BU4" s="998" t="str">
        <f t="shared" ca="1" si="18"/>
        <v>Triticale</v>
      </c>
      <c r="BV4" s="998" t="str">
        <f t="shared" ca="1" si="18"/>
        <v>Wintergerste</v>
      </c>
      <c r="BW4" s="998" t="str">
        <f t="shared" ca="1" si="18"/>
        <v>Dinkel</v>
      </c>
      <c r="BX4" s="998" t="str">
        <f t="shared" ca="1" si="18"/>
        <v xml:space="preserve">Sommerweizen </v>
      </c>
      <c r="BY4" s="998" t="str">
        <f t="shared" ca="1" si="18"/>
        <v xml:space="preserve">Sommerfuttergerste </v>
      </c>
      <c r="BZ4" s="998" t="str">
        <f t="shared" ca="1" si="18"/>
        <v>Braugerste</v>
      </c>
      <c r="CA4" s="998" t="str">
        <f t="shared" ca="1" si="18"/>
        <v xml:space="preserve">Hafer </v>
      </c>
      <c r="CB4" s="998" t="str">
        <f t="shared" ca="1" si="18"/>
        <v>Durum</v>
      </c>
      <c r="CC4" s="998" t="str">
        <f t="shared" ca="1" si="18"/>
        <v xml:space="preserve">Körnermais </v>
      </c>
      <c r="CD4" s="998" t="str">
        <f t="shared" ca="1" si="18"/>
        <v>Körnerhirse (Lebens-/Futtermittel)</v>
      </c>
      <c r="CE4" s="998" t="str">
        <f t="shared" ca="1" si="18"/>
        <v>Winterraps</v>
      </c>
      <c r="CF4" s="998" t="str">
        <f t="shared" ca="1" si="18"/>
        <v xml:space="preserve">Sommerraps </v>
      </c>
      <c r="CG4" s="998" t="str">
        <f t="shared" ca="1" si="18"/>
        <v xml:space="preserve">Sonnenblumen </v>
      </c>
      <c r="CH4" s="998" t="str">
        <f t="shared" ca="1" si="18"/>
        <v xml:space="preserve">Sojabohne </v>
      </c>
      <c r="CI4" s="998" t="str">
        <f t="shared" ca="1" si="18"/>
        <v xml:space="preserve">Öllein (Industrie) </v>
      </c>
      <c r="CJ4" s="998" t="str">
        <f t="shared" ca="1" si="18"/>
        <v xml:space="preserve">Futtererbsen </v>
      </c>
      <c r="CK4" s="998" t="str">
        <f t="shared" ca="1" si="18"/>
        <v xml:space="preserve">Ackerbohnen </v>
      </c>
      <c r="CL4" s="998" t="str">
        <f t="shared" ca="1" si="18"/>
        <v xml:space="preserve">Blaue Lupine </v>
      </c>
      <c r="CM4" s="998" t="str">
        <f t="shared" ca="1" si="18"/>
        <v xml:space="preserve">Zuckerrüben </v>
      </c>
      <c r="CN4" s="998" t="str">
        <f t="shared" ca="1" si="18"/>
        <v>Frühkartoffeln</v>
      </c>
      <c r="CO4" s="998" t="str">
        <f t="shared" ca="1" si="18"/>
        <v>Frühkartoffeln, Folie, beregnet</v>
      </c>
      <c r="CP4" s="998" t="str">
        <f t="shared" ca="1" si="18"/>
        <v>Speisekartoffeln spät</v>
      </c>
      <c r="CQ4" s="998" t="str">
        <f t="shared" ca="1" si="18"/>
        <v>Speisekartoffeln spät, beregnet</v>
      </c>
      <c r="CR4" s="998" t="str">
        <f t="shared" ca="1" si="18"/>
        <v>Kultur A</v>
      </c>
      <c r="CS4" s="998" t="str">
        <f t="shared" ca="1" si="18"/>
        <v>FAKT - Brachebegrünung</v>
      </c>
      <c r="CT4" s="998" t="str">
        <f t="shared" ca="1" si="18"/>
        <v>Begrünung</v>
      </c>
      <c r="CV4" s="2383" t="s">
        <v>832</v>
      </c>
      <c r="CW4" s="999"/>
      <c r="CX4" s="998" t="str">
        <f ca="1">INDIRECT(CX65&amp;"!$K$2")</f>
        <v xml:space="preserve">Öko-Kleegras einjährig (70:30) </v>
      </c>
      <c r="CY4" s="998" t="str">
        <f t="shared" ref="CY4:FJ4" ca="1" si="19">INDIRECT(CY65&amp;"!$K$2")</f>
        <v>Öko-Kleegras zweijährig (50:50)</v>
      </c>
      <c r="CZ4" s="998" t="str">
        <f t="shared" ca="1" si="19"/>
        <v>Öko-Luzernegras einjährig (70:30)</v>
      </c>
      <c r="DA4" s="998" t="str">
        <f t="shared" ca="1" si="19"/>
        <v>Öko-Luzernegras zweijährig (50:50)</v>
      </c>
      <c r="DB4" s="998" t="str">
        <f t="shared" ca="1" si="19"/>
        <v>Öko-Winterweizen (Futter)</v>
      </c>
      <c r="DC4" s="998" t="str">
        <f t="shared" ca="1" si="19"/>
        <v>Öko-Winterweizen (Brot)</v>
      </c>
      <c r="DD4" s="998" t="str">
        <f t="shared" ca="1" si="19"/>
        <v>Öko-Dinkel</v>
      </c>
      <c r="DE4" s="998" t="str">
        <f t="shared" ca="1" si="19"/>
        <v>Öko-Dinkel, entspelzt</v>
      </c>
      <c r="DF4" s="998" t="str">
        <f t="shared" ca="1" si="19"/>
        <v>Öko-Winterroggen (Brot)</v>
      </c>
      <c r="DG4" s="998" t="str">
        <f t="shared" ca="1" si="19"/>
        <v>Öko-Hafer</v>
      </c>
      <c r="DH4" s="998" t="str">
        <f t="shared" ca="1" si="19"/>
        <v>Öko-Wintergerste</v>
      </c>
      <c r="DI4" s="998" t="str">
        <f t="shared" ca="1" si="19"/>
        <v>Öko-Braugerste</v>
      </c>
      <c r="DJ4" s="998" t="str">
        <f t="shared" ca="1" si="19"/>
        <v xml:space="preserve">Öko-Körnermais </v>
      </c>
      <c r="DK4" s="998" t="str">
        <f t="shared" ca="1" si="19"/>
        <v xml:space="preserve">Öko-Ackerbohnen </v>
      </c>
      <c r="DL4" s="998" t="str">
        <f t="shared" ca="1" si="19"/>
        <v>Öko-Futtererbsen</v>
      </c>
      <c r="DM4" s="998" t="str">
        <f t="shared" ca="1" si="19"/>
        <v>Öko-Sojabohnen</v>
      </c>
      <c r="DN4" s="998" t="str">
        <f t="shared" ca="1" si="19"/>
        <v>Öko-Sonnenblumen</v>
      </c>
      <c r="DO4" s="998" t="str">
        <f t="shared" ca="1" si="19"/>
        <v>Öko-Winterraps (Ölproduktion)</v>
      </c>
      <c r="DP4" s="998" t="str">
        <f t="shared" ca="1" si="19"/>
        <v>Öko-Speisekartoffeln spät</v>
      </c>
      <c r="DQ4" s="998" t="str">
        <f t="shared" ref="DQ4" ca="1" si="20">INDIRECT(DQ65&amp;"!$K$2")</f>
        <v xml:space="preserve">Öko- Lupine </v>
      </c>
      <c r="DR4" s="998" t="str">
        <f t="shared" ca="1" si="19"/>
        <v>FAKT-Begrünung</v>
      </c>
      <c r="DS4" s="998" t="str">
        <f t="shared" ca="1" si="19"/>
        <v xml:space="preserve">FAKT-Blühmischung </v>
      </c>
      <c r="DT4" s="998"/>
      <c r="DU4" s="998" t="str">
        <f t="shared" ca="1" si="19"/>
        <v xml:space="preserve">Öko-Kleegras einjährig (70:30) </v>
      </c>
      <c r="DV4" s="998" t="str">
        <f t="shared" ca="1" si="19"/>
        <v>Öko-Kleegras zweijährig (50:50)</v>
      </c>
      <c r="DW4" s="998" t="str">
        <f t="shared" ca="1" si="19"/>
        <v>Öko-Luzernegras einjährig (70:30)</v>
      </c>
      <c r="DX4" s="998" t="str">
        <f t="shared" ca="1" si="19"/>
        <v>Öko-Luzernegras zweijährig (50:50)</v>
      </c>
      <c r="DY4" s="998" t="str">
        <f t="shared" ca="1" si="19"/>
        <v>Öko-Winterweizen (Futter)</v>
      </c>
      <c r="DZ4" s="998" t="str">
        <f t="shared" ca="1" si="19"/>
        <v>Öko-Winterweizen (Brot)</v>
      </c>
      <c r="EA4" s="998" t="str">
        <f t="shared" ca="1" si="19"/>
        <v>Öko-Dinkel</v>
      </c>
      <c r="EB4" s="998" t="str">
        <f t="shared" ca="1" si="19"/>
        <v>Öko-Dinkel, entspelzt</v>
      </c>
      <c r="EC4" s="998" t="str">
        <f t="shared" ca="1" si="19"/>
        <v>Öko-Winterroggen (Brot)</v>
      </c>
      <c r="ED4" s="998" t="str">
        <f t="shared" ca="1" si="19"/>
        <v>Öko-Hafer</v>
      </c>
      <c r="EE4" s="998" t="str">
        <f t="shared" ca="1" si="19"/>
        <v>Öko-Wintergerste</v>
      </c>
      <c r="EF4" s="998" t="str">
        <f t="shared" ca="1" si="19"/>
        <v>Öko-Braugerste</v>
      </c>
      <c r="EG4" s="998" t="str">
        <f t="shared" ca="1" si="19"/>
        <v xml:space="preserve">Öko-Körnermais </v>
      </c>
      <c r="EH4" s="998" t="str">
        <f t="shared" ca="1" si="19"/>
        <v xml:space="preserve">Öko-Ackerbohnen </v>
      </c>
      <c r="EI4" s="998" t="str">
        <f t="shared" ca="1" si="19"/>
        <v>Öko-Futtererbsen</v>
      </c>
      <c r="EJ4" s="998" t="str">
        <f t="shared" ca="1" si="19"/>
        <v>Öko-Sojabohnen</v>
      </c>
      <c r="EK4" s="998" t="str">
        <f t="shared" ca="1" si="19"/>
        <v>Öko-Sonnenblumen</v>
      </c>
      <c r="EL4" s="998" t="str">
        <f t="shared" ca="1" si="19"/>
        <v>Öko-Winterraps (Ölproduktion)</v>
      </c>
      <c r="EM4" s="998" t="str">
        <f t="shared" ca="1" si="19"/>
        <v>Öko-Speisekartoffeln spät</v>
      </c>
      <c r="EN4" s="998" t="str">
        <f t="shared" ref="EN4" ca="1" si="21">INDIRECT(EN65&amp;"!$K$2")</f>
        <v xml:space="preserve">Öko- Lupine </v>
      </c>
      <c r="EO4" s="998" t="str">
        <f t="shared" ca="1" si="19"/>
        <v>FAKT-Begrünung</v>
      </c>
      <c r="EP4" s="998" t="str">
        <f t="shared" ca="1" si="19"/>
        <v xml:space="preserve">FAKT-Blühmischung </v>
      </c>
      <c r="EQ4" s="998"/>
      <c r="ER4" s="998" t="str">
        <f t="shared" ca="1" si="19"/>
        <v xml:space="preserve">Öko-Kleegras einjährig (70:30) </v>
      </c>
      <c r="ES4" s="998" t="str">
        <f t="shared" ca="1" si="19"/>
        <v>Öko-Kleegras zweijährig (50:50)</v>
      </c>
      <c r="ET4" s="998" t="str">
        <f t="shared" ca="1" si="19"/>
        <v>Öko-Luzernegras einjährig (70:30)</v>
      </c>
      <c r="EU4" s="998" t="str">
        <f t="shared" ca="1" si="19"/>
        <v>Öko-Luzernegras zweijährig (50:50)</v>
      </c>
      <c r="EV4" s="998" t="str">
        <f t="shared" ca="1" si="19"/>
        <v>Öko-Winterweizen (Futter)</v>
      </c>
      <c r="EW4" s="998" t="str">
        <f t="shared" ca="1" si="19"/>
        <v>Öko-Winterweizen (Brot)</v>
      </c>
      <c r="EX4" s="998" t="str">
        <f t="shared" ca="1" si="19"/>
        <v>Öko-Dinkel</v>
      </c>
      <c r="EY4" s="998" t="str">
        <f t="shared" ca="1" si="19"/>
        <v>Öko-Dinkel, entspelzt</v>
      </c>
      <c r="EZ4" s="998" t="str">
        <f t="shared" ca="1" si="19"/>
        <v>Öko-Winterroggen (Brot)</v>
      </c>
      <c r="FA4" s="998" t="str">
        <f t="shared" ca="1" si="19"/>
        <v>Öko-Hafer</v>
      </c>
      <c r="FB4" s="998" t="str">
        <f t="shared" ca="1" si="19"/>
        <v>Öko-Wintergerste</v>
      </c>
      <c r="FC4" s="998" t="str">
        <f t="shared" ca="1" si="19"/>
        <v>Öko-Braugerste</v>
      </c>
      <c r="FD4" s="998" t="str">
        <f t="shared" ca="1" si="19"/>
        <v xml:space="preserve">Öko-Körnermais </v>
      </c>
      <c r="FE4" s="998" t="str">
        <f t="shared" ca="1" si="19"/>
        <v xml:space="preserve">Öko-Ackerbohnen </v>
      </c>
      <c r="FF4" s="998" t="str">
        <f t="shared" ca="1" si="19"/>
        <v>Öko-Futtererbsen</v>
      </c>
      <c r="FG4" s="998" t="str">
        <f t="shared" ca="1" si="19"/>
        <v>Öko-Sojabohnen</v>
      </c>
      <c r="FH4" s="998" t="str">
        <f t="shared" ca="1" si="19"/>
        <v>Öko-Sonnenblumen</v>
      </c>
      <c r="FI4" s="998" t="str">
        <f t="shared" ca="1" si="19"/>
        <v>Öko-Winterraps (Ölproduktion)</v>
      </c>
      <c r="FJ4" s="998" t="str">
        <f t="shared" ca="1" si="19"/>
        <v>Öko-Speisekartoffeln spät</v>
      </c>
      <c r="FK4" s="998" t="str">
        <f t="shared" ref="FK4" ca="1" si="22">INDIRECT(FK65&amp;"!$K$2")</f>
        <v xml:space="preserve">Öko- Lupine </v>
      </c>
      <c r="FL4" s="998" t="str">
        <f ca="1">INDIRECT(FL65&amp;"!$K$2")</f>
        <v>FAKT-Begrünung</v>
      </c>
      <c r="FM4" s="998" t="str">
        <f ca="1">INDIRECT(FM65&amp;"!$K$2")</f>
        <v xml:space="preserve">FAKT-Blühmischung </v>
      </c>
    </row>
    <row r="5" spans="1:169" s="994" customFormat="1" ht="18" customHeight="1">
      <c r="A5" s="899">
        <f>ROWS($A$1:A5)</f>
        <v>5</v>
      </c>
      <c r="B5" s="996" t="s">
        <v>777</v>
      </c>
      <c r="C5" s="987" t="s">
        <v>164</v>
      </c>
      <c r="D5" s="2626">
        <f>'WW1'!$J$6</f>
        <v>56.25</v>
      </c>
      <c r="E5" s="957">
        <f>'WW2'!$J$6</f>
        <v>56.25</v>
      </c>
      <c r="F5" s="957">
        <f>'WW-A'!$J$6</f>
        <v>54</v>
      </c>
      <c r="G5" s="957">
        <f>'WW-E'!$J$6</f>
        <v>51</v>
      </c>
      <c r="H5" s="957">
        <f>WRo!$J$6</f>
        <v>37.5</v>
      </c>
      <c r="I5" s="957">
        <f>Tr!$J$6</f>
        <v>50.25</v>
      </c>
      <c r="J5" s="957">
        <f>WG!$J$6</f>
        <v>52.5</v>
      </c>
      <c r="K5" s="957">
        <f>Di!$J$6</f>
        <v>42</v>
      </c>
      <c r="L5" s="957">
        <f>SW!$J$6</f>
        <v>42</v>
      </c>
      <c r="M5" s="957">
        <f>'SG-Fu'!$J$6</f>
        <v>41.25</v>
      </c>
      <c r="N5" s="957">
        <f>BG!$J$6</f>
        <v>45</v>
      </c>
      <c r="O5" s="957">
        <f>Ha!$J$6</f>
        <v>37.5</v>
      </c>
      <c r="P5" s="957">
        <f>Du!$J$6</f>
        <v>39.75</v>
      </c>
      <c r="Q5" s="957">
        <f>KöM!$J$6</f>
        <v>73.5</v>
      </c>
      <c r="R5" s="957">
        <f>KH!$J$6</f>
        <v>80</v>
      </c>
      <c r="S5" s="957">
        <f>WR!$J$6</f>
        <v>30</v>
      </c>
      <c r="T5" s="957">
        <f>SR!$J$6</f>
        <v>16.5</v>
      </c>
      <c r="U5" s="957">
        <f>SoBl!$J$6</f>
        <v>18.75</v>
      </c>
      <c r="V5" s="957">
        <f>Soja!$J$6</f>
        <v>20</v>
      </c>
      <c r="W5" s="957">
        <f>Öl!$J$6</f>
        <v>15</v>
      </c>
      <c r="X5" s="957">
        <f>FE!$J$6</f>
        <v>20</v>
      </c>
      <c r="Y5" s="957">
        <f>AB!$J$6</f>
        <v>20</v>
      </c>
      <c r="Z5" s="957">
        <f>Lu!$J$6</f>
        <v>10</v>
      </c>
      <c r="AA5" s="957">
        <f>ZR!$J$6</f>
        <v>520.5</v>
      </c>
      <c r="AB5" s="957">
        <f>FrühKa!$J$6</f>
        <v>201</v>
      </c>
      <c r="AC5" s="957">
        <f>FrühKaFolieBer!$J$6</f>
        <v>300</v>
      </c>
      <c r="AD5" s="957">
        <f>SpKa!$J$6</f>
        <v>234</v>
      </c>
      <c r="AE5" s="957">
        <f>SpKaBer!$J$6</f>
        <v>450</v>
      </c>
      <c r="AF5" s="957">
        <f>Vorlage!$J$6</f>
        <v>0</v>
      </c>
      <c r="AG5" s="957">
        <f>'FAKT-Brachebegrünung'!$J$6</f>
        <v>1</v>
      </c>
      <c r="AH5" s="957">
        <f>Begr!$J$6</f>
        <v>1</v>
      </c>
      <c r="AI5" s="959"/>
      <c r="AJ5" s="958">
        <f>'WW1'!$M$6</f>
        <v>75</v>
      </c>
      <c r="AK5" s="957">
        <f>'WW2'!$M$6</f>
        <v>75</v>
      </c>
      <c r="AL5" s="957">
        <f>'WW-A'!$M$6</f>
        <v>72</v>
      </c>
      <c r="AM5" s="957">
        <f>'WW-E'!$M$6</f>
        <v>68</v>
      </c>
      <c r="AN5" s="957">
        <f>WRo!$M$6</f>
        <v>50</v>
      </c>
      <c r="AO5" s="957">
        <f>Tr!$M$6</f>
        <v>67</v>
      </c>
      <c r="AP5" s="957">
        <f>WG!$M$6</f>
        <v>70</v>
      </c>
      <c r="AQ5" s="957">
        <f>Di!$M$6</f>
        <v>56</v>
      </c>
      <c r="AR5" s="957">
        <f>SW!$M$6</f>
        <v>56</v>
      </c>
      <c r="AS5" s="957">
        <f>'SG-Fu'!$M$6</f>
        <v>55</v>
      </c>
      <c r="AT5" s="957">
        <f>BG!$M$6</f>
        <v>55</v>
      </c>
      <c r="AU5" s="957">
        <f>Ha!$M$6</f>
        <v>50</v>
      </c>
      <c r="AV5" s="957">
        <f>Du!$M$6</f>
        <v>53</v>
      </c>
      <c r="AW5" s="957">
        <f>KöM!$M$6</f>
        <v>98</v>
      </c>
      <c r="AX5" s="957">
        <f>KH!$M$6</f>
        <v>90</v>
      </c>
      <c r="AY5" s="957">
        <f>WR!$M$6</f>
        <v>40</v>
      </c>
      <c r="AZ5" s="957">
        <f>SR!$M$6</f>
        <v>22</v>
      </c>
      <c r="BA5" s="957">
        <f>SoBl!$M$6</f>
        <v>25</v>
      </c>
      <c r="BB5" s="957">
        <f>Soja!$M$6</f>
        <v>27</v>
      </c>
      <c r="BC5" s="957">
        <f>Öl!$M$6</f>
        <v>20</v>
      </c>
      <c r="BD5" s="957">
        <f>FE!$M$6</f>
        <v>35</v>
      </c>
      <c r="BE5" s="957">
        <f>AB!$M$6</f>
        <v>35</v>
      </c>
      <c r="BF5" s="957">
        <f>Lu!$M$6</f>
        <v>25</v>
      </c>
      <c r="BG5" s="957">
        <f>ZR!$M$6</f>
        <v>694</v>
      </c>
      <c r="BH5" s="957">
        <f>FrühKa!$M$6</f>
        <v>268</v>
      </c>
      <c r="BI5" s="957">
        <f>FrühKaFolieBer!$M$6</f>
        <v>350</v>
      </c>
      <c r="BJ5" s="957">
        <f>SpKa!$M$6</f>
        <v>312</v>
      </c>
      <c r="BK5" s="957">
        <f>SpKaBer!$M$6</f>
        <v>500</v>
      </c>
      <c r="BL5" s="957">
        <v>0</v>
      </c>
      <c r="BM5" s="957">
        <f>'FAKT-Brachebegrünung'!$M$6</f>
        <v>1</v>
      </c>
      <c r="BN5" s="957">
        <f>Begr!$M$6</f>
        <v>1</v>
      </c>
      <c r="BO5" s="948"/>
      <c r="BP5" s="958">
        <f>'WW1'!$P$6</f>
        <v>93.75</v>
      </c>
      <c r="BQ5" s="957">
        <f>'WW2'!$P$6</f>
        <v>93.75</v>
      </c>
      <c r="BR5" s="957">
        <f>'WW-A'!$P$6</f>
        <v>90</v>
      </c>
      <c r="BS5" s="957">
        <f>'WW-E'!$P$6</f>
        <v>85</v>
      </c>
      <c r="BT5" s="957">
        <f>WRo!$P$6</f>
        <v>62.5</v>
      </c>
      <c r="BU5" s="957">
        <f>Tr!$P$6</f>
        <v>83.75</v>
      </c>
      <c r="BV5" s="957">
        <f>WG!$P$6</f>
        <v>87.5</v>
      </c>
      <c r="BW5" s="957">
        <f>Di!$P$6</f>
        <v>70</v>
      </c>
      <c r="BX5" s="957">
        <f>SW!$P$6</f>
        <v>70</v>
      </c>
      <c r="BY5" s="957">
        <f>'SG-Fu'!$P$6</f>
        <v>68.75</v>
      </c>
      <c r="BZ5" s="957">
        <f>BG!$P$6</f>
        <v>65</v>
      </c>
      <c r="CA5" s="957">
        <f>Ha!$P$6</f>
        <v>62.5</v>
      </c>
      <c r="CB5" s="957">
        <f>Du!$P$6</f>
        <v>66.25</v>
      </c>
      <c r="CC5" s="957">
        <f>KöM!$P$6</f>
        <v>122.5</v>
      </c>
      <c r="CD5" s="957">
        <f>KH!$P$6</f>
        <v>100</v>
      </c>
      <c r="CE5" s="957">
        <f>WR!$P$6</f>
        <v>50</v>
      </c>
      <c r="CF5" s="957">
        <f>SR!$P$6</f>
        <v>27.5</v>
      </c>
      <c r="CG5" s="957">
        <f>SoBl!$P$6</f>
        <v>31.25</v>
      </c>
      <c r="CH5" s="957">
        <f>Soja!$P$6</f>
        <v>34</v>
      </c>
      <c r="CI5" s="957">
        <f>Öl!$P$6</f>
        <v>25</v>
      </c>
      <c r="CJ5" s="957">
        <f>FE!$P$6</f>
        <v>50</v>
      </c>
      <c r="CK5" s="957">
        <f>AB!$P$6</f>
        <v>50</v>
      </c>
      <c r="CL5" s="957">
        <f>Lu!$P$6</f>
        <v>40</v>
      </c>
      <c r="CM5" s="957">
        <f>ZR!$P$6</f>
        <v>867.5</v>
      </c>
      <c r="CN5" s="957">
        <f>FrühKa!$P$6</f>
        <v>335</v>
      </c>
      <c r="CO5" s="957">
        <f>FrühKaFolieBer!$P$6</f>
        <v>400</v>
      </c>
      <c r="CP5" s="957">
        <f>SpKa!$P$6</f>
        <v>390</v>
      </c>
      <c r="CQ5" s="957">
        <f>SpKaBer!$P$6</f>
        <v>550</v>
      </c>
      <c r="CR5" s="957">
        <f>Vorlage!$P$6</f>
        <v>0</v>
      </c>
      <c r="CS5" s="957">
        <f>'FAKT-Brachebegrünung'!$P$6</f>
        <v>1</v>
      </c>
      <c r="CT5" s="957">
        <f>Begr!$P$6</f>
        <v>1</v>
      </c>
      <c r="CV5" s="996" t="s">
        <v>777</v>
      </c>
      <c r="CW5" s="987" t="s">
        <v>164</v>
      </c>
      <c r="CX5" s="2626">
        <f>'Öko-KG1'!$J$6</f>
        <v>300</v>
      </c>
      <c r="CY5" s="957">
        <f>'Öko-KG2'!$J$6</f>
        <v>400</v>
      </c>
      <c r="CZ5" s="957">
        <f>'Öko-LU1'!$J$6</f>
        <v>300</v>
      </c>
      <c r="DA5" s="957">
        <f>'Öko-LU2'!$J$6</f>
        <v>450</v>
      </c>
      <c r="DB5" s="957">
        <f>'Öko-WW-Futter'!$J$6</f>
        <v>30</v>
      </c>
      <c r="DC5" s="957">
        <f>'Öko-WW-Brot'!$J$6</f>
        <v>30</v>
      </c>
      <c r="DD5" s="957">
        <f>'Öko-Di'!$J$6</f>
        <v>30</v>
      </c>
      <c r="DE5" s="957">
        <f>'Öko-Dinkel,gegerbt'!$J$6</f>
        <v>26.25</v>
      </c>
      <c r="DF5" s="957">
        <f>'Öko-Ro'!$J$6</f>
        <v>30</v>
      </c>
      <c r="DG5" s="957">
        <f>'Öko-Ha'!$J$6</f>
        <v>30</v>
      </c>
      <c r="DH5" s="957">
        <f>'Öko-Wg'!$J$6</f>
        <v>30</v>
      </c>
      <c r="DI5" s="957">
        <f>'Öko-Bg'!$J$6</f>
        <v>20</v>
      </c>
      <c r="DJ5" s="957">
        <f>'Öko-KöM'!$J$6</f>
        <v>52.5</v>
      </c>
      <c r="DK5" s="957">
        <f>'Öko-Ab'!$J$6</f>
        <v>18.75</v>
      </c>
      <c r="DL5" s="957">
        <f>'Öko-FE'!$J$6</f>
        <v>18.75</v>
      </c>
      <c r="DM5" s="957">
        <f>'Öko-Soja'!$J$6</f>
        <v>20</v>
      </c>
      <c r="DN5" s="957">
        <f>'Öko-Soblu'!$J$6</f>
        <v>20</v>
      </c>
      <c r="DO5" s="957">
        <f>'Öko-Raps'!$J$6</f>
        <v>10</v>
      </c>
      <c r="DP5" s="957">
        <f>'Öko-Ka'!$J$6</f>
        <v>200</v>
      </c>
      <c r="DQ5" s="957">
        <f>'Öko-Lu'!$J$6</f>
        <v>15</v>
      </c>
      <c r="DR5" s="957">
        <f>Begrün.!$J$6</f>
        <v>1</v>
      </c>
      <c r="DS5" s="957">
        <f>Blühm.!$J$6</f>
        <v>1</v>
      </c>
      <c r="DU5" s="957">
        <f>'Öko-KG1'!$M$6</f>
        <v>420</v>
      </c>
      <c r="DV5" s="957">
        <f>'Öko-KG2'!$M$6</f>
        <v>500</v>
      </c>
      <c r="DW5" s="957">
        <f>'Öko-LU1'!$M$6</f>
        <v>400</v>
      </c>
      <c r="DX5" s="957">
        <f>'Öko-LU2'!$M$6</f>
        <v>550</v>
      </c>
      <c r="DY5" s="958">
        <f>'Öko-WW-Futter'!$M$6</f>
        <v>40</v>
      </c>
      <c r="DZ5" s="957">
        <f>'Öko-WW-Brot'!$M$6</f>
        <v>40</v>
      </c>
      <c r="EA5" s="957">
        <f>'Öko-Di'!$M$6</f>
        <v>40</v>
      </c>
      <c r="EB5" s="957">
        <f>'Öko-Dinkel,gegerbt'!$M$6</f>
        <v>35</v>
      </c>
      <c r="EC5" s="957">
        <f>'Öko-Ro'!$M$6</f>
        <v>40</v>
      </c>
      <c r="ED5" s="957">
        <f>'Öko-Ha'!$M$6</f>
        <v>40</v>
      </c>
      <c r="EE5" s="957">
        <f>'Öko-Wg'!$M$6</f>
        <v>40</v>
      </c>
      <c r="EF5" s="957">
        <f>'Öko-Bg'!$M$6</f>
        <v>40</v>
      </c>
      <c r="EG5" s="957">
        <f>'Öko-KöM'!$M$6</f>
        <v>70</v>
      </c>
      <c r="EH5" s="957">
        <f>'Öko-Ab'!$M$6</f>
        <v>25</v>
      </c>
      <c r="EI5" s="957">
        <f>'Öko-FE'!$M$6</f>
        <v>25</v>
      </c>
      <c r="EJ5" s="957">
        <f>'Öko-Soja'!$M$6</f>
        <v>25</v>
      </c>
      <c r="EK5" s="957">
        <f>'Öko-Soblu'!$M$6</f>
        <v>30</v>
      </c>
      <c r="EL5" s="957">
        <f>'Öko-Raps'!$M$6</f>
        <v>18</v>
      </c>
      <c r="EM5" s="957">
        <f>'Öko-Ka'!$M$6</f>
        <v>250</v>
      </c>
      <c r="EN5" s="957">
        <f>'Öko-Lu'!$M$6</f>
        <v>20</v>
      </c>
      <c r="EO5" s="957">
        <f>Begrün.!$M$6</f>
        <v>1</v>
      </c>
      <c r="EP5" s="957">
        <f>Blühm.!$M$6</f>
        <v>1</v>
      </c>
      <c r="ER5" s="957">
        <f>'Öko-KG1'!$P$6</f>
        <v>500</v>
      </c>
      <c r="ES5" s="957">
        <f>'Öko-KG2'!$P$6</f>
        <v>600</v>
      </c>
      <c r="ET5" s="957">
        <f>'Öko-LU1'!$P$6</f>
        <v>500</v>
      </c>
      <c r="EU5" s="957">
        <f>'Öko-LU2'!$P$6</f>
        <v>600</v>
      </c>
      <c r="EV5" s="958">
        <f>'Öko-WW-Futter'!$P$6</f>
        <v>69</v>
      </c>
      <c r="EW5" s="957">
        <f>'Öko-WW-Brot'!$P$6</f>
        <v>60</v>
      </c>
      <c r="EX5" s="957">
        <f>'Öko-Di'!$P$6</f>
        <v>45</v>
      </c>
      <c r="EY5" s="957">
        <f>'Öko-Dinkel,gegerbt'!$P$6</f>
        <v>43.75</v>
      </c>
      <c r="EZ5" s="957">
        <f>'Öko-Ro'!$P$6</f>
        <v>50</v>
      </c>
      <c r="FA5" s="957">
        <f>'Öko-Ha'!$P$6</f>
        <v>50</v>
      </c>
      <c r="FB5" s="957">
        <f>'Öko-Wg'!$P$6</f>
        <v>50</v>
      </c>
      <c r="FC5" s="957">
        <f>'Öko-Bg'!$P$6</f>
        <v>40</v>
      </c>
      <c r="FD5" s="957">
        <f>'Öko-KöM'!$P$6</f>
        <v>87.5</v>
      </c>
      <c r="FE5" s="957">
        <f>'Öko-Ab'!$P$6</f>
        <v>31.25</v>
      </c>
      <c r="FF5" s="957">
        <f>'Öko-FE'!$P$6</f>
        <v>31.25</v>
      </c>
      <c r="FG5" s="957">
        <f>'Öko-Soja'!$P$6</f>
        <v>30</v>
      </c>
      <c r="FH5" s="957">
        <f>'Öko-Soblu'!$P$6</f>
        <v>40</v>
      </c>
      <c r="FI5" s="957">
        <f>'Öko-Raps'!$P$6</f>
        <v>26</v>
      </c>
      <c r="FJ5" s="957">
        <f>'Öko-Ka'!$P$6</f>
        <v>300</v>
      </c>
      <c r="FK5" s="957">
        <f>'Öko-Lu'!$P$6</f>
        <v>25</v>
      </c>
      <c r="FL5" s="957">
        <f>Begrün.!$P$6</f>
        <v>1</v>
      </c>
      <c r="FM5" s="957">
        <f>Blühm.!$P$6</f>
        <v>1</v>
      </c>
    </row>
    <row r="6" spans="1:169" s="994" customFormat="1" ht="16.2" customHeight="1">
      <c r="A6" s="899">
        <f>ROWS($A$1:A6)</f>
        <v>6</v>
      </c>
      <c r="B6" s="995" t="s">
        <v>831</v>
      </c>
      <c r="C6" s="988"/>
      <c r="D6" s="2625">
        <f>'WW1'!$H$9</f>
        <v>56.25</v>
      </c>
      <c r="E6" s="943">
        <f>'WW2'!$H$9</f>
        <v>56.25</v>
      </c>
      <c r="F6" s="943">
        <f>'WW-A'!$H$9</f>
        <v>54</v>
      </c>
      <c r="G6" s="943">
        <f>'WW-E'!$H$9</f>
        <v>51</v>
      </c>
      <c r="H6" s="943">
        <f>WRo!$H$9</f>
        <v>37.5</v>
      </c>
      <c r="I6" s="943">
        <f>Tr!$H$9</f>
        <v>50.25</v>
      </c>
      <c r="J6" s="943">
        <f>WG!$H$9</f>
        <v>52.5</v>
      </c>
      <c r="K6" s="943">
        <f>Di!$H$9</f>
        <v>42</v>
      </c>
      <c r="L6" s="943">
        <f>SW!$H$9</f>
        <v>42</v>
      </c>
      <c r="M6" s="943">
        <f>'SG-Fu'!$H$9</f>
        <v>41.25</v>
      </c>
      <c r="N6" s="943">
        <f>BG!$H$9</f>
        <v>40</v>
      </c>
      <c r="O6" s="943">
        <f>Ha!$H$9</f>
        <v>37.5</v>
      </c>
      <c r="P6" s="943">
        <f>Du!$H$9</f>
        <v>39.75</v>
      </c>
      <c r="Q6" s="943">
        <f>KöM!$H$9</f>
        <v>73.5</v>
      </c>
      <c r="R6" s="943">
        <f>KH!$H$9</f>
        <v>80</v>
      </c>
      <c r="S6" s="943">
        <f>WR!$H$9</f>
        <v>30</v>
      </c>
      <c r="T6" s="943">
        <f>SR!$H$9</f>
        <v>16.5</v>
      </c>
      <c r="U6" s="943">
        <f>SoBl!$H$9</f>
        <v>18.75</v>
      </c>
      <c r="V6" s="943">
        <f>Soja!$H$9</f>
        <v>20</v>
      </c>
      <c r="W6" s="943">
        <f>Öl!$H$9</f>
        <v>15</v>
      </c>
      <c r="X6" s="943">
        <f>FE!$H$9</f>
        <v>20</v>
      </c>
      <c r="Y6" s="943">
        <f>AB!$H$9</f>
        <v>20</v>
      </c>
      <c r="Z6" s="943">
        <f>Lu!$H$9</f>
        <v>10</v>
      </c>
      <c r="AA6" s="943">
        <f>ZR!$H$9</f>
        <v>220.5</v>
      </c>
      <c r="AB6" s="943">
        <f>FrühKa!$H$9</f>
        <v>201</v>
      </c>
      <c r="AC6" s="943">
        <f>FrühKaFolieBer!$H$9</f>
        <v>300</v>
      </c>
      <c r="AD6" s="943">
        <f>SpKa!$H$9</f>
        <v>199</v>
      </c>
      <c r="AE6" s="943">
        <f>SpKaBer!$H$9</f>
        <v>383</v>
      </c>
      <c r="AF6" s="943">
        <f>Vorlage!$H$9</f>
        <v>0</v>
      </c>
      <c r="AG6" s="943">
        <f>'FAKT-Brachebegrünung'!$H$9</f>
        <v>1</v>
      </c>
      <c r="AH6" s="943">
        <f>Begr!$H$9</f>
        <v>1</v>
      </c>
      <c r="AI6" s="901"/>
      <c r="AJ6" s="944">
        <f>'WW1'!$K$9</f>
        <v>75</v>
      </c>
      <c r="AK6" s="943">
        <f>'WW2'!$K$9</f>
        <v>75</v>
      </c>
      <c r="AL6" s="943">
        <f>'WW-A'!$K$9</f>
        <v>72</v>
      </c>
      <c r="AM6" s="943">
        <f>'WW-E'!$K$9</f>
        <v>68</v>
      </c>
      <c r="AN6" s="943">
        <f>WRo!$K$9</f>
        <v>50</v>
      </c>
      <c r="AO6" s="943">
        <f>Tr!$K$9</f>
        <v>67</v>
      </c>
      <c r="AP6" s="943">
        <f>WG!$K$9</f>
        <v>70</v>
      </c>
      <c r="AQ6" s="943">
        <f>Di!$K$9</f>
        <v>56</v>
      </c>
      <c r="AR6" s="943">
        <f>SW!$K$9</f>
        <v>56</v>
      </c>
      <c r="AS6" s="943">
        <f>'SG-Fu'!$K$9</f>
        <v>55</v>
      </c>
      <c r="AT6" s="943">
        <f>BG!$K$9</f>
        <v>49</v>
      </c>
      <c r="AU6" s="943">
        <f>Ha!$K$9</f>
        <v>50</v>
      </c>
      <c r="AV6" s="943">
        <f>Du!$K$9</f>
        <v>53</v>
      </c>
      <c r="AW6" s="943">
        <f>KöM!$K$9</f>
        <v>98</v>
      </c>
      <c r="AX6" s="943">
        <f>KH!$K$9</f>
        <v>90</v>
      </c>
      <c r="AY6" s="943">
        <f>WR!$K$9</f>
        <v>40</v>
      </c>
      <c r="AZ6" s="943">
        <f>SR!$K$9</f>
        <v>22</v>
      </c>
      <c r="BA6" s="943">
        <f>SoBl!$K$9</f>
        <v>25</v>
      </c>
      <c r="BB6" s="943">
        <f>Soja!$K$9</f>
        <v>27</v>
      </c>
      <c r="BC6" s="943">
        <f>Öl!$K$9</f>
        <v>20</v>
      </c>
      <c r="BD6" s="943">
        <f>FE!$K$9</f>
        <v>35</v>
      </c>
      <c r="BE6" s="943">
        <f>AB!$K$9</f>
        <v>35</v>
      </c>
      <c r="BF6" s="943">
        <f>Lu!$K$9</f>
        <v>25</v>
      </c>
      <c r="BG6" s="943">
        <f>ZR!$K$9</f>
        <v>674</v>
      </c>
      <c r="BH6" s="943">
        <f>FrühKa!$K$9</f>
        <v>268</v>
      </c>
      <c r="BI6" s="943">
        <f>FrühKaFolieBer!$K$9</f>
        <v>350</v>
      </c>
      <c r="BJ6" s="943">
        <f>SpKa!$K$9</f>
        <v>228</v>
      </c>
      <c r="BK6" s="943">
        <f>SpKaBer!$K$9</f>
        <v>425</v>
      </c>
      <c r="BL6" s="943">
        <v>0</v>
      </c>
      <c r="BM6" s="943">
        <f>'FAKT-Brachebegrünung'!$K$9</f>
        <v>1</v>
      </c>
      <c r="BN6" s="943">
        <f>Begr!$K$9</f>
        <v>1</v>
      </c>
      <c r="BO6" s="901"/>
      <c r="BP6" s="944">
        <f>'WW1'!$N$9</f>
        <v>93.75</v>
      </c>
      <c r="BQ6" s="943">
        <f>'WW2'!$N$9</f>
        <v>93.75</v>
      </c>
      <c r="BR6" s="943">
        <f>'WW-A'!$N$9</f>
        <v>90</v>
      </c>
      <c r="BS6" s="943">
        <f>'WW-E'!$N$9</f>
        <v>85</v>
      </c>
      <c r="BT6" s="943">
        <f>WRo!$N$9</f>
        <v>62.5</v>
      </c>
      <c r="BU6" s="943">
        <f>Tr!$N$9</f>
        <v>83.75</v>
      </c>
      <c r="BV6" s="943">
        <f>WG!$N$9</f>
        <v>87.5</v>
      </c>
      <c r="BW6" s="943">
        <f>Di!$N$9</f>
        <v>70</v>
      </c>
      <c r="BX6" s="943">
        <f>SW!$N$9</f>
        <v>70</v>
      </c>
      <c r="BY6" s="943">
        <f>'SG-Fu'!$N$9</f>
        <v>68.75</v>
      </c>
      <c r="BZ6" s="943">
        <f>BG!$N$9</f>
        <v>58</v>
      </c>
      <c r="CA6" s="943">
        <f>Ha!$N$9</f>
        <v>62.5</v>
      </c>
      <c r="CB6" s="943">
        <f>Du!$N$9</f>
        <v>66.25</v>
      </c>
      <c r="CC6" s="943">
        <f>KöM!$N$9</f>
        <v>122.5</v>
      </c>
      <c r="CD6" s="943">
        <f>KH!$N$9</f>
        <v>100</v>
      </c>
      <c r="CE6" s="943">
        <f>WR!$N$9</f>
        <v>50</v>
      </c>
      <c r="CF6" s="943">
        <f>SR!$N$9</f>
        <v>27.5</v>
      </c>
      <c r="CG6" s="943">
        <f>SoBl!$N$9</f>
        <v>31.25</v>
      </c>
      <c r="CH6" s="943">
        <f>Soja!$N$9</f>
        <v>34</v>
      </c>
      <c r="CI6" s="943">
        <f>Öl!$N$9</f>
        <v>25</v>
      </c>
      <c r="CJ6" s="943">
        <f>FE!$N$9</f>
        <v>50</v>
      </c>
      <c r="CK6" s="943">
        <f>AB!$N$9</f>
        <v>50</v>
      </c>
      <c r="CL6" s="943">
        <f>Lu!$N$9</f>
        <v>40</v>
      </c>
      <c r="CM6" s="943">
        <f>ZR!$N$9</f>
        <v>867.5</v>
      </c>
      <c r="CN6" s="943">
        <f>FrühKa!$N$9</f>
        <v>335</v>
      </c>
      <c r="CO6" s="943">
        <f>FrühKaFolieBer!$N$9</f>
        <v>400</v>
      </c>
      <c r="CP6" s="943">
        <f>SpKa!$N$9</f>
        <v>290</v>
      </c>
      <c r="CQ6" s="943">
        <f>SpKaBer!$N$9</f>
        <v>466</v>
      </c>
      <c r="CR6" s="943">
        <f>Vorlage!$N$9</f>
        <v>0</v>
      </c>
      <c r="CS6" s="943">
        <f>'FAKT-Brachebegrünung'!$N$9</f>
        <v>1</v>
      </c>
      <c r="CT6" s="943">
        <f>Begr!$N$9</f>
        <v>1</v>
      </c>
      <c r="CV6" s="995" t="s">
        <v>831</v>
      </c>
      <c r="CW6" s="988"/>
      <c r="CX6" s="2625">
        <f>'Öko-KG1'!$H$9</f>
        <v>300</v>
      </c>
      <c r="CY6" s="943">
        <f>'Öko-KG2'!$H$9</f>
        <v>400</v>
      </c>
      <c r="CZ6" s="943">
        <f>'Öko-LU1'!$H$9</f>
        <v>300</v>
      </c>
      <c r="DA6" s="943">
        <f>'Öko-LU2'!$H$9</f>
        <v>450</v>
      </c>
      <c r="DB6" s="943">
        <f>'Öko-WW-Futter'!$H$9</f>
        <v>30</v>
      </c>
      <c r="DC6" s="943">
        <f>'Öko-WW-Brot'!$H$9</f>
        <v>30</v>
      </c>
      <c r="DD6" s="943">
        <f>'Öko-Di'!$H$9</f>
        <v>30</v>
      </c>
      <c r="DE6" s="943">
        <f>'Öko-Dinkel,gegerbt'!$H$9</f>
        <v>17.587500000000002</v>
      </c>
      <c r="DF6" s="943">
        <f>'Öko-Ro'!$H$9</f>
        <v>30</v>
      </c>
      <c r="DG6" s="943">
        <f>'Öko-Ha'!$H$9</f>
        <v>30</v>
      </c>
      <c r="DH6" s="943">
        <f>'Öko-Wg'!$H$9</f>
        <v>30</v>
      </c>
      <c r="DI6" s="943">
        <f>'Öko-Bg'!$H$9</f>
        <v>18</v>
      </c>
      <c r="DJ6" s="943">
        <f>'Öko-KöM'!$H$9</f>
        <v>52.5</v>
      </c>
      <c r="DK6" s="943">
        <f>'Öko-Ab'!$H$9</f>
        <v>18.75</v>
      </c>
      <c r="DL6" s="943">
        <f>'Öko-FE'!$H$9</f>
        <v>18.75</v>
      </c>
      <c r="DM6" s="943">
        <f>'Öko-Soja'!$H$9</f>
        <v>20</v>
      </c>
      <c r="DN6" s="943">
        <f>'Öko-Soblu'!$H$9</f>
        <v>20</v>
      </c>
      <c r="DO6" s="943">
        <f>'Öko-Raps'!$H$9</f>
        <v>10</v>
      </c>
      <c r="DP6" s="943">
        <f>'Öko-Ka'!$H$9</f>
        <v>150</v>
      </c>
      <c r="DQ6" s="943">
        <f>'Öko-Lu'!$H$9</f>
        <v>15</v>
      </c>
      <c r="DR6" s="943">
        <f>Begrün.!$H$9</f>
        <v>1</v>
      </c>
      <c r="DS6" s="943">
        <f>Blühm.!$H$9</f>
        <v>1</v>
      </c>
      <c r="DU6" s="943">
        <f>'Öko-KG1'!$K$9</f>
        <v>420</v>
      </c>
      <c r="DV6" s="943">
        <f>'Öko-KG2'!$K$9</f>
        <v>500</v>
      </c>
      <c r="DW6" s="943">
        <f>'Öko-LU1'!$K$9</f>
        <v>400</v>
      </c>
      <c r="DX6" s="943">
        <f>'Öko-LU2'!$K$9</f>
        <v>550</v>
      </c>
      <c r="DY6" s="944">
        <f>'Öko-WW-Futter'!$K$9</f>
        <v>40</v>
      </c>
      <c r="DZ6" s="943">
        <f>'Öko-WW-Brot'!$K$9</f>
        <v>40</v>
      </c>
      <c r="EA6" s="943">
        <f>'Öko-Di'!$K$9</f>
        <v>40</v>
      </c>
      <c r="EB6" s="943">
        <f>'Öko-Dinkel,gegerbt'!$K$9</f>
        <v>23.450000000000003</v>
      </c>
      <c r="EC6" s="943">
        <f>'Öko-Ro'!$K$9</f>
        <v>40</v>
      </c>
      <c r="ED6" s="943">
        <f>'Öko-Ha'!$K$9</f>
        <v>40</v>
      </c>
      <c r="EE6" s="943">
        <f>'Öko-Wg'!$K$9</f>
        <v>40</v>
      </c>
      <c r="EF6" s="943">
        <f>'Öko-Bg'!$K$9</f>
        <v>36</v>
      </c>
      <c r="EG6" s="943">
        <f>'Öko-KöM'!$K$9</f>
        <v>70</v>
      </c>
      <c r="EH6" s="943">
        <f>'Öko-Ab'!$K$9</f>
        <v>25</v>
      </c>
      <c r="EI6" s="943">
        <f>'Öko-FE'!$K$9</f>
        <v>25</v>
      </c>
      <c r="EJ6" s="943">
        <f>'Öko-Soja'!$K$9</f>
        <v>25</v>
      </c>
      <c r="EK6" s="943">
        <f>'Öko-Soblu'!$K$9</f>
        <v>30</v>
      </c>
      <c r="EL6" s="943">
        <f>'Öko-Raps'!$K$9</f>
        <v>18</v>
      </c>
      <c r="EM6" s="943">
        <f>'Öko-Ka'!$K$9</f>
        <v>187.5</v>
      </c>
      <c r="EN6" s="943">
        <f>'Öko-Lu'!$K$9</f>
        <v>20</v>
      </c>
      <c r="EO6" s="943">
        <f>Begrün.!$K$9</f>
        <v>1</v>
      </c>
      <c r="EP6" s="943">
        <f>Blühm.!$K$9</f>
        <v>1</v>
      </c>
      <c r="ER6" s="943">
        <f>'Öko-KG1'!$N$9</f>
        <v>500</v>
      </c>
      <c r="ES6" s="943">
        <f>'Öko-KG2'!$N$9</f>
        <v>600</v>
      </c>
      <c r="ET6" s="943">
        <f>'Öko-LU1'!$N$9</f>
        <v>500</v>
      </c>
      <c r="EU6" s="943">
        <f>'Öko-LU2'!$N$9</f>
        <v>600</v>
      </c>
      <c r="EV6" s="944">
        <f>'Öko-WW-Futter'!$N$9</f>
        <v>69</v>
      </c>
      <c r="EW6" s="943">
        <f>'Öko-WW-Brot'!$N$9</f>
        <v>60</v>
      </c>
      <c r="EX6" s="943">
        <f>'Öko-Di'!$N$9</f>
        <v>45</v>
      </c>
      <c r="EY6" s="943">
        <f>'Öko-Dinkel,gegerbt'!$N$9</f>
        <v>29.3125</v>
      </c>
      <c r="EZ6" s="943">
        <f>'Öko-Ro'!$N$9</f>
        <v>50</v>
      </c>
      <c r="FA6" s="943">
        <f>'Öko-Ha'!$N$9</f>
        <v>50</v>
      </c>
      <c r="FB6" s="943">
        <f>'Öko-Wg'!$N$9</f>
        <v>50</v>
      </c>
      <c r="FC6" s="943">
        <f>'Öko-Bg'!$N$9</f>
        <v>36</v>
      </c>
      <c r="FD6" s="943">
        <f>'Öko-KöM'!$N$9</f>
        <v>87.5</v>
      </c>
      <c r="FE6" s="943">
        <f>'Öko-Ab'!$N$9</f>
        <v>31.25</v>
      </c>
      <c r="FF6" s="943">
        <f>'Öko-FE'!$N$9</f>
        <v>31.25</v>
      </c>
      <c r="FG6" s="943">
        <f>'Öko-Soja'!$N$9</f>
        <v>30</v>
      </c>
      <c r="FH6" s="943">
        <f>'Öko-Soblu'!$N$9</f>
        <v>40</v>
      </c>
      <c r="FI6" s="943">
        <f>'Öko-Raps'!$N$9</f>
        <v>26</v>
      </c>
      <c r="FJ6" s="943">
        <f>'Öko-Ka'!$N$9</f>
        <v>225</v>
      </c>
      <c r="FK6" s="943">
        <f>'Öko-Lu'!$N$9</f>
        <v>25</v>
      </c>
      <c r="FL6" s="943">
        <f>Begrün.!$N$9</f>
        <v>1</v>
      </c>
      <c r="FM6" s="943">
        <f>Blühm.!$N$9</f>
        <v>1</v>
      </c>
    </row>
    <row r="7" spans="1:169" s="990" customFormat="1" ht="18" customHeight="1">
      <c r="A7" s="899">
        <f>ROWS($A$1:A7)</f>
        <v>7</v>
      </c>
      <c r="B7" s="993" t="s">
        <v>830</v>
      </c>
      <c r="C7" s="954" t="s">
        <v>220</v>
      </c>
      <c r="D7" s="2624">
        <f>'WW1'!$G$9</f>
        <v>16.5</v>
      </c>
      <c r="E7" s="991">
        <f>'WW2'!$G$9</f>
        <v>18</v>
      </c>
      <c r="F7" s="991">
        <f>'WW-A'!$G$9</f>
        <v>20.5</v>
      </c>
      <c r="G7" s="991">
        <f>'WW-E'!$G$9</f>
        <v>24</v>
      </c>
      <c r="H7" s="991">
        <f>WRo!$G$9</f>
        <v>15.6</v>
      </c>
      <c r="I7" s="991">
        <f>Tr!$G$9</f>
        <v>16.399999999999999</v>
      </c>
      <c r="J7" s="991">
        <f>WG!$G$9</f>
        <v>16.2</v>
      </c>
      <c r="K7" s="991">
        <f>Di!$G$9</f>
        <v>26</v>
      </c>
      <c r="L7" s="991">
        <f>SW!$G$9</f>
        <v>18.5</v>
      </c>
      <c r="M7" s="991">
        <f>'SG-Fu'!$G$9</f>
        <v>16.2</v>
      </c>
      <c r="N7" s="991">
        <f>BG!$G$9</f>
        <v>25.5</v>
      </c>
      <c r="O7" s="991">
        <f>Ha!$G$9</f>
        <v>18.899999999999999</v>
      </c>
      <c r="P7" s="991">
        <f>Du!$G$9</f>
        <v>28.5</v>
      </c>
      <c r="Q7" s="991">
        <f>KöM!$G$9</f>
        <v>18.7</v>
      </c>
      <c r="R7" s="991" t="e">
        <f>KH!$G$9</f>
        <v>#VALUE!</v>
      </c>
      <c r="S7" s="991">
        <f>WR!$G$9</f>
        <v>41.5</v>
      </c>
      <c r="T7" s="991">
        <f>SR!$G$9</f>
        <v>41.5</v>
      </c>
      <c r="U7" s="991">
        <f>SoBl!$G$9</f>
        <v>36.5</v>
      </c>
      <c r="V7" s="991">
        <f>Soja!$G$9</f>
        <v>41</v>
      </c>
      <c r="W7" s="991" t="e">
        <f>Öl!$G$9</f>
        <v>#VALUE!</v>
      </c>
      <c r="X7" s="991">
        <f>FE!$G$9</f>
        <v>24.2</v>
      </c>
      <c r="Y7" s="991">
        <f>AB!$G$9</f>
        <v>24.7</v>
      </c>
      <c r="Z7" s="991" t="e">
        <f>Lu!$G$9</f>
        <v>#VALUE!</v>
      </c>
      <c r="AA7" s="991">
        <f>ZR!$G$9</f>
        <v>6.38</v>
      </c>
      <c r="AB7" s="991">
        <f>FrühKa!$G$9</f>
        <v>64</v>
      </c>
      <c r="AC7" s="991" t="e">
        <f>FrühKaFolieBer!$G$9</f>
        <v>#VALUE!</v>
      </c>
      <c r="AD7" s="991">
        <f>SpKa!$G$9</f>
        <v>36</v>
      </c>
      <c r="AE7" s="991">
        <f>SpKaBer!$G$9</f>
        <v>36</v>
      </c>
      <c r="AF7" s="991">
        <f>Vorlage!$G$9</f>
        <v>0</v>
      </c>
      <c r="AG7" s="991">
        <f>'FAKT-Brachebegrünung'!$G$9</f>
        <v>0</v>
      </c>
      <c r="AH7" s="991">
        <f>Begr!$G$9</f>
        <v>0</v>
      </c>
      <c r="AI7" s="912"/>
      <c r="AJ7" s="992">
        <f>'WW1'!$G$9</f>
        <v>16.5</v>
      </c>
      <c r="AK7" s="991">
        <f>'WW2'!$G$9</f>
        <v>18</v>
      </c>
      <c r="AL7" s="991">
        <f>'WW-A'!$G$9</f>
        <v>20.5</v>
      </c>
      <c r="AM7" s="991">
        <f>'WW-E'!$G$9</f>
        <v>24</v>
      </c>
      <c r="AN7" s="991">
        <f>WRo!$G$9</f>
        <v>15.6</v>
      </c>
      <c r="AO7" s="991">
        <f>Tr!$G$9</f>
        <v>16.399999999999999</v>
      </c>
      <c r="AP7" s="991">
        <f>WG!$G$9</f>
        <v>16.2</v>
      </c>
      <c r="AQ7" s="991">
        <f>Di!$G$9</f>
        <v>26</v>
      </c>
      <c r="AR7" s="991">
        <f>SW!$G$9</f>
        <v>18.5</v>
      </c>
      <c r="AS7" s="991">
        <f>'SG-Fu'!$G$9</f>
        <v>16.2</v>
      </c>
      <c r="AT7" s="991">
        <f>BG!$G$9</f>
        <v>25.5</v>
      </c>
      <c r="AU7" s="991">
        <f>Ha!$G$9</f>
        <v>18.899999999999999</v>
      </c>
      <c r="AV7" s="991">
        <f>Du!$G$9</f>
        <v>28.5</v>
      </c>
      <c r="AW7" s="991">
        <f>KöM!$G$9</f>
        <v>18.7</v>
      </c>
      <c r="AX7" s="991" t="e">
        <f>KH!$G$9</f>
        <v>#VALUE!</v>
      </c>
      <c r="AY7" s="991">
        <f>WR!$G$9</f>
        <v>41.5</v>
      </c>
      <c r="AZ7" s="991">
        <f>SR!$G$9</f>
        <v>41.5</v>
      </c>
      <c r="BA7" s="991">
        <f>SoBl!$G$9</f>
        <v>36.5</v>
      </c>
      <c r="BB7" s="991">
        <f>Soja!$G$9</f>
        <v>41</v>
      </c>
      <c r="BC7" s="991" t="e">
        <f>Öl!$G$9</f>
        <v>#VALUE!</v>
      </c>
      <c r="BD7" s="991">
        <f>FE!$G$9</f>
        <v>24.2</v>
      </c>
      <c r="BE7" s="991">
        <f>AB!$G$9</f>
        <v>24.7</v>
      </c>
      <c r="BF7" s="991" t="e">
        <f>Lu!$G$9</f>
        <v>#VALUE!</v>
      </c>
      <c r="BG7" s="991">
        <f>ZR!$G$9</f>
        <v>6.38</v>
      </c>
      <c r="BH7" s="991">
        <f>FrühKa!$G$9</f>
        <v>64</v>
      </c>
      <c r="BI7" s="991" t="e">
        <f>FrühKaFolieBer!$G$9</f>
        <v>#VALUE!</v>
      </c>
      <c r="BJ7" s="991">
        <f>SpKa!$G$9</f>
        <v>36</v>
      </c>
      <c r="BK7" s="991">
        <f>SpKaBer!$G$9</f>
        <v>36</v>
      </c>
      <c r="BL7" s="991">
        <v>0</v>
      </c>
      <c r="BM7" s="991">
        <f>'FAKT-Brachebegrünung'!$G$9</f>
        <v>0</v>
      </c>
      <c r="BN7" s="991">
        <f>Begr!$G$9</f>
        <v>0</v>
      </c>
      <c r="BO7" s="912"/>
      <c r="BP7" s="992">
        <f>'WW1'!$G$9</f>
        <v>16.5</v>
      </c>
      <c r="BQ7" s="991">
        <f>'WW2'!$G$9</f>
        <v>18</v>
      </c>
      <c r="BR7" s="991">
        <f>'WW-A'!$G$9</f>
        <v>20.5</v>
      </c>
      <c r="BS7" s="991">
        <f>'WW-E'!$G$9</f>
        <v>24</v>
      </c>
      <c r="BT7" s="991">
        <f>WRo!$G$9</f>
        <v>15.6</v>
      </c>
      <c r="BU7" s="991">
        <f>Tr!$G$9</f>
        <v>16.399999999999999</v>
      </c>
      <c r="BV7" s="991">
        <f>WG!$G$9</f>
        <v>16.2</v>
      </c>
      <c r="BW7" s="991">
        <f>Di!$G$9</f>
        <v>26</v>
      </c>
      <c r="BX7" s="991">
        <f>SW!$G$9</f>
        <v>18.5</v>
      </c>
      <c r="BY7" s="991">
        <f>'SG-Fu'!$G$9</f>
        <v>16.2</v>
      </c>
      <c r="BZ7" s="991">
        <f>BG!$G$9</f>
        <v>25.5</v>
      </c>
      <c r="CA7" s="991">
        <f>Ha!$G$9</f>
        <v>18.899999999999999</v>
      </c>
      <c r="CB7" s="991">
        <f>Du!$G$9</f>
        <v>28.5</v>
      </c>
      <c r="CC7" s="991">
        <f>KöM!$G$9</f>
        <v>18.7</v>
      </c>
      <c r="CD7" s="991" t="e">
        <f>KH!$G$9</f>
        <v>#VALUE!</v>
      </c>
      <c r="CE7" s="991">
        <f>WR!$G$9</f>
        <v>41.5</v>
      </c>
      <c r="CF7" s="991">
        <f>SR!$G$9</f>
        <v>41.5</v>
      </c>
      <c r="CG7" s="991">
        <f>SoBl!$G$9</f>
        <v>36.5</v>
      </c>
      <c r="CH7" s="991">
        <f>Soja!$G$9</f>
        <v>41</v>
      </c>
      <c r="CI7" s="991" t="e">
        <f>Öl!$G$9</f>
        <v>#VALUE!</v>
      </c>
      <c r="CJ7" s="991">
        <f>FE!$G$9</f>
        <v>24.2</v>
      </c>
      <c r="CK7" s="991">
        <f>AB!$G$9</f>
        <v>24.7</v>
      </c>
      <c r="CL7" s="991" t="e">
        <f>Lu!$G$9</f>
        <v>#VALUE!</v>
      </c>
      <c r="CM7" s="991">
        <f>ZR!$G$9</f>
        <v>6.38</v>
      </c>
      <c r="CN7" s="991">
        <f>FrühKa!$G$9</f>
        <v>64</v>
      </c>
      <c r="CO7" s="991" t="e">
        <f>FrühKaFolieBer!$G$9</f>
        <v>#VALUE!</v>
      </c>
      <c r="CP7" s="991">
        <f>SpKa!$G$9</f>
        <v>36</v>
      </c>
      <c r="CQ7" s="991">
        <f>SpKaBer!$G$9</f>
        <v>36</v>
      </c>
      <c r="CR7" s="991">
        <f>Vorlage!$G$9</f>
        <v>0</v>
      </c>
      <c r="CS7" s="991">
        <f>'FAKT-Brachebegrünung'!$G$9</f>
        <v>0</v>
      </c>
      <c r="CT7" s="991">
        <f>Begr!$G$9</f>
        <v>0</v>
      </c>
      <c r="CV7" s="993" t="s">
        <v>830</v>
      </c>
      <c r="CW7" s="954" t="s">
        <v>220</v>
      </c>
      <c r="CX7" s="2624">
        <f>'Öko-KG1'!$G$9</f>
        <v>0</v>
      </c>
      <c r="CY7" s="991">
        <f>'Öko-KG2'!$G$9</f>
        <v>0</v>
      </c>
      <c r="CZ7" s="991">
        <f>'Öko-LU1'!$G$9</f>
        <v>0</v>
      </c>
      <c r="DA7" s="991">
        <f>'Öko-LU2'!$G$9</f>
        <v>0</v>
      </c>
      <c r="DB7" s="991">
        <f>'Öko-WW-Futter'!$G$9</f>
        <v>30.09</v>
      </c>
      <c r="DC7" s="991">
        <f>'Öko-WW-Brot'!$G$9</f>
        <v>41.13</v>
      </c>
      <c r="DD7" s="991">
        <f>'Öko-Di'!$G$9</f>
        <v>43.44</v>
      </c>
      <c r="DE7" s="991">
        <f>'Öko-Dinkel,gegerbt'!$G$9</f>
        <v>0</v>
      </c>
      <c r="DF7" s="991">
        <f>'Öko-Ro'!$G$9</f>
        <v>29.18</v>
      </c>
      <c r="DG7" s="991">
        <f>'Öko-Ha'!$G$9</f>
        <v>41.08</v>
      </c>
      <c r="DH7" s="991">
        <f>'Öko-Wg'!$G$9</f>
        <v>28.86</v>
      </c>
      <c r="DI7" s="991">
        <f>'Öko-Bg'!$G$9</f>
        <v>47.42</v>
      </c>
      <c r="DJ7" s="991">
        <f>'Öko-KöM'!$G$9</f>
        <v>33.56</v>
      </c>
      <c r="DK7" s="991">
        <f>'Öko-Ab'!$G$9</f>
        <v>53.74</v>
      </c>
      <c r="DL7" s="991">
        <f>'Öko-FE'!$G$9</f>
        <v>50.24</v>
      </c>
      <c r="DM7" s="991">
        <f>'Öko-Soja'!$G$9</f>
        <v>78.67</v>
      </c>
      <c r="DN7" s="991">
        <f>'Öko-Soblu'!$G$9</f>
        <v>0</v>
      </c>
      <c r="DO7" s="991">
        <f>'Öko-Raps'!$G$9</f>
        <v>76</v>
      </c>
      <c r="DP7" s="991">
        <f>'Öko-Ka'!$G$9</f>
        <v>74.17</v>
      </c>
      <c r="DQ7" s="991">
        <f>'Öko-Lu'!$G$9</f>
        <v>58</v>
      </c>
      <c r="DR7" s="991">
        <f>Begrün.!$G$9</f>
        <v>0</v>
      </c>
      <c r="DS7" s="991">
        <f>Blühm.!$G$9</f>
        <v>0</v>
      </c>
      <c r="DU7" s="991">
        <f>'Öko-KG1'!$G$9</f>
        <v>0</v>
      </c>
      <c r="DV7" s="991">
        <f>'Öko-KG2'!$G$9</f>
        <v>0</v>
      </c>
      <c r="DW7" s="991">
        <f>'Öko-LU1'!$G$9</f>
        <v>0</v>
      </c>
      <c r="DX7" s="991">
        <f>'Öko-LU2'!$G$9</f>
        <v>0</v>
      </c>
      <c r="DY7" s="992">
        <f>'Öko-WW-Futter'!$G$9</f>
        <v>30.09</v>
      </c>
      <c r="DZ7" s="991">
        <f>'Öko-WW-Brot'!$G$9</f>
        <v>41.13</v>
      </c>
      <c r="EA7" s="991">
        <f>'Öko-Di'!$G$9</f>
        <v>43.44</v>
      </c>
      <c r="EB7" s="991">
        <f>'Öko-Dinkel,gegerbt'!$G$9</f>
        <v>0</v>
      </c>
      <c r="EC7" s="991">
        <f>'Öko-Ro'!$G$9</f>
        <v>29.18</v>
      </c>
      <c r="ED7" s="991">
        <f>'Öko-Ha'!$G$9</f>
        <v>41.08</v>
      </c>
      <c r="EE7" s="991">
        <f>'Öko-Wg'!$G$9</f>
        <v>28.86</v>
      </c>
      <c r="EF7" s="991">
        <f>'Öko-Bg'!$G$9</f>
        <v>47.42</v>
      </c>
      <c r="EG7" s="991">
        <f>'Öko-KöM'!$G$9</f>
        <v>33.56</v>
      </c>
      <c r="EH7" s="991">
        <f>'Öko-Ab'!$G$9</f>
        <v>53.74</v>
      </c>
      <c r="EI7" s="991">
        <f>'Öko-FE'!$G$9</f>
        <v>50.24</v>
      </c>
      <c r="EJ7" s="991">
        <f>'Öko-Soja'!$G$9</f>
        <v>78.67</v>
      </c>
      <c r="EK7" s="991">
        <f>'Öko-Soblu'!$G$9</f>
        <v>0</v>
      </c>
      <c r="EL7" s="991">
        <f>'Öko-Raps'!$G$9</f>
        <v>76</v>
      </c>
      <c r="EM7" s="991">
        <f>'Öko-Ka'!$G$9</f>
        <v>74.17</v>
      </c>
      <c r="EN7" s="991">
        <f>'Öko-Lu'!$G$9</f>
        <v>58</v>
      </c>
      <c r="EO7" s="991">
        <f>Begrün.!$G$9</f>
        <v>0</v>
      </c>
      <c r="EP7" s="991">
        <f>Blühm.!$G$9</f>
        <v>0</v>
      </c>
      <c r="ER7" s="991">
        <f>'Öko-KG1'!$G$9</f>
        <v>0</v>
      </c>
      <c r="ES7" s="991">
        <f>'Öko-KG2'!$G$9</f>
        <v>0</v>
      </c>
      <c r="ET7" s="991">
        <f>'Öko-LU1'!$G$9</f>
        <v>0</v>
      </c>
      <c r="EU7" s="991">
        <f>'Öko-LU2'!$G$9</f>
        <v>0</v>
      </c>
      <c r="EV7" s="992">
        <f>'Öko-WW-Futter'!$G$9</f>
        <v>30.09</v>
      </c>
      <c r="EW7" s="991">
        <f>'Öko-WW-Brot'!$G$9</f>
        <v>41.13</v>
      </c>
      <c r="EX7" s="991">
        <f>'Öko-Di'!$G$9</f>
        <v>43.44</v>
      </c>
      <c r="EY7" s="991">
        <f>'Öko-Dinkel,gegerbt'!$G$9</f>
        <v>0</v>
      </c>
      <c r="EZ7" s="991">
        <f>'Öko-Ro'!$G$9</f>
        <v>29.18</v>
      </c>
      <c r="FA7" s="991">
        <f>'Öko-Ha'!$G$9</f>
        <v>41.08</v>
      </c>
      <c r="FB7" s="991">
        <f>'Öko-Wg'!$G$9</f>
        <v>28.86</v>
      </c>
      <c r="FC7" s="991">
        <f>'Öko-Bg'!$G$9</f>
        <v>47.42</v>
      </c>
      <c r="FD7" s="991">
        <f>'Öko-KöM'!$G$9</f>
        <v>33.56</v>
      </c>
      <c r="FE7" s="991">
        <f>'Öko-Ab'!$G$9</f>
        <v>53.74</v>
      </c>
      <c r="FF7" s="991">
        <f>'Öko-FE'!$G$9</f>
        <v>50.24</v>
      </c>
      <c r="FG7" s="991">
        <f>'Öko-Soja'!$G$9</f>
        <v>78.67</v>
      </c>
      <c r="FH7" s="991">
        <f>'Öko-Soblu'!$G$9</f>
        <v>0</v>
      </c>
      <c r="FI7" s="991">
        <f>'Öko-Raps'!$G$9</f>
        <v>76</v>
      </c>
      <c r="FJ7" s="991">
        <f>'Öko-Ka'!$G$9</f>
        <v>74.17</v>
      </c>
      <c r="FK7" s="991">
        <f>'Öko-Lu'!$G$9</f>
        <v>58</v>
      </c>
      <c r="FL7" s="991">
        <f>Begrün.!$G$9</f>
        <v>0</v>
      </c>
      <c r="FM7" s="991">
        <f>Blühm.!$G$9</f>
        <v>0</v>
      </c>
    </row>
    <row r="8" spans="1:169" ht="16.2" customHeight="1">
      <c r="A8" s="899">
        <f>ROWS($A$1:A8)</f>
        <v>8</v>
      </c>
      <c r="B8" s="903" t="s">
        <v>829</v>
      </c>
      <c r="C8" s="893" t="s">
        <v>163</v>
      </c>
      <c r="D8" s="2623">
        <f>'WW1'!$I$9</f>
        <v>928.125</v>
      </c>
      <c r="E8" s="975">
        <f>'WW2'!$I$9</f>
        <v>1012.5</v>
      </c>
      <c r="F8" s="975">
        <f>'WW-A'!$I$9</f>
        <v>1107</v>
      </c>
      <c r="G8" s="975">
        <f>'WW-E'!$I$9</f>
        <v>1224</v>
      </c>
      <c r="H8" s="975">
        <f>WRo!$I$9</f>
        <v>585</v>
      </c>
      <c r="I8" s="975">
        <f>Tr!$I$9</f>
        <v>824.09999999999991</v>
      </c>
      <c r="J8" s="975">
        <f>WG!$I$9</f>
        <v>850.5</v>
      </c>
      <c r="K8" s="975">
        <f>Di!$I$9</f>
        <v>1092</v>
      </c>
      <c r="L8" s="975">
        <f>SW!$I$9</f>
        <v>777</v>
      </c>
      <c r="M8" s="975">
        <f>'SG-Fu'!$I$9</f>
        <v>668.25</v>
      </c>
      <c r="N8" s="975">
        <f>BG!$I$9</f>
        <v>1020</v>
      </c>
      <c r="O8" s="975">
        <f>Ha!$I$9</f>
        <v>708.75</v>
      </c>
      <c r="P8" s="975">
        <f>Du!$I$9</f>
        <v>1132.875</v>
      </c>
      <c r="Q8" s="975">
        <f>KöM!$I$9</f>
        <v>1374.45</v>
      </c>
      <c r="R8" s="975" t="e">
        <f>KH!$I$9</f>
        <v>#VALUE!</v>
      </c>
      <c r="S8" s="975">
        <f>WR!$I$9</f>
        <v>1245</v>
      </c>
      <c r="T8" s="975">
        <f>SR!$I$9</f>
        <v>684.75</v>
      </c>
      <c r="U8" s="975">
        <f>SoBl!$I$9</f>
        <v>684.375</v>
      </c>
      <c r="V8" s="975">
        <f>Soja!$I$9</f>
        <v>820</v>
      </c>
      <c r="W8" s="975" t="e">
        <f>Öl!$I$9</f>
        <v>#VALUE!</v>
      </c>
      <c r="X8" s="975">
        <f>FE!$I$9</f>
        <v>484</v>
      </c>
      <c r="Y8" s="975">
        <f>AB!$I$9</f>
        <v>494</v>
      </c>
      <c r="Z8" s="975" t="e">
        <f>Lu!$I$9</f>
        <v>#VALUE!</v>
      </c>
      <c r="AA8" s="975">
        <f>ZR!$I$9</f>
        <v>1406.79</v>
      </c>
      <c r="AB8" s="975">
        <f>FrühKa!$I$9</f>
        <v>12864</v>
      </c>
      <c r="AC8" s="975" t="e">
        <f>FrühKaFolieBer!$I$9</f>
        <v>#VALUE!</v>
      </c>
      <c r="AD8" s="975">
        <f>SpKa!$I$9</f>
        <v>7164</v>
      </c>
      <c r="AE8" s="975">
        <f>SpKaBer!$I$9</f>
        <v>13788</v>
      </c>
      <c r="AF8" s="975">
        <f>Vorlage!$I$9</f>
        <v>0</v>
      </c>
      <c r="AG8" s="975">
        <f>'FAKT-Brachebegrünung'!$I$9</f>
        <v>0</v>
      </c>
      <c r="AH8" s="975">
        <f>Begr!$I$9</f>
        <v>0</v>
      </c>
      <c r="AI8" s="977"/>
      <c r="AJ8" s="976">
        <f>'WW1'!$L$9</f>
        <v>1237.5</v>
      </c>
      <c r="AK8" s="975">
        <f>'WW2'!$L$9</f>
        <v>1350</v>
      </c>
      <c r="AL8" s="975">
        <f>'WW-A'!$L$9</f>
        <v>1476</v>
      </c>
      <c r="AM8" s="975">
        <f>'WW-E'!$L$9</f>
        <v>1632</v>
      </c>
      <c r="AN8" s="975">
        <f>WRo!$L$9</f>
        <v>780</v>
      </c>
      <c r="AO8" s="975">
        <f>Tr!$L$9</f>
        <v>1098.8</v>
      </c>
      <c r="AP8" s="975">
        <f>WG!$L$9</f>
        <v>1134</v>
      </c>
      <c r="AQ8" s="975">
        <f>Di!$L$9</f>
        <v>1456</v>
      </c>
      <c r="AR8" s="975">
        <f>SW!$L$9</f>
        <v>1036</v>
      </c>
      <c r="AS8" s="975">
        <f>'SG-Fu'!$L$9</f>
        <v>891</v>
      </c>
      <c r="AT8" s="975">
        <f>BG!$L$9</f>
        <v>1249.5</v>
      </c>
      <c r="AU8" s="975">
        <f>Ha!$L$9</f>
        <v>944.99999999999989</v>
      </c>
      <c r="AV8" s="975">
        <f>Du!$L$9</f>
        <v>1510.5</v>
      </c>
      <c r="AW8" s="975">
        <f>KöM!$L$9</f>
        <v>1832.6</v>
      </c>
      <c r="AX8" s="975" t="e">
        <f>KH!$L$9</f>
        <v>#VALUE!</v>
      </c>
      <c r="AY8" s="975">
        <f>WR!$L$9</f>
        <v>1660</v>
      </c>
      <c r="AZ8" s="975">
        <f>SR!$L$9</f>
        <v>913</v>
      </c>
      <c r="BA8" s="975">
        <f>SoBl!$L$9</f>
        <v>912.5</v>
      </c>
      <c r="BB8" s="975">
        <f>Soja!$L$9</f>
        <v>1107</v>
      </c>
      <c r="BC8" s="975" t="e">
        <f>Öl!$L$9</f>
        <v>#VALUE!</v>
      </c>
      <c r="BD8" s="975">
        <f>FE!$L$9</f>
        <v>847</v>
      </c>
      <c r="BE8" s="975">
        <f>AB!$L$9</f>
        <v>864.5</v>
      </c>
      <c r="BF8" s="975" t="e">
        <f>Lu!$L$9</f>
        <v>#VALUE!</v>
      </c>
      <c r="BG8" s="975">
        <f>ZR!$L$9</f>
        <v>4300.12</v>
      </c>
      <c r="BH8" s="975">
        <f>FrühKa!$L$9</f>
        <v>17152</v>
      </c>
      <c r="BI8" s="975" t="e">
        <f>FrühKaFolieBer!$L$9</f>
        <v>#VALUE!</v>
      </c>
      <c r="BJ8" s="975">
        <f>SpKa!$L$9</f>
        <v>8208</v>
      </c>
      <c r="BK8" s="975">
        <f>SpKaBer!$L$9</f>
        <v>15300</v>
      </c>
      <c r="BL8" s="975">
        <v>0</v>
      </c>
      <c r="BM8" s="975">
        <f>'FAKT-Brachebegrünung'!$L$9</f>
        <v>0</v>
      </c>
      <c r="BN8" s="975">
        <f>Begr!$L$9</f>
        <v>0</v>
      </c>
      <c r="BO8" s="977"/>
      <c r="BP8" s="976">
        <f>'WW1'!$O$9</f>
        <v>1546.875</v>
      </c>
      <c r="BQ8" s="975">
        <f>'WW2'!$O$9</f>
        <v>1687.5</v>
      </c>
      <c r="BR8" s="975">
        <f>'WW-A'!$O$9</f>
        <v>1845</v>
      </c>
      <c r="BS8" s="975">
        <f>'WW-E'!$O$9</f>
        <v>2040</v>
      </c>
      <c r="BT8" s="975">
        <f>WRo!$O$9</f>
        <v>975</v>
      </c>
      <c r="BU8" s="975">
        <f>Tr!$O$9</f>
        <v>1373.4999999999998</v>
      </c>
      <c r="BV8" s="975">
        <f>WG!$O$9</f>
        <v>1417.5</v>
      </c>
      <c r="BW8" s="975">
        <f>Di!$O$9</f>
        <v>1820</v>
      </c>
      <c r="BX8" s="975">
        <f>SW!$O$9</f>
        <v>1295</v>
      </c>
      <c r="BY8" s="975">
        <f>'SG-Fu'!$O$9</f>
        <v>1113.75</v>
      </c>
      <c r="BZ8" s="975">
        <f>BG!$O$9</f>
        <v>1479</v>
      </c>
      <c r="CA8" s="975">
        <f>Ha!$O$9</f>
        <v>1181.25</v>
      </c>
      <c r="CB8" s="975">
        <f>Du!$O$9</f>
        <v>1888.125</v>
      </c>
      <c r="CC8" s="975">
        <f>KöM!$O$9</f>
        <v>2290.75</v>
      </c>
      <c r="CD8" s="975" t="e">
        <f>KH!$O$9</f>
        <v>#VALUE!</v>
      </c>
      <c r="CE8" s="975">
        <f>WR!$O$9</f>
        <v>2075</v>
      </c>
      <c r="CF8" s="975">
        <f>SR!$O$9</f>
        <v>1141.25</v>
      </c>
      <c r="CG8" s="975">
        <f>SoBl!$O$9</f>
        <v>1140.625</v>
      </c>
      <c r="CH8" s="975">
        <f>Soja!$O$9</f>
        <v>1394</v>
      </c>
      <c r="CI8" s="975" t="e">
        <f>Öl!$O$9</f>
        <v>#VALUE!</v>
      </c>
      <c r="CJ8" s="975">
        <f>FE!$O$9</f>
        <v>1210</v>
      </c>
      <c r="CK8" s="975">
        <f>AB!$O$9</f>
        <v>1235</v>
      </c>
      <c r="CL8" s="975" t="e">
        <f>Lu!$O$9</f>
        <v>#VALUE!</v>
      </c>
      <c r="CM8" s="975">
        <f>ZR!$O$9</f>
        <v>5534.65</v>
      </c>
      <c r="CN8" s="975">
        <f>FrühKa!$O$9</f>
        <v>21440</v>
      </c>
      <c r="CO8" s="975" t="e">
        <f>FrühKaFolieBer!$O$9</f>
        <v>#VALUE!</v>
      </c>
      <c r="CP8" s="975">
        <f>SpKa!$O$9</f>
        <v>10440</v>
      </c>
      <c r="CQ8" s="975">
        <f>SpKaBer!$O$9</f>
        <v>16776</v>
      </c>
      <c r="CR8" s="975">
        <f>Vorlage!$O$9</f>
        <v>0</v>
      </c>
      <c r="CS8" s="975">
        <f>'FAKT-Brachebegrünung'!$O$9</f>
        <v>0</v>
      </c>
      <c r="CT8" s="975">
        <f>Begr!$O$9</f>
        <v>0</v>
      </c>
      <c r="CV8" s="903" t="s">
        <v>829</v>
      </c>
      <c r="CW8" s="893" t="s">
        <v>163</v>
      </c>
      <c r="CX8" s="2623">
        <f>'Öko-KG1'!$I$9</f>
        <v>0</v>
      </c>
      <c r="CY8" s="975">
        <f>'Öko-KG2'!$I$9</f>
        <v>0</v>
      </c>
      <c r="CZ8" s="975">
        <f>'Öko-LU1'!$I$9</f>
        <v>0</v>
      </c>
      <c r="DA8" s="975">
        <f>'Öko-LU2'!$I$9</f>
        <v>0</v>
      </c>
      <c r="DB8" s="975">
        <f>'Öko-WW-Futter'!$I$9</f>
        <v>902.7</v>
      </c>
      <c r="DC8" s="975">
        <f>'Öko-WW-Brot'!$I$9</f>
        <v>1233.9000000000001</v>
      </c>
      <c r="DD8" s="975">
        <f>'Öko-Di'!$I$9</f>
        <v>1303.1999999999998</v>
      </c>
      <c r="DE8" s="975">
        <f>'Öko-Dinkel,gegerbt'!$I$9</f>
        <v>0</v>
      </c>
      <c r="DF8" s="975">
        <f>'Öko-Ro'!$I$9</f>
        <v>875.4</v>
      </c>
      <c r="DG8" s="975">
        <f>'Öko-Ha'!$I$9</f>
        <v>1232.3999999999999</v>
      </c>
      <c r="DH8" s="975">
        <f>'Öko-Wg'!$I$9</f>
        <v>865.8</v>
      </c>
      <c r="DI8" s="975">
        <f>'Öko-Bg'!$I$9</f>
        <v>853.56000000000006</v>
      </c>
      <c r="DJ8" s="975">
        <f>'Öko-KöM'!$I$9</f>
        <v>1761.9</v>
      </c>
      <c r="DK8" s="975">
        <f>'Öko-Ab'!$I$9</f>
        <v>1007.625</v>
      </c>
      <c r="DL8" s="975">
        <f>'Öko-FE'!$I$9</f>
        <v>942</v>
      </c>
      <c r="DM8" s="975">
        <f>'Öko-Soja'!$I$9</f>
        <v>1573.4</v>
      </c>
      <c r="DN8" s="975">
        <f>'Öko-Soblu'!$I$9</f>
        <v>0</v>
      </c>
      <c r="DO8" s="975">
        <f>'Öko-Raps'!$I$9</f>
        <v>760</v>
      </c>
      <c r="DP8" s="975">
        <f>'Öko-Ka'!$I$9</f>
        <v>11125.5</v>
      </c>
      <c r="DQ8" s="975">
        <f>'Öko-Lu'!$I$9</f>
        <v>870</v>
      </c>
      <c r="DR8" s="975">
        <f>Begrün.!$I$9</f>
        <v>0</v>
      </c>
      <c r="DS8" s="975">
        <f>Blühm.!$I$9</f>
        <v>0</v>
      </c>
      <c r="DT8" s="893"/>
      <c r="DU8" s="975">
        <f>'Öko-KG1'!$L$9</f>
        <v>0</v>
      </c>
      <c r="DV8" s="975">
        <f>'Öko-KG2'!$L$9</f>
        <v>0</v>
      </c>
      <c r="DW8" s="975">
        <f>'Öko-LU1'!$L$9</f>
        <v>0</v>
      </c>
      <c r="DX8" s="975">
        <f>'Öko-LU2'!$L$9</f>
        <v>0</v>
      </c>
      <c r="DY8" s="976">
        <f>'Öko-WW-Futter'!$L$9</f>
        <v>1203.5999999999999</v>
      </c>
      <c r="DZ8" s="975">
        <f>'Öko-WW-Brot'!$L$9</f>
        <v>1645.2</v>
      </c>
      <c r="EA8" s="975">
        <f>'Öko-Di'!$L$9</f>
        <v>1737.6</v>
      </c>
      <c r="EB8" s="975">
        <f>'Öko-Dinkel,gegerbt'!$L$9</f>
        <v>0</v>
      </c>
      <c r="EC8" s="975">
        <f>'Öko-Ro'!$L$9</f>
        <v>1167.2</v>
      </c>
      <c r="ED8" s="975">
        <f>'Öko-Ha'!$L$9</f>
        <v>1643.1999999999998</v>
      </c>
      <c r="EE8" s="975">
        <f>'Öko-Wg'!$L$9</f>
        <v>1154.4000000000001</v>
      </c>
      <c r="EF8" s="975">
        <f>'Öko-Bg'!$L$9</f>
        <v>1707.1200000000001</v>
      </c>
      <c r="EG8" s="975">
        <f>'Öko-KöM'!$L$9</f>
        <v>2349.2000000000003</v>
      </c>
      <c r="EH8" s="975">
        <f>'Öko-Ab'!$L$9</f>
        <v>1343.5</v>
      </c>
      <c r="EI8" s="975">
        <f>'Öko-FE'!$L$9</f>
        <v>1256</v>
      </c>
      <c r="EJ8" s="975">
        <f>'Öko-Soja'!$L$9</f>
        <v>1966.75</v>
      </c>
      <c r="EK8" s="975">
        <f>'Öko-Soblu'!$L$9</f>
        <v>0</v>
      </c>
      <c r="EL8" s="975">
        <f>'Öko-Raps'!$L$9</f>
        <v>1368</v>
      </c>
      <c r="EM8" s="975">
        <f>'Öko-Ka'!$L$9</f>
        <v>13906.875</v>
      </c>
      <c r="EN8" s="975">
        <f>'Öko-Lu'!$L$9</f>
        <v>1160</v>
      </c>
      <c r="EO8" s="975">
        <f>Begrün.!$L$9</f>
        <v>0</v>
      </c>
      <c r="EP8" s="975">
        <f>Blühm.!$L$9</f>
        <v>0</v>
      </c>
      <c r="EQ8" s="893"/>
      <c r="ER8" s="975">
        <f>'Öko-KG1'!$O$9</f>
        <v>0</v>
      </c>
      <c r="ES8" s="975">
        <f>'Öko-KG2'!$O$9</f>
        <v>0</v>
      </c>
      <c r="ET8" s="975">
        <f>'Öko-LU1'!$O$9</f>
        <v>0</v>
      </c>
      <c r="EU8" s="975">
        <f>'Öko-LU2'!$O$9</f>
        <v>0</v>
      </c>
      <c r="EV8" s="976">
        <f>'Öko-WW-Futter'!$O$9</f>
        <v>2076.21</v>
      </c>
      <c r="EW8" s="975">
        <f>'Öko-WW-Brot'!$O$9</f>
        <v>2467.8000000000002</v>
      </c>
      <c r="EX8" s="975">
        <f>'Öko-Di'!$O$9</f>
        <v>1954.8</v>
      </c>
      <c r="EY8" s="975">
        <f>'Öko-Dinkel,gegerbt'!$O$9</f>
        <v>0</v>
      </c>
      <c r="EZ8" s="975">
        <f>'Öko-Ro'!$O$9</f>
        <v>1459</v>
      </c>
      <c r="FA8" s="975">
        <f>'Öko-Ha'!$O$9</f>
        <v>2054</v>
      </c>
      <c r="FB8" s="975">
        <f>'Öko-Wg'!$O$9</f>
        <v>1443</v>
      </c>
      <c r="FC8" s="975">
        <f>'Öko-Bg'!$O$9</f>
        <v>1707.1200000000001</v>
      </c>
      <c r="FD8" s="975">
        <f>'Öko-KöM'!$O$9</f>
        <v>2936.5</v>
      </c>
      <c r="FE8" s="975">
        <f>'Öko-Ab'!$O$9</f>
        <v>1679.375</v>
      </c>
      <c r="FF8" s="975">
        <f>'Öko-FE'!$O$9</f>
        <v>1570</v>
      </c>
      <c r="FG8" s="975">
        <f>'Öko-Soja'!$O$9</f>
        <v>2360.1</v>
      </c>
      <c r="FH8" s="975">
        <f>'Öko-Soblu'!$O$9</f>
        <v>0</v>
      </c>
      <c r="FI8" s="975">
        <f>'Öko-Raps'!$O$9</f>
        <v>1976</v>
      </c>
      <c r="FJ8" s="975">
        <f>'Öko-Ka'!$O$9</f>
        <v>16688.25</v>
      </c>
      <c r="FK8" s="975">
        <f>'Öko-Lu'!$O$9</f>
        <v>1450</v>
      </c>
      <c r="FL8" s="975">
        <f>Begrün.!$O$9</f>
        <v>0</v>
      </c>
      <c r="FM8" s="975">
        <f>Blühm.!$O$9</f>
        <v>0</v>
      </c>
    </row>
    <row r="9" spans="1:169" ht="16.2" customHeight="1">
      <c r="A9" s="899">
        <f>ROWS($A$1:A9)</f>
        <v>9</v>
      </c>
      <c r="B9" s="903" t="s">
        <v>828</v>
      </c>
      <c r="D9" s="2623">
        <f>'WW1'!$R$10</f>
        <v>481.49999999999994</v>
      </c>
      <c r="E9" s="975">
        <f>'WW2'!$R$10</f>
        <v>481.49999999999994</v>
      </c>
      <c r="F9" s="975">
        <f>'WW-A'!$R$10</f>
        <v>462.24</v>
      </c>
      <c r="G9" s="975">
        <f>'WW-E'!$R$10</f>
        <v>436.56</v>
      </c>
      <c r="H9" s="975">
        <f>WRo!$R$10</f>
        <v>361.125</v>
      </c>
      <c r="I9" s="975">
        <f>Tr!$R$10</f>
        <v>483.90749999999997</v>
      </c>
      <c r="J9" s="975">
        <f>WG!$R$10</f>
        <v>393.22499999999997</v>
      </c>
      <c r="K9" s="975">
        <f>Di!$R$10</f>
        <v>404.46000000000004</v>
      </c>
      <c r="L9" s="975">
        <f>SW!$R$10</f>
        <v>359.52</v>
      </c>
      <c r="M9" s="975">
        <f>'SG-Fu'!$R$10</f>
        <v>353.09999999999997</v>
      </c>
      <c r="N9" s="975">
        <f>BG!$R$10</f>
        <v>418.04999999999995</v>
      </c>
      <c r="O9" s="975">
        <f>Ha!$R$10</f>
        <v>441.37499999999994</v>
      </c>
      <c r="P9" s="975">
        <f>Du!$R$10</f>
        <v>340.26</v>
      </c>
      <c r="Q9" s="975">
        <f>KöM!$R$10</f>
        <v>0</v>
      </c>
      <c r="R9" s="975">
        <f>KH!$R$10</f>
        <v>0</v>
      </c>
      <c r="S9" s="975">
        <f>WR!$R$10</f>
        <v>0</v>
      </c>
      <c r="T9" s="975">
        <f>SR!$R$10</f>
        <v>0</v>
      </c>
      <c r="U9" s="975">
        <f>SoBl!$R$10</f>
        <v>0</v>
      </c>
      <c r="V9" s="975">
        <f>Soja!$R$10</f>
        <v>0</v>
      </c>
      <c r="W9" s="975">
        <f>Öl!$R$10</f>
        <v>0</v>
      </c>
      <c r="X9" s="975">
        <f>FE!$R$10</f>
        <v>0</v>
      </c>
      <c r="Y9" s="975">
        <f>AB!$R$10</f>
        <v>0</v>
      </c>
      <c r="Z9" s="975">
        <f>Lu!$R$10</f>
        <v>0</v>
      </c>
      <c r="AA9" s="975">
        <f>ZR!$R$10</f>
        <v>1531.2</v>
      </c>
      <c r="AB9" s="975">
        <f>FrühKa!$R$10</f>
        <v>0</v>
      </c>
      <c r="AC9" s="975">
        <f>FrühKaFolieBer!$R$10</f>
        <v>0</v>
      </c>
      <c r="AD9" s="975">
        <f>SpKa!$R$10</f>
        <v>35</v>
      </c>
      <c r="AE9" s="975">
        <f>SpKaBer!$R$10</f>
        <v>67</v>
      </c>
      <c r="AF9" s="975">
        <f>Vorlage!$R$10</f>
        <v>0</v>
      </c>
      <c r="AG9" s="975">
        <f>'FAKT-Brachebegrünung'!$R$10</f>
        <v>0</v>
      </c>
      <c r="AH9" s="975">
        <f>Begr!$R$10</f>
        <v>0</v>
      </c>
      <c r="AI9" s="977"/>
      <c r="AJ9" s="976">
        <f>'WW1'!$S$10</f>
        <v>642</v>
      </c>
      <c r="AK9" s="975">
        <f>'WW2'!$S$10</f>
        <v>642</v>
      </c>
      <c r="AL9" s="975">
        <f>'WW-A'!$S$10</f>
        <v>616.31999999999994</v>
      </c>
      <c r="AM9" s="975">
        <f>'WW-E'!$S$10</f>
        <v>582.08000000000004</v>
      </c>
      <c r="AN9" s="975">
        <f>WRo!$S$10</f>
        <v>481.49999999999994</v>
      </c>
      <c r="AO9" s="975">
        <f>Tr!$S$10</f>
        <v>645.21</v>
      </c>
      <c r="AP9" s="975">
        <f>WG!$S$10</f>
        <v>524.29999999999995</v>
      </c>
      <c r="AQ9" s="975">
        <f>Di!$S$10</f>
        <v>539.28</v>
      </c>
      <c r="AR9" s="975">
        <f>SW!$S$10</f>
        <v>479.36</v>
      </c>
      <c r="AS9" s="975">
        <f>'SG-Fu'!$S$10</f>
        <v>470.79999999999995</v>
      </c>
      <c r="AT9" s="975">
        <f>BG!$S$10</f>
        <v>509.15</v>
      </c>
      <c r="AU9" s="975">
        <f>Ha!$S$10</f>
        <v>588.5</v>
      </c>
      <c r="AV9" s="975">
        <f>Du!$S$10</f>
        <v>453.68</v>
      </c>
      <c r="AW9" s="975">
        <f>KöM!$S$10</f>
        <v>0</v>
      </c>
      <c r="AX9" s="975">
        <f>KH!$S$10</f>
        <v>0</v>
      </c>
      <c r="AY9" s="975">
        <f>WR!$S$10</f>
        <v>0</v>
      </c>
      <c r="AZ9" s="975">
        <f>SR!$S$10</f>
        <v>0</v>
      </c>
      <c r="BA9" s="975">
        <f>SoBl!$S$10</f>
        <v>0</v>
      </c>
      <c r="BB9" s="975">
        <f>Soja!$S$10</f>
        <v>0</v>
      </c>
      <c r="BC9" s="975">
        <f>Öl!$S$10</f>
        <v>0</v>
      </c>
      <c r="BD9" s="975">
        <f>FE!$S$10</f>
        <v>0</v>
      </c>
      <c r="BE9" s="975">
        <f>AB!$S$10</f>
        <v>0</v>
      </c>
      <c r="BF9" s="975">
        <f>Lu!$S$10</f>
        <v>0</v>
      </c>
      <c r="BG9" s="975">
        <f>ZR!$S$10</f>
        <v>102.08</v>
      </c>
      <c r="BH9" s="975">
        <f>FrühKa!$S$10</f>
        <v>0</v>
      </c>
      <c r="BI9" s="975">
        <f>FrühKaFolieBer!$S$10</f>
        <v>0</v>
      </c>
      <c r="BJ9" s="975">
        <f>SpKa!$S$10</f>
        <v>84</v>
      </c>
      <c r="BK9" s="975">
        <f>SpKaBer!$S$10</f>
        <v>75</v>
      </c>
      <c r="BL9" s="975">
        <v>0</v>
      </c>
      <c r="BM9" s="975">
        <f>'FAKT-Brachebegrünung'!$S$10</f>
        <v>0</v>
      </c>
      <c r="BN9" s="975">
        <f>Begr!$S$10</f>
        <v>0</v>
      </c>
      <c r="BO9" s="977"/>
      <c r="BP9" s="976">
        <f>'WW1'!$T$10</f>
        <v>802.5</v>
      </c>
      <c r="BQ9" s="975">
        <f>'WW2'!$T$10</f>
        <v>802.5</v>
      </c>
      <c r="BR9" s="975">
        <f>'WW-A'!$T$10</f>
        <v>770.4</v>
      </c>
      <c r="BS9" s="975">
        <f>'WW-E'!$T$10</f>
        <v>727.59999999999991</v>
      </c>
      <c r="BT9" s="975">
        <f>WRo!$T$10</f>
        <v>601.875</v>
      </c>
      <c r="BU9" s="975">
        <f>Tr!$T$10</f>
        <v>806.51249999999993</v>
      </c>
      <c r="BV9" s="975">
        <f>WG!$T$10</f>
        <v>655.37499999999989</v>
      </c>
      <c r="BW9" s="975">
        <f>Di!$T$10</f>
        <v>674.09999999999991</v>
      </c>
      <c r="BX9" s="975">
        <f>SW!$T$10</f>
        <v>599.19999999999993</v>
      </c>
      <c r="BY9" s="975">
        <f>'SG-Fu'!$T$10</f>
        <v>588.5</v>
      </c>
      <c r="BZ9" s="975">
        <f>BG!$T$10</f>
        <v>600.25</v>
      </c>
      <c r="CA9" s="975">
        <f>Ha!$T$10</f>
        <v>735.625</v>
      </c>
      <c r="CB9" s="975">
        <f>Du!$T$10</f>
        <v>567.09999999999991</v>
      </c>
      <c r="CC9" s="975">
        <f>KöM!$T$10</f>
        <v>0</v>
      </c>
      <c r="CD9" s="975">
        <f>KH!$T$10</f>
        <v>0</v>
      </c>
      <c r="CE9" s="975">
        <f>WR!$T$10</f>
        <v>0</v>
      </c>
      <c r="CF9" s="975">
        <f>SR!$T$10</f>
        <v>0</v>
      </c>
      <c r="CG9" s="975">
        <f>SoBl!$T$10</f>
        <v>0</v>
      </c>
      <c r="CH9" s="975">
        <f>Soja!$T$10</f>
        <v>0</v>
      </c>
      <c r="CI9" s="975">
        <f>Öl!$T$10</f>
        <v>0</v>
      </c>
      <c r="CJ9" s="975">
        <f>FE!$T$10</f>
        <v>0</v>
      </c>
      <c r="CK9" s="975">
        <f>AB!$T$10</f>
        <v>0</v>
      </c>
      <c r="CL9" s="975">
        <f>Lu!$T$10</f>
        <v>0</v>
      </c>
      <c r="CM9" s="975">
        <f>ZR!$T$10</f>
        <v>0</v>
      </c>
      <c r="CN9" s="975">
        <f>FrühKa!$T$10</f>
        <v>0</v>
      </c>
      <c r="CO9" s="975">
        <f>FrühKaFolieBer!$T$10</f>
        <v>0</v>
      </c>
      <c r="CP9" s="975">
        <f>SpKa!$T$10</f>
        <v>100</v>
      </c>
      <c r="CQ9" s="975">
        <f>SpKaBer!$T$10</f>
        <v>84</v>
      </c>
      <c r="CR9" s="975">
        <f>Vorlage!$T$10</f>
        <v>0</v>
      </c>
      <c r="CS9" s="975">
        <f>'FAKT-Brachebegrünung'!$T$10</f>
        <v>0</v>
      </c>
      <c r="CT9" s="975">
        <f>Begr!$T$10</f>
        <v>0</v>
      </c>
      <c r="CV9" s="903" t="s">
        <v>828</v>
      </c>
      <c r="CW9" s="893"/>
      <c r="CX9" s="2623">
        <f>'Öko-KG1'!$R$10</f>
        <v>0</v>
      </c>
      <c r="CY9" s="975">
        <f>'Öko-KG2'!$R$10</f>
        <v>0</v>
      </c>
      <c r="CZ9" s="975">
        <f>'Öko-LU1'!$R$10</f>
        <v>0</v>
      </c>
      <c r="DA9" s="975">
        <f>'Öko-LU2'!$R$10</f>
        <v>0</v>
      </c>
      <c r="DB9" s="975">
        <f>'Öko-WW-Futter'!$R$10</f>
        <v>288</v>
      </c>
      <c r="DC9" s="975">
        <f>'Öko-WW-Brot'!$R$10</f>
        <v>288</v>
      </c>
      <c r="DD9" s="975">
        <f>'Öko-Di'!$R$10</f>
        <v>288</v>
      </c>
      <c r="DE9" s="975">
        <f>'Öko-Dinkel,gegerbt'!$R$10</f>
        <v>468.56249999999994</v>
      </c>
      <c r="DF9" s="975">
        <f>'Öko-Ro'!$R$10</f>
        <v>324</v>
      </c>
      <c r="DG9" s="975">
        <f>'Öko-Ha'!$R$10</f>
        <v>324</v>
      </c>
      <c r="DH9" s="975">
        <f>'Öko-Wg'!$R$10</f>
        <v>324</v>
      </c>
      <c r="DI9" s="975">
        <f>'Öko-Bg'!$R$10</f>
        <v>216</v>
      </c>
      <c r="DJ9" s="975">
        <f>'Öko-KöM'!$R$10</f>
        <v>0</v>
      </c>
      <c r="DK9" s="975">
        <f>'Öko-Ab'!$R$10</f>
        <v>0</v>
      </c>
      <c r="DL9" s="975">
        <f>'Öko-FE'!$R$10</f>
        <v>0</v>
      </c>
      <c r="DM9" s="975">
        <f>'Öko-Soja'!$R$10</f>
        <v>0</v>
      </c>
      <c r="DN9" s="975">
        <f>'Öko-Soblu'!$R$10</f>
        <v>0</v>
      </c>
      <c r="DO9" s="975">
        <f>'Öko-Raps'!$R$10</f>
        <v>0</v>
      </c>
      <c r="DP9" s="975">
        <f>'Öko-Ka'!$R$10</f>
        <v>0</v>
      </c>
      <c r="DQ9" s="975">
        <f>'Öko-Lu'!$R$10</f>
        <v>0</v>
      </c>
      <c r="DR9" s="975">
        <f>Begrün.!$R$10</f>
        <v>0</v>
      </c>
      <c r="DS9" s="975">
        <f>Blühm.!$R$10</f>
        <v>0</v>
      </c>
      <c r="DT9" s="893"/>
      <c r="DU9" s="975">
        <f>'Öko-KG1'!$S$10</f>
        <v>0</v>
      </c>
      <c r="DV9" s="975">
        <f>'Öko-KG2'!$S$10</f>
        <v>0</v>
      </c>
      <c r="DW9" s="975">
        <f>'Öko-LU1'!$S$10</f>
        <v>0</v>
      </c>
      <c r="DX9" s="975">
        <f>'Öko-LU2'!$S$10</f>
        <v>0</v>
      </c>
      <c r="DY9" s="976">
        <f>'Öko-WW-Futter'!$S$10</f>
        <v>384</v>
      </c>
      <c r="DZ9" s="975">
        <f>'Öko-WW-Brot'!$S$10</f>
        <v>384</v>
      </c>
      <c r="EA9" s="975">
        <f>'Öko-Di'!$S$10</f>
        <v>384</v>
      </c>
      <c r="EB9" s="975">
        <f>'Öko-Dinkel,gegerbt'!$S$10</f>
        <v>624.75</v>
      </c>
      <c r="EC9" s="975">
        <f>'Öko-Ro'!$S$10</f>
        <v>432</v>
      </c>
      <c r="ED9" s="975">
        <f>'Öko-Ha'!$S$10</f>
        <v>432</v>
      </c>
      <c r="EE9" s="975">
        <f>'Öko-Wg'!$S$10</f>
        <v>432</v>
      </c>
      <c r="EF9" s="975">
        <f>'Öko-Bg'!$S$10</f>
        <v>432</v>
      </c>
      <c r="EG9" s="975">
        <f>'Öko-KöM'!$S$10</f>
        <v>0</v>
      </c>
      <c r="EH9" s="975">
        <f>'Öko-Ab'!$S$10</f>
        <v>0</v>
      </c>
      <c r="EI9" s="975">
        <f>'Öko-FE'!$S$10</f>
        <v>0</v>
      </c>
      <c r="EJ9" s="975">
        <f>'Öko-Soja'!$S$10</f>
        <v>0</v>
      </c>
      <c r="EK9" s="975">
        <f>'Öko-Soblu'!$S$10</f>
        <v>0</v>
      </c>
      <c r="EL9" s="975">
        <f>'Öko-Raps'!$S$10</f>
        <v>0</v>
      </c>
      <c r="EM9" s="975">
        <f>'Öko-Ka'!$S$10</f>
        <v>0</v>
      </c>
      <c r="EN9" s="975">
        <f>'Öko-Lu'!$S$10</f>
        <v>0</v>
      </c>
      <c r="EO9" s="975">
        <f>Begrün.!$S$10</f>
        <v>0</v>
      </c>
      <c r="EP9" s="975">
        <f>Blühm.!$S$10</f>
        <v>0</v>
      </c>
      <c r="EQ9" s="893"/>
      <c r="ER9" s="975">
        <f>'Öko-KG1'!$T$10</f>
        <v>0</v>
      </c>
      <c r="ES9" s="975">
        <f>'Öko-KG2'!$T$10</f>
        <v>0</v>
      </c>
      <c r="ET9" s="975">
        <f>'Öko-LU1'!$T$10</f>
        <v>0</v>
      </c>
      <c r="EU9" s="975">
        <f>'Öko-LU2'!$T$10</f>
        <v>0</v>
      </c>
      <c r="EV9" s="976">
        <f>'Öko-WW-Futter'!$T$10</f>
        <v>662.40000000000009</v>
      </c>
      <c r="EW9" s="975">
        <f>'Öko-WW-Brot'!$T$10</f>
        <v>576</v>
      </c>
      <c r="EX9" s="975">
        <f>'Öko-Di'!$T$10</f>
        <v>432</v>
      </c>
      <c r="EY9" s="975">
        <f>'Öko-Dinkel,gegerbt'!$T$10</f>
        <v>780.9375</v>
      </c>
      <c r="EZ9" s="975">
        <f>'Öko-Ro'!$T$10</f>
        <v>540</v>
      </c>
      <c r="FA9" s="975">
        <f>'Öko-Ha'!$T$10</f>
        <v>540</v>
      </c>
      <c r="FB9" s="975">
        <f>'Öko-Wg'!$T$10</f>
        <v>540</v>
      </c>
      <c r="FC9" s="975">
        <f>'Öko-Bg'!$T$10</f>
        <v>432</v>
      </c>
      <c r="FD9" s="975">
        <f>'Öko-KöM'!$T$10</f>
        <v>0</v>
      </c>
      <c r="FE9" s="975">
        <f>'Öko-Ab'!$T$10</f>
        <v>0</v>
      </c>
      <c r="FF9" s="975">
        <f>'Öko-FE'!$T$10</f>
        <v>0</v>
      </c>
      <c r="FG9" s="975">
        <f>'Öko-Soja'!$T$10</f>
        <v>0</v>
      </c>
      <c r="FH9" s="975">
        <f>'Öko-Soblu'!$T$10</f>
        <v>0</v>
      </c>
      <c r="FI9" s="975">
        <f>'Öko-Raps'!$T$10</f>
        <v>0</v>
      </c>
      <c r="FJ9" s="975">
        <f>'Öko-Ka'!$T$10</f>
        <v>0</v>
      </c>
      <c r="FK9" s="975">
        <f>'Öko-Lu'!$T$10</f>
        <v>0</v>
      </c>
      <c r="FL9" s="975">
        <f>Begrün.!$T$10</f>
        <v>0</v>
      </c>
      <c r="FM9" s="975">
        <f>Blühm.!$T$10</f>
        <v>0</v>
      </c>
    </row>
    <row r="10" spans="1:169" ht="16.2" customHeight="1">
      <c r="A10" s="899">
        <f>ROWS($A$1:A10)</f>
        <v>10</v>
      </c>
      <c r="B10" s="903" t="s">
        <v>827</v>
      </c>
      <c r="C10" s="902"/>
      <c r="D10" s="2620">
        <f>'WW1'!$J$22</f>
        <v>0</v>
      </c>
      <c r="E10" s="904">
        <f>'WW2'!$J$22</f>
        <v>0</v>
      </c>
      <c r="F10" s="904">
        <f>'WW-A'!$J$22</f>
        <v>0</v>
      </c>
      <c r="G10" s="904">
        <f>'WW-E'!$J$22</f>
        <v>0</v>
      </c>
      <c r="H10" s="904">
        <f>WRo!$J$22</f>
        <v>0</v>
      </c>
      <c r="I10" s="904">
        <f>Tr!$J$22</f>
        <v>0</v>
      </c>
      <c r="J10" s="904">
        <f>WG!$J$22</f>
        <v>0</v>
      </c>
      <c r="K10" s="904">
        <f>Di!$J$22</f>
        <v>0</v>
      </c>
      <c r="L10" s="904">
        <f>SW!$J$22</f>
        <v>0</v>
      </c>
      <c r="M10" s="904">
        <f>'SG-Fu'!$J$22</f>
        <v>0</v>
      </c>
      <c r="N10" s="904">
        <f>BG!$J$22</f>
        <v>0</v>
      </c>
      <c r="O10" s="904">
        <f>Ha!$J$22</f>
        <v>0</v>
      </c>
      <c r="P10" s="904">
        <f>Du!$J$22</f>
        <v>0</v>
      </c>
      <c r="Q10" s="904">
        <f>KöM!$J$22</f>
        <v>0</v>
      </c>
      <c r="R10" s="904">
        <f>KH!$J$22</f>
        <v>0</v>
      </c>
      <c r="S10" s="904">
        <f>WR!$J$22</f>
        <v>0</v>
      </c>
      <c r="T10" s="904">
        <f>SR!$J$22</f>
        <v>0</v>
      </c>
      <c r="U10" s="904">
        <f>SoBl!$J$22</f>
        <v>0</v>
      </c>
      <c r="V10" s="904">
        <f>Soja!$J$22</f>
        <v>0</v>
      </c>
      <c r="W10" s="904">
        <f>Öl!$J$22</f>
        <v>0</v>
      </c>
      <c r="X10" s="904">
        <f>FE!$J$22</f>
        <v>0</v>
      </c>
      <c r="Y10" s="904">
        <f>AB!$J$22</f>
        <v>0</v>
      </c>
      <c r="Z10" s="904">
        <f>Lu!$J$22</f>
        <v>0</v>
      </c>
      <c r="AA10" s="904">
        <f>ZR!$J$22</f>
        <v>0</v>
      </c>
      <c r="AB10" s="904">
        <f>FrühKa!$J$22</f>
        <v>0</v>
      </c>
      <c r="AC10" s="904">
        <f>FrühKaFolieBer!$J$22</f>
        <v>0</v>
      </c>
      <c r="AD10" s="904">
        <f>SpKa!$J$22</f>
        <v>0</v>
      </c>
      <c r="AE10" s="904">
        <f>SpKaBer!$J$22</f>
        <v>0</v>
      </c>
      <c r="AF10" s="904">
        <f>Vorlage!$J$22</f>
        <v>0</v>
      </c>
      <c r="AG10" s="904">
        <f>'FAKT-Brachebegrünung'!$J$22</f>
        <v>0</v>
      </c>
      <c r="AH10" s="904">
        <f>Begr!$J$22</f>
        <v>0</v>
      </c>
      <c r="AI10" s="901"/>
      <c r="AJ10" s="902">
        <f>'WW1'!$M$22</f>
        <v>0</v>
      </c>
      <c r="AK10" s="904">
        <f>'WW2'!$M$22</f>
        <v>0</v>
      </c>
      <c r="AL10" s="904">
        <f>'WW-A'!$M$22</f>
        <v>0</v>
      </c>
      <c r="AM10" s="904">
        <f>'WW-E'!$M$22</f>
        <v>0</v>
      </c>
      <c r="AN10" s="904">
        <f>WRo!$M$22</f>
        <v>0</v>
      </c>
      <c r="AO10" s="904">
        <f>Tr!$M$22</f>
        <v>0</v>
      </c>
      <c r="AP10" s="904">
        <f>WG!$M$22</f>
        <v>0</v>
      </c>
      <c r="AQ10" s="904">
        <f>Di!$M$22</f>
        <v>0</v>
      </c>
      <c r="AR10" s="904">
        <f>SW!$M$22</f>
        <v>0</v>
      </c>
      <c r="AS10" s="904">
        <f>'SG-Fu'!$M$22</f>
        <v>0</v>
      </c>
      <c r="AT10" s="904">
        <f>BG!$M$22</f>
        <v>0</v>
      </c>
      <c r="AU10" s="904">
        <f>Ha!$M$22</f>
        <v>0</v>
      </c>
      <c r="AV10" s="904">
        <f>Du!$M$22</f>
        <v>0</v>
      </c>
      <c r="AW10" s="904">
        <f>KöM!$M$22</f>
        <v>0</v>
      </c>
      <c r="AX10" s="904">
        <f>KH!$M$22</f>
        <v>0</v>
      </c>
      <c r="AY10" s="904">
        <f>WR!$M$22</f>
        <v>0</v>
      </c>
      <c r="AZ10" s="904">
        <f>SR!$M$22</f>
        <v>0</v>
      </c>
      <c r="BA10" s="904">
        <f>SoBl!$M$22</f>
        <v>0</v>
      </c>
      <c r="BB10" s="904">
        <f>Soja!$M$22</f>
        <v>0</v>
      </c>
      <c r="BC10" s="904">
        <f>Öl!$M$22</f>
        <v>0</v>
      </c>
      <c r="BD10" s="904">
        <f>FE!$M$22</f>
        <v>0</v>
      </c>
      <c r="BE10" s="904">
        <f>AB!$M$22</f>
        <v>0</v>
      </c>
      <c r="BF10" s="904">
        <f>Lu!$M$22</f>
        <v>0</v>
      </c>
      <c r="BG10" s="904">
        <f>ZR!$M$22</f>
        <v>0</v>
      </c>
      <c r="BH10" s="904">
        <f>FrühKa!$M$22</f>
        <v>0</v>
      </c>
      <c r="BI10" s="904">
        <f>FrühKaFolieBer!$M$22</f>
        <v>0</v>
      </c>
      <c r="BJ10" s="904">
        <f>SpKa!$M$22</f>
        <v>0</v>
      </c>
      <c r="BK10" s="904">
        <f>SpKaBer!$M$22</f>
        <v>0</v>
      </c>
      <c r="BL10" s="904">
        <v>0</v>
      </c>
      <c r="BM10" s="904">
        <f>'FAKT-Brachebegrünung'!$M$22</f>
        <v>0</v>
      </c>
      <c r="BN10" s="904">
        <f>Begr!$M$22</f>
        <v>0</v>
      </c>
      <c r="BO10" s="901"/>
      <c r="BP10" s="902">
        <f>'WW1'!$P$22</f>
        <v>0</v>
      </c>
      <c r="BQ10" s="904">
        <f>'WW2'!$P$22</f>
        <v>0</v>
      </c>
      <c r="BR10" s="904">
        <f>'WW-A'!$P$22</f>
        <v>0</v>
      </c>
      <c r="BS10" s="904">
        <f>'WW-E'!$P$22</f>
        <v>0</v>
      </c>
      <c r="BT10" s="904">
        <f>WRo!$P$22</f>
        <v>0</v>
      </c>
      <c r="BU10" s="904">
        <f>Tr!$P$22</f>
        <v>0</v>
      </c>
      <c r="BV10" s="904">
        <f>WG!$P$22</f>
        <v>0</v>
      </c>
      <c r="BW10" s="904">
        <f>Di!$P$22</f>
        <v>0</v>
      </c>
      <c r="BX10" s="904">
        <f>SW!$P$22</f>
        <v>0</v>
      </c>
      <c r="BY10" s="904">
        <f>'SG-Fu'!$P$22</f>
        <v>0</v>
      </c>
      <c r="BZ10" s="904">
        <f>BG!$P$22</f>
        <v>0</v>
      </c>
      <c r="CA10" s="904">
        <f>Ha!$P$22</f>
        <v>0</v>
      </c>
      <c r="CB10" s="904">
        <f>Du!$P$22</f>
        <v>0</v>
      </c>
      <c r="CC10" s="904">
        <f>KöM!$P$22</f>
        <v>0</v>
      </c>
      <c r="CD10" s="904">
        <f>KH!$P$22</f>
        <v>0</v>
      </c>
      <c r="CE10" s="904">
        <f>WR!$P$22</f>
        <v>0</v>
      </c>
      <c r="CF10" s="904">
        <f>SR!$P$22</f>
        <v>0</v>
      </c>
      <c r="CG10" s="904">
        <f>SoBl!$P$22</f>
        <v>0</v>
      </c>
      <c r="CH10" s="904">
        <f>Soja!$P$22</f>
        <v>0</v>
      </c>
      <c r="CI10" s="904">
        <f>Öl!$P$22</f>
        <v>0</v>
      </c>
      <c r="CJ10" s="904">
        <f>FE!$P$22</f>
        <v>0</v>
      </c>
      <c r="CK10" s="904">
        <f>AB!$P$22</f>
        <v>0</v>
      </c>
      <c r="CL10" s="904">
        <f>Lu!$P$22</f>
        <v>0</v>
      </c>
      <c r="CM10" s="904">
        <f>ZR!$P$22</f>
        <v>0</v>
      </c>
      <c r="CN10" s="904">
        <f>FrühKa!$P$22</f>
        <v>0</v>
      </c>
      <c r="CO10" s="904">
        <f>FrühKaFolieBer!$P$22</f>
        <v>0</v>
      </c>
      <c r="CP10" s="904">
        <f>SpKa!$P$22</f>
        <v>0</v>
      </c>
      <c r="CQ10" s="904">
        <f>SpKaBer!$P$22</f>
        <v>0</v>
      </c>
      <c r="CR10" s="904">
        <f>Vorlage!$P$22</f>
        <v>0</v>
      </c>
      <c r="CS10" s="904">
        <f>'FAKT-Brachebegrünung'!$P$22</f>
        <v>0</v>
      </c>
      <c r="CT10" s="904">
        <f>Begr!$P$22</f>
        <v>0</v>
      </c>
      <c r="CV10" s="903" t="s">
        <v>827</v>
      </c>
      <c r="CW10" s="902"/>
      <c r="CX10" s="2620">
        <f>'Öko-KG1'!$J$22</f>
        <v>0</v>
      </c>
      <c r="CY10" s="904">
        <f>'Öko-KG2'!$J$22</f>
        <v>0</v>
      </c>
      <c r="CZ10" s="904">
        <f>'Öko-LU1'!$J$22</f>
        <v>0</v>
      </c>
      <c r="DA10" s="904">
        <f>'Öko-LU2'!$J$22</f>
        <v>0</v>
      </c>
      <c r="DB10" s="904">
        <f>'Öko-WW-Futter'!$J$22</f>
        <v>0</v>
      </c>
      <c r="DC10" s="904">
        <f>'Öko-WW-Brot'!$J$22</f>
        <v>0</v>
      </c>
      <c r="DD10" s="904">
        <f>'Öko-Di'!$J$22</f>
        <v>0</v>
      </c>
      <c r="DE10" s="904">
        <f>'Öko-Dinkel,gegerbt'!$J$22</f>
        <v>0</v>
      </c>
      <c r="DF10" s="904">
        <f>'Öko-Ro'!$J$22</f>
        <v>0</v>
      </c>
      <c r="DG10" s="904">
        <f>'Öko-Ha'!$J$22</f>
        <v>0</v>
      </c>
      <c r="DH10" s="904">
        <f>'Öko-Wg'!$J$22</f>
        <v>0</v>
      </c>
      <c r="DI10" s="904">
        <f>'Öko-Bg'!$J$22</f>
        <v>0</v>
      </c>
      <c r="DJ10" s="904">
        <f>'Öko-KöM'!$J$22</f>
        <v>0</v>
      </c>
      <c r="DK10" s="904">
        <f>'Öko-Ab'!$J$22</f>
        <v>0</v>
      </c>
      <c r="DL10" s="904">
        <f>'Öko-FE'!$J$22</f>
        <v>0</v>
      </c>
      <c r="DM10" s="904">
        <f>'Öko-Soja'!$J$22</f>
        <v>0</v>
      </c>
      <c r="DN10" s="904">
        <f>'Öko-Soblu'!$J$22</f>
        <v>0</v>
      </c>
      <c r="DO10" s="904">
        <f>'Öko-Raps'!$J$22</f>
        <v>0</v>
      </c>
      <c r="DP10" s="904">
        <f>'Öko-Ka'!$J$22</f>
        <v>0</v>
      </c>
      <c r="DQ10" s="904">
        <f>'Öko-Lu'!$J$22</f>
        <v>0</v>
      </c>
      <c r="DR10" s="904">
        <f>Begrün.!$J$22</f>
        <v>0</v>
      </c>
      <c r="DS10" s="904">
        <f>Blühm.!$J$22</f>
        <v>0</v>
      </c>
      <c r="DT10" s="893"/>
      <c r="DU10" s="904">
        <f>'Öko-KG1'!$M$22</f>
        <v>0</v>
      </c>
      <c r="DV10" s="904">
        <f>'Öko-KG2'!$M$22</f>
        <v>0</v>
      </c>
      <c r="DW10" s="904">
        <f>'Öko-LU1'!$M$22</f>
        <v>0</v>
      </c>
      <c r="DX10" s="904">
        <f>'Öko-LU2'!$M$22</f>
        <v>0</v>
      </c>
      <c r="DY10" s="902">
        <f>'Öko-WW-Futter'!$M$22</f>
        <v>0</v>
      </c>
      <c r="DZ10" s="904">
        <f>'Öko-WW-Brot'!$M$22</f>
        <v>0</v>
      </c>
      <c r="EA10" s="904">
        <f>'Öko-Di'!$M$22</f>
        <v>0</v>
      </c>
      <c r="EB10" s="904">
        <f>'Öko-Dinkel,gegerbt'!$M$22</f>
        <v>0</v>
      </c>
      <c r="EC10" s="904">
        <f>'Öko-Ro'!$M$22</f>
        <v>0</v>
      </c>
      <c r="ED10" s="904">
        <f>'Öko-Ha'!$M$22</f>
        <v>0</v>
      </c>
      <c r="EE10" s="904">
        <f>'Öko-Wg'!$M$22</f>
        <v>0</v>
      </c>
      <c r="EF10" s="904">
        <f>'Öko-Bg'!$M$22</f>
        <v>0</v>
      </c>
      <c r="EG10" s="904">
        <f>'Öko-KöM'!$M$22</f>
        <v>0</v>
      </c>
      <c r="EH10" s="904">
        <f>'Öko-Ab'!$M$22</f>
        <v>0</v>
      </c>
      <c r="EI10" s="904">
        <f>'Öko-FE'!$M$22</f>
        <v>0</v>
      </c>
      <c r="EJ10" s="904">
        <f>'Öko-Soja'!$M$22</f>
        <v>0</v>
      </c>
      <c r="EK10" s="904">
        <f>'Öko-Soblu'!$M$22</f>
        <v>0</v>
      </c>
      <c r="EL10" s="904">
        <f>'Öko-Raps'!$M$22</f>
        <v>0</v>
      </c>
      <c r="EM10" s="904">
        <f>'Öko-Ka'!$M$22</f>
        <v>0</v>
      </c>
      <c r="EN10" s="904">
        <f>'Öko-Lu'!$M$22</f>
        <v>0</v>
      </c>
      <c r="EO10" s="904">
        <f>Begrün.!$M$22</f>
        <v>0</v>
      </c>
      <c r="EP10" s="904">
        <f>Blühm.!$M$22</f>
        <v>0</v>
      </c>
      <c r="EQ10" s="893"/>
      <c r="ER10" s="904">
        <f>'Öko-KG1'!$P$22</f>
        <v>0</v>
      </c>
      <c r="ES10" s="904">
        <f>'Öko-KG2'!$P$22</f>
        <v>0</v>
      </c>
      <c r="ET10" s="904">
        <f>'Öko-LU1'!$P$22</f>
        <v>0</v>
      </c>
      <c r="EU10" s="904">
        <f>'Öko-LU2'!$P$22</f>
        <v>0</v>
      </c>
      <c r="EV10" s="902">
        <f>'Öko-WW-Futter'!$P$22</f>
        <v>0</v>
      </c>
      <c r="EW10" s="904">
        <f>'Öko-WW-Brot'!$P$22</f>
        <v>0</v>
      </c>
      <c r="EX10" s="904">
        <f>'Öko-Di'!$P$22</f>
        <v>0</v>
      </c>
      <c r="EY10" s="904">
        <f>'Öko-Dinkel,gegerbt'!$P$22</f>
        <v>0</v>
      </c>
      <c r="EZ10" s="904">
        <f>'Öko-Ro'!$P$22</f>
        <v>0</v>
      </c>
      <c r="FA10" s="904">
        <f>'Öko-Ha'!$P$22</f>
        <v>0</v>
      </c>
      <c r="FB10" s="904">
        <f>'Öko-Wg'!$P$22</f>
        <v>0</v>
      </c>
      <c r="FC10" s="904">
        <f>'Öko-Bg'!$P$22</f>
        <v>0</v>
      </c>
      <c r="FD10" s="904">
        <f>'Öko-KöM'!$P$22</f>
        <v>0</v>
      </c>
      <c r="FE10" s="904">
        <f>'Öko-Ab'!$P$22</f>
        <v>0</v>
      </c>
      <c r="FF10" s="904">
        <f>'Öko-FE'!$P$22</f>
        <v>50</v>
      </c>
      <c r="FG10" s="904">
        <f>'Öko-Soja'!$P$22</f>
        <v>0</v>
      </c>
      <c r="FH10" s="904">
        <f>'Öko-Soblu'!$P$22</f>
        <v>0</v>
      </c>
      <c r="FI10" s="904">
        <f>'Öko-Raps'!$P$22</f>
        <v>0</v>
      </c>
      <c r="FJ10" s="904">
        <f>'Öko-Ka'!$P$22</f>
        <v>0</v>
      </c>
      <c r="FK10" s="904">
        <f>'Öko-Lu'!$P$22</f>
        <v>0</v>
      </c>
      <c r="FL10" s="904">
        <f>Begrün.!$P$22</f>
        <v>0</v>
      </c>
      <c r="FM10" s="904">
        <f>Blühm.!$P$22</f>
        <v>0</v>
      </c>
    </row>
    <row r="11" spans="1:169" ht="18" customHeight="1">
      <c r="A11" s="899">
        <f>ROWS($A$1:A11)</f>
        <v>11</v>
      </c>
      <c r="B11" s="989" t="s">
        <v>826</v>
      </c>
      <c r="C11" s="988"/>
      <c r="D11" s="962">
        <f t="shared" ref="D11:AH11" si="23">SUM(D8:D10)</f>
        <v>1409.625</v>
      </c>
      <c r="E11" s="962">
        <f>SUM(E8:E10)</f>
        <v>1494</v>
      </c>
      <c r="F11" s="962">
        <f t="shared" si="23"/>
        <v>1569.24</v>
      </c>
      <c r="G11" s="962">
        <f t="shared" si="23"/>
        <v>1660.56</v>
      </c>
      <c r="H11" s="962">
        <f t="shared" si="23"/>
        <v>946.125</v>
      </c>
      <c r="I11" s="962">
        <f t="shared" si="23"/>
        <v>1308.0074999999999</v>
      </c>
      <c r="J11" s="962">
        <f t="shared" si="23"/>
        <v>1243.7249999999999</v>
      </c>
      <c r="K11" s="962">
        <f t="shared" si="23"/>
        <v>1496.46</v>
      </c>
      <c r="L11" s="962">
        <f t="shared" si="23"/>
        <v>1136.52</v>
      </c>
      <c r="M11" s="962">
        <f t="shared" si="23"/>
        <v>1021.3499999999999</v>
      </c>
      <c r="N11" s="962">
        <f t="shared" si="23"/>
        <v>1438.05</v>
      </c>
      <c r="O11" s="962">
        <f t="shared" si="23"/>
        <v>1150.125</v>
      </c>
      <c r="P11" s="962">
        <f t="shared" si="23"/>
        <v>1473.135</v>
      </c>
      <c r="Q11" s="962">
        <f t="shared" si="23"/>
        <v>1374.45</v>
      </c>
      <c r="R11" s="962" t="e">
        <f>SUM(R8:R10)</f>
        <v>#VALUE!</v>
      </c>
      <c r="S11" s="962">
        <f t="shared" si="23"/>
        <v>1245</v>
      </c>
      <c r="T11" s="962">
        <f t="shared" si="23"/>
        <v>684.75</v>
      </c>
      <c r="U11" s="962">
        <f t="shared" si="23"/>
        <v>684.375</v>
      </c>
      <c r="V11" s="962">
        <f t="shared" si="23"/>
        <v>820</v>
      </c>
      <c r="W11" s="962" t="e">
        <f t="shared" ref="W11" si="24">SUM(W8:W10)</f>
        <v>#VALUE!</v>
      </c>
      <c r="X11" s="962">
        <f t="shared" si="23"/>
        <v>484</v>
      </c>
      <c r="Y11" s="962">
        <f t="shared" si="23"/>
        <v>494</v>
      </c>
      <c r="Z11" s="962" t="e">
        <f t="shared" si="23"/>
        <v>#VALUE!</v>
      </c>
      <c r="AA11" s="962">
        <f t="shared" si="23"/>
        <v>2937.99</v>
      </c>
      <c r="AB11" s="962">
        <f t="shared" si="23"/>
        <v>12864</v>
      </c>
      <c r="AC11" s="962" t="e">
        <f t="shared" si="23"/>
        <v>#VALUE!</v>
      </c>
      <c r="AD11" s="962">
        <f t="shared" si="23"/>
        <v>7199</v>
      </c>
      <c r="AE11" s="962">
        <f t="shared" si="23"/>
        <v>13855</v>
      </c>
      <c r="AF11" s="962">
        <f t="shared" si="23"/>
        <v>0</v>
      </c>
      <c r="AG11" s="962">
        <f t="shared" si="23"/>
        <v>0</v>
      </c>
      <c r="AH11" s="962">
        <f t="shared" si="23"/>
        <v>0</v>
      </c>
      <c r="AI11" s="948"/>
      <c r="AJ11" s="963">
        <f t="shared" ref="AJ11:BN11" si="25">SUM(AJ8:AJ10)</f>
        <v>1879.5</v>
      </c>
      <c r="AK11" s="962">
        <f t="shared" si="25"/>
        <v>1992</v>
      </c>
      <c r="AL11" s="962">
        <f t="shared" si="25"/>
        <v>2092.3199999999997</v>
      </c>
      <c r="AM11" s="962">
        <f t="shared" si="25"/>
        <v>2214.08</v>
      </c>
      <c r="AN11" s="962">
        <f t="shared" si="25"/>
        <v>1261.5</v>
      </c>
      <c r="AO11" s="962">
        <f t="shared" si="25"/>
        <v>1744.01</v>
      </c>
      <c r="AP11" s="962">
        <f t="shared" si="25"/>
        <v>1658.3</v>
      </c>
      <c r="AQ11" s="962">
        <f t="shared" si="25"/>
        <v>1995.28</v>
      </c>
      <c r="AR11" s="962">
        <f t="shared" si="25"/>
        <v>1515.3600000000001</v>
      </c>
      <c r="AS11" s="962">
        <f t="shared" si="25"/>
        <v>1361.8</v>
      </c>
      <c r="AT11" s="962">
        <f t="shared" si="25"/>
        <v>1758.65</v>
      </c>
      <c r="AU11" s="962">
        <f t="shared" si="25"/>
        <v>1533.5</v>
      </c>
      <c r="AV11" s="962">
        <f t="shared" si="25"/>
        <v>1964.18</v>
      </c>
      <c r="AW11" s="962">
        <f t="shared" si="25"/>
        <v>1832.6</v>
      </c>
      <c r="AX11" s="962" t="e">
        <f t="shared" ref="AX11" si="26">SUM(AX8:AX10)</f>
        <v>#VALUE!</v>
      </c>
      <c r="AY11" s="962">
        <f t="shared" si="25"/>
        <v>1660</v>
      </c>
      <c r="AZ11" s="962">
        <f>SUM(AZ8:AZ10)</f>
        <v>913</v>
      </c>
      <c r="BA11" s="962">
        <f t="shared" si="25"/>
        <v>912.5</v>
      </c>
      <c r="BB11" s="962">
        <f t="shared" si="25"/>
        <v>1107</v>
      </c>
      <c r="BC11" s="962" t="e">
        <f t="shared" ref="BC11" si="27">SUM(BC8:BC10)</f>
        <v>#VALUE!</v>
      </c>
      <c r="BD11" s="962">
        <f t="shared" si="25"/>
        <v>847</v>
      </c>
      <c r="BE11" s="962">
        <f t="shared" si="25"/>
        <v>864.5</v>
      </c>
      <c r="BF11" s="962" t="e">
        <f t="shared" si="25"/>
        <v>#VALUE!</v>
      </c>
      <c r="BG11" s="962">
        <f t="shared" si="25"/>
        <v>4402.2</v>
      </c>
      <c r="BH11" s="962">
        <f t="shared" si="25"/>
        <v>17152</v>
      </c>
      <c r="BI11" s="962" t="e">
        <f t="shared" si="25"/>
        <v>#VALUE!</v>
      </c>
      <c r="BJ11" s="962">
        <f t="shared" si="25"/>
        <v>8292</v>
      </c>
      <c r="BK11" s="962">
        <f t="shared" si="25"/>
        <v>15375</v>
      </c>
      <c r="BL11" s="962">
        <f t="shared" si="25"/>
        <v>0</v>
      </c>
      <c r="BM11" s="962">
        <f t="shared" si="25"/>
        <v>0</v>
      </c>
      <c r="BN11" s="962">
        <f t="shared" si="25"/>
        <v>0</v>
      </c>
      <c r="BO11" s="948"/>
      <c r="BP11" s="963">
        <f t="shared" ref="BP11:CT11" si="28">SUM(BP8:BP10)</f>
        <v>2349.375</v>
      </c>
      <c r="BQ11" s="962">
        <f t="shared" si="28"/>
        <v>2490</v>
      </c>
      <c r="BR11" s="962">
        <f t="shared" si="28"/>
        <v>2615.4</v>
      </c>
      <c r="BS11" s="962">
        <f t="shared" si="28"/>
        <v>2767.6</v>
      </c>
      <c r="BT11" s="962">
        <f t="shared" si="28"/>
        <v>1576.875</v>
      </c>
      <c r="BU11" s="962">
        <f t="shared" si="28"/>
        <v>2180.0124999999998</v>
      </c>
      <c r="BV11" s="962">
        <f t="shared" si="28"/>
        <v>2072.875</v>
      </c>
      <c r="BW11" s="962">
        <f t="shared" si="28"/>
        <v>2494.1</v>
      </c>
      <c r="BX11" s="962">
        <f t="shared" si="28"/>
        <v>1894.1999999999998</v>
      </c>
      <c r="BY11" s="962">
        <f t="shared" si="28"/>
        <v>1702.25</v>
      </c>
      <c r="BZ11" s="962">
        <f t="shared" si="28"/>
        <v>2079.25</v>
      </c>
      <c r="CA11" s="962">
        <f t="shared" si="28"/>
        <v>1916.875</v>
      </c>
      <c r="CB11" s="962">
        <f t="shared" si="28"/>
        <v>2455.2249999999999</v>
      </c>
      <c r="CC11" s="962">
        <f t="shared" si="28"/>
        <v>2290.75</v>
      </c>
      <c r="CD11" s="962" t="e">
        <f t="shared" ref="CD11" si="29">SUM(CD8:CD10)</f>
        <v>#VALUE!</v>
      </c>
      <c r="CE11" s="962">
        <f t="shared" si="28"/>
        <v>2075</v>
      </c>
      <c r="CF11" s="962">
        <f t="shared" si="28"/>
        <v>1141.25</v>
      </c>
      <c r="CG11" s="962">
        <f t="shared" si="28"/>
        <v>1140.625</v>
      </c>
      <c r="CH11" s="962">
        <f t="shared" si="28"/>
        <v>1394</v>
      </c>
      <c r="CI11" s="962" t="e">
        <f t="shared" ref="CI11" si="30">SUM(CI8:CI10)</f>
        <v>#VALUE!</v>
      </c>
      <c r="CJ11" s="962">
        <f t="shared" si="28"/>
        <v>1210</v>
      </c>
      <c r="CK11" s="962">
        <f t="shared" si="28"/>
        <v>1235</v>
      </c>
      <c r="CL11" s="962" t="e">
        <f t="shared" si="28"/>
        <v>#VALUE!</v>
      </c>
      <c r="CM11" s="962">
        <f t="shared" si="28"/>
        <v>5534.65</v>
      </c>
      <c r="CN11" s="962">
        <f t="shared" si="28"/>
        <v>21440</v>
      </c>
      <c r="CO11" s="962" t="e">
        <f t="shared" si="28"/>
        <v>#VALUE!</v>
      </c>
      <c r="CP11" s="962">
        <f t="shared" si="28"/>
        <v>10540</v>
      </c>
      <c r="CQ11" s="962">
        <f t="shared" si="28"/>
        <v>16860</v>
      </c>
      <c r="CR11" s="962">
        <f>SUM(CR8:CR10)</f>
        <v>0</v>
      </c>
      <c r="CS11" s="962">
        <f t="shared" si="28"/>
        <v>0</v>
      </c>
      <c r="CT11" s="962">
        <f t="shared" si="28"/>
        <v>0</v>
      </c>
      <c r="CV11" s="989" t="s">
        <v>826</v>
      </c>
      <c r="CW11" s="988"/>
      <c r="CX11" s="962">
        <f t="shared" ref="CX11:DK11" si="31">SUM(CX8:CX10)</f>
        <v>0</v>
      </c>
      <c r="CY11" s="962">
        <f t="shared" si="31"/>
        <v>0</v>
      </c>
      <c r="CZ11" s="962">
        <f t="shared" si="31"/>
        <v>0</v>
      </c>
      <c r="DA11" s="962">
        <f t="shared" si="31"/>
        <v>0</v>
      </c>
      <c r="DB11" s="962">
        <f t="shared" si="31"/>
        <v>1190.7</v>
      </c>
      <c r="DC11" s="962">
        <f t="shared" si="31"/>
        <v>1521.9</v>
      </c>
      <c r="DD11" s="962">
        <f t="shared" si="31"/>
        <v>1591.1999999999998</v>
      </c>
      <c r="DE11" s="962">
        <f t="shared" si="31"/>
        <v>468.56249999999994</v>
      </c>
      <c r="DF11" s="962">
        <f t="shared" si="31"/>
        <v>1199.4000000000001</v>
      </c>
      <c r="DG11" s="962">
        <f t="shared" si="31"/>
        <v>1556.3999999999999</v>
      </c>
      <c r="DH11" s="962">
        <f>SUM(DH8:DH10)</f>
        <v>1189.8</v>
      </c>
      <c r="DI11" s="962">
        <f t="shared" si="31"/>
        <v>1069.56</v>
      </c>
      <c r="DJ11" s="962">
        <f t="shared" si="31"/>
        <v>1761.9</v>
      </c>
      <c r="DK11" s="962">
        <f t="shared" si="31"/>
        <v>1007.625</v>
      </c>
      <c r="DL11" s="962">
        <f t="shared" ref="DL11:DS11" si="32">SUM(DL8:DL10)</f>
        <v>942</v>
      </c>
      <c r="DM11" s="962">
        <f t="shared" si="32"/>
        <v>1573.4</v>
      </c>
      <c r="DN11" s="962">
        <f t="shared" si="32"/>
        <v>0</v>
      </c>
      <c r="DO11" s="962">
        <f t="shared" si="32"/>
        <v>760</v>
      </c>
      <c r="DP11" s="962">
        <f t="shared" si="32"/>
        <v>11125.5</v>
      </c>
      <c r="DQ11" s="962">
        <f t="shared" ref="DQ11" si="33">SUM(DQ8:DQ10)</f>
        <v>870</v>
      </c>
      <c r="DR11" s="962">
        <f t="shared" si="32"/>
        <v>0</v>
      </c>
      <c r="DS11" s="962">
        <f t="shared" si="32"/>
        <v>0</v>
      </c>
      <c r="DT11" s="893"/>
      <c r="DU11" s="962">
        <f t="shared" ref="DU11:EM11" si="34">SUM(DU8:DU10)</f>
        <v>0</v>
      </c>
      <c r="DV11" s="963">
        <f t="shared" si="34"/>
        <v>0</v>
      </c>
      <c r="DW11" s="963">
        <f t="shared" si="34"/>
        <v>0</v>
      </c>
      <c r="DX11" s="963">
        <f t="shared" si="34"/>
        <v>0</v>
      </c>
      <c r="DY11" s="963">
        <f t="shared" si="34"/>
        <v>1587.6</v>
      </c>
      <c r="DZ11" s="962">
        <f t="shared" si="34"/>
        <v>2029.2</v>
      </c>
      <c r="EA11" s="962">
        <f t="shared" si="34"/>
        <v>2121.6</v>
      </c>
      <c r="EB11" s="962">
        <f t="shared" si="34"/>
        <v>624.75</v>
      </c>
      <c r="EC11" s="962">
        <f t="shared" si="34"/>
        <v>1599.2</v>
      </c>
      <c r="ED11" s="962">
        <f t="shared" si="34"/>
        <v>2075.1999999999998</v>
      </c>
      <c r="EE11" s="962">
        <f>SUM(EE8:EE10)</f>
        <v>1586.4</v>
      </c>
      <c r="EF11" s="962">
        <f t="shared" si="34"/>
        <v>2139.12</v>
      </c>
      <c r="EG11" s="962">
        <f t="shared" si="34"/>
        <v>2349.2000000000003</v>
      </c>
      <c r="EH11" s="962">
        <f t="shared" si="34"/>
        <v>1343.5</v>
      </c>
      <c r="EI11" s="962">
        <f t="shared" si="34"/>
        <v>1256</v>
      </c>
      <c r="EJ11" s="962">
        <f t="shared" si="34"/>
        <v>1966.75</v>
      </c>
      <c r="EK11" s="962">
        <f t="shared" si="34"/>
        <v>0</v>
      </c>
      <c r="EL11" s="962">
        <f t="shared" si="34"/>
        <v>1368</v>
      </c>
      <c r="EM11" s="962">
        <f t="shared" si="34"/>
        <v>13906.875</v>
      </c>
      <c r="EN11" s="962">
        <f t="shared" ref="EN11" si="35">SUM(EN8:EN10)</f>
        <v>1160</v>
      </c>
      <c r="EO11" s="962">
        <f>SUM(EO8:EO10)</f>
        <v>0</v>
      </c>
      <c r="EP11" s="962">
        <f>SUM(EP8:EP10)</f>
        <v>0</v>
      </c>
      <c r="EQ11" s="893"/>
      <c r="ER11" s="962">
        <f t="shared" ref="ER11:FJ11" si="36">SUM(ER8:ER10)</f>
        <v>0</v>
      </c>
      <c r="ES11" s="963">
        <f t="shared" si="36"/>
        <v>0</v>
      </c>
      <c r="ET11" s="963">
        <f t="shared" si="36"/>
        <v>0</v>
      </c>
      <c r="EU11" s="963">
        <f t="shared" si="36"/>
        <v>0</v>
      </c>
      <c r="EV11" s="963">
        <f t="shared" si="36"/>
        <v>2738.61</v>
      </c>
      <c r="EW11" s="962">
        <f t="shared" si="36"/>
        <v>3043.8</v>
      </c>
      <c r="EX11" s="962">
        <f t="shared" si="36"/>
        <v>2386.8000000000002</v>
      </c>
      <c r="EY11" s="962">
        <f t="shared" si="36"/>
        <v>780.9375</v>
      </c>
      <c r="EZ11" s="962">
        <f t="shared" si="36"/>
        <v>1999</v>
      </c>
      <c r="FA11" s="962">
        <f t="shared" si="36"/>
        <v>2594</v>
      </c>
      <c r="FB11" s="962">
        <f>SUM(FB8:FB10)</f>
        <v>1983</v>
      </c>
      <c r="FC11" s="962">
        <f t="shared" si="36"/>
        <v>2139.12</v>
      </c>
      <c r="FD11" s="962">
        <f t="shared" si="36"/>
        <v>2936.5</v>
      </c>
      <c r="FE11" s="962">
        <f t="shared" si="36"/>
        <v>1679.375</v>
      </c>
      <c r="FF11" s="962">
        <f t="shared" si="36"/>
        <v>1620</v>
      </c>
      <c r="FG11" s="962">
        <f t="shared" si="36"/>
        <v>2360.1</v>
      </c>
      <c r="FH11" s="962">
        <f t="shared" si="36"/>
        <v>0</v>
      </c>
      <c r="FI11" s="962">
        <f t="shared" si="36"/>
        <v>1976</v>
      </c>
      <c r="FJ11" s="962">
        <f t="shared" si="36"/>
        <v>16688.25</v>
      </c>
      <c r="FK11" s="962">
        <f t="shared" ref="FK11" si="37">SUM(FK8:FK10)</f>
        <v>1450</v>
      </c>
      <c r="FL11" s="962">
        <f>SUM(FL8:FL10)</f>
        <v>0</v>
      </c>
      <c r="FM11" s="962">
        <f>SUM(FM8:FM10)</f>
        <v>0</v>
      </c>
    </row>
    <row r="12" spans="1:169" ht="16.2" customHeight="1">
      <c r="A12" s="899">
        <f>ROWS($A$1:A12)</f>
        <v>12</v>
      </c>
      <c r="B12" s="968" t="s">
        <v>825</v>
      </c>
      <c r="C12" s="987" t="s">
        <v>163</v>
      </c>
      <c r="D12" s="2621">
        <f>'WW1'!$J$23</f>
        <v>120</v>
      </c>
      <c r="E12" s="949">
        <f>'WW2'!$J$23</f>
        <v>128</v>
      </c>
      <c r="F12" s="949">
        <f>'WW-A'!$J$23</f>
        <v>131.19999999999999</v>
      </c>
      <c r="G12" s="949">
        <f>'WW-E'!$J$23</f>
        <v>136</v>
      </c>
      <c r="H12" s="949">
        <f>WRo!$J$23</f>
        <v>77</v>
      </c>
      <c r="I12" s="949">
        <f>Tr!$J$23</f>
        <v>111</v>
      </c>
      <c r="J12" s="949">
        <f>WG!$J$23</f>
        <v>93.75</v>
      </c>
      <c r="K12" s="949">
        <f>Di!$J$23</f>
        <v>175.75</v>
      </c>
      <c r="L12" s="949">
        <f>SW!$J$23</f>
        <v>146.25</v>
      </c>
      <c r="M12" s="949">
        <f>'SG-Fu'!$J$23</f>
        <v>127.05</v>
      </c>
      <c r="N12" s="949">
        <f>BG!$J$23</f>
        <v>139.19999999999999</v>
      </c>
      <c r="O12" s="949">
        <f>Ha!$J$23</f>
        <v>94.429999999999993</v>
      </c>
      <c r="P12" s="949">
        <f>Du!$J$23</f>
        <v>161.5</v>
      </c>
      <c r="Q12" s="949">
        <f>KöM!$J$23</f>
        <v>243</v>
      </c>
      <c r="R12" s="949">
        <f>KH!$J$23</f>
        <v>125</v>
      </c>
      <c r="S12" s="949">
        <f>WR!$J$23</f>
        <v>105</v>
      </c>
      <c r="T12" s="949">
        <f>SR!$J$23</f>
        <v>60</v>
      </c>
      <c r="U12" s="949">
        <f>SoBl!$J$23</f>
        <v>125</v>
      </c>
      <c r="V12" s="949">
        <f>Soja!$J$23</f>
        <v>347.5</v>
      </c>
      <c r="W12" s="949">
        <f>Öl!$J$23</f>
        <v>35</v>
      </c>
      <c r="X12" s="949">
        <f>FE!$J$23</f>
        <v>140</v>
      </c>
      <c r="Y12" s="949">
        <f>AB!$J$23</f>
        <v>161.70000000000002</v>
      </c>
      <c r="Z12" s="949">
        <f>Lu!$J$23</f>
        <v>110.39</v>
      </c>
      <c r="AA12" s="949">
        <f>ZR!$J$23</f>
        <v>205.70000000000002</v>
      </c>
      <c r="AB12" s="949">
        <f>FrühKa!$J$23</f>
        <v>4995</v>
      </c>
      <c r="AC12" s="949">
        <f>FrühKaFolieBer!$J$23</f>
        <v>4995</v>
      </c>
      <c r="AD12" s="949">
        <f>SpKa!$J$23</f>
        <v>1500</v>
      </c>
      <c r="AE12" s="949">
        <f>SpKaBer!$J$23</f>
        <v>1500</v>
      </c>
      <c r="AF12" s="949">
        <f>Vorlage!$J$23</f>
        <v>0</v>
      </c>
      <c r="AG12" s="949">
        <f>'FAKT-Brachebegrünung'!$J$23</f>
        <v>156</v>
      </c>
      <c r="AH12" s="949">
        <f>Begr!$J$23</f>
        <v>62.5</v>
      </c>
      <c r="AI12" s="901"/>
      <c r="AJ12" s="950">
        <f>'WW1'!$M$23</f>
        <v>120</v>
      </c>
      <c r="AK12" s="949">
        <f>'WW2'!$M$23</f>
        <v>128</v>
      </c>
      <c r="AL12" s="949">
        <f>'WW-A'!$M$23</f>
        <v>131.19999999999999</v>
      </c>
      <c r="AM12" s="949">
        <f>'WW-E'!$M$23</f>
        <v>136</v>
      </c>
      <c r="AN12" s="949">
        <f>WRo!$M$23</f>
        <v>77</v>
      </c>
      <c r="AO12" s="949">
        <f>Tr!$M$23</f>
        <v>111</v>
      </c>
      <c r="AP12" s="949">
        <f>WG!$M$23</f>
        <v>93.75</v>
      </c>
      <c r="AQ12" s="949">
        <f>Di!$M$23</f>
        <v>175.75</v>
      </c>
      <c r="AR12" s="949">
        <f>SW!$M$23</f>
        <v>127.5</v>
      </c>
      <c r="AS12" s="949">
        <f>'SG-Fu'!$M$23</f>
        <v>127.05</v>
      </c>
      <c r="AT12" s="949">
        <f>BG!$M$23</f>
        <v>139.19999999999999</v>
      </c>
      <c r="AU12" s="949">
        <f>Ha!$M$23</f>
        <v>94.429999999999993</v>
      </c>
      <c r="AV12" s="949">
        <f>Du!$M$23</f>
        <v>161.5</v>
      </c>
      <c r="AW12" s="949">
        <f>KöM!$M$23</f>
        <v>243</v>
      </c>
      <c r="AX12" s="949">
        <f>KH!$M$23</f>
        <v>125</v>
      </c>
      <c r="AY12" s="949">
        <f>WR!$M$23</f>
        <v>105</v>
      </c>
      <c r="AZ12" s="949">
        <f>SR!$M$23</f>
        <v>60</v>
      </c>
      <c r="BA12" s="949">
        <f>SoBl!$M$23</f>
        <v>125</v>
      </c>
      <c r="BB12" s="949">
        <f>Soja!$M$23</f>
        <v>347.5</v>
      </c>
      <c r="BC12" s="949">
        <f>Öl!$M$23</f>
        <v>0.7</v>
      </c>
      <c r="BD12" s="949">
        <f>FE!$M$23</f>
        <v>122.49999999999999</v>
      </c>
      <c r="BE12" s="949">
        <f>AB!$M$23</f>
        <v>161.70000000000002</v>
      </c>
      <c r="BF12" s="949">
        <f>Lu!$M$23</f>
        <v>91.3</v>
      </c>
      <c r="BG12" s="949">
        <f>ZR!$M$23</f>
        <v>205.70000000000002</v>
      </c>
      <c r="BH12" s="949">
        <f>FrühKa!$M$23</f>
        <v>4995</v>
      </c>
      <c r="BI12" s="949">
        <f>FrühKaFolieBer!$M$23</f>
        <v>4995</v>
      </c>
      <c r="BJ12" s="949">
        <f>SpKa!$M$23</f>
        <v>1500</v>
      </c>
      <c r="BK12" s="949">
        <f>SpKaBer!$M$23</f>
        <v>1500</v>
      </c>
      <c r="BL12" s="949">
        <v>0</v>
      </c>
      <c r="BM12" s="949">
        <f>'FAKT-Brachebegrünung'!$M$23</f>
        <v>156</v>
      </c>
      <c r="BN12" s="949">
        <f>Begr!$M$23</f>
        <v>62.5</v>
      </c>
      <c r="BO12" s="901"/>
      <c r="BP12" s="950">
        <f>'WW1'!$P$23</f>
        <v>120</v>
      </c>
      <c r="BQ12" s="949">
        <f>'WW2'!$P$23</f>
        <v>128</v>
      </c>
      <c r="BR12" s="949">
        <f>'WW-A'!$P$23</f>
        <v>131.19999999999999</v>
      </c>
      <c r="BS12" s="949">
        <f>'WW-E'!$P$23</f>
        <v>136</v>
      </c>
      <c r="BT12" s="949">
        <f>WRo!$P$23</f>
        <v>68.400000000000006</v>
      </c>
      <c r="BU12" s="949">
        <f>Tr!$P$23</f>
        <v>111</v>
      </c>
      <c r="BV12" s="949">
        <f>WG!$P$23</f>
        <v>131.25</v>
      </c>
      <c r="BW12" s="949">
        <f>Di!$P$23</f>
        <v>175.75</v>
      </c>
      <c r="BX12" s="949">
        <f>SW!$P$23</f>
        <v>146.25</v>
      </c>
      <c r="BY12" s="949">
        <f>'SG-Fu'!$P$23</f>
        <v>127.05</v>
      </c>
      <c r="BZ12" s="949">
        <f>BG!$P$23</f>
        <v>139.19999999999999</v>
      </c>
      <c r="CA12" s="949">
        <f>Ha!$P$23</f>
        <v>94.429999999999993</v>
      </c>
      <c r="CB12" s="949">
        <f>Du!$P$23</f>
        <v>161.5</v>
      </c>
      <c r="CC12" s="949">
        <f>KöM!$P$23</f>
        <v>243</v>
      </c>
      <c r="CD12" s="949">
        <f>KH!$P$23</f>
        <v>125</v>
      </c>
      <c r="CE12" s="949">
        <f>WR!$P$23</f>
        <v>105</v>
      </c>
      <c r="CF12" s="949">
        <f>SR!$P$23</f>
        <v>60</v>
      </c>
      <c r="CG12" s="949">
        <f>SoBl!$P$23</f>
        <v>125</v>
      </c>
      <c r="CH12" s="949">
        <f>Soja!$P$23</f>
        <v>347.5</v>
      </c>
      <c r="CI12" s="949">
        <f>Öl!$P$23</f>
        <v>0.7</v>
      </c>
      <c r="CJ12" s="949">
        <f>FE!$P$23</f>
        <v>133</v>
      </c>
      <c r="CK12" s="949">
        <f>AB!$P$23</f>
        <v>184.8</v>
      </c>
      <c r="CL12" s="949">
        <f>Lu!$P$23</f>
        <v>91.3</v>
      </c>
      <c r="CM12" s="949">
        <f>ZR!$P$23</f>
        <v>205.70000000000002</v>
      </c>
      <c r="CN12" s="949">
        <f>FrühKa!$P$23</f>
        <v>4995</v>
      </c>
      <c r="CO12" s="949">
        <f>FrühKaFolieBer!$P$23</f>
        <v>4995</v>
      </c>
      <c r="CP12" s="949">
        <f>SpKa!$P$23</f>
        <v>1500</v>
      </c>
      <c r="CQ12" s="949">
        <f>SpKaBer!$P$23</f>
        <v>1500</v>
      </c>
      <c r="CR12" s="949">
        <f>Vorlage!$P$23</f>
        <v>0</v>
      </c>
      <c r="CS12" s="949">
        <f>'FAKT-Brachebegrünung'!$P$23</f>
        <v>156</v>
      </c>
      <c r="CT12" s="949">
        <f>Begr!$P$23</f>
        <v>62.5</v>
      </c>
      <c r="CV12" s="968" t="s">
        <v>825</v>
      </c>
      <c r="CW12" s="987" t="s">
        <v>163</v>
      </c>
      <c r="CX12" s="2621">
        <f>'Öko-KG1'!$J$23</f>
        <v>203.75</v>
      </c>
      <c r="CY12" s="904">
        <f>'Öko-KG2'!$J$23</f>
        <v>244.5</v>
      </c>
      <c r="CZ12" s="904">
        <f>'Öko-LU1'!$J$23</f>
        <v>202.20000000000002</v>
      </c>
      <c r="DA12" s="904">
        <f>'Öko-LU2'!$J$23</f>
        <v>202.20000000000002</v>
      </c>
      <c r="DB12" s="902">
        <f>'Öko-WW-Futter'!$J$23</f>
        <v>216</v>
      </c>
      <c r="DC12" s="904">
        <f>'Öko-WW-Brot'!$J$23</f>
        <v>220.00000000000003</v>
      </c>
      <c r="DD12" s="904">
        <f>'Öko-Di'!$J$23</f>
        <v>244</v>
      </c>
      <c r="DE12" s="904">
        <f>'Öko-Dinkel,gegerbt'!$J$23</f>
        <v>260</v>
      </c>
      <c r="DF12" s="904">
        <f>'Öko-Ro'!$J$23</f>
        <v>110</v>
      </c>
      <c r="DG12" s="904">
        <f>'Öko-Ha'!$J$23</f>
        <v>180.79999999999998</v>
      </c>
      <c r="DH12" s="904">
        <f>'Öko-Wg'!$J$23</f>
        <v>166.6</v>
      </c>
      <c r="DI12" s="904">
        <f>'Öko-Bg'!$J$23</f>
        <v>168.00000000000003</v>
      </c>
      <c r="DJ12" s="904">
        <f>'Öko-KöM'!$J$23</f>
        <v>292</v>
      </c>
      <c r="DK12" s="904">
        <f>'Öko-Ab'!$J$23</f>
        <v>284</v>
      </c>
      <c r="DL12" s="904">
        <f>'Öko-FE'!$J$23</f>
        <v>296.09999999999997</v>
      </c>
      <c r="DM12" s="904">
        <f>'Öko-Soja'!$J$23</f>
        <v>422.56</v>
      </c>
      <c r="DN12" s="904">
        <f>'Öko-Soblu'!$J$23</f>
        <v>225</v>
      </c>
      <c r="DO12" s="904">
        <f>'Öko-Raps'!$J$23</f>
        <v>60.8</v>
      </c>
      <c r="DP12" s="904">
        <f>'Öko-Ka'!$J$23</f>
        <v>3825</v>
      </c>
      <c r="DQ12" s="904">
        <f>'Öko-Lu'!$J$23</f>
        <v>209.25</v>
      </c>
      <c r="DR12" s="904">
        <f>Begrün.!$J$23</f>
        <v>183</v>
      </c>
      <c r="DS12" s="904">
        <f>Blühm.!$J$23</f>
        <v>277.5</v>
      </c>
      <c r="DT12" s="893"/>
      <c r="DU12" s="949">
        <f>'Öko-KG1'!$M$23</f>
        <v>203.75</v>
      </c>
      <c r="DV12" s="949">
        <f>'Öko-KG2'!$M$23</f>
        <v>244.5</v>
      </c>
      <c r="DW12" s="949">
        <f>'Öko-LU1'!$M$23</f>
        <v>202.20000000000002</v>
      </c>
      <c r="DX12" s="949">
        <f>'Öko-LU2'!$M$23</f>
        <v>202.20000000000002</v>
      </c>
      <c r="DY12" s="950">
        <f>'Öko-WW-Futter'!$M$23</f>
        <v>216</v>
      </c>
      <c r="DZ12" s="949">
        <f>'Öko-WW-Brot'!$M$23</f>
        <v>220.00000000000003</v>
      </c>
      <c r="EA12" s="949">
        <f>'Öko-Di'!$M$23</f>
        <v>244</v>
      </c>
      <c r="EB12" s="949">
        <f>'Öko-Dinkel,gegerbt'!$M$23</f>
        <v>260</v>
      </c>
      <c r="EC12" s="949">
        <f>'Öko-Ro'!$M$23</f>
        <v>110</v>
      </c>
      <c r="ED12" s="949">
        <f>'Öko-Ha'!$M$23</f>
        <v>180.79999999999998</v>
      </c>
      <c r="EE12" s="949">
        <f>'Öko-Wg'!$M$23</f>
        <v>166.6</v>
      </c>
      <c r="EF12" s="949">
        <f>'Öko-Bg'!$M$23</f>
        <v>168.00000000000003</v>
      </c>
      <c r="EG12" s="949">
        <f>'Öko-KöM'!$M$23</f>
        <v>292</v>
      </c>
      <c r="EH12" s="949">
        <f>'Öko-Ab'!$M$23</f>
        <v>284</v>
      </c>
      <c r="EI12" s="949">
        <f>'Öko-FE'!$M$23</f>
        <v>296.09999999999997</v>
      </c>
      <c r="EJ12" s="949">
        <f>'Öko-Soja'!$M$23</f>
        <v>422.56</v>
      </c>
      <c r="EK12" s="949">
        <f>'Öko-Soblu'!$M$23</f>
        <v>225</v>
      </c>
      <c r="EL12" s="949">
        <f>'Öko-Raps'!$M$23</f>
        <v>60.8</v>
      </c>
      <c r="EM12" s="949">
        <f>'Öko-Ka'!$M$23</f>
        <v>3825</v>
      </c>
      <c r="EN12" s="949">
        <f>'Öko-Lu'!$M$23</f>
        <v>209.25</v>
      </c>
      <c r="EO12" s="949">
        <f>Begrün.!$M$23</f>
        <v>183</v>
      </c>
      <c r="EP12" s="949">
        <f>Blühm.!$M$23</f>
        <v>277.5</v>
      </c>
      <c r="EQ12" s="893"/>
      <c r="ER12" s="949">
        <f>'Öko-KG1'!$P$23</f>
        <v>203.75</v>
      </c>
      <c r="ES12" s="949">
        <f>'Öko-KG2'!$P$23</f>
        <v>244.5</v>
      </c>
      <c r="ET12" s="949">
        <f>'Öko-LU1'!$P$23</f>
        <v>202.20000000000002</v>
      </c>
      <c r="EU12" s="949">
        <f>'Öko-LU2'!$P$23</f>
        <v>202.20000000000002</v>
      </c>
      <c r="EV12" s="950">
        <f>'Öko-WW-Futter'!$P$23</f>
        <v>216</v>
      </c>
      <c r="EW12" s="949">
        <f>'Öko-WW-Brot'!$P$23</f>
        <v>220.00000000000003</v>
      </c>
      <c r="EX12" s="949">
        <f>'Öko-Di'!$P$23</f>
        <v>244</v>
      </c>
      <c r="EY12" s="949">
        <f>'Öko-Dinkel,gegerbt'!$P$23</f>
        <v>260</v>
      </c>
      <c r="EZ12" s="949">
        <f>'Öko-Ro'!$P$23</f>
        <v>110</v>
      </c>
      <c r="FA12" s="949">
        <f>'Öko-Ha'!$P$23</f>
        <v>180.79999999999998</v>
      </c>
      <c r="FB12" s="949">
        <f>'Öko-Wg'!$P$23</f>
        <v>166.6</v>
      </c>
      <c r="FC12" s="949">
        <f>'Öko-Bg'!$P$23</f>
        <v>168.00000000000003</v>
      </c>
      <c r="FD12" s="949">
        <f>'Öko-KöM'!$P$23</f>
        <v>292</v>
      </c>
      <c r="FE12" s="949">
        <f>'Öko-Ab'!$P$23</f>
        <v>284</v>
      </c>
      <c r="FF12" s="949">
        <f>'Öko-FE'!$P$23</f>
        <v>296.09999999999997</v>
      </c>
      <c r="FG12" s="949">
        <f>'Öko-Soja'!$P$23</f>
        <v>422.56</v>
      </c>
      <c r="FH12" s="949">
        <f>'Öko-Soblu'!$P$23</f>
        <v>225</v>
      </c>
      <c r="FI12" s="949">
        <f>'Öko-Raps'!$P$23</f>
        <v>60.8</v>
      </c>
      <c r="FJ12" s="949">
        <f>'Öko-Ka'!$P$23</f>
        <v>3825</v>
      </c>
      <c r="FK12" s="949">
        <f>'Öko-Lu'!$P$23</f>
        <v>209.25</v>
      </c>
      <c r="FL12" s="949">
        <f>Begrün.!$P$23</f>
        <v>183</v>
      </c>
      <c r="FM12" s="949">
        <f>Blühm.!$P$23</f>
        <v>277.5</v>
      </c>
    </row>
    <row r="13" spans="1:169" ht="16.2" customHeight="1">
      <c r="A13" s="899">
        <f>ROWS($A$1:A13)</f>
        <v>13</v>
      </c>
      <c r="B13" s="986" t="s">
        <v>824</v>
      </c>
      <c r="C13" s="985"/>
      <c r="D13" s="2620">
        <f>'WW1'!$J$27</f>
        <v>316.64537499999994</v>
      </c>
      <c r="E13" s="904">
        <f>'WW2'!$J$27</f>
        <v>336.72662500000001</v>
      </c>
      <c r="F13" s="904">
        <f>'WW-A'!$J$27</f>
        <v>324.20956000000001</v>
      </c>
      <c r="G13" s="904">
        <f>'WW-E'!$J$27</f>
        <v>325.72714000000008</v>
      </c>
      <c r="H13" s="904">
        <f>WRo!$J$27</f>
        <v>238.609375</v>
      </c>
      <c r="I13" s="904">
        <f>Tr!$J$27</f>
        <v>316.29921999999999</v>
      </c>
      <c r="J13" s="904">
        <f>WG!$J$27</f>
        <v>285.07779999999997</v>
      </c>
      <c r="K13" s="904">
        <f>Di!$J$27</f>
        <v>277.0684</v>
      </c>
      <c r="L13" s="904">
        <f>SW!$J$27</f>
        <v>257.45188000000002</v>
      </c>
      <c r="M13" s="904">
        <f>'SG-Fu'!$J$27</f>
        <v>245.41232500000001</v>
      </c>
      <c r="N13" s="904">
        <f>BG!$J$27</f>
        <v>225.79689999999999</v>
      </c>
      <c r="O13" s="904">
        <f>Ha!$J$27</f>
        <v>269.15799999999996</v>
      </c>
      <c r="P13" s="904">
        <f>Du!$J$27</f>
        <v>259.58587</v>
      </c>
      <c r="Q13" s="904">
        <f>KöM!$J$27</f>
        <v>251.44419999999997</v>
      </c>
      <c r="R13" s="904">
        <f>KH!$J$27</f>
        <v>330.88</v>
      </c>
      <c r="S13" s="904">
        <f>WR!$J$27</f>
        <v>273.59499999999997</v>
      </c>
      <c r="T13" s="904">
        <f>SR!$J$27</f>
        <v>177.25225</v>
      </c>
      <c r="U13" s="904">
        <f>SoBl!$J$27</f>
        <v>145.479375</v>
      </c>
      <c r="V13" s="904">
        <f>Soja!$J$27</f>
        <v>52.912800000000011</v>
      </c>
      <c r="W13" s="904">
        <f>Öl!$J$27</f>
        <v>98.924999999999983</v>
      </c>
      <c r="X13" s="904">
        <f>FE!$J$27</f>
        <v>35.079999999999991</v>
      </c>
      <c r="Y13" s="904">
        <f>AB!$J$27</f>
        <v>35.099999999999987</v>
      </c>
      <c r="Z13" s="904">
        <f>Lu!$J$27</f>
        <v>22.486000000000001</v>
      </c>
      <c r="AA13" s="904">
        <f>ZR!$J$27</f>
        <v>302.77485000000001</v>
      </c>
      <c r="AB13" s="904">
        <f>FrühKa!$J$27</f>
        <v>399.57849999999996</v>
      </c>
      <c r="AC13" s="904">
        <f>FrühKaFolieBer!$J$27</f>
        <v>540.04999999999995</v>
      </c>
      <c r="AD13" s="904">
        <f>SpKa!$J$27</f>
        <v>299.56899999999996</v>
      </c>
      <c r="AE13" s="904">
        <f>SpKaBer!$J$27</f>
        <v>554.125</v>
      </c>
      <c r="AF13" s="904">
        <f>Vorlage!$J$27</f>
        <v>0</v>
      </c>
      <c r="AG13" s="904">
        <f>'FAKT-Brachebegrünung'!$J$27</f>
        <v>0</v>
      </c>
      <c r="AH13" s="904">
        <f>Begr!$J$27</f>
        <v>0</v>
      </c>
      <c r="AI13" s="901"/>
      <c r="AJ13" s="902">
        <f>'WW1'!$M$27</f>
        <v>414.26049999999998</v>
      </c>
      <c r="AK13" s="904">
        <f>'WW2'!$M$27</f>
        <v>441.03549999999996</v>
      </c>
      <c r="AL13" s="904">
        <f>'WW-A'!$M$27</f>
        <v>424.34607999999997</v>
      </c>
      <c r="AM13" s="904">
        <f>'WW-E'!$M$27</f>
        <v>426.36951999999997</v>
      </c>
      <c r="AN13" s="904">
        <f>WRo!$M$27</f>
        <v>310.21249999999998</v>
      </c>
      <c r="AO13" s="904">
        <f>Tr!$M$27</f>
        <v>413.79896000000002</v>
      </c>
      <c r="AP13" s="904">
        <f>WG!$M$27</f>
        <v>372.17039999999997</v>
      </c>
      <c r="AQ13" s="904">
        <f>Di!$M$27</f>
        <v>361.49119999999999</v>
      </c>
      <c r="AR13" s="904">
        <f>SW!$M$27</f>
        <v>335.33583999999996</v>
      </c>
      <c r="AS13" s="904">
        <f>'SG-Fu'!$M$27</f>
        <v>319.28310000000005</v>
      </c>
      <c r="AT13" s="904">
        <f>BG!$M$27</f>
        <v>270.68510000000003</v>
      </c>
      <c r="AU13" s="904">
        <f>Ha!$M$27</f>
        <v>350.94399999999996</v>
      </c>
      <c r="AV13" s="904">
        <f>Du!$M$27</f>
        <v>338.18115999999998</v>
      </c>
      <c r="AW13" s="904">
        <f>KöM!$M$27</f>
        <v>327.32559999999995</v>
      </c>
      <c r="AX13" s="904">
        <f>KH!$M$27</f>
        <v>369.26499999999993</v>
      </c>
      <c r="AY13" s="904">
        <f>WR!$M$27</f>
        <v>344.96</v>
      </c>
      <c r="AZ13" s="904">
        <f>SR!$M$27</f>
        <v>216.50300000000001</v>
      </c>
      <c r="BA13" s="904">
        <f>SoBl!$M$27</f>
        <v>193.9725</v>
      </c>
      <c r="BB13" s="904">
        <f>Soja!$M$27</f>
        <v>71.43228000000002</v>
      </c>
      <c r="BC13" s="904">
        <f>Öl!$M$27</f>
        <v>131.9</v>
      </c>
      <c r="BD13" s="904">
        <f>FE!$M$27</f>
        <v>61.389999999999979</v>
      </c>
      <c r="BE13" s="904">
        <f>AB!$M$27</f>
        <v>61.424999999999983</v>
      </c>
      <c r="BF13" s="904">
        <f>Lu!$M$27</f>
        <v>56.215000000000011</v>
      </c>
      <c r="BG13" s="904">
        <f>ZR!$M$27</f>
        <v>403.69979999999998</v>
      </c>
      <c r="BH13" s="904">
        <f>FrühKa!$M$27</f>
        <v>478.53800000000001</v>
      </c>
      <c r="BI13" s="904">
        <f>FrühKaFolieBer!$M$27</f>
        <v>598.97500000000002</v>
      </c>
      <c r="BJ13" s="904">
        <f>SpKa!$M$27</f>
        <v>391.49199999999996</v>
      </c>
      <c r="BK13" s="904">
        <f>SpKaBer!$M$27</f>
        <v>613.04999999999995</v>
      </c>
      <c r="BL13" s="904">
        <v>0</v>
      </c>
      <c r="BM13" s="904">
        <f>'FAKT-Brachebegrünung'!$M$27</f>
        <v>0</v>
      </c>
      <c r="BN13" s="904">
        <f>Begr!$M$27</f>
        <v>0</v>
      </c>
      <c r="BO13" s="901"/>
      <c r="BP13" s="902">
        <f>'WW1'!$P$27</f>
        <v>511.8756249999999</v>
      </c>
      <c r="BQ13" s="904">
        <f>'WW2'!$P$27</f>
        <v>545.3443749999999</v>
      </c>
      <c r="BR13" s="904">
        <f>'WW-A'!$P$27</f>
        <v>524.48260000000005</v>
      </c>
      <c r="BS13" s="904">
        <f>'WW-E'!$P$27</f>
        <v>527.01189999999997</v>
      </c>
      <c r="BT13" s="904">
        <f>WRo!$P$27</f>
        <v>381.81562500000001</v>
      </c>
      <c r="BU13" s="904">
        <f>Tr!$P$27</f>
        <v>511.2987</v>
      </c>
      <c r="BV13" s="904">
        <f>WG!$P$27</f>
        <v>459.26299999999998</v>
      </c>
      <c r="BW13" s="904">
        <f>Di!$P$27</f>
        <v>445.91399999999999</v>
      </c>
      <c r="BX13" s="904">
        <f>SW!$P$27</f>
        <v>413.21979999999996</v>
      </c>
      <c r="BY13" s="904">
        <f>'SG-Fu'!$P$27</f>
        <v>393.15387499999997</v>
      </c>
      <c r="BZ13" s="904">
        <f>BG!$P$27</f>
        <v>315.57330000000002</v>
      </c>
      <c r="CA13" s="904">
        <f>Ha!$P$27</f>
        <v>432.73</v>
      </c>
      <c r="CB13" s="904">
        <f>Du!$P$27</f>
        <v>416.77645000000001</v>
      </c>
      <c r="CC13" s="904">
        <f>KöM!$P$27</f>
        <v>403.20699999999994</v>
      </c>
      <c r="CD13" s="904">
        <f>KH!$P$27</f>
        <v>407.64999999999992</v>
      </c>
      <c r="CE13" s="904">
        <f>WR!$P$27</f>
        <v>416.32499999999999</v>
      </c>
      <c r="CF13" s="904">
        <f>SR!$P$27</f>
        <v>255.75375</v>
      </c>
      <c r="CG13" s="904">
        <f>SoBl!$P$27</f>
        <v>242.46562499999999</v>
      </c>
      <c r="CH13" s="904">
        <f>Soja!$P$27</f>
        <v>89.951760000000007</v>
      </c>
      <c r="CI13" s="904">
        <f>Öl!$P$27</f>
        <v>164.875</v>
      </c>
      <c r="CJ13" s="904">
        <f>FE!$P$27</f>
        <v>87.699999999999989</v>
      </c>
      <c r="CK13" s="904">
        <f>AB!$P$27</f>
        <v>87.749999999999986</v>
      </c>
      <c r="CL13" s="904">
        <f>Lu!$P$27</f>
        <v>89.944000000000003</v>
      </c>
      <c r="CM13" s="904">
        <f>ZR!$P$27</f>
        <v>504.62475000000001</v>
      </c>
      <c r="CN13" s="904">
        <f>FrühKa!$P$27</f>
        <v>557.49749999999995</v>
      </c>
      <c r="CO13" s="904">
        <f>FrühKaFolieBer!$P$27</f>
        <v>657.9</v>
      </c>
      <c r="CP13" s="904">
        <f>SpKa!$P$27</f>
        <v>483.41499999999996</v>
      </c>
      <c r="CQ13" s="904">
        <f>SpKaBer!$P$27</f>
        <v>671.97500000000002</v>
      </c>
      <c r="CR13" s="904">
        <f>Vorlage!$P$27</f>
        <v>0</v>
      </c>
      <c r="CS13" s="904">
        <f>'FAKT-Brachebegrünung'!$P$27</f>
        <v>0</v>
      </c>
      <c r="CT13" s="904">
        <f>Begr!$P$27</f>
        <v>0</v>
      </c>
      <c r="CV13" s="986" t="s">
        <v>824</v>
      </c>
      <c r="CW13" s="985"/>
      <c r="CX13" s="2620">
        <f>'Öko-KG1'!$J$27</f>
        <v>-518</v>
      </c>
      <c r="CY13" s="904">
        <f>'Öko-KG2'!$J$27</f>
        <v>-497.28</v>
      </c>
      <c r="CZ13" s="904">
        <f>'Öko-LU1'!$J$27</f>
        <v>-518</v>
      </c>
      <c r="DA13" s="904">
        <f>'Öko-LU2'!$J$27</f>
        <v>-572.39</v>
      </c>
      <c r="DB13" s="902">
        <f>'Öko-WW-Futter'!$J$27</f>
        <v>531.88359999999989</v>
      </c>
      <c r="DC13" s="904">
        <f>'Öko-WW-Brot'!$J$27</f>
        <v>603.36759999999992</v>
      </c>
      <c r="DD13" s="904">
        <f>'Öko-Di'!$J$27</f>
        <v>563.36799999999994</v>
      </c>
      <c r="DE13" s="904">
        <f>'Öko-Dinkel,gegerbt'!$J$27</f>
        <v>0</v>
      </c>
      <c r="DF13" s="904">
        <f>'Öko-Ro'!$J$27</f>
        <v>564.17079999999987</v>
      </c>
      <c r="DG13" s="904">
        <f>'Öko-Ha'!$J$27</f>
        <v>583.82140000000004</v>
      </c>
      <c r="DH13" s="904">
        <f>'Öko-Wg'!$J$27</f>
        <v>562.07979999999998</v>
      </c>
      <c r="DI13" s="904">
        <f>'Öko-Bg'!$J$27</f>
        <v>366.77719999999999</v>
      </c>
      <c r="DJ13" s="904">
        <f>'Öko-KöM'!$J$27</f>
        <v>585.25599999999997</v>
      </c>
      <c r="DK13" s="904">
        <f>'Öko-Ab'!$J$27</f>
        <v>-8.7375000000000327</v>
      </c>
      <c r="DL13" s="904">
        <f>'Öko-FE'!$J$27</f>
        <v>-1.6875000000000213</v>
      </c>
      <c r="DM13" s="904">
        <f>'Öko-Soja'!$J$27</f>
        <v>18.281600000000054</v>
      </c>
      <c r="DN13" s="904">
        <f>'Öko-Soblu'!$J$27</f>
        <v>0</v>
      </c>
      <c r="DO13" s="904">
        <f>'Öko-Raps'!$J$27</f>
        <v>0</v>
      </c>
      <c r="DP13" s="904">
        <f>'Öko-Ka'!$J$27</f>
        <v>719.56</v>
      </c>
      <c r="DQ13" s="904">
        <f>'Öko-Lu'!$J$27</f>
        <v>129.24400000000003</v>
      </c>
      <c r="DR13" s="904">
        <f>Begrün.!$J$27</f>
        <v>101.78699999999999</v>
      </c>
      <c r="DS13" s="904">
        <f>Blühm.!$J$27</f>
        <v>101.78699999999999</v>
      </c>
      <c r="DT13" s="893"/>
      <c r="DU13" s="904">
        <f>'Öko-KG1'!$M$27</f>
        <v>-766.64</v>
      </c>
      <c r="DV13" s="904">
        <f>'Öko-KG2'!$M$27</f>
        <v>-647.5</v>
      </c>
      <c r="DW13" s="904">
        <f>'Öko-LU1'!$M$27</f>
        <v>-725.19999999999993</v>
      </c>
      <c r="DX13" s="904">
        <f>'Öko-LU2'!$M$27</f>
        <v>-722.61</v>
      </c>
      <c r="DY13" s="902">
        <f>'Öko-WW-Futter'!$M$27</f>
        <v>674.64480000000003</v>
      </c>
      <c r="DZ13" s="904">
        <f>'Öko-WW-Brot'!$M$27</f>
        <v>769.95679999999993</v>
      </c>
      <c r="EA13" s="904">
        <f>'Öko-Di'!$M$27</f>
        <v>716.62400000000002</v>
      </c>
      <c r="EB13" s="904">
        <f>'Öko-Dinkel,gegerbt'!$M$27</f>
        <v>0</v>
      </c>
      <c r="EC13" s="904">
        <f>'Öko-Ro'!$M$27</f>
        <v>717.69439999999997</v>
      </c>
      <c r="ED13" s="904">
        <f>'Öko-Ha'!$M$27</f>
        <v>743.89519999999993</v>
      </c>
      <c r="EE13" s="904">
        <f>'Öko-Wg'!$M$27</f>
        <v>714.90639999999996</v>
      </c>
      <c r="EF13" s="904">
        <f>'Öko-Bg'!$M$27</f>
        <v>629.95439999999996</v>
      </c>
      <c r="EG13" s="904">
        <f>'Öko-KöM'!$M$27</f>
        <v>745.80799999999988</v>
      </c>
      <c r="EH13" s="904">
        <f>'Öko-Ab'!$M$27</f>
        <v>-11.650000000000027</v>
      </c>
      <c r="EI13" s="904">
        <f>'Öko-FE'!$M$27</f>
        <v>-2.2500000000000355</v>
      </c>
      <c r="EJ13" s="904">
        <f>'Öko-Soja'!$M$27</f>
        <v>22.852000000000075</v>
      </c>
      <c r="EK13" s="904">
        <f>'Öko-Soblu'!$M$27</f>
        <v>0</v>
      </c>
      <c r="EL13" s="904">
        <f>'Öko-Raps'!$M$27</f>
        <v>0</v>
      </c>
      <c r="EM13" s="904">
        <f>'Öko-Ka'!$M$27</f>
        <v>873.55000000000007</v>
      </c>
      <c r="EN13" s="904">
        <f>'Öko-Lu'!$M$27</f>
        <v>137.79200000000003</v>
      </c>
      <c r="EO13" s="904">
        <f>Begrün.!$M$27</f>
        <v>101.78699999999999</v>
      </c>
      <c r="EP13" s="904">
        <f>Blühm.!$M$27</f>
        <v>101.78699999999999</v>
      </c>
      <c r="EQ13" s="893"/>
      <c r="ER13" s="904">
        <f>'Öko-KG1'!$P$27</f>
        <v>-932.4</v>
      </c>
      <c r="ES13" s="904">
        <f>'Öko-KG2'!$P$27</f>
        <v>-797.71999999999991</v>
      </c>
      <c r="ET13" s="904">
        <f>'Öko-LU1'!$P$27</f>
        <v>-932.4</v>
      </c>
      <c r="EU13" s="904">
        <f>'Öko-LU2'!$P$27</f>
        <v>-797.71999999999991</v>
      </c>
      <c r="EV13" s="902">
        <f>'Öko-WW-Futter'!$P$27</f>
        <v>1088.6522799999998</v>
      </c>
      <c r="EW13" s="904">
        <f>'Öko-WW-Brot'!$P$27</f>
        <v>1103.1351999999997</v>
      </c>
      <c r="EX13" s="904">
        <f>'Öko-Di'!$P$27</f>
        <v>793.25199999999995</v>
      </c>
      <c r="EY13" s="904">
        <f>'Öko-Dinkel,gegerbt'!$P$27</f>
        <v>0</v>
      </c>
      <c r="EZ13" s="904">
        <f>'Öko-Ro'!$P$27</f>
        <v>871.21799999999985</v>
      </c>
      <c r="FA13" s="904">
        <f>'Öko-Ha'!$P$27</f>
        <v>903.96899999999994</v>
      </c>
      <c r="FB13" s="904">
        <f>'Öko-Wg'!$P$27</f>
        <v>867.73299999999995</v>
      </c>
      <c r="FC13" s="904">
        <f>'Öko-Bg'!$P$27</f>
        <v>629.95439999999996</v>
      </c>
      <c r="FD13" s="904">
        <f>'Öko-KöM'!$P$27</f>
        <v>906.3599999999999</v>
      </c>
      <c r="FE13" s="904">
        <f>'Öko-Ab'!$P$27</f>
        <v>-14.562500000000057</v>
      </c>
      <c r="FF13" s="904">
        <f>'Öko-FE'!$P$27</f>
        <v>-2.8125000000000284</v>
      </c>
      <c r="FG13" s="904">
        <f>'Öko-Soja'!$P$27</f>
        <v>27.422400000000081</v>
      </c>
      <c r="FH13" s="904">
        <f>'Öko-Soblu'!$P$27</f>
        <v>0</v>
      </c>
      <c r="FI13" s="904">
        <f>'Öko-Raps'!$P$27</f>
        <v>0</v>
      </c>
      <c r="FJ13" s="904">
        <f>'Öko-Ka'!$P$27</f>
        <v>1027.54</v>
      </c>
      <c r="FK13" s="904">
        <f>'Öko-Lu'!$P$27</f>
        <v>146.34000000000006</v>
      </c>
      <c r="FL13" s="904">
        <f>Begrün.!$P$27</f>
        <v>101.78699999999999</v>
      </c>
      <c r="FM13" s="904">
        <f>Blühm.!$P$27</f>
        <v>101.78699999999999</v>
      </c>
    </row>
    <row r="14" spans="1:169" ht="16.2" customHeight="1">
      <c r="A14" s="899">
        <f>ROWS($A$1:A14)</f>
        <v>14</v>
      </c>
      <c r="B14" s="945" t="s">
        <v>823</v>
      </c>
      <c r="C14" s="985"/>
      <c r="D14" s="2620">
        <f>'WW1'!$J$34</f>
        <v>55.08</v>
      </c>
      <c r="E14" s="904">
        <f>'WW2'!$J$34</f>
        <v>203.72000000000003</v>
      </c>
      <c r="F14" s="904">
        <f>'WW-A'!$J$34</f>
        <v>236.51999999999998</v>
      </c>
      <c r="G14" s="904">
        <f>'WW-E'!$J$34</f>
        <v>265.39999999999998</v>
      </c>
      <c r="H14" s="904">
        <f>WRo!$J$34</f>
        <v>147.52000000000001</v>
      </c>
      <c r="I14" s="904">
        <f>Tr!$J$34</f>
        <v>154.12</v>
      </c>
      <c r="J14" s="904">
        <f>WG!$J$34</f>
        <v>205.99</v>
      </c>
      <c r="K14" s="904">
        <f>Di!$J$34</f>
        <v>186.14999999999998</v>
      </c>
      <c r="L14" s="904">
        <f>SW!$J$34</f>
        <v>112.315</v>
      </c>
      <c r="M14" s="904">
        <f>'SG-Fu'!$J$34</f>
        <v>148.83799999999999</v>
      </c>
      <c r="N14" s="904">
        <f>BG!$J$34</f>
        <v>163.79000000000002</v>
      </c>
      <c r="O14" s="904">
        <f>Ha!$J$34</f>
        <v>32.115000000000002</v>
      </c>
      <c r="P14" s="904">
        <f>Du!$J$34</f>
        <v>175.01999999999998</v>
      </c>
      <c r="Q14" s="904">
        <f>KöM!$J$34</f>
        <v>83.550000000000011</v>
      </c>
      <c r="R14" s="904">
        <f>KH!$J$34</f>
        <v>35.75</v>
      </c>
      <c r="S14" s="904">
        <f>WR!$J$34</f>
        <v>185.22</v>
      </c>
      <c r="T14" s="904">
        <f>SR!$J$34</f>
        <v>187.2</v>
      </c>
      <c r="U14" s="904">
        <f>SoBl!$J$34</f>
        <v>87.149999999999991</v>
      </c>
      <c r="V14" s="904">
        <f>Soja!$J$34</f>
        <v>66.419999999999987</v>
      </c>
      <c r="W14" s="904">
        <f>Öl!$J$34</f>
        <v>31.200000000000003</v>
      </c>
      <c r="X14" s="904">
        <f>FE!$J$34</f>
        <v>94.899999999999991</v>
      </c>
      <c r="Y14" s="904">
        <f>AB!$J$34</f>
        <v>94.899999999999991</v>
      </c>
      <c r="Z14" s="904">
        <f>Lu!$J$34</f>
        <v>94.899999999999991</v>
      </c>
      <c r="AA14" s="904">
        <f>ZR!$J$34</f>
        <v>323.18</v>
      </c>
      <c r="AB14" s="904">
        <f>FrühKa!$J$34</f>
        <v>250.304</v>
      </c>
      <c r="AC14" s="904">
        <f>FrühKaFolieBer!$J$34</f>
        <v>439.48399999999998</v>
      </c>
      <c r="AD14" s="904">
        <f>SpKa!$J$34</f>
        <v>318.91399999999999</v>
      </c>
      <c r="AE14" s="904">
        <f>SpKaBer!$J$34</f>
        <v>353.86199999999997</v>
      </c>
      <c r="AF14" s="904">
        <f>Vorlage!$J$34</f>
        <v>0</v>
      </c>
      <c r="AG14" s="904">
        <f>'FAKT-Brachebegrünung'!$J$34</f>
        <v>0</v>
      </c>
      <c r="AH14" s="904">
        <f>Begr!$J$34</f>
        <v>0</v>
      </c>
      <c r="AI14" s="901"/>
      <c r="AJ14" s="902">
        <f>'WW1'!$M$34</f>
        <v>55.08</v>
      </c>
      <c r="AK14" s="904">
        <f>'WW2'!$M$34</f>
        <v>203.72000000000003</v>
      </c>
      <c r="AL14" s="904">
        <f>'WW-A'!$M$34</f>
        <v>240.92000000000002</v>
      </c>
      <c r="AM14" s="904">
        <f>'WW-E'!$M$34</f>
        <v>265.39999999999998</v>
      </c>
      <c r="AN14" s="904">
        <f>WRo!$M$34</f>
        <v>147.52000000000001</v>
      </c>
      <c r="AO14" s="904">
        <f>Tr!$M$34</f>
        <v>154.12</v>
      </c>
      <c r="AP14" s="904">
        <f>WG!$M$34</f>
        <v>205.99</v>
      </c>
      <c r="AQ14" s="904">
        <f>Di!$M$34</f>
        <v>206.82</v>
      </c>
      <c r="AR14" s="904">
        <f>SW!$M$34</f>
        <v>112.315</v>
      </c>
      <c r="AS14" s="904">
        <f>'SG-Fu'!$M$34</f>
        <v>148.83799999999999</v>
      </c>
      <c r="AT14" s="904">
        <f>BG!$M$34</f>
        <v>163.79000000000002</v>
      </c>
      <c r="AU14" s="904">
        <f>Ha!$M$34</f>
        <v>40.365000000000002</v>
      </c>
      <c r="AV14" s="904">
        <f>Du!$M$34</f>
        <v>175.01999999999998</v>
      </c>
      <c r="AW14" s="904">
        <f>KöM!$M$34</f>
        <v>83.550000000000011</v>
      </c>
      <c r="AX14" s="904">
        <f>KH!$M$34</f>
        <v>35.75</v>
      </c>
      <c r="AY14" s="904">
        <f>WR!$M$34</f>
        <v>206.56</v>
      </c>
      <c r="AZ14" s="904">
        <f>SR!$M$34</f>
        <v>208.54</v>
      </c>
      <c r="BA14" s="904">
        <f>SoBl!$M$34</f>
        <v>87.149999999999991</v>
      </c>
      <c r="BB14" s="904">
        <f>Soja!$M$34</f>
        <v>66.419999999999987</v>
      </c>
      <c r="BC14" s="904">
        <f>Öl!$M$34</f>
        <v>31.200000000000003</v>
      </c>
      <c r="BD14" s="904">
        <f>FE!$M$34</f>
        <v>94.899999999999991</v>
      </c>
      <c r="BE14" s="904">
        <f>AB!$M$34</f>
        <v>94.899999999999991</v>
      </c>
      <c r="BF14" s="904">
        <f>Lu!$M$34</f>
        <v>94.899999999999991</v>
      </c>
      <c r="BG14" s="904">
        <f>ZR!$M$34</f>
        <v>323.18</v>
      </c>
      <c r="BH14" s="904">
        <f>FrühKa!$M$34</f>
        <v>250.304</v>
      </c>
      <c r="BI14" s="904">
        <f>FrühKaFolieBer!$M$34</f>
        <v>439.48399999999998</v>
      </c>
      <c r="BJ14" s="904">
        <f>SpKa!$M$34</f>
        <v>318.91399999999999</v>
      </c>
      <c r="BK14" s="904">
        <f>SpKaBer!$M$34</f>
        <v>339.36199999999997</v>
      </c>
      <c r="BL14" s="904">
        <v>0</v>
      </c>
      <c r="BM14" s="904">
        <f>'FAKT-Brachebegrünung'!$M$34</f>
        <v>0</v>
      </c>
      <c r="BN14" s="904">
        <f>Begr!$M$34</f>
        <v>0</v>
      </c>
      <c r="BO14" s="901"/>
      <c r="BP14" s="902">
        <f>'WW1'!$P$34</f>
        <v>125.53</v>
      </c>
      <c r="BQ14" s="904">
        <f>'WW2'!$P$34</f>
        <v>207.57</v>
      </c>
      <c r="BR14" s="904">
        <f>'WW-A'!$P$34</f>
        <v>240.92000000000002</v>
      </c>
      <c r="BS14" s="904">
        <f>'WW-E'!$P$34</f>
        <v>265.39999999999998</v>
      </c>
      <c r="BT14" s="904">
        <f>WRo!$P$34</f>
        <v>166.8</v>
      </c>
      <c r="BU14" s="904">
        <f>Tr!$P$34</f>
        <v>154.12</v>
      </c>
      <c r="BV14" s="904">
        <f>WG!$P$34</f>
        <v>226.15000000000003</v>
      </c>
      <c r="BW14" s="904">
        <f>Di!$P$34</f>
        <v>206.82</v>
      </c>
      <c r="BX14" s="904">
        <f>SW!$P$34</f>
        <v>112.315</v>
      </c>
      <c r="BY14" s="904">
        <f>'SG-Fu'!$P$34</f>
        <v>148.83799999999999</v>
      </c>
      <c r="BZ14" s="904">
        <f>BG!$P$34</f>
        <v>163.79000000000002</v>
      </c>
      <c r="CA14" s="904">
        <f>Ha!$P$34</f>
        <v>40.365000000000002</v>
      </c>
      <c r="CB14" s="904">
        <f>Du!$P$34</f>
        <v>175.01999999999998</v>
      </c>
      <c r="CC14" s="904">
        <f>KöM!$P$34</f>
        <v>83.550000000000011</v>
      </c>
      <c r="CD14" s="904">
        <f>KH!$P$34</f>
        <v>35.75</v>
      </c>
      <c r="CE14" s="904">
        <f>WR!$P$34</f>
        <v>206.56</v>
      </c>
      <c r="CF14" s="904">
        <f>SR!$P$34</f>
        <v>208.54</v>
      </c>
      <c r="CG14" s="904">
        <f>SoBl!$P$34</f>
        <v>87.149999999999991</v>
      </c>
      <c r="CH14" s="904">
        <f>Soja!$P$34</f>
        <v>66.419999999999987</v>
      </c>
      <c r="CI14" s="904">
        <f>Öl!$P$34</f>
        <v>31.200000000000003</v>
      </c>
      <c r="CJ14" s="904">
        <f>FE!$P$34</f>
        <v>94.899999999999991</v>
      </c>
      <c r="CK14" s="904">
        <f>AB!$P$34</f>
        <v>94.899999999999991</v>
      </c>
      <c r="CL14" s="904">
        <f>Lu!$P$34</f>
        <v>94.899999999999991</v>
      </c>
      <c r="CM14" s="904">
        <f>ZR!$P$34</f>
        <v>373.18</v>
      </c>
      <c r="CN14" s="904">
        <f>FrühKa!$P$34</f>
        <v>250.304</v>
      </c>
      <c r="CO14" s="904">
        <f>FrühKaFolieBer!$P$34</f>
        <v>439.48399999999998</v>
      </c>
      <c r="CP14" s="904">
        <f>SpKa!$P$34</f>
        <v>318.91399999999999</v>
      </c>
      <c r="CQ14" s="904">
        <f>SpKaBer!$P$34</f>
        <v>339.36199999999997</v>
      </c>
      <c r="CR14" s="904">
        <f>Vorlage!$P$34</f>
        <v>0</v>
      </c>
      <c r="CS14" s="904">
        <f>'FAKT-Brachebegrünung'!$P$34</f>
        <v>0</v>
      </c>
      <c r="CT14" s="904">
        <f>Begr!$P$34</f>
        <v>0</v>
      </c>
      <c r="CV14" s="945" t="s">
        <v>823</v>
      </c>
      <c r="CW14" s="985"/>
      <c r="CX14" s="2620">
        <f>'Öko-KG1'!$J$34</f>
        <v>0</v>
      </c>
      <c r="CY14" s="904">
        <f>'Öko-KG2'!$J$34</f>
        <v>0</v>
      </c>
      <c r="CZ14" s="904">
        <f>'Öko-LU1'!$J$34</f>
        <v>0</v>
      </c>
      <c r="DA14" s="904">
        <f>'Öko-LU2'!$J$34</f>
        <v>0</v>
      </c>
      <c r="DB14" s="902">
        <f>'Öko-WW-Futter'!$J$34</f>
        <v>0</v>
      </c>
      <c r="DC14" s="904">
        <f>'Öko-WW-Brot'!$J$34</f>
        <v>0</v>
      </c>
      <c r="DD14" s="904">
        <f>'Öko-Di'!$J$34</f>
        <v>0</v>
      </c>
      <c r="DE14" s="904" t="e">
        <f>'Öko-Dinkel,gegerbt'!$J$34</f>
        <v>#N/A</v>
      </c>
      <c r="DF14" s="904">
        <f>'Öko-Ro'!$J$34</f>
        <v>0</v>
      </c>
      <c r="DG14" s="904">
        <f>'Öko-Ha'!$J$34</f>
        <v>0</v>
      </c>
      <c r="DH14" s="904">
        <f>'Öko-Wg'!$J$34</f>
        <v>0</v>
      </c>
      <c r="DI14" s="904">
        <f>'Öko-Bg'!$J$34</f>
        <v>0</v>
      </c>
      <c r="DJ14" s="904">
        <f>'Öko-KöM'!$J$34</f>
        <v>0</v>
      </c>
      <c r="DK14" s="904">
        <f>'Öko-Ab'!$J$34</f>
        <v>0</v>
      </c>
      <c r="DL14" s="904">
        <f>'Öko-FE'!$J$34</f>
        <v>0</v>
      </c>
      <c r="DM14" s="904">
        <f>'Öko-Soja'!$J$34</f>
        <v>0</v>
      </c>
      <c r="DN14" s="904">
        <f>'Öko-Soblu'!$J$34</f>
        <v>0</v>
      </c>
      <c r="DO14" s="904">
        <f>'Öko-Raps'!$J$34</f>
        <v>0</v>
      </c>
      <c r="DP14" s="904">
        <f>'Öko-Ka'!$J$34</f>
        <v>275.5</v>
      </c>
      <c r="DQ14" s="904">
        <f>'Öko-Lu'!$J$34</f>
        <v>0</v>
      </c>
      <c r="DR14" s="904">
        <f>Begrün.!$J$34</f>
        <v>0</v>
      </c>
      <c r="DS14" s="904">
        <f>Blühm.!$J$34</f>
        <v>0</v>
      </c>
      <c r="DT14" s="893"/>
      <c r="DU14" s="904">
        <f>'Öko-KG1'!$M$34</f>
        <v>0</v>
      </c>
      <c r="DV14" s="904">
        <f>'Öko-KG2'!$M$34</f>
        <v>0</v>
      </c>
      <c r="DW14" s="904">
        <f>'Öko-LU1'!$M$34</f>
        <v>0</v>
      </c>
      <c r="DX14" s="904">
        <f>'Öko-LU2'!$M$34</f>
        <v>0</v>
      </c>
      <c r="DY14" s="902">
        <f>'Öko-WW-Futter'!$M$34</f>
        <v>0</v>
      </c>
      <c r="DZ14" s="904">
        <f>'Öko-WW-Brot'!$M$34</f>
        <v>0</v>
      </c>
      <c r="EA14" s="904">
        <f>'Öko-Di'!$M$34</f>
        <v>0</v>
      </c>
      <c r="EB14" s="904" t="e">
        <f>'Öko-Dinkel,gegerbt'!$M$34</f>
        <v>#N/A</v>
      </c>
      <c r="EC14" s="904">
        <f>'Öko-Ro'!$M$34</f>
        <v>0</v>
      </c>
      <c r="ED14" s="904">
        <f>'Öko-Ha'!$M$34</f>
        <v>0</v>
      </c>
      <c r="EE14" s="904">
        <f>'Öko-Wg'!$M$34</f>
        <v>0</v>
      </c>
      <c r="EF14" s="904">
        <f>'Öko-Bg'!$M$34</f>
        <v>0</v>
      </c>
      <c r="EG14" s="904">
        <f>'Öko-KöM'!$M$34</f>
        <v>0</v>
      </c>
      <c r="EH14" s="904">
        <f>'Öko-Ab'!$M$34</f>
        <v>0</v>
      </c>
      <c r="EI14" s="904">
        <f>'Öko-FE'!$M$34</f>
        <v>0</v>
      </c>
      <c r="EJ14" s="904">
        <f>'Öko-Soja'!$M$34</f>
        <v>0</v>
      </c>
      <c r="EK14" s="904">
        <f>'Öko-Soblu'!$M$34</f>
        <v>0</v>
      </c>
      <c r="EL14" s="904">
        <f>'Öko-Raps'!$M$34</f>
        <v>0</v>
      </c>
      <c r="EM14" s="904">
        <f>'Öko-Ka'!$M$34</f>
        <v>275.5</v>
      </c>
      <c r="EN14" s="904">
        <f>'Öko-Lu'!$M$34</f>
        <v>0</v>
      </c>
      <c r="EO14" s="904">
        <f>Begrün.!$M$34</f>
        <v>0</v>
      </c>
      <c r="EP14" s="904">
        <f>Blühm.!$M$34</f>
        <v>0</v>
      </c>
      <c r="EQ14" s="893"/>
      <c r="ER14" s="904">
        <f>'Öko-KG1'!$P$34</f>
        <v>0</v>
      </c>
      <c r="ES14" s="904">
        <f>'Öko-KG2'!$P$34</f>
        <v>0</v>
      </c>
      <c r="ET14" s="904">
        <f>'Öko-LU1'!$P$34</f>
        <v>0</v>
      </c>
      <c r="EU14" s="904">
        <f>'Öko-LU2'!$P$34</f>
        <v>0</v>
      </c>
      <c r="EV14" s="902">
        <f>'Öko-WW-Futter'!$P$34</f>
        <v>0</v>
      </c>
      <c r="EW14" s="904">
        <f>'Öko-WW-Brot'!$P$34</f>
        <v>0</v>
      </c>
      <c r="EX14" s="904">
        <f>'Öko-Di'!$P$34</f>
        <v>0</v>
      </c>
      <c r="EY14" s="904" t="e">
        <f>'Öko-Dinkel,gegerbt'!$P$34</f>
        <v>#N/A</v>
      </c>
      <c r="EZ14" s="904">
        <f>'Öko-Ro'!$P$34</f>
        <v>0</v>
      </c>
      <c r="FA14" s="904">
        <f>'Öko-Ha'!$P$34</f>
        <v>0</v>
      </c>
      <c r="FB14" s="904">
        <f>'Öko-Wg'!$P$34</f>
        <v>0</v>
      </c>
      <c r="FC14" s="904">
        <f>'Öko-Bg'!$P$34</f>
        <v>0</v>
      </c>
      <c r="FD14" s="904">
        <f>'Öko-KöM'!$P$34</f>
        <v>0</v>
      </c>
      <c r="FE14" s="904">
        <f>'Öko-Ab'!$P$34</f>
        <v>0</v>
      </c>
      <c r="FF14" s="904">
        <f>'Öko-FE'!$P$34</f>
        <v>0</v>
      </c>
      <c r="FG14" s="904">
        <f>'Öko-Soja'!$P$34</f>
        <v>0</v>
      </c>
      <c r="FH14" s="904">
        <f>'Öko-Soblu'!$P$34</f>
        <v>0</v>
      </c>
      <c r="FI14" s="904">
        <f>'Öko-Raps'!$P$34</f>
        <v>0</v>
      </c>
      <c r="FJ14" s="904">
        <f>'Öko-Ka'!$P$34</f>
        <v>275.5</v>
      </c>
      <c r="FK14" s="904">
        <f>'Öko-Lu'!$P$34</f>
        <v>0</v>
      </c>
      <c r="FL14" s="904">
        <f>Begrün.!$P$34</f>
        <v>0</v>
      </c>
      <c r="FM14" s="904">
        <f>Blühm.!$P$34</f>
        <v>0</v>
      </c>
    </row>
    <row r="15" spans="1:169" ht="16.2" customHeight="1">
      <c r="A15" s="899">
        <f>ROWS($A$1:A15)</f>
        <v>15</v>
      </c>
      <c r="B15" s="945" t="s">
        <v>822</v>
      </c>
      <c r="C15" s="985"/>
      <c r="D15" s="2620">
        <f>'WW1'!$J$43</f>
        <v>175.44795323249997</v>
      </c>
      <c r="E15" s="904">
        <f>'WW2'!$J$43</f>
        <v>182.89062459999997</v>
      </c>
      <c r="F15" s="904">
        <f>'WW-A'!$J$43</f>
        <v>189.5248989553333</v>
      </c>
      <c r="G15" s="904">
        <f>'WW-E'!$J$43</f>
        <v>187.96665918133331</v>
      </c>
      <c r="H15" s="904">
        <f>WRo!$J$43</f>
        <v>167.46485763749999</v>
      </c>
      <c r="I15" s="904">
        <f>Tr!$J$43</f>
        <v>175.42387090704997</v>
      </c>
      <c r="J15" s="904">
        <f>WG!$J$43</f>
        <v>178.0175987115</v>
      </c>
      <c r="K15" s="904">
        <f>Di!$J$43</f>
        <v>176.91695640439997</v>
      </c>
      <c r="L15" s="904">
        <f>SW!$J$43</f>
        <v>168.09238546079999</v>
      </c>
      <c r="M15" s="904">
        <f>'SG-Fu'!$J$43</f>
        <v>167.663164204</v>
      </c>
      <c r="N15" s="904">
        <f>BG!$J$43</f>
        <v>167.47191082699999</v>
      </c>
      <c r="O15" s="904">
        <f>Ha!$J$43</f>
        <v>167.62006779249998</v>
      </c>
      <c r="P15" s="904">
        <f>Du!$J$43</f>
        <v>187.37157077039998</v>
      </c>
      <c r="Q15" s="904">
        <f>KöM!$J$43</f>
        <v>151.20481495599998</v>
      </c>
      <c r="R15" s="904">
        <f>KH!$J$43</f>
        <v>149.95411203333333</v>
      </c>
      <c r="S15" s="904">
        <f>WR!$J$43</f>
        <v>159.14235170000001</v>
      </c>
      <c r="T15" s="904">
        <f>SR!$J$43</f>
        <v>153.28564298399999</v>
      </c>
      <c r="U15" s="904">
        <f>SoBl!$J$43</f>
        <v>166.86883662999998</v>
      </c>
      <c r="V15" s="904">
        <f>Soja!$J$43</f>
        <v>136.80785859333332</v>
      </c>
      <c r="W15" s="904">
        <f>Öl!$J$43</f>
        <v>155.72598298</v>
      </c>
      <c r="X15" s="904">
        <f>FE!$J$43</f>
        <v>136.80785859333332</v>
      </c>
      <c r="Y15" s="904">
        <f>AB!$J$43</f>
        <v>136.80785859333332</v>
      </c>
      <c r="Z15" s="904">
        <f>Lu!$J$43</f>
        <v>135.24021456666668</v>
      </c>
      <c r="AA15" s="904">
        <f>ZR!$J$43</f>
        <v>165.23769401999999</v>
      </c>
      <c r="AB15" s="904">
        <f>FrühKa!$J$43</f>
        <v>658.03062603142848</v>
      </c>
      <c r="AC15" s="904">
        <f>FrühKaFolieBer!$J$43</f>
        <v>914.7393224857143</v>
      </c>
      <c r="AD15" s="904">
        <f>SpKa!$J$43</f>
        <v>697.52810726285713</v>
      </c>
      <c r="AE15" s="904">
        <f>SpKaBer!$J$43</f>
        <v>801.97213843142856</v>
      </c>
      <c r="AF15" s="904">
        <f>Vorlage!$J$43</f>
        <v>0</v>
      </c>
      <c r="AG15" s="904">
        <f>'FAKT-Brachebegrünung'!$J$43</f>
        <v>126.20473629999998</v>
      </c>
      <c r="AH15" s="904">
        <f>Begr!$J$43</f>
        <v>102.28959179</v>
      </c>
      <c r="AI15" s="901"/>
      <c r="AJ15" s="902">
        <f>'WW1'!$M$43</f>
        <v>191.86667365</v>
      </c>
      <c r="AK15" s="904">
        <f>'WW2'!$M$43</f>
        <v>197.36154529999996</v>
      </c>
      <c r="AL15" s="904">
        <f>'WW-A'!$M$43</f>
        <v>202.81068238266667</v>
      </c>
      <c r="AM15" s="904">
        <f>'WW-E'!$M$43</f>
        <v>200.7330293506667</v>
      </c>
      <c r="AN15" s="904">
        <f>WRo!$M$43</f>
        <v>175.26781182333332</v>
      </c>
      <c r="AO15" s="904">
        <f>Tr!$M$43</f>
        <v>185.87982951606665</v>
      </c>
      <c r="AP15" s="904">
        <f>WG!$M$43</f>
        <v>187.12378816866664</v>
      </c>
      <c r="AQ15" s="904">
        <f>Di!$M$43</f>
        <v>189.39665437253331</v>
      </c>
      <c r="AR15" s="904">
        <f>SW!$M$43</f>
        <v>176.10451558773332</v>
      </c>
      <c r="AS15" s="904">
        <f>'SG-Fu'!$M$43</f>
        <v>175.53222057866668</v>
      </c>
      <c r="AT15" s="904">
        <f>BG!$M$43</f>
        <v>172.67544765966667</v>
      </c>
      <c r="AU15" s="904">
        <f>Ha!$M$43</f>
        <v>180.46194440333332</v>
      </c>
      <c r="AV15" s="904">
        <f>Du!$M$43</f>
        <v>194.95447964053329</v>
      </c>
      <c r="AW15" s="904">
        <f>KöM!$M$43</f>
        <v>155.04554282133333</v>
      </c>
      <c r="AX15" s="904">
        <f>KH!$M$43</f>
        <v>151.52175606</v>
      </c>
      <c r="AY15" s="904">
        <f>WR!$M$43</f>
        <v>167.35303098666662</v>
      </c>
      <c r="AZ15" s="904">
        <f>SR!$M$43</f>
        <v>160.79088245866666</v>
      </c>
      <c r="BA15" s="904">
        <f>SoBl!$M$43</f>
        <v>167.84861414666665</v>
      </c>
      <c r="BB15" s="904">
        <f>Soja!$M$43</f>
        <v>137.90520941199998</v>
      </c>
      <c r="BC15" s="904">
        <f>Öl!$M$43</f>
        <v>156.50980499333332</v>
      </c>
      <c r="BD15" s="904">
        <f>FE!$M$43</f>
        <v>139.15932463333331</v>
      </c>
      <c r="BE15" s="904">
        <f>AB!$M$43</f>
        <v>139.15932463333331</v>
      </c>
      <c r="BF15" s="904">
        <f>Lu!$M$43</f>
        <v>137.59168060666667</v>
      </c>
      <c r="BG15" s="904">
        <f>ZR!$M$43</f>
        <v>165.23769401999999</v>
      </c>
      <c r="BH15" s="904">
        <f>FrühKa!$M$43</f>
        <v>697.76035800857142</v>
      </c>
      <c r="BI15" s="904">
        <f>FrühKaFolieBer!$M$43</f>
        <v>937.74534093999989</v>
      </c>
      <c r="BJ15" s="904">
        <f>SpKa!$M$43</f>
        <v>743.78063105714284</v>
      </c>
      <c r="BK15" s="904">
        <f>SpKaBer!$M$43</f>
        <v>826.87734355142857</v>
      </c>
      <c r="BL15" s="904">
        <v>0</v>
      </c>
      <c r="BM15" s="904">
        <f>'FAKT-Brachebegrünung'!$M$43</f>
        <v>126.20473629999998</v>
      </c>
      <c r="BN15" s="904">
        <f>Begr!$M$43</f>
        <v>102.28959179</v>
      </c>
      <c r="BO15" s="901"/>
      <c r="BP15" s="902">
        <f>'WW1'!$P$43</f>
        <v>214.92842932749994</v>
      </c>
      <c r="BQ15" s="904">
        <f>'WW2'!$P$43</f>
        <v>211.83246599999998</v>
      </c>
      <c r="BR15" s="904">
        <f>'WW-A'!$P$43</f>
        <v>218.25197634666659</v>
      </c>
      <c r="BS15" s="904">
        <f>'WW-E'!$P$43</f>
        <v>215.65491005666661</v>
      </c>
      <c r="BT15" s="904">
        <f>WRo!$P$43</f>
        <v>193.45419054916664</v>
      </c>
      <c r="BU15" s="904">
        <f>Tr!$P$43</f>
        <v>200.07617740508331</v>
      </c>
      <c r="BV15" s="904">
        <f>WG!$P$43</f>
        <v>199.97036690583332</v>
      </c>
      <c r="BW15" s="904">
        <f>Di!$P$43</f>
        <v>198.13596306066668</v>
      </c>
      <c r="BX15" s="904">
        <f>SW!$P$43</f>
        <v>184.11664571466667</v>
      </c>
      <c r="BY15" s="904">
        <f>'SG-Fu'!$P$43</f>
        <v>183.40127695333334</v>
      </c>
      <c r="BZ15" s="904">
        <f>BG!$P$43</f>
        <v>177.87898449233333</v>
      </c>
      <c r="CA15" s="904">
        <f>Ha!$P$43</f>
        <v>189.56343173416667</v>
      </c>
      <c r="CB15" s="904">
        <f>Du!$P$43</f>
        <v>202.53738851066663</v>
      </c>
      <c r="CC15" s="904">
        <f>KöM!$P$43</f>
        <v>158.88627068666665</v>
      </c>
      <c r="CD15" s="904">
        <f>KH!$P$43</f>
        <v>153.08940008666667</v>
      </c>
      <c r="CE15" s="904">
        <f>WR!$P$43</f>
        <v>168.92067501333332</v>
      </c>
      <c r="CF15" s="904">
        <f>SR!$P$43</f>
        <v>161.65308667333335</v>
      </c>
      <c r="CG15" s="904">
        <f>SoBl!$P$43</f>
        <v>168.82839166333332</v>
      </c>
      <c r="CH15" s="904">
        <f>Soja!$P$43</f>
        <v>139.00256023066666</v>
      </c>
      <c r="CI15" s="904">
        <f>Öl!$P$43</f>
        <v>157.29362700666667</v>
      </c>
      <c r="CJ15" s="904">
        <f>FE!$P$43</f>
        <v>141.51079067333333</v>
      </c>
      <c r="CK15" s="904">
        <f>AB!$P$43</f>
        <v>141.51079067333333</v>
      </c>
      <c r="CL15" s="904">
        <f>Lu!$P$43</f>
        <v>139.94314664666666</v>
      </c>
      <c r="CM15" s="904">
        <f>ZR!$P$43</f>
        <v>171.88072928</v>
      </c>
      <c r="CN15" s="904">
        <f>FrühKa!$P$43</f>
        <v>737.49008998571423</v>
      </c>
      <c r="CO15" s="904">
        <f>FrühKaFolieBer!$P$43</f>
        <v>974.03742991428567</v>
      </c>
      <c r="CP15" s="904">
        <f>SpKa!$P$43</f>
        <v>790.03315485142855</v>
      </c>
      <c r="CQ15" s="904">
        <f>SpKaBer!$P$43</f>
        <v>851.18956759714285</v>
      </c>
      <c r="CR15" s="904">
        <f>Vorlage!$P$43</f>
        <v>0</v>
      </c>
      <c r="CS15" s="904">
        <f>'FAKT-Brachebegrünung'!$P$43</f>
        <v>126.20473629999998</v>
      </c>
      <c r="CT15" s="904">
        <f>Begr!$P$43</f>
        <v>102.28959179</v>
      </c>
      <c r="CV15" s="945" t="s">
        <v>822</v>
      </c>
      <c r="CW15" s="985"/>
      <c r="CX15" s="2620">
        <f>'Öko-KG1'!$J$43</f>
        <v>197.83489008999999</v>
      </c>
      <c r="CY15" s="904">
        <f>'Öko-KG2'!$J$43</f>
        <v>136.19031709000001</v>
      </c>
      <c r="CZ15" s="904">
        <f>'Öko-LU1'!$J$43</f>
        <v>197.83489008999999</v>
      </c>
      <c r="DA15" s="904">
        <f>'Öko-LU2'!$J$43</f>
        <v>136.19031709000001</v>
      </c>
      <c r="DB15" s="902">
        <f>'Öko-WW-Futter'!$J$43</f>
        <v>159.72434645999999</v>
      </c>
      <c r="DC15" s="904">
        <f>'Öko-WW-Brot'!$J$43</f>
        <v>141.91589189999999</v>
      </c>
      <c r="DD15" s="904">
        <f>'Öko-Di'!$J$43</f>
        <v>141.91589189999999</v>
      </c>
      <c r="DE15" s="904" t="e">
        <f>'Öko-Dinkel,gegerbt'!$J$43</f>
        <v>#N/A</v>
      </c>
      <c r="DF15" s="904">
        <f>'Öko-Ro'!$J$43</f>
        <v>161.95040327999999</v>
      </c>
      <c r="DG15" s="904">
        <f>'Öko-Ha'!$J$43</f>
        <v>161.95040327999999</v>
      </c>
      <c r="DH15" s="904">
        <f>'Öko-Wg'!$J$43</f>
        <v>154.98849636999998</v>
      </c>
      <c r="DI15" s="904">
        <f>'Öko-Bg'!$J$43</f>
        <v>153.70458879333333</v>
      </c>
      <c r="DJ15" s="904">
        <f>'Öko-KöM'!$J$43</f>
        <v>187.63347017999996</v>
      </c>
      <c r="DK15" s="904">
        <f>'Öko-Ab'!$J$43</f>
        <v>168.48147875999999</v>
      </c>
      <c r="DL15" s="904">
        <f>'Öko-FE'!$J$43</f>
        <v>155.59065436999998</v>
      </c>
      <c r="DM15" s="904">
        <f>'Öko-Soja'!$J$43</f>
        <v>201.27020505333331</v>
      </c>
      <c r="DN15" s="904" t="e">
        <f>'Öko-Soblu'!$J$43</f>
        <v>#N/A</v>
      </c>
      <c r="DO15" s="904" t="e">
        <f>'Öko-Raps'!$J$43</f>
        <v>#N/A</v>
      </c>
      <c r="DP15" s="904">
        <f>'Öko-Ka'!$J$43</f>
        <v>681.8472642571428</v>
      </c>
      <c r="DQ15" s="904">
        <f>'Öko-Lu'!$J$43</f>
        <v>146.18080025</v>
      </c>
      <c r="DR15" s="904">
        <f>Begrün.!$J$43</f>
        <v>52.372249999999994</v>
      </c>
      <c r="DS15" s="904">
        <f>Blühm.!$J$43</f>
        <v>96.015141790000001</v>
      </c>
      <c r="DT15" s="893"/>
      <c r="DU15" s="904">
        <f>'Öko-KG1'!$M$43</f>
        <v>197.83489008999999</v>
      </c>
      <c r="DV15" s="904">
        <f>'Öko-KG2'!$M$43</f>
        <v>136.19031709000001</v>
      </c>
      <c r="DW15" s="904">
        <f>'Öko-LU1'!$M$43</f>
        <v>197.83489008999999</v>
      </c>
      <c r="DX15" s="904">
        <f>'Öko-LU2'!$M$43</f>
        <v>136.19031709000001</v>
      </c>
      <c r="DY15" s="902">
        <f>'Öko-WW-Futter'!$M$43</f>
        <v>159.06593366666667</v>
      </c>
      <c r="DZ15" s="904">
        <f>'Öko-WW-Brot'!$M$43</f>
        <v>143.48353592666666</v>
      </c>
      <c r="EA15" s="904">
        <f>'Öko-Di'!$M$43</f>
        <v>143.48353592666666</v>
      </c>
      <c r="EB15" s="904" t="e">
        <f>'Öko-Dinkel,gegerbt'!$M$43</f>
        <v>#N/A</v>
      </c>
      <c r="EC15" s="904">
        <f>'Öko-Ro'!$M$43</f>
        <v>161.01373338416667</v>
      </c>
      <c r="ED15" s="904">
        <f>'Öko-Ha'!$M$43</f>
        <v>161.01373338416667</v>
      </c>
      <c r="EE15" s="904">
        <f>'Öko-Wg'!$M$43</f>
        <v>161.01373338416667</v>
      </c>
      <c r="EF15" s="904">
        <f>'Öko-Bg'!$M$43</f>
        <v>155.17033423166666</v>
      </c>
      <c r="EG15" s="904">
        <f>'Öko-KöM'!$M$43</f>
        <v>190.37684722666665</v>
      </c>
      <c r="EH15" s="904">
        <f>'Öko-Ab'!$M$43</f>
        <v>169.46125627666663</v>
      </c>
      <c r="EI15" s="904">
        <f>'Öko-FE'!$M$43</f>
        <v>156.57043188666665</v>
      </c>
      <c r="EJ15" s="904">
        <f>'Öko-Soja'!$M$43</f>
        <v>202.05402706666663</v>
      </c>
      <c r="EK15" s="904" t="e">
        <f>'Öko-Soblu'!$M$43</f>
        <v>#N/A</v>
      </c>
      <c r="EL15" s="904" t="e">
        <f>'Öko-Raps'!$M$43</f>
        <v>#N/A</v>
      </c>
      <c r="EM15" s="904">
        <f>'Öko-Ka'!$M$43</f>
        <v>711.49631797142854</v>
      </c>
      <c r="EN15" s="904">
        <f>'Öko-Lu'!$M$43</f>
        <v>146.9646222633333</v>
      </c>
      <c r="EO15" s="904">
        <f>Begrün.!$M$43</f>
        <v>52.372249999999994</v>
      </c>
      <c r="EP15" s="904">
        <f>Blühm.!$M$43</f>
        <v>96.015141790000001</v>
      </c>
      <c r="EQ15" s="893"/>
      <c r="ER15" s="904">
        <f>'Öko-KG1'!$P$43</f>
        <v>197.83489008999999</v>
      </c>
      <c r="ES15" s="904">
        <f>'Öko-KG2'!$P$43</f>
        <v>136.19031709000001</v>
      </c>
      <c r="ET15" s="904">
        <f>'Öko-LU1'!$P$43</f>
        <v>197.83489008999999</v>
      </c>
      <c r="EU15" s="904">
        <f>'Öko-LU2'!$P$43</f>
        <v>136.19031709000001</v>
      </c>
      <c r="EV15" s="902">
        <f>'Öko-WW-Futter'!$P$43</f>
        <v>163.612101344</v>
      </c>
      <c r="EW15" s="904">
        <f>'Öko-WW-Brot'!$P$43</f>
        <v>146.61882397999997</v>
      </c>
      <c r="EX15" s="904">
        <f>'Öko-Di'!$P$43</f>
        <v>144.26735793999998</v>
      </c>
      <c r="EY15" s="904" t="e">
        <f>'Öko-Dinkel,gegerbt'!$P$43</f>
        <v>#N/A</v>
      </c>
      <c r="EZ15" s="904">
        <f>'Öko-Ro'!$P$43</f>
        <v>162.58137741083331</v>
      </c>
      <c r="FA15" s="904">
        <f>'Öko-Ha'!$P$43</f>
        <v>162.58137741083334</v>
      </c>
      <c r="FB15" s="904">
        <f>'Öko-Wg'!$P$43</f>
        <v>162.58137741083334</v>
      </c>
      <c r="FC15" s="904">
        <f>'Öko-Bg'!$P$43</f>
        <v>155.17033423166666</v>
      </c>
      <c r="FD15" s="904">
        <f>'Öko-KöM'!$P$43</f>
        <v>193.12022427333329</v>
      </c>
      <c r="FE15" s="904">
        <f>'Öko-Ab'!$P$43</f>
        <v>170.4410337933333</v>
      </c>
      <c r="FF15" s="904">
        <f>'Öko-FE'!$P$43</f>
        <v>177.40294070333331</v>
      </c>
      <c r="FG15" s="904">
        <f>'Öko-Soja'!$P$43</f>
        <v>209.79975598999999</v>
      </c>
      <c r="FH15" s="904" t="e">
        <f>'Öko-Soblu'!$P$43</f>
        <v>#N/A</v>
      </c>
      <c r="FI15" s="904" t="e">
        <f>'Öko-Raps'!$P$43</f>
        <v>#N/A</v>
      </c>
      <c r="FJ15" s="904">
        <f>'Öko-Ka'!$P$43</f>
        <v>741.14537168571428</v>
      </c>
      <c r="FK15" s="904">
        <f>'Öko-Lu'!$P$43</f>
        <v>147.74844427666665</v>
      </c>
      <c r="FL15" s="904">
        <f>Begrün.!$P$43</f>
        <v>52.372249999999994</v>
      </c>
      <c r="FM15" s="904">
        <f>Blühm.!$P$43</f>
        <v>96.015141790000001</v>
      </c>
    </row>
    <row r="16" spans="1:169" ht="16.2" customHeight="1">
      <c r="A16" s="899">
        <f>ROWS($A$1:A16)</f>
        <v>16</v>
      </c>
      <c r="B16" s="945" t="s">
        <v>821</v>
      </c>
      <c r="C16" s="985"/>
      <c r="D16" s="2620">
        <f>'WW1'!$J$60</f>
        <v>324</v>
      </c>
      <c r="E16" s="904">
        <f>'WW2'!$J$60</f>
        <v>324</v>
      </c>
      <c r="F16" s="904">
        <f>'WW-A'!$J$60</f>
        <v>318.06</v>
      </c>
      <c r="G16" s="904">
        <f>'WW-E'!$J$60</f>
        <v>310.14</v>
      </c>
      <c r="H16" s="904">
        <f>WRo!$J$60</f>
        <v>286.875</v>
      </c>
      <c r="I16" s="904">
        <f>Tr!$J$60</f>
        <v>324.74250000000001</v>
      </c>
      <c r="J16" s="904">
        <f>WG!$J$60</f>
        <v>296.77499999999998</v>
      </c>
      <c r="K16" s="904">
        <f>Di!$J$60</f>
        <v>300.24</v>
      </c>
      <c r="L16" s="904">
        <f>SW!$J$60</f>
        <v>286.38</v>
      </c>
      <c r="M16" s="904">
        <f>'SG-Fu'!$J$60</f>
        <v>284.39999999999998</v>
      </c>
      <c r="N16" s="904">
        <f>BG!$J$60</f>
        <v>279.45</v>
      </c>
      <c r="O16" s="904">
        <f>Ha!$J$60</f>
        <v>311.625</v>
      </c>
      <c r="P16" s="904">
        <f>Du!$J$60</f>
        <v>280.44</v>
      </c>
      <c r="Q16" s="904">
        <f>KöM!$J$60</f>
        <v>200</v>
      </c>
      <c r="R16" s="904">
        <f>KH!$J$60</f>
        <v>175.5</v>
      </c>
      <c r="S16" s="904">
        <f>WR!$J$60</f>
        <v>193.6</v>
      </c>
      <c r="T16" s="904">
        <f>SR!$J$60</f>
        <v>193.6</v>
      </c>
      <c r="U16" s="904">
        <f>SoBl!$J$60</f>
        <v>193.6</v>
      </c>
      <c r="V16" s="904">
        <f>Soja!$J$60</f>
        <v>204.3</v>
      </c>
      <c r="W16" s="904">
        <f>Öl!$J$60</f>
        <v>193.6</v>
      </c>
      <c r="X16" s="904">
        <f>FE!$J$60</f>
        <v>204.3</v>
      </c>
      <c r="Y16" s="904">
        <f>AB!$J$60</f>
        <v>204.3</v>
      </c>
      <c r="Z16" s="904">
        <f>Lu!$J$60</f>
        <v>204.3</v>
      </c>
      <c r="AA16" s="904">
        <f>ZR!$J$60</f>
        <v>506</v>
      </c>
      <c r="AB16" s="904">
        <f>FrühKa!$J$60</f>
        <v>2600</v>
      </c>
      <c r="AC16" s="904">
        <f>FrühKaFolieBer!$J$60</f>
        <v>2600</v>
      </c>
      <c r="AD16" s="904">
        <f>SpKa!$J$60</f>
        <v>2600</v>
      </c>
      <c r="AE16" s="904">
        <f>SpKaBer!$J$60</f>
        <v>2600</v>
      </c>
      <c r="AF16" s="904">
        <f>Vorlage!$J$60</f>
        <v>0</v>
      </c>
      <c r="AG16" s="904">
        <f>'FAKT-Brachebegrünung'!$J$60</f>
        <v>0</v>
      </c>
      <c r="AH16" s="904">
        <f>Begr!$J$60</f>
        <v>0</v>
      </c>
      <c r="AI16" s="901"/>
      <c r="AJ16" s="902">
        <f>'WW1'!$M$60</f>
        <v>373.5</v>
      </c>
      <c r="AK16" s="904">
        <f>'WW2'!$M$60</f>
        <v>373.5</v>
      </c>
      <c r="AL16" s="904">
        <f>'WW-A'!$M$60</f>
        <v>365.58</v>
      </c>
      <c r="AM16" s="904">
        <f>'WW-E'!$M$60</f>
        <v>355.02</v>
      </c>
      <c r="AN16" s="904">
        <f>WRo!$M$60</f>
        <v>324</v>
      </c>
      <c r="AO16" s="904">
        <f>Tr!$M$60</f>
        <v>374.49</v>
      </c>
      <c r="AP16" s="904">
        <f>WG!$M$60</f>
        <v>337.2</v>
      </c>
      <c r="AQ16" s="904">
        <f>Di!$M$60</f>
        <v>341.82</v>
      </c>
      <c r="AR16" s="904">
        <f>SW!$M$60</f>
        <v>323.34000000000003</v>
      </c>
      <c r="AS16" s="904">
        <f>'SG-Fu'!$M$60</f>
        <v>320.7</v>
      </c>
      <c r="AT16" s="904">
        <f>BG!$M$60</f>
        <v>302.55</v>
      </c>
      <c r="AU16" s="904">
        <f>Ha!$M$60</f>
        <v>357</v>
      </c>
      <c r="AV16" s="904">
        <f>Du!$M$60</f>
        <v>315.42</v>
      </c>
      <c r="AW16" s="904">
        <f>KöM!$M$60</f>
        <v>200</v>
      </c>
      <c r="AX16" s="904">
        <f>KH!$M$60</f>
        <v>175.5</v>
      </c>
      <c r="AY16" s="904">
        <f>WR!$M$60</f>
        <v>193.6</v>
      </c>
      <c r="AZ16" s="904">
        <f>SR!$M$60</f>
        <v>193.6</v>
      </c>
      <c r="BA16" s="904">
        <f>SoBl!$M$60</f>
        <v>193.6</v>
      </c>
      <c r="BB16" s="904">
        <f>Soja!$M$60</f>
        <v>204.3</v>
      </c>
      <c r="BC16" s="904">
        <f>Öl!$M$60</f>
        <v>193.6</v>
      </c>
      <c r="BD16" s="904">
        <f>FE!$M$60</f>
        <v>204.3</v>
      </c>
      <c r="BE16" s="904">
        <f>AB!$M$60</f>
        <v>204.3</v>
      </c>
      <c r="BF16" s="904">
        <f>Lu!$M$60</f>
        <v>204.3</v>
      </c>
      <c r="BG16" s="904">
        <f>ZR!$M$60</f>
        <v>506</v>
      </c>
      <c r="BH16" s="904">
        <f>FrühKa!$M$60</f>
        <v>2600</v>
      </c>
      <c r="BI16" s="904">
        <f>FrühKaFolieBer!$M$60</f>
        <v>2600</v>
      </c>
      <c r="BJ16" s="904">
        <f>SpKa!$M$60</f>
        <v>2600</v>
      </c>
      <c r="BK16" s="904">
        <f>SpKaBer!$M$60</f>
        <v>2600</v>
      </c>
      <c r="BL16" s="904">
        <v>0</v>
      </c>
      <c r="BM16" s="904">
        <f>'FAKT-Brachebegrünung'!$M$60</f>
        <v>0</v>
      </c>
      <c r="BN16" s="904">
        <f>Begr!$M$60</f>
        <v>0</v>
      </c>
      <c r="BO16" s="901"/>
      <c r="BP16" s="902">
        <f>'WW1'!$P$60</f>
        <v>423</v>
      </c>
      <c r="BQ16" s="904">
        <f>'WW2'!$P$60</f>
        <v>423</v>
      </c>
      <c r="BR16" s="904">
        <f>'WW-A'!$P$60</f>
        <v>413.1</v>
      </c>
      <c r="BS16" s="904">
        <f>'WW-E'!$P$60</f>
        <v>399.9</v>
      </c>
      <c r="BT16" s="904">
        <f>WRo!$P$60</f>
        <v>361.125</v>
      </c>
      <c r="BU16" s="904">
        <f>Tr!$P$60</f>
        <v>424.23749999999995</v>
      </c>
      <c r="BV16" s="904">
        <f>WG!$P$60</f>
        <v>377.625</v>
      </c>
      <c r="BW16" s="904">
        <f>Di!$P$60</f>
        <v>383.4</v>
      </c>
      <c r="BX16" s="904">
        <f>SW!$P$60</f>
        <v>360.29999999999995</v>
      </c>
      <c r="BY16" s="904">
        <f>'SG-Fu'!$P$60</f>
        <v>357</v>
      </c>
      <c r="BZ16" s="904">
        <f>BG!$P$60</f>
        <v>325.64999999999998</v>
      </c>
      <c r="CA16" s="904">
        <f>Ha!$P$60</f>
        <v>402.375</v>
      </c>
      <c r="CB16" s="904">
        <f>Du!$P$60</f>
        <v>350.4</v>
      </c>
      <c r="CC16" s="904">
        <f>KöM!$P$60</f>
        <v>200</v>
      </c>
      <c r="CD16" s="904">
        <f>KH!$P$60</f>
        <v>175.5</v>
      </c>
      <c r="CE16" s="904">
        <f>WR!$P$60</f>
        <v>193.6</v>
      </c>
      <c r="CF16" s="904">
        <f>SR!$P$60</f>
        <v>193.6</v>
      </c>
      <c r="CG16" s="904">
        <f>SoBl!$P$60</f>
        <v>193.6</v>
      </c>
      <c r="CH16" s="904">
        <f>Soja!$P$60</f>
        <v>204.3</v>
      </c>
      <c r="CI16" s="904">
        <f>Öl!$P$60</f>
        <v>193.6</v>
      </c>
      <c r="CJ16" s="904">
        <f>FE!$P$60</f>
        <v>204.3</v>
      </c>
      <c r="CK16" s="904">
        <f>AB!$P$60</f>
        <v>204.3</v>
      </c>
      <c r="CL16" s="904">
        <f>Lu!$P$60</f>
        <v>204.3</v>
      </c>
      <c r="CM16" s="904">
        <f>ZR!$P$60</f>
        <v>506</v>
      </c>
      <c r="CN16" s="904">
        <f>FrühKa!$P$60</f>
        <v>2600</v>
      </c>
      <c r="CO16" s="904">
        <f>FrühKaFolieBer!$P$60</f>
        <v>2600</v>
      </c>
      <c r="CP16" s="904">
        <f>SpKa!$P$60</f>
        <v>2600</v>
      </c>
      <c r="CQ16" s="904">
        <f>SpKaBer!$P$60</f>
        <v>2600</v>
      </c>
      <c r="CR16" s="904">
        <f>Vorlage!$P$60</f>
        <v>0</v>
      </c>
      <c r="CS16" s="904">
        <f>'FAKT-Brachebegrünung'!$P$60</f>
        <v>0</v>
      </c>
      <c r="CT16" s="904">
        <f>Begr!$P$60</f>
        <v>0</v>
      </c>
      <c r="CV16" s="945" t="s">
        <v>821</v>
      </c>
      <c r="CW16" s="985"/>
      <c r="CX16" s="2620">
        <f>'Öko-KG1'!$J$60</f>
        <v>0</v>
      </c>
      <c r="CY16" s="904">
        <f>'Öko-KG2'!$J$60</f>
        <v>0</v>
      </c>
      <c r="CZ16" s="904">
        <f>'Öko-LU1'!$J$60</f>
        <v>0</v>
      </c>
      <c r="DA16" s="904">
        <f>'Öko-LU2'!$J$60</f>
        <v>0</v>
      </c>
      <c r="DB16" s="902">
        <f>'Öko-WW-Futter'!$J$60</f>
        <v>236.2</v>
      </c>
      <c r="DC16" s="904">
        <f>'Öko-WW-Brot'!$J$60</f>
        <v>157</v>
      </c>
      <c r="DD16" s="904">
        <f>'Öko-Di'!$J$60</f>
        <v>157</v>
      </c>
      <c r="DE16" s="904">
        <f>'Öko-Dinkel,gegerbt'!$J$60</f>
        <v>226.3</v>
      </c>
      <c r="DF16" s="904">
        <f>'Öko-Ro'!$J$60</f>
        <v>246.1</v>
      </c>
      <c r="DG16" s="904">
        <f>'Öko-Ha'!$J$60</f>
        <v>246.1</v>
      </c>
      <c r="DH16" s="904">
        <f>'Öko-Wg'!$J$60</f>
        <v>246.1</v>
      </c>
      <c r="DI16" s="904">
        <f>'Öko-Bg'!$J$60</f>
        <v>234.9</v>
      </c>
      <c r="DJ16" s="904">
        <f>'Öko-KöM'!$J$60</f>
        <v>200</v>
      </c>
      <c r="DK16" s="904">
        <f>'Öko-Ab'!$J$60</f>
        <v>204.3</v>
      </c>
      <c r="DL16" s="904">
        <f>'Öko-FE'!$J$60</f>
        <v>204.3</v>
      </c>
      <c r="DM16" s="904">
        <f>'Öko-Soja'!$J$60</f>
        <v>204.3</v>
      </c>
      <c r="DN16" s="904">
        <f>'Öko-Soblu'!$J$60</f>
        <v>175.5</v>
      </c>
      <c r="DO16" s="904">
        <f>'Öko-Raps'!$J$60</f>
        <v>208.845</v>
      </c>
      <c r="DP16" s="904">
        <f>'Öko-Ka'!$J$60</f>
        <v>2600</v>
      </c>
      <c r="DQ16" s="904">
        <f>'Öko-Lu'!$J$60</f>
        <v>175.5</v>
      </c>
      <c r="DR16" s="904">
        <f>Begrün.!$J$60</f>
        <v>0</v>
      </c>
      <c r="DS16" s="904">
        <f>Blühm.!$J$60</f>
        <v>0</v>
      </c>
      <c r="DT16" s="893"/>
      <c r="DU16" s="904">
        <f>'Öko-KG1'!$M$60</f>
        <v>0</v>
      </c>
      <c r="DV16" s="904">
        <f>'Öko-KG2'!$M$60</f>
        <v>0</v>
      </c>
      <c r="DW16" s="904">
        <f>'Öko-LU1'!$M$60</f>
        <v>0</v>
      </c>
      <c r="DX16" s="904">
        <f>'Öko-LU2'!$M$60</f>
        <v>0</v>
      </c>
      <c r="DY16" s="902">
        <f>'Öko-WW-Futter'!$M$60</f>
        <v>262.60000000000002</v>
      </c>
      <c r="DZ16" s="904">
        <f>'Öko-WW-Brot'!$M$60</f>
        <v>157</v>
      </c>
      <c r="EA16" s="904">
        <f>'Öko-Di'!$M$60</f>
        <v>157</v>
      </c>
      <c r="EB16" s="904">
        <f>'Öko-Dinkel,gegerbt'!$M$60</f>
        <v>249.39999999999998</v>
      </c>
      <c r="EC16" s="904">
        <f>'Öko-Ro'!$M$60</f>
        <v>275.8</v>
      </c>
      <c r="ED16" s="904">
        <f>'Öko-Ha'!$M$60</f>
        <v>275.8</v>
      </c>
      <c r="EE16" s="904">
        <f>'Öko-Wg'!$M$60</f>
        <v>275.8</v>
      </c>
      <c r="EF16" s="904">
        <f>'Öko-Bg'!$M$60</f>
        <v>294.3</v>
      </c>
      <c r="EG16" s="904">
        <f>'Öko-KöM'!$M$60</f>
        <v>200</v>
      </c>
      <c r="EH16" s="904">
        <f>'Öko-Ab'!$M$60</f>
        <v>204.3</v>
      </c>
      <c r="EI16" s="904">
        <f>'Öko-FE'!$M$60</f>
        <v>204.3</v>
      </c>
      <c r="EJ16" s="904">
        <f>'Öko-Soja'!$M$60</f>
        <v>204.3</v>
      </c>
      <c r="EK16" s="904">
        <f>'Öko-Soblu'!$M$60</f>
        <v>175.5</v>
      </c>
      <c r="EL16" s="904">
        <f>'Öko-Raps'!$M$60</f>
        <v>208.845</v>
      </c>
      <c r="EM16" s="904">
        <f>'Öko-Ka'!$M$60</f>
        <v>2600</v>
      </c>
      <c r="EN16" s="904">
        <f>'Öko-Lu'!$M$60</f>
        <v>175.5</v>
      </c>
      <c r="EO16" s="904">
        <f>Begrün.!$M$60</f>
        <v>0</v>
      </c>
      <c r="EP16" s="904">
        <f>Blühm.!$M$60</f>
        <v>0</v>
      </c>
      <c r="EQ16" s="893"/>
      <c r="ER16" s="904">
        <f>'Öko-KG1'!$P$60</f>
        <v>0</v>
      </c>
      <c r="ES16" s="904">
        <f>'Öko-KG2'!$P$60</f>
        <v>0</v>
      </c>
      <c r="ET16" s="904">
        <f>'Öko-LU1'!$P$60</f>
        <v>0</v>
      </c>
      <c r="EU16" s="904">
        <f>'Öko-LU2'!$P$60</f>
        <v>0</v>
      </c>
      <c r="EV16" s="902">
        <f>'Öko-WW-Futter'!$P$60</f>
        <v>339.15999999999997</v>
      </c>
      <c r="EW16" s="904">
        <f>'Öko-WW-Brot'!$P$60</f>
        <v>157</v>
      </c>
      <c r="EX16" s="904">
        <f>'Öko-Di'!$P$60</f>
        <v>157</v>
      </c>
      <c r="EY16" s="904">
        <f>'Öko-Dinkel,gegerbt'!$P$60</f>
        <v>272.5</v>
      </c>
      <c r="EZ16" s="904">
        <f>'Öko-Ro'!$P$60</f>
        <v>305.5</v>
      </c>
      <c r="FA16" s="904">
        <f>'Öko-Ha'!$P$60</f>
        <v>305.5</v>
      </c>
      <c r="FB16" s="904">
        <f>'Öko-Wg'!$P$60</f>
        <v>305.5</v>
      </c>
      <c r="FC16" s="904">
        <f>'Öko-Bg'!$P$60</f>
        <v>294.3</v>
      </c>
      <c r="FD16" s="904">
        <f>'Öko-KöM'!$P$60</f>
        <v>200</v>
      </c>
      <c r="FE16" s="904">
        <f>'Öko-Ab'!$P$60</f>
        <v>204.3</v>
      </c>
      <c r="FF16" s="904">
        <f>'Öko-FE'!$P$60</f>
        <v>204.3</v>
      </c>
      <c r="FG16" s="904">
        <f>'Öko-Soja'!$P$60</f>
        <v>204.3</v>
      </c>
      <c r="FH16" s="904">
        <f>'Öko-Soblu'!$P$60</f>
        <v>175.5</v>
      </c>
      <c r="FI16" s="904">
        <f>'Öko-Raps'!$P$60</f>
        <v>208.845</v>
      </c>
      <c r="FJ16" s="904">
        <f>'Öko-Ka'!$P$60</f>
        <v>2600</v>
      </c>
      <c r="FK16" s="904">
        <f>'Öko-Lu'!$P$60</f>
        <v>175.5</v>
      </c>
      <c r="FL16" s="904">
        <f>Begrün.!$P$60</f>
        <v>0</v>
      </c>
      <c r="FM16" s="904">
        <f>Blühm.!$P$60</f>
        <v>0</v>
      </c>
    </row>
    <row r="17" spans="1:169" ht="16.2" customHeight="1">
      <c r="A17" s="899">
        <f>ROWS($A$1:A17)</f>
        <v>17</v>
      </c>
      <c r="B17" s="945" t="s">
        <v>820</v>
      </c>
      <c r="C17" s="985"/>
      <c r="D17" s="2620">
        <f>'WW1'!$J$65</f>
        <v>0</v>
      </c>
      <c r="E17" s="904">
        <f>'WW2'!$J$65</f>
        <v>0</v>
      </c>
      <c r="F17" s="904">
        <f>'WW-A'!$J$65</f>
        <v>0</v>
      </c>
      <c r="G17" s="904">
        <f>'WW-E'!$J$65</f>
        <v>0</v>
      </c>
      <c r="H17" s="904">
        <f>WRo!$J$65</f>
        <v>0</v>
      </c>
      <c r="I17" s="904">
        <f>Tr!$J$65</f>
        <v>0</v>
      </c>
      <c r="J17" s="904">
        <f>WG!$J$65</f>
        <v>0</v>
      </c>
      <c r="K17" s="904">
        <f>Di!$J$65</f>
        <v>0</v>
      </c>
      <c r="L17" s="904">
        <f>SW!$J$65</f>
        <v>0</v>
      </c>
      <c r="M17" s="904">
        <f>'SG-Fu'!$J$65</f>
        <v>0</v>
      </c>
      <c r="N17" s="904">
        <f>BG!$J$65</f>
        <v>0</v>
      </c>
      <c r="O17" s="904">
        <f>Ha!$J$65</f>
        <v>0</v>
      </c>
      <c r="P17" s="904">
        <f>Du!$J$65</f>
        <v>0</v>
      </c>
      <c r="Q17" s="904">
        <f>KöM!$J$65</f>
        <v>0</v>
      </c>
      <c r="R17" s="904">
        <f>KH!$J$65</f>
        <v>0</v>
      </c>
      <c r="S17" s="904">
        <f>WR!$J$65</f>
        <v>0</v>
      </c>
      <c r="T17" s="904">
        <f>SR!$J$65</f>
        <v>0</v>
      </c>
      <c r="U17" s="904">
        <f>SoBl!$J$65</f>
        <v>0</v>
      </c>
      <c r="V17" s="904">
        <f>Soja!$J$65</f>
        <v>0</v>
      </c>
      <c r="W17" s="904">
        <f>Öl!$J$65</f>
        <v>0</v>
      </c>
      <c r="X17" s="904">
        <f>FE!$J$65</f>
        <v>0</v>
      </c>
      <c r="Y17" s="904">
        <f>AB!$J$65</f>
        <v>0</v>
      </c>
      <c r="Z17" s="904">
        <f>Lu!$J$65</f>
        <v>0</v>
      </c>
      <c r="AA17" s="904">
        <f>ZR!$J$65</f>
        <v>0</v>
      </c>
      <c r="AB17" s="904">
        <f>FrühKa!$J$65</f>
        <v>500</v>
      </c>
      <c r="AC17" s="904">
        <f>FrühKaFolieBer!$J$65</f>
        <v>2800</v>
      </c>
      <c r="AD17" s="904">
        <f>SpKa!$J$65</f>
        <v>1000</v>
      </c>
      <c r="AE17" s="904">
        <f>SpKaBer!$J$65</f>
        <v>1200</v>
      </c>
      <c r="AF17" s="904">
        <f>Vorlage!$J$65</f>
        <v>0</v>
      </c>
      <c r="AG17" s="904">
        <f>'FAKT-Brachebegrünung'!$J$65</f>
        <v>0</v>
      </c>
      <c r="AH17" s="904">
        <f>Begr!$J$65</f>
        <v>0</v>
      </c>
      <c r="AI17" s="901"/>
      <c r="AJ17" s="902">
        <f>'WW1'!$M$65</f>
        <v>0</v>
      </c>
      <c r="AK17" s="904">
        <f>'WW2'!$M$65</f>
        <v>0</v>
      </c>
      <c r="AL17" s="904">
        <f>'WW-A'!$M$65</f>
        <v>0</v>
      </c>
      <c r="AM17" s="904">
        <f>'WW-E'!$M$65</f>
        <v>0</v>
      </c>
      <c r="AN17" s="904">
        <f>WRo!$M$65</f>
        <v>0</v>
      </c>
      <c r="AO17" s="904">
        <f>Tr!$M$65</f>
        <v>0</v>
      </c>
      <c r="AP17" s="904">
        <f>WG!$M$65</f>
        <v>0</v>
      </c>
      <c r="AQ17" s="904">
        <f>Di!$M$65</f>
        <v>0</v>
      </c>
      <c r="AR17" s="904">
        <f>SW!$M$65</f>
        <v>0</v>
      </c>
      <c r="AS17" s="904">
        <f>'SG-Fu'!$M$65</f>
        <v>0</v>
      </c>
      <c r="AT17" s="904">
        <f>BG!$M$65</f>
        <v>0</v>
      </c>
      <c r="AU17" s="904">
        <f>Ha!$M$65</f>
        <v>0</v>
      </c>
      <c r="AV17" s="904">
        <f>Du!$M$65</f>
        <v>0</v>
      </c>
      <c r="AW17" s="904">
        <f>KöM!$M$65</f>
        <v>0</v>
      </c>
      <c r="AX17" s="904">
        <f>KH!$M$65</f>
        <v>0</v>
      </c>
      <c r="AY17" s="904">
        <f>WR!$M$65</f>
        <v>0</v>
      </c>
      <c r="AZ17" s="904">
        <f>SR!$M$65</f>
        <v>0</v>
      </c>
      <c r="BA17" s="904">
        <f>SoBl!$M$65</f>
        <v>0</v>
      </c>
      <c r="BB17" s="904">
        <f>Soja!$M$65</f>
        <v>0</v>
      </c>
      <c r="BC17" s="904">
        <f>Öl!$M$65</f>
        <v>0</v>
      </c>
      <c r="BD17" s="904">
        <f>FE!$M$65</f>
        <v>0</v>
      </c>
      <c r="BE17" s="904">
        <f>AB!$M$65</f>
        <v>0</v>
      </c>
      <c r="BF17" s="904">
        <f>Lu!$M$65</f>
        <v>0</v>
      </c>
      <c r="BG17" s="904">
        <f>ZR!$M$65</f>
        <v>0</v>
      </c>
      <c r="BH17" s="904">
        <f>FrühKa!$M$65</f>
        <v>500</v>
      </c>
      <c r="BI17" s="904">
        <f>FrühKaFolieBer!$M$65</f>
        <v>2800</v>
      </c>
      <c r="BJ17" s="904">
        <f>SpKa!$M$65</f>
        <v>1000</v>
      </c>
      <c r="BK17" s="904">
        <f>SpKaBer!$M$65</f>
        <v>1200</v>
      </c>
      <c r="BL17" s="904">
        <v>0</v>
      </c>
      <c r="BM17" s="904">
        <f>'FAKT-Brachebegrünung'!$M$65</f>
        <v>0</v>
      </c>
      <c r="BN17" s="904">
        <f>Begr!$M$65</f>
        <v>0</v>
      </c>
      <c r="BO17" s="901"/>
      <c r="BP17" s="902">
        <f>'WW1'!$P$65</f>
        <v>0</v>
      </c>
      <c r="BQ17" s="904">
        <f>'WW2'!$P$65</f>
        <v>0</v>
      </c>
      <c r="BR17" s="904">
        <f>'WW-A'!$P$65</f>
        <v>0</v>
      </c>
      <c r="BS17" s="904">
        <f>'WW-E'!$P$65</f>
        <v>0</v>
      </c>
      <c r="BT17" s="904">
        <f>WRo!$P$65</f>
        <v>0</v>
      </c>
      <c r="BU17" s="904">
        <f>Tr!$P$65</f>
        <v>0</v>
      </c>
      <c r="BV17" s="904">
        <f>WG!$P$65</f>
        <v>0</v>
      </c>
      <c r="BW17" s="904">
        <f>Di!$P$65</f>
        <v>0</v>
      </c>
      <c r="BX17" s="904">
        <f>SW!$P$65</f>
        <v>0</v>
      </c>
      <c r="BY17" s="904">
        <f>'SG-Fu'!$P$65</f>
        <v>0</v>
      </c>
      <c r="BZ17" s="904">
        <f>BG!$P$65</f>
        <v>0</v>
      </c>
      <c r="CA17" s="904">
        <f>Ha!$P$65</f>
        <v>0</v>
      </c>
      <c r="CB17" s="904">
        <f>Du!$P$65</f>
        <v>0</v>
      </c>
      <c r="CC17" s="904">
        <f>KöM!$P$65</f>
        <v>0</v>
      </c>
      <c r="CD17" s="904">
        <f>KH!$P$65</f>
        <v>0</v>
      </c>
      <c r="CE17" s="904">
        <f>WR!$P$65</f>
        <v>0</v>
      </c>
      <c r="CF17" s="904">
        <f>SR!$P$65</f>
        <v>0</v>
      </c>
      <c r="CG17" s="904">
        <f>SoBl!$P$65</f>
        <v>0</v>
      </c>
      <c r="CH17" s="904">
        <f>Soja!$P$65</f>
        <v>0</v>
      </c>
      <c r="CI17" s="904">
        <f>Öl!$P$65</f>
        <v>0</v>
      </c>
      <c r="CJ17" s="904">
        <f>FE!$P$65</f>
        <v>0</v>
      </c>
      <c r="CK17" s="904">
        <f>AB!$P$65</f>
        <v>0</v>
      </c>
      <c r="CL17" s="904">
        <f>Lu!$P$65</f>
        <v>0</v>
      </c>
      <c r="CM17" s="904">
        <f>ZR!$P$65</f>
        <v>0</v>
      </c>
      <c r="CN17" s="904">
        <f>FrühKa!$P$65</f>
        <v>500</v>
      </c>
      <c r="CO17" s="904">
        <f>FrühKaFolieBer!$P$65</f>
        <v>2800</v>
      </c>
      <c r="CP17" s="904">
        <f>SpKa!$P$65</f>
        <v>1000</v>
      </c>
      <c r="CQ17" s="904">
        <f>SpKaBer!$P$65</f>
        <v>1200</v>
      </c>
      <c r="CR17" s="904">
        <f>Vorlage!$P$65</f>
        <v>0</v>
      </c>
      <c r="CS17" s="904">
        <f>'FAKT-Brachebegrünung'!$P$65</f>
        <v>0</v>
      </c>
      <c r="CT17" s="904">
        <f>Begr!$P$65</f>
        <v>0</v>
      </c>
      <c r="CV17" s="945" t="s">
        <v>820</v>
      </c>
      <c r="CW17" s="985"/>
      <c r="CX17" s="2620">
        <f>'Öko-KG1'!$J$65</f>
        <v>0</v>
      </c>
      <c r="CY17" s="904">
        <f>'Öko-KG2'!$J$65</f>
        <v>0</v>
      </c>
      <c r="CZ17" s="904">
        <f>'Öko-LU1'!$J$65</f>
        <v>0</v>
      </c>
      <c r="DA17" s="904">
        <f>'Öko-LU2'!$J$65</f>
        <v>0</v>
      </c>
      <c r="DB17" s="902">
        <f>'Öko-WW-Futter'!$J$65</f>
        <v>0</v>
      </c>
      <c r="DC17" s="904">
        <f>'Öko-WW-Brot'!$J$65</f>
        <v>0</v>
      </c>
      <c r="DD17" s="904">
        <f>'Öko-Di'!$J$65</f>
        <v>0</v>
      </c>
      <c r="DE17" s="904">
        <f>'Öko-Dinkel,gegerbt'!$J$65</f>
        <v>0</v>
      </c>
      <c r="DF17" s="904">
        <f>'Öko-Ro'!$J$65</f>
        <v>0</v>
      </c>
      <c r="DG17" s="904">
        <f>'Öko-Ha'!$J$65</f>
        <v>0</v>
      </c>
      <c r="DH17" s="904">
        <f>'Öko-Wg'!$J$65</f>
        <v>0</v>
      </c>
      <c r="DI17" s="904">
        <f>'Öko-Bg'!$J$65</f>
        <v>0</v>
      </c>
      <c r="DJ17" s="904">
        <f>'Öko-KöM'!$J$65</f>
        <v>0</v>
      </c>
      <c r="DK17" s="904">
        <f>'Öko-Ab'!$J$65</f>
        <v>0</v>
      </c>
      <c r="DL17" s="904">
        <f>'Öko-FE'!$J$65</f>
        <v>0</v>
      </c>
      <c r="DM17" s="904">
        <f>'Öko-Soja'!$J$65</f>
        <v>0</v>
      </c>
      <c r="DN17" s="904">
        <f>'Öko-Soblu'!$J$65</f>
        <v>0</v>
      </c>
      <c r="DO17" s="904">
        <f>'Öko-Raps'!$J$65</f>
        <v>0</v>
      </c>
      <c r="DP17" s="904">
        <f>'Öko-Ka'!$J$65</f>
        <v>0</v>
      </c>
      <c r="DQ17" s="904">
        <f>'Öko-Lu'!$J$65</f>
        <v>0</v>
      </c>
      <c r="DR17" s="904">
        <f>Begrün.!$J$65</f>
        <v>0</v>
      </c>
      <c r="DS17" s="904">
        <f>Blühm.!$J$65</f>
        <v>0</v>
      </c>
      <c r="DT17" s="893"/>
      <c r="DU17" s="904">
        <f>'Öko-KG1'!$M$65</f>
        <v>0</v>
      </c>
      <c r="DV17" s="904">
        <f>'Öko-KG2'!$M$65</f>
        <v>0</v>
      </c>
      <c r="DW17" s="904">
        <f>'Öko-LU1'!$M$65</f>
        <v>0</v>
      </c>
      <c r="DX17" s="904">
        <f>'Öko-LU2'!$M$65</f>
        <v>0</v>
      </c>
      <c r="DY17" s="902">
        <f>'Öko-WW-Futter'!$M$65</f>
        <v>0</v>
      </c>
      <c r="DZ17" s="904">
        <f>'Öko-WW-Brot'!$M$65</f>
        <v>0</v>
      </c>
      <c r="EA17" s="904">
        <f>'Öko-Di'!$M$65</f>
        <v>0</v>
      </c>
      <c r="EB17" s="904">
        <f>'Öko-Dinkel,gegerbt'!$M$65</f>
        <v>0</v>
      </c>
      <c r="EC17" s="904">
        <f>'Öko-Ro'!$M$65</f>
        <v>0</v>
      </c>
      <c r="ED17" s="904">
        <f>'Öko-Ha'!$M$65</f>
        <v>0</v>
      </c>
      <c r="EE17" s="904">
        <f>'Öko-Wg'!$M$65</f>
        <v>0</v>
      </c>
      <c r="EF17" s="904">
        <f>'Öko-Bg'!$M$65</f>
        <v>0</v>
      </c>
      <c r="EG17" s="904">
        <f>'Öko-KöM'!$M$65</f>
        <v>0</v>
      </c>
      <c r="EH17" s="904">
        <f>'Öko-Ab'!$M$65</f>
        <v>0</v>
      </c>
      <c r="EI17" s="904">
        <f>'Öko-FE'!$M$65</f>
        <v>0</v>
      </c>
      <c r="EJ17" s="904">
        <f>'Öko-Soja'!$M$65</f>
        <v>0</v>
      </c>
      <c r="EK17" s="904">
        <f>'Öko-Soblu'!$M$65</f>
        <v>0</v>
      </c>
      <c r="EL17" s="904">
        <f>'Öko-Raps'!$M$65</f>
        <v>0</v>
      </c>
      <c r="EM17" s="904">
        <f>'Öko-Ka'!$M$65</f>
        <v>0</v>
      </c>
      <c r="EN17" s="904">
        <f>'Öko-Lu'!$M$65</f>
        <v>0</v>
      </c>
      <c r="EO17" s="904">
        <f>Begrün.!$M$65</f>
        <v>0</v>
      </c>
      <c r="EP17" s="904">
        <f>Blühm.!$M$65</f>
        <v>0</v>
      </c>
      <c r="EQ17" s="893"/>
      <c r="ER17" s="904">
        <f>'Öko-KG1'!$P$65</f>
        <v>0</v>
      </c>
      <c r="ES17" s="904">
        <f>'Öko-KG2'!$P$65</f>
        <v>0</v>
      </c>
      <c r="ET17" s="904">
        <f>'Öko-LU1'!$P$65</f>
        <v>0</v>
      </c>
      <c r="EU17" s="904">
        <f>'Öko-LU2'!$P$65</f>
        <v>0</v>
      </c>
      <c r="EV17" s="902">
        <f>'Öko-WW-Futter'!$P$65</f>
        <v>0</v>
      </c>
      <c r="EW17" s="904">
        <f>'Öko-WW-Brot'!$P$65</f>
        <v>0</v>
      </c>
      <c r="EX17" s="904">
        <f>'Öko-Di'!$P$65</f>
        <v>0</v>
      </c>
      <c r="EY17" s="904">
        <f>'Öko-Dinkel,gegerbt'!$P$65</f>
        <v>0</v>
      </c>
      <c r="EZ17" s="904">
        <f>'Öko-Ro'!$P$65</f>
        <v>0</v>
      </c>
      <c r="FA17" s="904">
        <f>'Öko-Ha'!$P$65</f>
        <v>0</v>
      </c>
      <c r="FB17" s="904">
        <f>'Öko-Wg'!$P$65</f>
        <v>0</v>
      </c>
      <c r="FC17" s="904">
        <f>'Öko-Bg'!$P$65</f>
        <v>0</v>
      </c>
      <c r="FD17" s="904">
        <f>'Öko-KöM'!$P$65</f>
        <v>0</v>
      </c>
      <c r="FE17" s="904">
        <f>'Öko-Ab'!$P$65</f>
        <v>0</v>
      </c>
      <c r="FF17" s="904">
        <f>'Öko-FE'!$P$65</f>
        <v>0</v>
      </c>
      <c r="FG17" s="904">
        <f>'Öko-Soja'!$P$65</f>
        <v>0</v>
      </c>
      <c r="FH17" s="904">
        <f>'Öko-Soblu'!$P$65</f>
        <v>0</v>
      </c>
      <c r="FI17" s="904">
        <f>'Öko-Raps'!$P$65</f>
        <v>0</v>
      </c>
      <c r="FJ17" s="904">
        <f>'Öko-Ka'!$P$65</f>
        <v>0</v>
      </c>
      <c r="FK17" s="904">
        <f>'Öko-Lu'!$P$65</f>
        <v>0</v>
      </c>
      <c r="FL17" s="904">
        <f>Begrün.!$P$65</f>
        <v>0</v>
      </c>
      <c r="FM17" s="904">
        <f>Blühm.!$P$65</f>
        <v>0</v>
      </c>
    </row>
    <row r="18" spans="1:169" ht="16.2" customHeight="1">
      <c r="A18" s="899">
        <f>ROWS($A$1:A18)</f>
        <v>18</v>
      </c>
      <c r="B18" s="986" t="s">
        <v>819</v>
      </c>
      <c r="C18" s="985"/>
      <c r="D18" s="2620">
        <f>'WW1'!$J$67</f>
        <v>74.671874999999986</v>
      </c>
      <c r="E18" s="904">
        <f>'WW2'!$J$67</f>
        <v>56.953125</v>
      </c>
      <c r="F18" s="904">
        <f>'WW-A'!$J$67</f>
        <v>71.684999999999988</v>
      </c>
      <c r="G18" s="904">
        <f>'WW-E'!$J$67</f>
        <v>67.702499999999986</v>
      </c>
      <c r="H18" s="904">
        <f>WRo!$J$67</f>
        <v>49.781249999999986</v>
      </c>
      <c r="I18" s="904">
        <f>Tr!$J$67</f>
        <v>66.706874999999982</v>
      </c>
      <c r="J18" s="904">
        <f>WG!$J$67</f>
        <v>69.69374999999998</v>
      </c>
      <c r="K18" s="904">
        <f>Di!$J$67</f>
        <v>55.754999999999988</v>
      </c>
      <c r="L18" s="904">
        <f>SW!$J$67</f>
        <v>0</v>
      </c>
      <c r="M18" s="904">
        <f>'SG-Fu'!$J$67</f>
        <v>54.759374999999984</v>
      </c>
      <c r="N18" s="904">
        <f>BG!$J$67</f>
        <v>59.737499999999983</v>
      </c>
      <c r="O18" s="904">
        <f>Ha!$J$67</f>
        <v>49.781249999999986</v>
      </c>
      <c r="P18" s="904">
        <f>Du!$J$67</f>
        <v>52.768124999999991</v>
      </c>
      <c r="Q18" s="904">
        <f>KöM!$J$67</f>
        <v>235.20000000000002</v>
      </c>
      <c r="R18" s="904">
        <f>KH!$J$67</f>
        <v>492.40000000000089</v>
      </c>
      <c r="S18" s="904">
        <f>WR!$J$67</f>
        <v>56.430000000000057</v>
      </c>
      <c r="T18" s="904">
        <f>SR!$J$67</f>
        <v>47.025000000000048</v>
      </c>
      <c r="U18" s="904">
        <f>SoBl!$J$67</f>
        <v>91.687500000000114</v>
      </c>
      <c r="V18" s="904">
        <f>Soja!$J$67</f>
        <v>51.678000000000026</v>
      </c>
      <c r="W18" s="904">
        <f>Öl!$J$67</f>
        <v>41.849999999999994</v>
      </c>
      <c r="X18" s="904">
        <f>FE!$J$67</f>
        <v>41.58000000000002</v>
      </c>
      <c r="Y18" s="904">
        <f>AB!$J$67</f>
        <v>41.58000000000002</v>
      </c>
      <c r="Z18" s="904">
        <f>Lu!$J$67</f>
        <v>40.000000000000028</v>
      </c>
      <c r="AA18" s="904">
        <f>ZR!$J$67</f>
        <v>0</v>
      </c>
      <c r="AB18" s="904">
        <f>FrühKa!$J$67</f>
        <v>0</v>
      </c>
      <c r="AC18" s="904">
        <f>FrühKaFolieBer!$J$67</f>
        <v>0</v>
      </c>
      <c r="AD18" s="904">
        <f>SpKa!$J$67</f>
        <v>0</v>
      </c>
      <c r="AE18" s="904">
        <f>SpKaBer!$J$67</f>
        <v>0</v>
      </c>
      <c r="AF18" s="904">
        <f>Vorlage!$J$67</f>
        <v>0</v>
      </c>
      <c r="AG18" s="904">
        <f>'FAKT-Brachebegrünung'!$J$67</f>
        <v>0</v>
      </c>
      <c r="AH18" s="904">
        <f>Begr!$J$67</f>
        <v>0</v>
      </c>
      <c r="AI18" s="901"/>
      <c r="AJ18" s="902">
        <f>'WW1'!$M$67</f>
        <v>99.562499999999972</v>
      </c>
      <c r="AK18" s="904">
        <f>'WW2'!$M$67</f>
        <v>99.562499999999972</v>
      </c>
      <c r="AL18" s="904">
        <f>'WW-A'!$M$67</f>
        <v>95.579999999999984</v>
      </c>
      <c r="AM18" s="904">
        <f>'WW-E'!$M$67</f>
        <v>90.269999999999982</v>
      </c>
      <c r="AN18" s="904">
        <f>WRo!$M$67</f>
        <v>66.374999999999986</v>
      </c>
      <c r="AO18" s="904">
        <f>Tr!$M$67</f>
        <v>88.942499999999981</v>
      </c>
      <c r="AP18" s="904">
        <f>WG!$M$67</f>
        <v>92.924999999999983</v>
      </c>
      <c r="AQ18" s="904">
        <f>Di!$M$67</f>
        <v>74.339999999999975</v>
      </c>
      <c r="AR18" s="904">
        <f>SW!$M$67</f>
        <v>74.339999999999975</v>
      </c>
      <c r="AS18" s="904">
        <f>'SG-Fu'!$M$67</f>
        <v>73.012499999999989</v>
      </c>
      <c r="AT18" s="904">
        <f>BG!$M$67</f>
        <v>73.012499999999989</v>
      </c>
      <c r="AU18" s="904">
        <f>Ha!$M$67</f>
        <v>66.374999999999986</v>
      </c>
      <c r="AV18" s="904">
        <f>Du!$M$67</f>
        <v>70.357499999999987</v>
      </c>
      <c r="AW18" s="904">
        <f>KöM!$M$67</f>
        <v>313.60000000000002</v>
      </c>
      <c r="AX18" s="904">
        <f>KH!$M$67</f>
        <v>553.95000000000095</v>
      </c>
      <c r="AY18" s="904">
        <f>WR!$M$67</f>
        <v>75.24000000000008</v>
      </c>
      <c r="AZ18" s="904">
        <f>SR!$M$67</f>
        <v>62.70000000000006</v>
      </c>
      <c r="BA18" s="904">
        <f>SoBl!$M$67</f>
        <v>122.25000000000014</v>
      </c>
      <c r="BB18" s="904">
        <f>Soja!$M$67</f>
        <v>69.765300000000039</v>
      </c>
      <c r="BC18" s="904">
        <f>Öl!$M$67</f>
        <v>55.79999999999999</v>
      </c>
      <c r="BD18" s="904">
        <f>FE!$M$67</f>
        <v>72.765000000000029</v>
      </c>
      <c r="BE18" s="904">
        <f>AB!$M$67</f>
        <v>72.765000000000029</v>
      </c>
      <c r="BF18" s="904">
        <f>Lu!$M$67</f>
        <v>100.00000000000007</v>
      </c>
      <c r="BG18" s="904">
        <f>ZR!$M$67</f>
        <v>0</v>
      </c>
      <c r="BH18" s="904">
        <f>FrühKa!$M$67</f>
        <v>0</v>
      </c>
      <c r="BI18" s="904">
        <f>FrühKaFolieBer!$M$67</f>
        <v>0</v>
      </c>
      <c r="BJ18" s="904">
        <f>SpKa!$M$67</f>
        <v>0</v>
      </c>
      <c r="BK18" s="904">
        <f>SpKaBer!$M$67</f>
        <v>0</v>
      </c>
      <c r="BL18" s="904">
        <v>0</v>
      </c>
      <c r="BM18" s="904">
        <f>'FAKT-Brachebegrünung'!$M$67</f>
        <v>0</v>
      </c>
      <c r="BN18" s="904">
        <f>Begr!$M$67</f>
        <v>0</v>
      </c>
      <c r="BO18" s="901"/>
      <c r="BP18" s="902">
        <f>'WW1'!$P$67</f>
        <v>190.07812500000011</v>
      </c>
      <c r="BQ18" s="904">
        <f>'WW2'!$P$67</f>
        <v>124.45312499999997</v>
      </c>
      <c r="BR18" s="904">
        <f>'WW-A'!$P$67</f>
        <v>119.47499999999997</v>
      </c>
      <c r="BS18" s="904">
        <f>'WW-E'!$P$67</f>
        <v>112.83749999999998</v>
      </c>
      <c r="BT18" s="904">
        <f>WRo!$P$67</f>
        <v>82.968749999999986</v>
      </c>
      <c r="BU18" s="904">
        <f>Tr!$P$67</f>
        <v>111.17812499999998</v>
      </c>
      <c r="BV18" s="904">
        <f>WG!$P$67</f>
        <v>116.15624999999997</v>
      </c>
      <c r="BW18" s="904">
        <f>Di!$P$67</f>
        <v>92.924999999999983</v>
      </c>
      <c r="BX18" s="904">
        <f>SW!$P$67</f>
        <v>0</v>
      </c>
      <c r="BY18" s="904">
        <f>'SG-Fu'!$P$67</f>
        <v>91.265624999999972</v>
      </c>
      <c r="BZ18" s="904">
        <f>BG!$P$67</f>
        <v>86.28749999999998</v>
      </c>
      <c r="CA18" s="904">
        <f>Ha!$P$67</f>
        <v>82.968749999999986</v>
      </c>
      <c r="CB18" s="904">
        <f>Du!$P$67</f>
        <v>87.946874999999977</v>
      </c>
      <c r="CC18" s="904">
        <f>KöM!$P$67</f>
        <v>392</v>
      </c>
      <c r="CD18" s="904">
        <f>KH!$P$67</f>
        <v>615.50000000000114</v>
      </c>
      <c r="CE18" s="904">
        <f>WR!$P$67</f>
        <v>94.050000000000097</v>
      </c>
      <c r="CF18" s="904">
        <f>SR!$P$67</f>
        <v>78.375000000000071</v>
      </c>
      <c r="CG18" s="904">
        <f>SoBl!$P$67</f>
        <v>152.81250000000017</v>
      </c>
      <c r="CH18" s="904">
        <f>Soja!$P$67</f>
        <v>87.852600000000052</v>
      </c>
      <c r="CI18" s="904">
        <f>Öl!$P$67</f>
        <v>69.749999999999986</v>
      </c>
      <c r="CJ18" s="904">
        <f>FE!$P$67</f>
        <v>103.95000000000005</v>
      </c>
      <c r="CK18" s="904">
        <f>AB!$P$67</f>
        <v>103.95000000000005</v>
      </c>
      <c r="CL18" s="904">
        <f>Lu!$P$67</f>
        <v>160.00000000000011</v>
      </c>
      <c r="CM18" s="904">
        <f>ZR!$P$67</f>
        <v>0</v>
      </c>
      <c r="CN18" s="904">
        <f>FrühKa!$P$67</f>
        <v>0</v>
      </c>
      <c r="CO18" s="904">
        <f>FrühKaFolieBer!$P$67</f>
        <v>0</v>
      </c>
      <c r="CP18" s="904">
        <f>SpKa!$P$67</f>
        <v>0</v>
      </c>
      <c r="CQ18" s="904">
        <f>SpKaBer!$P$67</f>
        <v>0</v>
      </c>
      <c r="CR18" s="904">
        <f>Vorlage!$P$67</f>
        <v>0</v>
      </c>
      <c r="CS18" s="904">
        <f>'FAKT-Brachebegrünung'!$P$67</f>
        <v>0</v>
      </c>
      <c r="CT18" s="904">
        <f>Begr!$P$67</f>
        <v>0</v>
      </c>
      <c r="CV18" s="986" t="s">
        <v>819</v>
      </c>
      <c r="CW18" s="985"/>
      <c r="CX18" s="2620">
        <f>'Öko-KG1'!$J$67</f>
        <v>0</v>
      </c>
      <c r="CY18" s="904">
        <f>'Öko-KG2'!$J$67</f>
        <v>0</v>
      </c>
      <c r="CZ18" s="904">
        <f>'Öko-LU1'!$J$67</f>
        <v>0</v>
      </c>
      <c r="DA18" s="904">
        <f>'Öko-LU2'!$J$67</f>
        <v>0</v>
      </c>
      <c r="DB18" s="902">
        <f>'Öko-WW-Futter'!$J$67</f>
        <v>39.824999999999989</v>
      </c>
      <c r="DC18" s="904">
        <f>'Öko-WW-Brot'!$J$67</f>
        <v>39.824999999999989</v>
      </c>
      <c r="DD18" s="904">
        <f>'Öko-Di'!$J$67</f>
        <v>39.824999999999989</v>
      </c>
      <c r="DE18" s="904">
        <f>'Öko-Dinkel,gegerbt'!$J$67</f>
        <v>34.84687499999999</v>
      </c>
      <c r="DF18" s="904">
        <f>'Öko-Ro'!$J$67</f>
        <v>39.824999999999989</v>
      </c>
      <c r="DG18" s="904">
        <f>'Öko-Ha'!$J$67</f>
        <v>39.824999999999989</v>
      </c>
      <c r="DH18" s="904">
        <f>'Öko-Wg'!$J$67</f>
        <v>39.824999999999989</v>
      </c>
      <c r="DI18" s="904">
        <f>'Öko-Bg'!$J$67</f>
        <v>26.549999999999994</v>
      </c>
      <c r="DJ18" s="904">
        <f>'Öko-KöM'!$J$67</f>
        <v>168</v>
      </c>
      <c r="DK18" s="904">
        <f>'Öko-Ab'!$J$67</f>
        <v>59.062500000000021</v>
      </c>
      <c r="DL18" s="904">
        <f>'Öko-FE'!$J$67</f>
        <v>29.531250000000011</v>
      </c>
      <c r="DM18" s="904">
        <f>'Öko-Soja'!$J$67</f>
        <v>96.300000000000153</v>
      </c>
      <c r="DN18" s="904">
        <f>'Öko-Soblu'!$J$67</f>
        <v>195.80000000000052</v>
      </c>
      <c r="DO18" s="904">
        <f>'Öko-Raps'!$J$67</f>
        <v>29.800000000000058</v>
      </c>
      <c r="DP18" s="904">
        <f>'Öko-Ka'!$J$67</f>
        <v>0</v>
      </c>
      <c r="DQ18" s="904">
        <f>'Öko-Lu'!$J$67</f>
        <v>60.000000000000043</v>
      </c>
      <c r="DR18" s="904">
        <f>Begrün.!$J$67</f>
        <v>0</v>
      </c>
      <c r="DS18" s="904">
        <f>Blühm.!$J$67</f>
        <v>0</v>
      </c>
      <c r="DT18" s="893"/>
      <c r="DU18" s="904">
        <f>'Öko-KG1'!$M$67</f>
        <v>0</v>
      </c>
      <c r="DV18" s="904">
        <f>'Öko-KG2'!$M$67</f>
        <v>0</v>
      </c>
      <c r="DW18" s="904">
        <f>'Öko-LU1'!$M$67</f>
        <v>0</v>
      </c>
      <c r="DX18" s="904">
        <f>'Öko-LU2'!$M$67</f>
        <v>0</v>
      </c>
      <c r="DY18" s="902">
        <f>'Öko-WW-Futter'!$M$67</f>
        <v>53.099999999999987</v>
      </c>
      <c r="DZ18" s="904">
        <f>'Öko-WW-Brot'!$M$67</f>
        <v>53.099999999999987</v>
      </c>
      <c r="EA18" s="904">
        <f>'Öko-Di'!$M$67</f>
        <v>53.099999999999987</v>
      </c>
      <c r="EB18" s="904">
        <f>'Öko-Dinkel,gegerbt'!$M$67</f>
        <v>46.462499999999991</v>
      </c>
      <c r="EC18" s="904">
        <f>'Öko-Ro'!$M$67</f>
        <v>53.099999999999987</v>
      </c>
      <c r="ED18" s="904">
        <f>'Öko-Ha'!$M$67</f>
        <v>53.099999999999987</v>
      </c>
      <c r="EE18" s="904">
        <f>'Öko-Wg'!$M$67</f>
        <v>109.10000000000016</v>
      </c>
      <c r="EF18" s="904">
        <f>'Öko-Bg'!$M$67</f>
        <v>53.099999999999987</v>
      </c>
      <c r="EG18" s="904">
        <f>'Öko-KöM'!$M$67</f>
        <v>224</v>
      </c>
      <c r="EH18" s="904">
        <f>'Öko-Ab'!$M$67</f>
        <v>78.750000000000028</v>
      </c>
      <c r="EI18" s="904">
        <f>'Öko-FE'!$M$67</f>
        <v>39.375000000000014</v>
      </c>
      <c r="EJ18" s="904">
        <f>'Öko-Soja'!$M$67</f>
        <v>120.37500000000018</v>
      </c>
      <c r="EK18" s="904">
        <f>'Öko-Soblu'!$M$67</f>
        <v>335.70000000000095</v>
      </c>
      <c r="EL18" s="904">
        <f>'Öko-Raps'!$M$67</f>
        <v>66.240000000000151</v>
      </c>
      <c r="EM18" s="904">
        <f>'Öko-Ka'!$M$67</f>
        <v>0</v>
      </c>
      <c r="EN18" s="904">
        <f>'Öko-Lu'!$M$67</f>
        <v>80.000000000000057</v>
      </c>
      <c r="EO18" s="904">
        <f>Begrün.!$M$67</f>
        <v>0</v>
      </c>
      <c r="EP18" s="904">
        <f>Blühm.!$M$67</f>
        <v>0</v>
      </c>
      <c r="EQ18" s="893"/>
      <c r="ER18" s="904">
        <f>'Öko-KG1'!$P$67</f>
        <v>0</v>
      </c>
      <c r="ES18" s="904">
        <f>'Öko-KG2'!$P$67</f>
        <v>0</v>
      </c>
      <c r="ET18" s="904">
        <f>'Öko-LU1'!$P$67</f>
        <v>0</v>
      </c>
      <c r="EU18" s="904">
        <f>'Öko-LU2'!$P$67</f>
        <v>0</v>
      </c>
      <c r="EV18" s="902">
        <f>'Öko-WW-Futter'!$P$67</f>
        <v>91.597499999999982</v>
      </c>
      <c r="EW18" s="904">
        <f>'Öko-WW-Brot'!$P$67</f>
        <v>79.649999999999977</v>
      </c>
      <c r="EX18" s="904">
        <f>'Öko-Di'!$P$67</f>
        <v>59.737499999999983</v>
      </c>
      <c r="EY18" s="904">
        <f>'Öko-Dinkel,gegerbt'!$P$67</f>
        <v>58.078124999999986</v>
      </c>
      <c r="EZ18" s="904">
        <f>'Öko-Ro'!$P$67</f>
        <v>66.374999999999986</v>
      </c>
      <c r="FA18" s="904">
        <f>'Öko-Ha'!$P$67</f>
        <v>66.374999999999986</v>
      </c>
      <c r="FB18" s="904">
        <f>'Öko-Wg'!$P$67</f>
        <v>101.37500000000006</v>
      </c>
      <c r="FC18" s="904">
        <f>'Öko-Bg'!$P$67</f>
        <v>81.100000000000051</v>
      </c>
      <c r="FD18" s="904">
        <f>'Öko-KöM'!$P$67</f>
        <v>297.5</v>
      </c>
      <c r="FE18" s="904">
        <f>'Öko-Ab'!$P$67</f>
        <v>98.437500000000043</v>
      </c>
      <c r="FF18" s="904">
        <f>'Öko-FE'!$P$67</f>
        <v>49.218750000000021</v>
      </c>
      <c r="FG18" s="904">
        <f>'Öko-Soja'!$P$67</f>
        <v>171.45000000000039</v>
      </c>
      <c r="FH18" s="904">
        <f>'Öko-Soblu'!$P$67</f>
        <v>500.80000000000149</v>
      </c>
      <c r="FI18" s="904">
        <f>'Öko-Raps'!$P$67</f>
        <v>103.87000000000025</v>
      </c>
      <c r="FJ18" s="904">
        <f>'Öko-Ka'!$P$67</f>
        <v>0</v>
      </c>
      <c r="FK18" s="904">
        <f>'Öko-Lu'!$P$67</f>
        <v>100.00000000000007</v>
      </c>
      <c r="FL18" s="904">
        <f>Begrün.!$P$67</f>
        <v>0</v>
      </c>
      <c r="FM18" s="904">
        <f>Blühm.!$P$67</f>
        <v>0</v>
      </c>
    </row>
    <row r="19" spans="1:169" ht="16.2" customHeight="1">
      <c r="A19" s="899">
        <f>ROWS($A$1:A19)</f>
        <v>19</v>
      </c>
      <c r="B19" s="945" t="s">
        <v>818</v>
      </c>
      <c r="C19" s="985"/>
      <c r="D19" s="2620">
        <f>'WW1'!$J$69</f>
        <v>14.85</v>
      </c>
      <c r="E19" s="904">
        <f>'WW2'!$J$69</f>
        <v>23.904</v>
      </c>
      <c r="F19" s="904">
        <f>'WW-A'!$J$69</f>
        <v>25.107839999999999</v>
      </c>
      <c r="G19" s="904">
        <f>'WW-E'!$J$69</f>
        <v>26.568960000000001</v>
      </c>
      <c r="H19" s="904">
        <f>WRo!$J$69</f>
        <v>15.138</v>
      </c>
      <c r="I19" s="904">
        <f>Tr!$J$69</f>
        <v>20.92812</v>
      </c>
      <c r="J19" s="904">
        <f>WG!$J$69</f>
        <v>19.8996</v>
      </c>
      <c r="K19" s="904">
        <f>Di!$J$69</f>
        <v>23.943360000000002</v>
      </c>
      <c r="L19" s="904">
        <f>SW!$J$69</f>
        <v>18.18432</v>
      </c>
      <c r="M19" s="904">
        <f>'SG-Fu'!$J$69</f>
        <v>16.3416</v>
      </c>
      <c r="N19" s="904">
        <f>BG!$J$69</f>
        <v>23.008800000000001</v>
      </c>
      <c r="O19" s="904">
        <f>Ha!$J$69</f>
        <v>18.402000000000001</v>
      </c>
      <c r="P19" s="904">
        <f>Du!$J$69</f>
        <v>23.570160000000001</v>
      </c>
      <c r="Q19" s="904">
        <f>KöM!$J$69</f>
        <v>24.740100000000002</v>
      </c>
      <c r="R19" s="904" t="e">
        <f>KH!$J$69</f>
        <v>#VALUE!</v>
      </c>
      <c r="S19" s="904">
        <f>WR!$J$69</f>
        <v>56.024999999999999</v>
      </c>
      <c r="T19" s="904">
        <f>SR!$J$69</f>
        <v>30.813749999999999</v>
      </c>
      <c r="U19" s="904">
        <f>SoBl!$J$69</f>
        <v>27.375</v>
      </c>
      <c r="V19" s="904">
        <f>Soja!$J$69</f>
        <v>22.96</v>
      </c>
      <c r="W19" s="904" t="e">
        <f>Öl!$J$69</f>
        <v>#VALUE!</v>
      </c>
      <c r="X19" s="904">
        <f>FE!$J$69</f>
        <v>14.52</v>
      </c>
      <c r="Y19" s="904">
        <f>AB!$J$69</f>
        <v>14.82</v>
      </c>
      <c r="Z19" s="904" t="e">
        <f>Lu!$J$69</f>
        <v>#VALUE!</v>
      </c>
      <c r="AA19" s="904">
        <f>ZR!$J$69</f>
        <v>32.317889999999998</v>
      </c>
      <c r="AB19" s="904">
        <f>FrühKa!$J$69</f>
        <v>231.55199999999999</v>
      </c>
      <c r="AC19" s="904" t="e">
        <f>FrühKaFolieBer!$J$69</f>
        <v>#VALUE!</v>
      </c>
      <c r="AD19" s="904">
        <f>SpKa!$J$69</f>
        <v>129.58199999999999</v>
      </c>
      <c r="AE19" s="904">
        <f>SpKaBer!$J$69</f>
        <v>249.39</v>
      </c>
      <c r="AF19" s="904">
        <f>Vorlage!$J$69</f>
        <v>0</v>
      </c>
      <c r="AG19" s="904">
        <f>'FAKT-Brachebegrünung'!$J$69</f>
        <v>0</v>
      </c>
      <c r="AH19" s="904">
        <f>Begr!$J$69</f>
        <v>0</v>
      </c>
      <c r="AI19" s="901"/>
      <c r="AJ19" s="902">
        <f>'WW1'!$M$69</f>
        <v>19.8</v>
      </c>
      <c r="AK19" s="904">
        <f>'WW2'!$M$69</f>
        <v>31.872</v>
      </c>
      <c r="AL19" s="904">
        <f>'WW-A'!$M$69</f>
        <v>33.477119999999992</v>
      </c>
      <c r="AM19" s="904">
        <f>'WW-E'!$M$69</f>
        <v>35.425280000000001</v>
      </c>
      <c r="AN19" s="904">
        <f>WRo!$M$69</f>
        <v>20.184000000000001</v>
      </c>
      <c r="AO19" s="904">
        <f>Tr!$M$69</f>
        <v>27.904160000000001</v>
      </c>
      <c r="AP19" s="904">
        <f>WG!$M$69</f>
        <v>26.532799999999998</v>
      </c>
      <c r="AQ19" s="904">
        <f>Di!$M$69</f>
        <v>31.924479999999999</v>
      </c>
      <c r="AR19" s="904">
        <f>SW!$M$69</f>
        <v>24.245760000000001</v>
      </c>
      <c r="AS19" s="904">
        <f>'SG-Fu'!$M$69</f>
        <v>21.788799999999998</v>
      </c>
      <c r="AT19" s="904">
        <f>BG!$M$69</f>
        <v>28.138400000000001</v>
      </c>
      <c r="AU19" s="904">
        <f>Ha!$M$69</f>
        <v>24.536000000000001</v>
      </c>
      <c r="AV19" s="904">
        <f>Du!$M$69</f>
        <v>31.426880000000001</v>
      </c>
      <c r="AW19" s="904">
        <f>KöM!$M$69</f>
        <v>32.986799999999995</v>
      </c>
      <c r="AX19" s="904" t="e">
        <f>KH!$M$69</f>
        <v>#VALUE!</v>
      </c>
      <c r="AY19" s="904">
        <f>WR!$M$69</f>
        <v>74.7</v>
      </c>
      <c r="AZ19" s="904">
        <f>SR!$M$69</f>
        <v>41.085000000000001</v>
      </c>
      <c r="BA19" s="904">
        <f>SoBl!$M$69</f>
        <v>36.5</v>
      </c>
      <c r="BB19" s="904">
        <f>Soja!$M$69</f>
        <v>30.995999999999999</v>
      </c>
      <c r="BC19" s="904" t="e">
        <f>Öl!$M$69</f>
        <v>#VALUE!</v>
      </c>
      <c r="BD19" s="904">
        <f>FE!$M$69</f>
        <v>25.41</v>
      </c>
      <c r="BE19" s="904">
        <f>AB!$M$69</f>
        <v>25.934999999999999</v>
      </c>
      <c r="BF19" s="904" t="e">
        <f>Lu!$M$69</f>
        <v>#VALUE!</v>
      </c>
      <c r="BG19" s="904">
        <f>ZR!$M$69</f>
        <v>48.424199999999999</v>
      </c>
      <c r="BH19" s="904">
        <f>FrühKa!$M$69</f>
        <v>308.73599999999999</v>
      </c>
      <c r="BI19" s="904" t="e">
        <f>FrühKaFolieBer!$M$69</f>
        <v>#VALUE!</v>
      </c>
      <c r="BJ19" s="904">
        <f>SpKa!$M$69</f>
        <v>149.256</v>
      </c>
      <c r="BK19" s="904">
        <f>SpKaBer!$M$69</f>
        <v>276.75</v>
      </c>
      <c r="BL19" s="904">
        <v>0</v>
      </c>
      <c r="BM19" s="904">
        <f>'FAKT-Brachebegrünung'!$M$69</f>
        <v>0</v>
      </c>
      <c r="BN19" s="904">
        <f>Begr!$M$69</f>
        <v>0</v>
      </c>
      <c r="BO19" s="901"/>
      <c r="BP19" s="902">
        <f>'WW1'!$P$69</f>
        <v>24.75</v>
      </c>
      <c r="BQ19" s="904">
        <f>'WW2'!$P$69</f>
        <v>39.840000000000003</v>
      </c>
      <c r="BR19" s="904">
        <f>'WW-A'!$P$69</f>
        <v>41.846400000000003</v>
      </c>
      <c r="BS19" s="904">
        <f>'WW-E'!$P$69</f>
        <v>44.281599999999997</v>
      </c>
      <c r="BT19" s="904">
        <f>WRo!$P$69</f>
        <v>25.23</v>
      </c>
      <c r="BU19" s="904">
        <f>Tr!$P$69</f>
        <v>34.880199999999995</v>
      </c>
      <c r="BV19" s="904">
        <f>WG!$P$69</f>
        <v>33.165999999999997</v>
      </c>
      <c r="BW19" s="904">
        <f>Di!$P$69</f>
        <v>39.9056</v>
      </c>
      <c r="BX19" s="904">
        <f>SW!$P$69</f>
        <v>30.307199999999998</v>
      </c>
      <c r="BY19" s="904">
        <f>'SG-Fu'!$P$69</f>
        <v>27.236000000000001</v>
      </c>
      <c r="BZ19" s="904">
        <f>BG!$P$69</f>
        <v>33.268000000000001</v>
      </c>
      <c r="CA19" s="904">
        <f>Ha!$P$69</f>
        <v>30.67</v>
      </c>
      <c r="CB19" s="904">
        <f>Du!$P$69</f>
        <v>39.2836</v>
      </c>
      <c r="CC19" s="904">
        <f>KöM!$P$69</f>
        <v>41.233499999999999</v>
      </c>
      <c r="CD19" s="904" t="e">
        <f>KH!$P$69</f>
        <v>#VALUE!</v>
      </c>
      <c r="CE19" s="904">
        <f>WR!$P$69</f>
        <v>93.375</v>
      </c>
      <c r="CF19" s="904">
        <f>SR!$P$69</f>
        <v>51.356250000000003</v>
      </c>
      <c r="CG19" s="904">
        <f>SoBl!$P$69</f>
        <v>45.625</v>
      </c>
      <c r="CH19" s="904">
        <f>Soja!$P$69</f>
        <v>39.031999999999996</v>
      </c>
      <c r="CI19" s="904" t="e">
        <f>Öl!$P$69</f>
        <v>#VALUE!</v>
      </c>
      <c r="CJ19" s="904">
        <f>FE!$P$69</f>
        <v>36.299999999999997</v>
      </c>
      <c r="CK19" s="904">
        <f>AB!$P$69</f>
        <v>37.049999999999997</v>
      </c>
      <c r="CL19" s="904" t="e">
        <f>Lu!$P$69</f>
        <v>#VALUE!</v>
      </c>
      <c r="CM19" s="904">
        <f>ZR!$P$69</f>
        <v>60.881149999999991</v>
      </c>
      <c r="CN19" s="904">
        <f>FrühKa!$P$69</f>
        <v>385.92</v>
      </c>
      <c r="CO19" s="904" t="e">
        <f>FrühKaFolieBer!$P$69</f>
        <v>#VALUE!</v>
      </c>
      <c r="CP19" s="904">
        <f>SpKa!$P$69</f>
        <v>189.72</v>
      </c>
      <c r="CQ19" s="904">
        <f>SpKaBer!$P$69</f>
        <v>303.48</v>
      </c>
      <c r="CR19" s="904">
        <f>Vorlage!$P$69</f>
        <v>0</v>
      </c>
      <c r="CS19" s="904">
        <f>'FAKT-Brachebegrünung'!$P$69</f>
        <v>0</v>
      </c>
      <c r="CT19" s="904">
        <f>Begr!$P$69</f>
        <v>0</v>
      </c>
      <c r="CV19" s="945" t="s">
        <v>818</v>
      </c>
      <c r="CW19" s="985"/>
      <c r="CX19" s="2620">
        <f>'Öko-KG1'!$J$69</f>
        <v>0</v>
      </c>
      <c r="CY19" s="904">
        <f>'Öko-KG2'!$J$69</f>
        <v>0</v>
      </c>
      <c r="CZ19" s="904">
        <f>'Öko-LU1'!$J$69</f>
        <v>0</v>
      </c>
      <c r="DA19" s="904">
        <f>'Öko-LU2'!$J$69</f>
        <v>0</v>
      </c>
      <c r="DB19" s="902">
        <f>'Öko-WW-Futter'!$J$69</f>
        <v>19.051200000000001</v>
      </c>
      <c r="DC19" s="904">
        <f>'Öko-WW-Brot'!$J$69</f>
        <v>24.3504</v>
      </c>
      <c r="DD19" s="904">
        <f>'Öko-Di'!$J$69</f>
        <v>25.459199999999996</v>
      </c>
      <c r="DE19" s="904" t="e">
        <f>'Öko-Dinkel,gegerbt'!$J$69</f>
        <v>#REF!</v>
      </c>
      <c r="DF19" s="904">
        <f>'Öko-Ro'!$J$69</f>
        <v>19.1904</v>
      </c>
      <c r="DG19" s="904">
        <f>'Öko-Ha'!$J$69</f>
        <v>24.902399999999997</v>
      </c>
      <c r="DH19" s="904">
        <f>'Öko-Wg'!$J$69</f>
        <v>19.036799999999999</v>
      </c>
      <c r="DI19" s="904">
        <f>'Öko-Bg'!$J$69</f>
        <v>17.112959999999998</v>
      </c>
      <c r="DJ19" s="904">
        <f>'Öko-KöM'!$J$69</f>
        <v>31.714200000000002</v>
      </c>
      <c r="DK19" s="904">
        <f>'Öko-Ab'!$J$69</f>
        <v>30.228750000000002</v>
      </c>
      <c r="DL19" s="904">
        <f>'Öko-FE'!$J$69</f>
        <v>28.26</v>
      </c>
      <c r="DM19" s="904">
        <f>'Öko-Soja'!$J$69</f>
        <v>44.055200000000006</v>
      </c>
      <c r="DN19" s="904" t="e">
        <f>'Öko-Soblu'!$J$69</f>
        <v>#REF!</v>
      </c>
      <c r="DO19" s="904" t="e">
        <f>'Öko-Raps'!$J$69</f>
        <v>#REF!</v>
      </c>
      <c r="DP19" s="904">
        <f>'Öko-Ka'!$J$69</f>
        <v>200.25899999999999</v>
      </c>
      <c r="DQ19" s="904">
        <f>'Öko-Lu'!$J$69</f>
        <v>0</v>
      </c>
      <c r="DR19" s="904">
        <f>Begrün.!$J$69</f>
        <v>0</v>
      </c>
      <c r="DS19" s="904">
        <f>Blühm.!$J$69</f>
        <v>0</v>
      </c>
      <c r="DT19" s="893"/>
      <c r="DU19" s="904">
        <f>'Öko-KG1'!$M$69</f>
        <v>0</v>
      </c>
      <c r="DV19" s="904">
        <f>'Öko-KG2'!$M$69</f>
        <v>0</v>
      </c>
      <c r="DW19" s="904">
        <f>'Öko-LU1'!$M$69</f>
        <v>0</v>
      </c>
      <c r="DX19" s="904">
        <f>'Öko-LU2'!$M$69</f>
        <v>0</v>
      </c>
      <c r="DY19" s="902">
        <f>'Öko-WW-Futter'!$M$69</f>
        <v>25.401599999999998</v>
      </c>
      <c r="DZ19" s="904">
        <f>'Öko-WW-Brot'!$M$69</f>
        <v>32.467199999999998</v>
      </c>
      <c r="EA19" s="904">
        <f>'Öko-Di'!$M$69</f>
        <v>33.945599999999999</v>
      </c>
      <c r="EB19" s="904" t="e">
        <f>'Öko-Dinkel,gegerbt'!$M$69</f>
        <v>#REF!</v>
      </c>
      <c r="EC19" s="904">
        <f>'Öko-Ro'!$M$69</f>
        <v>25.587199999999999</v>
      </c>
      <c r="ED19" s="904">
        <f>'Öko-Ha'!$M$69</f>
        <v>33.203199999999995</v>
      </c>
      <c r="EE19" s="904">
        <f>'Öko-Wg'!$M$69</f>
        <v>25.382400000000001</v>
      </c>
      <c r="EF19" s="904">
        <f>'Öko-Bg'!$M$69</f>
        <v>34.225919999999995</v>
      </c>
      <c r="EG19" s="904">
        <f>'Öko-KöM'!$M$69</f>
        <v>42.285600000000002</v>
      </c>
      <c r="EH19" s="904">
        <f>'Öko-Ab'!$M$69</f>
        <v>40.305</v>
      </c>
      <c r="EI19" s="904">
        <f>'Öko-FE'!$M$69</f>
        <v>37.68</v>
      </c>
      <c r="EJ19" s="904">
        <f>'Öko-Soja'!$M$69</f>
        <v>55.069000000000003</v>
      </c>
      <c r="EK19" s="904" t="e">
        <f>'Öko-Soblu'!$M$69</f>
        <v>#REF!</v>
      </c>
      <c r="EL19" s="904" t="e">
        <f>'Öko-Raps'!$M$69</f>
        <v>#REF!</v>
      </c>
      <c r="EM19" s="904">
        <f>'Öko-Ka'!$M$69</f>
        <v>250.32374999999999</v>
      </c>
      <c r="EN19" s="904">
        <f>'Öko-Lu'!$M$69</f>
        <v>0</v>
      </c>
      <c r="EO19" s="904">
        <f>Begrün.!$M$69</f>
        <v>0</v>
      </c>
      <c r="EP19" s="904">
        <f>Blühm.!$M$69</f>
        <v>0</v>
      </c>
      <c r="EQ19" s="893"/>
      <c r="ER19" s="904">
        <f>'Öko-KG1'!$P$69</f>
        <v>0</v>
      </c>
      <c r="ES19" s="904">
        <f>'Öko-KG2'!$P$69</f>
        <v>0</v>
      </c>
      <c r="ET19" s="904">
        <f>'Öko-LU1'!$P$69</f>
        <v>0</v>
      </c>
      <c r="EU19" s="904">
        <f>'Öko-LU2'!$P$69</f>
        <v>0</v>
      </c>
      <c r="EV19" s="902">
        <f>'Öko-WW-Futter'!$P$69</f>
        <v>43.81776</v>
      </c>
      <c r="EW19" s="904">
        <f>'Öko-WW-Brot'!$P$69</f>
        <v>48.700800000000001</v>
      </c>
      <c r="EX19" s="904">
        <f>'Öko-Di'!$P$69</f>
        <v>38.188800000000001</v>
      </c>
      <c r="EY19" s="904" t="e">
        <f>'Öko-Dinkel,gegerbt'!$P$69</f>
        <v>#REF!</v>
      </c>
      <c r="EZ19" s="904">
        <f>'Öko-Ro'!$P$69</f>
        <v>31.984000000000002</v>
      </c>
      <c r="FA19" s="904">
        <f>'Öko-Ha'!$P$69</f>
        <v>41.503999999999998</v>
      </c>
      <c r="FB19" s="904">
        <f>'Öko-Wg'!$P$69</f>
        <v>31.728000000000002</v>
      </c>
      <c r="FC19" s="904">
        <f>'Öko-Bg'!$P$69</f>
        <v>34.225919999999995</v>
      </c>
      <c r="FD19" s="904">
        <f>'Öko-KöM'!$P$69</f>
        <v>52.856999999999999</v>
      </c>
      <c r="FE19" s="904">
        <f>'Öko-Ab'!$P$69</f>
        <v>50.381250000000001</v>
      </c>
      <c r="FF19" s="904">
        <f>'Öko-FE'!$P$69</f>
        <v>47.1</v>
      </c>
      <c r="FG19" s="904">
        <f>'Öko-Soja'!$P$69</f>
        <v>66.082800000000006</v>
      </c>
      <c r="FH19" s="904" t="e">
        <f>'Öko-Soblu'!$P$69</f>
        <v>#REF!</v>
      </c>
      <c r="FI19" s="904" t="e">
        <f>'Öko-Raps'!$P$69</f>
        <v>#REF!</v>
      </c>
      <c r="FJ19" s="904">
        <f>'Öko-Ka'!$P$69</f>
        <v>300.38850000000002</v>
      </c>
      <c r="FK19" s="904">
        <f>'Öko-Lu'!$P$69</f>
        <v>0</v>
      </c>
      <c r="FL19" s="904">
        <f>Begrün.!$P$69</f>
        <v>0</v>
      </c>
      <c r="FM19" s="904">
        <f>Blühm.!$P$69</f>
        <v>0</v>
      </c>
    </row>
    <row r="20" spans="1:169" ht="16.2" customHeight="1">
      <c r="A20" s="899">
        <f>ROWS($A$1:A20)</f>
        <v>20</v>
      </c>
      <c r="B20" s="945" t="s">
        <v>817</v>
      </c>
      <c r="C20" s="915"/>
      <c r="D20" s="2620">
        <f>'WW1'!$J$71</f>
        <v>0</v>
      </c>
      <c r="E20" s="904">
        <f>'WW2'!$J$71</f>
        <v>0</v>
      </c>
      <c r="F20" s="904">
        <f>'WW-A'!$J$71</f>
        <v>0</v>
      </c>
      <c r="G20" s="904">
        <f>'WW-E'!$J$71</f>
        <v>0</v>
      </c>
      <c r="H20" s="904">
        <f>WRo!$J$71</f>
        <v>0</v>
      </c>
      <c r="I20" s="904">
        <f>Tr!$J$71</f>
        <v>0</v>
      </c>
      <c r="J20" s="904">
        <f>WG!$J$71</f>
        <v>0</v>
      </c>
      <c r="K20" s="904">
        <f>Di!$J$71</f>
        <v>0</v>
      </c>
      <c r="L20" s="904">
        <f>SW!$J$71</f>
        <v>0</v>
      </c>
      <c r="M20" s="904">
        <f>'SG-Fu'!$J$71</f>
        <v>0</v>
      </c>
      <c r="N20" s="904">
        <f>BG!$J$71</f>
        <v>0</v>
      </c>
      <c r="O20" s="904">
        <f>Ha!$J$71</f>
        <v>0</v>
      </c>
      <c r="P20" s="904">
        <f>Du!$J$71</f>
        <v>0</v>
      </c>
      <c r="Q20" s="904">
        <f>KöM!$J$71</f>
        <v>0</v>
      </c>
      <c r="R20" s="904">
        <f>KH!$J$71</f>
        <v>0</v>
      </c>
      <c r="S20" s="904">
        <f>WR!$J$71</f>
        <v>0</v>
      </c>
      <c r="T20" s="904">
        <f>SR!$J$71</f>
        <v>0</v>
      </c>
      <c r="U20" s="904">
        <f>SoBl!$J$71</f>
        <v>0</v>
      </c>
      <c r="V20" s="904">
        <f>Soja!$J$71</f>
        <v>30</v>
      </c>
      <c r="W20" s="904">
        <f>Öl!$J$71</f>
        <v>0</v>
      </c>
      <c r="X20" s="904">
        <f>FE!$J$71</f>
        <v>0</v>
      </c>
      <c r="Y20" s="904">
        <f>AB!$J$71</f>
        <v>0</v>
      </c>
      <c r="Z20" s="904">
        <f>Lu!$J$71</f>
        <v>0</v>
      </c>
      <c r="AA20" s="904">
        <f>ZR!$J$71</f>
        <v>78.075000000000003</v>
      </c>
      <c r="AB20" s="904">
        <f>FrühKa!$J$71</f>
        <v>0</v>
      </c>
      <c r="AC20" s="904">
        <f>FrühKaFolieBer!$J$71</f>
        <v>346</v>
      </c>
      <c r="AD20" s="904">
        <f>SpKa!$J$71</f>
        <v>0</v>
      </c>
      <c r="AE20" s="904">
        <f>SpKaBer!$J$71</f>
        <v>270</v>
      </c>
      <c r="AF20" s="904">
        <f>Vorlage!$J$71</f>
        <v>0</v>
      </c>
      <c r="AG20" s="904">
        <f>'FAKT-Brachebegrünung'!$J$71</f>
        <v>0</v>
      </c>
      <c r="AH20" s="904">
        <f>Begr!$J$71</f>
        <v>0</v>
      </c>
      <c r="AI20" s="901"/>
      <c r="AJ20" s="902">
        <f>'WW1'!$M$71</f>
        <v>0</v>
      </c>
      <c r="AK20" s="904">
        <f>'WW2'!$M$71</f>
        <v>0</v>
      </c>
      <c r="AL20" s="904">
        <f>'WW-A'!$M$71</f>
        <v>0</v>
      </c>
      <c r="AM20" s="904">
        <f>'WW-E'!$M$71</f>
        <v>0</v>
      </c>
      <c r="AN20" s="904">
        <f>WRo!$M$71</f>
        <v>0</v>
      </c>
      <c r="AO20" s="904">
        <f>Tr!$M$71</f>
        <v>0</v>
      </c>
      <c r="AP20" s="904">
        <f>WG!$M$71</f>
        <v>0</v>
      </c>
      <c r="AQ20" s="904">
        <f>Di!$M$71</f>
        <v>0</v>
      </c>
      <c r="AR20" s="904">
        <f>SW!$M$71</f>
        <v>0</v>
      </c>
      <c r="AS20" s="904">
        <f>'SG-Fu'!$M$71</f>
        <v>0</v>
      </c>
      <c r="AT20" s="904">
        <f>BG!$M$71</f>
        <v>0</v>
      </c>
      <c r="AU20" s="904">
        <f>Ha!$M$71</f>
        <v>0</v>
      </c>
      <c r="AV20" s="904">
        <f>Du!$M$71</f>
        <v>0</v>
      </c>
      <c r="AW20" s="904">
        <f>KöM!$M$71</f>
        <v>0</v>
      </c>
      <c r="AX20" s="904">
        <f>KH!$M$71</f>
        <v>0</v>
      </c>
      <c r="AY20" s="904">
        <f>WR!$M$71</f>
        <v>0</v>
      </c>
      <c r="AZ20" s="904">
        <f>SR!$M$71</f>
        <v>0</v>
      </c>
      <c r="BA20" s="904">
        <f>SoBl!$M$71</f>
        <v>0</v>
      </c>
      <c r="BB20" s="904">
        <f>Soja!$M$71</f>
        <v>30</v>
      </c>
      <c r="BC20" s="904">
        <f>Öl!$M$71</f>
        <v>0</v>
      </c>
      <c r="BD20" s="904">
        <f>FE!$M$71</f>
        <v>0</v>
      </c>
      <c r="BE20" s="904">
        <f>AB!$M$71</f>
        <v>0</v>
      </c>
      <c r="BF20" s="904">
        <f>Lu!$M$71</f>
        <v>0</v>
      </c>
      <c r="BG20" s="904">
        <f>ZR!$M$71</f>
        <v>104.10000000000001</v>
      </c>
      <c r="BH20" s="904">
        <f>FrühKa!$M$71</f>
        <v>0</v>
      </c>
      <c r="BI20" s="904">
        <f>FrühKaFolieBer!$M$71</f>
        <v>346</v>
      </c>
      <c r="BJ20" s="904">
        <f>SpKa!$M$71</f>
        <v>0</v>
      </c>
      <c r="BK20" s="904">
        <f>SpKaBer!$M$71</f>
        <v>270</v>
      </c>
      <c r="BL20" s="904">
        <v>0</v>
      </c>
      <c r="BM20" s="904">
        <f>'FAKT-Brachebegrünung'!$M$71</f>
        <v>0</v>
      </c>
      <c r="BN20" s="904">
        <f>Begr!$M$71</f>
        <v>0</v>
      </c>
      <c r="BO20" s="901"/>
      <c r="BP20" s="902">
        <f>'WW1'!$P$71</f>
        <v>0</v>
      </c>
      <c r="BQ20" s="904">
        <f>'WW2'!$P$71</f>
        <v>0</v>
      </c>
      <c r="BR20" s="904">
        <f>'WW-A'!$P$71</f>
        <v>0</v>
      </c>
      <c r="BS20" s="904">
        <f>'WW-E'!$P$71</f>
        <v>0</v>
      </c>
      <c r="BT20" s="904">
        <f>WRo!$P$71</f>
        <v>0</v>
      </c>
      <c r="BU20" s="904">
        <f>Tr!$P$71</f>
        <v>0</v>
      </c>
      <c r="BV20" s="904">
        <f>WG!$P$71</f>
        <v>0</v>
      </c>
      <c r="BW20" s="904">
        <f>Di!$P$71</f>
        <v>0</v>
      </c>
      <c r="BX20" s="904">
        <f>SW!$P$71</f>
        <v>0</v>
      </c>
      <c r="BY20" s="904">
        <f>'SG-Fu'!$P$71</f>
        <v>0</v>
      </c>
      <c r="BZ20" s="904">
        <f>BG!$P$71</f>
        <v>0</v>
      </c>
      <c r="CA20" s="904">
        <f>Ha!$P$71</f>
        <v>0</v>
      </c>
      <c r="CB20" s="904">
        <f>Du!$P$71</f>
        <v>0</v>
      </c>
      <c r="CC20" s="904">
        <f>KöM!$P$71</f>
        <v>0</v>
      </c>
      <c r="CD20" s="904">
        <f>KH!$P$71</f>
        <v>0</v>
      </c>
      <c r="CE20" s="904">
        <f>WR!$P$71</f>
        <v>0</v>
      </c>
      <c r="CF20" s="904">
        <f>SR!$P$71</f>
        <v>0</v>
      </c>
      <c r="CG20" s="904">
        <f>SoBl!$P$71</f>
        <v>0</v>
      </c>
      <c r="CH20" s="904">
        <f>Soja!$P$71</f>
        <v>30</v>
      </c>
      <c r="CI20" s="904">
        <f>Öl!$P$71</f>
        <v>0</v>
      </c>
      <c r="CJ20" s="904">
        <f>FE!$P$71</f>
        <v>0</v>
      </c>
      <c r="CK20" s="904">
        <f>AB!$P$71</f>
        <v>0</v>
      </c>
      <c r="CL20" s="904">
        <f>Lu!$P$71</f>
        <v>0</v>
      </c>
      <c r="CM20" s="904">
        <f>ZR!$P$71</f>
        <v>130.125</v>
      </c>
      <c r="CN20" s="904">
        <f>FrühKa!$P$71</f>
        <v>0</v>
      </c>
      <c r="CO20" s="904">
        <f>FrühKaFolieBer!$P$71</f>
        <v>346</v>
      </c>
      <c r="CP20" s="904">
        <f>SpKa!$P$71</f>
        <v>0</v>
      </c>
      <c r="CQ20" s="904">
        <f>SpKaBer!$P$71</f>
        <v>270</v>
      </c>
      <c r="CR20" s="904">
        <f>Vorlage!$P$71</f>
        <v>0</v>
      </c>
      <c r="CS20" s="904">
        <f>'FAKT-Brachebegrünung'!$P$71</f>
        <v>0</v>
      </c>
      <c r="CT20" s="904">
        <f>Begr!$P$71</f>
        <v>0</v>
      </c>
      <c r="CV20" s="945" t="s">
        <v>817</v>
      </c>
      <c r="CW20" s="915"/>
      <c r="CX20" s="2620">
        <f>'Öko-KG1'!$J$71</f>
        <v>0</v>
      </c>
      <c r="CY20" s="904">
        <f>'Öko-KG2'!$J$71</f>
        <v>0</v>
      </c>
      <c r="CZ20" s="904">
        <f>'Öko-LU1'!$J$71</f>
        <v>0</v>
      </c>
      <c r="DA20" s="904">
        <f>'Öko-LU2'!$J$71</f>
        <v>0</v>
      </c>
      <c r="DB20" s="902">
        <f>'Öko-WW-Futter'!$J$71</f>
        <v>0</v>
      </c>
      <c r="DC20" s="904">
        <f>'Öko-WW-Brot'!$J$71</f>
        <v>0</v>
      </c>
      <c r="DD20" s="904">
        <f>'Öko-Di'!$J$71</f>
        <v>0</v>
      </c>
      <c r="DE20" s="904">
        <f>'Öko-Dinkel,gegerbt'!$J$71</f>
        <v>211.05</v>
      </c>
      <c r="DF20" s="904">
        <f>'Öko-Ro'!$J$71</f>
        <v>0</v>
      </c>
      <c r="DG20" s="904">
        <f>'Öko-Ha'!$J$71</f>
        <v>0</v>
      </c>
      <c r="DH20" s="904">
        <f>'Öko-Wg'!$J$71</f>
        <v>0</v>
      </c>
      <c r="DI20" s="904">
        <f>'Öko-Bg'!$J$71</f>
        <v>0</v>
      </c>
      <c r="DJ20" s="904">
        <f>'Öko-KöM'!$J$71</f>
        <v>0</v>
      </c>
      <c r="DK20" s="904">
        <f>'Öko-Ab'!$J$71</f>
        <v>0</v>
      </c>
      <c r="DL20" s="904">
        <f>'Öko-FE'!$J$71</f>
        <v>0</v>
      </c>
      <c r="DM20" s="904">
        <f>'Öko-Soja'!$J$71</f>
        <v>0</v>
      </c>
      <c r="DN20" s="904">
        <f>'Öko-Soblu'!$J$71</f>
        <v>0</v>
      </c>
      <c r="DO20" s="904">
        <f>'Öko-Raps'!$J$71</f>
        <v>0</v>
      </c>
      <c r="DP20" s="904">
        <f>'Öko-Ka'!$J$71</f>
        <v>0</v>
      </c>
      <c r="DQ20" s="904">
        <f>'Öko-Lu'!$J$71</f>
        <v>0</v>
      </c>
      <c r="DR20" s="904">
        <f>Begrün.!$J$71</f>
        <v>0</v>
      </c>
      <c r="DS20" s="904">
        <f>Blühm.!$J$71</f>
        <v>0</v>
      </c>
      <c r="DT20" s="893"/>
      <c r="DU20" s="904">
        <f>'Öko-KG1'!$M$71</f>
        <v>0</v>
      </c>
      <c r="DV20" s="904">
        <f>'Öko-KG2'!$M$71</f>
        <v>0</v>
      </c>
      <c r="DW20" s="904">
        <f>'Öko-LU1'!$M$71</f>
        <v>0</v>
      </c>
      <c r="DX20" s="904">
        <f>'Öko-LU2'!$M$71</f>
        <v>0</v>
      </c>
      <c r="DY20" s="902">
        <f>'Öko-WW-Futter'!$M$71</f>
        <v>0</v>
      </c>
      <c r="DZ20" s="904">
        <f>'Öko-WW-Brot'!$M$71</f>
        <v>0</v>
      </c>
      <c r="EA20" s="904">
        <f>'Öko-Di'!$M$71</f>
        <v>0</v>
      </c>
      <c r="EB20" s="904">
        <f>'Öko-Dinkel,gegerbt'!$M$71</f>
        <v>281.40000000000003</v>
      </c>
      <c r="EC20" s="904">
        <f>'Öko-Ro'!$M$71</f>
        <v>0</v>
      </c>
      <c r="ED20" s="904">
        <f>'Öko-Ha'!$M$71</f>
        <v>0</v>
      </c>
      <c r="EE20" s="904">
        <f>'Öko-Wg'!$M$71</f>
        <v>0</v>
      </c>
      <c r="EF20" s="904">
        <f>'Öko-Bg'!$M$71</f>
        <v>0</v>
      </c>
      <c r="EG20" s="904">
        <f>'Öko-KöM'!$M$71</f>
        <v>0</v>
      </c>
      <c r="EH20" s="904">
        <f>'Öko-Ab'!$M$71</f>
        <v>0</v>
      </c>
      <c r="EI20" s="904">
        <f>'Öko-FE'!$M$71</f>
        <v>0</v>
      </c>
      <c r="EJ20" s="904">
        <f>'Öko-Soja'!$M$71</f>
        <v>0</v>
      </c>
      <c r="EK20" s="904">
        <f>'Öko-Soblu'!$M$71</f>
        <v>0</v>
      </c>
      <c r="EL20" s="904">
        <f>'Öko-Raps'!$M$71</f>
        <v>0</v>
      </c>
      <c r="EM20" s="904">
        <f>'Öko-Ka'!$M$71</f>
        <v>0</v>
      </c>
      <c r="EN20" s="904">
        <f>'Öko-Lu'!$M$71</f>
        <v>0</v>
      </c>
      <c r="EO20" s="904">
        <f>Begrün.!$M$71</f>
        <v>0</v>
      </c>
      <c r="EP20" s="904">
        <f>Blühm.!$M$71</f>
        <v>0</v>
      </c>
      <c r="EQ20" s="893"/>
      <c r="ER20" s="904">
        <f>'Öko-KG1'!$P$71</f>
        <v>0</v>
      </c>
      <c r="ES20" s="904">
        <f>'Öko-KG2'!$P$71</f>
        <v>0</v>
      </c>
      <c r="ET20" s="904">
        <f>'Öko-LU1'!$P$71</f>
        <v>0</v>
      </c>
      <c r="EU20" s="904">
        <f>'Öko-LU2'!$P$71</f>
        <v>0</v>
      </c>
      <c r="EV20" s="902">
        <f>'Öko-WW-Futter'!$P$71</f>
        <v>0</v>
      </c>
      <c r="EW20" s="904">
        <f>'Öko-WW-Brot'!$P$71</f>
        <v>0</v>
      </c>
      <c r="EX20" s="904">
        <f>'Öko-Di'!$P$71</f>
        <v>0</v>
      </c>
      <c r="EY20" s="904">
        <f>'Öko-Dinkel,gegerbt'!$P$71</f>
        <v>351.75</v>
      </c>
      <c r="EZ20" s="904">
        <f>'Öko-Ro'!$P$71</f>
        <v>0</v>
      </c>
      <c r="FA20" s="904">
        <f>'Öko-Ha'!$P$71</f>
        <v>0</v>
      </c>
      <c r="FB20" s="904">
        <f>'Öko-Wg'!$P$71</f>
        <v>0</v>
      </c>
      <c r="FC20" s="904">
        <f>'Öko-Bg'!$P$71</f>
        <v>0</v>
      </c>
      <c r="FD20" s="904">
        <f>'Öko-KöM'!$P$71</f>
        <v>0</v>
      </c>
      <c r="FE20" s="904">
        <f>'Öko-Ab'!$P$71</f>
        <v>0</v>
      </c>
      <c r="FF20" s="904">
        <f>'Öko-FE'!$P$71</f>
        <v>0</v>
      </c>
      <c r="FG20" s="904">
        <f>'Öko-Soja'!$P$71</f>
        <v>0</v>
      </c>
      <c r="FH20" s="904">
        <f>'Öko-Soblu'!$P$71</f>
        <v>0</v>
      </c>
      <c r="FI20" s="904">
        <f>'Öko-Raps'!$P$71</f>
        <v>0</v>
      </c>
      <c r="FJ20" s="904">
        <f>'Öko-Ka'!$P$71</f>
        <v>0</v>
      </c>
      <c r="FK20" s="904">
        <f>'Öko-Lu'!$P$71</f>
        <v>0</v>
      </c>
      <c r="FL20" s="904">
        <f>Begrün.!$P$71</f>
        <v>0</v>
      </c>
      <c r="FM20" s="904">
        <f>Blühm.!$P$71</f>
        <v>0</v>
      </c>
    </row>
    <row r="21" spans="1:169" ht="18" customHeight="1">
      <c r="A21" s="899">
        <f>ROWS($A$1:A21)</f>
        <v>21</v>
      </c>
      <c r="B21" s="916" t="s">
        <v>209</v>
      </c>
      <c r="D21" s="982">
        <f t="shared" ref="D21:AH21" si="38">SUM(D12:D20)</f>
        <v>1080.6952032324998</v>
      </c>
      <c r="E21" s="982">
        <f t="shared" si="38"/>
        <v>1256.1943745999999</v>
      </c>
      <c r="F21" s="982">
        <f t="shared" si="38"/>
        <v>1296.3072989553332</v>
      </c>
      <c r="G21" s="982">
        <f t="shared" si="38"/>
        <v>1319.5052591813333</v>
      </c>
      <c r="H21" s="982">
        <f t="shared" si="38"/>
        <v>982.38848263750003</v>
      </c>
      <c r="I21" s="982">
        <f t="shared" si="38"/>
        <v>1169.22058590705</v>
      </c>
      <c r="J21" s="982">
        <f t="shared" si="38"/>
        <v>1149.2037487114999</v>
      </c>
      <c r="K21" s="982">
        <f t="shared" si="38"/>
        <v>1195.8237164043999</v>
      </c>
      <c r="L21" s="982">
        <f t="shared" si="38"/>
        <v>988.67358546079993</v>
      </c>
      <c r="M21" s="982">
        <f t="shared" si="38"/>
        <v>1044.464464204</v>
      </c>
      <c r="N21" s="982">
        <f t="shared" si="38"/>
        <v>1058.455110827</v>
      </c>
      <c r="O21" s="982">
        <f t="shared" si="38"/>
        <v>943.1313177925</v>
      </c>
      <c r="P21" s="982">
        <f t="shared" si="38"/>
        <v>1140.2557257704</v>
      </c>
      <c r="Q21" s="982">
        <f t="shared" si="38"/>
        <v>1189.139114956</v>
      </c>
      <c r="R21" s="982" t="e">
        <f>SUM(R12:R20)</f>
        <v>#VALUE!</v>
      </c>
      <c r="S21" s="982">
        <f t="shared" si="38"/>
        <v>1029.0123517</v>
      </c>
      <c r="T21" s="982">
        <f t="shared" si="38"/>
        <v>849.17664298400007</v>
      </c>
      <c r="U21" s="982">
        <f t="shared" si="38"/>
        <v>837.16071163000015</v>
      </c>
      <c r="V21" s="982">
        <f t="shared" si="38"/>
        <v>912.57865859333344</v>
      </c>
      <c r="W21" s="982" t="e">
        <f t="shared" ref="W21" si="39">SUM(W12:W20)</f>
        <v>#VALUE!</v>
      </c>
      <c r="X21" s="982">
        <f t="shared" si="38"/>
        <v>667.18785859333332</v>
      </c>
      <c r="Y21" s="982">
        <f t="shared" si="38"/>
        <v>689.20785859333341</v>
      </c>
      <c r="Z21" s="982" t="e">
        <f t="shared" si="38"/>
        <v>#VALUE!</v>
      </c>
      <c r="AA21" s="982">
        <f t="shared" si="38"/>
        <v>1613.2854340200001</v>
      </c>
      <c r="AB21" s="982">
        <f t="shared" si="38"/>
        <v>9634.4651260314276</v>
      </c>
      <c r="AC21" s="982" t="e">
        <f>SUM(AC12:AC20)</f>
        <v>#VALUE!</v>
      </c>
      <c r="AD21" s="982">
        <f t="shared" si="38"/>
        <v>6545.5931072628573</v>
      </c>
      <c r="AE21" s="982">
        <f t="shared" si="38"/>
        <v>7529.3491384314284</v>
      </c>
      <c r="AF21" s="982">
        <f t="shared" si="38"/>
        <v>0</v>
      </c>
      <c r="AG21" s="982">
        <f t="shared" si="38"/>
        <v>282.20473629999998</v>
      </c>
      <c r="AH21" s="982">
        <f t="shared" si="38"/>
        <v>164.78959179</v>
      </c>
      <c r="AI21" s="984"/>
      <c r="AJ21" s="983">
        <f t="shared" ref="AJ21:BN21" si="40">SUM(AJ12:AJ20)</f>
        <v>1274.0696736499999</v>
      </c>
      <c r="AK21" s="982">
        <f>SUM(AK12:AK20)</f>
        <v>1475.0515453</v>
      </c>
      <c r="AL21" s="982">
        <f t="shared" si="40"/>
        <v>1493.9138823826665</v>
      </c>
      <c r="AM21" s="982">
        <f t="shared" si="40"/>
        <v>1509.2178293506665</v>
      </c>
      <c r="AN21" s="982">
        <f t="shared" si="40"/>
        <v>1120.5593118233332</v>
      </c>
      <c r="AO21" s="982">
        <f t="shared" si="40"/>
        <v>1356.1354495160667</v>
      </c>
      <c r="AP21" s="982">
        <f t="shared" si="40"/>
        <v>1315.6919881686665</v>
      </c>
      <c r="AQ21" s="982">
        <f t="shared" si="40"/>
        <v>1381.5423343725329</v>
      </c>
      <c r="AR21" s="982">
        <f t="shared" si="40"/>
        <v>1173.1811155877333</v>
      </c>
      <c r="AS21" s="982">
        <f t="shared" si="40"/>
        <v>1186.2046205786669</v>
      </c>
      <c r="AT21" s="982">
        <f t="shared" si="40"/>
        <v>1150.0514476596668</v>
      </c>
      <c r="AU21" s="982">
        <f t="shared" si="40"/>
        <v>1114.1119444033334</v>
      </c>
      <c r="AV21" s="982">
        <f t="shared" si="40"/>
        <v>1286.8600196405334</v>
      </c>
      <c r="AW21" s="982">
        <f t="shared" si="40"/>
        <v>1355.5079428213332</v>
      </c>
      <c r="AX21" s="982" t="e">
        <f t="shared" ref="AX21" si="41">SUM(AX12:AX20)</f>
        <v>#VALUE!</v>
      </c>
      <c r="AY21" s="982">
        <f t="shared" si="40"/>
        <v>1167.4130309866669</v>
      </c>
      <c r="AZ21" s="982">
        <f>SUM(AZ12:AZ20)</f>
        <v>943.21888245866683</v>
      </c>
      <c r="BA21" s="982">
        <f t="shared" si="40"/>
        <v>926.32111414666679</v>
      </c>
      <c r="BB21" s="982">
        <f t="shared" si="40"/>
        <v>958.318789412</v>
      </c>
      <c r="BC21" s="982" t="e">
        <f t="shared" ref="BC21" si="42">SUM(BC12:BC20)</f>
        <v>#VALUE!</v>
      </c>
      <c r="BD21" s="982">
        <f t="shared" si="40"/>
        <v>720.4243246333333</v>
      </c>
      <c r="BE21" s="982">
        <f t="shared" si="40"/>
        <v>760.18432463333318</v>
      </c>
      <c r="BF21" s="982" t="e">
        <f t="shared" si="40"/>
        <v>#VALUE!</v>
      </c>
      <c r="BG21" s="982">
        <f t="shared" si="40"/>
        <v>1756.3416940199997</v>
      </c>
      <c r="BH21" s="982">
        <f t="shared" si="40"/>
        <v>9830.338358008572</v>
      </c>
      <c r="BI21" s="982" t="e">
        <f t="shared" si="40"/>
        <v>#VALUE!</v>
      </c>
      <c r="BJ21" s="982">
        <f t="shared" si="40"/>
        <v>6703.4426310571425</v>
      </c>
      <c r="BK21" s="982">
        <f t="shared" si="40"/>
        <v>7626.0393435514288</v>
      </c>
      <c r="BL21" s="982">
        <f t="shared" si="40"/>
        <v>0</v>
      </c>
      <c r="BM21" s="982">
        <f t="shared" si="40"/>
        <v>282.20473629999998</v>
      </c>
      <c r="BN21" s="982">
        <f t="shared" si="40"/>
        <v>164.78959179</v>
      </c>
      <c r="BO21" s="984"/>
      <c r="BP21" s="983">
        <f t="shared" ref="BP21:CT21" si="43">SUM(BP12:BP20)</f>
        <v>1610.1621793274999</v>
      </c>
      <c r="BQ21" s="982">
        <f t="shared" si="43"/>
        <v>1680.0399659999998</v>
      </c>
      <c r="BR21" s="982">
        <f t="shared" si="43"/>
        <v>1689.2759763466665</v>
      </c>
      <c r="BS21" s="982">
        <f t="shared" si="43"/>
        <v>1701.0859100566665</v>
      </c>
      <c r="BT21" s="982">
        <f t="shared" si="43"/>
        <v>1279.7935655491667</v>
      </c>
      <c r="BU21" s="982">
        <f t="shared" si="43"/>
        <v>1546.7907024050833</v>
      </c>
      <c r="BV21" s="982">
        <f t="shared" si="43"/>
        <v>1543.5806169058333</v>
      </c>
      <c r="BW21" s="982">
        <f t="shared" si="43"/>
        <v>1542.8505630606667</v>
      </c>
      <c r="BX21" s="982">
        <f t="shared" si="43"/>
        <v>1246.5086457146665</v>
      </c>
      <c r="BY21" s="982">
        <f t="shared" si="43"/>
        <v>1327.9447769533333</v>
      </c>
      <c r="BZ21" s="982">
        <f t="shared" si="43"/>
        <v>1241.6477844923334</v>
      </c>
      <c r="CA21" s="982">
        <f t="shared" si="43"/>
        <v>1273.1021817341666</v>
      </c>
      <c r="CB21" s="982">
        <f t="shared" si="43"/>
        <v>1433.4643135106669</v>
      </c>
      <c r="CC21" s="982">
        <f t="shared" si="43"/>
        <v>1521.8767706866665</v>
      </c>
      <c r="CD21" s="982" t="e">
        <f t="shared" ref="CD21" si="44">SUM(CD12:CD20)</f>
        <v>#VALUE!</v>
      </c>
      <c r="CE21" s="982">
        <f t="shared" si="43"/>
        <v>1277.8306750133333</v>
      </c>
      <c r="CF21" s="982">
        <f t="shared" si="43"/>
        <v>1009.2780866733335</v>
      </c>
      <c r="CG21" s="982">
        <f t="shared" si="43"/>
        <v>1015.4815166633334</v>
      </c>
      <c r="CH21" s="982">
        <f t="shared" si="43"/>
        <v>1004.0589202306667</v>
      </c>
      <c r="CI21" s="982" t="e">
        <f t="shared" ref="CI21" si="45">SUM(CI12:CI20)</f>
        <v>#VALUE!</v>
      </c>
      <c r="CJ21" s="982">
        <f t="shared" si="43"/>
        <v>801.66079067333339</v>
      </c>
      <c r="CK21" s="982">
        <f t="shared" si="43"/>
        <v>854.2607906733333</v>
      </c>
      <c r="CL21" s="982" t="e">
        <f t="shared" si="43"/>
        <v>#VALUE!</v>
      </c>
      <c r="CM21" s="982">
        <f t="shared" si="43"/>
        <v>1952.39162928</v>
      </c>
      <c r="CN21" s="982">
        <f t="shared" si="43"/>
        <v>10026.211589985714</v>
      </c>
      <c r="CO21" s="982" t="e">
        <f t="shared" si="43"/>
        <v>#VALUE!</v>
      </c>
      <c r="CP21" s="982">
        <f t="shared" si="43"/>
        <v>6882.0821548514286</v>
      </c>
      <c r="CQ21" s="982">
        <f t="shared" si="43"/>
        <v>7736.0065675971418</v>
      </c>
      <c r="CR21" s="982">
        <f>SUM(CR12:CR20)</f>
        <v>0</v>
      </c>
      <c r="CS21" s="982">
        <f t="shared" si="43"/>
        <v>282.20473629999998</v>
      </c>
      <c r="CT21" s="982">
        <f t="shared" si="43"/>
        <v>164.78959179</v>
      </c>
      <c r="CV21" s="916" t="s">
        <v>209</v>
      </c>
      <c r="CW21" s="893"/>
      <c r="CX21" s="982">
        <f>SUM(CX12:CX20)</f>
        <v>-116.41510991000001</v>
      </c>
      <c r="CY21" s="982">
        <f t="shared" ref="CY21:DS21" si="46">SUM(CY12:CY20)</f>
        <v>-116.58968290999996</v>
      </c>
      <c r="CZ21" s="982">
        <f t="shared" si="46"/>
        <v>-117.96510990999997</v>
      </c>
      <c r="DA21" s="982">
        <f t="shared" si="46"/>
        <v>-233.99968290999993</v>
      </c>
      <c r="DB21" s="982">
        <f t="shared" si="46"/>
        <v>1202.68414646</v>
      </c>
      <c r="DC21" s="982">
        <f t="shared" si="46"/>
        <v>1186.4588919</v>
      </c>
      <c r="DD21" s="982">
        <f t="shared" si="46"/>
        <v>1171.5680919000001</v>
      </c>
      <c r="DE21" s="982" t="e">
        <f t="shared" si="46"/>
        <v>#N/A</v>
      </c>
      <c r="DF21" s="982">
        <f t="shared" si="46"/>
        <v>1141.2366032799998</v>
      </c>
      <c r="DG21" s="982">
        <f t="shared" si="46"/>
        <v>1237.3992032799999</v>
      </c>
      <c r="DH21" s="982">
        <f>SUM(DH12:DH20)</f>
        <v>1188.63009637</v>
      </c>
      <c r="DI21" s="982">
        <f t="shared" si="46"/>
        <v>967.04474879333327</v>
      </c>
      <c r="DJ21" s="982">
        <f t="shared" si="46"/>
        <v>1464.6036701799999</v>
      </c>
      <c r="DK21" s="982">
        <f t="shared" si="46"/>
        <v>737.33522876000006</v>
      </c>
      <c r="DL21" s="982">
        <f t="shared" si="46"/>
        <v>712.09440436999989</v>
      </c>
      <c r="DM21" s="982">
        <f t="shared" si="46"/>
        <v>986.76700505333361</v>
      </c>
      <c r="DN21" s="982" t="e">
        <f t="shared" si="46"/>
        <v>#N/A</v>
      </c>
      <c r="DO21" s="982" t="e">
        <f t="shared" si="46"/>
        <v>#N/A</v>
      </c>
      <c r="DP21" s="982">
        <f t="shared" si="46"/>
        <v>8302.1662642571428</v>
      </c>
      <c r="DQ21" s="982">
        <f t="shared" ref="DQ21" si="47">SUM(DQ12:DQ20)</f>
        <v>720.17480025000009</v>
      </c>
      <c r="DR21" s="982">
        <f t="shared" si="46"/>
        <v>337.15924999999999</v>
      </c>
      <c r="DS21" s="982">
        <f t="shared" si="46"/>
        <v>475.30214178999995</v>
      </c>
      <c r="DT21" s="893"/>
      <c r="DU21" s="982">
        <f>SUM(DU12:DU20)</f>
        <v>-365.05510991</v>
      </c>
      <c r="DV21" s="982">
        <f>SUM(DV12:DV20)</f>
        <v>-266.80968290999999</v>
      </c>
      <c r="DW21" s="982">
        <f>SUM(DW12:DW20)</f>
        <v>-325.1651099099999</v>
      </c>
      <c r="DX21" s="982">
        <f>SUM(DX12:DX20)</f>
        <v>-384.21968290999996</v>
      </c>
      <c r="DY21" s="983">
        <f t="shared" ref="DY21:EG21" si="48">SUM(DY12:DY20)</f>
        <v>1390.8123336666665</v>
      </c>
      <c r="DZ21" s="982">
        <f t="shared" si="48"/>
        <v>1376.0075359266666</v>
      </c>
      <c r="EA21" s="982">
        <f t="shared" si="48"/>
        <v>1348.1531359266667</v>
      </c>
      <c r="EB21" s="982" t="e">
        <f t="shared" si="48"/>
        <v>#N/A</v>
      </c>
      <c r="EC21" s="982">
        <f t="shared" si="48"/>
        <v>1343.1953333841666</v>
      </c>
      <c r="ED21" s="982">
        <f t="shared" si="48"/>
        <v>1447.8121333841664</v>
      </c>
      <c r="EE21" s="982">
        <f>SUM(EE12:EE20)</f>
        <v>1452.8025333841667</v>
      </c>
      <c r="EF21" s="982">
        <f t="shared" si="48"/>
        <v>1334.7506542316667</v>
      </c>
      <c r="EG21" s="982">
        <f t="shared" si="48"/>
        <v>1694.4704472266665</v>
      </c>
      <c r="EH21" s="982">
        <f t="shared" ref="EH21:EM21" si="49">SUM(EH12:EH20)</f>
        <v>765.16625627666656</v>
      </c>
      <c r="EI21" s="982">
        <f t="shared" si="49"/>
        <v>731.77543188666652</v>
      </c>
      <c r="EJ21" s="982">
        <f t="shared" si="49"/>
        <v>1027.210027066667</v>
      </c>
      <c r="EK21" s="982" t="e">
        <f t="shared" si="49"/>
        <v>#N/A</v>
      </c>
      <c r="EL21" s="982" t="e">
        <f t="shared" si="49"/>
        <v>#N/A</v>
      </c>
      <c r="EM21" s="982">
        <f t="shared" si="49"/>
        <v>8535.8700679714275</v>
      </c>
      <c r="EN21" s="982">
        <f>SUM(EN12:EN20)</f>
        <v>749.50662226333338</v>
      </c>
      <c r="EO21" s="982">
        <f>SUM(EO12:EO20)</f>
        <v>337.15924999999999</v>
      </c>
      <c r="EP21" s="982">
        <f>SUM(EP12:EP20)</f>
        <v>475.30214178999995</v>
      </c>
      <c r="EQ21" s="893"/>
      <c r="ER21" s="982">
        <f>SUM(ER12:ER20)</f>
        <v>-530.81510991000005</v>
      </c>
      <c r="ES21" s="982">
        <f>SUM(ES12:ES20)</f>
        <v>-417.02968290999991</v>
      </c>
      <c r="ET21" s="982">
        <f>SUM(ET12:ET20)</f>
        <v>-532.36510991</v>
      </c>
      <c r="EU21" s="982">
        <f>SUM(EU12:EU20)</f>
        <v>-459.32968290999986</v>
      </c>
      <c r="EV21" s="983">
        <f t="shared" ref="EV21:FD21" si="50">SUM(EV12:EV20)</f>
        <v>1942.8396413439998</v>
      </c>
      <c r="EW21" s="982">
        <f t="shared" si="50"/>
        <v>1755.1048239799998</v>
      </c>
      <c r="EX21" s="982">
        <f t="shared" si="50"/>
        <v>1436.4456579399998</v>
      </c>
      <c r="EY21" s="982" t="e">
        <f t="shared" si="50"/>
        <v>#N/A</v>
      </c>
      <c r="EZ21" s="982">
        <f t="shared" si="50"/>
        <v>1547.6583774108331</v>
      </c>
      <c r="FA21" s="982">
        <f t="shared" si="50"/>
        <v>1660.7293774108332</v>
      </c>
      <c r="FB21" s="982">
        <f>SUM(FB12:FB20)</f>
        <v>1635.5173774108332</v>
      </c>
      <c r="FC21" s="982">
        <f t="shared" si="50"/>
        <v>1362.7506542316669</v>
      </c>
      <c r="FD21" s="982">
        <f t="shared" si="50"/>
        <v>1941.837224273333</v>
      </c>
      <c r="FE21" s="982">
        <f t="shared" ref="FE21:FJ21" si="51">SUM(FE12:FE20)</f>
        <v>792.99728379333328</v>
      </c>
      <c r="FF21" s="982">
        <f t="shared" si="51"/>
        <v>771.30919070333323</v>
      </c>
      <c r="FG21" s="982">
        <f t="shared" si="51"/>
        <v>1101.6149559900002</v>
      </c>
      <c r="FH21" s="982" t="e">
        <f t="shared" si="51"/>
        <v>#N/A</v>
      </c>
      <c r="FI21" s="982" t="e">
        <f t="shared" si="51"/>
        <v>#N/A</v>
      </c>
      <c r="FJ21" s="982">
        <f t="shared" si="51"/>
        <v>8769.5738716857159</v>
      </c>
      <c r="FK21" s="982">
        <f t="shared" ref="FK21" si="52">SUM(FK12:FK20)</f>
        <v>778.83844427666679</v>
      </c>
      <c r="FL21" s="982">
        <f>SUM(FL12:FL20)</f>
        <v>337.15924999999999</v>
      </c>
      <c r="FM21" s="982">
        <f>SUM(FM12:FM20)</f>
        <v>475.30214178999995</v>
      </c>
    </row>
    <row r="22" spans="1:169" ht="18" customHeight="1">
      <c r="A22" s="899">
        <f>ROWS($A$1:A22)</f>
        <v>22</v>
      </c>
      <c r="B22" s="942" t="s">
        <v>816</v>
      </c>
      <c r="C22" s="981"/>
      <c r="D22" s="979">
        <f>D11-D21</f>
        <v>328.92979676750019</v>
      </c>
      <c r="E22" s="979">
        <f t="shared" ref="E22:AH22" si="53">E11-E21</f>
        <v>237.80562540000005</v>
      </c>
      <c r="F22" s="979">
        <f t="shared" si="53"/>
        <v>272.93270104466683</v>
      </c>
      <c r="G22" s="979">
        <f t="shared" si="53"/>
        <v>341.05474081866669</v>
      </c>
      <c r="H22" s="979">
        <f t="shared" si="53"/>
        <v>-36.263482637500033</v>
      </c>
      <c r="I22" s="979">
        <f t="shared" si="53"/>
        <v>138.78691409294993</v>
      </c>
      <c r="J22" s="979">
        <f t="shared" si="53"/>
        <v>94.521251288500025</v>
      </c>
      <c r="K22" s="979">
        <f t="shared" si="53"/>
        <v>300.63628359560016</v>
      </c>
      <c r="L22" s="979">
        <f t="shared" si="53"/>
        <v>147.84641453920005</v>
      </c>
      <c r="M22" s="979">
        <f t="shared" si="53"/>
        <v>-23.114464204000114</v>
      </c>
      <c r="N22" s="979">
        <f t="shared" si="53"/>
        <v>379.59488917299996</v>
      </c>
      <c r="O22" s="979">
        <f t="shared" si="53"/>
        <v>206.9936822075</v>
      </c>
      <c r="P22" s="979">
        <f t="shared" si="53"/>
        <v>332.87927422960001</v>
      </c>
      <c r="Q22" s="979">
        <f t="shared" si="53"/>
        <v>185.31088504400009</v>
      </c>
      <c r="R22" s="979" t="e">
        <f t="shared" si="53"/>
        <v>#VALUE!</v>
      </c>
      <c r="S22" s="979">
        <f t="shared" si="53"/>
        <v>215.98764830000005</v>
      </c>
      <c r="T22" s="979">
        <f t="shared" si="53"/>
        <v>-164.42664298400007</v>
      </c>
      <c r="U22" s="979">
        <f t="shared" si="53"/>
        <v>-152.78571163000015</v>
      </c>
      <c r="V22" s="979">
        <f t="shared" si="53"/>
        <v>-92.578658593333444</v>
      </c>
      <c r="W22" s="979" t="e">
        <f t="shared" ref="W22" si="54">W11-W21</f>
        <v>#VALUE!</v>
      </c>
      <c r="X22" s="979">
        <f t="shared" si="53"/>
        <v>-183.18785859333332</v>
      </c>
      <c r="Y22" s="979">
        <f t="shared" si="53"/>
        <v>-195.20785859333341</v>
      </c>
      <c r="Z22" s="979" t="e">
        <f t="shared" si="53"/>
        <v>#VALUE!</v>
      </c>
      <c r="AA22" s="979">
        <f t="shared" si="53"/>
        <v>1324.7045659799996</v>
      </c>
      <c r="AB22" s="979">
        <f t="shared" si="53"/>
        <v>3229.5348739685724</v>
      </c>
      <c r="AC22" s="979" t="e">
        <f t="shared" si="53"/>
        <v>#VALUE!</v>
      </c>
      <c r="AD22" s="979">
        <f t="shared" si="53"/>
        <v>653.4068927371427</v>
      </c>
      <c r="AE22" s="979">
        <f t="shared" si="53"/>
        <v>6325.6508615685716</v>
      </c>
      <c r="AF22" s="979">
        <f t="shared" si="53"/>
        <v>0</v>
      </c>
      <c r="AG22" s="979">
        <f t="shared" si="53"/>
        <v>-282.20473629999998</v>
      </c>
      <c r="AH22" s="979">
        <f t="shared" si="53"/>
        <v>-164.78959179</v>
      </c>
      <c r="AI22" s="984"/>
      <c r="AJ22" s="980">
        <f t="shared" ref="AJ22:BN22" si="55">AJ11-AJ21</f>
        <v>605.43032635000009</v>
      </c>
      <c r="AK22" s="979">
        <f>AK11-AK21</f>
        <v>516.94845469999996</v>
      </c>
      <c r="AL22" s="979">
        <f t="shared" si="55"/>
        <v>598.40611761733317</v>
      </c>
      <c r="AM22" s="979">
        <f t="shared" si="55"/>
        <v>704.86217064933339</v>
      </c>
      <c r="AN22" s="979">
        <f t="shared" si="55"/>
        <v>140.94068817666675</v>
      </c>
      <c r="AO22" s="979">
        <f t="shared" si="55"/>
        <v>387.87455048393326</v>
      </c>
      <c r="AP22" s="979">
        <f t="shared" si="55"/>
        <v>342.60801183133344</v>
      </c>
      <c r="AQ22" s="979">
        <f t="shared" si="55"/>
        <v>613.73766562746709</v>
      </c>
      <c r="AR22" s="979">
        <f t="shared" si="55"/>
        <v>342.17888441226683</v>
      </c>
      <c r="AS22" s="979">
        <f t="shared" si="55"/>
        <v>175.59537942133306</v>
      </c>
      <c r="AT22" s="979">
        <f t="shared" si="55"/>
        <v>608.5985523403333</v>
      </c>
      <c r="AU22" s="979">
        <f t="shared" si="55"/>
        <v>419.38805559666662</v>
      </c>
      <c r="AV22" s="979">
        <f t="shared" si="55"/>
        <v>677.31998035946663</v>
      </c>
      <c r="AW22" s="979">
        <f t="shared" si="55"/>
        <v>477.09205717866666</v>
      </c>
      <c r="AX22" s="979" t="e">
        <f t="shared" ref="AX22" si="56">AX11-AX21</f>
        <v>#VALUE!</v>
      </c>
      <c r="AY22" s="979">
        <f t="shared" si="55"/>
        <v>492.58696901333315</v>
      </c>
      <c r="AZ22" s="979">
        <f>AZ11-AZ21</f>
        <v>-30.218882458666826</v>
      </c>
      <c r="BA22" s="979">
        <f t="shared" si="55"/>
        <v>-13.821114146666787</v>
      </c>
      <c r="BB22" s="979">
        <f t="shared" si="55"/>
        <v>148.681210588</v>
      </c>
      <c r="BC22" s="979" t="e">
        <f t="shared" ref="BC22" si="57">BC11-BC21</f>
        <v>#VALUE!</v>
      </c>
      <c r="BD22" s="979">
        <f t="shared" si="55"/>
        <v>126.5756753666667</v>
      </c>
      <c r="BE22" s="979">
        <f t="shared" si="55"/>
        <v>104.31567536666682</v>
      </c>
      <c r="BF22" s="979" t="e">
        <f t="shared" si="55"/>
        <v>#VALUE!</v>
      </c>
      <c r="BG22" s="979">
        <f t="shared" si="55"/>
        <v>2645.8583059800003</v>
      </c>
      <c r="BH22" s="979">
        <f t="shared" si="55"/>
        <v>7321.661641991428</v>
      </c>
      <c r="BI22" s="979" t="e">
        <f t="shared" si="55"/>
        <v>#VALUE!</v>
      </c>
      <c r="BJ22" s="979">
        <f>BJ11-BJ21</f>
        <v>1588.5573689428575</v>
      </c>
      <c r="BK22" s="979">
        <f t="shared" si="55"/>
        <v>7748.9606564485712</v>
      </c>
      <c r="BL22" s="979">
        <f t="shared" si="55"/>
        <v>0</v>
      </c>
      <c r="BM22" s="979">
        <f t="shared" si="55"/>
        <v>-282.20473629999998</v>
      </c>
      <c r="BN22" s="979">
        <f t="shared" si="55"/>
        <v>-164.78959179</v>
      </c>
      <c r="BO22" s="984"/>
      <c r="BP22" s="980">
        <f t="shared" ref="BP22:CT22" si="58">BP11-BP21</f>
        <v>739.21282067250013</v>
      </c>
      <c r="BQ22" s="979">
        <f t="shared" si="58"/>
        <v>809.96003400000018</v>
      </c>
      <c r="BR22" s="979">
        <f t="shared" si="58"/>
        <v>926.12402365333355</v>
      </c>
      <c r="BS22" s="979">
        <f t="shared" si="58"/>
        <v>1066.5140899433334</v>
      </c>
      <c r="BT22" s="979">
        <f t="shared" si="58"/>
        <v>297.08143445083329</v>
      </c>
      <c r="BU22" s="979">
        <f t="shared" si="58"/>
        <v>633.22179759491655</v>
      </c>
      <c r="BV22" s="979">
        <f t="shared" si="58"/>
        <v>529.29438309416673</v>
      </c>
      <c r="BW22" s="979">
        <f t="shared" si="58"/>
        <v>951.24943693933324</v>
      </c>
      <c r="BX22" s="979">
        <f t="shared" si="58"/>
        <v>647.69135428533332</v>
      </c>
      <c r="BY22" s="979">
        <f t="shared" si="58"/>
        <v>374.3052230466667</v>
      </c>
      <c r="BZ22" s="979">
        <f t="shared" si="58"/>
        <v>837.60221550766664</v>
      </c>
      <c r="CA22" s="979">
        <f t="shared" si="58"/>
        <v>643.77281826583339</v>
      </c>
      <c r="CB22" s="979">
        <f t="shared" si="58"/>
        <v>1021.760686489333</v>
      </c>
      <c r="CC22" s="979">
        <f t="shared" si="58"/>
        <v>768.87322931333347</v>
      </c>
      <c r="CD22" s="979" t="e">
        <f t="shared" ref="CD22" si="59">CD11-CD21</f>
        <v>#VALUE!</v>
      </c>
      <c r="CE22" s="979">
        <f t="shared" si="58"/>
        <v>797.16932498666665</v>
      </c>
      <c r="CF22" s="979">
        <f t="shared" si="58"/>
        <v>131.97191332666648</v>
      </c>
      <c r="CG22" s="979">
        <f t="shared" si="58"/>
        <v>125.14348333666658</v>
      </c>
      <c r="CH22" s="979">
        <f t="shared" si="58"/>
        <v>389.94107976933333</v>
      </c>
      <c r="CI22" s="979" t="e">
        <f t="shared" ref="CI22" si="60">CI11-CI21</f>
        <v>#VALUE!</v>
      </c>
      <c r="CJ22" s="979">
        <f t="shared" si="58"/>
        <v>408.33920932666661</v>
      </c>
      <c r="CK22" s="979">
        <f t="shared" si="58"/>
        <v>380.7392093266667</v>
      </c>
      <c r="CL22" s="979" t="e">
        <f t="shared" si="58"/>
        <v>#VALUE!</v>
      </c>
      <c r="CM22" s="979">
        <f t="shared" si="58"/>
        <v>3582.2583707199997</v>
      </c>
      <c r="CN22" s="979">
        <f t="shared" si="58"/>
        <v>11413.788410014286</v>
      </c>
      <c r="CO22" s="979" t="e">
        <f t="shared" si="58"/>
        <v>#VALUE!</v>
      </c>
      <c r="CP22" s="979">
        <f t="shared" si="58"/>
        <v>3657.9178451485714</v>
      </c>
      <c r="CQ22" s="979">
        <f t="shared" si="58"/>
        <v>9123.9934324028582</v>
      </c>
      <c r="CR22" s="979">
        <f>CR11-CR21</f>
        <v>0</v>
      </c>
      <c r="CS22" s="979">
        <f t="shared" si="58"/>
        <v>-282.20473629999998</v>
      </c>
      <c r="CT22" s="979">
        <f t="shared" si="58"/>
        <v>-164.78959179</v>
      </c>
      <c r="CV22" s="942" t="s">
        <v>816</v>
      </c>
      <c r="CW22" s="981"/>
      <c r="CX22" s="979">
        <f>CX11-CX21</f>
        <v>116.41510991000001</v>
      </c>
      <c r="CY22" s="979">
        <f>CY11-CY21</f>
        <v>116.58968290999996</v>
      </c>
      <c r="CZ22" s="979">
        <f>CZ11-CZ21</f>
        <v>117.96510990999997</v>
      </c>
      <c r="DA22" s="979">
        <f>DA11-DA21</f>
        <v>233.99968290999993</v>
      </c>
      <c r="DB22" s="979">
        <f t="shared" ref="DB22:DJ22" si="61">DB11-DB21</f>
        <v>-11.98414645999992</v>
      </c>
      <c r="DC22" s="979">
        <f t="shared" si="61"/>
        <v>335.44110810000006</v>
      </c>
      <c r="DD22" s="979">
        <f t="shared" si="61"/>
        <v>419.63190809999969</v>
      </c>
      <c r="DE22" s="979" t="e">
        <f t="shared" si="61"/>
        <v>#N/A</v>
      </c>
      <c r="DF22" s="979">
        <f t="shared" si="61"/>
        <v>58.163396720000264</v>
      </c>
      <c r="DG22" s="979">
        <f t="shared" si="61"/>
        <v>319.00079671999993</v>
      </c>
      <c r="DH22" s="979">
        <f>DH11-DH21</f>
        <v>1.1699036299999079</v>
      </c>
      <c r="DI22" s="979">
        <f t="shared" si="61"/>
        <v>102.51525120666668</v>
      </c>
      <c r="DJ22" s="979">
        <f t="shared" si="61"/>
        <v>297.29632982000021</v>
      </c>
      <c r="DK22" s="979">
        <f>DK11-DK21</f>
        <v>270.28977123999994</v>
      </c>
      <c r="DL22" s="979">
        <f t="shared" ref="DL22:DS22" si="62">DL11-DL21</f>
        <v>229.90559563000011</v>
      </c>
      <c r="DM22" s="979">
        <f t="shared" si="62"/>
        <v>586.63299494666649</v>
      </c>
      <c r="DN22" s="979" t="e">
        <f t="shared" si="62"/>
        <v>#N/A</v>
      </c>
      <c r="DO22" s="979" t="e">
        <f t="shared" si="62"/>
        <v>#N/A</v>
      </c>
      <c r="DP22" s="979">
        <f t="shared" si="62"/>
        <v>2823.3337357428572</v>
      </c>
      <c r="DQ22" s="979">
        <f t="shared" ref="DQ22" si="63">DQ11-DQ21</f>
        <v>149.82519974999991</v>
      </c>
      <c r="DR22" s="979">
        <f t="shared" si="62"/>
        <v>-337.15924999999999</v>
      </c>
      <c r="DS22" s="979">
        <f t="shared" si="62"/>
        <v>-475.30214178999995</v>
      </c>
      <c r="DT22" s="893"/>
      <c r="DU22" s="979">
        <f>DU11-DU21</f>
        <v>365.05510991</v>
      </c>
      <c r="DV22" s="979">
        <f>DV11-DV21</f>
        <v>266.80968290999999</v>
      </c>
      <c r="DW22" s="979">
        <f>DW11-DW21</f>
        <v>325.1651099099999</v>
      </c>
      <c r="DX22" s="979">
        <f>DX11-DX21</f>
        <v>384.21968290999996</v>
      </c>
      <c r="DY22" s="980">
        <f t="shared" ref="DY22:EG22" si="64">DY11-DY21</f>
        <v>196.78766633333339</v>
      </c>
      <c r="DZ22" s="979">
        <f t="shared" si="64"/>
        <v>653.19246407333344</v>
      </c>
      <c r="EA22" s="979">
        <f t="shared" si="64"/>
        <v>773.44686407333324</v>
      </c>
      <c r="EB22" s="979" t="e">
        <f t="shared" si="64"/>
        <v>#N/A</v>
      </c>
      <c r="EC22" s="979">
        <f t="shared" si="64"/>
        <v>256.00466661583346</v>
      </c>
      <c r="ED22" s="979">
        <f t="shared" si="64"/>
        <v>627.38786661583345</v>
      </c>
      <c r="EE22" s="979">
        <f>EE11-EE21</f>
        <v>133.59746661583335</v>
      </c>
      <c r="EF22" s="979">
        <f t="shared" si="64"/>
        <v>804.36934576833323</v>
      </c>
      <c r="EG22" s="979">
        <f t="shared" si="64"/>
        <v>654.72955277333381</v>
      </c>
      <c r="EH22" s="979">
        <f t="shared" ref="EH22:EM22" si="65">EH11-EH21</f>
        <v>578.33374372333344</v>
      </c>
      <c r="EI22" s="979">
        <f t="shared" si="65"/>
        <v>524.22456811333348</v>
      </c>
      <c r="EJ22" s="979">
        <f t="shared" si="65"/>
        <v>939.53997293333305</v>
      </c>
      <c r="EK22" s="979" t="e">
        <f t="shared" si="65"/>
        <v>#N/A</v>
      </c>
      <c r="EL22" s="979" t="e">
        <f t="shared" si="65"/>
        <v>#N/A</v>
      </c>
      <c r="EM22" s="979">
        <f t="shared" si="65"/>
        <v>5371.0049320285725</v>
      </c>
      <c r="EN22" s="979">
        <f>EN11-EN21</f>
        <v>410.49337773666662</v>
      </c>
      <c r="EO22" s="979">
        <f>EO11-EO21</f>
        <v>-337.15924999999999</v>
      </c>
      <c r="EP22" s="979">
        <f>EP11-EP21</f>
        <v>-475.30214178999995</v>
      </c>
      <c r="EQ22" s="893"/>
      <c r="ER22" s="979">
        <f>ER11-ER21</f>
        <v>530.81510991000005</v>
      </c>
      <c r="ES22" s="979">
        <f>ES11-ES21</f>
        <v>417.02968290999991</v>
      </c>
      <c r="ET22" s="979">
        <f>ET11-ET21</f>
        <v>532.36510991</v>
      </c>
      <c r="EU22" s="979">
        <f>EU11-EU21</f>
        <v>459.32968290999986</v>
      </c>
      <c r="EV22" s="980">
        <f t="shared" ref="EV22:FD22" si="66">EV11-EV21</f>
        <v>795.77035865600033</v>
      </c>
      <c r="EW22" s="979">
        <f t="shared" si="66"/>
        <v>1288.6951760200004</v>
      </c>
      <c r="EX22" s="979">
        <f t="shared" si="66"/>
        <v>950.35434206000036</v>
      </c>
      <c r="EY22" s="979" t="e">
        <f t="shared" si="66"/>
        <v>#N/A</v>
      </c>
      <c r="EZ22" s="979">
        <f t="shared" si="66"/>
        <v>451.34162258916695</v>
      </c>
      <c r="FA22" s="979">
        <f t="shared" si="66"/>
        <v>933.27062258916681</v>
      </c>
      <c r="FB22" s="979">
        <f>FB11-FB21</f>
        <v>347.48262258916679</v>
      </c>
      <c r="FC22" s="979">
        <f t="shared" si="66"/>
        <v>776.36934576833301</v>
      </c>
      <c r="FD22" s="979">
        <f t="shared" si="66"/>
        <v>994.66277572666695</v>
      </c>
      <c r="FE22" s="979">
        <f t="shared" ref="FE22:FJ22" si="67">FE11-FE21</f>
        <v>886.37771620666672</v>
      </c>
      <c r="FF22" s="979">
        <f t="shared" si="67"/>
        <v>848.69080929666677</v>
      </c>
      <c r="FG22" s="979">
        <f t="shared" si="67"/>
        <v>1258.4850440099997</v>
      </c>
      <c r="FH22" s="979" t="e">
        <f t="shared" si="67"/>
        <v>#N/A</v>
      </c>
      <c r="FI22" s="979" t="e">
        <f t="shared" si="67"/>
        <v>#N/A</v>
      </c>
      <c r="FJ22" s="979">
        <f t="shared" si="67"/>
        <v>7918.6761283142841</v>
      </c>
      <c r="FK22" s="979">
        <f t="shared" ref="FK22" si="68">FK11-FK21</f>
        <v>671.16155572333321</v>
      </c>
      <c r="FL22" s="979">
        <f>FL11-FL21</f>
        <v>-337.15924999999999</v>
      </c>
      <c r="FM22" s="979">
        <f>FM11-FM21</f>
        <v>-475.30214178999995</v>
      </c>
    </row>
    <row r="23" spans="1:169" ht="16.2" customHeight="1">
      <c r="A23" s="899">
        <f>ROWS($A$1:A23)</f>
        <v>23</v>
      </c>
      <c r="B23" s="978" t="s">
        <v>815</v>
      </c>
      <c r="D23" s="2623">
        <f>'WW1'!R19</f>
        <v>0</v>
      </c>
      <c r="E23" s="975">
        <f>'WW2'!R19</f>
        <v>177</v>
      </c>
      <c r="F23" s="975">
        <f>'WW-A'!R19</f>
        <v>177</v>
      </c>
      <c r="G23" s="975">
        <f>'WW-E'!R19</f>
        <v>177</v>
      </c>
      <c r="H23" s="975">
        <f>WRo!R19</f>
        <v>177</v>
      </c>
      <c r="I23" s="975">
        <f>Tr!R19</f>
        <v>177</v>
      </c>
      <c r="J23" s="975">
        <f>WG!R19</f>
        <v>177</v>
      </c>
      <c r="K23" s="975">
        <f>Di!R19</f>
        <v>177</v>
      </c>
      <c r="L23" s="975">
        <f>SW!R19</f>
        <v>177</v>
      </c>
      <c r="M23" s="975">
        <f>'SG-Fu'!R19</f>
        <v>177</v>
      </c>
      <c r="N23" s="975">
        <f>BG!R19</f>
        <v>177</v>
      </c>
      <c r="O23" s="975">
        <f>Ha!R19</f>
        <v>177</v>
      </c>
      <c r="P23" s="975">
        <f>Du!R19</f>
        <v>177</v>
      </c>
      <c r="Q23" s="975">
        <f>KöM!R19</f>
        <v>177</v>
      </c>
      <c r="R23" s="975">
        <f>KH!R19</f>
        <v>177</v>
      </c>
      <c r="S23" s="975">
        <f>WR!R19</f>
        <v>177</v>
      </c>
      <c r="T23" s="975">
        <f>SR!R19</f>
        <v>177</v>
      </c>
      <c r="U23" s="975">
        <f>SoBl!R19</f>
        <v>177</v>
      </c>
      <c r="V23" s="975">
        <f>Soja!R19</f>
        <v>177</v>
      </c>
      <c r="W23" s="975">
        <f>Öl!R19</f>
        <v>177</v>
      </c>
      <c r="X23" s="975">
        <f>FE!R19</f>
        <v>177</v>
      </c>
      <c r="Y23" s="975">
        <f>AB!R19</f>
        <v>177</v>
      </c>
      <c r="Z23" s="975">
        <f>Lu!R19</f>
        <v>177</v>
      </c>
      <c r="AA23" s="975">
        <f>ZR!R19</f>
        <v>177</v>
      </c>
      <c r="AB23" s="975">
        <f>FrühKa!R19</f>
        <v>177</v>
      </c>
      <c r="AC23" s="975">
        <f>FrühKaFolieBer!R19</f>
        <v>177</v>
      </c>
      <c r="AD23" s="975">
        <f>SpKa!R19</f>
        <v>177</v>
      </c>
      <c r="AE23" s="975">
        <f>SpKaBer!R19</f>
        <v>177</v>
      </c>
      <c r="AF23" s="975">
        <f>Vorlage!S19</f>
        <v>0</v>
      </c>
      <c r="AG23" s="975">
        <f>'FAKT-Brachebegrünung'!R19</f>
        <v>907</v>
      </c>
      <c r="AH23" s="975">
        <f>Begr!R19</f>
        <v>277</v>
      </c>
      <c r="AI23" s="977"/>
      <c r="AJ23" s="976">
        <f>'WW1'!S19</f>
        <v>0</v>
      </c>
      <c r="AK23" s="975">
        <f>'WW2'!S19</f>
        <v>177</v>
      </c>
      <c r="AL23" s="975">
        <f>'WW-A'!S19</f>
        <v>177</v>
      </c>
      <c r="AM23" s="975">
        <f>'WW-E'!S19</f>
        <v>177</v>
      </c>
      <c r="AN23" s="975">
        <f>WRo!S19</f>
        <v>177</v>
      </c>
      <c r="AO23" s="975">
        <f>Tr!S19</f>
        <v>177</v>
      </c>
      <c r="AP23" s="975">
        <f>WG!S19</f>
        <v>177</v>
      </c>
      <c r="AQ23" s="975">
        <f>Di!S19</f>
        <v>177</v>
      </c>
      <c r="AR23" s="975">
        <f>SW!S19</f>
        <v>177</v>
      </c>
      <c r="AS23" s="975">
        <f>'SG-Fu'!S19</f>
        <v>177</v>
      </c>
      <c r="AT23" s="975">
        <f>BG!S19</f>
        <v>177</v>
      </c>
      <c r="AU23" s="975">
        <f>Ha!S19</f>
        <v>177</v>
      </c>
      <c r="AV23" s="975">
        <f>Du!S19</f>
        <v>177</v>
      </c>
      <c r="AW23" s="975">
        <f>KöM!S19</f>
        <v>177</v>
      </c>
      <c r="AX23" s="975">
        <f>KH!S19</f>
        <v>177</v>
      </c>
      <c r="AY23" s="975">
        <f>WR!S19</f>
        <v>177</v>
      </c>
      <c r="AZ23" s="975">
        <f>SR!S19</f>
        <v>177</v>
      </c>
      <c r="BA23" s="975">
        <f>SoBl!S19</f>
        <v>177</v>
      </c>
      <c r="BB23" s="975">
        <f>Soja!S19</f>
        <v>177</v>
      </c>
      <c r="BC23" s="975">
        <f>Öl!S19</f>
        <v>177</v>
      </c>
      <c r="BD23" s="975">
        <f>FE!S19</f>
        <v>177</v>
      </c>
      <c r="BE23" s="975">
        <f>AB!S19</f>
        <v>177</v>
      </c>
      <c r="BF23" s="975">
        <f>Lu!S19</f>
        <v>177</v>
      </c>
      <c r="BG23" s="975">
        <f>ZR!S19</f>
        <v>177</v>
      </c>
      <c r="BH23" s="975">
        <f>FrühKa!S19</f>
        <v>177</v>
      </c>
      <c r="BI23" s="975">
        <f>FrühKaFolieBer!S19</f>
        <v>177</v>
      </c>
      <c r="BJ23" s="975">
        <f>SpKa!S19</f>
        <v>177</v>
      </c>
      <c r="BK23" s="975">
        <f>SpKaBer!S19</f>
        <v>177</v>
      </c>
      <c r="BL23" s="975">
        <v>0</v>
      </c>
      <c r="BM23" s="975">
        <f>'FAKT-Brachebegrünung'!S19</f>
        <v>907</v>
      </c>
      <c r="BN23" s="975">
        <f>Begr!S19</f>
        <v>277</v>
      </c>
      <c r="BO23" s="977"/>
      <c r="BP23" s="976">
        <f>'WW1'!T19</f>
        <v>0</v>
      </c>
      <c r="BQ23" s="975">
        <f>'WW2'!T19</f>
        <v>177</v>
      </c>
      <c r="BR23" s="975">
        <f>'WW-A'!T19</f>
        <v>177</v>
      </c>
      <c r="BS23" s="975">
        <f>'WW-E'!T19</f>
        <v>177</v>
      </c>
      <c r="BT23" s="975">
        <f>WRo!T19</f>
        <v>177</v>
      </c>
      <c r="BU23" s="975">
        <f>Tr!T19</f>
        <v>177</v>
      </c>
      <c r="BV23" s="975">
        <f>WG!T19</f>
        <v>177</v>
      </c>
      <c r="BW23" s="975">
        <f>Di!T19</f>
        <v>177</v>
      </c>
      <c r="BX23" s="975">
        <f>SW!T19</f>
        <v>177</v>
      </c>
      <c r="BY23" s="975">
        <f>'SG-Fu'!T19</f>
        <v>177</v>
      </c>
      <c r="BZ23" s="975">
        <f>BG!T19</f>
        <v>177</v>
      </c>
      <c r="CA23" s="975">
        <f>Ha!T19</f>
        <v>177</v>
      </c>
      <c r="CB23" s="975">
        <f>Du!T19</f>
        <v>177</v>
      </c>
      <c r="CC23" s="975">
        <f>KöM!T19</f>
        <v>177</v>
      </c>
      <c r="CD23" s="975">
        <f>KH!T19</f>
        <v>177</v>
      </c>
      <c r="CE23" s="975">
        <f>WR!T19</f>
        <v>177</v>
      </c>
      <c r="CF23" s="975">
        <f>SR!T19</f>
        <v>177</v>
      </c>
      <c r="CG23" s="975">
        <f>SoBl!T19</f>
        <v>177</v>
      </c>
      <c r="CH23" s="975">
        <f>Soja!T19</f>
        <v>177</v>
      </c>
      <c r="CI23" s="975">
        <f>Öl!T19</f>
        <v>177</v>
      </c>
      <c r="CJ23" s="975">
        <f>FE!T19</f>
        <v>177</v>
      </c>
      <c r="CK23" s="975">
        <f>AB!T19</f>
        <v>177</v>
      </c>
      <c r="CL23" s="975">
        <f>Lu!T19</f>
        <v>177</v>
      </c>
      <c r="CM23" s="975">
        <f>ZR!T19</f>
        <v>177</v>
      </c>
      <c r="CN23" s="975">
        <f>FrühKa!T19</f>
        <v>177</v>
      </c>
      <c r="CO23" s="975">
        <f>FrühKaFolieBer!T19</f>
        <v>177</v>
      </c>
      <c r="CP23" s="975">
        <f>SpKa!T19</f>
        <v>177</v>
      </c>
      <c r="CQ23" s="975">
        <f>SpKaBer!T19</f>
        <v>177</v>
      </c>
      <c r="CR23" s="975">
        <f>Vorlage!U19</f>
        <v>0</v>
      </c>
      <c r="CS23" s="975">
        <f>'FAKT-Brachebegrünung'!T19</f>
        <v>907</v>
      </c>
      <c r="CT23" s="975">
        <f>Begr!T19</f>
        <v>277</v>
      </c>
      <c r="CV23" s="978" t="s">
        <v>815</v>
      </c>
      <c r="CW23" s="893"/>
      <c r="CX23" s="2623">
        <f>'Öko-KG1'!$R$19</f>
        <v>417</v>
      </c>
      <c r="CY23" s="975">
        <f>'Öko-KG2'!$R$19</f>
        <v>417</v>
      </c>
      <c r="CZ23" s="975">
        <f>'Öko-LU1'!$R$19</f>
        <v>417</v>
      </c>
      <c r="DA23" s="975">
        <f>'Öko-LU2'!$R$19</f>
        <v>417</v>
      </c>
      <c r="DB23" s="975">
        <f>'Öko-WW-Futter'!$R$19</f>
        <v>417</v>
      </c>
      <c r="DC23" s="975">
        <f>'Öko-WW-Brot'!$R$19</f>
        <v>417</v>
      </c>
      <c r="DD23" s="975">
        <f>'Öko-Di'!$R$19</f>
        <v>417</v>
      </c>
      <c r="DE23" s="975" t="e">
        <f>'Öko-Dinkel,gegerbt'!$R$19</f>
        <v>#N/A</v>
      </c>
      <c r="DF23" s="975">
        <f>'Öko-Ro'!$R$19</f>
        <v>417</v>
      </c>
      <c r="DG23" s="975">
        <f>'Öko-Ha'!$R$19</f>
        <v>417</v>
      </c>
      <c r="DH23" s="975">
        <f>'Öko-Wg'!$R$19</f>
        <v>417</v>
      </c>
      <c r="DI23" s="975">
        <f>'Öko-Bg'!$R$19</f>
        <v>417</v>
      </c>
      <c r="DJ23" s="975">
        <f>'Öko-KöM'!$R$19</f>
        <v>417</v>
      </c>
      <c r="DK23" s="975">
        <f>'Öko-Ab'!$R$19</f>
        <v>417</v>
      </c>
      <c r="DL23" s="975">
        <f>'Öko-FE'!R19</f>
        <v>417</v>
      </c>
      <c r="DM23" s="975">
        <f>'Öko-Soja'!R19</f>
        <v>417</v>
      </c>
      <c r="DN23" s="975" t="e">
        <f>'Öko-Soblu'!$R$19</f>
        <v>#N/A</v>
      </c>
      <c r="DO23" s="975">
        <f>'Öko-Raps'!$R$19</f>
        <v>417</v>
      </c>
      <c r="DP23" s="975">
        <f>'Öko-Ka'!R19</f>
        <v>417</v>
      </c>
      <c r="DQ23" s="975">
        <f>'Öko-Lu'!R19</f>
        <v>417</v>
      </c>
      <c r="DR23" s="975">
        <f>Begrün.!R19</f>
        <v>177</v>
      </c>
      <c r="DS23" s="975">
        <f>Blühm.!$R$19</f>
        <v>177</v>
      </c>
      <c r="DT23" s="893"/>
      <c r="DU23" s="975">
        <f>'Öko-KG1'!$S$19</f>
        <v>417</v>
      </c>
      <c r="DV23" s="975">
        <f>'Öko-KG2'!$S$19</f>
        <v>417</v>
      </c>
      <c r="DW23" s="975">
        <f>'Öko-LU1'!$S$19</f>
        <v>417</v>
      </c>
      <c r="DX23" s="975">
        <f>'Öko-LU2'!$S$19</f>
        <v>417</v>
      </c>
      <c r="DY23" s="976">
        <f>'Öko-WW-Futter'!S19</f>
        <v>417</v>
      </c>
      <c r="DZ23" s="975">
        <f>'Öko-WW-Brot'!S19</f>
        <v>417</v>
      </c>
      <c r="EA23" s="975">
        <f>'Öko-Di'!S19</f>
        <v>417</v>
      </c>
      <c r="EB23" s="975" t="e">
        <f>'Öko-Dinkel,gegerbt'!$S$19</f>
        <v>#N/A</v>
      </c>
      <c r="EC23" s="975">
        <f>'Öko-Ro'!S19</f>
        <v>417</v>
      </c>
      <c r="ED23" s="975">
        <f>'Öko-Ha'!S19</f>
        <v>417</v>
      </c>
      <c r="EE23" s="975">
        <f>'Öko-Wg'!S19</f>
        <v>417</v>
      </c>
      <c r="EF23" s="975">
        <f>'Öko-Bg'!S19</f>
        <v>417</v>
      </c>
      <c r="EG23" s="975">
        <f>'Öko-KöM'!S19</f>
        <v>417</v>
      </c>
      <c r="EH23" s="975">
        <f>'Öko-Ab'!S19</f>
        <v>417</v>
      </c>
      <c r="EI23" s="975">
        <f>'Öko-FE'!S19</f>
        <v>417</v>
      </c>
      <c r="EJ23" s="975">
        <f>'Öko-Soja'!S19</f>
        <v>417</v>
      </c>
      <c r="EK23" s="975" t="e">
        <f>'Öko-Soblu'!$S$19</f>
        <v>#N/A</v>
      </c>
      <c r="EL23" s="975">
        <f>'Öko-Raps'!$S$19</f>
        <v>417</v>
      </c>
      <c r="EM23" s="975">
        <f>'Öko-Ka'!S19</f>
        <v>417</v>
      </c>
      <c r="EN23" s="975">
        <f>'Öko-Lu'!S19</f>
        <v>417</v>
      </c>
      <c r="EO23" s="975">
        <f>Begrün.!S19</f>
        <v>177</v>
      </c>
      <c r="EP23" s="975">
        <f>Blühm.!$S$19</f>
        <v>177</v>
      </c>
      <c r="EQ23" s="893"/>
      <c r="ER23" s="975">
        <f>'Öko-KG1'!$T$19</f>
        <v>417</v>
      </c>
      <c r="ES23" s="975">
        <f>'Öko-KG2'!$T$19</f>
        <v>417</v>
      </c>
      <c r="ET23" s="975">
        <f>'Öko-LU1'!$T$19</f>
        <v>417</v>
      </c>
      <c r="EU23" s="975">
        <f>'Öko-LU2'!$T$19</f>
        <v>417</v>
      </c>
      <c r="EV23" s="976">
        <f>'Öko-WW-Futter'!T19</f>
        <v>417</v>
      </c>
      <c r="EW23" s="975">
        <f>'Öko-WW-Brot'!T19</f>
        <v>417</v>
      </c>
      <c r="EX23" s="975">
        <f>'Öko-Di'!T19</f>
        <v>417</v>
      </c>
      <c r="EY23" s="975" t="e">
        <f>'Öko-Dinkel,gegerbt'!$T$19</f>
        <v>#N/A</v>
      </c>
      <c r="EZ23" s="975">
        <f>'Öko-Ro'!T19</f>
        <v>417</v>
      </c>
      <c r="FA23" s="975">
        <f>'Öko-Ha'!T19</f>
        <v>417</v>
      </c>
      <c r="FB23" s="975">
        <f>'Öko-Wg'!T19</f>
        <v>417</v>
      </c>
      <c r="FC23" s="975">
        <f>'Öko-Bg'!T19</f>
        <v>417</v>
      </c>
      <c r="FD23" s="975">
        <f>'Öko-KöM'!T19</f>
        <v>417</v>
      </c>
      <c r="FE23" s="975">
        <f>'Öko-Ab'!T19</f>
        <v>417</v>
      </c>
      <c r="FF23" s="975">
        <f>'Öko-FE'!T19</f>
        <v>417</v>
      </c>
      <c r="FG23" s="975">
        <f>'Öko-Soja'!T19</f>
        <v>417</v>
      </c>
      <c r="FH23" s="975" t="e">
        <f>'Öko-Soblu'!$T$19</f>
        <v>#N/A</v>
      </c>
      <c r="FI23" s="975">
        <f>'Öko-Raps'!$T$19</f>
        <v>417</v>
      </c>
      <c r="FJ23" s="975">
        <f>'Öko-Ka'!T19</f>
        <v>417</v>
      </c>
      <c r="FK23" s="975">
        <f>'Öko-Lu'!T19</f>
        <v>417</v>
      </c>
      <c r="FL23" s="975">
        <f>Begrün.!T19</f>
        <v>177</v>
      </c>
      <c r="FM23" s="975">
        <f>Blühm.!$T$19</f>
        <v>177</v>
      </c>
    </row>
    <row r="24" spans="1:169" ht="16.2" customHeight="1">
      <c r="A24" s="899">
        <f>ROWS($A$1:A24)</f>
        <v>24</v>
      </c>
      <c r="B24" s="945" t="s">
        <v>814</v>
      </c>
      <c r="C24" s="915"/>
      <c r="D24" s="2627">
        <f>D21*'SDK1'!$O$59%*'WW1'!$G$75/12</f>
        <v>12.608110704379165</v>
      </c>
      <c r="E24" s="904">
        <f>E21*'SDK1'!$O$59%*'WW2'!$G$75/12</f>
        <v>14.655601036999998</v>
      </c>
      <c r="F24" s="904">
        <f>F21*'SDK1'!$O$59%*'WW-A'!$G$75/12</f>
        <v>15.123585154478889</v>
      </c>
      <c r="G24" s="904">
        <f>G21*'SDK1'!$O$59%*'WW-E'!$G$75/12</f>
        <v>15.394228023782221</v>
      </c>
      <c r="H24" s="904">
        <f>H21*'SDK1'!$O$59%*WRo!$G$75/12</f>
        <v>11.461198964104165</v>
      </c>
      <c r="I24" s="904">
        <f>I21*'SDK1'!$O$59%*Tr!$G$75/12</f>
        <v>13.64090683558225</v>
      </c>
      <c r="J24" s="904">
        <f>J21*'SDK1'!$O$59%*WG!$G$75/12</f>
        <v>13.407377068300832</v>
      </c>
      <c r="K24" s="904">
        <f>K21*'SDK1'!$O$59%*Di!$G$75/12</f>
        <v>13.951276691384665</v>
      </c>
      <c r="L24" s="904">
        <f>L21*'SDK1'!$O$59%*SW!$G$75/12</f>
        <v>8.2389465455066659</v>
      </c>
      <c r="M24" s="904">
        <f>M21*'SDK1'!$O$59%*'SG-Fu'!$G$75/12</f>
        <v>8.7038705350333334</v>
      </c>
      <c r="N24" s="904">
        <f>N21*'SDK1'!$O$59%*BG!$G$75/12</f>
        <v>8.8204592568916667</v>
      </c>
      <c r="O24" s="904">
        <f>O21*'SDK1'!$O$59%*Ha!$G$75/12</f>
        <v>7.8594276482708336</v>
      </c>
      <c r="P24" s="904">
        <f>P21*'SDK1'!$O$59%*Du!$G$75/12</f>
        <v>9.5021310480866674</v>
      </c>
      <c r="Q24" s="904">
        <f>Q21*'SDK1'!$O$59%*KöM!$G$75/12</f>
        <v>9.9094926246333337</v>
      </c>
      <c r="R24" s="904" t="e">
        <f>R21*'SDK1'!$O$59%*KH!$G$75/12</f>
        <v>#VALUE!</v>
      </c>
      <c r="S24" s="904">
        <f>S21*'SDK1'!$O$59%*WR!$G$75/12</f>
        <v>12.005144103166666</v>
      </c>
      <c r="T24" s="904">
        <f>T21*'SDK1'!$O$59%*SR!$G$75/12</f>
        <v>7.0764720248666668</v>
      </c>
      <c r="U24" s="904">
        <f>U21*'SDK1'!$O$59%*SoBl!$G$75/12</f>
        <v>6.9763392635833341</v>
      </c>
      <c r="V24" s="904">
        <f>V21*'SDK1'!$O$59%*Soja!$G$75/12</f>
        <v>7.6048221549444461</v>
      </c>
      <c r="W24" s="904" t="e">
        <f>W21*'SDK1'!$O$59%*Öl!$G$75/12</f>
        <v>#VALUE!</v>
      </c>
      <c r="X24" s="904">
        <f>X21*'SDK1'!$O$59%*FE!$G$75/12</f>
        <v>5.5598988216111112</v>
      </c>
      <c r="Y24" s="904">
        <f>Y21*'SDK1'!$O$59%*AB!$G$75/12</f>
        <v>5.7433988216111125</v>
      </c>
      <c r="Z24" s="904" t="e">
        <f>Z21*'SDK1'!$O$59%*Lu!$G$75/12</f>
        <v>#VALUE!</v>
      </c>
      <c r="AA24" s="904">
        <f>AA21*'SDK1'!$O$59%*ZR!$G$75/12</f>
        <v>13.444045283500001</v>
      </c>
      <c r="AB24" s="904">
        <f>AB21*'SDK1'!$O$59%*FrühKa!$G$75/12</f>
        <v>80.287209383595226</v>
      </c>
      <c r="AC24" s="904" t="e">
        <f>AC21*'SDK1'!$O$59%*FrühKaFolieBer!$G$75/12</f>
        <v>#VALUE!</v>
      </c>
      <c r="AD24" s="904">
        <f>AD21*'SDK1'!$O$59%*SpKa!$G$75/12</f>
        <v>54.54660922719048</v>
      </c>
      <c r="AE24" s="904">
        <f>AE21*'SDK1'!$O$59%*SpKaBer!$G$75/12</f>
        <v>62.744576153595233</v>
      </c>
      <c r="AF24" s="904">
        <f>AF21*'SDK1'!$O$59%*Vorlage!$G$75/12</f>
        <v>0</v>
      </c>
      <c r="AG24" s="904">
        <f>AG21*'SDK1'!$O$59%*'FAKT-Brachebegrünung'!$G$75/12</f>
        <v>2.3517061358333331</v>
      </c>
      <c r="AH24" s="904">
        <f>AH21*'SDK1'!$O$59%*Begr!$G$75/12</f>
        <v>1.37324659825</v>
      </c>
      <c r="AI24" s="901"/>
      <c r="AJ24" s="902">
        <f>AJ21*'SDK1'!$O$59%*'WW1'!$G$75/12</f>
        <v>14.864146192583332</v>
      </c>
      <c r="AK24" s="904">
        <f>AK21*'SDK1'!$O$59%*'WW2'!$G$75/12</f>
        <v>17.208934695166665</v>
      </c>
      <c r="AL24" s="904">
        <f>AL21*'SDK1'!$O$59%*'WW-A'!$G$75/12</f>
        <v>17.428995294464443</v>
      </c>
      <c r="AM24" s="904">
        <f>AM21*'SDK1'!$O$59%*'WW-E'!$G$75/12</f>
        <v>17.607541342424444</v>
      </c>
      <c r="AN24" s="904">
        <f>AN21*'SDK1'!$O$59%*WRo!$G$75/12</f>
        <v>13.073191971272221</v>
      </c>
      <c r="AO24" s="904">
        <f>AO21*'SDK1'!$O$59%*Tr!$G$75/12</f>
        <v>15.821580244354111</v>
      </c>
      <c r="AP24" s="904">
        <f>AP21*'SDK1'!$O$59%*WG!$G$75/12</f>
        <v>15.349739861967777</v>
      </c>
      <c r="AQ24" s="904">
        <f>AQ21*'SDK1'!$O$59%*Di!$G$75/12</f>
        <v>16.117993901012884</v>
      </c>
      <c r="AR24" s="904">
        <f>AR21*'SDK1'!$O$59%*SW!$G$75/12</f>
        <v>9.7765092965644431</v>
      </c>
      <c r="AS24" s="904">
        <f>AS21*'SDK1'!$O$59%*'SG-Fu'!$G$75/12</f>
        <v>9.8850385048222247</v>
      </c>
      <c r="AT24" s="904">
        <f>AT21*'SDK1'!$O$59%*BG!$G$75/12</f>
        <v>9.583762063830557</v>
      </c>
      <c r="AU24" s="904">
        <f>AU21*'SDK1'!$O$59%*Ha!$G$75/12</f>
        <v>9.2842662033611116</v>
      </c>
      <c r="AV24" s="904">
        <f>AV21*'SDK1'!$O$59%*Du!$G$75/12</f>
        <v>10.723833497004447</v>
      </c>
      <c r="AW24" s="904">
        <f>AW21*'SDK1'!$O$59%*KöM!$G$75/12</f>
        <v>11.29589952351111</v>
      </c>
      <c r="AX24" s="904" t="e">
        <f>AX21*'SDK1'!$O$59%*KH!$G$75/12</f>
        <v>#VALUE!</v>
      </c>
      <c r="AY24" s="904">
        <f>AY21*'SDK1'!$O$59%*WR!$G$75/12</f>
        <v>13.619818694844447</v>
      </c>
      <c r="AZ24" s="904">
        <f>AZ21*'SDK1'!$O$59%*SR!$G$75/12</f>
        <v>7.860157353822224</v>
      </c>
      <c r="BA24" s="904">
        <f>BA21*'SDK1'!$O$59%*SoBl!$G$75/12</f>
        <v>7.7193426178888904</v>
      </c>
      <c r="BB24" s="904">
        <f>BB21*'SDK1'!$O$59%*Soja!$G$75/12</f>
        <v>7.9859899117666666</v>
      </c>
      <c r="BC24" s="904" t="e">
        <f>BC21*'SDK1'!$O$59%*Öl!$G$75/12</f>
        <v>#VALUE!</v>
      </c>
      <c r="BD24" s="904">
        <f>BD21*'SDK1'!$O$59%*FE!$G$75/12</f>
        <v>6.0035360386111103</v>
      </c>
      <c r="BE24" s="904">
        <f>BE21*'SDK1'!$O$59%*AB!$G$75/12</f>
        <v>6.3348693719444436</v>
      </c>
      <c r="BF24" s="904" t="e">
        <f>BF21*'SDK1'!$O$59%*Lu!$G$75/12</f>
        <v>#VALUE!</v>
      </c>
      <c r="BG24" s="904">
        <f>BG21*'SDK1'!$O$59%*ZR!$G$75/12</f>
        <v>14.636180783499997</v>
      </c>
      <c r="BH24" s="904">
        <f>BH21*'SDK1'!$O$59%*FrühKa!$G$75/12</f>
        <v>81.919486316738102</v>
      </c>
      <c r="BI24" s="904" t="e">
        <f>BI21*'SDK1'!$O$59%*FrühKaFolieBer!$G$75/12</f>
        <v>#VALUE!</v>
      </c>
      <c r="BJ24" s="904">
        <f>BJ21*'SDK1'!$O$59%*SpKa!$G$75/12</f>
        <v>55.862021925476199</v>
      </c>
      <c r="BK24" s="904">
        <f>BK21*'SDK1'!$O$59%*SpKaBer!$G$75/12</f>
        <v>63.550327862928576</v>
      </c>
      <c r="BL24" s="904">
        <v>0</v>
      </c>
      <c r="BM24" s="904">
        <f>BM21*'SDK1'!$O$59%*'FAKT-Brachebegrünung'!$G$75/12</f>
        <v>2.3517061358333331</v>
      </c>
      <c r="BN24" s="904">
        <f>BN21*'SDK1'!$O$59%*Begr!$G$75/12</f>
        <v>1.37324659825</v>
      </c>
      <c r="BO24" s="901"/>
      <c r="BP24" s="902">
        <f>BP21*'SDK1'!$O$59%*'WW1'!$G$75/12</f>
        <v>18.785225425487496</v>
      </c>
      <c r="BQ24" s="904">
        <f>BQ21*'SDK1'!$O$59%*'WW2'!$G$75/12</f>
        <v>19.600466270000002</v>
      </c>
      <c r="BR24" s="904">
        <f>BR21*'SDK1'!$O$59%*'WW-A'!$G$75/12</f>
        <v>19.70821972404444</v>
      </c>
      <c r="BS24" s="904">
        <f>BS21*'SDK1'!$O$59%*'WW-E'!$G$75/12</f>
        <v>19.846002283994444</v>
      </c>
      <c r="BT24" s="904">
        <f>BT21*'SDK1'!$O$59%*WRo!$G$75/12</f>
        <v>14.930924931406944</v>
      </c>
      <c r="BU24" s="904">
        <f>BU21*'SDK1'!$O$59%*Tr!$G$75/12</f>
        <v>18.045891528059304</v>
      </c>
      <c r="BV24" s="904">
        <f>BV21*'SDK1'!$O$59%*WG!$G$75/12</f>
        <v>18.008440530568055</v>
      </c>
      <c r="BW24" s="904">
        <f>BW21*'SDK1'!$O$59%*Di!$G$75/12</f>
        <v>17.999923235707779</v>
      </c>
      <c r="BX24" s="904">
        <f>BX21*'SDK1'!$O$59%*SW!$G$75/12</f>
        <v>10.387572047622221</v>
      </c>
      <c r="BY24" s="904">
        <f>BY21*'SDK1'!$O$59%*'SG-Fu'!$G$75/12</f>
        <v>11.066206474611112</v>
      </c>
      <c r="BZ24" s="904">
        <f>BZ21*'SDK1'!$O$59%*BG!$G$75/12</f>
        <v>10.347064870769445</v>
      </c>
      <c r="CA24" s="904">
        <f>CA21*'SDK1'!$O$59%*Ha!$G$75/12</f>
        <v>10.609184847784723</v>
      </c>
      <c r="CB24" s="904">
        <f>CB21*'SDK1'!$O$59%*Du!$G$75/12</f>
        <v>11.945535945922224</v>
      </c>
      <c r="CC24" s="904">
        <f>CC21*'SDK1'!$O$59%*KöM!$G$75/12</f>
        <v>12.682306422388889</v>
      </c>
      <c r="CD24" s="904" t="e">
        <f>CD21*'SDK1'!$O$59%*KH!$G$75/12</f>
        <v>#VALUE!</v>
      </c>
      <c r="CE24" s="904">
        <f>CE21*'SDK1'!$O$59%*WR!$G$75/12</f>
        <v>14.908024541822222</v>
      </c>
      <c r="CF24" s="904">
        <f>CF21*'SDK1'!$O$59%*SR!$G$75/12</f>
        <v>8.4106507222777793</v>
      </c>
      <c r="CG24" s="904">
        <f>CG21*'SDK1'!$O$59%*SoBl!$G$75/12</f>
        <v>8.462345972194445</v>
      </c>
      <c r="CH24" s="904">
        <f>CH21*'SDK1'!$O$59%*Soja!$G$75/12</f>
        <v>8.367157668588888</v>
      </c>
      <c r="CI24" s="904" t="e">
        <f>CI21*'SDK1'!$O$59%*Öl!$G$75/12</f>
        <v>#VALUE!</v>
      </c>
      <c r="CJ24" s="904">
        <f>CJ21*'SDK1'!$O$59%*FE!$G$75/12</f>
        <v>6.6805065889444455</v>
      </c>
      <c r="CK24" s="904">
        <f>CK21*'SDK1'!$O$59%*AB!$G$75/12</f>
        <v>7.118839922277779</v>
      </c>
      <c r="CL24" s="904" t="e">
        <f>CL21*'SDK1'!$O$59%*Lu!$G$75/12</f>
        <v>#VALUE!</v>
      </c>
      <c r="CM24" s="904">
        <f>CM21*'SDK1'!$O$59%*ZR!$G$75/12</f>
        <v>16.269930243999998</v>
      </c>
      <c r="CN24" s="904">
        <f>CN21*'SDK1'!$O$59%*FrühKa!$G$75/12</f>
        <v>83.551763249880949</v>
      </c>
      <c r="CO24" s="904" t="e">
        <f>CO21*'SDK1'!$O$59%*FrühKaFolieBer!$G$75/12</f>
        <v>#VALUE!</v>
      </c>
      <c r="CP24" s="904">
        <f>CP21*'SDK1'!$O$59%*SpKa!$G$75/12</f>
        <v>57.350684623761907</v>
      </c>
      <c r="CQ24" s="904">
        <f>CQ21*'SDK1'!$O$59%*SpKaBer!$G$75/12</f>
        <v>64.466721396642853</v>
      </c>
      <c r="CR24" s="904">
        <f>CR21*'SDK1'!$O$59%*Vorlage!$G$75/12</f>
        <v>0</v>
      </c>
      <c r="CS24" s="904">
        <f>CS21*'SDK1'!$O$59%*'FAKT-Brachebegrünung'!$G$75/12</f>
        <v>2.3517061358333331</v>
      </c>
      <c r="CT24" s="904">
        <f>CT21*'SDK1'!$O$59%*Begr!$G$75/12</f>
        <v>1.37324659825</v>
      </c>
      <c r="CV24" s="945" t="s">
        <v>814</v>
      </c>
      <c r="CW24" s="915"/>
      <c r="CX24" s="2627">
        <f>CX21*SDÖ1!$O$72%*'Öko-KG1'!$G$75/12</f>
        <v>-1.3581762822833336</v>
      </c>
      <c r="CY24" s="904">
        <f>CY21*SDÖ1!$O$72%*'Öko-KG2'!$G$75/12</f>
        <v>-1.360212967283333</v>
      </c>
      <c r="CZ24" s="904">
        <f>CZ21*SDÖ1!$O$72%*'Öko-LU1'!$G$75/12</f>
        <v>-1.3762596156166664</v>
      </c>
      <c r="DA24" s="904">
        <f>DA21*SDÖ1!$O$72%*'Öko-LU2'!$G$75/12</f>
        <v>-2.7299963006166661</v>
      </c>
      <c r="DB24" s="904">
        <f>DB21*SDÖ1!$O$72%*'Öko-WW-Futter'!$G$75/12</f>
        <v>14.031315042033334</v>
      </c>
      <c r="DC24" s="904">
        <f>DC21*SDÖ1!$O$72%*'Öko-WW-Brot'!$G$75/12</f>
        <v>13.842020405500001</v>
      </c>
      <c r="DD24" s="904">
        <f>DD21*SDÖ1!$O$72%*'Öko-Ro'!$G$75/12</f>
        <v>13.668294405500001</v>
      </c>
      <c r="DE24" s="904" t="e">
        <f>DE21*SDÖ1!$O$72%*'Öko-Dinkel,gegerbt'!$G$75/12</f>
        <v>#N/A</v>
      </c>
      <c r="DF24" s="904">
        <f>DF21*SDÖ1!$O$72%*'Öko-Ro'!$G$75/12</f>
        <v>13.314427038266665</v>
      </c>
      <c r="DG24" s="904">
        <f>DG21*SDÖ1!$O$72%*'Öko-Ha'!$G$75/12</f>
        <v>10.311660027333334</v>
      </c>
      <c r="DH24" s="904">
        <f>DH21*SDÖ1!$O$72%*'Öko-Wg'!$G$75/12</f>
        <v>13.867351124316668</v>
      </c>
      <c r="DI24" s="904">
        <f>DI21*SDÖ1!$O$72%*'Öko-Bg'!$G$75/12</f>
        <v>8.0587062399444438</v>
      </c>
      <c r="DJ24" s="904">
        <f>DJ21*SDÖ1!$O$72%*'Öko-KöM'!$G$75/12</f>
        <v>12.205030584833333</v>
      </c>
      <c r="DK24" s="904">
        <f>DK21*SDÖ1!$O$72%*'Öko-Ab'!$G$75/12</f>
        <v>6.1444602396666674</v>
      </c>
      <c r="DL24" s="904">
        <f>DL21*SDÖ1!$O$72%*'Öko-FE'!$G$75/12</f>
        <v>5.9341200364166653</v>
      </c>
      <c r="DM24" s="904">
        <f>DM21*SDÖ1!$O$72%*'Öko-FE'!$G$75/12</f>
        <v>8.2230583754444471</v>
      </c>
      <c r="DN24" s="904" t="e">
        <f>DN21*SDÖ1!$O$72%*'Öko-Soblu'!$G$75/12</f>
        <v>#N/A</v>
      </c>
      <c r="DO24" s="904" t="e">
        <f>DO21*SDÖ1!$O$72%*'Öko-Raps'!$G$75/12</f>
        <v>#N/A</v>
      </c>
      <c r="DP24" s="904">
        <f>DP21*SDÖ1!$O$72%*'Öko-Ka'!$G$75/12</f>
        <v>69.184718868809526</v>
      </c>
      <c r="DQ24" s="904">
        <f>DQ21*SDÖ1!$O$72%*'Öko-Lu'!$G$75/12</f>
        <v>6.0014566687500013</v>
      </c>
      <c r="DR24" s="904">
        <f>DR21*SDÖ1!$O$72%*Begrün.!$G$75/12</f>
        <v>2.8096604166666665</v>
      </c>
      <c r="DS24" s="904">
        <f>DS21*SDÖ1!$O$72%*Blühm.!$G$75/12</f>
        <v>3.9608511815833332</v>
      </c>
      <c r="DT24" s="893"/>
      <c r="DU24" s="904">
        <f>DU21*SDÖ1!$O$72%*'Öko-KG1'!$G$75/12</f>
        <v>-4.2589762822833332</v>
      </c>
      <c r="DV24" s="904">
        <f>DV21*SDÖ1!$O$72%*'Öko-KG2'!$G$75/12</f>
        <v>-3.1127796339499998</v>
      </c>
      <c r="DW24" s="904">
        <f>DW21*SDÖ1!$O$72%*'Öko-LU1'!$G$75/12</f>
        <v>-3.7935929489499993</v>
      </c>
      <c r="DX24" s="904">
        <f>DX21*SDÖ1!$O$72%*'Öko-LU2'!$G$75/12</f>
        <v>-4.4825629672833331</v>
      </c>
      <c r="DY24" s="902">
        <f>DY21*SDÖ1!$O$72%*'Öko-WW-Futter'!$G$75/12</f>
        <v>16.226143892777777</v>
      </c>
      <c r="DZ24" s="904">
        <f>DZ21*SDÖ1!$O$72%*'Öko-WW-Brot'!$G$75/12</f>
        <v>16.053421252477779</v>
      </c>
      <c r="EA24" s="904">
        <f>EA21*SDÖ1!$O$72%*'Öko-Di'!$G$75/12</f>
        <v>15.728453252477777</v>
      </c>
      <c r="EB24" s="904" t="e">
        <f>EB21*SDÖ1!$O$72%*'Öko-Dinkel,gegerbt'!$G$75/12</f>
        <v>#N/A</v>
      </c>
      <c r="EC24" s="904">
        <f>EC21*SDÖ1!$O$72%*'Öko-Ro'!$G$75/12</f>
        <v>15.670612222815278</v>
      </c>
      <c r="ED24" s="904">
        <f>ED21*SDÖ1!$O$72%*'Öko-Ha'!$G$75/12</f>
        <v>12.065101111534721</v>
      </c>
      <c r="EE24" s="904">
        <f>EE21*SDÖ1!$O$72%*'Öko-Wg'!$G$75/12</f>
        <v>16.949362889481947</v>
      </c>
      <c r="EF24" s="904">
        <f>EF21*SDÖ1!$O$72%*'Öko-Bg'!$G$75/12</f>
        <v>11.122922118597224</v>
      </c>
      <c r="EG24" s="904">
        <f>EG21*SDÖ1!$O$72%*'Öko-KöM'!$G$75/12</f>
        <v>14.120587060222221</v>
      </c>
      <c r="EH24" s="904">
        <f>EH21*SDÖ1!$O$72%*'Öko-Ab'!$G$75/12</f>
        <v>6.376385468972221</v>
      </c>
      <c r="EI24" s="904">
        <f>EI21*SDÖ1!$O$72%*'Öko-FE'!$G$75/12</f>
        <v>6.0981285990555536</v>
      </c>
      <c r="EJ24" s="904">
        <f>EJ21*SDÖ1!$O$72%*'Öko-Soja'!$G$75/12</f>
        <v>8.5600835588888913</v>
      </c>
      <c r="EK24" s="904" t="e">
        <f>EK21*SDÖ1!$O$72%*'Öko-Soblu'!$G$75/12</f>
        <v>#N/A</v>
      </c>
      <c r="EL24" s="904" t="e">
        <f>EL21*SDÖ1!$O$72%*'Öko-Raps'!$G$75/12</f>
        <v>#N/A</v>
      </c>
      <c r="EM24" s="904">
        <f>EM21*SDÖ1!$O$72%*'Öko-Ka'!$G$75/12</f>
        <v>71.132250566428567</v>
      </c>
      <c r="EN24" s="904">
        <f>EN21*SDÖ1!$O$72%*'Öko-Lu'!$G$75/12</f>
        <v>6.2458885188611113</v>
      </c>
      <c r="EO24" s="904">
        <f>EO21*SDÖ1!$O$72%*Begrün.!$G$75/12</f>
        <v>2.8096604166666665</v>
      </c>
      <c r="EP24" s="904">
        <f>EP21*SDÖ1!$O$72%*Blühm.!$G$75/12</f>
        <v>3.9608511815833332</v>
      </c>
      <c r="EQ24" s="893"/>
      <c r="ER24" s="904">
        <f>ER21*SDÖ1!$O$72%*'Öko-KG1'!$G$75/12</f>
        <v>-6.192842948950001</v>
      </c>
      <c r="ES24" s="904">
        <f>ES21*SDÖ1!$O$72%*'Öko-KG2'!$G$75/12</f>
        <v>-4.8653463006166655</v>
      </c>
      <c r="ET24" s="904">
        <f>ET21*SDÖ1!$O$72%*'Öko-LU1'!$G$75/12</f>
        <v>-6.2109262822833342</v>
      </c>
      <c r="EU24" s="904">
        <f>EU21*SDÖ1!$O$72%*'Öko-LU2'!$G$75/12</f>
        <v>-5.3588463006166656</v>
      </c>
      <c r="EV24" s="902">
        <f>EV21*SDÖ1!$O$72%*'Öko-WW-Futter'!$G$75/12</f>
        <v>22.666462482346663</v>
      </c>
      <c r="EW24" s="904">
        <f>EW21*SDÖ1!$O$72%*'Öko-WW-Brot'!$G$75/12</f>
        <v>20.476222946433328</v>
      </c>
      <c r="EX24" s="904">
        <f>EX21*SDÖ1!$O$72%*'Öko-Di'!$G$75/12</f>
        <v>16.758532675966666</v>
      </c>
      <c r="EY24" s="904" t="e">
        <f>EY21*SDÖ1!$O$72%*'Öko-Dinkel,gegerbt'!$G$75/12</f>
        <v>#N/A</v>
      </c>
      <c r="EZ24" s="904">
        <f>EZ21*SDÖ1!$O$72%*'Öko-Ro'!$G$75/12</f>
        <v>18.056014403126387</v>
      </c>
      <c r="FA24" s="904">
        <f>FA21*SDÖ1!$O$72%*'Öko-Ha'!$G$75/12</f>
        <v>13.839411478423608</v>
      </c>
      <c r="FB24" s="904">
        <f>FB21*SDÖ1!$O$72%*'Öko-Wg'!$G$75/12</f>
        <v>19.081036069793054</v>
      </c>
      <c r="FC24" s="904">
        <f>FC21*SDÖ1!$O$72%*'Öko-Bg'!$G$75/12</f>
        <v>11.356255451930558</v>
      </c>
      <c r="FD24" s="904">
        <f>FD21*SDÖ1!$O$72%*'Öko-KöM'!$G$75/12</f>
        <v>16.181976868944442</v>
      </c>
      <c r="FE24" s="904">
        <f>FE21*SDÖ1!$O$72%*'Öko-Ab'!$G$75/12</f>
        <v>6.6083106982777773</v>
      </c>
      <c r="FF24" s="904">
        <f>FF21*SDÖ1!$O$72%*'Öko-FE'!$G$75/12</f>
        <v>6.4275765891944436</v>
      </c>
      <c r="FG24" s="904">
        <f>FG21*SDÖ1!$O$72%*'Öko-Soja'!$G$75/12</f>
        <v>9.1801246332500011</v>
      </c>
      <c r="FH24" s="904" t="e">
        <f>FH21*SDÖ1!$O$72%*'Öko-Soblu'!$G$75/12</f>
        <v>#N/A</v>
      </c>
      <c r="FI24" s="904" t="e">
        <f>FI21*SDÖ1!$O$72%*'Öko-Raps'!$G$75/12</f>
        <v>#N/A</v>
      </c>
      <c r="FJ24" s="904">
        <f>FJ21*SDÖ1!$O$72%*'Öko-Ka'!$G$75/12</f>
        <v>73.079782264047637</v>
      </c>
      <c r="FK24" s="904">
        <f>FK21*SDÖ1!$O$72%*'Öko-Lu'!$G$75/12</f>
        <v>6.490320368972224</v>
      </c>
      <c r="FL24" s="904">
        <f>FL21*SDÖ1!$O$72%*Begrün.!$G$75/12</f>
        <v>2.8096604166666665</v>
      </c>
      <c r="FM24" s="904">
        <f>FM21*SDÖ1!$O$72%*Blühm.!$G$75/12</f>
        <v>3.9608511815833332</v>
      </c>
    </row>
    <row r="25" spans="1:169" ht="18" customHeight="1">
      <c r="A25" s="899">
        <f>ROWS($A$1:A25)</f>
        <v>25</v>
      </c>
      <c r="B25" s="942" t="s">
        <v>813</v>
      </c>
      <c r="C25" s="941"/>
      <c r="D25" s="939">
        <f t="shared" ref="D25:AH25" si="69">D22+D23-D24</f>
        <v>316.32168606312104</v>
      </c>
      <c r="E25" s="939">
        <f t="shared" si="69"/>
        <v>400.15002436300006</v>
      </c>
      <c r="F25" s="939">
        <f t="shared" si="69"/>
        <v>434.80911589018797</v>
      </c>
      <c r="G25" s="939">
        <f t="shared" si="69"/>
        <v>502.66051279488448</v>
      </c>
      <c r="H25" s="939">
        <f t="shared" si="69"/>
        <v>129.2753183983958</v>
      </c>
      <c r="I25" s="939">
        <f t="shared" si="69"/>
        <v>302.14600725736767</v>
      </c>
      <c r="J25" s="939">
        <f t="shared" si="69"/>
        <v>258.11387422019919</v>
      </c>
      <c r="K25" s="939">
        <f t="shared" si="69"/>
        <v>463.68500690421547</v>
      </c>
      <c r="L25" s="939">
        <f t="shared" si="69"/>
        <v>316.60746799369338</v>
      </c>
      <c r="M25" s="939">
        <f t="shared" si="69"/>
        <v>145.18166526096655</v>
      </c>
      <c r="N25" s="939">
        <f t="shared" si="69"/>
        <v>547.77442991610826</v>
      </c>
      <c r="O25" s="939">
        <f t="shared" si="69"/>
        <v>376.13425455922919</v>
      </c>
      <c r="P25" s="939">
        <f t="shared" si="69"/>
        <v>500.37714318151336</v>
      </c>
      <c r="Q25" s="939">
        <f t="shared" si="69"/>
        <v>352.40139241936674</v>
      </c>
      <c r="R25" s="939" t="e">
        <f t="shared" si="69"/>
        <v>#VALUE!</v>
      </c>
      <c r="S25" s="939">
        <f t="shared" si="69"/>
        <v>380.98250419683336</v>
      </c>
      <c r="T25" s="939">
        <f t="shared" si="69"/>
        <v>5.4968849911332649</v>
      </c>
      <c r="U25" s="939">
        <f t="shared" si="69"/>
        <v>17.237949106416515</v>
      </c>
      <c r="V25" s="939">
        <f t="shared" si="69"/>
        <v>76.816519251722113</v>
      </c>
      <c r="W25" s="939" t="e">
        <f>W22+W23-W24</f>
        <v>#VALUE!</v>
      </c>
      <c r="X25" s="939">
        <f t="shared" si="69"/>
        <v>-11.747757414944427</v>
      </c>
      <c r="Y25" s="939">
        <f t="shared" si="69"/>
        <v>-23.951257414944525</v>
      </c>
      <c r="Z25" s="939" t="e">
        <f t="shared" si="69"/>
        <v>#VALUE!</v>
      </c>
      <c r="AA25" s="939">
        <f t="shared" si="69"/>
        <v>1488.2605206964997</v>
      </c>
      <c r="AB25" s="939">
        <f t="shared" si="69"/>
        <v>3326.247664584977</v>
      </c>
      <c r="AC25" s="939" t="e">
        <f t="shared" si="69"/>
        <v>#VALUE!</v>
      </c>
      <c r="AD25" s="939">
        <f t="shared" si="69"/>
        <v>775.86028350995218</v>
      </c>
      <c r="AE25" s="939">
        <f t="shared" si="69"/>
        <v>6439.9062854149761</v>
      </c>
      <c r="AF25" s="939">
        <f t="shared" si="69"/>
        <v>0</v>
      </c>
      <c r="AG25" s="939">
        <f t="shared" si="69"/>
        <v>622.44355756416678</v>
      </c>
      <c r="AH25" s="939">
        <f t="shared" si="69"/>
        <v>110.83716161174999</v>
      </c>
      <c r="AI25" s="948"/>
      <c r="AJ25" s="940">
        <f t="shared" ref="AJ25:BN25" si="70">AJ22+AJ23-AJ24</f>
        <v>590.56618015741674</v>
      </c>
      <c r="AK25" s="939">
        <f t="shared" si="70"/>
        <v>676.73952000483325</v>
      </c>
      <c r="AL25" s="939">
        <f t="shared" si="70"/>
        <v>757.97712232286869</v>
      </c>
      <c r="AM25" s="939">
        <f t="shared" si="70"/>
        <v>864.2546293069089</v>
      </c>
      <c r="AN25" s="939">
        <f t="shared" si="70"/>
        <v>304.86749620539456</v>
      </c>
      <c r="AO25" s="939">
        <f t="shared" si="70"/>
        <v>549.05297023957917</v>
      </c>
      <c r="AP25" s="939">
        <f t="shared" si="70"/>
        <v>504.25827196936564</v>
      </c>
      <c r="AQ25" s="939">
        <f t="shared" si="70"/>
        <v>774.61967172645416</v>
      </c>
      <c r="AR25" s="939">
        <f t="shared" si="70"/>
        <v>509.4023751157024</v>
      </c>
      <c r="AS25" s="939">
        <f t="shared" si="70"/>
        <v>342.71034091651086</v>
      </c>
      <c r="AT25" s="939">
        <f t="shared" si="70"/>
        <v>776.01479027650271</v>
      </c>
      <c r="AU25" s="939">
        <f t="shared" si="70"/>
        <v>587.10378939330553</v>
      </c>
      <c r="AV25" s="939">
        <f t="shared" si="70"/>
        <v>843.59614686246221</v>
      </c>
      <c r="AW25" s="939">
        <f t="shared" si="70"/>
        <v>642.79615765515553</v>
      </c>
      <c r="AX25" s="939" t="e">
        <f t="shared" ref="AX25" si="71">AX22+AX23-AX24</f>
        <v>#VALUE!</v>
      </c>
      <c r="AY25" s="939">
        <f t="shared" si="70"/>
        <v>655.96715031848873</v>
      </c>
      <c r="AZ25" s="939">
        <f t="shared" si="70"/>
        <v>138.92096018751096</v>
      </c>
      <c r="BA25" s="939">
        <f t="shared" si="70"/>
        <v>155.45954323544433</v>
      </c>
      <c r="BB25" s="939">
        <f t="shared" si="70"/>
        <v>317.6952206762333</v>
      </c>
      <c r="BC25" s="939" t="e">
        <f t="shared" ref="BC25" si="72">BC22+BC23-BC24</f>
        <v>#VALUE!</v>
      </c>
      <c r="BD25" s="939">
        <f t="shared" si="70"/>
        <v>297.57213932805558</v>
      </c>
      <c r="BE25" s="939">
        <f t="shared" si="70"/>
        <v>274.9808059947224</v>
      </c>
      <c r="BF25" s="939" t="e">
        <f t="shared" si="70"/>
        <v>#VALUE!</v>
      </c>
      <c r="BG25" s="939">
        <f t="shared" si="70"/>
        <v>2808.2221251965002</v>
      </c>
      <c r="BH25" s="939">
        <f t="shared" si="70"/>
        <v>7416.7421556746904</v>
      </c>
      <c r="BI25" s="939" t="e">
        <f t="shared" si="70"/>
        <v>#VALUE!</v>
      </c>
      <c r="BJ25" s="939">
        <f t="shared" si="70"/>
        <v>1709.6953470173812</v>
      </c>
      <c r="BK25" s="939">
        <f t="shared" si="70"/>
        <v>7862.4103285856427</v>
      </c>
      <c r="BL25" s="939">
        <f t="shared" si="70"/>
        <v>0</v>
      </c>
      <c r="BM25" s="939">
        <f t="shared" si="70"/>
        <v>622.44355756416678</v>
      </c>
      <c r="BN25" s="939">
        <f t="shared" si="70"/>
        <v>110.83716161174999</v>
      </c>
      <c r="BO25" s="948"/>
      <c r="BP25" s="940">
        <f t="shared" ref="BP25:CT25" si="73">BP22+BP23-BP24</f>
        <v>720.42759524701262</v>
      </c>
      <c r="BQ25" s="939">
        <f t="shared" si="73"/>
        <v>967.35956773000021</v>
      </c>
      <c r="BR25" s="939">
        <f t="shared" si="73"/>
        <v>1083.415803929289</v>
      </c>
      <c r="BS25" s="939">
        <f t="shared" si="73"/>
        <v>1223.6680876593389</v>
      </c>
      <c r="BT25" s="939">
        <f t="shared" si="73"/>
        <v>459.15050951942635</v>
      </c>
      <c r="BU25" s="939">
        <f t="shared" si="73"/>
        <v>792.17590606685724</v>
      </c>
      <c r="BV25" s="939">
        <f t="shared" si="73"/>
        <v>688.28594256359872</v>
      </c>
      <c r="BW25" s="939">
        <f t="shared" si="73"/>
        <v>1110.2495137036256</v>
      </c>
      <c r="BX25" s="939">
        <f t="shared" si="73"/>
        <v>814.30378223771106</v>
      </c>
      <c r="BY25" s="939">
        <f t="shared" si="73"/>
        <v>540.23901657205556</v>
      </c>
      <c r="BZ25" s="939">
        <f t="shared" si="73"/>
        <v>1004.2551506368972</v>
      </c>
      <c r="CA25" s="939">
        <f t="shared" si="73"/>
        <v>810.16363341804868</v>
      </c>
      <c r="CB25" s="939">
        <f t="shared" si="73"/>
        <v>1186.8151505434107</v>
      </c>
      <c r="CC25" s="939">
        <f t="shared" si="73"/>
        <v>933.19092289094453</v>
      </c>
      <c r="CD25" s="939" t="e">
        <f t="shared" ref="CD25" si="74">CD22+CD23-CD24</f>
        <v>#VALUE!</v>
      </c>
      <c r="CE25" s="939">
        <f t="shared" si="73"/>
        <v>959.26130044484444</v>
      </c>
      <c r="CF25" s="939">
        <f t="shared" si="73"/>
        <v>300.56126260438873</v>
      </c>
      <c r="CG25" s="939">
        <f t="shared" si="73"/>
        <v>293.68113736447214</v>
      </c>
      <c r="CH25" s="939">
        <f t="shared" si="73"/>
        <v>558.57392210074443</v>
      </c>
      <c r="CI25" s="939" t="e">
        <f t="shared" ref="CI25" si="75">CI22+CI23-CI24</f>
        <v>#VALUE!</v>
      </c>
      <c r="CJ25" s="939">
        <f t="shared" si="73"/>
        <v>578.65870273772214</v>
      </c>
      <c r="CK25" s="939">
        <f t="shared" si="73"/>
        <v>550.62036940438895</v>
      </c>
      <c r="CL25" s="939" t="e">
        <f t="shared" si="73"/>
        <v>#VALUE!</v>
      </c>
      <c r="CM25" s="939">
        <f t="shared" si="73"/>
        <v>3742.9884404759996</v>
      </c>
      <c r="CN25" s="939">
        <f t="shared" si="73"/>
        <v>11507.236646764404</v>
      </c>
      <c r="CO25" s="939" t="e">
        <f t="shared" si="73"/>
        <v>#VALUE!</v>
      </c>
      <c r="CP25" s="939">
        <f t="shared" si="73"/>
        <v>3777.5671605248094</v>
      </c>
      <c r="CQ25" s="939">
        <f t="shared" si="73"/>
        <v>9236.5267110062159</v>
      </c>
      <c r="CR25" s="939">
        <f>CR22+CR23-CR24</f>
        <v>0</v>
      </c>
      <c r="CS25" s="939">
        <f t="shared" si="73"/>
        <v>622.44355756416678</v>
      </c>
      <c r="CT25" s="939">
        <f t="shared" si="73"/>
        <v>110.83716161174999</v>
      </c>
      <c r="CV25" s="942" t="s">
        <v>813</v>
      </c>
      <c r="CW25" s="941"/>
      <c r="CX25" s="939">
        <f>CX22+CX23-CX24</f>
        <v>534.77328619228331</v>
      </c>
      <c r="CY25" s="939">
        <f>CY22+CY23-CY24</f>
        <v>534.94989587728332</v>
      </c>
      <c r="CZ25" s="939">
        <f>CZ22+CZ23-CZ24</f>
        <v>536.34136952561653</v>
      </c>
      <c r="DA25" s="939">
        <f>DA22+DA23-DA24</f>
        <v>653.72967921061661</v>
      </c>
      <c r="DB25" s="939">
        <f t="shared" ref="DB25:DJ25" si="76">DB22+DB23-DB24</f>
        <v>390.98453849796675</v>
      </c>
      <c r="DC25" s="939">
        <f t="shared" si="76"/>
        <v>738.5990876945001</v>
      </c>
      <c r="DD25" s="939">
        <f>DD22+DD23-DD24</f>
        <v>822.96361369449971</v>
      </c>
      <c r="DE25" s="939" t="e">
        <f t="shared" si="76"/>
        <v>#N/A</v>
      </c>
      <c r="DF25" s="939">
        <f t="shared" si="76"/>
        <v>461.84896968173359</v>
      </c>
      <c r="DG25" s="939">
        <f t="shared" si="76"/>
        <v>725.68913669266658</v>
      </c>
      <c r="DH25" s="939">
        <f>DH22+DH23-DH24</f>
        <v>404.30255250568325</v>
      </c>
      <c r="DI25" s="939">
        <f t="shared" si="76"/>
        <v>511.45654496672222</v>
      </c>
      <c r="DJ25" s="939">
        <f t="shared" si="76"/>
        <v>702.09129923516684</v>
      </c>
      <c r="DK25" s="939">
        <f>DK22+DK23-DK24</f>
        <v>681.14531100033332</v>
      </c>
      <c r="DL25" s="939">
        <f t="shared" ref="DL25:DS25" si="77">DL22+DL23-DL24</f>
        <v>640.97147559358348</v>
      </c>
      <c r="DM25" s="939">
        <f t="shared" si="77"/>
        <v>995.40993657122203</v>
      </c>
      <c r="DN25" s="939" t="e">
        <f t="shared" si="77"/>
        <v>#N/A</v>
      </c>
      <c r="DO25" s="939" t="e">
        <f t="shared" si="77"/>
        <v>#N/A</v>
      </c>
      <c r="DP25" s="939">
        <f t="shared" si="77"/>
        <v>3171.1490168740479</v>
      </c>
      <c r="DQ25" s="939">
        <f t="shared" ref="DQ25" si="78">DQ22+DQ23-DQ24</f>
        <v>560.82374308124986</v>
      </c>
      <c r="DR25" s="939">
        <f t="shared" si="77"/>
        <v>-162.96891041666666</v>
      </c>
      <c r="DS25" s="939">
        <f t="shared" si="77"/>
        <v>-302.26299297158329</v>
      </c>
      <c r="DT25" s="893"/>
      <c r="DU25" s="939">
        <f>DU22+DU23-DU24</f>
        <v>786.31408619228341</v>
      </c>
      <c r="DV25" s="939">
        <f>DV22+DV23-DV24</f>
        <v>686.92246254395002</v>
      </c>
      <c r="DW25" s="939">
        <f>DW22+DW23-DW24</f>
        <v>745.95870285895001</v>
      </c>
      <c r="DX25" s="939">
        <f>DX22+DX23-DX24</f>
        <v>805.7022458772833</v>
      </c>
      <c r="DY25" s="940">
        <f t="shared" ref="DY25:EG25" si="79">DY22+DY23-DY24</f>
        <v>597.56152244055556</v>
      </c>
      <c r="DZ25" s="939">
        <f t="shared" si="79"/>
        <v>1054.1390428208556</v>
      </c>
      <c r="EA25" s="939">
        <f t="shared" si="79"/>
        <v>1174.7184108208555</v>
      </c>
      <c r="EB25" s="939" t="e">
        <f t="shared" si="79"/>
        <v>#N/A</v>
      </c>
      <c r="EC25" s="939">
        <f t="shared" si="79"/>
        <v>657.33405439301816</v>
      </c>
      <c r="ED25" s="939">
        <f t="shared" si="79"/>
        <v>1032.3227655042988</v>
      </c>
      <c r="EE25" s="939">
        <f>EE22+EE23-EE24</f>
        <v>533.64810372635145</v>
      </c>
      <c r="EF25" s="939">
        <f t="shared" si="79"/>
        <v>1210.246423649736</v>
      </c>
      <c r="EG25" s="939">
        <f t="shared" si="79"/>
        <v>1057.6089657131115</v>
      </c>
      <c r="EH25" s="939">
        <f t="shared" ref="EH25:EM25" si="80">EH22+EH23-EH24</f>
        <v>988.95735825436122</v>
      </c>
      <c r="EI25" s="939">
        <f t="shared" si="80"/>
        <v>935.12643951427788</v>
      </c>
      <c r="EJ25" s="939">
        <f t="shared" si="80"/>
        <v>1347.9798893744442</v>
      </c>
      <c r="EK25" s="939" t="e">
        <f t="shared" si="80"/>
        <v>#N/A</v>
      </c>
      <c r="EL25" s="939" t="e">
        <f t="shared" si="80"/>
        <v>#N/A</v>
      </c>
      <c r="EM25" s="939">
        <f t="shared" si="80"/>
        <v>5716.8726814621441</v>
      </c>
      <c r="EN25" s="939">
        <f t="shared" ref="EN25" si="81">EN22+EN23-EN24</f>
        <v>821.24748921780554</v>
      </c>
      <c r="EO25" s="939">
        <f>EO22+EO23-EO24</f>
        <v>-162.96891041666666</v>
      </c>
      <c r="EP25" s="939">
        <f>EP22+EP23-EP24</f>
        <v>-302.26299297158329</v>
      </c>
      <c r="EQ25" s="893"/>
      <c r="ER25" s="939">
        <f>ER22+ER23-ER24</f>
        <v>954.00795285895003</v>
      </c>
      <c r="ES25" s="939">
        <f>ES22+ES23-ES24</f>
        <v>838.8950292106166</v>
      </c>
      <c r="ET25" s="939">
        <f>ET22+ET23-ET24</f>
        <v>955.57603619228337</v>
      </c>
      <c r="EU25" s="939">
        <f>EU22+EU23-EU24</f>
        <v>881.68852921061648</v>
      </c>
      <c r="EV25" s="940">
        <f t="shared" ref="EV25:FD25" si="82">EV22+EV23-EV24</f>
        <v>1190.1038961736538</v>
      </c>
      <c r="EW25" s="939">
        <f t="shared" si="82"/>
        <v>1685.218953073567</v>
      </c>
      <c r="EX25" s="939">
        <f t="shared" si="82"/>
        <v>1350.5958093840336</v>
      </c>
      <c r="EY25" s="939" t="e">
        <f t="shared" si="82"/>
        <v>#N/A</v>
      </c>
      <c r="EZ25" s="939">
        <f t="shared" si="82"/>
        <v>850.28560818604058</v>
      </c>
      <c r="FA25" s="939">
        <f t="shared" si="82"/>
        <v>1336.4312111107431</v>
      </c>
      <c r="FB25" s="939">
        <f>FB22+FB23-FB24</f>
        <v>745.40158651937372</v>
      </c>
      <c r="FC25" s="939">
        <f t="shared" si="82"/>
        <v>1182.0130903164024</v>
      </c>
      <c r="FD25" s="939">
        <f t="shared" si="82"/>
        <v>1395.4807988577224</v>
      </c>
      <c r="FE25" s="939">
        <f t="shared" ref="FE25:FJ25" si="83">FE22+FE23-FE24</f>
        <v>1296.7694055083889</v>
      </c>
      <c r="FF25" s="939">
        <f t="shared" si="83"/>
        <v>1259.2632327074725</v>
      </c>
      <c r="FG25" s="939">
        <f t="shared" si="83"/>
        <v>1666.3049193767497</v>
      </c>
      <c r="FH25" s="939" t="e">
        <f t="shared" si="83"/>
        <v>#N/A</v>
      </c>
      <c r="FI25" s="939" t="e">
        <f t="shared" si="83"/>
        <v>#N/A</v>
      </c>
      <c r="FJ25" s="939">
        <f t="shared" si="83"/>
        <v>8262.5963460502371</v>
      </c>
      <c r="FK25" s="939">
        <f t="shared" ref="FK25" si="84">FK22+FK23-FK24</f>
        <v>1081.6712353543608</v>
      </c>
      <c r="FL25" s="939">
        <f>FL22+FL23-FL24</f>
        <v>-162.96891041666666</v>
      </c>
      <c r="FM25" s="939">
        <f>FM22+FM23-FM24</f>
        <v>-302.26299297158329</v>
      </c>
    </row>
    <row r="26" spans="1:169" ht="18" customHeight="1">
      <c r="A26" s="899">
        <f>ROWS($A$1:A26)</f>
        <v>26</v>
      </c>
      <c r="B26" s="916"/>
      <c r="C26" s="915"/>
      <c r="D26" s="946"/>
      <c r="E26" s="946"/>
      <c r="F26" s="946"/>
      <c r="G26" s="946"/>
      <c r="H26" s="946"/>
      <c r="I26" s="946"/>
      <c r="J26" s="946"/>
      <c r="K26" s="946"/>
      <c r="L26" s="946"/>
      <c r="M26" s="946"/>
      <c r="N26" s="946"/>
      <c r="O26" s="946"/>
      <c r="P26" s="946"/>
      <c r="Q26" s="946"/>
      <c r="R26" s="946"/>
      <c r="S26" s="946"/>
      <c r="T26" s="946"/>
      <c r="U26" s="946"/>
      <c r="V26" s="946"/>
      <c r="W26" s="946"/>
      <c r="X26" s="946"/>
      <c r="Y26" s="946"/>
      <c r="Z26" s="946"/>
      <c r="AA26" s="946"/>
      <c r="AB26" s="946"/>
      <c r="AC26" s="946"/>
      <c r="AD26" s="946"/>
      <c r="AE26" s="946"/>
      <c r="AF26" s="946"/>
      <c r="AG26" s="946"/>
      <c r="AH26" s="946"/>
      <c r="AI26" s="948"/>
      <c r="AJ26" s="947"/>
      <c r="AK26" s="946"/>
      <c r="AL26" s="946"/>
      <c r="AM26" s="946"/>
      <c r="AN26" s="946"/>
      <c r="AO26" s="946"/>
      <c r="AP26" s="946"/>
      <c r="AQ26" s="946"/>
      <c r="AR26" s="946"/>
      <c r="AS26" s="946"/>
      <c r="AT26" s="946"/>
      <c r="AU26" s="946"/>
      <c r="AV26" s="946"/>
      <c r="AW26" s="946"/>
      <c r="AX26" s="946"/>
      <c r="AY26" s="946"/>
      <c r="AZ26" s="946"/>
      <c r="BA26" s="946"/>
      <c r="BB26" s="946"/>
      <c r="BC26" s="946"/>
      <c r="BD26" s="946"/>
      <c r="BE26" s="946"/>
      <c r="BF26" s="946"/>
      <c r="BG26" s="946"/>
      <c r="BH26" s="946"/>
      <c r="BI26" s="946"/>
      <c r="BJ26" s="946"/>
      <c r="BK26" s="946"/>
      <c r="BL26" s="946"/>
      <c r="BM26" s="946"/>
      <c r="BN26" s="946"/>
      <c r="BO26" s="948"/>
      <c r="BP26" s="947"/>
      <c r="BQ26" s="946"/>
      <c r="BR26" s="946"/>
      <c r="BS26" s="946"/>
      <c r="BT26" s="946"/>
      <c r="BU26" s="946"/>
      <c r="BV26" s="946"/>
      <c r="BW26" s="946"/>
      <c r="BX26" s="946"/>
      <c r="BY26" s="946"/>
      <c r="BZ26" s="946"/>
      <c r="CA26" s="946"/>
      <c r="CB26" s="946"/>
      <c r="CC26" s="946"/>
      <c r="CD26" s="946"/>
      <c r="CE26" s="946"/>
      <c r="CF26" s="946"/>
      <c r="CG26" s="946"/>
      <c r="CH26" s="946"/>
      <c r="CI26" s="946"/>
      <c r="CJ26" s="946"/>
      <c r="CK26" s="946"/>
      <c r="CL26" s="946"/>
      <c r="CM26" s="946"/>
      <c r="CN26" s="946"/>
      <c r="CO26" s="946"/>
      <c r="CP26" s="946"/>
      <c r="CQ26" s="946"/>
      <c r="CR26" s="946"/>
      <c r="CS26" s="946"/>
      <c r="CT26" s="946"/>
      <c r="CV26" s="916"/>
      <c r="CW26" s="915"/>
      <c r="CX26" s="946"/>
      <c r="CY26" s="946"/>
      <c r="CZ26" s="946"/>
      <c r="DA26" s="946"/>
      <c r="DB26" s="946"/>
      <c r="DC26" s="946"/>
      <c r="DD26" s="946"/>
      <c r="DE26" s="946"/>
      <c r="DF26" s="946"/>
      <c r="DG26" s="946"/>
      <c r="DH26" s="946"/>
      <c r="DI26" s="946"/>
      <c r="DJ26" s="946"/>
      <c r="DK26" s="946"/>
      <c r="DL26" s="946"/>
      <c r="DM26" s="946"/>
      <c r="DN26" s="946"/>
      <c r="DO26" s="946"/>
      <c r="DP26" s="946"/>
      <c r="DQ26" s="946"/>
      <c r="DR26" s="946"/>
      <c r="DS26" s="946"/>
      <c r="DT26" s="893"/>
      <c r="DU26" s="946"/>
      <c r="DV26" s="946"/>
      <c r="DW26" s="946"/>
      <c r="DX26" s="946"/>
      <c r="DY26" s="947"/>
      <c r="DZ26" s="946"/>
      <c r="EA26" s="946"/>
      <c r="EB26" s="946"/>
      <c r="EC26" s="946"/>
      <c r="ED26" s="946"/>
      <c r="EE26" s="946"/>
      <c r="EF26" s="946"/>
      <c r="EG26" s="946"/>
      <c r="EH26" s="946"/>
      <c r="EI26" s="946"/>
      <c r="EJ26" s="946"/>
      <c r="EK26" s="946"/>
      <c r="EL26" s="946"/>
      <c r="EM26" s="946"/>
      <c r="EN26" s="946"/>
      <c r="EO26" s="946"/>
      <c r="EP26" s="946"/>
      <c r="EQ26" s="893"/>
      <c r="ER26" s="946"/>
      <c r="ES26" s="946"/>
      <c r="ET26" s="946"/>
      <c r="EU26" s="946"/>
      <c r="EV26" s="947"/>
      <c r="EW26" s="946"/>
      <c r="EX26" s="946"/>
      <c r="EY26" s="946"/>
      <c r="EZ26" s="946"/>
      <c r="FA26" s="946"/>
      <c r="FB26" s="946"/>
      <c r="FC26" s="946"/>
      <c r="FD26" s="946"/>
      <c r="FE26" s="946"/>
      <c r="FF26" s="946"/>
      <c r="FG26" s="946"/>
      <c r="FH26" s="946"/>
      <c r="FI26" s="946"/>
      <c r="FJ26" s="946"/>
      <c r="FK26" s="946"/>
      <c r="FL26" s="946"/>
      <c r="FM26" s="946"/>
    </row>
    <row r="27" spans="1:169" s="969" customFormat="1" ht="18" customHeight="1">
      <c r="A27" s="899">
        <f>ROWS($A$1:A27)</f>
        <v>27</v>
      </c>
      <c r="B27" s="974" t="s">
        <v>812</v>
      </c>
      <c r="C27" s="973" t="s">
        <v>362</v>
      </c>
      <c r="D27" s="2622">
        <f>'WW1'!$I$59</f>
        <v>9.2880000000000003</v>
      </c>
      <c r="E27" s="970">
        <f>'WW2'!$I$59</f>
        <v>9.5534999999999997</v>
      </c>
      <c r="F27" s="970">
        <f>'WW-A'!$I$59</f>
        <v>10.085699999999999</v>
      </c>
      <c r="G27" s="970">
        <f>'WW-E'!$I$59</f>
        <v>9.9453000000000014</v>
      </c>
      <c r="H27" s="970">
        <f>WRo!$I$59</f>
        <v>8.4644999999999992</v>
      </c>
      <c r="I27" s="970">
        <f>Tr!$I$59</f>
        <v>9.1147500000000008</v>
      </c>
      <c r="J27" s="970">
        <f>WG!$I$59</f>
        <v>9.1341000000000001</v>
      </c>
      <c r="K27" s="970">
        <f>Di!$I$59</f>
        <v>9.09</v>
      </c>
      <c r="L27" s="970">
        <f>SW!$I$59</f>
        <v>8.4974399999999992</v>
      </c>
      <c r="M27" s="970">
        <f>'SG-Fu'!$I$59</f>
        <v>8.4626999999999981</v>
      </c>
      <c r="N27" s="970">
        <f>BG!$I$59</f>
        <v>8.4257999999999988</v>
      </c>
      <c r="O27" s="970">
        <f>Ha!$I$59</f>
        <v>8.5274999999999999</v>
      </c>
      <c r="P27" s="970">
        <f>Du!$I$59</f>
        <v>9.7612200000000016</v>
      </c>
      <c r="Q27" s="970">
        <f>KöM!$I$59</f>
        <v>7.348679999999999</v>
      </c>
      <c r="R27" s="970">
        <f>KH!$I$59</f>
        <v>6.8664000000000005</v>
      </c>
      <c r="S27" s="970">
        <f>WR!$I$59</f>
        <v>7.5024000000000006</v>
      </c>
      <c r="T27" s="970">
        <f>SR!$I$59</f>
        <v>7.0945199999999993</v>
      </c>
      <c r="U27" s="970">
        <f>SoBl!$I$59</f>
        <v>7.9965000000000002</v>
      </c>
      <c r="V27" s="970">
        <f>Soja!$I$59</f>
        <v>6.0456000000000003</v>
      </c>
      <c r="W27" s="970">
        <f>Öl!$I$59</f>
        <v>7.4412000000000003</v>
      </c>
      <c r="X27" s="970">
        <f>FE!$I$59</f>
        <v>6.0456000000000003</v>
      </c>
      <c r="Y27" s="970">
        <f>AB!$I$59</f>
        <v>6.0456000000000003</v>
      </c>
      <c r="Z27" s="970">
        <f>Lu!$I$59</f>
        <v>5.9568000000000003</v>
      </c>
      <c r="AA27" s="970">
        <f>ZR!$I$59</f>
        <v>8.2439999999999998</v>
      </c>
      <c r="AB27" s="970">
        <f>FrühKa!$I$59</f>
        <v>32.765999999999998</v>
      </c>
      <c r="AC27" s="970">
        <f>FrühKaFolieBer!$I$59</f>
        <v>52.46</v>
      </c>
      <c r="AD27" s="970">
        <f>SpKa!$I$59</f>
        <v>33.954000000000001</v>
      </c>
      <c r="AE27" s="970">
        <f>SpKaBer!$I$59</f>
        <v>37.448</v>
      </c>
      <c r="AF27" s="970">
        <f>Vorlage!$I$59</f>
        <v>0</v>
      </c>
      <c r="AG27" s="970">
        <f>'FAKT-Brachebegrünung'!$I$59</f>
        <v>5.8680000000000003</v>
      </c>
      <c r="AH27" s="970">
        <f>Begr!$I$59</f>
        <v>5.7600000000000007</v>
      </c>
      <c r="AI27" s="972"/>
      <c r="AJ27" s="971">
        <f>'WW1'!$L$59</f>
        <v>10.620000000000001</v>
      </c>
      <c r="AK27" s="970">
        <f>'WW2'!$L$59</f>
        <v>10.71</v>
      </c>
      <c r="AL27" s="970">
        <f>'WW-A'!$L$59</f>
        <v>11.227200000000002</v>
      </c>
      <c r="AM27" s="970">
        <f>'WW-E'!$L$59</f>
        <v>11.040000000000003</v>
      </c>
      <c r="AN27" s="970">
        <f>WRo!$L$59</f>
        <v>9.1020000000000003</v>
      </c>
      <c r="AO27" s="970">
        <f>Tr!$L$59</f>
        <v>9.9689999999999994</v>
      </c>
      <c r="AP27" s="970">
        <f>WG!$L$59</f>
        <v>9.8628</v>
      </c>
      <c r="AQ27" s="970">
        <f>Di!$L$59</f>
        <v>10.092000000000002</v>
      </c>
      <c r="AR27" s="970">
        <f>SW!$L$59</f>
        <v>9.1459200000000003</v>
      </c>
      <c r="AS27" s="970">
        <f>'SG-Fu'!$L$59</f>
        <v>9.0996000000000006</v>
      </c>
      <c r="AT27" s="970">
        <f>BG!$L$59</f>
        <v>8.8421999999999983</v>
      </c>
      <c r="AU27" s="970">
        <f>Ha!$L$59</f>
        <v>9.57</v>
      </c>
      <c r="AV27" s="970">
        <f>Du!$L$59</f>
        <v>10.374960000000002</v>
      </c>
      <c r="AW27" s="970">
        <f>KöM!$L$59</f>
        <v>7.5662399999999996</v>
      </c>
      <c r="AX27" s="970">
        <f>KH!$L$59</f>
        <v>6.9551999999999996</v>
      </c>
      <c r="AY27" s="970">
        <f>WR!$L$59</f>
        <v>7.9871999999999996</v>
      </c>
      <c r="AZ27" s="970">
        <f>SR!$L$59</f>
        <v>7.5393599999999994</v>
      </c>
      <c r="BA27" s="970">
        <f>SoBl!$L$59</f>
        <v>8.0519999999999996</v>
      </c>
      <c r="BB27" s="970">
        <f>Soja!$L$59</f>
        <v>6.1077600000000007</v>
      </c>
      <c r="BC27" s="970">
        <f>Öl!$L$59</f>
        <v>7.4856000000000007</v>
      </c>
      <c r="BD27" s="970">
        <f>FE!$L$59</f>
        <v>6.1788000000000007</v>
      </c>
      <c r="BE27" s="970">
        <f>AB!$L$59</f>
        <v>6.1788000000000007</v>
      </c>
      <c r="BF27" s="970">
        <f>Lu!$L$59</f>
        <v>6.0900000000000007</v>
      </c>
      <c r="BG27" s="970">
        <f>ZR!$L$59</f>
        <v>8.2439999999999998</v>
      </c>
      <c r="BH27" s="970">
        <f>FrühKa!$L$59</f>
        <v>33.838000000000001</v>
      </c>
      <c r="BI27" s="970">
        <f>FrühKaFolieBer!$L$59</f>
        <v>53.04</v>
      </c>
      <c r="BJ27" s="970">
        <f>SpKa!$L$59</f>
        <v>35.201999999999998</v>
      </c>
      <c r="BK27" s="970">
        <f>SpKaBer!$L$59</f>
        <v>38.120000000000005</v>
      </c>
      <c r="BL27" s="970">
        <v>0</v>
      </c>
      <c r="BM27" s="970">
        <f>'FAKT-Brachebegrünung'!$L$59</f>
        <v>5.8680000000000003</v>
      </c>
      <c r="BN27" s="970">
        <f>Begr!$L$59</f>
        <v>5.7600000000000007</v>
      </c>
      <c r="BO27" s="972"/>
      <c r="BP27" s="971">
        <f>'WW1'!$O$59</f>
        <v>12.347999999999999</v>
      </c>
      <c r="BQ27" s="970">
        <f>'WW2'!$O$59</f>
        <v>11.866500000000002</v>
      </c>
      <c r="BR27" s="970">
        <f>'WW-A'!$O$59</f>
        <v>12.4908</v>
      </c>
      <c r="BS27" s="970">
        <f>'WW-E'!$O$59</f>
        <v>12.256800000000002</v>
      </c>
      <c r="BT27" s="970">
        <f>WRo!$O$59</f>
        <v>10.423500000000001</v>
      </c>
      <c r="BU27" s="970">
        <f>Tr!$O$59</f>
        <v>11.111249999999998</v>
      </c>
      <c r="BV27" s="970">
        <f>WG!$O$59</f>
        <v>10.879499999999998</v>
      </c>
      <c r="BW27" s="970">
        <f>Di!$O$59</f>
        <v>10.806000000000001</v>
      </c>
      <c r="BX27" s="970">
        <f>SW!$O$59</f>
        <v>9.7943999999999996</v>
      </c>
      <c r="BY27" s="970">
        <f>'SG-Fu'!$O$59</f>
        <v>9.7364999999999995</v>
      </c>
      <c r="BZ27" s="970">
        <f>BG!$O$59</f>
        <v>9.2585999999999995</v>
      </c>
      <c r="CA27" s="970">
        <f>Ha!$O$59</f>
        <v>10.3245</v>
      </c>
      <c r="CB27" s="970">
        <f>Du!$O$59</f>
        <v>10.988700000000001</v>
      </c>
      <c r="CC27" s="970">
        <f>KöM!$O$59</f>
        <v>7.7837999999999994</v>
      </c>
      <c r="CD27" s="970">
        <f>KH!$O$59</f>
        <v>7.0439999999999996</v>
      </c>
      <c r="CE27" s="970">
        <f>WR!$O$59</f>
        <v>8.0760000000000005</v>
      </c>
      <c r="CF27" s="970">
        <f>SR!$O$59</f>
        <v>7.5881999999999996</v>
      </c>
      <c r="CG27" s="970">
        <f>SoBl!$O$59</f>
        <v>8.1074999999999999</v>
      </c>
      <c r="CH27" s="970">
        <f>Soja!$O$59</f>
        <v>6.1699200000000012</v>
      </c>
      <c r="CI27" s="970">
        <f>Öl!$O$59</f>
        <v>7.5300000000000011</v>
      </c>
      <c r="CJ27" s="970">
        <f>FE!$O$59</f>
        <v>6.3120000000000003</v>
      </c>
      <c r="CK27" s="970">
        <f>AB!$O$59</f>
        <v>6.3120000000000003</v>
      </c>
      <c r="CL27" s="970">
        <f>Lu!$O$59</f>
        <v>6.2232000000000003</v>
      </c>
      <c r="CM27" s="970">
        <f>ZR!$O$59</f>
        <v>8.64</v>
      </c>
      <c r="CN27" s="970">
        <f>FrühKa!$O$59</f>
        <v>34.909999999999997</v>
      </c>
      <c r="CO27" s="970">
        <f>FrühKaFolieBer!$O$59</f>
        <v>54.06</v>
      </c>
      <c r="CP27" s="970">
        <f>SpKa!$O$59</f>
        <v>36.450000000000003</v>
      </c>
      <c r="CQ27" s="970">
        <f>SpKaBer!$O$59</f>
        <v>38.775999999999996</v>
      </c>
      <c r="CR27" s="970">
        <f>Vorlage!$O$59</f>
        <v>0</v>
      </c>
      <c r="CS27" s="970">
        <f>'FAKT-Brachebegrünung'!$O$59</f>
        <v>5.8680000000000003</v>
      </c>
      <c r="CT27" s="970">
        <f>Begr!$O$59</f>
        <v>5.7600000000000007</v>
      </c>
      <c r="CV27" s="974" t="s">
        <v>812</v>
      </c>
      <c r="CW27" s="973" t="s">
        <v>362</v>
      </c>
      <c r="CX27" s="2622">
        <f>'Öko-KG1'!$I$59</f>
        <v>10.350000000000001</v>
      </c>
      <c r="CY27" s="970">
        <f>'Öko-KG2'!$I$59</f>
        <v>7.7579999999999991</v>
      </c>
      <c r="CZ27" s="970">
        <f>'Öko-LU1'!$I$59</f>
        <v>10.350000000000001</v>
      </c>
      <c r="DA27" s="970">
        <f>'Öko-LU2'!$I$59</f>
        <v>7.7579999999999991</v>
      </c>
      <c r="DB27" s="970">
        <f>'Öko-WW-Futter'!$I$59</f>
        <v>8.0269714285714286</v>
      </c>
      <c r="DC27" s="970">
        <f>'Öko-WW-Brot'!$I$59</f>
        <v>6.4223999999999997</v>
      </c>
      <c r="DD27" s="970">
        <f>'Öko-Di'!$I$59</f>
        <v>6.4223999999999997</v>
      </c>
      <c r="DE27" s="970" t="e">
        <f>'Öko-Dinkel,gegerbt'!$I$59</f>
        <v>#N/A</v>
      </c>
      <c r="DF27" s="970">
        <f>'Öko-Ro'!$I$59</f>
        <v>8.2275428571428577</v>
      </c>
      <c r="DG27" s="970">
        <f>'Öko-Ha'!$I$59</f>
        <v>8.2275428571428577</v>
      </c>
      <c r="DH27" s="970">
        <f>'Öko-Wg'!$I$59</f>
        <v>7.7415428571428571</v>
      </c>
      <c r="DI27" s="970">
        <f>'Öko-Bg'!$I$59</f>
        <v>7.5370285714285705</v>
      </c>
      <c r="DJ27" s="970">
        <f>'Öko-KöM'!$I$59</f>
        <v>10.7982</v>
      </c>
      <c r="DK27" s="970">
        <f>'Öko-Ab'!$I$59</f>
        <v>8.3925000000000001</v>
      </c>
      <c r="DL27" s="970">
        <f>'Öko-FE'!$I$59</f>
        <v>6.8445</v>
      </c>
      <c r="DM27" s="970">
        <f>'Öko-Soja'!$I$59</f>
        <v>11.3916</v>
      </c>
      <c r="DN27" s="970" t="e">
        <f>'Öko-Soblu'!$I$59</f>
        <v>#N/A</v>
      </c>
      <c r="DO27" s="970" t="e">
        <f>'Öko-Raps'!$I$59</f>
        <v>#N/A</v>
      </c>
      <c r="DP27" s="970">
        <f>'Öko-Ka'!$I$59</f>
        <v>59.999999999999993</v>
      </c>
      <c r="DQ27" s="970">
        <f>'Öko-Lu'!$I$59</f>
        <v>7.3871999999999982</v>
      </c>
      <c r="DR27" s="970">
        <f>Begrün.!$I$59</f>
        <v>4.5</v>
      </c>
      <c r="DS27" s="970">
        <f>Blühm.!$I$59</f>
        <v>10.620000000000001</v>
      </c>
      <c r="DU27" s="970">
        <f>'Öko-KG1'!$L$59</f>
        <v>10.350000000000001</v>
      </c>
      <c r="DV27" s="970">
        <f>'Öko-KG2'!$L$59</f>
        <v>7.7579999999999991</v>
      </c>
      <c r="DW27" s="970">
        <f>'Öko-LU1'!$L$59</f>
        <v>10.350000000000001</v>
      </c>
      <c r="DX27" s="970">
        <f>'Öko-LU2'!$L$59</f>
        <v>7.7579999999999991</v>
      </c>
      <c r="DY27" s="971">
        <f>'Öko-WW-Futter'!$L$59</f>
        <v>7.9151999999999996</v>
      </c>
      <c r="DZ27" s="970">
        <f>'Öko-WW-Brot'!$L$59</f>
        <v>6.5112000000000005</v>
      </c>
      <c r="EA27" s="970">
        <f>'Öko-Di'!$L$59</f>
        <v>6.5112000000000005</v>
      </c>
      <c r="EB27" s="970" t="e">
        <f>'Öko-Dinkel,gegerbt'!$L$59</f>
        <v>#N/A</v>
      </c>
      <c r="EC27" s="970">
        <f>'Öko-Ro'!$L$59</f>
        <v>8.0907</v>
      </c>
      <c r="ED27" s="970">
        <f>'Öko-Ha'!$L$59</f>
        <v>8.0907</v>
      </c>
      <c r="EE27" s="970">
        <f>'Öko-Wg'!$L$59</f>
        <v>8.0907</v>
      </c>
      <c r="EF27" s="970">
        <f>'Öko-Bg'!$L$59</f>
        <v>7.5642000000000014</v>
      </c>
      <c r="EG27" s="970">
        <f>'Öko-KöM'!$L$59</f>
        <v>10.9536</v>
      </c>
      <c r="EH27" s="970">
        <f>'Öko-Ab'!$L$59</f>
        <v>8.4480000000000004</v>
      </c>
      <c r="EI27" s="970">
        <f>'Öko-FE'!$L$59</f>
        <v>6.9</v>
      </c>
      <c r="EJ27" s="970">
        <f>'Öko-Soja'!$L$59</f>
        <v>11.436</v>
      </c>
      <c r="EK27" s="970" t="e">
        <f>'Öko-Soblu'!$L$59</f>
        <v>#N/A</v>
      </c>
      <c r="EL27" s="970" t="e">
        <f>'Öko-Raps'!$L$59</f>
        <v>#N/A</v>
      </c>
      <c r="EM27" s="970">
        <f>'Öko-Ka'!$L$59</f>
        <v>61.599999999999994</v>
      </c>
      <c r="EN27" s="970">
        <f>'Öko-Lu'!$L$59</f>
        <v>7.4315999999999987</v>
      </c>
      <c r="EO27" s="970">
        <f>Begrün.!$L$59</f>
        <v>4.5</v>
      </c>
      <c r="EP27" s="970">
        <f>Blühm.!$L$59</f>
        <v>10.620000000000001</v>
      </c>
      <c r="ER27" s="970">
        <f>'Öko-KG1'!$O$59</f>
        <v>10.350000000000001</v>
      </c>
      <c r="ES27" s="970">
        <f>'Öko-KG2'!$O$59</f>
        <v>7.7579999999999991</v>
      </c>
      <c r="ET27" s="970">
        <f>'Öko-LU1'!$O$59</f>
        <v>10.350000000000001</v>
      </c>
      <c r="EU27" s="970">
        <f>'Öko-LU2'!$O$59</f>
        <v>7.7579999999999991</v>
      </c>
      <c r="EV27" s="971">
        <f>'Öko-WW-Futter'!$O$59</f>
        <v>8.17272</v>
      </c>
      <c r="EW27" s="970">
        <f>'Öko-WW-Brot'!$O$59</f>
        <v>6.6887999999999996</v>
      </c>
      <c r="EX27" s="970">
        <f>'Öko-Di'!$O$59</f>
        <v>6.5556000000000001</v>
      </c>
      <c r="EY27" s="970" t="e">
        <f>'Öko-Dinkel,gegerbt'!$O$59</f>
        <v>#N/A</v>
      </c>
      <c r="EZ27" s="970">
        <f>'Öko-Ro'!$O$59</f>
        <v>8.1795000000000009</v>
      </c>
      <c r="FA27" s="970">
        <f>'Öko-Ha'!$O$59</f>
        <v>8.1795000000000009</v>
      </c>
      <c r="FB27" s="970">
        <f>'Öko-Wg'!$O$59</f>
        <v>8.1795000000000009</v>
      </c>
      <c r="FC27" s="970">
        <f>'Öko-Bg'!$O$59</f>
        <v>7.5642000000000014</v>
      </c>
      <c r="FD27" s="970">
        <f>'Öko-KöM'!$O$59</f>
        <v>11.108999999999998</v>
      </c>
      <c r="FE27" s="970">
        <f>'Öko-Ab'!$O$59</f>
        <v>8.5035000000000007</v>
      </c>
      <c r="FF27" s="970">
        <f>'Öko-FE'!$O$59</f>
        <v>8.9894999999999996</v>
      </c>
      <c r="FG27" s="970">
        <f>'Öko-Soja'!$O$59</f>
        <v>11.9664</v>
      </c>
      <c r="FH27" s="970" t="e">
        <f>'Öko-Soblu'!$O$59</f>
        <v>#N/A</v>
      </c>
      <c r="FI27" s="970" t="e">
        <f>'Öko-Raps'!$O$59</f>
        <v>#N/A</v>
      </c>
      <c r="FJ27" s="970">
        <f>'Öko-Ka'!$O$59</f>
        <v>63.199999999999996</v>
      </c>
      <c r="FK27" s="970">
        <f>'Öko-Lu'!$O$59</f>
        <v>7.476</v>
      </c>
      <c r="FL27" s="970">
        <f>Begrün.!$O$59</f>
        <v>4.5</v>
      </c>
      <c r="FM27" s="970">
        <f>Blühm.!$O$59</f>
        <v>10.620000000000001</v>
      </c>
    </row>
    <row r="28" spans="1:169" ht="16.2" customHeight="1">
      <c r="A28" s="899">
        <f>ROWS($A$1:A28)</f>
        <v>28</v>
      </c>
      <c r="B28" s="968" t="s">
        <v>811</v>
      </c>
      <c r="C28" s="951" t="s">
        <v>163</v>
      </c>
      <c r="D28" s="2628">
        <f>'SDK4'!N8</f>
        <v>352</v>
      </c>
      <c r="E28" s="949">
        <f>'SDK4'!$N$8</f>
        <v>352</v>
      </c>
      <c r="F28" s="949">
        <f>'SDK4'!$N$8</f>
        <v>352</v>
      </c>
      <c r="G28" s="949">
        <f>'SDK4'!$N$8</f>
        <v>352</v>
      </c>
      <c r="H28" s="949">
        <f>'SDK4'!$N$8</f>
        <v>352</v>
      </c>
      <c r="I28" s="949">
        <f>'SDK4'!$N$8</f>
        <v>352</v>
      </c>
      <c r="J28" s="949">
        <f>'SDK4'!$N$8</f>
        <v>352</v>
      </c>
      <c r="K28" s="949">
        <f>'SDK4'!$N$8</f>
        <v>352</v>
      </c>
      <c r="L28" s="949">
        <f>'SDK4'!$N$8</f>
        <v>352</v>
      </c>
      <c r="M28" s="949">
        <f>'SDK4'!$N$8</f>
        <v>352</v>
      </c>
      <c r="N28" s="949">
        <f>'SDK4'!$N$8</f>
        <v>352</v>
      </c>
      <c r="O28" s="949">
        <f>'SDK4'!$N$8</f>
        <v>352</v>
      </c>
      <c r="P28" s="949">
        <f>'SDK4'!$N$8</f>
        <v>352</v>
      </c>
      <c r="Q28" s="949">
        <f>'SDK4'!$N$8</f>
        <v>352</v>
      </c>
      <c r="R28" s="949">
        <f>'SDK4'!$N$8</f>
        <v>352</v>
      </c>
      <c r="S28" s="949">
        <f>'SDK4'!$N$8</f>
        <v>352</v>
      </c>
      <c r="T28" s="949">
        <f>'SDK4'!$N$8</f>
        <v>352</v>
      </c>
      <c r="U28" s="949">
        <f>'SDK4'!$N$8</f>
        <v>352</v>
      </c>
      <c r="V28" s="949">
        <f>'SDK4'!$N$8</f>
        <v>352</v>
      </c>
      <c r="W28" s="949">
        <f>'SDK4'!$N$8</f>
        <v>352</v>
      </c>
      <c r="X28" s="949">
        <f>'SDK4'!$N$8</f>
        <v>352</v>
      </c>
      <c r="Y28" s="949">
        <f>'SDK4'!$N$8</f>
        <v>352</v>
      </c>
      <c r="Z28" s="949">
        <f>'SDK4'!$N$8</f>
        <v>352</v>
      </c>
      <c r="AA28" s="949">
        <f>'SDK4'!$N$8</f>
        <v>352</v>
      </c>
      <c r="AB28" s="949">
        <f>'SDK4'!$N$8</f>
        <v>352</v>
      </c>
      <c r="AC28" s="949">
        <f>'SDK4'!$N$8</f>
        <v>352</v>
      </c>
      <c r="AD28" s="949">
        <f>'SDK4'!$N$8</f>
        <v>352</v>
      </c>
      <c r="AE28" s="949">
        <f>'SDK4'!$N$8</f>
        <v>352</v>
      </c>
      <c r="AF28" s="949">
        <f>'SDK4'!$N$8</f>
        <v>352</v>
      </c>
      <c r="AG28" s="949">
        <f>'SDK4'!$N$8</f>
        <v>352</v>
      </c>
      <c r="AH28" s="949"/>
      <c r="AI28" s="901"/>
      <c r="AJ28" s="950">
        <f>'SDK4'!N8</f>
        <v>352</v>
      </c>
      <c r="AK28" s="949">
        <f>'SDK4'!$N$8</f>
        <v>352</v>
      </c>
      <c r="AL28" s="949">
        <f>'SDK4'!$N$8</f>
        <v>352</v>
      </c>
      <c r="AM28" s="949">
        <f>'SDK4'!$N$8</f>
        <v>352</v>
      </c>
      <c r="AN28" s="949">
        <f>'SDK4'!$N$8</f>
        <v>352</v>
      </c>
      <c r="AO28" s="949">
        <f>'SDK4'!$N$8</f>
        <v>352</v>
      </c>
      <c r="AP28" s="949">
        <f>'SDK4'!$N$8</f>
        <v>352</v>
      </c>
      <c r="AQ28" s="949">
        <f>'SDK4'!$N$8</f>
        <v>352</v>
      </c>
      <c r="AR28" s="949">
        <f>'SDK4'!$N$8</f>
        <v>352</v>
      </c>
      <c r="AS28" s="949">
        <f>'SDK4'!$N$8</f>
        <v>352</v>
      </c>
      <c r="AT28" s="949">
        <f>'SDK4'!$N$8</f>
        <v>352</v>
      </c>
      <c r="AU28" s="949">
        <f>'SDK4'!$N$8</f>
        <v>352</v>
      </c>
      <c r="AV28" s="949">
        <f>'SDK4'!$N$8</f>
        <v>352</v>
      </c>
      <c r="AW28" s="949">
        <f>'SDK4'!$N$8</f>
        <v>352</v>
      </c>
      <c r="AX28" s="949">
        <f>'SDK4'!$N$8</f>
        <v>352</v>
      </c>
      <c r="AY28" s="949">
        <f>'SDK4'!$N$8</f>
        <v>352</v>
      </c>
      <c r="AZ28" s="949">
        <f>'SDK4'!$N$8</f>
        <v>352</v>
      </c>
      <c r="BA28" s="949">
        <f>'SDK4'!$N$8</f>
        <v>352</v>
      </c>
      <c r="BB28" s="949">
        <f>'SDK4'!$N$8</f>
        <v>352</v>
      </c>
      <c r="BC28" s="949">
        <f>'SDK4'!$N$8</f>
        <v>352</v>
      </c>
      <c r="BD28" s="949">
        <f>'SDK4'!$N$8</f>
        <v>352</v>
      </c>
      <c r="BE28" s="949">
        <f>'SDK4'!$N$8</f>
        <v>352</v>
      </c>
      <c r="BF28" s="949">
        <f>'SDK4'!$N$8</f>
        <v>352</v>
      </c>
      <c r="BG28" s="949">
        <f>'SDK4'!$N$8</f>
        <v>352</v>
      </c>
      <c r="BH28" s="949">
        <f>'SDK4'!$N$8</f>
        <v>352</v>
      </c>
      <c r="BI28" s="949">
        <f>'SDK4'!$N$8</f>
        <v>352</v>
      </c>
      <c r="BJ28" s="949">
        <f>'SDK4'!$N$8</f>
        <v>352</v>
      </c>
      <c r="BK28" s="949">
        <f>'SDK4'!$N$8</f>
        <v>352</v>
      </c>
      <c r="BL28" s="949">
        <f>'SDK4'!$N$8</f>
        <v>352</v>
      </c>
      <c r="BM28" s="949">
        <f>'SDK4'!$N$8</f>
        <v>352</v>
      </c>
      <c r="BN28" s="949"/>
      <c r="BO28" s="901"/>
      <c r="BP28" s="950">
        <f>'SDK4'!N8</f>
        <v>352</v>
      </c>
      <c r="BQ28" s="949">
        <f>'SDK4'!$N$8</f>
        <v>352</v>
      </c>
      <c r="BR28" s="949">
        <f>'SDK4'!$N$8</f>
        <v>352</v>
      </c>
      <c r="BS28" s="949">
        <f>'SDK4'!$N$8</f>
        <v>352</v>
      </c>
      <c r="BT28" s="949">
        <f>'SDK4'!$N$8</f>
        <v>352</v>
      </c>
      <c r="BU28" s="949">
        <f>'SDK4'!$N$8</f>
        <v>352</v>
      </c>
      <c r="BV28" s="949">
        <f>'SDK4'!$N$8</f>
        <v>352</v>
      </c>
      <c r="BW28" s="949">
        <f>'SDK4'!$N$8</f>
        <v>352</v>
      </c>
      <c r="BX28" s="949">
        <f>'SDK4'!$N$8</f>
        <v>352</v>
      </c>
      <c r="BY28" s="949">
        <f>'SDK4'!$N$8</f>
        <v>352</v>
      </c>
      <c r="BZ28" s="949">
        <f>'SDK4'!$N$8</f>
        <v>352</v>
      </c>
      <c r="CA28" s="949">
        <f>'SDK4'!$N$8</f>
        <v>352</v>
      </c>
      <c r="CB28" s="949">
        <f>'SDK4'!$N$8</f>
        <v>352</v>
      </c>
      <c r="CC28" s="949">
        <f>'SDK4'!$N$8</f>
        <v>352</v>
      </c>
      <c r="CD28" s="949">
        <f>'SDK4'!$N$8</f>
        <v>352</v>
      </c>
      <c r="CE28" s="949">
        <f>'SDK4'!$N$8</f>
        <v>352</v>
      </c>
      <c r="CF28" s="949">
        <f>'SDK4'!$N$8</f>
        <v>352</v>
      </c>
      <c r="CG28" s="949">
        <f>'SDK4'!$N$8</f>
        <v>352</v>
      </c>
      <c r="CH28" s="949">
        <f>'SDK4'!$N$8</f>
        <v>352</v>
      </c>
      <c r="CI28" s="949">
        <f>'SDK4'!$N$8</f>
        <v>352</v>
      </c>
      <c r="CJ28" s="949">
        <f>'SDK4'!$N$8</f>
        <v>352</v>
      </c>
      <c r="CK28" s="949">
        <f>'SDK4'!$N$8</f>
        <v>352</v>
      </c>
      <c r="CL28" s="949">
        <f>'SDK4'!$N$8</f>
        <v>352</v>
      </c>
      <c r="CM28" s="949">
        <f>'SDK4'!$N$8</f>
        <v>352</v>
      </c>
      <c r="CN28" s="949">
        <f>'SDK4'!$N$8</f>
        <v>352</v>
      </c>
      <c r="CO28" s="949">
        <f>'SDK4'!$N$8</f>
        <v>352</v>
      </c>
      <c r="CP28" s="949">
        <f>'SDK4'!$N$8</f>
        <v>352</v>
      </c>
      <c r="CQ28" s="949">
        <f>'SDK4'!$N$8</f>
        <v>352</v>
      </c>
      <c r="CR28" s="949">
        <f>'SDK4'!$N$8</f>
        <v>352</v>
      </c>
      <c r="CS28" s="949">
        <f>'SDK4'!$N$8</f>
        <v>352</v>
      </c>
      <c r="CT28" s="949"/>
      <c r="CV28" s="968" t="s">
        <v>811</v>
      </c>
      <c r="CW28" s="951" t="s">
        <v>163</v>
      </c>
      <c r="CX28" s="2628">
        <f>SDÖ4!$Q$8</f>
        <v>307</v>
      </c>
      <c r="CY28" s="949">
        <f>SDÖ4!$Q$8</f>
        <v>307</v>
      </c>
      <c r="CZ28" s="949">
        <f>SDÖ4!$Q$8</f>
        <v>307</v>
      </c>
      <c r="DA28" s="949">
        <f>SDÖ4!$Q$8</f>
        <v>307</v>
      </c>
      <c r="DB28" s="949">
        <f>SDÖ4!Q76</f>
        <v>0</v>
      </c>
      <c r="DC28" s="949">
        <f>SDÖ4!$Q$8</f>
        <v>307</v>
      </c>
      <c r="DD28" s="949">
        <f>SDÖ4!$Q$8</f>
        <v>307</v>
      </c>
      <c r="DE28" s="949">
        <f>SDÖ4!$Q$8</f>
        <v>307</v>
      </c>
      <c r="DF28" s="949">
        <f>SDÖ4!$Q$8</f>
        <v>307</v>
      </c>
      <c r="DG28" s="949">
        <f>SDÖ4!$Q$8</f>
        <v>307</v>
      </c>
      <c r="DH28" s="949">
        <f>SDÖ4!$Q$8</f>
        <v>307</v>
      </c>
      <c r="DI28" s="949">
        <f>SDÖ4!$Q$8</f>
        <v>307</v>
      </c>
      <c r="DJ28" s="949">
        <f>SDÖ4!$Q$8</f>
        <v>307</v>
      </c>
      <c r="DK28" s="949">
        <f>SDÖ4!$Q$8</f>
        <v>307</v>
      </c>
      <c r="DL28" s="949">
        <f>SDÖ4!$Q$8</f>
        <v>307</v>
      </c>
      <c r="DM28" s="949">
        <f>SDÖ4!$Q$8</f>
        <v>307</v>
      </c>
      <c r="DN28" s="949">
        <f>SDÖ4!$Q$8</f>
        <v>307</v>
      </c>
      <c r="DO28" s="949">
        <f>SDÖ4!$Q$8</f>
        <v>307</v>
      </c>
      <c r="DP28" s="949">
        <f>SDÖ4!$Q$8</f>
        <v>307</v>
      </c>
      <c r="DQ28" s="949">
        <f>SDÖ4!$Q$8</f>
        <v>307</v>
      </c>
      <c r="DR28" s="949">
        <f>SDÖ4!$Q$8</f>
        <v>307</v>
      </c>
      <c r="DS28" s="949">
        <f>SDÖ4!$Q$8</f>
        <v>307</v>
      </c>
      <c r="DT28" s="893"/>
      <c r="DU28" s="949">
        <f>SDÖ4!$Q$8</f>
        <v>307</v>
      </c>
      <c r="DV28" s="949">
        <f>SDÖ4!$Q$8</f>
        <v>307</v>
      </c>
      <c r="DW28" s="949">
        <f>SDÖ4!$Q$8</f>
        <v>307</v>
      </c>
      <c r="DX28" s="949">
        <f>SDÖ4!$Q$8</f>
        <v>307</v>
      </c>
      <c r="DY28" s="949">
        <f>SDÖ4!$Q$8</f>
        <v>307</v>
      </c>
      <c r="DZ28" s="949">
        <f>SDÖ4!$Q$8</f>
        <v>307</v>
      </c>
      <c r="EA28" s="949">
        <f>SDÖ4!$Q$8</f>
        <v>307</v>
      </c>
      <c r="EB28" s="949">
        <f>SDÖ4!$Q$8</f>
        <v>307</v>
      </c>
      <c r="EC28" s="949">
        <f>SDÖ4!$Q$8</f>
        <v>307</v>
      </c>
      <c r="ED28" s="949">
        <f>SDÖ4!$Q$8</f>
        <v>307</v>
      </c>
      <c r="EE28" s="949">
        <f>SDÖ4!$Q$8</f>
        <v>307</v>
      </c>
      <c r="EF28" s="949">
        <f>SDÖ4!$Q$8</f>
        <v>307</v>
      </c>
      <c r="EG28" s="949">
        <f>SDÖ4!$Q$8</f>
        <v>307</v>
      </c>
      <c r="EH28" s="949">
        <f>SDÖ4!$Q$8</f>
        <v>307</v>
      </c>
      <c r="EI28" s="949">
        <f>SDÖ4!$Q$8</f>
        <v>307</v>
      </c>
      <c r="EJ28" s="949">
        <f>SDÖ4!$Q$8</f>
        <v>307</v>
      </c>
      <c r="EK28" s="949">
        <f>SDÖ4!$Q$8</f>
        <v>307</v>
      </c>
      <c r="EL28" s="949">
        <f>SDÖ4!$Q$8</f>
        <v>307</v>
      </c>
      <c r="EM28" s="949">
        <f>SDÖ4!$Q$8</f>
        <v>307</v>
      </c>
      <c r="EN28" s="949">
        <f>SDÖ4!$Q$8</f>
        <v>307</v>
      </c>
      <c r="EO28" s="949">
        <f>SDÖ4!$Q$8</f>
        <v>307</v>
      </c>
      <c r="EP28" s="949">
        <f>SDÖ4!$Q$8</f>
        <v>307</v>
      </c>
      <c r="EQ28" s="893"/>
      <c r="ER28" s="949">
        <f>SDÖ4!$Q$8</f>
        <v>307</v>
      </c>
      <c r="ES28" s="949">
        <f>SDÖ4!$Q$8</f>
        <v>307</v>
      </c>
      <c r="ET28" s="949">
        <f>SDÖ4!$Q$8</f>
        <v>307</v>
      </c>
      <c r="EU28" s="949">
        <f>SDÖ4!$Q$8</f>
        <v>307</v>
      </c>
      <c r="EV28" s="950">
        <f>SDÖ4!Q76</f>
        <v>0</v>
      </c>
      <c r="EW28" s="949">
        <f>SDÖ4!$Q$8</f>
        <v>307</v>
      </c>
      <c r="EX28" s="949">
        <f>SDÖ4!$Q$8</f>
        <v>307</v>
      </c>
      <c r="EY28" s="949">
        <f>SDÖ4!$Q$8</f>
        <v>307</v>
      </c>
      <c r="EZ28" s="949">
        <f>SDÖ4!$Q$8</f>
        <v>307</v>
      </c>
      <c r="FA28" s="949">
        <f>SDÖ4!$Q$8</f>
        <v>307</v>
      </c>
      <c r="FB28" s="949">
        <f>SDÖ4!$Q$8</f>
        <v>307</v>
      </c>
      <c r="FC28" s="949">
        <f>SDÖ4!$Q$8</f>
        <v>307</v>
      </c>
      <c r="FD28" s="949">
        <f>SDÖ4!$Q$8</f>
        <v>307</v>
      </c>
      <c r="FE28" s="949">
        <f>SDÖ4!$Q$8</f>
        <v>307</v>
      </c>
      <c r="FF28" s="949">
        <f>SDÖ4!$Q$8</f>
        <v>307</v>
      </c>
      <c r="FG28" s="949">
        <f>SDÖ4!$Q$8</f>
        <v>307</v>
      </c>
      <c r="FH28" s="949">
        <f>SDÖ4!$Q$8</f>
        <v>307</v>
      </c>
      <c r="FI28" s="949">
        <f>SDÖ4!$Q$8</f>
        <v>307</v>
      </c>
      <c r="FJ28" s="949">
        <f>SDÖ4!$Q$8</f>
        <v>307</v>
      </c>
      <c r="FK28" s="949">
        <f>SDÖ4!$Q$8</f>
        <v>307</v>
      </c>
      <c r="FL28" s="949">
        <f>SDÖ4!$Q$8</f>
        <v>307</v>
      </c>
      <c r="FM28" s="949">
        <f>SDÖ4!$Q$8</f>
        <v>307</v>
      </c>
    </row>
    <row r="29" spans="1:169" ht="16.2" customHeight="1">
      <c r="A29" s="899">
        <f>ROWS($A$1:A29)</f>
        <v>29</v>
      </c>
      <c r="B29" s="945" t="s">
        <v>810</v>
      </c>
      <c r="C29" s="915"/>
      <c r="D29" s="2627">
        <f>'SDK4'!N33</f>
        <v>31</v>
      </c>
      <c r="E29" s="904">
        <f>'SDK4'!$N$33</f>
        <v>31</v>
      </c>
      <c r="F29" s="904">
        <f>'SDK4'!$N$33</f>
        <v>31</v>
      </c>
      <c r="G29" s="904">
        <f>'SDK4'!$N$33</f>
        <v>31</v>
      </c>
      <c r="H29" s="904">
        <f>'SDK4'!$N$33</f>
        <v>31</v>
      </c>
      <c r="I29" s="904">
        <f>'SDK4'!$N$33</f>
        <v>31</v>
      </c>
      <c r="J29" s="904">
        <f>'SDK4'!$N$33</f>
        <v>31</v>
      </c>
      <c r="K29" s="904">
        <f>'SDK4'!$N$33</f>
        <v>31</v>
      </c>
      <c r="L29" s="904">
        <f>'SDK4'!$N$33</f>
        <v>31</v>
      </c>
      <c r="M29" s="904">
        <f>'SDK4'!$N$33</f>
        <v>31</v>
      </c>
      <c r="N29" s="904">
        <f>'SDK4'!$N$33</f>
        <v>31</v>
      </c>
      <c r="O29" s="904">
        <f>'SDK4'!$N$33</f>
        <v>31</v>
      </c>
      <c r="P29" s="904">
        <f>'SDK4'!$N$33</f>
        <v>31</v>
      </c>
      <c r="Q29" s="904">
        <f>'SDK4'!$N$33</f>
        <v>31</v>
      </c>
      <c r="R29" s="904">
        <f>'SDK4'!$N$33</f>
        <v>31</v>
      </c>
      <c r="S29" s="904">
        <f>'SDK4'!$N$33</f>
        <v>31</v>
      </c>
      <c r="T29" s="904">
        <f>'SDK4'!$N$33</f>
        <v>31</v>
      </c>
      <c r="U29" s="904">
        <f>'SDK4'!$N$33</f>
        <v>31</v>
      </c>
      <c r="V29" s="904">
        <f>'SDK4'!$N$33</f>
        <v>31</v>
      </c>
      <c r="W29" s="904">
        <f>'SDK4'!$N$33</f>
        <v>31</v>
      </c>
      <c r="X29" s="904">
        <f>'SDK4'!$N$33</f>
        <v>31</v>
      </c>
      <c r="Y29" s="904">
        <f>'SDK4'!$N$33</f>
        <v>31</v>
      </c>
      <c r="Z29" s="904">
        <f>'SDK4'!$N$33</f>
        <v>31</v>
      </c>
      <c r="AA29" s="904">
        <f>'SDK4'!$N$33</f>
        <v>31</v>
      </c>
      <c r="AB29" s="904">
        <f>'SDK4'!$N$33</f>
        <v>31</v>
      </c>
      <c r="AC29" s="904">
        <f>'SDK4'!$N$33</f>
        <v>31</v>
      </c>
      <c r="AD29" s="904">
        <f>'SDK4'!$N$33</f>
        <v>31</v>
      </c>
      <c r="AE29" s="904">
        <f>'SDK4'!$N$33</f>
        <v>31</v>
      </c>
      <c r="AF29" s="904">
        <f>'SDK4'!$N$33</f>
        <v>31</v>
      </c>
      <c r="AG29" s="904">
        <f>'SDK4'!$N$33</f>
        <v>31</v>
      </c>
      <c r="AH29" s="904"/>
      <c r="AI29" s="901"/>
      <c r="AJ29" s="902">
        <f>'SDK4'!N33</f>
        <v>31</v>
      </c>
      <c r="AK29" s="904">
        <f>'SDK4'!$N$33</f>
        <v>31</v>
      </c>
      <c r="AL29" s="904">
        <f>'SDK4'!$N$33</f>
        <v>31</v>
      </c>
      <c r="AM29" s="904">
        <f>'SDK4'!$N$33</f>
        <v>31</v>
      </c>
      <c r="AN29" s="904">
        <f>'SDK4'!$N$33</f>
        <v>31</v>
      </c>
      <c r="AO29" s="904">
        <f>'SDK4'!$N$33</f>
        <v>31</v>
      </c>
      <c r="AP29" s="904">
        <f>'SDK4'!$N$33</f>
        <v>31</v>
      </c>
      <c r="AQ29" s="904">
        <f>'SDK4'!$N$33</f>
        <v>31</v>
      </c>
      <c r="AR29" s="904">
        <f>'SDK4'!$N$33</f>
        <v>31</v>
      </c>
      <c r="AS29" s="904">
        <f>'SDK4'!$N$33</f>
        <v>31</v>
      </c>
      <c r="AT29" s="904">
        <f>'SDK4'!$N$33</f>
        <v>31</v>
      </c>
      <c r="AU29" s="904">
        <f>'SDK4'!$N$33</f>
        <v>31</v>
      </c>
      <c r="AV29" s="904">
        <f>'SDK4'!$N$33</f>
        <v>31</v>
      </c>
      <c r="AW29" s="904">
        <f>'SDK4'!$N$33</f>
        <v>31</v>
      </c>
      <c r="AX29" s="904">
        <f>'SDK4'!$N$33</f>
        <v>31</v>
      </c>
      <c r="AY29" s="904">
        <f>'SDK4'!$N$33</f>
        <v>31</v>
      </c>
      <c r="AZ29" s="904">
        <f>'SDK4'!$N$33</f>
        <v>31</v>
      </c>
      <c r="BA29" s="904">
        <f>'SDK4'!$N$33</f>
        <v>31</v>
      </c>
      <c r="BB29" s="904">
        <f>'SDK4'!$N$33</f>
        <v>31</v>
      </c>
      <c r="BC29" s="904">
        <f>'SDK4'!$N$33</f>
        <v>31</v>
      </c>
      <c r="BD29" s="904">
        <f>'SDK4'!$N$33</f>
        <v>31</v>
      </c>
      <c r="BE29" s="904">
        <f>'SDK4'!$N$33</f>
        <v>31</v>
      </c>
      <c r="BF29" s="904">
        <f>'SDK4'!$N$33</f>
        <v>31</v>
      </c>
      <c r="BG29" s="904">
        <f>'SDK4'!$N$33</f>
        <v>31</v>
      </c>
      <c r="BH29" s="904">
        <f>'SDK4'!$N$33</f>
        <v>31</v>
      </c>
      <c r="BI29" s="904">
        <f>'SDK4'!$N$33</f>
        <v>31</v>
      </c>
      <c r="BJ29" s="904">
        <f>'SDK4'!$N$33</f>
        <v>31</v>
      </c>
      <c r="BK29" s="904">
        <f>'SDK4'!$N$33</f>
        <v>31</v>
      </c>
      <c r="BL29" s="904">
        <f>'SDK4'!$N$33</f>
        <v>31</v>
      </c>
      <c r="BM29" s="904">
        <f>'SDK4'!$N$33</f>
        <v>31</v>
      </c>
      <c r="BN29" s="904"/>
      <c r="BO29" s="901"/>
      <c r="BP29" s="902">
        <f>'SDK4'!N33</f>
        <v>31</v>
      </c>
      <c r="BQ29" s="904">
        <f>'SDK4'!$N$33</f>
        <v>31</v>
      </c>
      <c r="BR29" s="904">
        <f>'SDK4'!$N$33</f>
        <v>31</v>
      </c>
      <c r="BS29" s="904">
        <f>'SDK4'!$N$33</f>
        <v>31</v>
      </c>
      <c r="BT29" s="904">
        <f>'SDK4'!$N$33</f>
        <v>31</v>
      </c>
      <c r="BU29" s="904">
        <f>'SDK4'!$N$33</f>
        <v>31</v>
      </c>
      <c r="BV29" s="904">
        <f>'SDK4'!$N$33</f>
        <v>31</v>
      </c>
      <c r="BW29" s="904">
        <f>'SDK4'!$N$33</f>
        <v>31</v>
      </c>
      <c r="BX29" s="904">
        <f>'SDK4'!$N$33</f>
        <v>31</v>
      </c>
      <c r="BY29" s="904">
        <f>'SDK4'!$N$33</f>
        <v>31</v>
      </c>
      <c r="BZ29" s="904">
        <f>'SDK4'!$N$33</f>
        <v>31</v>
      </c>
      <c r="CA29" s="904">
        <f>'SDK4'!$N$33</f>
        <v>31</v>
      </c>
      <c r="CB29" s="904">
        <f>'SDK4'!$N$33</f>
        <v>31</v>
      </c>
      <c r="CC29" s="904">
        <f>'SDK4'!$N$33</f>
        <v>31</v>
      </c>
      <c r="CD29" s="904">
        <f>'SDK4'!$N$33</f>
        <v>31</v>
      </c>
      <c r="CE29" s="904">
        <f>'SDK4'!$N$33</f>
        <v>31</v>
      </c>
      <c r="CF29" s="904">
        <f>'SDK4'!$N$33</f>
        <v>31</v>
      </c>
      <c r="CG29" s="904">
        <f>'SDK4'!$N$33</f>
        <v>31</v>
      </c>
      <c r="CH29" s="904">
        <f>'SDK4'!$N$33</f>
        <v>31</v>
      </c>
      <c r="CI29" s="904">
        <f>'SDK4'!$N$33</f>
        <v>31</v>
      </c>
      <c r="CJ29" s="904">
        <f>'SDK4'!$N$33</f>
        <v>31</v>
      </c>
      <c r="CK29" s="904">
        <f>'SDK4'!$N$33</f>
        <v>31</v>
      </c>
      <c r="CL29" s="904">
        <f>'SDK4'!$N$33</f>
        <v>31</v>
      </c>
      <c r="CM29" s="904">
        <f>'SDK4'!$N$33</f>
        <v>31</v>
      </c>
      <c r="CN29" s="904">
        <f>'SDK4'!$N$33</f>
        <v>31</v>
      </c>
      <c r="CO29" s="904">
        <f>'SDK4'!$N$33</f>
        <v>31</v>
      </c>
      <c r="CP29" s="904">
        <f>'SDK4'!$N$33</f>
        <v>31</v>
      </c>
      <c r="CQ29" s="904">
        <f>'SDK4'!$N$33</f>
        <v>31</v>
      </c>
      <c r="CR29" s="904">
        <f>'SDK4'!$N$33</f>
        <v>31</v>
      </c>
      <c r="CS29" s="904">
        <f>'SDK4'!$N$33</f>
        <v>31</v>
      </c>
      <c r="CT29" s="904"/>
      <c r="CV29" s="945" t="s">
        <v>810</v>
      </c>
      <c r="CW29" s="915"/>
      <c r="CX29" s="2627">
        <f>SDÖ4!$Q$19</f>
        <v>31</v>
      </c>
      <c r="CY29" s="904">
        <f>SDÖ4!$Q$19</f>
        <v>31</v>
      </c>
      <c r="CZ29" s="904">
        <f>SDÖ4!$Q$19</f>
        <v>31</v>
      </c>
      <c r="DA29" s="904">
        <f>SDÖ4!$Q$19</f>
        <v>31</v>
      </c>
      <c r="DB29" s="904">
        <f>SDÖ4!$Q$19</f>
        <v>31</v>
      </c>
      <c r="DC29" s="904">
        <f>SDÖ4!$Q$19</f>
        <v>31</v>
      </c>
      <c r="DD29" s="904">
        <f>SDÖ4!$Q$19</f>
        <v>31</v>
      </c>
      <c r="DE29" s="904">
        <f>SDÖ4!$Q$19</f>
        <v>31</v>
      </c>
      <c r="DF29" s="904">
        <f>SDÖ4!$Q$19</f>
        <v>31</v>
      </c>
      <c r="DG29" s="904">
        <f>SDÖ4!$Q$19</f>
        <v>31</v>
      </c>
      <c r="DH29" s="904">
        <f>SDÖ4!$Q$19</f>
        <v>31</v>
      </c>
      <c r="DI29" s="904">
        <f>SDÖ4!$Q$19</f>
        <v>31</v>
      </c>
      <c r="DJ29" s="904">
        <f>SDÖ4!$Q$19</f>
        <v>31</v>
      </c>
      <c r="DK29" s="904">
        <f>SDÖ4!$Q$19</f>
        <v>31</v>
      </c>
      <c r="DL29" s="904">
        <f>SDÖ4!$Q$19</f>
        <v>31</v>
      </c>
      <c r="DM29" s="904">
        <f>SDÖ4!$Q$19</f>
        <v>31</v>
      </c>
      <c r="DN29" s="904">
        <f>SDÖ4!$Q$19</f>
        <v>31</v>
      </c>
      <c r="DO29" s="904">
        <f>SDÖ4!$Q$19</f>
        <v>31</v>
      </c>
      <c r="DP29" s="904">
        <f>SDÖ4!$Q$19</f>
        <v>31</v>
      </c>
      <c r="DQ29" s="904">
        <f>SDÖ4!$Q$19</f>
        <v>31</v>
      </c>
      <c r="DR29" s="904"/>
      <c r="DS29" s="904">
        <f>SDÖ4!$Q$19</f>
        <v>31</v>
      </c>
      <c r="DT29" s="893"/>
      <c r="DU29" s="904">
        <f>SDÖ4!$Q$19</f>
        <v>31</v>
      </c>
      <c r="DV29" s="904">
        <f>SDÖ4!$Q$19</f>
        <v>31</v>
      </c>
      <c r="DW29" s="904">
        <f>SDÖ4!$Q$19</f>
        <v>31</v>
      </c>
      <c r="DX29" s="904">
        <f>SDÖ4!$Q$19</f>
        <v>31</v>
      </c>
      <c r="DY29" s="902">
        <f>SDÖ4!$Q$19</f>
        <v>31</v>
      </c>
      <c r="DZ29" s="904">
        <f>SDÖ4!$Q$19</f>
        <v>31</v>
      </c>
      <c r="EA29" s="904">
        <f>SDÖ4!$Q$19</f>
        <v>31</v>
      </c>
      <c r="EB29" s="904">
        <f>SDÖ4!$Q$19</f>
        <v>31</v>
      </c>
      <c r="EC29" s="904">
        <f>SDÖ4!$Q$19</f>
        <v>31</v>
      </c>
      <c r="ED29" s="904">
        <f>SDÖ4!$Q$19</f>
        <v>31</v>
      </c>
      <c r="EE29" s="904">
        <f>SDÖ4!$Q$19</f>
        <v>31</v>
      </c>
      <c r="EF29" s="904">
        <f>SDÖ4!$Q$19</f>
        <v>31</v>
      </c>
      <c r="EG29" s="904">
        <f>SDÖ4!$Q$19</f>
        <v>31</v>
      </c>
      <c r="EH29" s="904">
        <f>SDÖ4!$Q$19</f>
        <v>31</v>
      </c>
      <c r="EI29" s="904">
        <f>SDÖ4!$Q$19</f>
        <v>31</v>
      </c>
      <c r="EJ29" s="904">
        <f>SDÖ4!$Q$19</f>
        <v>31</v>
      </c>
      <c r="EK29" s="904">
        <f>SDÖ4!$Q$19</f>
        <v>31</v>
      </c>
      <c r="EL29" s="904">
        <f>SDÖ4!$Q$19</f>
        <v>31</v>
      </c>
      <c r="EM29" s="904">
        <f>SDÖ4!$Q$19</f>
        <v>31</v>
      </c>
      <c r="EN29" s="904">
        <f>SDÖ4!$Q$19</f>
        <v>31</v>
      </c>
      <c r="EO29" s="904">
        <f>SDÖ4!$Q$19</f>
        <v>31</v>
      </c>
      <c r="EP29" s="904">
        <f>SDÖ4!$Q$19</f>
        <v>31</v>
      </c>
      <c r="EQ29" s="893"/>
      <c r="ER29" s="904">
        <f>SDÖ4!$Q$19</f>
        <v>31</v>
      </c>
      <c r="ES29" s="904">
        <f>SDÖ4!$Q$19</f>
        <v>31</v>
      </c>
      <c r="ET29" s="904">
        <f>SDÖ4!$Q$19</f>
        <v>31</v>
      </c>
      <c r="EU29" s="904">
        <f>SDÖ4!$Q$19</f>
        <v>31</v>
      </c>
      <c r="EV29" s="902">
        <f>SDÖ4!$Q$19</f>
        <v>31</v>
      </c>
      <c r="EW29" s="904">
        <f>SDÖ4!$Q$19</f>
        <v>31</v>
      </c>
      <c r="EX29" s="904">
        <f>SDÖ4!$Q$19</f>
        <v>31</v>
      </c>
      <c r="EY29" s="904">
        <f>SDÖ4!$Q$19</f>
        <v>31</v>
      </c>
      <c r="EZ29" s="904">
        <f>SDÖ4!$Q$19</f>
        <v>31</v>
      </c>
      <c r="FA29" s="904">
        <f>SDÖ4!$Q$19</f>
        <v>31</v>
      </c>
      <c r="FB29" s="904">
        <f>SDÖ4!$Q$19</f>
        <v>31</v>
      </c>
      <c r="FC29" s="904">
        <f>SDÖ4!$Q$19</f>
        <v>31</v>
      </c>
      <c r="FD29" s="904">
        <f>SDÖ4!$Q$19</f>
        <v>31</v>
      </c>
      <c r="FE29" s="904">
        <f>SDÖ4!$Q$19</f>
        <v>31</v>
      </c>
      <c r="FF29" s="904">
        <f>SDÖ4!$Q$19</f>
        <v>31</v>
      </c>
      <c r="FG29" s="904">
        <f>SDÖ4!$Q$19</f>
        <v>31</v>
      </c>
      <c r="FH29" s="904">
        <f>SDÖ4!$Q$19</f>
        <v>31</v>
      </c>
      <c r="FI29" s="904">
        <f>SDÖ4!$Q$19</f>
        <v>31</v>
      </c>
      <c r="FJ29" s="904">
        <f>SDÖ4!$Q$19</f>
        <v>31</v>
      </c>
      <c r="FK29" s="904">
        <f>SDÖ4!$Q$19</f>
        <v>31</v>
      </c>
      <c r="FL29" s="904">
        <f>SDÖ4!$Q$19</f>
        <v>31</v>
      </c>
      <c r="FM29" s="904">
        <f>SDÖ4!$Q$19</f>
        <v>31</v>
      </c>
    </row>
    <row r="30" spans="1:169" ht="16.2" customHeight="1">
      <c r="A30" s="899">
        <f>ROWS($A$1:A30)</f>
        <v>30</v>
      </c>
      <c r="B30" s="945" t="s">
        <v>809</v>
      </c>
      <c r="C30" s="915"/>
      <c r="D30" s="2627">
        <f>'SDK4'!$Q$45</f>
        <v>280</v>
      </c>
      <c r="E30" s="967">
        <f>'SDK4'!$Q$45</f>
        <v>280</v>
      </c>
      <c r="F30" s="967">
        <f>'SDK4'!$Q$45</f>
        <v>280</v>
      </c>
      <c r="G30" s="967">
        <f>'SDK4'!$Q$45</f>
        <v>280</v>
      </c>
      <c r="H30" s="967">
        <f>'SDK4'!$Q$45</f>
        <v>280</v>
      </c>
      <c r="I30" s="967">
        <f>'SDK4'!$Q$45</f>
        <v>280</v>
      </c>
      <c r="J30" s="967">
        <f>'SDK4'!$Q$45</f>
        <v>280</v>
      </c>
      <c r="K30" s="967">
        <f>'SDK4'!$Q$45</f>
        <v>280</v>
      </c>
      <c r="L30" s="967">
        <f>'SDK4'!$Q$45</f>
        <v>280</v>
      </c>
      <c r="M30" s="967">
        <f>'SDK4'!$Q$45</f>
        <v>280</v>
      </c>
      <c r="N30" s="967">
        <f>'SDK4'!$Q$45</f>
        <v>280</v>
      </c>
      <c r="O30" s="967">
        <f>'SDK4'!$Q$45</f>
        <v>280</v>
      </c>
      <c r="P30" s="967">
        <f>'SDK4'!$Q$45</f>
        <v>280</v>
      </c>
      <c r="Q30" s="967">
        <f>'SDK4'!$Q$45</f>
        <v>280</v>
      </c>
      <c r="R30" s="967">
        <f>'SDK4'!$Q$45</f>
        <v>280</v>
      </c>
      <c r="S30" s="967">
        <f>'SDK4'!$Q$45</f>
        <v>280</v>
      </c>
      <c r="T30" s="967">
        <f>'SDK4'!$Q$45</f>
        <v>280</v>
      </c>
      <c r="U30" s="967">
        <f>'SDK4'!$Q$45</f>
        <v>280</v>
      </c>
      <c r="V30" s="967">
        <f>'SDK4'!$Q$45</f>
        <v>280</v>
      </c>
      <c r="W30" s="967">
        <f>'SDK4'!$Q$45</f>
        <v>280</v>
      </c>
      <c r="X30" s="967">
        <f>'SDK4'!$Q$45</f>
        <v>280</v>
      </c>
      <c r="Y30" s="967">
        <f>'SDK4'!$Q$45</f>
        <v>280</v>
      </c>
      <c r="Z30" s="967">
        <f>'SDK4'!$Q$45</f>
        <v>280</v>
      </c>
      <c r="AA30" s="967">
        <f>'SDK4'!$Q$45</f>
        <v>280</v>
      </c>
      <c r="AB30" s="967">
        <f>'SDK4'!$Q$45</f>
        <v>280</v>
      </c>
      <c r="AC30" s="967">
        <f>'SDK4'!$Q$45</f>
        <v>280</v>
      </c>
      <c r="AD30" s="967">
        <f>'SDK4'!$Q$45</f>
        <v>280</v>
      </c>
      <c r="AE30" s="967">
        <f>'SDK4'!$Q$45</f>
        <v>280</v>
      </c>
      <c r="AF30" s="967">
        <f>'SDK4'!$Q$45</f>
        <v>280</v>
      </c>
      <c r="AG30" s="967">
        <f>'SDK4'!$Q$45</f>
        <v>280</v>
      </c>
      <c r="AH30" s="904"/>
      <c r="AI30" s="901"/>
      <c r="AJ30" s="902">
        <f>'SDK4'!$Q$46</f>
        <v>320</v>
      </c>
      <c r="AK30" s="902">
        <f>'SDK4'!$Q$46</f>
        <v>320</v>
      </c>
      <c r="AL30" s="902">
        <f>'SDK4'!$Q$46</f>
        <v>320</v>
      </c>
      <c r="AM30" s="902">
        <f>'SDK4'!$Q$46</f>
        <v>320</v>
      </c>
      <c r="AN30" s="902">
        <f>'SDK4'!$Q$46</f>
        <v>320</v>
      </c>
      <c r="AO30" s="902">
        <f>'SDK4'!$Q$46</f>
        <v>320</v>
      </c>
      <c r="AP30" s="902">
        <f>'SDK4'!$Q$46</f>
        <v>320</v>
      </c>
      <c r="AQ30" s="902">
        <f>'SDK4'!$Q$46</f>
        <v>320</v>
      </c>
      <c r="AR30" s="902">
        <f>'SDK4'!$Q$46</f>
        <v>320</v>
      </c>
      <c r="AS30" s="902">
        <f>'SDK4'!$Q$46</f>
        <v>320</v>
      </c>
      <c r="AT30" s="902">
        <f>'SDK4'!$Q$46</f>
        <v>320</v>
      </c>
      <c r="AU30" s="902">
        <f>'SDK4'!$Q$46</f>
        <v>320</v>
      </c>
      <c r="AV30" s="902">
        <f>'SDK4'!$Q$46</f>
        <v>320</v>
      </c>
      <c r="AW30" s="902">
        <f>'SDK4'!$Q$46</f>
        <v>320</v>
      </c>
      <c r="AX30" s="902">
        <f>'SDK4'!$Q$46</f>
        <v>320</v>
      </c>
      <c r="AY30" s="902">
        <f>'SDK4'!$Q$46</f>
        <v>320</v>
      </c>
      <c r="AZ30" s="902">
        <f>'SDK4'!$Q$46</f>
        <v>320</v>
      </c>
      <c r="BA30" s="902">
        <f>'SDK4'!$Q$46</f>
        <v>320</v>
      </c>
      <c r="BB30" s="902">
        <f>'SDK4'!$Q$46</f>
        <v>320</v>
      </c>
      <c r="BC30" s="902">
        <f>'SDK4'!$Q$46</f>
        <v>320</v>
      </c>
      <c r="BD30" s="902">
        <f>'SDK4'!$Q$46</f>
        <v>320</v>
      </c>
      <c r="BE30" s="902">
        <f>'SDK4'!$Q$46</f>
        <v>320</v>
      </c>
      <c r="BF30" s="902">
        <f>'SDK4'!$Q$46</f>
        <v>320</v>
      </c>
      <c r="BG30" s="902">
        <f>'SDK4'!$Q$46</f>
        <v>320</v>
      </c>
      <c r="BH30" s="902">
        <f>'SDK4'!$Q$46</f>
        <v>320</v>
      </c>
      <c r="BI30" s="902">
        <f>'SDK4'!$Q$46</f>
        <v>320</v>
      </c>
      <c r="BJ30" s="902">
        <f>'SDK4'!$Q$46</f>
        <v>320</v>
      </c>
      <c r="BK30" s="902">
        <f>'SDK4'!$Q$46</f>
        <v>320</v>
      </c>
      <c r="BL30" s="902">
        <f>'SDK4'!$Q$46</f>
        <v>320</v>
      </c>
      <c r="BM30" s="902">
        <f>'SDK4'!$Q$46</f>
        <v>320</v>
      </c>
      <c r="BN30" s="902">
        <f>'SDK4'!$Q$46</f>
        <v>320</v>
      </c>
      <c r="BO30" s="901"/>
      <c r="BP30" s="902">
        <f>'SDK4'!$Q$47</f>
        <v>360</v>
      </c>
      <c r="BQ30" s="902">
        <f>'SDK4'!$Q$47</f>
        <v>360</v>
      </c>
      <c r="BR30" s="902">
        <f>'SDK4'!$Q$47</f>
        <v>360</v>
      </c>
      <c r="BS30" s="902">
        <f>'SDK4'!$Q$47</f>
        <v>360</v>
      </c>
      <c r="BT30" s="902">
        <f>'SDK4'!$Q$47</f>
        <v>360</v>
      </c>
      <c r="BU30" s="902">
        <f>'SDK4'!$Q$47</f>
        <v>360</v>
      </c>
      <c r="BV30" s="902">
        <f>'SDK4'!$Q$47</f>
        <v>360</v>
      </c>
      <c r="BW30" s="902">
        <f>'SDK4'!$Q$47</f>
        <v>360</v>
      </c>
      <c r="BX30" s="902">
        <f>'SDK4'!$Q$47</f>
        <v>360</v>
      </c>
      <c r="BY30" s="902">
        <f>'SDK4'!$Q$47</f>
        <v>360</v>
      </c>
      <c r="BZ30" s="902">
        <f>'SDK4'!$Q$47</f>
        <v>360</v>
      </c>
      <c r="CA30" s="902">
        <f>'SDK4'!$Q$47</f>
        <v>360</v>
      </c>
      <c r="CB30" s="902">
        <f>'SDK4'!$Q$47</f>
        <v>360</v>
      </c>
      <c r="CC30" s="902">
        <f>'SDK4'!$Q$47</f>
        <v>360</v>
      </c>
      <c r="CD30" s="902">
        <f>'SDK4'!$Q$47</f>
        <v>360</v>
      </c>
      <c r="CE30" s="902">
        <f>'SDK4'!$Q$47</f>
        <v>360</v>
      </c>
      <c r="CF30" s="902">
        <f>'SDK4'!$Q$47</f>
        <v>360</v>
      </c>
      <c r="CG30" s="902">
        <f>'SDK4'!$Q$47</f>
        <v>360</v>
      </c>
      <c r="CH30" s="902">
        <f>'SDK4'!$Q$47</f>
        <v>360</v>
      </c>
      <c r="CI30" s="902">
        <f>'SDK4'!$Q$47</f>
        <v>360</v>
      </c>
      <c r="CJ30" s="902">
        <f>'SDK4'!$Q$47</f>
        <v>360</v>
      </c>
      <c r="CK30" s="902">
        <f>'SDK4'!$Q$47</f>
        <v>360</v>
      </c>
      <c r="CL30" s="902">
        <f>'SDK4'!$Q$47</f>
        <v>360</v>
      </c>
      <c r="CM30" s="902">
        <f>'SDK4'!$Q$47</f>
        <v>360</v>
      </c>
      <c r="CN30" s="902">
        <f>'SDK4'!$Q$47</f>
        <v>360</v>
      </c>
      <c r="CO30" s="902">
        <f>'SDK4'!$Q$47</f>
        <v>360</v>
      </c>
      <c r="CP30" s="902">
        <f>'SDK4'!$Q$47</f>
        <v>360</v>
      </c>
      <c r="CQ30" s="902">
        <f>'SDK4'!$Q$47</f>
        <v>360</v>
      </c>
      <c r="CR30" s="902">
        <f>'SDK4'!$Q$47</f>
        <v>360</v>
      </c>
      <c r="CS30" s="902">
        <f>'SDK4'!$Q$47</f>
        <v>360</v>
      </c>
      <c r="CT30" s="902">
        <f>'SDK4'!$Q$47</f>
        <v>360</v>
      </c>
      <c r="CV30" s="945" t="s">
        <v>809</v>
      </c>
      <c r="CW30" s="915"/>
      <c r="CX30" s="967">
        <f>SDÖ4!$Q$48</f>
        <v>280</v>
      </c>
      <c r="CY30" s="967">
        <f>SDÖ4!$Q$48</f>
        <v>280</v>
      </c>
      <c r="CZ30" s="967">
        <f>SDÖ4!$Q$48</f>
        <v>280</v>
      </c>
      <c r="DA30" s="967">
        <f>SDÖ4!$Q$48</f>
        <v>280</v>
      </c>
      <c r="DB30" s="967">
        <f>SDÖ4!$Q$48</f>
        <v>280</v>
      </c>
      <c r="DC30" s="967">
        <f>SDÖ4!$Q$48</f>
        <v>280</v>
      </c>
      <c r="DD30" s="967">
        <f>SDÖ4!$Q$48</f>
        <v>280</v>
      </c>
      <c r="DE30" s="967">
        <f>SDÖ4!$Q$48</f>
        <v>280</v>
      </c>
      <c r="DF30" s="967">
        <f>SDÖ4!$Q$48</f>
        <v>280</v>
      </c>
      <c r="DG30" s="967">
        <f>SDÖ4!$Q$48</f>
        <v>280</v>
      </c>
      <c r="DH30" s="967">
        <f>SDÖ4!$Q$48</f>
        <v>280</v>
      </c>
      <c r="DI30" s="967">
        <f>SDÖ4!$Q$48</f>
        <v>280</v>
      </c>
      <c r="DJ30" s="967">
        <f>SDÖ4!$Q$48</f>
        <v>280</v>
      </c>
      <c r="DK30" s="967">
        <f>SDÖ4!$Q$48</f>
        <v>280</v>
      </c>
      <c r="DL30" s="967">
        <f>SDÖ4!$Q$48</f>
        <v>280</v>
      </c>
      <c r="DM30" s="967">
        <f>SDÖ4!$Q$48</f>
        <v>280</v>
      </c>
      <c r="DN30" s="967">
        <f>SDÖ4!$Q$48</f>
        <v>280</v>
      </c>
      <c r="DO30" s="967">
        <f>SDÖ4!$Q$48</f>
        <v>280</v>
      </c>
      <c r="DP30" s="967">
        <f>SDÖ4!$Q$48</f>
        <v>280</v>
      </c>
      <c r="DQ30" s="967">
        <f>SDÖ4!$Q$48</f>
        <v>280</v>
      </c>
      <c r="DR30" s="967">
        <f>SDÖ4!$Q$48</f>
        <v>280</v>
      </c>
      <c r="DS30" s="967">
        <f>SDÖ4!$Q$48</f>
        <v>280</v>
      </c>
      <c r="DT30" s="893"/>
      <c r="DU30" s="904">
        <f>SDÖ4!$Q$49</f>
        <v>320</v>
      </c>
      <c r="DV30" s="904">
        <f>SDÖ4!$Q$49</f>
        <v>320</v>
      </c>
      <c r="DW30" s="904">
        <f>SDÖ4!$Q$49</f>
        <v>320</v>
      </c>
      <c r="DX30" s="904">
        <f>SDÖ4!$Q$49</f>
        <v>320</v>
      </c>
      <c r="DY30" s="904">
        <f>SDÖ4!$Q$49</f>
        <v>320</v>
      </c>
      <c r="DZ30" s="904">
        <f>SDÖ4!$Q$49</f>
        <v>320</v>
      </c>
      <c r="EA30" s="904">
        <f>SDÖ4!$Q$49</f>
        <v>320</v>
      </c>
      <c r="EB30" s="904">
        <f>SDÖ4!$Q$49</f>
        <v>320</v>
      </c>
      <c r="EC30" s="904">
        <f>SDÖ4!$Q$49</f>
        <v>320</v>
      </c>
      <c r="ED30" s="904">
        <f>SDÖ4!$Q$49</f>
        <v>320</v>
      </c>
      <c r="EE30" s="904">
        <f>SDÖ4!$Q$49</f>
        <v>320</v>
      </c>
      <c r="EF30" s="904">
        <f>SDÖ4!$Q$49</f>
        <v>320</v>
      </c>
      <c r="EG30" s="904">
        <f>SDÖ4!$Q$49</f>
        <v>320</v>
      </c>
      <c r="EH30" s="904">
        <f>SDÖ4!$Q$49</f>
        <v>320</v>
      </c>
      <c r="EI30" s="904">
        <f>SDÖ4!$Q$49</f>
        <v>320</v>
      </c>
      <c r="EJ30" s="904">
        <f>SDÖ4!$Q$49</f>
        <v>320</v>
      </c>
      <c r="EK30" s="904">
        <f>SDÖ4!$Q$49</f>
        <v>320</v>
      </c>
      <c r="EL30" s="904">
        <f>SDÖ4!$Q$49</f>
        <v>320</v>
      </c>
      <c r="EM30" s="904">
        <f>SDÖ4!$Q$49</f>
        <v>320</v>
      </c>
      <c r="EN30" s="904">
        <f>SDÖ4!$Q$49</f>
        <v>320</v>
      </c>
      <c r="EO30" s="904">
        <f>SDÖ4!$Q$49</f>
        <v>320</v>
      </c>
      <c r="EP30" s="904">
        <f>SDÖ4!$Q$49</f>
        <v>320</v>
      </c>
      <c r="EQ30" s="893"/>
      <c r="ER30" s="904">
        <f>SDÖ4!$Q$50</f>
        <v>350</v>
      </c>
      <c r="ES30" s="904">
        <f>SDÖ4!$Q$50</f>
        <v>350</v>
      </c>
      <c r="ET30" s="904">
        <f>SDÖ4!$Q$50</f>
        <v>350</v>
      </c>
      <c r="EU30" s="904">
        <f>SDÖ4!$Q$50</f>
        <v>350</v>
      </c>
      <c r="EV30" s="904">
        <f>SDÖ4!$Q$50</f>
        <v>350</v>
      </c>
      <c r="EW30" s="904">
        <f>SDÖ4!$Q$50</f>
        <v>350</v>
      </c>
      <c r="EX30" s="904">
        <f>SDÖ4!$Q$50</f>
        <v>350</v>
      </c>
      <c r="EY30" s="904">
        <f>SDÖ4!$Q$50</f>
        <v>350</v>
      </c>
      <c r="EZ30" s="904">
        <f>SDÖ4!$Q$50</f>
        <v>350</v>
      </c>
      <c r="FA30" s="904">
        <f>SDÖ4!$Q$50</f>
        <v>350</v>
      </c>
      <c r="FB30" s="904">
        <f>SDÖ4!$Q$50</f>
        <v>350</v>
      </c>
      <c r="FC30" s="904">
        <f>SDÖ4!$Q$50</f>
        <v>350</v>
      </c>
      <c r="FD30" s="904">
        <f>SDÖ4!$Q$50</f>
        <v>350</v>
      </c>
      <c r="FE30" s="904">
        <f>SDÖ4!$Q$50</f>
        <v>350</v>
      </c>
      <c r="FF30" s="904">
        <f>SDÖ4!$Q$50</f>
        <v>350</v>
      </c>
      <c r="FG30" s="904">
        <f>SDÖ4!$Q$50</f>
        <v>350</v>
      </c>
      <c r="FH30" s="904">
        <f>SDÖ4!$Q$50</f>
        <v>350</v>
      </c>
      <c r="FI30" s="904">
        <f>SDÖ4!$Q$50</f>
        <v>350</v>
      </c>
      <c r="FJ30" s="904">
        <f>SDÖ4!$Q$50</f>
        <v>350</v>
      </c>
      <c r="FK30" s="904">
        <f>SDÖ4!$Q$50</f>
        <v>350</v>
      </c>
      <c r="FL30" s="904">
        <f>SDÖ4!$Q$50</f>
        <v>350</v>
      </c>
      <c r="FM30" s="904">
        <f>SDÖ4!$Q$50</f>
        <v>350</v>
      </c>
    </row>
    <row r="31" spans="1:169" ht="16.2" customHeight="1">
      <c r="A31" s="899">
        <f>ROWS($A$1:A31)</f>
        <v>31</v>
      </c>
      <c r="B31" s="945" t="s">
        <v>808</v>
      </c>
      <c r="C31" s="915"/>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f>AA6*'SDK4'!$R$52*'SDK1'!$K$62%</f>
        <v>0</v>
      </c>
      <c r="AB31" s="904"/>
      <c r="AC31" s="904"/>
      <c r="AD31" s="904"/>
      <c r="AE31" s="904"/>
      <c r="AF31" s="904"/>
      <c r="AG31" s="904"/>
      <c r="AH31" s="904"/>
      <c r="AI31" s="901"/>
      <c r="AJ31" s="902"/>
      <c r="AK31" s="904"/>
      <c r="AL31" s="904"/>
      <c r="AM31" s="904"/>
      <c r="AN31" s="904"/>
      <c r="AO31" s="904"/>
      <c r="AP31" s="904"/>
      <c r="AQ31" s="904"/>
      <c r="AR31" s="904"/>
      <c r="AS31" s="904"/>
      <c r="AT31" s="904"/>
      <c r="AU31" s="904"/>
      <c r="AV31" s="904"/>
      <c r="AW31" s="904"/>
      <c r="AX31" s="904"/>
      <c r="AY31" s="904"/>
      <c r="AZ31" s="904"/>
      <c r="BA31" s="904"/>
      <c r="BB31" s="904"/>
      <c r="BC31" s="904"/>
      <c r="BD31" s="904"/>
      <c r="BE31" s="904"/>
      <c r="BF31" s="904"/>
      <c r="BG31" s="904">
        <f>BG6*'SDK4'!$R$52*'SDK1'!$K$62%</f>
        <v>0</v>
      </c>
      <c r="BH31" s="904"/>
      <c r="BI31" s="904"/>
      <c r="BJ31" s="904"/>
      <c r="BK31" s="904"/>
      <c r="BL31" s="904"/>
      <c r="BM31" s="904"/>
      <c r="BN31" s="904"/>
      <c r="BO31" s="901"/>
      <c r="BP31" s="902"/>
      <c r="BQ31" s="904"/>
      <c r="BR31" s="904"/>
      <c r="BS31" s="904"/>
      <c r="BT31" s="904"/>
      <c r="BU31" s="904"/>
      <c r="BV31" s="904"/>
      <c r="BW31" s="904"/>
      <c r="BX31" s="904"/>
      <c r="BY31" s="904"/>
      <c r="BZ31" s="904"/>
      <c r="CA31" s="904"/>
      <c r="CB31" s="904"/>
      <c r="CC31" s="904"/>
      <c r="CD31" s="904"/>
      <c r="CE31" s="904"/>
      <c r="CF31" s="904"/>
      <c r="CG31" s="904"/>
      <c r="CH31" s="904"/>
      <c r="CI31" s="904"/>
      <c r="CJ31" s="904"/>
      <c r="CK31" s="904"/>
      <c r="CL31" s="904"/>
      <c r="CM31" s="904">
        <f>CM6*'SDK4'!$R$52*'SDK1'!$K$62%</f>
        <v>0</v>
      </c>
      <c r="CN31" s="904"/>
      <c r="CO31" s="904"/>
      <c r="CP31" s="904"/>
      <c r="CQ31" s="904"/>
      <c r="CR31" s="904"/>
      <c r="CS31" s="904"/>
      <c r="CT31" s="904"/>
      <c r="CV31" s="3852" t="s">
        <v>1421</v>
      </c>
      <c r="CW31" s="3853"/>
      <c r="CX31" s="904"/>
      <c r="CY31" s="904"/>
      <c r="CZ31" s="904"/>
      <c r="DA31" s="904"/>
      <c r="DB31" s="904"/>
      <c r="DC31" s="904"/>
      <c r="DD31" s="904"/>
      <c r="DE31" s="904"/>
      <c r="DF31" s="904"/>
      <c r="DG31" s="904"/>
      <c r="DH31" s="904"/>
      <c r="DI31" s="904"/>
      <c r="DJ31" s="904"/>
      <c r="DK31" s="904"/>
      <c r="DL31" s="904"/>
      <c r="DM31" s="904"/>
      <c r="DN31" s="904"/>
      <c r="DO31" s="904"/>
      <c r="DP31" s="904"/>
      <c r="DQ31" s="904"/>
      <c r="DR31" s="904"/>
      <c r="DS31" s="904"/>
      <c r="DT31" s="893"/>
      <c r="DU31" s="904"/>
      <c r="DV31" s="904"/>
      <c r="DW31" s="904"/>
      <c r="DX31" s="904"/>
      <c r="DY31" s="902"/>
      <c r="DZ31" s="904"/>
      <c r="EA31" s="904"/>
      <c r="EB31" s="904"/>
      <c r="EC31" s="904"/>
      <c r="ED31" s="904"/>
      <c r="EE31" s="904"/>
      <c r="EF31" s="904"/>
      <c r="EG31" s="904"/>
      <c r="EH31" s="904"/>
      <c r="EI31" s="904"/>
      <c r="EJ31" s="904"/>
      <c r="EK31" s="904"/>
      <c r="EL31" s="904"/>
      <c r="EM31" s="904"/>
      <c r="EN31" s="904"/>
      <c r="EO31" s="904"/>
      <c r="EP31" s="904"/>
      <c r="EQ31" s="893"/>
      <c r="ER31" s="904"/>
      <c r="ES31" s="904"/>
      <c r="ET31" s="904"/>
      <c r="EU31" s="904"/>
      <c r="EV31" s="902"/>
      <c r="EW31" s="904"/>
      <c r="EX31" s="904"/>
      <c r="EY31" s="904"/>
      <c r="EZ31" s="904"/>
      <c r="FA31" s="904"/>
      <c r="FB31" s="904"/>
      <c r="FC31" s="904"/>
      <c r="FD31" s="904"/>
      <c r="FE31" s="904"/>
      <c r="FF31" s="904"/>
      <c r="FG31" s="904"/>
      <c r="FH31" s="904"/>
      <c r="FI31" s="904"/>
      <c r="FJ31" s="904"/>
      <c r="FK31" s="904"/>
      <c r="FL31" s="904"/>
      <c r="FM31" s="904"/>
    </row>
    <row r="32" spans="1:169" ht="16.2" customHeight="1">
      <c r="A32" s="899">
        <f>ROWS($A$1:A32)</f>
        <v>32</v>
      </c>
      <c r="B32" s="945" t="s">
        <v>807</v>
      </c>
      <c r="C32" s="966">
        <f>'SDK4'!Q50</f>
        <v>20</v>
      </c>
      <c r="D32" s="904">
        <f>$C$32*D27</f>
        <v>185.76</v>
      </c>
      <c r="E32" s="904">
        <f t="shared" ref="E32:AH32" si="85">$C$32*E27</f>
        <v>191.07</v>
      </c>
      <c r="F32" s="904">
        <f t="shared" si="85"/>
        <v>201.714</v>
      </c>
      <c r="G32" s="904">
        <f t="shared" si="85"/>
        <v>198.90600000000003</v>
      </c>
      <c r="H32" s="904">
        <f t="shared" si="85"/>
        <v>169.29</v>
      </c>
      <c r="I32" s="904">
        <f t="shared" si="85"/>
        <v>182.29500000000002</v>
      </c>
      <c r="J32" s="904">
        <f t="shared" si="85"/>
        <v>182.68200000000002</v>
      </c>
      <c r="K32" s="904">
        <f t="shared" si="85"/>
        <v>181.8</v>
      </c>
      <c r="L32" s="904">
        <f t="shared" si="85"/>
        <v>169.94879999999998</v>
      </c>
      <c r="M32" s="904">
        <f t="shared" si="85"/>
        <v>169.25399999999996</v>
      </c>
      <c r="N32" s="904">
        <f t="shared" si="85"/>
        <v>168.51599999999996</v>
      </c>
      <c r="O32" s="904">
        <f t="shared" si="85"/>
        <v>170.55</v>
      </c>
      <c r="P32" s="904">
        <f t="shared" si="85"/>
        <v>195.22440000000003</v>
      </c>
      <c r="Q32" s="904">
        <f t="shared" si="85"/>
        <v>146.97359999999998</v>
      </c>
      <c r="R32" s="904">
        <f t="shared" ref="R32" si="86">$C$32*R27</f>
        <v>137.328</v>
      </c>
      <c r="S32" s="904">
        <f t="shared" si="85"/>
        <v>150.048</v>
      </c>
      <c r="T32" s="904">
        <f t="shared" si="85"/>
        <v>141.8904</v>
      </c>
      <c r="U32" s="904">
        <f t="shared" si="85"/>
        <v>159.93</v>
      </c>
      <c r="V32" s="904">
        <f t="shared" si="85"/>
        <v>120.91200000000001</v>
      </c>
      <c r="W32" s="904">
        <f t="shared" ref="W32" si="87">$C$32*W27</f>
        <v>148.82400000000001</v>
      </c>
      <c r="X32" s="904">
        <f t="shared" si="85"/>
        <v>120.91200000000001</v>
      </c>
      <c r="Y32" s="904">
        <f t="shared" si="85"/>
        <v>120.91200000000001</v>
      </c>
      <c r="Z32" s="904">
        <f t="shared" si="85"/>
        <v>119.13600000000001</v>
      </c>
      <c r="AA32" s="904">
        <f t="shared" si="85"/>
        <v>164.88</v>
      </c>
      <c r="AB32" s="904">
        <f t="shared" si="85"/>
        <v>655.31999999999994</v>
      </c>
      <c r="AC32" s="904">
        <f t="shared" si="85"/>
        <v>1049.2</v>
      </c>
      <c r="AD32" s="904">
        <f t="shared" si="85"/>
        <v>679.08</v>
      </c>
      <c r="AE32" s="904">
        <f t="shared" si="85"/>
        <v>748.96</v>
      </c>
      <c r="AF32" s="904">
        <f t="shared" si="85"/>
        <v>0</v>
      </c>
      <c r="AG32" s="904">
        <f t="shared" si="85"/>
        <v>117.36000000000001</v>
      </c>
      <c r="AH32" s="904">
        <f t="shared" si="85"/>
        <v>115.20000000000002</v>
      </c>
      <c r="AI32" s="901"/>
      <c r="AJ32" s="902">
        <f t="shared" ref="AJ32:BN32" si="88">$C$32*AJ27</f>
        <v>212.40000000000003</v>
      </c>
      <c r="AK32" s="904">
        <f t="shared" si="88"/>
        <v>214.20000000000002</v>
      </c>
      <c r="AL32" s="904">
        <f t="shared" si="88"/>
        <v>224.54400000000004</v>
      </c>
      <c r="AM32" s="904">
        <f t="shared" si="88"/>
        <v>220.80000000000007</v>
      </c>
      <c r="AN32" s="904">
        <f t="shared" si="88"/>
        <v>182.04000000000002</v>
      </c>
      <c r="AO32" s="904">
        <f t="shared" si="88"/>
        <v>199.38</v>
      </c>
      <c r="AP32" s="904">
        <f t="shared" si="88"/>
        <v>197.256</v>
      </c>
      <c r="AQ32" s="904">
        <f t="shared" si="88"/>
        <v>201.84000000000003</v>
      </c>
      <c r="AR32" s="904">
        <f t="shared" si="88"/>
        <v>182.91840000000002</v>
      </c>
      <c r="AS32" s="904">
        <f t="shared" si="88"/>
        <v>181.99200000000002</v>
      </c>
      <c r="AT32" s="904">
        <f t="shared" si="88"/>
        <v>176.84399999999997</v>
      </c>
      <c r="AU32" s="904">
        <f t="shared" si="88"/>
        <v>191.4</v>
      </c>
      <c r="AV32" s="904">
        <f t="shared" si="88"/>
        <v>207.49920000000003</v>
      </c>
      <c r="AW32" s="904">
        <f t="shared" si="88"/>
        <v>151.32479999999998</v>
      </c>
      <c r="AX32" s="904">
        <f t="shared" ref="AX32" si="89">$C$32*AX27</f>
        <v>139.10399999999998</v>
      </c>
      <c r="AY32" s="904">
        <f t="shared" si="88"/>
        <v>159.744</v>
      </c>
      <c r="AZ32" s="904">
        <f t="shared" si="88"/>
        <v>150.78719999999998</v>
      </c>
      <c r="BA32" s="904">
        <f t="shared" si="88"/>
        <v>161.04</v>
      </c>
      <c r="BB32" s="904">
        <f t="shared" si="88"/>
        <v>122.15520000000001</v>
      </c>
      <c r="BC32" s="904">
        <f t="shared" ref="BC32" si="90">$C$32*BC27</f>
        <v>149.71200000000002</v>
      </c>
      <c r="BD32" s="904">
        <f t="shared" si="88"/>
        <v>123.57600000000002</v>
      </c>
      <c r="BE32" s="904">
        <f t="shared" si="88"/>
        <v>123.57600000000002</v>
      </c>
      <c r="BF32" s="904">
        <f t="shared" si="88"/>
        <v>121.80000000000001</v>
      </c>
      <c r="BG32" s="904">
        <f t="shared" si="88"/>
        <v>164.88</v>
      </c>
      <c r="BH32" s="904">
        <f t="shared" si="88"/>
        <v>676.76</v>
      </c>
      <c r="BI32" s="904">
        <f t="shared" si="88"/>
        <v>1060.8</v>
      </c>
      <c r="BJ32" s="904">
        <f t="shared" si="88"/>
        <v>704.04</v>
      </c>
      <c r="BK32" s="904">
        <f t="shared" si="88"/>
        <v>762.40000000000009</v>
      </c>
      <c r="BL32" s="904">
        <f t="shared" si="88"/>
        <v>0</v>
      </c>
      <c r="BM32" s="904">
        <f t="shared" si="88"/>
        <v>117.36000000000001</v>
      </c>
      <c r="BN32" s="904">
        <f t="shared" si="88"/>
        <v>115.20000000000002</v>
      </c>
      <c r="BO32" s="901"/>
      <c r="BP32" s="902">
        <f t="shared" ref="BP32:CT32" si="91">$C$32*BP27</f>
        <v>246.95999999999998</v>
      </c>
      <c r="BQ32" s="904">
        <f t="shared" si="91"/>
        <v>237.33000000000004</v>
      </c>
      <c r="BR32" s="904">
        <f t="shared" si="91"/>
        <v>249.816</v>
      </c>
      <c r="BS32" s="904">
        <f t="shared" si="91"/>
        <v>245.13600000000002</v>
      </c>
      <c r="BT32" s="904">
        <f t="shared" si="91"/>
        <v>208.47000000000003</v>
      </c>
      <c r="BU32" s="904">
        <f t="shared" si="91"/>
        <v>222.22499999999997</v>
      </c>
      <c r="BV32" s="904">
        <f t="shared" si="91"/>
        <v>217.58999999999997</v>
      </c>
      <c r="BW32" s="904">
        <f t="shared" si="91"/>
        <v>216.12</v>
      </c>
      <c r="BX32" s="904">
        <f t="shared" si="91"/>
        <v>195.88799999999998</v>
      </c>
      <c r="BY32" s="904">
        <f t="shared" si="91"/>
        <v>194.73</v>
      </c>
      <c r="BZ32" s="904">
        <f t="shared" si="91"/>
        <v>185.172</v>
      </c>
      <c r="CA32" s="904">
        <f t="shared" si="91"/>
        <v>206.49</v>
      </c>
      <c r="CB32" s="904">
        <f t="shared" si="91"/>
        <v>219.77400000000003</v>
      </c>
      <c r="CC32" s="904">
        <f t="shared" si="91"/>
        <v>155.67599999999999</v>
      </c>
      <c r="CD32" s="904">
        <f t="shared" ref="CD32" si="92">$C$32*CD27</f>
        <v>140.88</v>
      </c>
      <c r="CE32" s="904">
        <f t="shared" si="91"/>
        <v>161.52000000000001</v>
      </c>
      <c r="CF32" s="904">
        <f t="shared" si="91"/>
        <v>151.76399999999998</v>
      </c>
      <c r="CG32" s="904">
        <f t="shared" si="91"/>
        <v>162.15</v>
      </c>
      <c r="CH32" s="904">
        <f t="shared" si="91"/>
        <v>123.39840000000002</v>
      </c>
      <c r="CI32" s="904">
        <f t="shared" ref="CI32" si="93">$C$32*CI27</f>
        <v>150.60000000000002</v>
      </c>
      <c r="CJ32" s="904">
        <f t="shared" si="91"/>
        <v>126.24000000000001</v>
      </c>
      <c r="CK32" s="904">
        <f t="shared" si="91"/>
        <v>126.24000000000001</v>
      </c>
      <c r="CL32" s="904">
        <f t="shared" si="91"/>
        <v>124.464</v>
      </c>
      <c r="CM32" s="904">
        <f t="shared" si="91"/>
        <v>172.8</v>
      </c>
      <c r="CN32" s="904">
        <f t="shared" si="91"/>
        <v>698.19999999999993</v>
      </c>
      <c r="CO32" s="904">
        <f t="shared" si="91"/>
        <v>1081.2</v>
      </c>
      <c r="CP32" s="904">
        <f t="shared" si="91"/>
        <v>729</v>
      </c>
      <c r="CQ32" s="904">
        <f t="shared" si="91"/>
        <v>775.52</v>
      </c>
      <c r="CR32" s="904">
        <f>$C$32*CR27</f>
        <v>0</v>
      </c>
      <c r="CS32" s="904">
        <f t="shared" si="91"/>
        <v>117.36000000000001</v>
      </c>
      <c r="CT32" s="904">
        <f t="shared" si="91"/>
        <v>115.20000000000002</v>
      </c>
      <c r="CV32" s="945" t="s">
        <v>807</v>
      </c>
      <c r="CW32" s="917">
        <f>SDÖ4!Q121</f>
        <v>0</v>
      </c>
      <c r="CX32" s="904">
        <f>$C$32*CX27</f>
        <v>207.00000000000003</v>
      </c>
      <c r="CY32" s="904">
        <f>$C$32*CY27</f>
        <v>155.15999999999997</v>
      </c>
      <c r="CZ32" s="904">
        <f>$C$32*CZ27</f>
        <v>207.00000000000003</v>
      </c>
      <c r="DA32" s="904">
        <f>$C$32*DA27</f>
        <v>155.15999999999997</v>
      </c>
      <c r="DB32" s="904">
        <f t="shared" ref="DB32:DJ32" si="94">$C$32*DB27</f>
        <v>160.53942857142857</v>
      </c>
      <c r="DC32" s="904">
        <f t="shared" si="94"/>
        <v>128.44799999999998</v>
      </c>
      <c r="DD32" s="904">
        <f>$C$32*DD27</f>
        <v>128.44799999999998</v>
      </c>
      <c r="DE32" s="904" t="e">
        <f t="shared" si="94"/>
        <v>#N/A</v>
      </c>
      <c r="DF32" s="904">
        <f t="shared" si="94"/>
        <v>164.55085714285715</v>
      </c>
      <c r="DG32" s="904">
        <f t="shared" si="94"/>
        <v>164.55085714285715</v>
      </c>
      <c r="DH32" s="904">
        <f>$C$32*DH27</f>
        <v>154.83085714285716</v>
      </c>
      <c r="DI32" s="904">
        <f t="shared" si="94"/>
        <v>150.7405714285714</v>
      </c>
      <c r="DJ32" s="904">
        <f t="shared" si="94"/>
        <v>215.964</v>
      </c>
      <c r="DK32" s="904">
        <f>$C$32*DK27</f>
        <v>167.85</v>
      </c>
      <c r="DL32" s="904">
        <f t="shared" ref="DL32:DS32" si="95">$C$32*DL27</f>
        <v>136.88999999999999</v>
      </c>
      <c r="DM32" s="904">
        <f t="shared" si="95"/>
        <v>227.83199999999999</v>
      </c>
      <c r="DN32" s="904" t="e">
        <f t="shared" si="95"/>
        <v>#N/A</v>
      </c>
      <c r="DO32" s="904" t="e">
        <f t="shared" si="95"/>
        <v>#N/A</v>
      </c>
      <c r="DP32" s="904">
        <f t="shared" si="95"/>
        <v>1199.9999999999998</v>
      </c>
      <c r="DQ32" s="904">
        <f t="shared" ref="DQ32" si="96">$C$32*DQ27</f>
        <v>147.74399999999997</v>
      </c>
      <c r="DR32" s="904">
        <f t="shared" si="95"/>
        <v>90</v>
      </c>
      <c r="DS32" s="904">
        <f t="shared" si="95"/>
        <v>212.40000000000003</v>
      </c>
      <c r="DT32" s="893"/>
      <c r="DU32" s="904">
        <f>$C$32*DU27</f>
        <v>207.00000000000003</v>
      </c>
      <c r="DV32" s="904">
        <f>$C$32*DV27</f>
        <v>155.15999999999997</v>
      </c>
      <c r="DW32" s="904">
        <f>$C$32*DW27</f>
        <v>207.00000000000003</v>
      </c>
      <c r="DX32" s="904">
        <f>$C$32*DX27</f>
        <v>155.15999999999997</v>
      </c>
      <c r="DY32" s="902">
        <f t="shared" ref="DY32:EG32" si="97">$C$32*DY27</f>
        <v>158.304</v>
      </c>
      <c r="DZ32" s="904">
        <f t="shared" si="97"/>
        <v>130.22400000000002</v>
      </c>
      <c r="EA32" s="904">
        <f t="shared" si="97"/>
        <v>130.22400000000002</v>
      </c>
      <c r="EB32" s="904" t="e">
        <f t="shared" si="97"/>
        <v>#N/A</v>
      </c>
      <c r="EC32" s="904">
        <f t="shared" si="97"/>
        <v>161.81399999999999</v>
      </c>
      <c r="ED32" s="904">
        <f t="shared" si="97"/>
        <v>161.81399999999999</v>
      </c>
      <c r="EE32" s="904">
        <f>$C$32*EE27</f>
        <v>161.81399999999999</v>
      </c>
      <c r="EF32" s="904">
        <f t="shared" si="97"/>
        <v>151.28400000000002</v>
      </c>
      <c r="EG32" s="904">
        <f t="shared" si="97"/>
        <v>219.072</v>
      </c>
      <c r="EH32" s="904">
        <f t="shared" ref="EH32:EM32" si="98">$C$32*EH27</f>
        <v>168.96</v>
      </c>
      <c r="EI32" s="904">
        <f t="shared" si="98"/>
        <v>138</v>
      </c>
      <c r="EJ32" s="904">
        <f t="shared" si="98"/>
        <v>228.72</v>
      </c>
      <c r="EK32" s="904" t="e">
        <f t="shared" si="98"/>
        <v>#N/A</v>
      </c>
      <c r="EL32" s="904" t="e">
        <f t="shared" si="98"/>
        <v>#N/A</v>
      </c>
      <c r="EM32" s="904">
        <f t="shared" si="98"/>
        <v>1232</v>
      </c>
      <c r="EN32" s="904">
        <f t="shared" ref="EN32" si="99">$C$32*EN27</f>
        <v>148.63199999999998</v>
      </c>
      <c r="EO32" s="904">
        <f>$C$32*EO27</f>
        <v>90</v>
      </c>
      <c r="EP32" s="904">
        <f>$C$32*EP27</f>
        <v>212.40000000000003</v>
      </c>
      <c r="EQ32" s="893"/>
      <c r="ER32" s="904">
        <f>$C$32*ER27</f>
        <v>207.00000000000003</v>
      </c>
      <c r="ES32" s="904">
        <f>$C$32*ES27</f>
        <v>155.15999999999997</v>
      </c>
      <c r="ET32" s="904">
        <f>$C$32*ET27</f>
        <v>207.00000000000003</v>
      </c>
      <c r="EU32" s="904">
        <f>$C$32*EU27</f>
        <v>155.15999999999997</v>
      </c>
      <c r="EV32" s="902">
        <f t="shared" ref="EV32:FD32" si="100">$C$32*EV27</f>
        <v>163.45439999999999</v>
      </c>
      <c r="EW32" s="904">
        <f t="shared" si="100"/>
        <v>133.77599999999998</v>
      </c>
      <c r="EX32" s="904">
        <f t="shared" si="100"/>
        <v>131.11199999999999</v>
      </c>
      <c r="EY32" s="904" t="e">
        <f t="shared" si="100"/>
        <v>#N/A</v>
      </c>
      <c r="EZ32" s="904">
        <f t="shared" si="100"/>
        <v>163.59000000000003</v>
      </c>
      <c r="FA32" s="904">
        <f t="shared" si="100"/>
        <v>163.59000000000003</v>
      </c>
      <c r="FB32" s="904">
        <f>$C$32*FB27</f>
        <v>163.59000000000003</v>
      </c>
      <c r="FC32" s="904">
        <f t="shared" si="100"/>
        <v>151.28400000000002</v>
      </c>
      <c r="FD32" s="904">
        <f t="shared" si="100"/>
        <v>222.17999999999995</v>
      </c>
      <c r="FE32" s="904">
        <f t="shared" ref="FE32:FJ32" si="101">$C$32*FE27</f>
        <v>170.07000000000002</v>
      </c>
      <c r="FF32" s="904">
        <f t="shared" si="101"/>
        <v>179.79</v>
      </c>
      <c r="FG32" s="904">
        <f t="shared" si="101"/>
        <v>239.328</v>
      </c>
      <c r="FH32" s="904" t="e">
        <f t="shared" si="101"/>
        <v>#N/A</v>
      </c>
      <c r="FI32" s="904" t="e">
        <f t="shared" si="101"/>
        <v>#N/A</v>
      </c>
      <c r="FJ32" s="904">
        <f t="shared" si="101"/>
        <v>1264</v>
      </c>
      <c r="FK32" s="904">
        <f t="shared" ref="FK32" si="102">$C$32*FK27</f>
        <v>149.52000000000001</v>
      </c>
      <c r="FL32" s="904">
        <f>$C$32*FL27</f>
        <v>90</v>
      </c>
      <c r="FM32" s="904">
        <f>$C$32*FM27</f>
        <v>212.40000000000003</v>
      </c>
    </row>
    <row r="33" spans="1:169" ht="16.2" customHeight="1">
      <c r="A33" s="899">
        <f>ROWS($A$1:A33)</f>
        <v>33</v>
      </c>
      <c r="B33" s="945" t="s">
        <v>806</v>
      </c>
      <c r="C33" s="915"/>
      <c r="D33" s="2627">
        <f>'SDK4'!$Q$48</f>
        <v>195</v>
      </c>
      <c r="E33" s="904">
        <f>'SDK4'!$Q$48</f>
        <v>195</v>
      </c>
      <c r="F33" s="904">
        <f>'SDK4'!$Q$48</f>
        <v>195</v>
      </c>
      <c r="G33" s="904">
        <f>'SDK4'!$Q$48</f>
        <v>195</v>
      </c>
      <c r="H33" s="904">
        <f>'SDK4'!$Q$48</f>
        <v>195</v>
      </c>
      <c r="I33" s="904">
        <f>'SDK4'!$Q$48</f>
        <v>195</v>
      </c>
      <c r="J33" s="904">
        <f>'SDK4'!$Q$48</f>
        <v>195</v>
      </c>
      <c r="K33" s="904">
        <f>'SDK4'!$Q$48</f>
        <v>195</v>
      </c>
      <c r="L33" s="904">
        <f>'SDK4'!$Q$48</f>
        <v>195</v>
      </c>
      <c r="M33" s="904">
        <f>'SDK4'!$Q$48</f>
        <v>195</v>
      </c>
      <c r="N33" s="904">
        <f>'SDK4'!$Q$48</f>
        <v>195</v>
      </c>
      <c r="O33" s="904">
        <f>'SDK4'!$Q$48</f>
        <v>195</v>
      </c>
      <c r="P33" s="904">
        <f>'SDK4'!$Q$48</f>
        <v>195</v>
      </c>
      <c r="Q33" s="904">
        <f>'SDK4'!$Q$48</f>
        <v>195</v>
      </c>
      <c r="R33" s="904">
        <f>'SDK4'!$Q$48</f>
        <v>195</v>
      </c>
      <c r="S33" s="904">
        <f>'SDK4'!$Q$48</f>
        <v>195</v>
      </c>
      <c r="T33" s="904">
        <f>'SDK4'!$Q$48</f>
        <v>195</v>
      </c>
      <c r="U33" s="904">
        <f>'SDK4'!$Q$48</f>
        <v>195</v>
      </c>
      <c r="V33" s="904">
        <f>'SDK4'!$Q$48</f>
        <v>195</v>
      </c>
      <c r="W33" s="904">
        <f>'SDK4'!$Q$48</f>
        <v>195</v>
      </c>
      <c r="X33" s="904">
        <f>'SDK4'!$Q$48</f>
        <v>195</v>
      </c>
      <c r="Y33" s="904">
        <f>'SDK4'!$Q$48</f>
        <v>195</v>
      </c>
      <c r="Z33" s="904">
        <f>'SDK4'!$Q$48</f>
        <v>195</v>
      </c>
      <c r="AA33" s="904">
        <f>'SDK4'!$Q$48</f>
        <v>195</v>
      </c>
      <c r="AB33" s="904">
        <f>'SDK4'!$Q$48</f>
        <v>195</v>
      </c>
      <c r="AC33" s="904">
        <f>'SDK4'!$Q$48</f>
        <v>195</v>
      </c>
      <c r="AD33" s="904">
        <f>'SDK4'!$Q$48</f>
        <v>195</v>
      </c>
      <c r="AE33" s="904">
        <f>'SDK4'!$Q$48</f>
        <v>195</v>
      </c>
      <c r="AF33" s="904">
        <f>'SDK4'!$Q$48</f>
        <v>195</v>
      </c>
      <c r="AG33" s="904">
        <f>'SDK4'!$Q$48</f>
        <v>195</v>
      </c>
      <c r="AH33" s="904"/>
      <c r="AI33" s="904"/>
      <c r="AJ33" s="902">
        <f>'SDK4'!$Q$48</f>
        <v>195</v>
      </c>
      <c r="AK33" s="902">
        <f>'SDK4'!$Q$48</f>
        <v>195</v>
      </c>
      <c r="AL33" s="902">
        <f>'SDK4'!$Q$48</f>
        <v>195</v>
      </c>
      <c r="AM33" s="902">
        <f>'SDK4'!$Q$48</f>
        <v>195</v>
      </c>
      <c r="AN33" s="902">
        <f>'SDK4'!$Q$48</f>
        <v>195</v>
      </c>
      <c r="AO33" s="902">
        <f>'SDK4'!$Q$48</f>
        <v>195</v>
      </c>
      <c r="AP33" s="902">
        <f>'SDK4'!$Q$48</f>
        <v>195</v>
      </c>
      <c r="AQ33" s="902">
        <f>'SDK4'!$Q$48</f>
        <v>195</v>
      </c>
      <c r="AR33" s="902">
        <f>'SDK4'!$Q$48</f>
        <v>195</v>
      </c>
      <c r="AS33" s="902">
        <f>'SDK4'!$Q$48</f>
        <v>195</v>
      </c>
      <c r="AT33" s="902">
        <f>'SDK4'!$Q$48</f>
        <v>195</v>
      </c>
      <c r="AU33" s="902">
        <f>'SDK4'!$Q$48</f>
        <v>195</v>
      </c>
      <c r="AV33" s="902">
        <f>'SDK4'!$Q$48</f>
        <v>195</v>
      </c>
      <c r="AW33" s="902">
        <f>'SDK4'!$Q$48</f>
        <v>195</v>
      </c>
      <c r="AX33" s="902">
        <f>'SDK4'!$Q$48</f>
        <v>195</v>
      </c>
      <c r="AY33" s="902">
        <f>'SDK4'!$Q$48</f>
        <v>195</v>
      </c>
      <c r="AZ33" s="902">
        <f>'SDK4'!$Q$48</f>
        <v>195</v>
      </c>
      <c r="BA33" s="902">
        <f>'SDK4'!$Q$48</f>
        <v>195</v>
      </c>
      <c r="BB33" s="902">
        <f>'SDK4'!$Q$48</f>
        <v>195</v>
      </c>
      <c r="BC33" s="902">
        <f>'SDK4'!$Q$48</f>
        <v>195</v>
      </c>
      <c r="BD33" s="902">
        <f>'SDK4'!$Q$48</f>
        <v>195</v>
      </c>
      <c r="BE33" s="902">
        <f>'SDK4'!$Q$48</f>
        <v>195</v>
      </c>
      <c r="BF33" s="902">
        <f>'SDK4'!$Q$48</f>
        <v>195</v>
      </c>
      <c r="BG33" s="902">
        <f>'SDK4'!$Q$48</f>
        <v>195</v>
      </c>
      <c r="BH33" s="902">
        <f>'SDK4'!$Q$48</f>
        <v>195</v>
      </c>
      <c r="BI33" s="902">
        <f>'SDK4'!$Q$48</f>
        <v>195</v>
      </c>
      <c r="BJ33" s="902">
        <f>'SDK4'!$Q$48</f>
        <v>195</v>
      </c>
      <c r="BK33" s="902">
        <f>'SDK4'!$Q$48</f>
        <v>195</v>
      </c>
      <c r="BL33" s="902">
        <f>'SDK4'!$Q$48</f>
        <v>195</v>
      </c>
      <c r="BM33" s="902">
        <f>'SDK4'!$Q$48</f>
        <v>195</v>
      </c>
      <c r="BN33" s="904"/>
      <c r="BO33" s="904"/>
      <c r="BP33" s="902">
        <f>'SDK4'!$Q$48</f>
        <v>195</v>
      </c>
      <c r="BQ33" s="902">
        <f>'SDK4'!$Q$48</f>
        <v>195</v>
      </c>
      <c r="BR33" s="902">
        <f>'SDK4'!$Q$48</f>
        <v>195</v>
      </c>
      <c r="BS33" s="902">
        <f>'SDK4'!$Q$48</f>
        <v>195</v>
      </c>
      <c r="BT33" s="902">
        <f>'SDK4'!$Q$48</f>
        <v>195</v>
      </c>
      <c r="BU33" s="902">
        <f>'SDK4'!$Q$48</f>
        <v>195</v>
      </c>
      <c r="BV33" s="902">
        <f>'SDK4'!$Q$48</f>
        <v>195</v>
      </c>
      <c r="BW33" s="902">
        <f>'SDK4'!$Q$48</f>
        <v>195</v>
      </c>
      <c r="BX33" s="902">
        <f>'SDK4'!$Q$48</f>
        <v>195</v>
      </c>
      <c r="BY33" s="902">
        <f>'SDK4'!$Q$48</f>
        <v>195</v>
      </c>
      <c r="BZ33" s="902">
        <f>'SDK4'!$Q$48</f>
        <v>195</v>
      </c>
      <c r="CA33" s="902">
        <f>'SDK4'!$Q$48</f>
        <v>195</v>
      </c>
      <c r="CB33" s="902">
        <f>'SDK4'!$Q$48</f>
        <v>195</v>
      </c>
      <c r="CC33" s="902">
        <f>'SDK4'!$Q$48</f>
        <v>195</v>
      </c>
      <c r="CD33" s="902">
        <f>'SDK4'!$Q$48</f>
        <v>195</v>
      </c>
      <c r="CE33" s="902">
        <f>'SDK4'!$Q$48</f>
        <v>195</v>
      </c>
      <c r="CF33" s="902">
        <f>'SDK4'!$Q$48</f>
        <v>195</v>
      </c>
      <c r="CG33" s="902">
        <f>'SDK4'!$Q$48</f>
        <v>195</v>
      </c>
      <c r="CH33" s="902">
        <f>'SDK4'!$Q$48</f>
        <v>195</v>
      </c>
      <c r="CI33" s="902">
        <f>'SDK4'!$Q$48</f>
        <v>195</v>
      </c>
      <c r="CJ33" s="902">
        <f>'SDK4'!$Q$48</f>
        <v>195</v>
      </c>
      <c r="CK33" s="902">
        <f>'SDK4'!$Q$48</f>
        <v>195</v>
      </c>
      <c r="CL33" s="902">
        <f>'SDK4'!$Q$48</f>
        <v>195</v>
      </c>
      <c r="CM33" s="902">
        <f>'SDK4'!$Q$48</f>
        <v>195</v>
      </c>
      <c r="CN33" s="902">
        <f>'SDK4'!$Q$48</f>
        <v>195</v>
      </c>
      <c r="CO33" s="902">
        <f>'SDK4'!$Q$48</f>
        <v>195</v>
      </c>
      <c r="CP33" s="902">
        <f>'SDK4'!$Q$48</f>
        <v>195</v>
      </c>
      <c r="CQ33" s="902">
        <f>'SDK4'!$Q$48</f>
        <v>195</v>
      </c>
      <c r="CR33" s="902">
        <f>'SDK4'!$Q$48</f>
        <v>195</v>
      </c>
      <c r="CS33" s="902">
        <f>'SDK4'!$Q$48</f>
        <v>195</v>
      </c>
      <c r="CT33" s="902"/>
      <c r="CV33" s="945" t="s">
        <v>806</v>
      </c>
      <c r="CW33" s="915"/>
      <c r="CX33" s="2627">
        <f>SDÖ4!$Q$51</f>
        <v>195</v>
      </c>
      <c r="CY33" s="904">
        <f>SDÖ4!$Q$51</f>
        <v>195</v>
      </c>
      <c r="CZ33" s="904">
        <f>SDÖ4!$Q$51</f>
        <v>195</v>
      </c>
      <c r="DA33" s="904">
        <f>SDÖ4!$Q$51</f>
        <v>195</v>
      </c>
      <c r="DB33" s="904">
        <f>SDÖ4!$Q$51</f>
        <v>195</v>
      </c>
      <c r="DC33" s="904">
        <f>SDÖ4!$Q$51</f>
        <v>195</v>
      </c>
      <c r="DD33" s="904">
        <f>SDÖ4!$Q$51</f>
        <v>195</v>
      </c>
      <c r="DE33" s="904">
        <f>SDÖ4!$Q$51</f>
        <v>195</v>
      </c>
      <c r="DF33" s="904">
        <f>SDÖ4!$Q$51</f>
        <v>195</v>
      </c>
      <c r="DG33" s="904">
        <f>SDÖ4!$Q$51</f>
        <v>195</v>
      </c>
      <c r="DH33" s="904">
        <f>SDÖ4!$Q$51</f>
        <v>195</v>
      </c>
      <c r="DI33" s="904">
        <f>SDÖ4!$Q$51</f>
        <v>195</v>
      </c>
      <c r="DJ33" s="904">
        <f>SDÖ4!$Q$51</f>
        <v>195</v>
      </c>
      <c r="DK33" s="904">
        <f>SDÖ4!$Q$51</f>
        <v>195</v>
      </c>
      <c r="DL33" s="904">
        <f>SDÖ4!$Q$51</f>
        <v>195</v>
      </c>
      <c r="DM33" s="904">
        <f>SDÖ4!$Q$51</f>
        <v>195</v>
      </c>
      <c r="DN33" s="904">
        <f>SDÖ4!$Q$51</f>
        <v>195</v>
      </c>
      <c r="DO33" s="904">
        <f>SDÖ4!$Q$51</f>
        <v>195</v>
      </c>
      <c r="DP33" s="904">
        <f>SDÖ4!$Q$51</f>
        <v>195</v>
      </c>
      <c r="DQ33" s="904">
        <f>SDÖ4!$Q$51</f>
        <v>195</v>
      </c>
      <c r="DR33" s="904">
        <f>SDÖ4!$Q$51</f>
        <v>195</v>
      </c>
      <c r="DS33" s="904">
        <f>SDÖ4!$Q$51</f>
        <v>195</v>
      </c>
      <c r="DT33" s="893"/>
      <c r="DU33" s="904">
        <f>SDÖ4!$Q$51</f>
        <v>195</v>
      </c>
      <c r="DV33" s="904">
        <f>SDÖ4!$Q$51</f>
        <v>195</v>
      </c>
      <c r="DW33" s="904">
        <f>SDÖ4!$Q$51</f>
        <v>195</v>
      </c>
      <c r="DX33" s="904">
        <f>SDÖ4!$Q$51</f>
        <v>195</v>
      </c>
      <c r="DY33" s="902">
        <f>SDÖ4!$Q$51</f>
        <v>195</v>
      </c>
      <c r="DZ33" s="902">
        <f>SDÖ4!$Q$51</f>
        <v>195</v>
      </c>
      <c r="EA33" s="902">
        <f>SDÖ4!$Q$51</f>
        <v>195</v>
      </c>
      <c r="EB33" s="902">
        <f>SDÖ4!$Q$51</f>
        <v>195</v>
      </c>
      <c r="EC33" s="902">
        <f>SDÖ4!$Q$51</f>
        <v>195</v>
      </c>
      <c r="ED33" s="902">
        <f>SDÖ4!$Q$51</f>
        <v>195</v>
      </c>
      <c r="EE33" s="902">
        <f>SDÖ4!$Q$51</f>
        <v>195</v>
      </c>
      <c r="EF33" s="902">
        <f>SDÖ4!$Q$51</f>
        <v>195</v>
      </c>
      <c r="EG33" s="902">
        <f>SDÖ4!$Q$51</f>
        <v>195</v>
      </c>
      <c r="EH33" s="902">
        <f>SDÖ4!$Q$51</f>
        <v>195</v>
      </c>
      <c r="EI33" s="902">
        <f>SDÖ4!$Q$51</f>
        <v>195</v>
      </c>
      <c r="EJ33" s="902">
        <f>SDÖ4!$Q$51</f>
        <v>195</v>
      </c>
      <c r="EK33" s="902">
        <f>SDÖ4!$Q$51</f>
        <v>195</v>
      </c>
      <c r="EL33" s="902">
        <f>SDÖ4!$Q$51</f>
        <v>195</v>
      </c>
      <c r="EM33" s="902">
        <f>SDÖ4!$Q$51</f>
        <v>195</v>
      </c>
      <c r="EN33" s="902">
        <f>SDÖ4!$Q$51</f>
        <v>195</v>
      </c>
      <c r="EO33" s="902">
        <f>SDÖ4!$Q$51</f>
        <v>195</v>
      </c>
      <c r="EP33" s="902">
        <f>SDÖ4!$Q$51</f>
        <v>195</v>
      </c>
      <c r="EQ33" s="893"/>
      <c r="ER33" s="904">
        <f>SDÖ4!$Q$51</f>
        <v>195</v>
      </c>
      <c r="ES33" s="902">
        <f>SDÖ4!$Q$51</f>
        <v>195</v>
      </c>
      <c r="ET33" s="902">
        <f>SDÖ4!$Q$51</f>
        <v>195</v>
      </c>
      <c r="EU33" s="902">
        <f>SDÖ4!$Q$51</f>
        <v>195</v>
      </c>
      <c r="EV33" s="902">
        <f>SDÖ4!$Q$51</f>
        <v>195</v>
      </c>
      <c r="EW33" s="902">
        <f>SDÖ4!$Q$51</f>
        <v>195</v>
      </c>
      <c r="EX33" s="902">
        <f>SDÖ4!$Q$51</f>
        <v>195</v>
      </c>
      <c r="EY33" s="902">
        <f>SDÖ4!$Q$51</f>
        <v>195</v>
      </c>
      <c r="EZ33" s="902">
        <f>SDÖ4!$Q$51</f>
        <v>195</v>
      </c>
      <c r="FA33" s="902">
        <f>SDÖ4!$Q$51</f>
        <v>195</v>
      </c>
      <c r="FB33" s="902">
        <f>SDÖ4!$Q$51</f>
        <v>195</v>
      </c>
      <c r="FC33" s="902">
        <f>SDÖ4!$Q$51</f>
        <v>195</v>
      </c>
      <c r="FD33" s="902">
        <f>SDÖ4!$Q$51</f>
        <v>195</v>
      </c>
      <c r="FE33" s="902">
        <f>SDÖ4!$Q$51</f>
        <v>195</v>
      </c>
      <c r="FF33" s="902">
        <f>SDÖ4!$Q$51</f>
        <v>195</v>
      </c>
      <c r="FG33" s="902">
        <f>SDÖ4!$Q$51</f>
        <v>195</v>
      </c>
      <c r="FH33" s="902">
        <f>SDÖ4!$Q$51</f>
        <v>195</v>
      </c>
      <c r="FI33" s="902">
        <f>SDÖ4!$Q$51</f>
        <v>195</v>
      </c>
      <c r="FJ33" s="902">
        <f>SDÖ4!$Q$51</f>
        <v>195</v>
      </c>
      <c r="FK33" s="902">
        <f>SDÖ4!$Q$51</f>
        <v>195</v>
      </c>
      <c r="FL33" s="902">
        <f>SDÖ4!$Q$51</f>
        <v>195</v>
      </c>
      <c r="FM33" s="902">
        <f>SDÖ4!$Q$51</f>
        <v>195</v>
      </c>
    </row>
    <row r="34" spans="1:169" ht="18" customHeight="1">
      <c r="A34" s="899">
        <f>ROWS($A$1:A34)</f>
        <v>34</v>
      </c>
      <c r="B34" s="965" t="s">
        <v>805</v>
      </c>
      <c r="C34" s="964"/>
      <c r="D34" s="962">
        <f t="shared" ref="D34:AH34" si="103">SUM(D28:D33)</f>
        <v>1043.76</v>
      </c>
      <c r="E34" s="962">
        <f t="shared" si="103"/>
        <v>1049.07</v>
      </c>
      <c r="F34" s="962">
        <f t="shared" si="103"/>
        <v>1059.7139999999999</v>
      </c>
      <c r="G34" s="962">
        <f t="shared" si="103"/>
        <v>1056.9059999999999</v>
      </c>
      <c r="H34" s="962">
        <f t="shared" si="103"/>
        <v>1027.29</v>
      </c>
      <c r="I34" s="962">
        <f t="shared" si="103"/>
        <v>1040.2950000000001</v>
      </c>
      <c r="J34" s="962">
        <f t="shared" si="103"/>
        <v>1040.682</v>
      </c>
      <c r="K34" s="962">
        <f t="shared" si="103"/>
        <v>1039.8</v>
      </c>
      <c r="L34" s="962">
        <f t="shared" si="103"/>
        <v>1027.9488000000001</v>
      </c>
      <c r="M34" s="962">
        <f t="shared" si="103"/>
        <v>1027.2539999999999</v>
      </c>
      <c r="N34" s="962">
        <f t="shared" si="103"/>
        <v>1026.5160000000001</v>
      </c>
      <c r="O34" s="962">
        <f t="shared" si="103"/>
        <v>1028.55</v>
      </c>
      <c r="P34" s="962">
        <f t="shared" si="103"/>
        <v>1053.2244000000001</v>
      </c>
      <c r="Q34" s="962">
        <f t="shared" si="103"/>
        <v>1004.9736</v>
      </c>
      <c r="R34" s="962">
        <f t="shared" si="103"/>
        <v>995.32799999999997</v>
      </c>
      <c r="S34" s="962">
        <f t="shared" si="103"/>
        <v>1008.048</v>
      </c>
      <c r="T34" s="962">
        <f t="shared" si="103"/>
        <v>999.8904</v>
      </c>
      <c r="U34" s="962">
        <f t="shared" si="103"/>
        <v>1017.9300000000001</v>
      </c>
      <c r="V34" s="962">
        <f t="shared" si="103"/>
        <v>978.91200000000003</v>
      </c>
      <c r="W34" s="962">
        <f t="shared" ref="W34" si="104">SUM(W28:W33)</f>
        <v>1006.8240000000001</v>
      </c>
      <c r="X34" s="962">
        <f t="shared" si="103"/>
        <v>978.91200000000003</v>
      </c>
      <c r="Y34" s="962">
        <f t="shared" si="103"/>
        <v>978.91200000000003</v>
      </c>
      <c r="Z34" s="962">
        <f t="shared" si="103"/>
        <v>977.13599999999997</v>
      </c>
      <c r="AA34" s="962">
        <f t="shared" si="103"/>
        <v>1022.88</v>
      </c>
      <c r="AB34" s="962">
        <f t="shared" si="103"/>
        <v>1513.32</v>
      </c>
      <c r="AC34" s="962">
        <f t="shared" si="103"/>
        <v>1907.2</v>
      </c>
      <c r="AD34" s="962">
        <f t="shared" si="103"/>
        <v>1537.08</v>
      </c>
      <c r="AE34" s="962">
        <f t="shared" si="103"/>
        <v>1606.96</v>
      </c>
      <c r="AF34" s="962">
        <f t="shared" si="103"/>
        <v>858</v>
      </c>
      <c r="AG34" s="962">
        <f t="shared" si="103"/>
        <v>975.36</v>
      </c>
      <c r="AH34" s="962">
        <f t="shared" si="103"/>
        <v>115.20000000000002</v>
      </c>
      <c r="AI34" s="948"/>
      <c r="AJ34" s="963">
        <f t="shared" ref="AJ34:BN34" si="105">SUM(AJ28:AJ33)</f>
        <v>1110.4000000000001</v>
      </c>
      <c r="AK34" s="962">
        <f t="shared" si="105"/>
        <v>1112.2</v>
      </c>
      <c r="AL34" s="962">
        <f t="shared" si="105"/>
        <v>1122.5440000000001</v>
      </c>
      <c r="AM34" s="962">
        <f t="shared" si="105"/>
        <v>1118.8000000000002</v>
      </c>
      <c r="AN34" s="962">
        <f t="shared" si="105"/>
        <v>1080.04</v>
      </c>
      <c r="AO34" s="962">
        <f t="shared" si="105"/>
        <v>1097.3800000000001</v>
      </c>
      <c r="AP34" s="962">
        <f t="shared" si="105"/>
        <v>1095.2559999999999</v>
      </c>
      <c r="AQ34" s="962">
        <f t="shared" si="105"/>
        <v>1099.8400000000001</v>
      </c>
      <c r="AR34" s="962">
        <f t="shared" si="105"/>
        <v>1080.9184</v>
      </c>
      <c r="AS34" s="962">
        <f t="shared" si="105"/>
        <v>1079.992</v>
      </c>
      <c r="AT34" s="962">
        <f t="shared" si="105"/>
        <v>1074.8440000000001</v>
      </c>
      <c r="AU34" s="962">
        <f t="shared" si="105"/>
        <v>1089.4000000000001</v>
      </c>
      <c r="AV34" s="962">
        <f t="shared" si="105"/>
        <v>1105.4992</v>
      </c>
      <c r="AW34" s="962">
        <f t="shared" si="105"/>
        <v>1049.3247999999999</v>
      </c>
      <c r="AX34" s="962">
        <f t="shared" ref="AX34" si="106">SUM(AX28:AX33)</f>
        <v>1037.104</v>
      </c>
      <c r="AY34" s="962">
        <f t="shared" si="105"/>
        <v>1057.7440000000001</v>
      </c>
      <c r="AZ34" s="962">
        <f t="shared" si="105"/>
        <v>1048.7872</v>
      </c>
      <c r="BA34" s="962">
        <f t="shared" si="105"/>
        <v>1059.04</v>
      </c>
      <c r="BB34" s="962">
        <f t="shared" si="105"/>
        <v>1020.1552</v>
      </c>
      <c r="BC34" s="962">
        <f t="shared" ref="BC34" si="107">SUM(BC28:BC33)</f>
        <v>1047.712</v>
      </c>
      <c r="BD34" s="962">
        <f t="shared" si="105"/>
        <v>1021.576</v>
      </c>
      <c r="BE34" s="962">
        <f t="shared" si="105"/>
        <v>1021.576</v>
      </c>
      <c r="BF34" s="962">
        <f t="shared" si="105"/>
        <v>1019.8</v>
      </c>
      <c r="BG34" s="962">
        <f t="shared" si="105"/>
        <v>1062.8800000000001</v>
      </c>
      <c r="BH34" s="962">
        <f t="shared" si="105"/>
        <v>1574.76</v>
      </c>
      <c r="BI34" s="962">
        <f t="shared" si="105"/>
        <v>1958.8</v>
      </c>
      <c r="BJ34" s="962">
        <f t="shared" si="105"/>
        <v>1602.04</v>
      </c>
      <c r="BK34" s="962">
        <f t="shared" si="105"/>
        <v>1660.4</v>
      </c>
      <c r="BL34" s="962">
        <f t="shared" si="105"/>
        <v>898</v>
      </c>
      <c r="BM34" s="962">
        <f t="shared" si="105"/>
        <v>1015.36</v>
      </c>
      <c r="BN34" s="962">
        <f t="shared" si="105"/>
        <v>435.20000000000005</v>
      </c>
      <c r="BO34" s="948"/>
      <c r="BP34" s="963">
        <f t="shared" ref="BP34:CT34" si="108">SUM(BP28:BP33)</f>
        <v>1184.96</v>
      </c>
      <c r="BQ34" s="962">
        <f t="shared" si="108"/>
        <v>1175.33</v>
      </c>
      <c r="BR34" s="962">
        <f t="shared" si="108"/>
        <v>1187.816</v>
      </c>
      <c r="BS34" s="962">
        <f t="shared" si="108"/>
        <v>1183.136</v>
      </c>
      <c r="BT34" s="962">
        <f t="shared" si="108"/>
        <v>1146.47</v>
      </c>
      <c r="BU34" s="962">
        <f t="shared" si="108"/>
        <v>1160.2249999999999</v>
      </c>
      <c r="BV34" s="962">
        <f t="shared" si="108"/>
        <v>1155.5899999999999</v>
      </c>
      <c r="BW34" s="962">
        <f t="shared" si="108"/>
        <v>1154.1199999999999</v>
      </c>
      <c r="BX34" s="962">
        <f t="shared" si="108"/>
        <v>1133.8879999999999</v>
      </c>
      <c r="BY34" s="962">
        <f t="shared" si="108"/>
        <v>1132.73</v>
      </c>
      <c r="BZ34" s="962">
        <f t="shared" si="108"/>
        <v>1123.172</v>
      </c>
      <c r="CA34" s="962">
        <f t="shared" si="108"/>
        <v>1144.49</v>
      </c>
      <c r="CB34" s="962">
        <f t="shared" si="108"/>
        <v>1157.7739999999999</v>
      </c>
      <c r="CC34" s="962">
        <f t="shared" si="108"/>
        <v>1093.6759999999999</v>
      </c>
      <c r="CD34" s="962">
        <f t="shared" ref="CD34" si="109">SUM(CD28:CD33)</f>
        <v>1078.8800000000001</v>
      </c>
      <c r="CE34" s="962">
        <f t="shared" si="108"/>
        <v>1099.52</v>
      </c>
      <c r="CF34" s="962">
        <f t="shared" si="108"/>
        <v>1089.7640000000001</v>
      </c>
      <c r="CG34" s="962">
        <f t="shared" si="108"/>
        <v>1100.1500000000001</v>
      </c>
      <c r="CH34" s="962">
        <f t="shared" si="108"/>
        <v>1061.3984</v>
      </c>
      <c r="CI34" s="962">
        <f t="shared" ref="CI34" si="110">SUM(CI28:CI33)</f>
        <v>1088.5999999999999</v>
      </c>
      <c r="CJ34" s="962">
        <f t="shared" si="108"/>
        <v>1064.24</v>
      </c>
      <c r="CK34" s="962">
        <f t="shared" si="108"/>
        <v>1064.24</v>
      </c>
      <c r="CL34" s="962">
        <f t="shared" si="108"/>
        <v>1062.4639999999999</v>
      </c>
      <c r="CM34" s="962">
        <f t="shared" si="108"/>
        <v>1110.8</v>
      </c>
      <c r="CN34" s="962">
        <f t="shared" si="108"/>
        <v>1636.1999999999998</v>
      </c>
      <c r="CO34" s="962">
        <f t="shared" si="108"/>
        <v>2019.2</v>
      </c>
      <c r="CP34" s="962">
        <f t="shared" si="108"/>
        <v>1667</v>
      </c>
      <c r="CQ34" s="962">
        <f t="shared" si="108"/>
        <v>1713.52</v>
      </c>
      <c r="CR34" s="962">
        <f>SUM(CR28:CR33)</f>
        <v>938</v>
      </c>
      <c r="CS34" s="962">
        <f t="shared" si="108"/>
        <v>1055.3600000000001</v>
      </c>
      <c r="CT34" s="962">
        <f t="shared" si="108"/>
        <v>475.20000000000005</v>
      </c>
      <c r="CV34" s="965" t="s">
        <v>805</v>
      </c>
      <c r="CW34" s="964"/>
      <c r="CX34" s="962">
        <f t="shared" ref="CX34:DS34" si="111">SUM(CX28:CX33)</f>
        <v>1020</v>
      </c>
      <c r="CY34" s="962">
        <f t="shared" si="111"/>
        <v>968.16</v>
      </c>
      <c r="CZ34" s="962">
        <f t="shared" si="111"/>
        <v>1020</v>
      </c>
      <c r="DA34" s="962">
        <f t="shared" si="111"/>
        <v>968.16</v>
      </c>
      <c r="DB34" s="962">
        <f t="shared" si="111"/>
        <v>666.53942857142852</v>
      </c>
      <c r="DC34" s="962">
        <f t="shared" si="111"/>
        <v>941.44799999999998</v>
      </c>
      <c r="DD34" s="962">
        <f t="shared" si="111"/>
        <v>941.44799999999998</v>
      </c>
      <c r="DE34" s="962" t="e">
        <f t="shared" si="111"/>
        <v>#N/A</v>
      </c>
      <c r="DF34" s="962">
        <f t="shared" si="111"/>
        <v>977.55085714285713</v>
      </c>
      <c r="DG34" s="962">
        <f t="shared" si="111"/>
        <v>977.55085714285713</v>
      </c>
      <c r="DH34" s="962">
        <f t="shared" si="111"/>
        <v>967.83085714285721</v>
      </c>
      <c r="DI34" s="962">
        <f t="shared" si="111"/>
        <v>963.74057142857146</v>
      </c>
      <c r="DJ34" s="962">
        <f t="shared" si="111"/>
        <v>1028.9639999999999</v>
      </c>
      <c r="DK34" s="962">
        <f t="shared" si="111"/>
        <v>980.85</v>
      </c>
      <c r="DL34" s="962">
        <f t="shared" si="111"/>
        <v>949.89</v>
      </c>
      <c r="DM34" s="962">
        <f t="shared" si="111"/>
        <v>1040.8319999999999</v>
      </c>
      <c r="DN34" s="962" t="e">
        <f t="shared" si="111"/>
        <v>#N/A</v>
      </c>
      <c r="DO34" s="962" t="e">
        <f t="shared" si="111"/>
        <v>#N/A</v>
      </c>
      <c r="DP34" s="962">
        <f t="shared" si="111"/>
        <v>2012.9999999999998</v>
      </c>
      <c r="DQ34" s="962">
        <f t="shared" ref="DQ34" si="112">SUM(DQ28:DQ33)</f>
        <v>960.74399999999991</v>
      </c>
      <c r="DR34" s="962">
        <f t="shared" si="111"/>
        <v>872</v>
      </c>
      <c r="DS34" s="962">
        <f t="shared" si="111"/>
        <v>1025.4000000000001</v>
      </c>
      <c r="DT34" s="893"/>
      <c r="DU34" s="962">
        <f>SUM(DU28:DU33)</f>
        <v>1060</v>
      </c>
      <c r="DV34" s="962">
        <f>SUM(DV28:DV33)</f>
        <v>1008.16</v>
      </c>
      <c r="DW34" s="962">
        <f>SUM(DW28:DW33)</f>
        <v>1060</v>
      </c>
      <c r="DX34" s="962">
        <f>SUM(DX28:DX33)</f>
        <v>1008.16</v>
      </c>
      <c r="DY34" s="963">
        <f t="shared" ref="DY34:EG34" si="113">SUM(DY28:DY33)</f>
        <v>1011.304</v>
      </c>
      <c r="DZ34" s="962">
        <f t="shared" si="113"/>
        <v>983.22400000000005</v>
      </c>
      <c r="EA34" s="962">
        <f t="shared" si="113"/>
        <v>983.22400000000005</v>
      </c>
      <c r="EB34" s="962" t="e">
        <f t="shared" si="113"/>
        <v>#N/A</v>
      </c>
      <c r="EC34" s="962">
        <f t="shared" si="113"/>
        <v>1014.814</v>
      </c>
      <c r="ED34" s="962">
        <f t="shared" si="113"/>
        <v>1014.814</v>
      </c>
      <c r="EE34" s="962">
        <f>SUM(EE28:EE33)</f>
        <v>1014.814</v>
      </c>
      <c r="EF34" s="962">
        <f t="shared" si="113"/>
        <v>1004.284</v>
      </c>
      <c r="EG34" s="962">
        <f t="shared" si="113"/>
        <v>1072.0720000000001</v>
      </c>
      <c r="EH34" s="962">
        <f t="shared" ref="EH34:EM34" si="114">SUM(EH28:EH33)</f>
        <v>1021.96</v>
      </c>
      <c r="EI34" s="962">
        <f t="shared" si="114"/>
        <v>991</v>
      </c>
      <c r="EJ34" s="962">
        <f t="shared" si="114"/>
        <v>1081.72</v>
      </c>
      <c r="EK34" s="962" t="e">
        <f t="shared" si="114"/>
        <v>#N/A</v>
      </c>
      <c r="EL34" s="962" t="e">
        <f t="shared" si="114"/>
        <v>#N/A</v>
      </c>
      <c r="EM34" s="962">
        <f t="shared" si="114"/>
        <v>2085</v>
      </c>
      <c r="EN34" s="962">
        <f t="shared" ref="EN34" si="115">SUM(EN28:EN33)</f>
        <v>1001.6319999999999</v>
      </c>
      <c r="EO34" s="962">
        <f>SUM(EO28:EO33)</f>
        <v>943</v>
      </c>
      <c r="EP34" s="962">
        <f>SUM(EP28:EP33)</f>
        <v>1065.4000000000001</v>
      </c>
      <c r="EQ34" s="893"/>
      <c r="ER34" s="962">
        <f>SUM(ER28:ER33)</f>
        <v>1090</v>
      </c>
      <c r="ES34" s="962">
        <f>SUM(ES28:ES33)</f>
        <v>1038.1599999999999</v>
      </c>
      <c r="ET34" s="962">
        <f>SUM(ET28:ET33)</f>
        <v>1090</v>
      </c>
      <c r="EU34" s="962">
        <f>SUM(EU28:EU33)</f>
        <v>1038.1599999999999</v>
      </c>
      <c r="EV34" s="963">
        <f t="shared" ref="EV34:FD34" si="116">SUM(EV28:EV33)</f>
        <v>739.45439999999996</v>
      </c>
      <c r="EW34" s="962">
        <f t="shared" si="116"/>
        <v>1016.776</v>
      </c>
      <c r="EX34" s="962">
        <f t="shared" si="116"/>
        <v>1014.112</v>
      </c>
      <c r="EY34" s="962" t="e">
        <f t="shared" si="116"/>
        <v>#N/A</v>
      </c>
      <c r="EZ34" s="962">
        <f t="shared" si="116"/>
        <v>1046.5900000000001</v>
      </c>
      <c r="FA34" s="962">
        <f t="shared" si="116"/>
        <v>1046.5900000000001</v>
      </c>
      <c r="FB34" s="962">
        <f>SUM(FB28:FB33)</f>
        <v>1046.5900000000001</v>
      </c>
      <c r="FC34" s="962">
        <f t="shared" si="116"/>
        <v>1034.2840000000001</v>
      </c>
      <c r="FD34" s="962">
        <f t="shared" si="116"/>
        <v>1105.1799999999998</v>
      </c>
      <c r="FE34" s="962">
        <f t="shared" ref="FE34:FJ34" si="117">SUM(FE28:FE33)</f>
        <v>1053.0700000000002</v>
      </c>
      <c r="FF34" s="962">
        <f t="shared" si="117"/>
        <v>1062.79</v>
      </c>
      <c r="FG34" s="962">
        <f t="shared" si="117"/>
        <v>1122.328</v>
      </c>
      <c r="FH34" s="962" t="e">
        <f t="shared" si="117"/>
        <v>#N/A</v>
      </c>
      <c r="FI34" s="962" t="e">
        <f t="shared" si="117"/>
        <v>#N/A</v>
      </c>
      <c r="FJ34" s="962">
        <f t="shared" si="117"/>
        <v>2147</v>
      </c>
      <c r="FK34" s="962">
        <f t="shared" ref="FK34" si="118">SUM(FK28:FK33)</f>
        <v>1032.52</v>
      </c>
      <c r="FL34" s="962">
        <f>SUM(FL28:FL33)</f>
        <v>973</v>
      </c>
      <c r="FM34" s="962">
        <f>SUM(FM28:FM33)</f>
        <v>1095.4000000000001</v>
      </c>
    </row>
    <row r="35" spans="1:169" ht="18" customHeight="1">
      <c r="A35" s="899">
        <f>ROWS($A$1:A35)</f>
        <v>35</v>
      </c>
      <c r="B35" s="916" t="s">
        <v>804</v>
      </c>
      <c r="C35" s="915" t="s">
        <v>163</v>
      </c>
      <c r="D35" s="946">
        <f t="shared" ref="D35:AH35" si="119">D22-D34-D24</f>
        <v>-727.43831393687901</v>
      </c>
      <c r="E35" s="946">
        <f t="shared" si="119"/>
        <v>-825.91997563699988</v>
      </c>
      <c r="F35" s="946">
        <f t="shared" si="119"/>
        <v>-801.90488410981197</v>
      </c>
      <c r="G35" s="946">
        <f t="shared" si="119"/>
        <v>-731.24548720511552</v>
      </c>
      <c r="H35" s="946">
        <f t="shared" si="119"/>
        <v>-1075.0146816016043</v>
      </c>
      <c r="I35" s="946">
        <f t="shared" si="119"/>
        <v>-915.14899274263234</v>
      </c>
      <c r="J35" s="946">
        <f t="shared" si="119"/>
        <v>-959.56812577980077</v>
      </c>
      <c r="K35" s="946">
        <f t="shared" si="119"/>
        <v>-753.11499309578448</v>
      </c>
      <c r="L35" s="946">
        <f t="shared" si="119"/>
        <v>-888.34133200630674</v>
      </c>
      <c r="M35" s="946">
        <f t="shared" si="119"/>
        <v>-1059.0723347390333</v>
      </c>
      <c r="N35" s="946">
        <f t="shared" si="119"/>
        <v>-655.74157008389182</v>
      </c>
      <c r="O35" s="946">
        <f t="shared" si="119"/>
        <v>-829.41574544077082</v>
      </c>
      <c r="P35" s="946">
        <f t="shared" si="119"/>
        <v>-729.8472568184867</v>
      </c>
      <c r="Q35" s="946">
        <f t="shared" si="119"/>
        <v>-829.57220758063329</v>
      </c>
      <c r="R35" s="946" t="e">
        <f t="shared" si="119"/>
        <v>#VALUE!</v>
      </c>
      <c r="S35" s="946">
        <f t="shared" si="119"/>
        <v>-804.06549580316664</v>
      </c>
      <c r="T35" s="946">
        <f t="shared" si="119"/>
        <v>-1171.3935150088669</v>
      </c>
      <c r="U35" s="946">
        <f t="shared" si="119"/>
        <v>-1177.6920508935837</v>
      </c>
      <c r="V35" s="946">
        <f t="shared" si="119"/>
        <v>-1079.0954807482781</v>
      </c>
      <c r="W35" s="946" t="e">
        <f t="shared" ref="W35" si="120">W22-W34-W24</f>
        <v>#VALUE!</v>
      </c>
      <c r="X35" s="946">
        <f t="shared" si="119"/>
        <v>-1167.6597574149446</v>
      </c>
      <c r="Y35" s="946">
        <f t="shared" si="119"/>
        <v>-1179.8632574149447</v>
      </c>
      <c r="Z35" s="946" t="e">
        <f t="shared" si="119"/>
        <v>#VALUE!</v>
      </c>
      <c r="AA35" s="946">
        <f t="shared" si="119"/>
        <v>288.38052069649967</v>
      </c>
      <c r="AB35" s="946">
        <f t="shared" si="119"/>
        <v>1635.9276645849773</v>
      </c>
      <c r="AC35" s="946" t="e">
        <f t="shared" si="119"/>
        <v>#VALUE!</v>
      </c>
      <c r="AD35" s="946">
        <f t="shared" si="119"/>
        <v>-938.21971649004774</v>
      </c>
      <c r="AE35" s="946">
        <f t="shared" si="119"/>
        <v>4655.946285414976</v>
      </c>
      <c r="AF35" s="946">
        <f t="shared" si="119"/>
        <v>-858</v>
      </c>
      <c r="AG35" s="946">
        <f t="shared" si="119"/>
        <v>-1259.9164424358335</v>
      </c>
      <c r="AH35" s="946">
        <f t="shared" si="119"/>
        <v>-281.36283838825</v>
      </c>
      <c r="AI35" s="948"/>
      <c r="AJ35" s="947">
        <f t="shared" ref="AJ35:BN35" si="121">AJ22-AJ34-AJ24</f>
        <v>-519.83381984258335</v>
      </c>
      <c r="AK35" s="947">
        <f t="shared" si="121"/>
        <v>-612.46047999516679</v>
      </c>
      <c r="AL35" s="947">
        <f t="shared" si="121"/>
        <v>-541.5668776771314</v>
      </c>
      <c r="AM35" s="947">
        <f t="shared" si="121"/>
        <v>-431.54537069309123</v>
      </c>
      <c r="AN35" s="947">
        <f t="shared" si="121"/>
        <v>-952.1725037946054</v>
      </c>
      <c r="AO35" s="947">
        <f t="shared" si="121"/>
        <v>-725.32702976042094</v>
      </c>
      <c r="AP35" s="947">
        <f t="shared" si="121"/>
        <v>-767.99772803063422</v>
      </c>
      <c r="AQ35" s="947">
        <f t="shared" si="121"/>
        <v>-502.22032827354593</v>
      </c>
      <c r="AR35" s="947">
        <f t="shared" si="121"/>
        <v>-748.51602488429762</v>
      </c>
      <c r="AS35" s="947">
        <f t="shared" si="121"/>
        <v>-914.2816590834891</v>
      </c>
      <c r="AT35" s="947">
        <f t="shared" si="121"/>
        <v>-475.82920972349729</v>
      </c>
      <c r="AU35" s="947">
        <f t="shared" si="121"/>
        <v>-679.29621060669456</v>
      </c>
      <c r="AV35" s="947">
        <f t="shared" si="121"/>
        <v>-438.90305313753777</v>
      </c>
      <c r="AW35" s="947">
        <f t="shared" si="121"/>
        <v>-583.52864234484434</v>
      </c>
      <c r="AX35" s="947" t="e">
        <f t="shared" ref="AX35" si="122">AX22-AX34-AX24</f>
        <v>#VALUE!</v>
      </c>
      <c r="AY35" s="947">
        <f t="shared" si="121"/>
        <v>-578.77684968151141</v>
      </c>
      <c r="AZ35" s="947">
        <f t="shared" si="121"/>
        <v>-1086.8662398124889</v>
      </c>
      <c r="BA35" s="947">
        <f t="shared" si="121"/>
        <v>-1080.5804567645557</v>
      </c>
      <c r="BB35" s="947">
        <f t="shared" si="121"/>
        <v>-879.45997932376667</v>
      </c>
      <c r="BC35" s="947" t="e">
        <f t="shared" ref="BC35" si="123">BC22-BC34-BC24</f>
        <v>#VALUE!</v>
      </c>
      <c r="BD35" s="947">
        <f t="shared" si="121"/>
        <v>-901.00386067194438</v>
      </c>
      <c r="BE35" s="947">
        <f t="shared" si="121"/>
        <v>-923.59519400527768</v>
      </c>
      <c r="BF35" s="947" t="e">
        <f t="shared" si="121"/>
        <v>#VALUE!</v>
      </c>
      <c r="BG35" s="947">
        <f t="shared" si="121"/>
        <v>1568.3421251965001</v>
      </c>
      <c r="BH35" s="947">
        <f t="shared" si="121"/>
        <v>5664.9821556746901</v>
      </c>
      <c r="BI35" s="947" t="e">
        <f t="shared" si="121"/>
        <v>#VALUE!</v>
      </c>
      <c r="BJ35" s="947">
        <f t="shared" si="121"/>
        <v>-69.344652982618697</v>
      </c>
      <c r="BK35" s="947">
        <f t="shared" si="121"/>
        <v>6025.010328585643</v>
      </c>
      <c r="BL35" s="947">
        <f t="shared" si="121"/>
        <v>-898</v>
      </c>
      <c r="BM35" s="947">
        <f t="shared" si="121"/>
        <v>-1299.9164424358335</v>
      </c>
      <c r="BN35" s="946">
        <f t="shared" si="121"/>
        <v>-601.36283838825011</v>
      </c>
      <c r="BO35" s="948"/>
      <c r="BP35" s="947">
        <f t="shared" ref="BP35:CT35" si="124">BP22-BP34-BP24</f>
        <v>-464.53240475298742</v>
      </c>
      <c r="BQ35" s="947">
        <f t="shared" si="124"/>
        <v>-384.97043226999978</v>
      </c>
      <c r="BR35" s="947">
        <f t="shared" si="124"/>
        <v>-281.40019607071093</v>
      </c>
      <c r="BS35" s="947">
        <f t="shared" si="124"/>
        <v>-136.46791234066103</v>
      </c>
      <c r="BT35" s="947">
        <f t="shared" si="124"/>
        <v>-864.31949048057368</v>
      </c>
      <c r="BU35" s="947">
        <f t="shared" si="124"/>
        <v>-545.04909393314267</v>
      </c>
      <c r="BV35" s="947">
        <f t="shared" si="124"/>
        <v>-644.30405743640119</v>
      </c>
      <c r="BW35" s="947">
        <f t="shared" si="124"/>
        <v>-220.87048629637442</v>
      </c>
      <c r="BX35" s="947">
        <f t="shared" si="124"/>
        <v>-496.5842177622888</v>
      </c>
      <c r="BY35" s="947">
        <f t="shared" si="124"/>
        <v>-769.49098342794446</v>
      </c>
      <c r="BZ35" s="947">
        <f t="shared" si="124"/>
        <v>-295.91684936310281</v>
      </c>
      <c r="CA35" s="947">
        <f t="shared" si="124"/>
        <v>-511.32636658195133</v>
      </c>
      <c r="CB35" s="947">
        <f t="shared" si="124"/>
        <v>-147.95884945658909</v>
      </c>
      <c r="CC35" s="947">
        <f t="shared" si="124"/>
        <v>-337.48507710905534</v>
      </c>
      <c r="CD35" s="947" t="e">
        <f t="shared" ref="CD35" si="125">CD22-CD34-CD24</f>
        <v>#VALUE!</v>
      </c>
      <c r="CE35" s="947">
        <f t="shared" si="124"/>
        <v>-317.25869955515554</v>
      </c>
      <c r="CF35" s="947">
        <f t="shared" si="124"/>
        <v>-966.20273739561139</v>
      </c>
      <c r="CG35" s="947">
        <f t="shared" si="124"/>
        <v>-983.46886263552801</v>
      </c>
      <c r="CH35" s="947">
        <f t="shared" si="124"/>
        <v>-679.82447789925561</v>
      </c>
      <c r="CI35" s="947" t="e">
        <f t="shared" ref="CI35" si="126">CI22-CI34-CI24</f>
        <v>#VALUE!</v>
      </c>
      <c r="CJ35" s="947">
        <f t="shared" si="124"/>
        <v>-662.58129726227787</v>
      </c>
      <c r="CK35" s="947">
        <f t="shared" si="124"/>
        <v>-690.61963059561106</v>
      </c>
      <c r="CL35" s="947" t="e">
        <f t="shared" si="124"/>
        <v>#VALUE!</v>
      </c>
      <c r="CM35" s="947">
        <f t="shared" si="124"/>
        <v>2455.1884404759999</v>
      </c>
      <c r="CN35" s="947">
        <f t="shared" si="124"/>
        <v>9694.0366467644053</v>
      </c>
      <c r="CO35" s="947" t="e">
        <f t="shared" si="124"/>
        <v>#VALUE!</v>
      </c>
      <c r="CP35" s="947">
        <f t="shared" si="124"/>
        <v>1933.5671605248094</v>
      </c>
      <c r="CQ35" s="947">
        <f t="shared" si="124"/>
        <v>7346.0067110062146</v>
      </c>
      <c r="CR35" s="947">
        <f>CR22-CR34-CR24</f>
        <v>-938</v>
      </c>
      <c r="CS35" s="947">
        <f t="shared" si="124"/>
        <v>-1339.9164424358335</v>
      </c>
      <c r="CT35" s="947">
        <f t="shared" si="124"/>
        <v>-641.36283838825011</v>
      </c>
      <c r="CV35" s="916" t="s">
        <v>804</v>
      </c>
      <c r="CW35" s="915" t="s">
        <v>163</v>
      </c>
      <c r="CX35" s="946">
        <f t="shared" ref="CX35:DS35" si="127">CX22-CX34-CX24</f>
        <v>-902.22671380771669</v>
      </c>
      <c r="CY35" s="946">
        <f t="shared" si="127"/>
        <v>-850.21010412271664</v>
      </c>
      <c r="CZ35" s="946">
        <f t="shared" si="127"/>
        <v>-900.65863047438347</v>
      </c>
      <c r="DA35" s="946">
        <f t="shared" si="127"/>
        <v>-731.43032078938336</v>
      </c>
      <c r="DB35" s="946">
        <f t="shared" si="127"/>
        <v>-692.55489007346182</v>
      </c>
      <c r="DC35" s="946">
        <f t="shared" si="127"/>
        <v>-619.84891230549988</v>
      </c>
      <c r="DD35" s="946">
        <f t="shared" si="127"/>
        <v>-535.48438630550027</v>
      </c>
      <c r="DE35" s="946" t="e">
        <f t="shared" si="127"/>
        <v>#N/A</v>
      </c>
      <c r="DF35" s="946">
        <f t="shared" si="127"/>
        <v>-932.70188746112353</v>
      </c>
      <c r="DG35" s="946">
        <f t="shared" si="127"/>
        <v>-668.86172045019055</v>
      </c>
      <c r="DH35" s="946">
        <f>DH22-DH34-DH24</f>
        <v>-980.52830463717396</v>
      </c>
      <c r="DI35" s="946">
        <f t="shared" si="127"/>
        <v>-869.28402646184918</v>
      </c>
      <c r="DJ35" s="946">
        <f t="shared" si="127"/>
        <v>-743.8727007648331</v>
      </c>
      <c r="DK35" s="946">
        <f t="shared" si="127"/>
        <v>-716.7046889996667</v>
      </c>
      <c r="DL35" s="946">
        <f t="shared" si="127"/>
        <v>-725.91852440641651</v>
      </c>
      <c r="DM35" s="946">
        <f t="shared" si="127"/>
        <v>-462.42206342877785</v>
      </c>
      <c r="DN35" s="946" t="e">
        <f t="shared" si="127"/>
        <v>#N/A</v>
      </c>
      <c r="DO35" s="946" t="e">
        <f t="shared" si="127"/>
        <v>#N/A</v>
      </c>
      <c r="DP35" s="946">
        <f t="shared" si="127"/>
        <v>741.1490168740479</v>
      </c>
      <c r="DQ35" s="946">
        <f t="shared" ref="DQ35" si="128">DQ22-DQ34-DQ24</f>
        <v>-816.92025691875006</v>
      </c>
      <c r="DR35" s="946">
        <f t="shared" si="127"/>
        <v>-1211.9689104166666</v>
      </c>
      <c r="DS35" s="946">
        <f t="shared" si="127"/>
        <v>-1504.6629929715834</v>
      </c>
      <c r="DT35" s="893"/>
      <c r="DU35" s="946">
        <f>DU22-DU34-DU24</f>
        <v>-690.68591380771659</v>
      </c>
      <c r="DV35" s="946">
        <f>DV22-DV34-DV24</f>
        <v>-738.23753745604995</v>
      </c>
      <c r="DW35" s="946">
        <f>DW22-DW34-DW24</f>
        <v>-731.04129714104999</v>
      </c>
      <c r="DX35" s="946">
        <f>DX22-DX34-DX24</f>
        <v>-619.45775412271666</v>
      </c>
      <c r="DY35" s="947">
        <f t="shared" ref="DY35:EG35" si="129">DY22-DY34-DY24</f>
        <v>-830.74247755944441</v>
      </c>
      <c r="DZ35" s="947">
        <f t="shared" si="129"/>
        <v>-346.0849571791444</v>
      </c>
      <c r="EA35" s="947">
        <f t="shared" si="129"/>
        <v>-225.50558917914458</v>
      </c>
      <c r="EB35" s="947" t="e">
        <f t="shared" si="129"/>
        <v>#N/A</v>
      </c>
      <c r="EC35" s="947">
        <f t="shared" si="129"/>
        <v>-774.4799456069818</v>
      </c>
      <c r="ED35" s="947">
        <f t="shared" si="129"/>
        <v>-399.49123449570124</v>
      </c>
      <c r="EE35" s="947">
        <f>EE22-EE34-EE24</f>
        <v>-898.16589627364851</v>
      </c>
      <c r="EF35" s="947">
        <f t="shared" si="129"/>
        <v>-211.03757635026398</v>
      </c>
      <c r="EG35" s="947">
        <f t="shared" si="129"/>
        <v>-431.4630342868885</v>
      </c>
      <c r="EH35" s="947">
        <f t="shared" ref="EH35:EM35" si="130">EH22-EH34-EH24</f>
        <v>-450.00264174563881</v>
      </c>
      <c r="EI35" s="947">
        <f t="shared" si="130"/>
        <v>-472.87356048572207</v>
      </c>
      <c r="EJ35" s="947">
        <f t="shared" si="130"/>
        <v>-150.74011062555587</v>
      </c>
      <c r="EK35" s="947" t="e">
        <f t="shared" si="130"/>
        <v>#N/A</v>
      </c>
      <c r="EL35" s="947" t="e">
        <f t="shared" si="130"/>
        <v>#N/A</v>
      </c>
      <c r="EM35" s="947">
        <f t="shared" si="130"/>
        <v>3214.8726814621441</v>
      </c>
      <c r="EN35" s="947">
        <f t="shared" ref="EN35" si="131">EN22-EN34-EN24</f>
        <v>-597.38451078219441</v>
      </c>
      <c r="EO35" s="947">
        <f>EO22-EO34-EO24</f>
        <v>-1282.9689104166666</v>
      </c>
      <c r="EP35" s="947">
        <f>EP22-EP34-EP24</f>
        <v>-1544.6629929715834</v>
      </c>
      <c r="EQ35" s="893"/>
      <c r="ER35" s="946">
        <f>ER22-ER34-ER24</f>
        <v>-552.99204714104997</v>
      </c>
      <c r="ES35" s="947">
        <f>ES22-ES34-ES24</f>
        <v>-616.26497078938326</v>
      </c>
      <c r="ET35" s="947">
        <f>ET22-ET34-ET24</f>
        <v>-551.42396380771663</v>
      </c>
      <c r="EU35" s="947">
        <f>EU22-EU34-EU24</f>
        <v>-573.47147078938337</v>
      </c>
      <c r="EV35" s="947">
        <f t="shared" ref="EV35:FD35" si="132">EV22-EV34-EV24</f>
        <v>33.649496173653702</v>
      </c>
      <c r="EW35" s="947">
        <f t="shared" si="132"/>
        <v>251.44295307356714</v>
      </c>
      <c r="EX35" s="947">
        <f t="shared" si="132"/>
        <v>-80.516190615966266</v>
      </c>
      <c r="EY35" s="947" t="e">
        <f t="shared" si="132"/>
        <v>#N/A</v>
      </c>
      <c r="EZ35" s="947">
        <f t="shared" si="132"/>
        <v>-613.30439181395957</v>
      </c>
      <c r="FA35" s="947">
        <f t="shared" si="132"/>
        <v>-127.15878888925695</v>
      </c>
      <c r="FB35" s="947">
        <f>FB22-FB34-FB24</f>
        <v>-718.18841348062642</v>
      </c>
      <c r="FC35" s="947">
        <f t="shared" si="132"/>
        <v>-269.27090968359767</v>
      </c>
      <c r="FD35" s="947">
        <f t="shared" si="132"/>
        <v>-126.69920114227733</v>
      </c>
      <c r="FE35" s="947">
        <f t="shared" ref="FE35:FJ35" si="133">FE22-FE34-FE24</f>
        <v>-173.30059449161124</v>
      </c>
      <c r="FF35" s="947">
        <f t="shared" si="133"/>
        <v>-220.52676729252764</v>
      </c>
      <c r="FG35" s="947">
        <f t="shared" si="133"/>
        <v>126.97691937674971</v>
      </c>
      <c r="FH35" s="947" t="e">
        <f t="shared" si="133"/>
        <v>#N/A</v>
      </c>
      <c r="FI35" s="947" t="e">
        <f t="shared" si="133"/>
        <v>#N/A</v>
      </c>
      <c r="FJ35" s="947">
        <f t="shared" si="133"/>
        <v>5698.5963460502362</v>
      </c>
      <c r="FK35" s="947">
        <f t="shared" ref="FK35" si="134">FK22-FK34-FK24</f>
        <v>-367.84876464563899</v>
      </c>
      <c r="FL35" s="947">
        <f>FL22-FL34-FL24</f>
        <v>-1312.9689104166666</v>
      </c>
      <c r="FM35" s="947">
        <f>FM22-FM34-FM24</f>
        <v>-1574.6629929715834</v>
      </c>
    </row>
    <row r="36" spans="1:169" s="909" customFormat="1" ht="16.2" customHeight="1">
      <c r="A36" s="899">
        <f>ROWS($A$1:A36)</f>
        <v>36</v>
      </c>
      <c r="B36" s="956"/>
      <c r="C36" s="961" t="s">
        <v>220</v>
      </c>
      <c r="D36" s="953">
        <f t="shared" ref="D36:AH36" si="135">IF(D6=0,0,D35/D6)</f>
        <v>-12.932236692211182</v>
      </c>
      <c r="E36" s="953">
        <f t="shared" si="135"/>
        <v>-14.68302178910222</v>
      </c>
      <c r="F36" s="953">
        <f t="shared" si="135"/>
        <v>-14.850090446477999</v>
      </c>
      <c r="G36" s="953">
        <f t="shared" si="135"/>
        <v>-14.338146807943442</v>
      </c>
      <c r="H36" s="953">
        <f t="shared" si="135"/>
        <v>-28.667058176042779</v>
      </c>
      <c r="I36" s="953">
        <f t="shared" si="135"/>
        <v>-18.211920253584722</v>
      </c>
      <c r="J36" s="953">
        <f t="shared" si="135"/>
        <v>-18.277488110091443</v>
      </c>
      <c r="K36" s="953">
        <f t="shared" si="135"/>
        <v>-17.931309359423441</v>
      </c>
      <c r="L36" s="953">
        <f t="shared" si="135"/>
        <v>-21.150984095388257</v>
      </c>
      <c r="M36" s="953">
        <f t="shared" si="135"/>
        <v>-25.674480842158381</v>
      </c>
      <c r="N36" s="953">
        <f t="shared" si="135"/>
        <v>-16.393539252097295</v>
      </c>
      <c r="O36" s="953">
        <f t="shared" si="135"/>
        <v>-22.11775321175389</v>
      </c>
      <c r="P36" s="953">
        <f t="shared" si="135"/>
        <v>-18.360937278452496</v>
      </c>
      <c r="Q36" s="953">
        <f t="shared" si="135"/>
        <v>-11.286696701777323</v>
      </c>
      <c r="R36" s="953" t="e">
        <f t="shared" si="135"/>
        <v>#VALUE!</v>
      </c>
      <c r="S36" s="953">
        <f t="shared" si="135"/>
        <v>-26.802183193438889</v>
      </c>
      <c r="T36" s="953">
        <f t="shared" si="135"/>
        <v>-70.993546364173753</v>
      </c>
      <c r="U36" s="953">
        <f t="shared" si="135"/>
        <v>-62.81024271432446</v>
      </c>
      <c r="V36" s="953">
        <f t="shared" si="135"/>
        <v>-53.954774037413905</v>
      </c>
      <c r="W36" s="953" t="e">
        <f t="shared" ref="W36" si="136">IF(W6=0,0,W35/W6)</f>
        <v>#VALUE!</v>
      </c>
      <c r="X36" s="953">
        <f t="shared" si="135"/>
        <v>-58.382987870747229</v>
      </c>
      <c r="Y36" s="953">
        <f t="shared" si="135"/>
        <v>-58.993162870747234</v>
      </c>
      <c r="Z36" s="953" t="e">
        <f t="shared" si="135"/>
        <v>#VALUE!</v>
      </c>
      <c r="AA36" s="953">
        <f t="shared" si="135"/>
        <v>1.3078481664240349</v>
      </c>
      <c r="AB36" s="953">
        <f t="shared" si="135"/>
        <v>8.1389436049003852</v>
      </c>
      <c r="AC36" s="953" t="e">
        <f t="shared" si="135"/>
        <v>#VALUE!</v>
      </c>
      <c r="AD36" s="953">
        <f t="shared" si="135"/>
        <v>-4.7146719421610443</v>
      </c>
      <c r="AE36" s="953">
        <f t="shared" si="135"/>
        <v>12.156517716488189</v>
      </c>
      <c r="AF36" s="953">
        <f t="shared" si="135"/>
        <v>0</v>
      </c>
      <c r="AG36" s="953">
        <f t="shared" si="135"/>
        <v>-1259.9164424358335</v>
      </c>
      <c r="AH36" s="953">
        <f t="shared" si="135"/>
        <v>-281.36283838825</v>
      </c>
      <c r="AI36" s="921"/>
      <c r="AJ36" s="954">
        <f t="shared" ref="AJ36:BN36" si="137">IF(AJ6=0,0,AJ35/AJ6)</f>
        <v>-6.9311175979011113</v>
      </c>
      <c r="AK36" s="953">
        <f t="shared" si="137"/>
        <v>-8.1661397332688903</v>
      </c>
      <c r="AL36" s="953">
        <f t="shared" si="137"/>
        <v>-7.5217621899601586</v>
      </c>
      <c r="AM36" s="953">
        <f t="shared" si="137"/>
        <v>-6.3462554513689886</v>
      </c>
      <c r="AN36" s="953">
        <f t="shared" si="137"/>
        <v>-19.043450075892107</v>
      </c>
      <c r="AO36" s="953">
        <f t="shared" si="137"/>
        <v>-10.825776563588372</v>
      </c>
      <c r="AP36" s="953">
        <f t="shared" si="137"/>
        <v>-10.971396114723346</v>
      </c>
      <c r="AQ36" s="953">
        <f t="shared" si="137"/>
        <v>-8.9682201477418921</v>
      </c>
      <c r="AR36" s="953">
        <f t="shared" si="137"/>
        <v>-13.3663575872196</v>
      </c>
      <c r="AS36" s="953">
        <f t="shared" si="137"/>
        <v>-16.623302892427073</v>
      </c>
      <c r="AT36" s="953">
        <f t="shared" si="137"/>
        <v>-9.7108001984387204</v>
      </c>
      <c r="AU36" s="953">
        <f t="shared" si="137"/>
        <v>-13.585924212133891</v>
      </c>
      <c r="AV36" s="953">
        <f t="shared" si="137"/>
        <v>-8.2811896818403348</v>
      </c>
      <c r="AW36" s="953">
        <f t="shared" si="137"/>
        <v>-5.9543739014780037</v>
      </c>
      <c r="AX36" s="953" t="e">
        <f t="shared" ref="AX36" si="138">IF(AX6=0,0,AX35/AX6)</f>
        <v>#VALUE!</v>
      </c>
      <c r="AY36" s="953">
        <f t="shared" si="137"/>
        <v>-14.469421242037786</v>
      </c>
      <c r="AZ36" s="953">
        <f t="shared" si="137"/>
        <v>-49.403010900567672</v>
      </c>
      <c r="BA36" s="953">
        <f t="shared" si="137"/>
        <v>-43.22321827058223</v>
      </c>
      <c r="BB36" s="953">
        <f t="shared" si="137"/>
        <v>-32.572591826806175</v>
      </c>
      <c r="BC36" s="953" t="e">
        <f t="shared" ref="BC36" si="139">IF(BC6=0,0,BC35/BC6)</f>
        <v>#VALUE!</v>
      </c>
      <c r="BD36" s="953">
        <f t="shared" si="137"/>
        <v>-25.742967447769839</v>
      </c>
      <c r="BE36" s="953">
        <f t="shared" si="137"/>
        <v>-26.388434114436507</v>
      </c>
      <c r="BF36" s="953" t="e">
        <f t="shared" si="137"/>
        <v>#VALUE!</v>
      </c>
      <c r="BG36" s="953">
        <f t="shared" si="137"/>
        <v>2.3269170996980715</v>
      </c>
      <c r="BH36" s="953">
        <f t="shared" si="137"/>
        <v>21.137993118189144</v>
      </c>
      <c r="BI36" s="953" t="e">
        <f t="shared" si="137"/>
        <v>#VALUE!</v>
      </c>
      <c r="BJ36" s="953">
        <f t="shared" si="137"/>
        <v>-0.30414321483604689</v>
      </c>
      <c r="BK36" s="953">
        <f t="shared" si="137"/>
        <v>14.176494890789748</v>
      </c>
      <c r="BL36" s="953">
        <f t="shared" si="137"/>
        <v>0</v>
      </c>
      <c r="BM36" s="953">
        <f t="shared" si="137"/>
        <v>-1299.9164424358335</v>
      </c>
      <c r="BN36" s="953">
        <f t="shared" si="137"/>
        <v>-601.36283838825011</v>
      </c>
      <c r="BO36" s="921"/>
      <c r="BP36" s="954">
        <f t="shared" ref="BP36:CT36" si="140">IF(BP6=0,0,BP35/BP6)</f>
        <v>-4.955012317365199</v>
      </c>
      <c r="BQ36" s="953">
        <f t="shared" si="140"/>
        <v>-4.106351277546664</v>
      </c>
      <c r="BR36" s="953">
        <f t="shared" si="140"/>
        <v>-3.1266688452301215</v>
      </c>
      <c r="BS36" s="953">
        <f t="shared" si="140"/>
        <v>-1.6055048510666003</v>
      </c>
      <c r="BT36" s="953">
        <f t="shared" si="140"/>
        <v>-13.829111847689179</v>
      </c>
      <c r="BU36" s="953">
        <f t="shared" si="140"/>
        <v>-6.5080488827837932</v>
      </c>
      <c r="BV36" s="953">
        <f t="shared" si="140"/>
        <v>-7.3634749421302992</v>
      </c>
      <c r="BW36" s="953">
        <f t="shared" si="140"/>
        <v>-3.1552926613767776</v>
      </c>
      <c r="BX36" s="953">
        <f t="shared" si="140"/>
        <v>-7.0940602537469832</v>
      </c>
      <c r="BY36" s="953">
        <f t="shared" si="140"/>
        <v>-11.192596122588283</v>
      </c>
      <c r="BZ36" s="953">
        <f t="shared" si="140"/>
        <v>-5.1020146441914278</v>
      </c>
      <c r="CA36" s="953">
        <f t="shared" si="140"/>
        <v>-8.1812218653112208</v>
      </c>
      <c r="CB36" s="953">
        <f t="shared" si="140"/>
        <v>-2.2333411238730427</v>
      </c>
      <c r="CC36" s="953">
        <f t="shared" si="140"/>
        <v>-2.7549802212984109</v>
      </c>
      <c r="CD36" s="953" t="e">
        <f t="shared" ref="CD36" si="141">IF(CD6=0,0,CD35/CD6)</f>
        <v>#VALUE!</v>
      </c>
      <c r="CE36" s="953">
        <f t="shared" si="140"/>
        <v>-6.3451739911031106</v>
      </c>
      <c r="CF36" s="953">
        <f t="shared" si="140"/>
        <v>-35.134644996204052</v>
      </c>
      <c r="CG36" s="953">
        <f t="shared" si="140"/>
        <v>-31.471003604336897</v>
      </c>
      <c r="CH36" s="953">
        <f t="shared" si="140"/>
        <v>-19.994837585272222</v>
      </c>
      <c r="CI36" s="953" t="e">
        <f t="shared" ref="CI36" si="142">IF(CI6=0,0,CI35/CI6)</f>
        <v>#VALUE!</v>
      </c>
      <c r="CJ36" s="953">
        <f t="shared" si="140"/>
        <v>-13.251625945245557</v>
      </c>
      <c r="CK36" s="953">
        <f t="shared" si="140"/>
        <v>-13.812392611912221</v>
      </c>
      <c r="CL36" s="953" t="e">
        <f t="shared" si="140"/>
        <v>#VALUE!</v>
      </c>
      <c r="CM36" s="953">
        <f t="shared" si="140"/>
        <v>2.8301884040069161</v>
      </c>
      <c r="CN36" s="953">
        <f t="shared" si="140"/>
        <v>28.937422826162404</v>
      </c>
      <c r="CO36" s="953" t="e">
        <f t="shared" si="140"/>
        <v>#VALUE!</v>
      </c>
      <c r="CP36" s="953">
        <f t="shared" si="140"/>
        <v>6.6674729673269288</v>
      </c>
      <c r="CQ36" s="953">
        <f t="shared" si="140"/>
        <v>15.763962899154967</v>
      </c>
      <c r="CR36" s="953">
        <f>IF(CR6=0,0,CR35/CR6)</f>
        <v>0</v>
      </c>
      <c r="CS36" s="953">
        <f t="shared" si="140"/>
        <v>-1339.9164424358335</v>
      </c>
      <c r="CT36" s="953">
        <f t="shared" si="140"/>
        <v>-641.36283838825011</v>
      </c>
      <c r="CV36" s="956"/>
      <c r="CW36" s="961" t="s">
        <v>220</v>
      </c>
      <c r="CX36" s="953">
        <f t="shared" ref="CX36:DP36" si="143">IF(CX6=0,0,CX35/CX6)</f>
        <v>-3.0074223793590558</v>
      </c>
      <c r="CY36" s="953">
        <f t="shared" si="143"/>
        <v>-2.1255252603067918</v>
      </c>
      <c r="CZ36" s="953">
        <f t="shared" si="143"/>
        <v>-3.0021954349146114</v>
      </c>
      <c r="DA36" s="953">
        <f t="shared" si="143"/>
        <v>-1.6254007128652963</v>
      </c>
      <c r="DB36" s="953">
        <f t="shared" si="143"/>
        <v>-23.085163002448727</v>
      </c>
      <c r="DC36" s="953">
        <f t="shared" si="143"/>
        <v>-20.661630410183328</v>
      </c>
      <c r="DD36" s="953">
        <f t="shared" si="143"/>
        <v>-17.849479543516676</v>
      </c>
      <c r="DE36" s="953" t="e">
        <f t="shared" si="143"/>
        <v>#N/A</v>
      </c>
      <c r="DF36" s="953">
        <f t="shared" si="143"/>
        <v>-31.090062915370783</v>
      </c>
      <c r="DG36" s="953">
        <f t="shared" si="143"/>
        <v>-22.29539068167302</v>
      </c>
      <c r="DH36" s="953">
        <f>IF(DH6=0,0,DH35/DH6)</f>
        <v>-32.684276821239131</v>
      </c>
      <c r="DI36" s="953">
        <f t="shared" si="143"/>
        <v>-48.293557025658288</v>
      </c>
      <c r="DJ36" s="953">
        <f t="shared" si="143"/>
        <v>-14.169003824092059</v>
      </c>
      <c r="DK36" s="953">
        <f t="shared" si="143"/>
        <v>-38.224250079982227</v>
      </c>
      <c r="DL36" s="953">
        <f t="shared" si="143"/>
        <v>-38.715654635008882</v>
      </c>
      <c r="DM36" s="953">
        <f t="shared" si="143"/>
        <v>-23.121103171438893</v>
      </c>
      <c r="DN36" s="953" t="e">
        <f t="shared" si="143"/>
        <v>#N/A</v>
      </c>
      <c r="DO36" s="953" t="e">
        <f t="shared" si="143"/>
        <v>#N/A</v>
      </c>
      <c r="DP36" s="953">
        <f t="shared" si="143"/>
        <v>4.9409934458269857</v>
      </c>
      <c r="DQ36" s="953">
        <f t="shared" ref="DQ36" si="144">IF(DQ6=0,0,DQ35/DQ6)</f>
        <v>-54.461350461250007</v>
      </c>
      <c r="DR36" s="953">
        <f>IF(DR6=0,0,DR35/DR6)</f>
        <v>-1211.9689104166666</v>
      </c>
      <c r="DS36" s="953">
        <f>IF(DS6=0,0,DS35/DS6)</f>
        <v>-1504.6629929715834</v>
      </c>
      <c r="DU36" s="953">
        <f>IF(DU6=0,0,DU35/DU6)</f>
        <v>-1.6444902709707538</v>
      </c>
      <c r="DV36" s="953">
        <f>IF(DV6=0,0,DV35/DV6)</f>
        <v>-1.4764750749120998</v>
      </c>
      <c r="DW36" s="953">
        <f>IF(DW6=0,0,DW35/DW6)</f>
        <v>-1.827603242852625</v>
      </c>
      <c r="DX36" s="953">
        <f>IF(DX6=0,0,DX35/DX6)</f>
        <v>-1.1262868256776666</v>
      </c>
      <c r="DY36" s="954">
        <f t="shared" ref="DY36:EG36" si="145">IF(DY6=0,0,DY35/DY6)</f>
        <v>-20.76856193898611</v>
      </c>
      <c r="DZ36" s="953">
        <f t="shared" si="145"/>
        <v>-8.6521239294786092</v>
      </c>
      <c r="EA36" s="953">
        <f t="shared" si="145"/>
        <v>-5.6376397294786145</v>
      </c>
      <c r="EB36" s="953" t="e">
        <f t="shared" si="145"/>
        <v>#N/A</v>
      </c>
      <c r="EC36" s="953">
        <f t="shared" si="145"/>
        <v>-19.361998640174544</v>
      </c>
      <c r="ED36" s="953">
        <f t="shared" si="145"/>
        <v>-9.9872808623925309</v>
      </c>
      <c r="EE36" s="953">
        <f>IF(EE6=0,0,EE35/EE6)</f>
        <v>-22.454147406841212</v>
      </c>
      <c r="EF36" s="953">
        <f t="shared" si="145"/>
        <v>-5.862154898618444</v>
      </c>
      <c r="EG36" s="953">
        <f t="shared" si="145"/>
        <v>-6.163757632669836</v>
      </c>
      <c r="EH36" s="953">
        <f t="shared" ref="EH36:EM36" si="146">IF(EH6=0,0,EH35/EH6)</f>
        <v>-18.000105669825551</v>
      </c>
      <c r="EI36" s="953">
        <f t="shared" si="146"/>
        <v>-18.914942419428883</v>
      </c>
      <c r="EJ36" s="953">
        <f t="shared" si="146"/>
        <v>-6.0296044250222351</v>
      </c>
      <c r="EK36" s="953" t="e">
        <f t="shared" si="146"/>
        <v>#N/A</v>
      </c>
      <c r="EL36" s="953" t="e">
        <f t="shared" si="146"/>
        <v>#N/A</v>
      </c>
      <c r="EM36" s="953">
        <f t="shared" si="146"/>
        <v>17.145987634464767</v>
      </c>
      <c r="EN36" s="953">
        <f t="shared" ref="EN36" si="147">IF(EN6=0,0,EN35/EN6)</f>
        <v>-29.869225539109721</v>
      </c>
      <c r="EO36" s="953">
        <f>IF(EO6=0,0,EO35/EO6)</f>
        <v>-1282.9689104166666</v>
      </c>
      <c r="EP36" s="953">
        <f>IF(EP6=0,0,EP35/EP6)</f>
        <v>-1544.6629929715834</v>
      </c>
      <c r="ER36" s="953">
        <f>IF(ER6=0,0,ER35/ER6)</f>
        <v>-1.1059840942821</v>
      </c>
      <c r="ES36" s="953">
        <f>IF(ES6=0,0,ES35/ES6)</f>
        <v>-1.0271082846489721</v>
      </c>
      <c r="ET36" s="953">
        <f>IF(ET6=0,0,ET35/ET6)</f>
        <v>-1.1028479276154333</v>
      </c>
      <c r="EU36" s="953">
        <f>IF(EU6=0,0,EU35/EU6)</f>
        <v>-0.95578578464897224</v>
      </c>
      <c r="EV36" s="954">
        <f t="shared" ref="EV36:FD36" si="148">IF(EV6=0,0,EV35/EV6)</f>
        <v>0.48767385758918408</v>
      </c>
      <c r="EW36" s="953">
        <f t="shared" si="148"/>
        <v>4.1907158845594523</v>
      </c>
      <c r="EX36" s="953">
        <f t="shared" si="148"/>
        <v>-1.789248680354806</v>
      </c>
      <c r="EY36" s="953" t="e">
        <f t="shared" si="148"/>
        <v>#N/A</v>
      </c>
      <c r="EZ36" s="953">
        <f t="shared" si="148"/>
        <v>-12.266087836279191</v>
      </c>
      <c r="FA36" s="953">
        <f t="shared" si="148"/>
        <v>-2.5431757777851391</v>
      </c>
      <c r="FB36" s="953">
        <f>IF(FB6=0,0,FB35/FB6)</f>
        <v>-14.363768269612528</v>
      </c>
      <c r="FC36" s="953">
        <f t="shared" si="148"/>
        <v>-7.4797474912110467</v>
      </c>
      <c r="FD36" s="953">
        <f t="shared" si="148"/>
        <v>-1.4479908701974553</v>
      </c>
      <c r="FE36" s="953">
        <f t="shared" ref="FE36:FJ36" si="149">IF(FE6=0,0,FE35/FE6)</f>
        <v>-5.5456190237315592</v>
      </c>
      <c r="FF36" s="953">
        <f t="shared" si="149"/>
        <v>-7.056856553360884</v>
      </c>
      <c r="FG36" s="953">
        <f t="shared" si="149"/>
        <v>4.2325639792249898</v>
      </c>
      <c r="FH36" s="953" t="e">
        <f t="shared" si="149"/>
        <v>#N/A</v>
      </c>
      <c r="FI36" s="953" t="e">
        <f t="shared" si="149"/>
        <v>#N/A</v>
      </c>
      <c r="FJ36" s="953">
        <f t="shared" si="149"/>
        <v>25.327094871334385</v>
      </c>
      <c r="FK36" s="953">
        <f t="shared" ref="FK36" si="150">IF(FK6=0,0,FK35/FK6)</f>
        <v>-14.713950585825559</v>
      </c>
      <c r="FL36" s="953">
        <f>IF(FL6=0,0,FL35/FL6)</f>
        <v>-1312.9689104166666</v>
      </c>
      <c r="FM36" s="953">
        <f>IF(FM6=0,0,FM35/FM6)</f>
        <v>-1574.6629929715834</v>
      </c>
    </row>
    <row r="37" spans="1:169" ht="16.2" customHeight="1">
      <c r="A37" s="899">
        <f>ROWS($A$1:A37)</f>
        <v>37</v>
      </c>
      <c r="B37" s="903" t="s">
        <v>803</v>
      </c>
      <c r="D37" s="2620">
        <f>'WW1'!$R$19</f>
        <v>0</v>
      </c>
      <c r="E37" s="904">
        <f>'WW2'!$R$19</f>
        <v>177</v>
      </c>
      <c r="F37" s="904">
        <f>'WW-A'!$R$19</f>
        <v>177</v>
      </c>
      <c r="G37" s="904">
        <f>'WW-E'!$R$19</f>
        <v>177</v>
      </c>
      <c r="H37" s="904">
        <f>WRo!$R$19</f>
        <v>177</v>
      </c>
      <c r="I37" s="904">
        <f>Tr!$R$19</f>
        <v>177</v>
      </c>
      <c r="J37" s="904">
        <f>WG!$R$19</f>
        <v>177</v>
      </c>
      <c r="K37" s="904">
        <f>Di!$R$19</f>
        <v>177</v>
      </c>
      <c r="L37" s="904">
        <f>SW!$R$19</f>
        <v>177</v>
      </c>
      <c r="M37" s="904">
        <f>'SG-Fu'!$R$19</f>
        <v>177</v>
      </c>
      <c r="N37" s="904">
        <f>BG!$R$19</f>
        <v>177</v>
      </c>
      <c r="O37" s="904">
        <f>Ha!$R$19</f>
        <v>177</v>
      </c>
      <c r="P37" s="904">
        <f>Du!$R$19</f>
        <v>177</v>
      </c>
      <c r="Q37" s="904">
        <f>KöM!$R$19</f>
        <v>177</v>
      </c>
      <c r="R37" s="904">
        <f>KH!$R$19</f>
        <v>177</v>
      </c>
      <c r="S37" s="904">
        <f>WR!$R$19</f>
        <v>177</v>
      </c>
      <c r="T37" s="904">
        <f>SR!$R$19</f>
        <v>177</v>
      </c>
      <c r="U37" s="904">
        <f>SoBl!$R$19</f>
        <v>177</v>
      </c>
      <c r="V37" s="904">
        <f>Soja!$R$19</f>
        <v>177</v>
      </c>
      <c r="W37" s="904">
        <f>Öl!$R$19</f>
        <v>177</v>
      </c>
      <c r="X37" s="904">
        <f>FE!$R$19</f>
        <v>177</v>
      </c>
      <c r="Y37" s="904">
        <f>AB!$R$19</f>
        <v>177</v>
      </c>
      <c r="Z37" s="904">
        <f>Lu!$R$19</f>
        <v>177</v>
      </c>
      <c r="AA37" s="904">
        <f>ZR!$R$19</f>
        <v>177</v>
      </c>
      <c r="AB37" s="904">
        <f>FrühKa!$R$19</f>
        <v>177</v>
      </c>
      <c r="AC37" s="904">
        <f>FrühKaFolieBer!$R$19</f>
        <v>177</v>
      </c>
      <c r="AD37" s="904">
        <f>SpKa!$R$19</f>
        <v>177</v>
      </c>
      <c r="AE37" s="904">
        <f>SpKaBer!$R$19</f>
        <v>177</v>
      </c>
      <c r="AF37" s="904">
        <f>Vorlage!$R$19</f>
        <v>0</v>
      </c>
      <c r="AG37" s="904">
        <f>'FAKT-Brachebegrünung'!$R$19</f>
        <v>907</v>
      </c>
      <c r="AH37" s="904">
        <f>Begr!$R$19</f>
        <v>277</v>
      </c>
      <c r="AI37" s="901"/>
      <c r="AJ37" s="902">
        <f>'WW1'!$S$19</f>
        <v>0</v>
      </c>
      <c r="AK37" s="904">
        <f>'WW2'!$S$19</f>
        <v>177</v>
      </c>
      <c r="AL37" s="904">
        <f>'WW-A'!$S$19</f>
        <v>177</v>
      </c>
      <c r="AM37" s="904">
        <f>'WW-E'!$S$19</f>
        <v>177</v>
      </c>
      <c r="AN37" s="904">
        <f>WRo!$S$19</f>
        <v>177</v>
      </c>
      <c r="AO37" s="904">
        <f>Tr!$S$19</f>
        <v>177</v>
      </c>
      <c r="AP37" s="904">
        <f>WG!$S$19</f>
        <v>177</v>
      </c>
      <c r="AQ37" s="904">
        <f>Di!$S$19</f>
        <v>177</v>
      </c>
      <c r="AR37" s="904">
        <f>SW!$S$19</f>
        <v>177</v>
      </c>
      <c r="AS37" s="904">
        <f>'SG-Fu'!$S$19</f>
        <v>177</v>
      </c>
      <c r="AT37" s="904">
        <f>BG!$S$19</f>
        <v>177</v>
      </c>
      <c r="AU37" s="904">
        <f>Ha!$S$19</f>
        <v>177</v>
      </c>
      <c r="AV37" s="904">
        <f>Du!$S$19</f>
        <v>177</v>
      </c>
      <c r="AW37" s="904">
        <f>KöM!$S$19</f>
        <v>177</v>
      </c>
      <c r="AX37" s="904">
        <f>KH!$S$19</f>
        <v>177</v>
      </c>
      <c r="AY37" s="904">
        <f>WR!$S$19</f>
        <v>177</v>
      </c>
      <c r="AZ37" s="904">
        <f>SR!$S$19</f>
        <v>177</v>
      </c>
      <c r="BA37" s="904">
        <f>SoBl!$S$19</f>
        <v>177</v>
      </c>
      <c r="BB37" s="904">
        <f>Soja!$S$19</f>
        <v>177</v>
      </c>
      <c r="BC37" s="904">
        <f>Öl!$S$19</f>
        <v>177</v>
      </c>
      <c r="BD37" s="904">
        <f>FE!$S$19</f>
        <v>177</v>
      </c>
      <c r="BE37" s="904">
        <f>AB!$S$19</f>
        <v>177</v>
      </c>
      <c r="BF37" s="904">
        <f>Lu!$S$19</f>
        <v>177</v>
      </c>
      <c r="BG37" s="904">
        <f>ZR!$S$19</f>
        <v>177</v>
      </c>
      <c r="BH37" s="904">
        <f>FrühKa!$S$19</f>
        <v>177</v>
      </c>
      <c r="BI37" s="904">
        <f>FrühKaFolieBer!$S$19</f>
        <v>177</v>
      </c>
      <c r="BJ37" s="904">
        <f>SpKa!$S$19</f>
        <v>177</v>
      </c>
      <c r="BK37" s="904">
        <f>SpKaBer!$S$19</f>
        <v>177</v>
      </c>
      <c r="BL37" s="904">
        <v>0</v>
      </c>
      <c r="BM37" s="904">
        <f>'FAKT-Brachebegrünung'!$S$19</f>
        <v>907</v>
      </c>
      <c r="BN37" s="904">
        <f>Begr!$S$19</f>
        <v>277</v>
      </c>
      <c r="BO37" s="901"/>
      <c r="BP37" s="902">
        <f>'WW1'!$T$19</f>
        <v>0</v>
      </c>
      <c r="BQ37" s="904">
        <f>'WW2'!$T$19</f>
        <v>177</v>
      </c>
      <c r="BR37" s="904">
        <f>'WW-A'!$T$19</f>
        <v>177</v>
      </c>
      <c r="BS37" s="904">
        <f>'WW-E'!$T$19</f>
        <v>177</v>
      </c>
      <c r="BT37" s="904">
        <f>WRo!$T$19</f>
        <v>177</v>
      </c>
      <c r="BU37" s="904">
        <f>Tr!$T$19</f>
        <v>177</v>
      </c>
      <c r="BV37" s="904">
        <f>WG!$T$19</f>
        <v>177</v>
      </c>
      <c r="BW37" s="904">
        <f>Di!$T$19</f>
        <v>177</v>
      </c>
      <c r="BX37" s="904">
        <f>SW!$T$19</f>
        <v>177</v>
      </c>
      <c r="BY37" s="904">
        <f>'SG-Fu'!$T$19</f>
        <v>177</v>
      </c>
      <c r="BZ37" s="904">
        <f>BG!$T$19</f>
        <v>177</v>
      </c>
      <c r="CA37" s="904">
        <f>Ha!$T$19</f>
        <v>177</v>
      </c>
      <c r="CB37" s="904">
        <f>Du!$T$19</f>
        <v>177</v>
      </c>
      <c r="CC37" s="904">
        <f>KöM!$T$19</f>
        <v>177</v>
      </c>
      <c r="CD37" s="904">
        <f>KH!$T$19</f>
        <v>177</v>
      </c>
      <c r="CE37" s="904">
        <f>WR!$T$19</f>
        <v>177</v>
      </c>
      <c r="CF37" s="904">
        <f>SR!$T$19</f>
        <v>177</v>
      </c>
      <c r="CG37" s="904">
        <f>SoBl!$T$19</f>
        <v>177</v>
      </c>
      <c r="CH37" s="904">
        <f>Soja!$T$19</f>
        <v>177</v>
      </c>
      <c r="CI37" s="904">
        <f>Öl!$T$19</f>
        <v>177</v>
      </c>
      <c r="CJ37" s="904">
        <f>FE!$T$19</f>
        <v>177</v>
      </c>
      <c r="CK37" s="904">
        <f>AB!$T$19</f>
        <v>177</v>
      </c>
      <c r="CL37" s="904">
        <f>Lu!$T$19</f>
        <v>177</v>
      </c>
      <c r="CM37" s="904">
        <f>ZR!$T$19</f>
        <v>177</v>
      </c>
      <c r="CN37" s="904">
        <f>FrühKa!$T$19</f>
        <v>177</v>
      </c>
      <c r="CO37" s="904">
        <f>FrühKaFolieBer!$T$19</f>
        <v>177</v>
      </c>
      <c r="CP37" s="904">
        <f>SpKa!$T$19</f>
        <v>177</v>
      </c>
      <c r="CQ37" s="904">
        <f>SpKaBer!$T$19</f>
        <v>177</v>
      </c>
      <c r="CR37" s="904">
        <f>Vorlage!$T$19</f>
        <v>0</v>
      </c>
      <c r="CS37" s="904">
        <f>'FAKT-Brachebegrünung'!$T$19</f>
        <v>907</v>
      </c>
      <c r="CT37" s="904">
        <f>Begr!$T$19</f>
        <v>277</v>
      </c>
      <c r="CV37" s="903" t="s">
        <v>803</v>
      </c>
      <c r="CW37" s="893"/>
      <c r="CX37" s="2620">
        <f>'Öko-KG1'!$R$19</f>
        <v>417</v>
      </c>
      <c r="CY37" s="904">
        <f>'Öko-KG2'!$R$19</f>
        <v>417</v>
      </c>
      <c r="CZ37" s="904">
        <f>'Öko-LU1'!$R$19</f>
        <v>417</v>
      </c>
      <c r="DA37" s="904">
        <f>'Öko-LU2'!$R$19</f>
        <v>417</v>
      </c>
      <c r="DB37" s="904">
        <f>'Öko-WW-Futter'!$R$19</f>
        <v>417</v>
      </c>
      <c r="DC37" s="904">
        <f>'Öko-WW-Brot'!$R$19</f>
        <v>417</v>
      </c>
      <c r="DD37" s="904">
        <f>'Öko-Di'!$R$19</f>
        <v>417</v>
      </c>
      <c r="DE37" s="904" t="e">
        <f>'Öko-Dinkel,gegerbt'!$R$19</f>
        <v>#N/A</v>
      </c>
      <c r="DF37" s="904">
        <f>'Öko-Ro'!$R$19</f>
        <v>417</v>
      </c>
      <c r="DG37" s="904">
        <f>'Öko-Ha'!$R$19</f>
        <v>417</v>
      </c>
      <c r="DH37" s="904">
        <f>'Öko-Wg'!$R$19</f>
        <v>417</v>
      </c>
      <c r="DI37" s="904">
        <f>'Öko-Bg'!$R$19</f>
        <v>417</v>
      </c>
      <c r="DJ37" s="904">
        <f>'Öko-KöM'!$R$19</f>
        <v>417</v>
      </c>
      <c r="DK37" s="904">
        <f>'Öko-Ab'!$R$19</f>
        <v>417</v>
      </c>
      <c r="DL37" s="904">
        <f>'Öko-FE'!$R$19</f>
        <v>417</v>
      </c>
      <c r="DM37" s="904">
        <f>'Öko-Soja'!$R$19</f>
        <v>417</v>
      </c>
      <c r="DN37" s="904" t="e">
        <f>'Öko-Soblu'!$R$19</f>
        <v>#N/A</v>
      </c>
      <c r="DO37" s="904">
        <f>'Öko-Raps'!$R$19</f>
        <v>417</v>
      </c>
      <c r="DP37" s="904">
        <f>'Öko-Ka'!$R$19</f>
        <v>417</v>
      </c>
      <c r="DQ37" s="904">
        <f>'Öko-Lu'!$R$19</f>
        <v>417</v>
      </c>
      <c r="DR37" s="904">
        <f>Begrün.!$R$19</f>
        <v>177</v>
      </c>
      <c r="DS37" s="904">
        <f>Blühm.!$R$19</f>
        <v>177</v>
      </c>
      <c r="DT37" s="893"/>
      <c r="DU37" s="904">
        <f>'Öko-KG1'!$S$19</f>
        <v>417</v>
      </c>
      <c r="DV37" s="904">
        <f>'Öko-KG2'!$S$19</f>
        <v>417</v>
      </c>
      <c r="DW37" s="904">
        <f>'Öko-LU1'!$S$19</f>
        <v>417</v>
      </c>
      <c r="DX37" s="904">
        <f>'Öko-LU2'!$S$19</f>
        <v>417</v>
      </c>
      <c r="DY37" s="902">
        <f>'Öko-WW-Futter'!$S$19</f>
        <v>417</v>
      </c>
      <c r="DZ37" s="904">
        <f>'Öko-WW-Brot'!$S$19</f>
        <v>417</v>
      </c>
      <c r="EA37" s="904">
        <f>'Öko-Di'!$S$19</f>
        <v>417</v>
      </c>
      <c r="EB37" s="904" t="e">
        <f>'Öko-Dinkel,gegerbt'!$S$19</f>
        <v>#N/A</v>
      </c>
      <c r="EC37" s="904">
        <f>'Öko-Ro'!$S$19</f>
        <v>417</v>
      </c>
      <c r="ED37" s="904">
        <f>'Öko-Ha'!$S$19</f>
        <v>417</v>
      </c>
      <c r="EE37" s="904">
        <f>'Öko-Wg'!$S$19</f>
        <v>417</v>
      </c>
      <c r="EF37" s="904">
        <f>'Öko-Bg'!$S$19</f>
        <v>417</v>
      </c>
      <c r="EG37" s="904">
        <f>'Öko-KöM'!$S$19</f>
        <v>417</v>
      </c>
      <c r="EH37" s="904">
        <f>'Öko-Ab'!$S$19</f>
        <v>417</v>
      </c>
      <c r="EI37" s="904">
        <f>'Öko-FE'!$S$19</f>
        <v>417</v>
      </c>
      <c r="EJ37" s="904">
        <f>'Öko-Soja'!$S$19</f>
        <v>417</v>
      </c>
      <c r="EK37" s="904" t="e">
        <f>'Öko-Soblu'!$S$19</f>
        <v>#N/A</v>
      </c>
      <c r="EL37" s="904">
        <f>'Öko-Raps'!$S$19</f>
        <v>417</v>
      </c>
      <c r="EM37" s="904">
        <f>'Öko-Ka'!$S$19</f>
        <v>417</v>
      </c>
      <c r="EN37" s="904">
        <f>'Öko-Lu'!$S$19</f>
        <v>417</v>
      </c>
      <c r="EO37" s="904">
        <f>Begrün.!$S$19</f>
        <v>177</v>
      </c>
      <c r="EP37" s="904">
        <f>Blühm.!$S$19</f>
        <v>177</v>
      </c>
      <c r="EQ37" s="893"/>
      <c r="ER37" s="904">
        <f>'Öko-KG1'!$T$19</f>
        <v>417</v>
      </c>
      <c r="ES37" s="904">
        <f>'Öko-KG2'!$T$19</f>
        <v>417</v>
      </c>
      <c r="ET37" s="904">
        <f>'Öko-LU1'!$T$19</f>
        <v>417</v>
      </c>
      <c r="EU37" s="904">
        <f>'Öko-LU2'!$T$19</f>
        <v>417</v>
      </c>
      <c r="EV37" s="902">
        <f>'Öko-WW-Futter'!$T$19</f>
        <v>417</v>
      </c>
      <c r="EW37" s="904">
        <f>'Öko-WW-Brot'!$T$19</f>
        <v>417</v>
      </c>
      <c r="EX37" s="904">
        <f>'Öko-Di'!$T$19</f>
        <v>417</v>
      </c>
      <c r="EY37" s="904" t="e">
        <f>'Öko-Dinkel,gegerbt'!$T$19</f>
        <v>#N/A</v>
      </c>
      <c r="EZ37" s="904">
        <f>'Öko-Ro'!$T$19</f>
        <v>417</v>
      </c>
      <c r="FA37" s="904">
        <f>'Öko-Ha'!$T$19</f>
        <v>417</v>
      </c>
      <c r="FB37" s="904">
        <f>'Öko-Wg'!$T$19</f>
        <v>417</v>
      </c>
      <c r="FC37" s="904">
        <f>'Öko-Bg'!$T$19</f>
        <v>417</v>
      </c>
      <c r="FD37" s="904">
        <f>'Öko-KöM'!$T$19</f>
        <v>417</v>
      </c>
      <c r="FE37" s="904">
        <f>'Öko-Ab'!$T$19</f>
        <v>417</v>
      </c>
      <c r="FF37" s="904">
        <f>'Öko-FE'!$T$19</f>
        <v>417</v>
      </c>
      <c r="FG37" s="904">
        <f>'Öko-Soja'!$T$19</f>
        <v>417</v>
      </c>
      <c r="FH37" s="904" t="e">
        <f>'Öko-Soblu'!$T$19</f>
        <v>#N/A</v>
      </c>
      <c r="FI37" s="904">
        <f>'Öko-Raps'!$T$19</f>
        <v>417</v>
      </c>
      <c r="FJ37" s="904">
        <f>'Öko-Ka'!$T$19</f>
        <v>417</v>
      </c>
      <c r="FK37" s="904">
        <f>'Öko-Lu'!$T$19</f>
        <v>417</v>
      </c>
      <c r="FL37" s="904">
        <f>Begrün.!$T$19</f>
        <v>177</v>
      </c>
      <c r="FM37" s="904">
        <f>Blühm.!$T$19</f>
        <v>177</v>
      </c>
    </row>
    <row r="38" spans="1:169" s="909" customFormat="1" ht="16.2" customHeight="1">
      <c r="A38" s="899">
        <f>ROWS($A$1:A38)</f>
        <v>38</v>
      </c>
      <c r="B38" s="952" t="s">
        <v>802</v>
      </c>
      <c r="C38" s="960" t="s">
        <v>163</v>
      </c>
      <c r="D38" s="957">
        <f t="shared" ref="D38:AH38" si="151">D35+D37</f>
        <v>-727.43831393687901</v>
      </c>
      <c r="E38" s="957">
        <f t="shared" si="151"/>
        <v>-648.91997563699988</v>
      </c>
      <c r="F38" s="957">
        <f t="shared" si="151"/>
        <v>-624.90488410981197</v>
      </c>
      <c r="G38" s="957">
        <f t="shared" si="151"/>
        <v>-554.24548720511552</v>
      </c>
      <c r="H38" s="957">
        <f t="shared" si="151"/>
        <v>-898.01468160160425</v>
      </c>
      <c r="I38" s="957">
        <f t="shared" si="151"/>
        <v>-738.14899274263234</v>
      </c>
      <c r="J38" s="957">
        <f t="shared" si="151"/>
        <v>-782.56812577980077</v>
      </c>
      <c r="K38" s="957">
        <f t="shared" si="151"/>
        <v>-576.11499309578448</v>
      </c>
      <c r="L38" s="957">
        <f t="shared" si="151"/>
        <v>-711.34133200630674</v>
      </c>
      <c r="M38" s="957">
        <f t="shared" si="151"/>
        <v>-882.07233473903329</v>
      </c>
      <c r="N38" s="957">
        <f t="shared" si="151"/>
        <v>-478.74157008389182</v>
      </c>
      <c r="O38" s="957">
        <f t="shared" si="151"/>
        <v>-652.41574544077082</v>
      </c>
      <c r="P38" s="957">
        <f t="shared" si="151"/>
        <v>-552.8472568184867</v>
      </c>
      <c r="Q38" s="957">
        <f t="shared" si="151"/>
        <v>-652.57220758063329</v>
      </c>
      <c r="R38" s="957" t="e">
        <f t="shared" si="151"/>
        <v>#VALUE!</v>
      </c>
      <c r="S38" s="957">
        <f t="shared" si="151"/>
        <v>-627.06549580316664</v>
      </c>
      <c r="T38" s="957">
        <f t="shared" si="151"/>
        <v>-994.39351500886687</v>
      </c>
      <c r="U38" s="957">
        <f t="shared" si="151"/>
        <v>-1000.6920508935837</v>
      </c>
      <c r="V38" s="957">
        <f t="shared" si="151"/>
        <v>-902.09548074827808</v>
      </c>
      <c r="W38" s="957" t="e">
        <f>W35+W37</f>
        <v>#VALUE!</v>
      </c>
      <c r="X38" s="957">
        <f t="shared" si="151"/>
        <v>-990.65975741494458</v>
      </c>
      <c r="Y38" s="957">
        <f t="shared" si="151"/>
        <v>-1002.8632574149447</v>
      </c>
      <c r="Z38" s="957" t="e">
        <f t="shared" si="151"/>
        <v>#VALUE!</v>
      </c>
      <c r="AA38" s="957">
        <f t="shared" si="151"/>
        <v>465.38052069649967</v>
      </c>
      <c r="AB38" s="957">
        <f t="shared" si="151"/>
        <v>1812.9276645849773</v>
      </c>
      <c r="AC38" s="957" t="e">
        <f t="shared" si="151"/>
        <v>#VALUE!</v>
      </c>
      <c r="AD38" s="957">
        <f t="shared" si="151"/>
        <v>-761.21971649004774</v>
      </c>
      <c r="AE38" s="957">
        <f t="shared" si="151"/>
        <v>4832.946285414976</v>
      </c>
      <c r="AF38" s="957">
        <f t="shared" si="151"/>
        <v>-858</v>
      </c>
      <c r="AG38" s="957">
        <f t="shared" si="151"/>
        <v>-352.91644243583346</v>
      </c>
      <c r="AH38" s="957">
        <f t="shared" si="151"/>
        <v>-4.3628383882499975</v>
      </c>
      <c r="AI38" s="948"/>
      <c r="AJ38" s="958">
        <f t="shared" ref="AJ38:BN38" si="152">AJ35+AJ37</f>
        <v>-519.83381984258335</v>
      </c>
      <c r="AK38" s="957">
        <f t="shared" si="152"/>
        <v>-435.46047999516679</v>
      </c>
      <c r="AL38" s="957">
        <f t="shared" si="152"/>
        <v>-364.5668776771314</v>
      </c>
      <c r="AM38" s="957">
        <f t="shared" si="152"/>
        <v>-254.54537069309123</v>
      </c>
      <c r="AN38" s="957">
        <f t="shared" si="152"/>
        <v>-775.1725037946054</v>
      </c>
      <c r="AO38" s="957">
        <f t="shared" si="152"/>
        <v>-548.32702976042094</v>
      </c>
      <c r="AP38" s="957">
        <f t="shared" si="152"/>
        <v>-590.99772803063422</v>
      </c>
      <c r="AQ38" s="957">
        <f t="shared" si="152"/>
        <v>-325.22032827354593</v>
      </c>
      <c r="AR38" s="957">
        <f t="shared" si="152"/>
        <v>-571.51602488429762</v>
      </c>
      <c r="AS38" s="957">
        <f t="shared" si="152"/>
        <v>-737.2816590834891</v>
      </c>
      <c r="AT38" s="957">
        <f t="shared" si="152"/>
        <v>-298.82920972349729</v>
      </c>
      <c r="AU38" s="957">
        <f t="shared" si="152"/>
        <v>-502.29621060669456</v>
      </c>
      <c r="AV38" s="957">
        <f t="shared" si="152"/>
        <v>-261.90305313753777</v>
      </c>
      <c r="AW38" s="957">
        <f t="shared" si="152"/>
        <v>-406.52864234484434</v>
      </c>
      <c r="AX38" s="957" t="e">
        <f t="shared" ref="AX38" si="153">AX35+AX37</f>
        <v>#VALUE!</v>
      </c>
      <c r="AY38" s="957">
        <f t="shared" si="152"/>
        <v>-401.77684968151141</v>
      </c>
      <c r="AZ38" s="957">
        <f t="shared" si="152"/>
        <v>-909.86623981248886</v>
      </c>
      <c r="BA38" s="957">
        <f t="shared" si="152"/>
        <v>-903.58045676455572</v>
      </c>
      <c r="BB38" s="957">
        <f t="shared" si="152"/>
        <v>-702.45997932376667</v>
      </c>
      <c r="BC38" s="957" t="e">
        <f t="shared" ref="BC38" si="154">BC35+BC37</f>
        <v>#VALUE!</v>
      </c>
      <c r="BD38" s="957">
        <f t="shared" si="152"/>
        <v>-724.00386067194438</v>
      </c>
      <c r="BE38" s="957">
        <f t="shared" si="152"/>
        <v>-746.59519400527768</v>
      </c>
      <c r="BF38" s="957" t="e">
        <f t="shared" si="152"/>
        <v>#VALUE!</v>
      </c>
      <c r="BG38" s="957">
        <f t="shared" si="152"/>
        <v>1745.3421251965001</v>
      </c>
      <c r="BH38" s="957">
        <f t="shared" si="152"/>
        <v>5841.9821556746901</v>
      </c>
      <c r="BI38" s="957" t="e">
        <f t="shared" si="152"/>
        <v>#VALUE!</v>
      </c>
      <c r="BJ38" s="957">
        <f t="shared" si="152"/>
        <v>107.6553470173813</v>
      </c>
      <c r="BK38" s="957">
        <f t="shared" si="152"/>
        <v>6202.010328585643</v>
      </c>
      <c r="BL38" s="957">
        <f t="shared" si="152"/>
        <v>-898</v>
      </c>
      <c r="BM38" s="957">
        <f t="shared" si="152"/>
        <v>-392.91644243583346</v>
      </c>
      <c r="BN38" s="957">
        <f t="shared" si="152"/>
        <v>-324.36283838825011</v>
      </c>
      <c r="BO38" s="948"/>
      <c r="BP38" s="958">
        <f t="shared" ref="BP38:CT38" si="155">BP35+BP37</f>
        <v>-464.53240475298742</v>
      </c>
      <c r="BQ38" s="957">
        <f t="shared" si="155"/>
        <v>-207.97043226999978</v>
      </c>
      <c r="BR38" s="957">
        <f t="shared" si="155"/>
        <v>-104.40019607071093</v>
      </c>
      <c r="BS38" s="957">
        <f t="shared" si="155"/>
        <v>40.53208765933897</v>
      </c>
      <c r="BT38" s="957">
        <f t="shared" si="155"/>
        <v>-687.31949048057368</v>
      </c>
      <c r="BU38" s="957">
        <f t="shared" si="155"/>
        <v>-368.04909393314267</v>
      </c>
      <c r="BV38" s="957">
        <f t="shared" si="155"/>
        <v>-467.30405743640119</v>
      </c>
      <c r="BW38" s="957">
        <f t="shared" si="155"/>
        <v>-43.870486296374423</v>
      </c>
      <c r="BX38" s="957">
        <f t="shared" si="155"/>
        <v>-319.5842177622888</v>
      </c>
      <c r="BY38" s="957">
        <f t="shared" si="155"/>
        <v>-592.49098342794446</v>
      </c>
      <c r="BZ38" s="957">
        <f t="shared" si="155"/>
        <v>-118.91684936310281</v>
      </c>
      <c r="CA38" s="957">
        <f t="shared" si="155"/>
        <v>-334.32636658195133</v>
      </c>
      <c r="CB38" s="957">
        <f t="shared" si="155"/>
        <v>29.041150543410907</v>
      </c>
      <c r="CC38" s="957">
        <f t="shared" si="155"/>
        <v>-160.48507710905534</v>
      </c>
      <c r="CD38" s="957" t="e">
        <f t="shared" ref="CD38" si="156">CD35+CD37</f>
        <v>#VALUE!</v>
      </c>
      <c r="CE38" s="957">
        <f t="shared" si="155"/>
        <v>-140.25869955515554</v>
      </c>
      <c r="CF38" s="957">
        <f t="shared" si="155"/>
        <v>-789.20273739561139</v>
      </c>
      <c r="CG38" s="957">
        <f t="shared" si="155"/>
        <v>-806.46886263552801</v>
      </c>
      <c r="CH38" s="957">
        <f t="shared" si="155"/>
        <v>-502.82447789925561</v>
      </c>
      <c r="CI38" s="957" t="e">
        <f t="shared" ref="CI38" si="157">CI35+CI37</f>
        <v>#VALUE!</v>
      </c>
      <c r="CJ38" s="957">
        <f t="shared" si="155"/>
        <v>-485.58129726227787</v>
      </c>
      <c r="CK38" s="957">
        <f t="shared" si="155"/>
        <v>-513.61963059561106</v>
      </c>
      <c r="CL38" s="957" t="e">
        <f t="shared" si="155"/>
        <v>#VALUE!</v>
      </c>
      <c r="CM38" s="957">
        <f t="shared" si="155"/>
        <v>2632.1884404759999</v>
      </c>
      <c r="CN38" s="957">
        <f t="shared" si="155"/>
        <v>9871.0366467644053</v>
      </c>
      <c r="CO38" s="957" t="e">
        <f t="shared" si="155"/>
        <v>#VALUE!</v>
      </c>
      <c r="CP38" s="957">
        <f t="shared" si="155"/>
        <v>2110.5671605248094</v>
      </c>
      <c r="CQ38" s="957">
        <f t="shared" si="155"/>
        <v>7523.0067110062146</v>
      </c>
      <c r="CR38" s="957">
        <f>CR35+CR37</f>
        <v>-938</v>
      </c>
      <c r="CS38" s="957">
        <f t="shared" si="155"/>
        <v>-432.91644243583346</v>
      </c>
      <c r="CT38" s="957">
        <f t="shared" si="155"/>
        <v>-364.36283838825011</v>
      </c>
      <c r="CU38" s="892"/>
      <c r="CV38" s="952" t="s">
        <v>802</v>
      </c>
      <c r="CW38" s="960" t="s">
        <v>163</v>
      </c>
      <c r="CX38" s="957">
        <f>CX37+CX35</f>
        <v>-485.22671380771669</v>
      </c>
      <c r="CY38" s="957">
        <f t="shared" ref="CY38:DS38" si="158">CY35+CY37</f>
        <v>-433.21010412271664</v>
      </c>
      <c r="CZ38" s="957">
        <f t="shared" si="158"/>
        <v>-483.65863047438347</v>
      </c>
      <c r="DA38" s="957">
        <f t="shared" si="158"/>
        <v>-314.43032078938336</v>
      </c>
      <c r="DB38" s="957">
        <f t="shared" si="158"/>
        <v>-275.55489007346182</v>
      </c>
      <c r="DC38" s="957">
        <f t="shared" si="158"/>
        <v>-202.84891230549988</v>
      </c>
      <c r="DD38" s="957">
        <f t="shared" si="158"/>
        <v>-118.48438630550027</v>
      </c>
      <c r="DE38" s="957" t="e">
        <f t="shared" si="158"/>
        <v>#N/A</v>
      </c>
      <c r="DF38" s="957">
        <f t="shared" si="158"/>
        <v>-515.70188746112353</v>
      </c>
      <c r="DG38" s="957">
        <f t="shared" si="158"/>
        <v>-251.86172045019055</v>
      </c>
      <c r="DH38" s="957">
        <f>DH35+DH37</f>
        <v>-563.52830463717396</v>
      </c>
      <c r="DI38" s="957">
        <f t="shared" si="158"/>
        <v>-452.28402646184918</v>
      </c>
      <c r="DJ38" s="957">
        <f t="shared" si="158"/>
        <v>-326.8727007648331</v>
      </c>
      <c r="DK38" s="957">
        <f t="shared" si="158"/>
        <v>-299.7046889996667</v>
      </c>
      <c r="DL38" s="957">
        <f t="shared" si="158"/>
        <v>-308.91852440641651</v>
      </c>
      <c r="DM38" s="957">
        <f t="shared" si="158"/>
        <v>-45.422063428777847</v>
      </c>
      <c r="DN38" s="957" t="e">
        <f t="shared" si="158"/>
        <v>#N/A</v>
      </c>
      <c r="DO38" s="957" t="e">
        <f t="shared" si="158"/>
        <v>#N/A</v>
      </c>
      <c r="DP38" s="957">
        <f t="shared" si="158"/>
        <v>1158.1490168740479</v>
      </c>
      <c r="DQ38" s="957">
        <f t="shared" ref="DQ38" si="159">DQ35+DQ37</f>
        <v>-399.92025691875006</v>
      </c>
      <c r="DR38" s="957">
        <f t="shared" si="158"/>
        <v>-1034.9689104166666</v>
      </c>
      <c r="DS38" s="957">
        <f t="shared" si="158"/>
        <v>-1327.6629929715834</v>
      </c>
      <c r="DU38" s="957">
        <f>DU35+DU37</f>
        <v>-273.68591380771659</v>
      </c>
      <c r="DV38" s="957">
        <f>DV35+DV37</f>
        <v>-321.23753745604995</v>
      </c>
      <c r="DW38" s="957">
        <f>DW35+DW37</f>
        <v>-314.04129714104999</v>
      </c>
      <c r="DX38" s="957">
        <f>DX35+DX37</f>
        <v>-202.45775412271666</v>
      </c>
      <c r="DY38" s="958">
        <f t="shared" ref="DY38:EG38" si="160">DY35+DY37</f>
        <v>-413.74247755944441</v>
      </c>
      <c r="DZ38" s="957">
        <f t="shared" si="160"/>
        <v>70.915042820855604</v>
      </c>
      <c r="EA38" s="957">
        <f t="shared" si="160"/>
        <v>191.49441082085542</v>
      </c>
      <c r="EB38" s="957" t="e">
        <f t="shared" si="160"/>
        <v>#N/A</v>
      </c>
      <c r="EC38" s="957">
        <f t="shared" si="160"/>
        <v>-357.4799456069818</v>
      </c>
      <c r="ED38" s="957">
        <f t="shared" si="160"/>
        <v>17.508765504298765</v>
      </c>
      <c r="EE38" s="957">
        <f>EE35+EE37</f>
        <v>-481.16589627364851</v>
      </c>
      <c r="EF38" s="957">
        <f t="shared" si="160"/>
        <v>205.96242364973602</v>
      </c>
      <c r="EG38" s="957">
        <f t="shared" si="160"/>
        <v>-14.463034286888501</v>
      </c>
      <c r="EH38" s="957">
        <f t="shared" ref="EH38:EM38" si="161">EH35+EH37</f>
        <v>-33.002641745638812</v>
      </c>
      <c r="EI38" s="957">
        <f t="shared" si="161"/>
        <v>-55.873560485722066</v>
      </c>
      <c r="EJ38" s="957">
        <f t="shared" si="161"/>
        <v>266.25988937444413</v>
      </c>
      <c r="EK38" s="957" t="e">
        <f t="shared" si="161"/>
        <v>#N/A</v>
      </c>
      <c r="EL38" s="957" t="e">
        <f t="shared" si="161"/>
        <v>#N/A</v>
      </c>
      <c r="EM38" s="957">
        <f t="shared" si="161"/>
        <v>3631.8726814621441</v>
      </c>
      <c r="EN38" s="957">
        <f t="shared" ref="EN38" si="162">EN35+EN37</f>
        <v>-180.38451078219441</v>
      </c>
      <c r="EO38" s="957">
        <f>EO35+EO37</f>
        <v>-1105.9689104166666</v>
      </c>
      <c r="EP38" s="957">
        <f>EP35+EP37</f>
        <v>-1367.6629929715834</v>
      </c>
      <c r="ER38" s="957">
        <f>ER35+ER37</f>
        <v>-135.99204714104997</v>
      </c>
      <c r="ES38" s="957">
        <f>ES35+ES37</f>
        <v>-199.26497078938326</v>
      </c>
      <c r="ET38" s="957">
        <f>ET35+ET37</f>
        <v>-134.42396380771663</v>
      </c>
      <c r="EU38" s="957">
        <f>EU35+EU37</f>
        <v>-156.47147078938337</v>
      </c>
      <c r="EV38" s="958">
        <f t="shared" ref="EV38:FD38" si="163">EV35+EV37</f>
        <v>450.64949617365369</v>
      </c>
      <c r="EW38" s="957">
        <f t="shared" si="163"/>
        <v>668.4429530735672</v>
      </c>
      <c r="EX38" s="957">
        <f t="shared" si="163"/>
        <v>336.48380938403375</v>
      </c>
      <c r="EY38" s="957" t="e">
        <f t="shared" si="163"/>
        <v>#N/A</v>
      </c>
      <c r="EZ38" s="957">
        <f t="shared" si="163"/>
        <v>-196.30439181395957</v>
      </c>
      <c r="FA38" s="957">
        <f t="shared" si="163"/>
        <v>289.84121111074307</v>
      </c>
      <c r="FB38" s="957">
        <f>FB35+FB37</f>
        <v>-301.18841348062642</v>
      </c>
      <c r="FC38" s="957">
        <f t="shared" si="163"/>
        <v>147.72909031640233</v>
      </c>
      <c r="FD38" s="957">
        <f t="shared" si="163"/>
        <v>290.30079885772267</v>
      </c>
      <c r="FE38" s="957">
        <f t="shared" ref="FE38:FJ38" si="164">FE35+FE37</f>
        <v>243.69940550838876</v>
      </c>
      <c r="FF38" s="957">
        <f t="shared" si="164"/>
        <v>196.47323270747236</v>
      </c>
      <c r="FG38" s="957">
        <f t="shared" si="164"/>
        <v>543.97691937674972</v>
      </c>
      <c r="FH38" s="957" t="e">
        <f t="shared" si="164"/>
        <v>#N/A</v>
      </c>
      <c r="FI38" s="957" t="e">
        <f t="shared" si="164"/>
        <v>#N/A</v>
      </c>
      <c r="FJ38" s="957">
        <f t="shared" si="164"/>
        <v>6115.5963460502362</v>
      </c>
      <c r="FK38" s="957">
        <f t="shared" ref="FK38" si="165">FK35+FK37</f>
        <v>49.151235354361006</v>
      </c>
      <c r="FL38" s="957">
        <f>FL35+FL37</f>
        <v>-1135.9689104166666</v>
      </c>
      <c r="FM38" s="957">
        <f>FM35+FM37</f>
        <v>-1397.6629929715834</v>
      </c>
    </row>
    <row r="39" spans="1:169" s="909" customFormat="1" ht="16.2" customHeight="1">
      <c r="A39" s="899">
        <f>ROWS($A$1:A39)</f>
        <v>39</v>
      </c>
      <c r="B39" s="956"/>
      <c r="C39" s="955" t="s">
        <v>220</v>
      </c>
      <c r="D39" s="953">
        <f>IF(D6=0,0,D38/D6)</f>
        <v>-12.932236692211182</v>
      </c>
      <c r="E39" s="953">
        <f t="shared" ref="E39:AH39" si="166">IF(E6=0,0,E38/E6)</f>
        <v>-11.536355122435554</v>
      </c>
      <c r="F39" s="953">
        <f t="shared" si="166"/>
        <v>-11.572312668700222</v>
      </c>
      <c r="G39" s="953">
        <f t="shared" si="166"/>
        <v>-10.867558572649324</v>
      </c>
      <c r="H39" s="953">
        <f t="shared" si="166"/>
        <v>-23.947058176042781</v>
      </c>
      <c r="I39" s="953">
        <f t="shared" si="166"/>
        <v>-14.689532193883231</v>
      </c>
      <c r="J39" s="953">
        <f t="shared" si="166"/>
        <v>-14.906059538662872</v>
      </c>
      <c r="K39" s="953">
        <f t="shared" si="166"/>
        <v>-13.717023645137726</v>
      </c>
      <c r="L39" s="953">
        <f t="shared" si="166"/>
        <v>-16.936698381102541</v>
      </c>
      <c r="M39" s="953">
        <f t="shared" si="166"/>
        <v>-21.383571751249292</v>
      </c>
      <c r="N39" s="953">
        <f t="shared" si="166"/>
        <v>-11.968539252097296</v>
      </c>
      <c r="O39" s="953">
        <f t="shared" si="166"/>
        <v>-17.397753211753887</v>
      </c>
      <c r="P39" s="953">
        <f t="shared" si="166"/>
        <v>-13.908107089773249</v>
      </c>
      <c r="Q39" s="953">
        <f t="shared" si="166"/>
        <v>-8.8785334364712014</v>
      </c>
      <c r="R39" s="953" t="e">
        <f t="shared" si="166"/>
        <v>#VALUE!</v>
      </c>
      <c r="S39" s="953">
        <f t="shared" si="166"/>
        <v>-20.902183193438887</v>
      </c>
      <c r="T39" s="953">
        <f t="shared" si="166"/>
        <v>-60.266273636901019</v>
      </c>
      <c r="U39" s="953">
        <f t="shared" si="166"/>
        <v>-53.370242714324462</v>
      </c>
      <c r="V39" s="953">
        <f t="shared" si="166"/>
        <v>-45.104774037413904</v>
      </c>
      <c r="W39" s="953" t="e">
        <f t="shared" ref="W39" si="167">IF(W6=0,0,W38/W6)</f>
        <v>#VALUE!</v>
      </c>
      <c r="X39" s="953">
        <f t="shared" si="166"/>
        <v>-49.532987870747228</v>
      </c>
      <c r="Y39" s="953">
        <f t="shared" si="166"/>
        <v>-50.143162870747233</v>
      </c>
      <c r="Z39" s="953" t="e">
        <f t="shared" si="166"/>
        <v>#VALUE!</v>
      </c>
      <c r="AA39" s="953">
        <f t="shared" si="166"/>
        <v>2.110569254859409</v>
      </c>
      <c r="AB39" s="953">
        <f t="shared" si="166"/>
        <v>9.0195406198257579</v>
      </c>
      <c r="AC39" s="953" t="e">
        <f t="shared" si="166"/>
        <v>#VALUE!</v>
      </c>
      <c r="AD39" s="953">
        <f t="shared" si="166"/>
        <v>-3.8252247059801396</v>
      </c>
      <c r="AE39" s="953">
        <f t="shared" si="166"/>
        <v>12.618658708655291</v>
      </c>
      <c r="AF39" s="953">
        <f t="shared" si="166"/>
        <v>0</v>
      </c>
      <c r="AG39" s="953">
        <f t="shared" si="166"/>
        <v>-352.91644243583346</v>
      </c>
      <c r="AH39" s="953">
        <f t="shared" si="166"/>
        <v>-4.3628383882499975</v>
      </c>
      <c r="AI39" s="921"/>
      <c r="AJ39" s="954">
        <f t="shared" ref="AJ39:BN39" si="168">IF(AJ6=0,0,AJ38/AJ6)</f>
        <v>-6.9311175979011113</v>
      </c>
      <c r="AK39" s="953">
        <f t="shared" si="168"/>
        <v>-5.8061397332688909</v>
      </c>
      <c r="AL39" s="953">
        <f t="shared" si="168"/>
        <v>-5.0634288566268246</v>
      </c>
      <c r="AM39" s="953">
        <f t="shared" si="168"/>
        <v>-3.7433142748984003</v>
      </c>
      <c r="AN39" s="953">
        <f t="shared" si="168"/>
        <v>-15.503450075892108</v>
      </c>
      <c r="AO39" s="953">
        <f t="shared" si="168"/>
        <v>-8.1839855188122534</v>
      </c>
      <c r="AP39" s="953">
        <f t="shared" si="168"/>
        <v>-8.4428246861519174</v>
      </c>
      <c r="AQ39" s="953">
        <f t="shared" si="168"/>
        <v>-5.8075058620276057</v>
      </c>
      <c r="AR39" s="953">
        <f t="shared" si="168"/>
        <v>-10.205643301505315</v>
      </c>
      <c r="AS39" s="953">
        <f t="shared" si="168"/>
        <v>-13.405121074245256</v>
      </c>
      <c r="AT39" s="953">
        <f t="shared" si="168"/>
        <v>-6.0985553004795365</v>
      </c>
      <c r="AU39" s="953">
        <f t="shared" si="168"/>
        <v>-10.04592421213389</v>
      </c>
      <c r="AV39" s="953">
        <f t="shared" si="168"/>
        <v>-4.9415670403309013</v>
      </c>
      <c r="AW39" s="953">
        <f t="shared" si="168"/>
        <v>-4.1482514524984113</v>
      </c>
      <c r="AX39" s="953" t="e">
        <f t="shared" ref="AX39" si="169">IF(AX6=0,0,AX38/AX6)</f>
        <v>#VALUE!</v>
      </c>
      <c r="AY39" s="953">
        <f t="shared" si="168"/>
        <v>-10.044421242037785</v>
      </c>
      <c r="AZ39" s="953">
        <f t="shared" si="168"/>
        <v>-41.357556355113132</v>
      </c>
      <c r="BA39" s="953">
        <f t="shared" si="168"/>
        <v>-36.143218270582231</v>
      </c>
      <c r="BB39" s="953">
        <f t="shared" si="168"/>
        <v>-26.017036271250618</v>
      </c>
      <c r="BC39" s="953" t="e">
        <f t="shared" ref="BC39" si="170">IF(BC6=0,0,BC38/BC6)</f>
        <v>#VALUE!</v>
      </c>
      <c r="BD39" s="953">
        <f t="shared" si="168"/>
        <v>-20.685824590626982</v>
      </c>
      <c r="BE39" s="953">
        <f t="shared" si="168"/>
        <v>-21.331291257293646</v>
      </c>
      <c r="BF39" s="953" t="e">
        <f t="shared" si="168"/>
        <v>#VALUE!</v>
      </c>
      <c r="BG39" s="953">
        <f t="shared" si="168"/>
        <v>2.589528375662463</v>
      </c>
      <c r="BH39" s="953">
        <f t="shared" si="168"/>
        <v>21.798440879383172</v>
      </c>
      <c r="BI39" s="953" t="e">
        <f t="shared" si="168"/>
        <v>#VALUE!</v>
      </c>
      <c r="BJ39" s="953">
        <f t="shared" si="168"/>
        <v>0.47217257463763729</v>
      </c>
      <c r="BK39" s="953">
        <f t="shared" si="168"/>
        <v>14.592965479025043</v>
      </c>
      <c r="BL39" s="953">
        <f t="shared" si="168"/>
        <v>0</v>
      </c>
      <c r="BM39" s="953">
        <f t="shared" si="168"/>
        <v>-392.91644243583346</v>
      </c>
      <c r="BN39" s="953">
        <f t="shared" si="168"/>
        <v>-324.36283838825011</v>
      </c>
      <c r="BO39" s="921"/>
      <c r="BP39" s="954">
        <f t="shared" ref="BP39:CT39" si="171">IF(BP6=0,0,BP38/BP6)</f>
        <v>-4.955012317365199</v>
      </c>
      <c r="BQ39" s="953">
        <f t="shared" si="171"/>
        <v>-2.2183512775466641</v>
      </c>
      <c r="BR39" s="953">
        <f t="shared" si="171"/>
        <v>-1.1600021785634549</v>
      </c>
      <c r="BS39" s="953">
        <f t="shared" si="171"/>
        <v>0.47684809010987023</v>
      </c>
      <c r="BT39" s="953">
        <f t="shared" si="171"/>
        <v>-10.99711184768918</v>
      </c>
      <c r="BU39" s="953">
        <f t="shared" si="171"/>
        <v>-4.3946160469628976</v>
      </c>
      <c r="BV39" s="953">
        <f t="shared" si="171"/>
        <v>-5.3406177992731569</v>
      </c>
      <c r="BW39" s="953">
        <f t="shared" si="171"/>
        <v>-0.62672123280534886</v>
      </c>
      <c r="BX39" s="953">
        <f t="shared" si="171"/>
        <v>-4.5654888251755539</v>
      </c>
      <c r="BY39" s="953">
        <f t="shared" si="171"/>
        <v>-8.6180506680428284</v>
      </c>
      <c r="BZ39" s="953">
        <f t="shared" si="171"/>
        <v>-2.0502905062603931</v>
      </c>
      <c r="CA39" s="953">
        <f t="shared" si="171"/>
        <v>-5.3492218653112209</v>
      </c>
      <c r="CB39" s="953">
        <f t="shared" si="171"/>
        <v>0.43835698933450429</v>
      </c>
      <c r="CC39" s="953">
        <f t="shared" si="171"/>
        <v>-1.3100822621147374</v>
      </c>
      <c r="CD39" s="953" t="e">
        <f t="shared" ref="CD39" si="172">IF(CD6=0,0,CD38/CD6)</f>
        <v>#VALUE!</v>
      </c>
      <c r="CE39" s="953">
        <f t="shared" si="171"/>
        <v>-2.8051739911031111</v>
      </c>
      <c r="CF39" s="953">
        <f t="shared" si="171"/>
        <v>-28.698281359840415</v>
      </c>
      <c r="CG39" s="953">
        <f t="shared" si="171"/>
        <v>-25.807003604336895</v>
      </c>
      <c r="CH39" s="953">
        <f t="shared" si="171"/>
        <v>-14.788955232331048</v>
      </c>
      <c r="CI39" s="953" t="e">
        <f t="shared" ref="CI39" si="173">IF(CI6=0,0,CI38/CI6)</f>
        <v>#VALUE!</v>
      </c>
      <c r="CJ39" s="953">
        <f t="shared" si="171"/>
        <v>-9.711625945245558</v>
      </c>
      <c r="CK39" s="953">
        <f t="shared" si="171"/>
        <v>-10.27239261191222</v>
      </c>
      <c r="CL39" s="953" t="e">
        <f t="shared" si="171"/>
        <v>#VALUE!</v>
      </c>
      <c r="CM39" s="953">
        <f t="shared" si="171"/>
        <v>3.0342229861394809</v>
      </c>
      <c r="CN39" s="953">
        <f t="shared" si="171"/>
        <v>29.465781035117629</v>
      </c>
      <c r="CO39" s="953" t="e">
        <f t="shared" si="171"/>
        <v>#VALUE!</v>
      </c>
      <c r="CP39" s="953">
        <f t="shared" si="171"/>
        <v>7.277817794913136</v>
      </c>
      <c r="CQ39" s="953">
        <f t="shared" si="171"/>
        <v>16.143791225335224</v>
      </c>
      <c r="CR39" s="953">
        <f>IF(CR6=0,0,CR38/CR6)</f>
        <v>0</v>
      </c>
      <c r="CS39" s="953">
        <f t="shared" si="171"/>
        <v>-432.91644243583346</v>
      </c>
      <c r="CT39" s="953">
        <f t="shared" si="171"/>
        <v>-364.36283838825011</v>
      </c>
      <c r="CV39" s="956"/>
      <c r="CW39" s="955" t="s">
        <v>220</v>
      </c>
      <c r="CX39" s="953">
        <f>IF(CX6=0,0,CX38/CX6)</f>
        <v>-1.6174223793590556</v>
      </c>
      <c r="CY39" s="953">
        <f>IF(CY6=0,0,CY38/CY6)</f>
        <v>-1.0830252603067916</v>
      </c>
      <c r="CZ39" s="953">
        <f t="shared" ref="CZ39:DS39" si="174">IF(CZ6=0,0,CZ38/CZ6)</f>
        <v>-1.6121954349146115</v>
      </c>
      <c r="DA39" s="953">
        <f t="shared" si="174"/>
        <v>-0.69873404619862967</v>
      </c>
      <c r="DB39" s="953">
        <f t="shared" si="174"/>
        <v>-9.1851630024487267</v>
      </c>
      <c r="DC39" s="953">
        <f t="shared" si="174"/>
        <v>-6.7616304101833293</v>
      </c>
      <c r="DD39" s="953">
        <f t="shared" si="174"/>
        <v>-3.9494795435166754</v>
      </c>
      <c r="DE39" s="953" t="e">
        <f t="shared" si="174"/>
        <v>#N/A</v>
      </c>
      <c r="DF39" s="953">
        <f t="shared" si="174"/>
        <v>-17.190062915370785</v>
      </c>
      <c r="DG39" s="953">
        <f t="shared" si="174"/>
        <v>-8.3953906816730175</v>
      </c>
      <c r="DH39" s="953">
        <f>IF(DH6=0,0,DH38/DH6)</f>
        <v>-18.784276821239132</v>
      </c>
      <c r="DI39" s="953">
        <f t="shared" si="174"/>
        <v>-25.12689035899162</v>
      </c>
      <c r="DJ39" s="953">
        <f t="shared" si="174"/>
        <v>-6.2261466812349164</v>
      </c>
      <c r="DK39" s="953">
        <f t="shared" si="174"/>
        <v>-15.984250079982225</v>
      </c>
      <c r="DL39" s="953">
        <f t="shared" si="174"/>
        <v>-16.47565463500888</v>
      </c>
      <c r="DM39" s="953">
        <f t="shared" si="174"/>
        <v>-2.2711031714388925</v>
      </c>
      <c r="DN39" s="953" t="e">
        <f t="shared" si="174"/>
        <v>#N/A</v>
      </c>
      <c r="DO39" s="953" t="e">
        <f t="shared" si="174"/>
        <v>#N/A</v>
      </c>
      <c r="DP39" s="953">
        <f t="shared" si="174"/>
        <v>7.720993445826986</v>
      </c>
      <c r="DQ39" s="953">
        <f t="shared" ref="DQ39" si="175">IF(DQ6=0,0,DQ38/DQ6)</f>
        <v>-26.661350461250002</v>
      </c>
      <c r="DR39" s="953">
        <f t="shared" si="174"/>
        <v>-1034.9689104166666</v>
      </c>
      <c r="DS39" s="953">
        <f t="shared" si="174"/>
        <v>-1327.6629929715834</v>
      </c>
      <c r="DU39" s="953">
        <f>IF(DU6=0,0,DU38/DU6)</f>
        <v>-0.65163312811361096</v>
      </c>
      <c r="DV39" s="953">
        <f>IF(DV6=0,0,DV38/DV6)</f>
        <v>-0.64247507491209987</v>
      </c>
      <c r="DW39" s="953">
        <f>IF(DW6=0,0,DW38/DW6)</f>
        <v>-0.78510324285262501</v>
      </c>
      <c r="DX39" s="953">
        <f>IF(DX6=0,0,DX38/DX6)</f>
        <v>-0.36810500749584846</v>
      </c>
      <c r="DY39" s="954">
        <f t="shared" ref="DY39:EG39" si="176">IF(DY6=0,0,DY38/DY6)</f>
        <v>-10.34356193898611</v>
      </c>
      <c r="DZ39" s="953">
        <f t="shared" si="176"/>
        <v>1.7728760705213902</v>
      </c>
      <c r="EA39" s="953">
        <f t="shared" si="176"/>
        <v>4.7873602705213854</v>
      </c>
      <c r="EB39" s="953" t="e">
        <f t="shared" si="176"/>
        <v>#N/A</v>
      </c>
      <c r="EC39" s="953">
        <f t="shared" si="176"/>
        <v>-8.9369986401745454</v>
      </c>
      <c r="ED39" s="953">
        <f t="shared" si="176"/>
        <v>0.43771913760746911</v>
      </c>
      <c r="EE39" s="953">
        <f>IF(EE6=0,0,EE38/EE6)</f>
        <v>-12.029147406841213</v>
      </c>
      <c r="EF39" s="953">
        <f t="shared" si="176"/>
        <v>5.72117843471489</v>
      </c>
      <c r="EG39" s="953">
        <f t="shared" si="176"/>
        <v>-0.20661477552697857</v>
      </c>
      <c r="EH39" s="953">
        <f t="shared" ref="EH39:EM39" si="177">IF(EH6=0,0,EH38/EH6)</f>
        <v>-1.3201056698255524</v>
      </c>
      <c r="EI39" s="953">
        <f t="shared" si="177"/>
        <v>-2.2349424194288825</v>
      </c>
      <c r="EJ39" s="953">
        <f t="shared" si="177"/>
        <v>10.650395574977765</v>
      </c>
      <c r="EK39" s="953" t="e">
        <f t="shared" si="177"/>
        <v>#N/A</v>
      </c>
      <c r="EL39" s="953" t="e">
        <f t="shared" si="177"/>
        <v>#N/A</v>
      </c>
      <c r="EM39" s="953">
        <f t="shared" si="177"/>
        <v>19.369987634464767</v>
      </c>
      <c r="EN39" s="953">
        <f t="shared" ref="EN39" si="178">IF(EN6=0,0,EN38/EN6)</f>
        <v>-9.0192255391097209</v>
      </c>
      <c r="EO39" s="953">
        <f>IF(EO6=0,0,EO38/EO6)</f>
        <v>-1105.9689104166666</v>
      </c>
      <c r="EP39" s="953">
        <f>IF(EP6=0,0,EP38/EP6)</f>
        <v>-1367.6629929715834</v>
      </c>
      <c r="ER39" s="953">
        <f>IF(ER6=0,0,ER38/ER6)</f>
        <v>-0.27198409428209991</v>
      </c>
      <c r="ES39" s="953">
        <f>IF(ES6=0,0,ES38/ES6)</f>
        <v>-0.33210828464897207</v>
      </c>
      <c r="ET39" s="953">
        <f>IF(ET6=0,0,ET38/ET6)</f>
        <v>-0.26884792761543325</v>
      </c>
      <c r="EU39" s="953">
        <f>IF(EU6=0,0,EU38/EU6)</f>
        <v>-0.26078578464897229</v>
      </c>
      <c r="EV39" s="954">
        <f t="shared" ref="EV39:FD39" si="179">IF(EV6=0,0,EV38/EV6)</f>
        <v>6.5311521184587491</v>
      </c>
      <c r="EW39" s="953">
        <f t="shared" si="179"/>
        <v>11.140715884559453</v>
      </c>
      <c r="EX39" s="953">
        <f t="shared" si="179"/>
        <v>7.4774179863118615</v>
      </c>
      <c r="EY39" s="953" t="e">
        <f t="shared" si="179"/>
        <v>#N/A</v>
      </c>
      <c r="EZ39" s="953">
        <f t="shared" si="179"/>
        <v>-3.9260878362791916</v>
      </c>
      <c r="FA39" s="953">
        <f t="shared" si="179"/>
        <v>5.7968242222148616</v>
      </c>
      <c r="FB39" s="953">
        <f>IF(FB6=0,0,FB38/FB6)</f>
        <v>-6.0237682696125283</v>
      </c>
      <c r="FC39" s="953">
        <f t="shared" si="179"/>
        <v>4.1035858421222873</v>
      </c>
      <c r="FD39" s="953">
        <f t="shared" si="179"/>
        <v>3.3177234155168307</v>
      </c>
      <c r="FE39" s="953">
        <f t="shared" ref="FE39:FJ39" si="180">IF(FE6=0,0,FE38/FE6)</f>
        <v>7.7983809762684402</v>
      </c>
      <c r="FF39" s="953">
        <f t="shared" si="180"/>
        <v>6.2871434466391154</v>
      </c>
      <c r="FG39" s="953">
        <f t="shared" si="180"/>
        <v>18.13256397922499</v>
      </c>
      <c r="FH39" s="953" t="e">
        <f t="shared" si="180"/>
        <v>#N/A</v>
      </c>
      <c r="FI39" s="953" t="e">
        <f t="shared" si="180"/>
        <v>#N/A</v>
      </c>
      <c r="FJ39" s="953">
        <f t="shared" si="180"/>
        <v>27.180428204667717</v>
      </c>
      <c r="FK39" s="953">
        <f t="shared" ref="FK39" si="181">IF(FK6=0,0,FK38/FK6)</f>
        <v>1.9660494141744402</v>
      </c>
      <c r="FL39" s="953">
        <f>IF(FL6=0,0,FL38/FL6)</f>
        <v>-1135.9689104166666</v>
      </c>
      <c r="FM39" s="953">
        <f>IF(FM6=0,0,FM38/FM6)</f>
        <v>-1397.6629929715834</v>
      </c>
    </row>
    <row r="40" spans="1:169" s="909" customFormat="1" ht="16.2" customHeight="1">
      <c r="A40" s="899">
        <f>ROWS($A$1:A40)</f>
        <v>40</v>
      </c>
      <c r="B40" s="918"/>
      <c r="C40" s="917"/>
      <c r="D40" s="919"/>
      <c r="E40" s="919"/>
      <c r="F40" s="919"/>
      <c r="G40" s="919"/>
      <c r="H40" s="919"/>
      <c r="I40" s="919"/>
      <c r="J40" s="919"/>
      <c r="K40" s="919"/>
      <c r="L40" s="919"/>
      <c r="M40" s="919"/>
      <c r="N40" s="919"/>
      <c r="O40" s="919"/>
      <c r="P40" s="919"/>
      <c r="Q40" s="919"/>
      <c r="R40" s="919"/>
      <c r="S40" s="919"/>
      <c r="T40" s="919"/>
      <c r="U40" s="919"/>
      <c r="V40" s="919"/>
      <c r="W40" s="919"/>
      <c r="X40" s="919"/>
      <c r="Y40" s="919"/>
      <c r="Z40" s="919"/>
      <c r="AA40" s="919"/>
      <c r="AB40" s="919"/>
      <c r="AC40" s="919"/>
      <c r="AD40" s="919"/>
      <c r="AE40" s="919"/>
      <c r="AF40" s="919"/>
      <c r="AG40" s="919"/>
      <c r="AH40" s="919"/>
      <c r="AI40" s="921"/>
      <c r="AJ40" s="920"/>
      <c r="AK40" s="919"/>
      <c r="AL40" s="919"/>
      <c r="AM40" s="919"/>
      <c r="AN40" s="919"/>
      <c r="AO40" s="919"/>
      <c r="AP40" s="919"/>
      <c r="AQ40" s="919"/>
      <c r="AR40" s="919"/>
      <c r="AS40" s="919"/>
      <c r="AT40" s="919"/>
      <c r="AU40" s="919"/>
      <c r="AV40" s="919"/>
      <c r="AW40" s="919"/>
      <c r="AX40" s="919"/>
      <c r="AY40" s="919"/>
      <c r="AZ40" s="919"/>
      <c r="BA40" s="919"/>
      <c r="BB40" s="919"/>
      <c r="BC40" s="919"/>
      <c r="BD40" s="919"/>
      <c r="BE40" s="919"/>
      <c r="BF40" s="919"/>
      <c r="BG40" s="919"/>
      <c r="BH40" s="919"/>
      <c r="BI40" s="919"/>
      <c r="BJ40" s="919"/>
      <c r="BK40" s="919"/>
      <c r="BL40" s="919"/>
      <c r="BM40" s="919"/>
      <c r="BN40" s="919"/>
      <c r="BO40" s="921"/>
      <c r="BP40" s="920"/>
      <c r="BQ40" s="919"/>
      <c r="BR40" s="919"/>
      <c r="BS40" s="919"/>
      <c r="BT40" s="919"/>
      <c r="BU40" s="919"/>
      <c r="BV40" s="919"/>
      <c r="BW40" s="919"/>
      <c r="BX40" s="919"/>
      <c r="BY40" s="919"/>
      <c r="BZ40" s="919"/>
      <c r="CA40" s="919"/>
      <c r="CB40" s="919"/>
      <c r="CC40" s="919"/>
      <c r="CD40" s="919"/>
      <c r="CE40" s="919"/>
      <c r="CF40" s="919"/>
      <c r="CG40" s="919"/>
      <c r="CH40" s="919"/>
      <c r="CI40" s="919"/>
      <c r="CJ40" s="919"/>
      <c r="CK40" s="919"/>
      <c r="CL40" s="919"/>
      <c r="CM40" s="919"/>
      <c r="CN40" s="919"/>
      <c r="CO40" s="919"/>
      <c r="CP40" s="919"/>
      <c r="CQ40" s="919"/>
      <c r="CR40" s="919"/>
      <c r="CS40" s="919"/>
      <c r="CT40" s="919"/>
      <c r="CV40" s="918"/>
      <c r="CW40" s="917"/>
      <c r="CX40" s="919"/>
      <c r="CY40" s="919"/>
      <c r="CZ40" s="919"/>
      <c r="DA40" s="919"/>
      <c r="DB40" s="919"/>
      <c r="DC40" s="919"/>
      <c r="DD40" s="919"/>
      <c r="DE40" s="919"/>
      <c r="DF40" s="919"/>
      <c r="DG40" s="919"/>
      <c r="DH40" s="919"/>
      <c r="DI40" s="919"/>
      <c r="DJ40" s="919"/>
      <c r="DK40" s="919"/>
      <c r="DL40" s="919"/>
      <c r="DM40" s="919"/>
      <c r="DN40" s="919"/>
      <c r="DO40" s="919"/>
      <c r="DP40" s="919"/>
      <c r="DQ40" s="919"/>
      <c r="DR40" s="919"/>
      <c r="DS40" s="919"/>
      <c r="DU40" s="919"/>
      <c r="DV40" s="919"/>
      <c r="DW40" s="919"/>
      <c r="DX40" s="919"/>
      <c r="DY40" s="920"/>
      <c r="DZ40" s="919"/>
      <c r="EA40" s="919"/>
      <c r="EB40" s="919"/>
      <c r="EC40" s="919"/>
      <c r="ED40" s="919"/>
      <c r="EE40" s="919"/>
      <c r="EF40" s="919"/>
      <c r="EG40" s="919"/>
      <c r="EH40" s="919"/>
      <c r="EI40" s="919"/>
      <c r="EJ40" s="919"/>
      <c r="EK40" s="919"/>
      <c r="EL40" s="919"/>
      <c r="EM40" s="919"/>
      <c r="EN40" s="919"/>
      <c r="EO40" s="919"/>
      <c r="EP40" s="919"/>
      <c r="ER40" s="919"/>
      <c r="ES40" s="919"/>
      <c r="ET40" s="919"/>
      <c r="EU40" s="919"/>
      <c r="EV40" s="920"/>
      <c r="EW40" s="919"/>
      <c r="EX40" s="919"/>
      <c r="EY40" s="919"/>
      <c r="EZ40" s="919"/>
      <c r="FA40" s="919"/>
      <c r="FB40" s="919"/>
      <c r="FC40" s="919"/>
      <c r="FD40" s="919"/>
      <c r="FE40" s="919"/>
      <c r="FF40" s="919"/>
      <c r="FG40" s="919"/>
      <c r="FH40" s="919"/>
      <c r="FI40" s="919"/>
      <c r="FJ40" s="919"/>
      <c r="FK40" s="919"/>
      <c r="FL40" s="919"/>
      <c r="FM40" s="919"/>
    </row>
    <row r="41" spans="1:169" ht="18" customHeight="1">
      <c r="A41" s="899">
        <f>ROWS($A$1:A41)</f>
        <v>41</v>
      </c>
      <c r="B41" s="952" t="s">
        <v>740</v>
      </c>
      <c r="C41" s="951"/>
      <c r="D41" s="949"/>
      <c r="E41" s="949"/>
      <c r="F41" s="949"/>
      <c r="G41" s="949"/>
      <c r="H41" s="949"/>
      <c r="I41" s="949"/>
      <c r="J41" s="949"/>
      <c r="K41" s="949"/>
      <c r="L41" s="949"/>
      <c r="M41" s="949"/>
      <c r="N41" s="949"/>
      <c r="O41" s="949"/>
      <c r="P41" s="949"/>
      <c r="Q41" s="949"/>
      <c r="R41" s="949"/>
      <c r="S41" s="949"/>
      <c r="T41" s="949"/>
      <c r="U41" s="949"/>
      <c r="V41" s="949"/>
      <c r="W41" s="949"/>
      <c r="X41" s="949"/>
      <c r="Y41" s="949"/>
      <c r="Z41" s="949"/>
      <c r="AA41" s="949"/>
      <c r="AB41" s="949"/>
      <c r="AC41" s="949"/>
      <c r="AD41" s="949"/>
      <c r="AE41" s="949"/>
      <c r="AF41" s="949"/>
      <c r="AG41" s="949"/>
      <c r="AH41" s="949"/>
      <c r="AI41" s="901"/>
      <c r="AJ41" s="950"/>
      <c r="AK41" s="949"/>
      <c r="AL41" s="949"/>
      <c r="AM41" s="949"/>
      <c r="AN41" s="949"/>
      <c r="AO41" s="949"/>
      <c r="AP41" s="949"/>
      <c r="AQ41" s="949"/>
      <c r="AR41" s="949"/>
      <c r="AS41" s="949"/>
      <c r="AT41" s="949"/>
      <c r="AU41" s="949"/>
      <c r="AV41" s="949"/>
      <c r="AW41" s="949"/>
      <c r="AX41" s="949"/>
      <c r="AY41" s="949"/>
      <c r="AZ41" s="949"/>
      <c r="BA41" s="949"/>
      <c r="BB41" s="949"/>
      <c r="BC41" s="949"/>
      <c r="BD41" s="949"/>
      <c r="BE41" s="949"/>
      <c r="BF41" s="949"/>
      <c r="BG41" s="949"/>
      <c r="BH41" s="949"/>
      <c r="BI41" s="949"/>
      <c r="BJ41" s="949"/>
      <c r="BK41" s="949"/>
      <c r="BL41" s="949"/>
      <c r="BM41" s="949"/>
      <c r="BN41" s="949"/>
      <c r="BO41" s="901"/>
      <c r="BP41" s="950"/>
      <c r="BQ41" s="949"/>
      <c r="BR41" s="949"/>
      <c r="BS41" s="949"/>
      <c r="BT41" s="949"/>
      <c r="BU41" s="949"/>
      <c r="BV41" s="949"/>
      <c r="BW41" s="949"/>
      <c r="BX41" s="949"/>
      <c r="BY41" s="949"/>
      <c r="BZ41" s="949"/>
      <c r="CA41" s="949"/>
      <c r="CB41" s="949"/>
      <c r="CC41" s="949"/>
      <c r="CD41" s="949"/>
      <c r="CE41" s="949"/>
      <c r="CF41" s="949"/>
      <c r="CG41" s="949"/>
      <c r="CH41" s="949"/>
      <c r="CI41" s="949"/>
      <c r="CJ41" s="949"/>
      <c r="CK41" s="949"/>
      <c r="CL41" s="949"/>
      <c r="CM41" s="949"/>
      <c r="CN41" s="949"/>
      <c r="CO41" s="949"/>
      <c r="CP41" s="949"/>
      <c r="CQ41" s="949"/>
      <c r="CR41" s="949"/>
      <c r="CS41" s="949"/>
      <c r="CT41" s="949"/>
      <c r="CV41" s="952" t="s">
        <v>740</v>
      </c>
      <c r="CW41" s="951"/>
      <c r="CX41" s="949"/>
      <c r="CY41" s="949"/>
      <c r="CZ41" s="949"/>
      <c r="DA41" s="949"/>
      <c r="DB41" s="949"/>
      <c r="DC41" s="949"/>
      <c r="DD41" s="949"/>
      <c r="DE41" s="949"/>
      <c r="DF41" s="949"/>
      <c r="DG41" s="949"/>
      <c r="DH41" s="949"/>
      <c r="DI41" s="949"/>
      <c r="DJ41" s="949"/>
      <c r="DK41" s="949"/>
      <c r="DL41" s="949"/>
      <c r="DM41" s="949"/>
      <c r="DN41" s="949"/>
      <c r="DO41" s="949"/>
      <c r="DP41" s="949"/>
      <c r="DQ41" s="949"/>
      <c r="DR41" s="949"/>
      <c r="DS41" s="949"/>
      <c r="DT41" s="893"/>
      <c r="DU41" s="949"/>
      <c r="DV41" s="949"/>
      <c r="DW41" s="949"/>
      <c r="DX41" s="949"/>
      <c r="DY41" s="950"/>
      <c r="DZ41" s="949"/>
      <c r="EA41" s="949"/>
      <c r="EB41" s="949"/>
      <c r="EC41" s="949"/>
      <c r="ED41" s="949"/>
      <c r="EE41" s="949"/>
      <c r="EF41" s="949"/>
      <c r="EG41" s="949"/>
      <c r="EH41" s="949"/>
      <c r="EI41" s="949"/>
      <c r="EJ41" s="949"/>
      <c r="EK41" s="949"/>
      <c r="EL41" s="949"/>
      <c r="EM41" s="949"/>
      <c r="EN41" s="949"/>
      <c r="EO41" s="949"/>
      <c r="EP41" s="949"/>
      <c r="EQ41" s="893"/>
      <c r="ER41" s="949"/>
      <c r="ES41" s="949"/>
      <c r="ET41" s="949"/>
      <c r="EU41" s="949"/>
      <c r="EV41" s="950"/>
      <c r="EW41" s="949"/>
      <c r="EX41" s="949"/>
      <c r="EY41" s="949"/>
      <c r="EZ41" s="949"/>
      <c r="FA41" s="949"/>
      <c r="FB41" s="949"/>
      <c r="FC41" s="949"/>
      <c r="FD41" s="949"/>
      <c r="FE41" s="949"/>
      <c r="FF41" s="949"/>
      <c r="FG41" s="949"/>
      <c r="FH41" s="949"/>
      <c r="FI41" s="949"/>
      <c r="FJ41" s="949"/>
      <c r="FK41" s="949"/>
      <c r="FL41" s="949"/>
      <c r="FM41" s="949"/>
    </row>
    <row r="42" spans="1:169" s="909" customFormat="1" ht="18" customHeight="1">
      <c r="A42" s="899">
        <f>ROWS($A$1:A42)</f>
        <v>42</v>
      </c>
      <c r="B42" s="938" t="s">
        <v>801</v>
      </c>
      <c r="C42" s="917" t="s">
        <v>691</v>
      </c>
      <c r="D42" s="910">
        <f>IF(D27=0,0,(D38+D32)/D27)</f>
        <v>-58.320231905348727</v>
      </c>
      <c r="E42" s="910">
        <f t="shared" ref="E42:AH42" si="182">IF(E27=0,0,(E38+E32)/E27)</f>
        <v>-47.924841747736423</v>
      </c>
      <c r="F42" s="910">
        <f t="shared" si="182"/>
        <v>-41.959495534252653</v>
      </c>
      <c r="G42" s="910">
        <f t="shared" si="182"/>
        <v>-35.729388475472376</v>
      </c>
      <c r="H42" s="910">
        <f t="shared" si="182"/>
        <v>-86.091875669159947</v>
      </c>
      <c r="I42" s="910">
        <f t="shared" si="182"/>
        <v>-60.984008639033682</v>
      </c>
      <c r="J42" s="910">
        <f t="shared" si="182"/>
        <v>-65.675449773902272</v>
      </c>
      <c r="K42" s="910">
        <f t="shared" si="182"/>
        <v>-43.378987139250221</v>
      </c>
      <c r="L42" s="910">
        <f t="shared" si="182"/>
        <v>-63.712427743685957</v>
      </c>
      <c r="M42" s="910">
        <f t="shared" si="182"/>
        <v>-84.230604268027179</v>
      </c>
      <c r="N42" s="910">
        <f t="shared" si="182"/>
        <v>-36.818530001174004</v>
      </c>
      <c r="O42" s="910">
        <f t="shared" si="182"/>
        <v>-56.507270060483236</v>
      </c>
      <c r="P42" s="910">
        <f t="shared" si="182"/>
        <v>-36.63710651112121</v>
      </c>
      <c r="Q42" s="910">
        <f t="shared" si="182"/>
        <v>-68.801282350113681</v>
      </c>
      <c r="R42" s="910" t="e">
        <f t="shared" ref="R42" si="183">IF(R27=0,0,(R38+R32)/R27)</f>
        <v>#VALUE!</v>
      </c>
      <c r="S42" s="910">
        <f t="shared" si="182"/>
        <v>-63.581986538063369</v>
      </c>
      <c r="T42" s="910">
        <f t="shared" si="182"/>
        <v>-120.16360726432049</v>
      </c>
      <c r="U42" s="910">
        <f t="shared" si="182"/>
        <v>-105.14125566104966</v>
      </c>
      <c r="V42" s="910">
        <f t="shared" si="182"/>
        <v>-129.21521118636332</v>
      </c>
      <c r="W42" s="910" t="e">
        <f t="shared" ref="W42" si="184">IF(W27=0,0,(W38+W32)/W27)</f>
        <v>#VALUE!</v>
      </c>
      <c r="X42" s="910">
        <f t="shared" si="182"/>
        <v>-143.86458869507484</v>
      </c>
      <c r="Y42" s="910">
        <f t="shared" si="182"/>
        <v>-145.88316418799533</v>
      </c>
      <c r="Z42" s="910" t="e">
        <f t="shared" si="182"/>
        <v>#VALUE!</v>
      </c>
      <c r="AA42" s="910">
        <f t="shared" si="182"/>
        <v>76.450815222768043</v>
      </c>
      <c r="AB42" s="910">
        <f t="shared" si="182"/>
        <v>75.329538685984787</v>
      </c>
      <c r="AC42" s="910" t="e">
        <f t="shared" si="182"/>
        <v>#VALUE!</v>
      </c>
      <c r="AD42" s="910">
        <f t="shared" si="182"/>
        <v>-2.4191469779715997</v>
      </c>
      <c r="AE42" s="910">
        <f t="shared" si="182"/>
        <v>149.05752738236959</v>
      </c>
      <c r="AF42" s="910">
        <f t="shared" si="182"/>
        <v>0</v>
      </c>
      <c r="AG42" s="910">
        <f t="shared" si="182"/>
        <v>-40.142543019058188</v>
      </c>
      <c r="AH42" s="910">
        <f t="shared" si="182"/>
        <v>19.24256277981771</v>
      </c>
      <c r="AI42" s="912"/>
      <c r="AJ42" s="911">
        <f t="shared" ref="AJ42:BN42" si="185">IF(AJ27=0,0,(AJ38+AJ32)/AJ27)</f>
        <v>-28.94857060664626</v>
      </c>
      <c r="AK42" s="910">
        <f t="shared" si="185"/>
        <v>-20.659241829614075</v>
      </c>
      <c r="AL42" s="910">
        <f t="shared" si="185"/>
        <v>-12.471754104062574</v>
      </c>
      <c r="AM42" s="910">
        <f t="shared" si="185"/>
        <v>-3.0566458961133289</v>
      </c>
      <c r="AN42" s="910">
        <f t="shared" si="185"/>
        <v>-65.165074027093524</v>
      </c>
      <c r="AO42" s="910">
        <f t="shared" si="185"/>
        <v>-35.003212936144145</v>
      </c>
      <c r="AP42" s="910">
        <f t="shared" si="185"/>
        <v>-39.921901288745005</v>
      </c>
      <c r="AQ42" s="910">
        <f t="shared" si="185"/>
        <v>-12.22555769654636</v>
      </c>
      <c r="AR42" s="910">
        <f t="shared" si="185"/>
        <v>-42.488631530157448</v>
      </c>
      <c r="AS42" s="910">
        <f t="shared" si="185"/>
        <v>-61.02352401023002</v>
      </c>
      <c r="AT42" s="910">
        <f t="shared" si="185"/>
        <v>-13.795798525649424</v>
      </c>
      <c r="AU42" s="910">
        <f t="shared" si="185"/>
        <v>-32.48654238314468</v>
      </c>
      <c r="AV42" s="910">
        <f t="shared" si="185"/>
        <v>-5.2437650976522061</v>
      </c>
      <c r="AW42" s="910">
        <f t="shared" si="185"/>
        <v>-33.72928196103274</v>
      </c>
      <c r="AX42" s="910" t="e">
        <f t="shared" ref="AX42" si="186">IF(AX27=0,0,(AX38+AX32)/AX27)</f>
        <v>#VALUE!</v>
      </c>
      <c r="AY42" s="910">
        <f t="shared" si="185"/>
        <v>-30.302590354756539</v>
      </c>
      <c r="AZ42" s="910">
        <f t="shared" si="185"/>
        <v>-100.68215867294956</v>
      </c>
      <c r="BA42" s="910">
        <f t="shared" si="185"/>
        <v>-92.218139190829092</v>
      </c>
      <c r="BB42" s="910">
        <f t="shared" si="185"/>
        <v>-95.011064502168807</v>
      </c>
      <c r="BC42" s="910" t="e">
        <f t="shared" ref="BC42" si="187">IF(BC27=0,0,(BC38+BC32)/BC27)</f>
        <v>#VALUE!</v>
      </c>
      <c r="BD42" s="910">
        <f t="shared" si="185"/>
        <v>-97.175480784609363</v>
      </c>
      <c r="BE42" s="910">
        <f t="shared" si="185"/>
        <v>-100.83174629463286</v>
      </c>
      <c r="BF42" s="910" t="e">
        <f t="shared" si="185"/>
        <v>#VALUE!</v>
      </c>
      <c r="BG42" s="910">
        <f t="shared" si="185"/>
        <v>231.7105925759947</v>
      </c>
      <c r="BH42" s="910">
        <f t="shared" si="185"/>
        <v>192.64561013282966</v>
      </c>
      <c r="BI42" s="910" t="e">
        <f t="shared" si="185"/>
        <v>#VALUE!</v>
      </c>
      <c r="BJ42" s="910">
        <f t="shared" si="185"/>
        <v>23.058216777949585</v>
      </c>
      <c r="BK42" s="910">
        <f t="shared" si="185"/>
        <v>182.69701806363176</v>
      </c>
      <c r="BL42" s="910">
        <f t="shared" si="185"/>
        <v>0</v>
      </c>
      <c r="BM42" s="910">
        <f t="shared" si="185"/>
        <v>-46.959175602561935</v>
      </c>
      <c r="BN42" s="910">
        <f t="shared" si="185"/>
        <v>-36.312992775737861</v>
      </c>
      <c r="BO42" s="912"/>
      <c r="BP42" s="911">
        <f t="shared" ref="BP42:CT42" si="188">IF(BP27=0,0,(BP38+BP32)/BP27)</f>
        <v>-17.62005221517553</v>
      </c>
      <c r="BQ42" s="910">
        <f t="shared" si="188"/>
        <v>2.47415562550038</v>
      </c>
      <c r="BR42" s="910">
        <f t="shared" si="188"/>
        <v>11.641832703212691</v>
      </c>
      <c r="BS42" s="910">
        <f t="shared" si="188"/>
        <v>23.306906179372998</v>
      </c>
      <c r="BT42" s="910">
        <f t="shared" si="188"/>
        <v>-45.939414830006584</v>
      </c>
      <c r="BU42" s="910">
        <f t="shared" si="188"/>
        <v>-13.124004403927797</v>
      </c>
      <c r="BV42" s="910">
        <f t="shared" si="188"/>
        <v>-22.952714503093087</v>
      </c>
      <c r="BW42" s="910">
        <f t="shared" si="188"/>
        <v>15.940173394746028</v>
      </c>
      <c r="BX42" s="910">
        <f t="shared" si="188"/>
        <v>-12.629279768264398</v>
      </c>
      <c r="BY42" s="910">
        <f t="shared" si="188"/>
        <v>-40.852563388070095</v>
      </c>
      <c r="BZ42" s="910">
        <f t="shared" si="188"/>
        <v>7.15606578066848</v>
      </c>
      <c r="CA42" s="910">
        <f t="shared" si="188"/>
        <v>-12.381845763179943</v>
      </c>
      <c r="CB42" s="910">
        <f t="shared" si="188"/>
        <v>22.642819491241994</v>
      </c>
      <c r="CC42" s="910">
        <f t="shared" si="188"/>
        <v>-0.61783153588932815</v>
      </c>
      <c r="CD42" s="910" t="e">
        <f t="shared" ref="CD42" si="189">IF(CD27=0,0,(CD38+CD32)/CD27)</f>
        <v>#VALUE!</v>
      </c>
      <c r="CE42" s="910">
        <f t="shared" si="188"/>
        <v>2.6326523582026331</v>
      </c>
      <c r="CF42" s="910">
        <f t="shared" si="188"/>
        <v>-84.003945256531381</v>
      </c>
      <c r="CG42" s="910">
        <f t="shared" si="188"/>
        <v>-79.471953454890908</v>
      </c>
      <c r="CH42" s="910">
        <f t="shared" si="188"/>
        <v>-61.496109819779754</v>
      </c>
      <c r="CI42" s="910" t="e">
        <f t="shared" ref="CI42" si="190">IF(CI27=0,0,(CI38+CI32)/CI27)</f>
        <v>#VALUE!</v>
      </c>
      <c r="CJ42" s="910">
        <f t="shared" si="188"/>
        <v>-56.929863317851371</v>
      </c>
      <c r="CK42" s="910">
        <f t="shared" si="188"/>
        <v>-61.371931336440277</v>
      </c>
      <c r="CL42" s="910" t="e">
        <f t="shared" si="188"/>
        <v>#VALUE!</v>
      </c>
      <c r="CM42" s="910">
        <f t="shared" si="188"/>
        <v>324.65143986990739</v>
      </c>
      <c r="CN42" s="910">
        <f t="shared" si="188"/>
        <v>302.75670715452327</v>
      </c>
      <c r="CO42" s="910" t="e">
        <f t="shared" si="188"/>
        <v>#VALUE!</v>
      </c>
      <c r="CP42" s="910">
        <f t="shared" si="188"/>
        <v>77.903077106304778</v>
      </c>
      <c r="CQ42" s="910">
        <f t="shared" si="188"/>
        <v>214.01193292258651</v>
      </c>
      <c r="CR42" s="910">
        <f>IF(CR27=0,0,(CR38+CR32)/CR27)</f>
        <v>0</v>
      </c>
      <c r="CS42" s="910">
        <f t="shared" si="188"/>
        <v>-53.775808186065682</v>
      </c>
      <c r="CT42" s="910">
        <f t="shared" si="188"/>
        <v>-43.257437220182304</v>
      </c>
      <c r="CV42" s="938" t="s">
        <v>801</v>
      </c>
      <c r="CW42" s="917" t="s">
        <v>691</v>
      </c>
      <c r="CX42" s="910">
        <f>IF(CX27=0,0,(CX38+CX32)/CX27)</f>
        <v>-26.881808097363926</v>
      </c>
      <c r="CY42" s="910">
        <f>IF(CY27=0,0,(CY38+CY32)/CY27)</f>
        <v>-35.840436210713676</v>
      </c>
      <c r="CZ42" s="910">
        <f t="shared" ref="CZ42:DS42" si="191">IF(CZ27=0,0,(CZ38+CZ32)/CZ27)</f>
        <v>-26.730302461293086</v>
      </c>
      <c r="DA42" s="910">
        <f t="shared" si="191"/>
        <v>-20.529817064885719</v>
      </c>
      <c r="DB42" s="910">
        <f t="shared" si="191"/>
        <v>-14.328624752873042</v>
      </c>
      <c r="DC42" s="910">
        <f t="shared" si="191"/>
        <v>-11.584596460123926</v>
      </c>
      <c r="DD42" s="910">
        <f t="shared" si="191"/>
        <v>1.5513847929901148</v>
      </c>
      <c r="DE42" s="910" t="e">
        <f t="shared" si="191"/>
        <v>#N/A</v>
      </c>
      <c r="DF42" s="910">
        <f t="shared" si="191"/>
        <v>-42.679939371377408</v>
      </c>
      <c r="DG42" s="910">
        <f t="shared" si="191"/>
        <v>-10.612021696311583</v>
      </c>
      <c r="DH42" s="910">
        <f>IF(DH27=0,0,(DH38+DH32)/DH27)</f>
        <v>-52.792764315349054</v>
      </c>
      <c r="DI42" s="910">
        <f t="shared" si="191"/>
        <v>-40.008267472458733</v>
      </c>
      <c r="DJ42" s="910">
        <f t="shared" si="191"/>
        <v>-10.271035984222658</v>
      </c>
      <c r="DK42" s="910">
        <f t="shared" si="191"/>
        <v>-15.711014477172084</v>
      </c>
      <c r="DL42" s="910">
        <f t="shared" si="191"/>
        <v>-25.133833648391633</v>
      </c>
      <c r="DM42" s="910">
        <f t="shared" si="191"/>
        <v>16.012670438851622</v>
      </c>
      <c r="DN42" s="910" t="e">
        <f t="shared" si="191"/>
        <v>#N/A</v>
      </c>
      <c r="DO42" s="910" t="e">
        <f t="shared" si="191"/>
        <v>#N/A</v>
      </c>
      <c r="DP42" s="910">
        <f t="shared" si="191"/>
        <v>39.302483614567464</v>
      </c>
      <c r="DQ42" s="910">
        <f t="shared" ref="DQ42" si="192">IF(DQ27=0,0,(DQ38+DQ32)/DQ27)</f>
        <v>-34.136920202343262</v>
      </c>
      <c r="DR42" s="910">
        <f t="shared" si="191"/>
        <v>-209.9930912037037</v>
      </c>
      <c r="DS42" s="910">
        <f t="shared" si="191"/>
        <v>-105.01534773743721</v>
      </c>
      <c r="DU42" s="910">
        <f>IF(DU27=0,0,(DU38+DU32)/DU27)</f>
        <v>-6.4430834596827582</v>
      </c>
      <c r="DV42" s="910">
        <f>IF(DV27=0,0,(DV38+DV32)/DV27)</f>
        <v>-21.407261853061357</v>
      </c>
      <c r="DW42" s="910">
        <f>IF(DW27=0,0,(DW38+DW32)/DW27)</f>
        <v>-10.342154313144922</v>
      </c>
      <c r="DX42" s="910">
        <f>IF(DX27=0,0,(DX38+DX32)/DX27)</f>
        <v>-6.0966427072333982</v>
      </c>
      <c r="DY42" s="911">
        <f t="shared" ref="DY42:EG42" si="193">IF(DY27=0,0,(DY38+DY32)/DY27)</f>
        <v>-32.271891747453559</v>
      </c>
      <c r="DZ42" s="910">
        <f t="shared" si="193"/>
        <v>30.891240143269382</v>
      </c>
      <c r="EA42" s="910">
        <f t="shared" si="193"/>
        <v>49.410002890535601</v>
      </c>
      <c r="EB42" s="910" t="e">
        <f t="shared" si="193"/>
        <v>#N/A</v>
      </c>
      <c r="EC42" s="910">
        <f t="shared" si="193"/>
        <v>-24.184056460748984</v>
      </c>
      <c r="ED42" s="910">
        <f t="shared" si="193"/>
        <v>22.164060650413283</v>
      </c>
      <c r="EE42" s="910">
        <f>IF(EE27=0,0,(EE38+EE32)/EE27)</f>
        <v>-39.47147913946241</v>
      </c>
      <c r="EF42" s="910">
        <f t="shared" si="193"/>
        <v>47.22857984317389</v>
      </c>
      <c r="EG42" s="910">
        <f t="shared" si="193"/>
        <v>18.679609052102641</v>
      </c>
      <c r="EH42" s="910">
        <f t="shared" ref="EH42:EM42" si="194">IF(EH27=0,0,(EH38+EH32)/EH27)</f>
        <v>16.09343729336662</v>
      </c>
      <c r="EI42" s="910">
        <f t="shared" si="194"/>
        <v>11.902382538301149</v>
      </c>
      <c r="EJ42" s="910">
        <f t="shared" si="194"/>
        <v>43.282606625956994</v>
      </c>
      <c r="EK42" s="910" t="e">
        <f t="shared" si="194"/>
        <v>#N/A</v>
      </c>
      <c r="EL42" s="910" t="e">
        <f t="shared" si="194"/>
        <v>#N/A</v>
      </c>
      <c r="EM42" s="910">
        <f t="shared" si="194"/>
        <v>78.95897210165819</v>
      </c>
      <c r="EN42" s="910">
        <f t="shared" ref="EN42" si="195">IF(EN27=0,0,(EN38+EN32)/EN27)</f>
        <v>-4.2726345312172942</v>
      </c>
      <c r="EO42" s="910">
        <f>IF(EO27=0,0,(EO38+EO32)/EO27)</f>
        <v>-225.77086898148147</v>
      </c>
      <c r="EP42" s="910">
        <f>IF(EP27=0,0,(EP38+EP32)/EP27)</f>
        <v>-108.78182608018675</v>
      </c>
      <c r="ER42" s="910">
        <f>IF(ER27=0,0,(ER38+ER32)/ER27)</f>
        <v>6.8606717738115996</v>
      </c>
      <c r="ES42" s="910">
        <f>IF(ES27=0,0,(ES38+ES32)/ES27)</f>
        <v>-5.6850954871594856</v>
      </c>
      <c r="ET42" s="910">
        <f>IF(ET27=0,0,(ET38+ET32)/ET27)</f>
        <v>7.0121774098824527</v>
      </c>
      <c r="EU42" s="910">
        <f>IF(EU27=0,0,(EU38+EU32)/EU27)</f>
        <v>-0.16904753665679384</v>
      </c>
      <c r="EV42" s="911">
        <f t="shared" ref="EV42:FD42" si="196">IF(EV27=0,0,(EV38+EV32)/EV27)</f>
        <v>75.140699323316312</v>
      </c>
      <c r="EW42" s="910">
        <f t="shared" si="196"/>
        <v>119.93465989019961</v>
      </c>
      <c r="EX42" s="910">
        <f t="shared" si="196"/>
        <v>71.327690735254393</v>
      </c>
      <c r="EY42" s="910" t="e">
        <f t="shared" si="196"/>
        <v>#N/A</v>
      </c>
      <c r="EZ42" s="910">
        <f t="shared" si="196"/>
        <v>-3.9995588744983843</v>
      </c>
      <c r="FA42" s="910">
        <f t="shared" si="196"/>
        <v>55.435076851976653</v>
      </c>
      <c r="FB42" s="910">
        <f>IF(FB27=0,0,(FB38+FB32)/FB27)</f>
        <v>-16.822350202411684</v>
      </c>
      <c r="FC42" s="910">
        <f t="shared" si="196"/>
        <v>39.530034943074256</v>
      </c>
      <c r="FD42" s="910">
        <f t="shared" si="196"/>
        <v>46.132036984222047</v>
      </c>
      <c r="FE42" s="910">
        <f t="shared" ref="FE42:FJ42" si="197">IF(FE27=0,0,(FE38+FE32)/FE27)</f>
        <v>48.658717646661813</v>
      </c>
      <c r="FF42" s="910">
        <f t="shared" si="197"/>
        <v>41.855857690357901</v>
      </c>
      <c r="FG42" s="910">
        <f t="shared" si="197"/>
        <v>65.458694292080295</v>
      </c>
      <c r="FH42" s="910" t="e">
        <f t="shared" si="197"/>
        <v>#N/A</v>
      </c>
      <c r="FI42" s="910" t="e">
        <f t="shared" si="197"/>
        <v>#N/A</v>
      </c>
      <c r="FJ42" s="910">
        <f t="shared" si="197"/>
        <v>116.76576496914932</v>
      </c>
      <c r="FK42" s="910">
        <f t="shared" ref="FK42" si="198">IF(FK27=0,0,(FK38+FK32)/FK27)</f>
        <v>26.574536564253748</v>
      </c>
      <c r="FL42" s="910">
        <f>IF(FL27=0,0,(FL38+FL32)/FL27)</f>
        <v>-232.43753564814813</v>
      </c>
      <c r="FM42" s="910">
        <f>IF(FM27=0,0,(FM38+FM32)/FM27)</f>
        <v>-111.60668483724889</v>
      </c>
    </row>
    <row r="43" spans="1:169" ht="18" customHeight="1">
      <c r="A43" s="899">
        <f>ROWS($A$1:A43)</f>
        <v>43</v>
      </c>
      <c r="B43" s="916" t="s">
        <v>800</v>
      </c>
      <c r="C43" s="915" t="s">
        <v>220</v>
      </c>
      <c r="D43" s="946">
        <f t="shared" ref="D43:AH43" si="199">IF(D31=0,0,IF(D6=0,0,(D38+D31)/D6))</f>
        <v>0</v>
      </c>
      <c r="E43" s="946">
        <f t="shared" si="199"/>
        <v>0</v>
      </c>
      <c r="F43" s="946">
        <f t="shared" si="199"/>
        <v>0</v>
      </c>
      <c r="G43" s="946">
        <f t="shared" si="199"/>
        <v>0</v>
      </c>
      <c r="H43" s="946">
        <f t="shared" si="199"/>
        <v>0</v>
      </c>
      <c r="I43" s="946">
        <f t="shared" si="199"/>
        <v>0</v>
      </c>
      <c r="J43" s="946">
        <f t="shared" si="199"/>
        <v>0</v>
      </c>
      <c r="K43" s="946">
        <f t="shared" si="199"/>
        <v>0</v>
      </c>
      <c r="L43" s="946">
        <f t="shared" si="199"/>
        <v>0</v>
      </c>
      <c r="M43" s="946">
        <f t="shared" si="199"/>
        <v>0</v>
      </c>
      <c r="N43" s="946">
        <f t="shared" si="199"/>
        <v>0</v>
      </c>
      <c r="O43" s="946">
        <f t="shared" si="199"/>
        <v>0</v>
      </c>
      <c r="P43" s="946">
        <f t="shared" si="199"/>
        <v>0</v>
      </c>
      <c r="Q43" s="946">
        <f t="shared" si="199"/>
        <v>0</v>
      </c>
      <c r="R43" s="946">
        <f t="shared" ref="R43" si="200">IF(R31=0,0,IF(R6=0,0,(R38+R31)/R6))</f>
        <v>0</v>
      </c>
      <c r="S43" s="946">
        <f t="shared" si="199"/>
        <v>0</v>
      </c>
      <c r="T43" s="946">
        <f t="shared" si="199"/>
        <v>0</v>
      </c>
      <c r="U43" s="946">
        <f t="shared" si="199"/>
        <v>0</v>
      </c>
      <c r="V43" s="946">
        <f t="shared" si="199"/>
        <v>0</v>
      </c>
      <c r="W43" s="946">
        <f t="shared" ref="W43" si="201">IF(W31=0,0,IF(W6=0,0,(W38+W31)/W6))</f>
        <v>0</v>
      </c>
      <c r="X43" s="946">
        <f t="shared" si="199"/>
        <v>0</v>
      </c>
      <c r="Y43" s="946">
        <f t="shared" si="199"/>
        <v>0</v>
      </c>
      <c r="Z43" s="946">
        <f t="shared" si="199"/>
        <v>0</v>
      </c>
      <c r="AA43" s="946">
        <f t="shared" si="199"/>
        <v>0</v>
      </c>
      <c r="AB43" s="946">
        <f t="shared" si="199"/>
        <v>0</v>
      </c>
      <c r="AC43" s="946">
        <f t="shared" si="199"/>
        <v>0</v>
      </c>
      <c r="AD43" s="946">
        <f t="shared" si="199"/>
        <v>0</v>
      </c>
      <c r="AE43" s="946">
        <f t="shared" si="199"/>
        <v>0</v>
      </c>
      <c r="AF43" s="946">
        <f t="shared" si="199"/>
        <v>0</v>
      </c>
      <c r="AG43" s="946">
        <f t="shared" si="199"/>
        <v>0</v>
      </c>
      <c r="AH43" s="946">
        <f t="shared" si="199"/>
        <v>0</v>
      </c>
      <c r="AI43" s="948"/>
      <c r="AJ43" s="947">
        <f t="shared" ref="AJ43:BN43" si="202">IF(AJ31=0,0,IF(AJ6=0,0,(AJ38+AJ31)/AJ6))</f>
        <v>0</v>
      </c>
      <c r="AK43" s="946">
        <f t="shared" si="202"/>
        <v>0</v>
      </c>
      <c r="AL43" s="946">
        <f t="shared" si="202"/>
        <v>0</v>
      </c>
      <c r="AM43" s="946">
        <f t="shared" si="202"/>
        <v>0</v>
      </c>
      <c r="AN43" s="946">
        <f t="shared" si="202"/>
        <v>0</v>
      </c>
      <c r="AO43" s="946">
        <f t="shared" si="202"/>
        <v>0</v>
      </c>
      <c r="AP43" s="946">
        <f t="shared" si="202"/>
        <v>0</v>
      </c>
      <c r="AQ43" s="946">
        <f t="shared" si="202"/>
        <v>0</v>
      </c>
      <c r="AR43" s="946">
        <f t="shared" si="202"/>
        <v>0</v>
      </c>
      <c r="AS43" s="946">
        <f t="shared" si="202"/>
        <v>0</v>
      </c>
      <c r="AT43" s="946">
        <f t="shared" si="202"/>
        <v>0</v>
      </c>
      <c r="AU43" s="946">
        <f t="shared" si="202"/>
        <v>0</v>
      </c>
      <c r="AV43" s="946">
        <f t="shared" si="202"/>
        <v>0</v>
      </c>
      <c r="AW43" s="946">
        <f t="shared" si="202"/>
        <v>0</v>
      </c>
      <c r="AX43" s="946">
        <f t="shared" ref="AX43" si="203">IF(AX31=0,0,IF(AX6=0,0,(AX38+AX31)/AX6))</f>
        <v>0</v>
      </c>
      <c r="AY43" s="946">
        <f t="shared" si="202"/>
        <v>0</v>
      </c>
      <c r="AZ43" s="946">
        <f t="shared" si="202"/>
        <v>0</v>
      </c>
      <c r="BA43" s="946">
        <f t="shared" si="202"/>
        <v>0</v>
      </c>
      <c r="BB43" s="946">
        <f t="shared" si="202"/>
        <v>0</v>
      </c>
      <c r="BC43" s="946">
        <f t="shared" ref="BC43" si="204">IF(BC31=0,0,IF(BC6=0,0,(BC38+BC31)/BC6))</f>
        <v>0</v>
      </c>
      <c r="BD43" s="946">
        <f t="shared" si="202"/>
        <v>0</v>
      </c>
      <c r="BE43" s="946">
        <f t="shared" si="202"/>
        <v>0</v>
      </c>
      <c r="BF43" s="946">
        <f t="shared" si="202"/>
        <v>0</v>
      </c>
      <c r="BG43" s="946">
        <f t="shared" si="202"/>
        <v>0</v>
      </c>
      <c r="BH43" s="946">
        <f t="shared" si="202"/>
        <v>0</v>
      </c>
      <c r="BI43" s="946">
        <f t="shared" si="202"/>
        <v>0</v>
      </c>
      <c r="BJ43" s="946">
        <f t="shared" si="202"/>
        <v>0</v>
      </c>
      <c r="BK43" s="946">
        <f t="shared" si="202"/>
        <v>0</v>
      </c>
      <c r="BL43" s="946">
        <f t="shared" si="202"/>
        <v>0</v>
      </c>
      <c r="BM43" s="946">
        <f t="shared" si="202"/>
        <v>0</v>
      </c>
      <c r="BN43" s="946">
        <f t="shared" si="202"/>
        <v>0</v>
      </c>
      <c r="BO43" s="948"/>
      <c r="BP43" s="947">
        <f t="shared" ref="BP43:CT43" si="205">IF(BP31=0,0,IF(BP6=0,0,(BP38+BP31)/BP6))</f>
        <v>0</v>
      </c>
      <c r="BQ43" s="946">
        <f t="shared" si="205"/>
        <v>0</v>
      </c>
      <c r="BR43" s="946">
        <f t="shared" si="205"/>
        <v>0</v>
      </c>
      <c r="BS43" s="946">
        <f t="shared" si="205"/>
        <v>0</v>
      </c>
      <c r="BT43" s="946">
        <f t="shared" si="205"/>
        <v>0</v>
      </c>
      <c r="BU43" s="946">
        <f t="shared" si="205"/>
        <v>0</v>
      </c>
      <c r="BV43" s="946">
        <f t="shared" si="205"/>
        <v>0</v>
      </c>
      <c r="BW43" s="946">
        <f t="shared" si="205"/>
        <v>0</v>
      </c>
      <c r="BX43" s="946">
        <f t="shared" si="205"/>
        <v>0</v>
      </c>
      <c r="BY43" s="946">
        <f t="shared" si="205"/>
        <v>0</v>
      </c>
      <c r="BZ43" s="946">
        <f t="shared" si="205"/>
        <v>0</v>
      </c>
      <c r="CA43" s="946">
        <f t="shared" si="205"/>
        <v>0</v>
      </c>
      <c r="CB43" s="946">
        <f t="shared" si="205"/>
        <v>0</v>
      </c>
      <c r="CC43" s="946">
        <f t="shared" si="205"/>
        <v>0</v>
      </c>
      <c r="CD43" s="946">
        <f t="shared" ref="CD43" si="206">IF(CD31=0,0,IF(CD6=0,0,(CD38+CD31)/CD6))</f>
        <v>0</v>
      </c>
      <c r="CE43" s="946">
        <f t="shared" si="205"/>
        <v>0</v>
      </c>
      <c r="CF43" s="946">
        <f t="shared" si="205"/>
        <v>0</v>
      </c>
      <c r="CG43" s="946">
        <f t="shared" si="205"/>
        <v>0</v>
      </c>
      <c r="CH43" s="946">
        <f t="shared" si="205"/>
        <v>0</v>
      </c>
      <c r="CI43" s="946">
        <f t="shared" ref="CI43" si="207">IF(CI31=0,0,IF(CI6=0,0,(CI38+CI31)/CI6))</f>
        <v>0</v>
      </c>
      <c r="CJ43" s="946">
        <f t="shared" si="205"/>
        <v>0</v>
      </c>
      <c r="CK43" s="946">
        <f t="shared" si="205"/>
        <v>0</v>
      </c>
      <c r="CL43" s="946">
        <f t="shared" si="205"/>
        <v>0</v>
      </c>
      <c r="CM43" s="946">
        <f t="shared" si="205"/>
        <v>0</v>
      </c>
      <c r="CN43" s="946">
        <f t="shared" si="205"/>
        <v>0</v>
      </c>
      <c r="CO43" s="946">
        <f t="shared" si="205"/>
        <v>0</v>
      </c>
      <c r="CP43" s="946">
        <f t="shared" si="205"/>
        <v>0</v>
      </c>
      <c r="CQ43" s="946">
        <f t="shared" si="205"/>
        <v>0</v>
      </c>
      <c r="CR43" s="946">
        <f>IF(CR31=0,0,IF(CR6=0,0,(CR38+CR31)/CR6))</f>
        <v>0</v>
      </c>
      <c r="CS43" s="946">
        <f t="shared" si="205"/>
        <v>0</v>
      </c>
      <c r="CT43" s="946">
        <f t="shared" si="205"/>
        <v>0</v>
      </c>
      <c r="CV43" s="916" t="s">
        <v>800</v>
      </c>
      <c r="CW43" s="915" t="s">
        <v>220</v>
      </c>
      <c r="CX43" s="946">
        <f>IF(CX31=0,0,IF(CX6=0,0,(CX38+CX31)/CX6))</f>
        <v>0</v>
      </c>
      <c r="CY43" s="946">
        <f>IF(CY31=0,0,IF(CY6=0,0,(CY38+CY31)/CY6))</f>
        <v>0</v>
      </c>
      <c r="CZ43" s="946">
        <f>IF(CZ31=0,0,IF(CZ6=0,0,(CZ38+CZ31)/CZ6))</f>
        <v>0</v>
      </c>
      <c r="DA43" s="946">
        <f>IF(DA31=0,0,IF(DA6=0,0,(DA38+DA31)/DA6))</f>
        <v>0</v>
      </c>
      <c r="DB43" s="946">
        <f t="shared" ref="DB43:DJ43" si="208">IF(DB31=0,0,IF(DB6=0,0,(DB38+DB31)/DB6))</f>
        <v>0</v>
      </c>
      <c r="DC43" s="946">
        <f t="shared" si="208"/>
        <v>0</v>
      </c>
      <c r="DD43" s="946">
        <f>IF(DD31=0,0,IF(DD6=0,0,(DD38+DD31)/DD6))</f>
        <v>0</v>
      </c>
      <c r="DE43" s="946">
        <f t="shared" si="208"/>
        <v>0</v>
      </c>
      <c r="DF43" s="946">
        <f t="shared" si="208"/>
        <v>0</v>
      </c>
      <c r="DG43" s="946">
        <f t="shared" si="208"/>
        <v>0</v>
      </c>
      <c r="DH43" s="946">
        <f>IF(DH31=0,0,IF(DH6=0,0,(DH38+DH31)/DH6))</f>
        <v>0</v>
      </c>
      <c r="DI43" s="946">
        <f t="shared" si="208"/>
        <v>0</v>
      </c>
      <c r="DJ43" s="946">
        <f t="shared" si="208"/>
        <v>0</v>
      </c>
      <c r="DK43" s="946">
        <f>IF(DK31=0,0,IF(DK6=0,0,(DK38+DK31)/DK6))</f>
        <v>0</v>
      </c>
      <c r="DL43" s="946">
        <f t="shared" ref="DL43:DS43" si="209">IF(DL31=0,0,IF(DL6=0,0,(DL38+DL31)/DL6))</f>
        <v>0</v>
      </c>
      <c r="DM43" s="946">
        <f t="shared" si="209"/>
        <v>0</v>
      </c>
      <c r="DN43" s="946">
        <f t="shared" si="209"/>
        <v>0</v>
      </c>
      <c r="DO43" s="946">
        <f t="shared" si="209"/>
        <v>0</v>
      </c>
      <c r="DP43" s="946">
        <f t="shared" si="209"/>
        <v>0</v>
      </c>
      <c r="DQ43" s="946">
        <f t="shared" ref="DQ43" si="210">IF(DQ31=0,0,IF(DQ6=0,0,(DQ38+DQ31)/DQ6))</f>
        <v>0</v>
      </c>
      <c r="DR43" s="946">
        <f t="shared" si="209"/>
        <v>0</v>
      </c>
      <c r="DS43" s="946">
        <f t="shared" si="209"/>
        <v>0</v>
      </c>
      <c r="DT43" s="893"/>
      <c r="DU43" s="946">
        <f>IF(DU31=0,0,IF(DU6=0,0,(DU38+DU31)/DU6))</f>
        <v>0</v>
      </c>
      <c r="DV43" s="946">
        <f>IF(DV31=0,0,IF(DV6=0,0,(DV38+DV31)/DV6))</f>
        <v>0</v>
      </c>
      <c r="DW43" s="946">
        <f>IF(DW31=0,0,IF(DW6=0,0,(DW38+DW31)/DW6))</f>
        <v>0</v>
      </c>
      <c r="DX43" s="946">
        <f>IF(DX31=0,0,IF(DX6=0,0,(DX38+DX31)/DX6))</f>
        <v>0</v>
      </c>
      <c r="DY43" s="947">
        <f t="shared" ref="DY43:EG43" si="211">IF(DY31=0,0,IF(DY6=0,0,(DY38+DY31)/DY6))</f>
        <v>0</v>
      </c>
      <c r="DZ43" s="946">
        <f t="shared" si="211"/>
        <v>0</v>
      </c>
      <c r="EA43" s="946">
        <f t="shared" si="211"/>
        <v>0</v>
      </c>
      <c r="EB43" s="946">
        <f t="shared" si="211"/>
        <v>0</v>
      </c>
      <c r="EC43" s="946">
        <f t="shared" si="211"/>
        <v>0</v>
      </c>
      <c r="ED43" s="946">
        <f t="shared" si="211"/>
        <v>0</v>
      </c>
      <c r="EE43" s="946">
        <f>IF(EE31=0,0,IF(EE6=0,0,(EE38+EE31)/EE6))</f>
        <v>0</v>
      </c>
      <c r="EF43" s="946">
        <f t="shared" si="211"/>
        <v>0</v>
      </c>
      <c r="EG43" s="946">
        <f t="shared" si="211"/>
        <v>0</v>
      </c>
      <c r="EH43" s="946">
        <f t="shared" ref="EH43:EM43" si="212">IF(EH31=0,0,IF(EH6=0,0,(EH38+EH31)/EH6))</f>
        <v>0</v>
      </c>
      <c r="EI43" s="946">
        <f t="shared" si="212"/>
        <v>0</v>
      </c>
      <c r="EJ43" s="946">
        <f t="shared" si="212"/>
        <v>0</v>
      </c>
      <c r="EK43" s="946">
        <f t="shared" si="212"/>
        <v>0</v>
      </c>
      <c r="EL43" s="946">
        <f t="shared" si="212"/>
        <v>0</v>
      </c>
      <c r="EM43" s="946">
        <f t="shared" si="212"/>
        <v>0</v>
      </c>
      <c r="EN43" s="946">
        <f t="shared" ref="EN43" si="213">IF(EN31=0,0,IF(EN6=0,0,(EN38+EN31)/EN6))</f>
        <v>0</v>
      </c>
      <c r="EO43" s="946">
        <f>IF(EO31=0,0,IF(EO6=0,0,(EO38+EO31)/EO6))</f>
        <v>0</v>
      </c>
      <c r="EP43" s="946">
        <f>IF(EP31=0,0,IF(EP6=0,0,(EP38+EP31)/EP6))</f>
        <v>0</v>
      </c>
      <c r="EQ43" s="893"/>
      <c r="ER43" s="946">
        <f>IF(ER31=0,0,IF(ER6=0,0,(ER38+ER31)/ER6))</f>
        <v>0</v>
      </c>
      <c r="ES43" s="946">
        <f>IF(ES31=0,0,IF(ES6=0,0,(ES38+ES31)/ES6))</f>
        <v>0</v>
      </c>
      <c r="ET43" s="946">
        <f>IF(ET31=0,0,IF(ET6=0,0,(ET38+ET31)/ET6))</f>
        <v>0</v>
      </c>
      <c r="EU43" s="946">
        <f>IF(EU31=0,0,IF(EU6=0,0,(EU38+EU31)/EU6))</f>
        <v>0</v>
      </c>
      <c r="EV43" s="947">
        <f t="shared" ref="EV43:FD43" si="214">IF(EV31=0,0,IF(EV6=0,0,(EV38+EV31)/EV6))</f>
        <v>0</v>
      </c>
      <c r="EW43" s="946">
        <f t="shared" si="214"/>
        <v>0</v>
      </c>
      <c r="EX43" s="946">
        <f t="shared" si="214"/>
        <v>0</v>
      </c>
      <c r="EY43" s="946">
        <f t="shared" si="214"/>
        <v>0</v>
      </c>
      <c r="EZ43" s="946">
        <f t="shared" si="214"/>
        <v>0</v>
      </c>
      <c r="FA43" s="946">
        <f t="shared" si="214"/>
        <v>0</v>
      </c>
      <c r="FB43" s="946">
        <f>IF(FB31=0,0,IF(FB6=0,0,(FB38+FB31)/FB6))</f>
        <v>0</v>
      </c>
      <c r="FC43" s="946">
        <f t="shared" si="214"/>
        <v>0</v>
      </c>
      <c r="FD43" s="946">
        <f t="shared" si="214"/>
        <v>0</v>
      </c>
      <c r="FE43" s="946">
        <f t="shared" ref="FE43:FJ43" si="215">IF(FE31=0,0,IF(FE6=0,0,(FE38+FE31)/FE6))</f>
        <v>0</v>
      </c>
      <c r="FF43" s="946">
        <f t="shared" si="215"/>
        <v>0</v>
      </c>
      <c r="FG43" s="946">
        <f t="shared" si="215"/>
        <v>0</v>
      </c>
      <c r="FH43" s="946">
        <f t="shared" si="215"/>
        <v>0</v>
      </c>
      <c r="FI43" s="946">
        <f t="shared" si="215"/>
        <v>0</v>
      </c>
      <c r="FJ43" s="946">
        <f t="shared" si="215"/>
        <v>0</v>
      </c>
      <c r="FK43" s="946">
        <f t="shared" ref="FK43" si="216">IF(FK31=0,0,IF(FK6=0,0,(FK38+FK31)/FK6))</f>
        <v>0</v>
      </c>
      <c r="FL43" s="946">
        <f>IF(FL31=0,0,IF(FL6=0,0,(FL38+FL31)/FL6))</f>
        <v>0</v>
      </c>
      <c r="FM43" s="946">
        <f>IF(FM31=0,0,IF(FM6=0,0,(FM38+FM31)/FM6))</f>
        <v>0</v>
      </c>
    </row>
    <row r="44" spans="1:169" ht="18" customHeight="1">
      <c r="A44" s="899">
        <f>ROWS($A$1:A44)</f>
        <v>44</v>
      </c>
      <c r="B44" s="916" t="s">
        <v>799</v>
      </c>
      <c r="C44" s="915" t="s">
        <v>163</v>
      </c>
      <c r="D44" s="946">
        <f>D38+D30</f>
        <v>-447.43831393687901</v>
      </c>
      <c r="E44" s="946">
        <f t="shared" ref="E44:AH44" si="217">E38+E30</f>
        <v>-368.91997563699988</v>
      </c>
      <c r="F44" s="946">
        <f t="shared" si="217"/>
        <v>-344.90488410981197</v>
      </c>
      <c r="G44" s="946">
        <f t="shared" si="217"/>
        <v>-274.24548720511552</v>
      </c>
      <c r="H44" s="946">
        <f t="shared" si="217"/>
        <v>-618.01468160160425</v>
      </c>
      <c r="I44" s="946">
        <f t="shared" si="217"/>
        <v>-458.14899274263234</v>
      </c>
      <c r="J44" s="946">
        <f t="shared" si="217"/>
        <v>-502.56812577980077</v>
      </c>
      <c r="K44" s="946">
        <f t="shared" si="217"/>
        <v>-296.11499309578448</v>
      </c>
      <c r="L44" s="946">
        <f t="shared" si="217"/>
        <v>-431.34133200630674</v>
      </c>
      <c r="M44" s="946">
        <f t="shared" si="217"/>
        <v>-602.07233473903329</v>
      </c>
      <c r="N44" s="946">
        <f t="shared" si="217"/>
        <v>-198.74157008389182</v>
      </c>
      <c r="O44" s="946">
        <f t="shared" si="217"/>
        <v>-372.41574544077082</v>
      </c>
      <c r="P44" s="946">
        <f t="shared" si="217"/>
        <v>-272.8472568184867</v>
      </c>
      <c r="Q44" s="946">
        <f t="shared" si="217"/>
        <v>-372.57220758063329</v>
      </c>
      <c r="R44" s="946" t="e">
        <f t="shared" ref="R44" si="218">R38+R30</f>
        <v>#VALUE!</v>
      </c>
      <c r="S44" s="946">
        <f t="shared" si="217"/>
        <v>-347.06549580316664</v>
      </c>
      <c r="T44" s="946">
        <f t="shared" si="217"/>
        <v>-714.39351500886687</v>
      </c>
      <c r="U44" s="946">
        <f t="shared" si="217"/>
        <v>-720.69205089358366</v>
      </c>
      <c r="V44" s="946">
        <f t="shared" si="217"/>
        <v>-622.09548074827808</v>
      </c>
      <c r="W44" s="946" t="e">
        <f t="shared" ref="W44" si="219">W38+W30</f>
        <v>#VALUE!</v>
      </c>
      <c r="X44" s="946">
        <f t="shared" si="217"/>
        <v>-710.65975741494458</v>
      </c>
      <c r="Y44" s="946">
        <f t="shared" si="217"/>
        <v>-722.86325741494466</v>
      </c>
      <c r="Z44" s="946" t="e">
        <f t="shared" si="217"/>
        <v>#VALUE!</v>
      </c>
      <c r="AA44" s="946">
        <f t="shared" si="217"/>
        <v>745.38052069649962</v>
      </c>
      <c r="AB44" s="946">
        <f t="shared" si="217"/>
        <v>2092.9276645849773</v>
      </c>
      <c r="AC44" s="946" t="e">
        <f t="shared" si="217"/>
        <v>#VALUE!</v>
      </c>
      <c r="AD44" s="946">
        <f t="shared" si="217"/>
        <v>-481.21971649004774</v>
      </c>
      <c r="AE44" s="946">
        <f t="shared" si="217"/>
        <v>5112.946285414976</v>
      </c>
      <c r="AF44" s="946">
        <f t="shared" si="217"/>
        <v>-578</v>
      </c>
      <c r="AG44" s="946">
        <f t="shared" si="217"/>
        <v>-72.91644243583346</v>
      </c>
      <c r="AH44" s="946">
        <f t="shared" si="217"/>
        <v>-4.3628383882499975</v>
      </c>
      <c r="AI44" s="948"/>
      <c r="AJ44" s="947">
        <f t="shared" ref="AJ44:BN44" si="220">AJ38+AJ30</f>
        <v>-199.83381984258335</v>
      </c>
      <c r="AK44" s="946">
        <f t="shared" si="220"/>
        <v>-115.46047999516679</v>
      </c>
      <c r="AL44" s="946">
        <f t="shared" si="220"/>
        <v>-44.566877677131401</v>
      </c>
      <c r="AM44" s="946">
        <f t="shared" si="220"/>
        <v>65.454629306908771</v>
      </c>
      <c r="AN44" s="946">
        <f t="shared" si="220"/>
        <v>-455.1725037946054</v>
      </c>
      <c r="AO44" s="946">
        <f t="shared" si="220"/>
        <v>-228.32702976042094</v>
      </c>
      <c r="AP44" s="946">
        <f t="shared" si="220"/>
        <v>-270.99772803063422</v>
      </c>
      <c r="AQ44" s="946">
        <f t="shared" si="220"/>
        <v>-5.2203282735459311</v>
      </c>
      <c r="AR44" s="946">
        <f t="shared" si="220"/>
        <v>-251.51602488429762</v>
      </c>
      <c r="AS44" s="946">
        <f t="shared" si="220"/>
        <v>-417.2816590834891</v>
      </c>
      <c r="AT44" s="946">
        <f t="shared" si="220"/>
        <v>21.170790276502714</v>
      </c>
      <c r="AU44" s="946">
        <f t="shared" si="220"/>
        <v>-182.29621060669456</v>
      </c>
      <c r="AV44" s="946">
        <f t="shared" si="220"/>
        <v>58.096946862462232</v>
      </c>
      <c r="AW44" s="946">
        <f t="shared" si="220"/>
        <v>-86.528642344844343</v>
      </c>
      <c r="AX44" s="946" t="e">
        <f t="shared" ref="AX44" si="221">AX38+AX30</f>
        <v>#VALUE!</v>
      </c>
      <c r="AY44" s="946">
        <f t="shared" si="220"/>
        <v>-81.776849681511408</v>
      </c>
      <c r="AZ44" s="946">
        <f t="shared" si="220"/>
        <v>-589.86623981248886</v>
      </c>
      <c r="BA44" s="946">
        <f t="shared" si="220"/>
        <v>-583.58045676455572</v>
      </c>
      <c r="BB44" s="946">
        <f t="shared" si="220"/>
        <v>-382.45997932376667</v>
      </c>
      <c r="BC44" s="946" t="e">
        <f t="shared" ref="BC44" si="222">BC38+BC30</f>
        <v>#VALUE!</v>
      </c>
      <c r="BD44" s="946">
        <f t="shared" si="220"/>
        <v>-404.00386067194438</v>
      </c>
      <c r="BE44" s="946">
        <f t="shared" si="220"/>
        <v>-426.59519400527768</v>
      </c>
      <c r="BF44" s="946" t="e">
        <f t="shared" si="220"/>
        <v>#VALUE!</v>
      </c>
      <c r="BG44" s="946">
        <f t="shared" si="220"/>
        <v>2065.3421251965001</v>
      </c>
      <c r="BH44" s="946">
        <f t="shared" si="220"/>
        <v>6161.9821556746901</v>
      </c>
      <c r="BI44" s="946" t="e">
        <f t="shared" si="220"/>
        <v>#VALUE!</v>
      </c>
      <c r="BJ44" s="946">
        <f t="shared" si="220"/>
        <v>427.6553470173813</v>
      </c>
      <c r="BK44" s="946">
        <f t="shared" si="220"/>
        <v>6522.010328585643</v>
      </c>
      <c r="BL44" s="946">
        <f t="shared" si="220"/>
        <v>-578</v>
      </c>
      <c r="BM44" s="946">
        <f t="shared" si="220"/>
        <v>-72.91644243583346</v>
      </c>
      <c r="BN44" s="946">
        <f t="shared" si="220"/>
        <v>-4.3628383882501112</v>
      </c>
      <c r="BO44" s="948"/>
      <c r="BP44" s="947">
        <f t="shared" ref="BP44:CT44" si="223">BP38+BP30</f>
        <v>-104.53240475298742</v>
      </c>
      <c r="BQ44" s="946">
        <f t="shared" si="223"/>
        <v>152.02956773000022</v>
      </c>
      <c r="BR44" s="946">
        <f t="shared" si="223"/>
        <v>255.59980392928907</v>
      </c>
      <c r="BS44" s="946">
        <f t="shared" si="223"/>
        <v>400.53208765933897</v>
      </c>
      <c r="BT44" s="946">
        <f t="shared" si="223"/>
        <v>-327.31949048057368</v>
      </c>
      <c r="BU44" s="946">
        <f t="shared" si="223"/>
        <v>-8.0490939331426716</v>
      </c>
      <c r="BV44" s="946">
        <f t="shared" si="223"/>
        <v>-107.30405743640119</v>
      </c>
      <c r="BW44" s="946">
        <f t="shared" si="223"/>
        <v>316.12951370362555</v>
      </c>
      <c r="BX44" s="946">
        <f t="shared" si="223"/>
        <v>40.415782237711198</v>
      </c>
      <c r="BY44" s="946">
        <f t="shared" si="223"/>
        <v>-232.49098342794446</v>
      </c>
      <c r="BZ44" s="946">
        <f t="shared" si="223"/>
        <v>241.08315063689719</v>
      </c>
      <c r="CA44" s="946">
        <f t="shared" si="223"/>
        <v>25.673633418048666</v>
      </c>
      <c r="CB44" s="946">
        <f t="shared" si="223"/>
        <v>389.04115054341094</v>
      </c>
      <c r="CC44" s="946">
        <f t="shared" si="223"/>
        <v>199.51492289094466</v>
      </c>
      <c r="CD44" s="946" t="e">
        <f t="shared" ref="CD44" si="224">CD38+CD30</f>
        <v>#VALUE!</v>
      </c>
      <c r="CE44" s="946">
        <f t="shared" si="223"/>
        <v>219.74130044484446</v>
      </c>
      <c r="CF44" s="946">
        <f t="shared" si="223"/>
        <v>-429.20273739561139</v>
      </c>
      <c r="CG44" s="946">
        <f t="shared" si="223"/>
        <v>-446.46886263552801</v>
      </c>
      <c r="CH44" s="946">
        <f t="shared" si="223"/>
        <v>-142.82447789925561</v>
      </c>
      <c r="CI44" s="946" t="e">
        <f t="shared" ref="CI44" si="225">CI38+CI30</f>
        <v>#VALUE!</v>
      </c>
      <c r="CJ44" s="946">
        <f t="shared" si="223"/>
        <v>-125.58129726227787</v>
      </c>
      <c r="CK44" s="946">
        <f t="shared" si="223"/>
        <v>-153.61963059561106</v>
      </c>
      <c r="CL44" s="946" t="e">
        <f t="shared" si="223"/>
        <v>#VALUE!</v>
      </c>
      <c r="CM44" s="946">
        <f t="shared" si="223"/>
        <v>2992.1884404759999</v>
      </c>
      <c r="CN44" s="946">
        <f t="shared" si="223"/>
        <v>10231.036646764405</v>
      </c>
      <c r="CO44" s="946" t="e">
        <f t="shared" si="223"/>
        <v>#VALUE!</v>
      </c>
      <c r="CP44" s="946">
        <f t="shared" si="223"/>
        <v>2470.5671605248094</v>
      </c>
      <c r="CQ44" s="946">
        <f t="shared" si="223"/>
        <v>7883.0067110062146</v>
      </c>
      <c r="CR44" s="946">
        <f>CR38+CR30</f>
        <v>-578</v>
      </c>
      <c r="CS44" s="946">
        <f t="shared" si="223"/>
        <v>-72.91644243583346</v>
      </c>
      <c r="CT44" s="946">
        <f t="shared" si="223"/>
        <v>-4.3628383882501112</v>
      </c>
      <c r="CV44" s="916" t="s">
        <v>799</v>
      </c>
      <c r="CW44" s="915" t="s">
        <v>163</v>
      </c>
      <c r="CX44" s="946">
        <f>CX38+CX30</f>
        <v>-205.22671380771669</v>
      </c>
      <c r="CY44" s="946">
        <f t="shared" ref="CY44:DS44" si="226">CY38+CY30</f>
        <v>-153.21010412271664</v>
      </c>
      <c r="CZ44" s="946">
        <f t="shared" si="226"/>
        <v>-203.65863047438347</v>
      </c>
      <c r="DA44" s="946">
        <f t="shared" si="226"/>
        <v>-34.430320789383359</v>
      </c>
      <c r="DB44" s="946">
        <f t="shared" si="226"/>
        <v>4.4451099265381799</v>
      </c>
      <c r="DC44" s="946">
        <f t="shared" si="226"/>
        <v>77.15108769450012</v>
      </c>
      <c r="DD44" s="946">
        <f t="shared" si="226"/>
        <v>161.51561369449973</v>
      </c>
      <c r="DE44" s="946" t="e">
        <f t="shared" si="226"/>
        <v>#N/A</v>
      </c>
      <c r="DF44" s="946">
        <f t="shared" si="226"/>
        <v>-235.70188746112353</v>
      </c>
      <c r="DG44" s="946">
        <f t="shared" si="226"/>
        <v>28.138279549809454</v>
      </c>
      <c r="DH44" s="946">
        <f>DH38+DH30</f>
        <v>-283.52830463717396</v>
      </c>
      <c r="DI44" s="946">
        <f t="shared" si="226"/>
        <v>-172.28402646184918</v>
      </c>
      <c r="DJ44" s="946">
        <f t="shared" si="226"/>
        <v>-46.872700764833098</v>
      </c>
      <c r="DK44" s="946">
        <f t="shared" si="226"/>
        <v>-19.704688999666701</v>
      </c>
      <c r="DL44" s="946">
        <f t="shared" si="226"/>
        <v>-28.918524406416509</v>
      </c>
      <c r="DM44" s="946">
        <f t="shared" si="226"/>
        <v>234.57793657122215</v>
      </c>
      <c r="DN44" s="946" t="e">
        <f t="shared" si="226"/>
        <v>#N/A</v>
      </c>
      <c r="DO44" s="946" t="e">
        <f t="shared" si="226"/>
        <v>#N/A</v>
      </c>
      <c r="DP44" s="946">
        <f t="shared" si="226"/>
        <v>1438.1490168740479</v>
      </c>
      <c r="DQ44" s="946">
        <f t="shared" ref="DQ44" si="227">DQ38+DQ30</f>
        <v>-119.92025691875006</v>
      </c>
      <c r="DR44" s="946">
        <f t="shared" si="226"/>
        <v>-754.96891041666663</v>
      </c>
      <c r="DS44" s="946">
        <f t="shared" si="226"/>
        <v>-1047.6629929715834</v>
      </c>
      <c r="DT44" s="893"/>
      <c r="DU44" s="946">
        <f>DU38+DU30</f>
        <v>46.314086192283412</v>
      </c>
      <c r="DV44" s="946">
        <f>DV38+DV30</f>
        <v>-1.2375374560499495</v>
      </c>
      <c r="DW44" s="946">
        <f>DW38+DW30</f>
        <v>5.9587028589500051</v>
      </c>
      <c r="DX44" s="946">
        <f>DX38+DX30</f>
        <v>117.54224587728334</v>
      </c>
      <c r="DY44" s="947">
        <f t="shared" ref="DY44:EG44" si="228">DY38+DY30</f>
        <v>-93.74247755944441</v>
      </c>
      <c r="DZ44" s="946">
        <f t="shared" si="228"/>
        <v>390.9150428208556</v>
      </c>
      <c r="EA44" s="946">
        <f t="shared" si="228"/>
        <v>511.49441082085542</v>
      </c>
      <c r="EB44" s="946" t="e">
        <f t="shared" si="228"/>
        <v>#N/A</v>
      </c>
      <c r="EC44" s="946">
        <f t="shared" si="228"/>
        <v>-37.479945606981801</v>
      </c>
      <c r="ED44" s="946">
        <f t="shared" si="228"/>
        <v>337.50876550429876</v>
      </c>
      <c r="EE44" s="946">
        <f>EE38+EE30</f>
        <v>-161.16589627364851</v>
      </c>
      <c r="EF44" s="946">
        <f t="shared" si="228"/>
        <v>525.96242364973602</v>
      </c>
      <c r="EG44" s="946">
        <f t="shared" si="228"/>
        <v>305.5369657131115</v>
      </c>
      <c r="EH44" s="946">
        <f t="shared" ref="EH44:EM44" si="229">EH38+EH30</f>
        <v>286.99735825436119</v>
      </c>
      <c r="EI44" s="946">
        <f t="shared" si="229"/>
        <v>264.12643951427793</v>
      </c>
      <c r="EJ44" s="946">
        <f t="shared" si="229"/>
        <v>586.25988937444413</v>
      </c>
      <c r="EK44" s="946" t="e">
        <f t="shared" si="229"/>
        <v>#N/A</v>
      </c>
      <c r="EL44" s="946" t="e">
        <f t="shared" si="229"/>
        <v>#N/A</v>
      </c>
      <c r="EM44" s="946">
        <f t="shared" si="229"/>
        <v>3951.8726814621441</v>
      </c>
      <c r="EN44" s="946">
        <f t="shared" ref="EN44" si="230">EN38+EN30</f>
        <v>139.61548921780559</v>
      </c>
      <c r="EO44" s="946">
        <f>EO38+EO30</f>
        <v>-785.96891041666663</v>
      </c>
      <c r="EP44" s="946">
        <f>EP38+EP30</f>
        <v>-1047.6629929715834</v>
      </c>
      <c r="EQ44" s="893"/>
      <c r="ER44" s="946">
        <f>ER38+ER30</f>
        <v>214.00795285895003</v>
      </c>
      <c r="ES44" s="946">
        <f>ES38+ES30</f>
        <v>150.73502921061674</v>
      </c>
      <c r="ET44" s="946">
        <f>ET38+ET30</f>
        <v>215.57603619228337</v>
      </c>
      <c r="EU44" s="946">
        <f>EU38+EU30</f>
        <v>193.52852921061663</v>
      </c>
      <c r="EV44" s="947">
        <f t="shared" ref="EV44:FD44" si="231">EV38+EV30</f>
        <v>800.64949617365369</v>
      </c>
      <c r="EW44" s="946">
        <f t="shared" si="231"/>
        <v>1018.4429530735672</v>
      </c>
      <c r="EX44" s="946">
        <f t="shared" si="231"/>
        <v>686.48380938403375</v>
      </c>
      <c r="EY44" s="946" t="e">
        <f t="shared" si="231"/>
        <v>#N/A</v>
      </c>
      <c r="EZ44" s="946">
        <f t="shared" si="231"/>
        <v>153.69560818604043</v>
      </c>
      <c r="FA44" s="946">
        <f t="shared" si="231"/>
        <v>639.84121111074307</v>
      </c>
      <c r="FB44" s="946">
        <f>FB38+FB30</f>
        <v>48.811586519373577</v>
      </c>
      <c r="FC44" s="946">
        <f t="shared" si="231"/>
        <v>497.72909031640233</v>
      </c>
      <c r="FD44" s="946">
        <f t="shared" si="231"/>
        <v>640.30079885772261</v>
      </c>
      <c r="FE44" s="946">
        <f t="shared" ref="FE44:FJ44" si="232">FE38+FE30</f>
        <v>593.69940550838874</v>
      </c>
      <c r="FF44" s="946">
        <f t="shared" si="232"/>
        <v>546.47323270747233</v>
      </c>
      <c r="FG44" s="946">
        <f t="shared" si="232"/>
        <v>893.97691937674972</v>
      </c>
      <c r="FH44" s="946" t="e">
        <f t="shared" si="232"/>
        <v>#N/A</v>
      </c>
      <c r="FI44" s="946" t="e">
        <f t="shared" si="232"/>
        <v>#N/A</v>
      </c>
      <c r="FJ44" s="946">
        <f t="shared" si="232"/>
        <v>6465.5963460502362</v>
      </c>
      <c r="FK44" s="946">
        <f t="shared" ref="FK44" si="233">FK38+FK30</f>
        <v>399.15123535436101</v>
      </c>
      <c r="FL44" s="946">
        <f>FL38+FL30</f>
        <v>-785.96891041666663</v>
      </c>
      <c r="FM44" s="946">
        <f>FM38+FM30</f>
        <v>-1047.6629929715834</v>
      </c>
    </row>
    <row r="45" spans="1:169" ht="16.2" customHeight="1">
      <c r="A45" s="899">
        <f>ROWS($A$1:A45)</f>
        <v>45</v>
      </c>
      <c r="B45" s="945" t="s">
        <v>798</v>
      </c>
      <c r="C45" s="915"/>
      <c r="D45" s="904">
        <f>D44+D29</f>
        <v>-416.43831393687901</v>
      </c>
      <c r="E45" s="904">
        <f t="shared" ref="E45:AH45" si="234">E44+E29</f>
        <v>-337.91997563699988</v>
      </c>
      <c r="F45" s="904">
        <f t="shared" si="234"/>
        <v>-313.90488410981197</v>
      </c>
      <c r="G45" s="904">
        <f t="shared" si="234"/>
        <v>-243.24548720511552</v>
      </c>
      <c r="H45" s="904">
        <f t="shared" si="234"/>
        <v>-587.01468160160425</v>
      </c>
      <c r="I45" s="904">
        <f t="shared" si="234"/>
        <v>-427.14899274263234</v>
      </c>
      <c r="J45" s="904">
        <f t="shared" si="234"/>
        <v>-471.56812577980077</v>
      </c>
      <c r="K45" s="904">
        <f t="shared" si="234"/>
        <v>-265.11499309578448</v>
      </c>
      <c r="L45" s="904">
        <f t="shared" si="234"/>
        <v>-400.34133200630674</v>
      </c>
      <c r="M45" s="904">
        <f t="shared" si="234"/>
        <v>-571.07233473903329</v>
      </c>
      <c r="N45" s="904">
        <f t="shared" si="234"/>
        <v>-167.74157008389182</v>
      </c>
      <c r="O45" s="904">
        <f t="shared" si="234"/>
        <v>-341.41574544077082</v>
      </c>
      <c r="P45" s="904">
        <f t="shared" si="234"/>
        <v>-241.8472568184867</v>
      </c>
      <c r="Q45" s="904">
        <f t="shared" si="234"/>
        <v>-341.57220758063329</v>
      </c>
      <c r="R45" s="904" t="e">
        <f t="shared" ref="R45" si="235">R44+R29</f>
        <v>#VALUE!</v>
      </c>
      <c r="S45" s="904">
        <f t="shared" si="234"/>
        <v>-316.06549580316664</v>
      </c>
      <c r="T45" s="904">
        <f t="shared" si="234"/>
        <v>-683.39351500886687</v>
      </c>
      <c r="U45" s="904">
        <f t="shared" si="234"/>
        <v>-689.69205089358366</v>
      </c>
      <c r="V45" s="904">
        <f t="shared" si="234"/>
        <v>-591.09548074827808</v>
      </c>
      <c r="W45" s="904" t="e">
        <f t="shared" ref="W45" si="236">W44+W29</f>
        <v>#VALUE!</v>
      </c>
      <c r="X45" s="904">
        <f t="shared" si="234"/>
        <v>-679.65975741494458</v>
      </c>
      <c r="Y45" s="904">
        <f t="shared" si="234"/>
        <v>-691.86325741494466</v>
      </c>
      <c r="Z45" s="904" t="e">
        <f t="shared" si="234"/>
        <v>#VALUE!</v>
      </c>
      <c r="AA45" s="904">
        <f t="shared" si="234"/>
        <v>776.38052069649962</v>
      </c>
      <c r="AB45" s="904">
        <f t="shared" si="234"/>
        <v>2123.9276645849773</v>
      </c>
      <c r="AC45" s="904" t="e">
        <f t="shared" si="234"/>
        <v>#VALUE!</v>
      </c>
      <c r="AD45" s="904">
        <f t="shared" si="234"/>
        <v>-450.21971649004774</v>
      </c>
      <c r="AE45" s="904">
        <f t="shared" si="234"/>
        <v>5143.946285414976</v>
      </c>
      <c r="AF45" s="904">
        <f t="shared" si="234"/>
        <v>-547</v>
      </c>
      <c r="AG45" s="904">
        <f t="shared" si="234"/>
        <v>-41.91644243583346</v>
      </c>
      <c r="AH45" s="904">
        <f t="shared" si="234"/>
        <v>-4.3628383882499975</v>
      </c>
      <c r="AI45" s="901"/>
      <c r="AJ45" s="902">
        <f t="shared" ref="AJ45:BN45" si="237">AJ44+AJ29</f>
        <v>-168.83381984258335</v>
      </c>
      <c r="AK45" s="904">
        <f t="shared" si="237"/>
        <v>-84.460479995166793</v>
      </c>
      <c r="AL45" s="904">
        <f t="shared" si="237"/>
        <v>-13.566877677131401</v>
      </c>
      <c r="AM45" s="904">
        <f t="shared" si="237"/>
        <v>96.454629306908771</v>
      </c>
      <c r="AN45" s="904">
        <f t="shared" si="237"/>
        <v>-424.1725037946054</v>
      </c>
      <c r="AO45" s="904">
        <f t="shared" si="237"/>
        <v>-197.32702976042094</v>
      </c>
      <c r="AP45" s="904">
        <f t="shared" si="237"/>
        <v>-239.99772803063422</v>
      </c>
      <c r="AQ45" s="904">
        <f t="shared" si="237"/>
        <v>25.779671726454069</v>
      </c>
      <c r="AR45" s="904">
        <f t="shared" si="237"/>
        <v>-220.51602488429762</v>
      </c>
      <c r="AS45" s="904">
        <f t="shared" si="237"/>
        <v>-386.2816590834891</v>
      </c>
      <c r="AT45" s="904">
        <f t="shared" si="237"/>
        <v>52.170790276502714</v>
      </c>
      <c r="AU45" s="904">
        <f t="shared" si="237"/>
        <v>-151.29621060669456</v>
      </c>
      <c r="AV45" s="904">
        <f t="shared" si="237"/>
        <v>89.096946862462232</v>
      </c>
      <c r="AW45" s="904">
        <f t="shared" si="237"/>
        <v>-55.528642344844343</v>
      </c>
      <c r="AX45" s="904" t="e">
        <f t="shared" ref="AX45" si="238">AX44+AX29</f>
        <v>#VALUE!</v>
      </c>
      <c r="AY45" s="904">
        <f t="shared" si="237"/>
        <v>-50.776849681511408</v>
      </c>
      <c r="AZ45" s="904">
        <f t="shared" si="237"/>
        <v>-558.86623981248886</v>
      </c>
      <c r="BA45" s="904">
        <f t="shared" si="237"/>
        <v>-552.58045676455572</v>
      </c>
      <c r="BB45" s="904">
        <f t="shared" si="237"/>
        <v>-351.45997932376667</v>
      </c>
      <c r="BC45" s="904" t="e">
        <f t="shared" ref="BC45" si="239">BC44+BC29</f>
        <v>#VALUE!</v>
      </c>
      <c r="BD45" s="904">
        <f t="shared" si="237"/>
        <v>-373.00386067194438</v>
      </c>
      <c r="BE45" s="904">
        <f t="shared" si="237"/>
        <v>-395.59519400527768</v>
      </c>
      <c r="BF45" s="904" t="e">
        <f t="shared" si="237"/>
        <v>#VALUE!</v>
      </c>
      <c r="BG45" s="904">
        <f t="shared" si="237"/>
        <v>2096.3421251965001</v>
      </c>
      <c r="BH45" s="904">
        <f t="shared" si="237"/>
        <v>6192.9821556746901</v>
      </c>
      <c r="BI45" s="904" t="e">
        <f t="shared" si="237"/>
        <v>#VALUE!</v>
      </c>
      <c r="BJ45" s="904">
        <f t="shared" si="237"/>
        <v>458.6553470173813</v>
      </c>
      <c r="BK45" s="904">
        <f t="shared" si="237"/>
        <v>6553.010328585643</v>
      </c>
      <c r="BL45" s="904">
        <f t="shared" si="237"/>
        <v>-547</v>
      </c>
      <c r="BM45" s="904">
        <f t="shared" si="237"/>
        <v>-41.91644243583346</v>
      </c>
      <c r="BN45" s="904">
        <f t="shared" si="237"/>
        <v>-4.3628383882501112</v>
      </c>
      <c r="BO45" s="901"/>
      <c r="BP45" s="902">
        <f t="shared" ref="BP45:CT45" si="240">BP44+BP29</f>
        <v>-73.532404752987418</v>
      </c>
      <c r="BQ45" s="904">
        <f t="shared" si="240"/>
        <v>183.02956773000022</v>
      </c>
      <c r="BR45" s="904">
        <f t="shared" si="240"/>
        <v>286.59980392928907</v>
      </c>
      <c r="BS45" s="904">
        <f t="shared" si="240"/>
        <v>431.53208765933897</v>
      </c>
      <c r="BT45" s="904">
        <f t="shared" si="240"/>
        <v>-296.31949048057368</v>
      </c>
      <c r="BU45" s="904">
        <f t="shared" si="240"/>
        <v>22.950906066857328</v>
      </c>
      <c r="BV45" s="904">
        <f t="shared" si="240"/>
        <v>-76.304057436401195</v>
      </c>
      <c r="BW45" s="904">
        <f t="shared" si="240"/>
        <v>347.12951370362555</v>
      </c>
      <c r="BX45" s="904">
        <f t="shared" si="240"/>
        <v>71.415782237711198</v>
      </c>
      <c r="BY45" s="904">
        <f t="shared" si="240"/>
        <v>-201.49098342794446</v>
      </c>
      <c r="BZ45" s="904">
        <f t="shared" si="240"/>
        <v>272.08315063689719</v>
      </c>
      <c r="CA45" s="904">
        <f t="shared" si="240"/>
        <v>56.673633418048666</v>
      </c>
      <c r="CB45" s="904">
        <f t="shared" si="240"/>
        <v>420.04115054341094</v>
      </c>
      <c r="CC45" s="904">
        <f t="shared" si="240"/>
        <v>230.51492289094466</v>
      </c>
      <c r="CD45" s="904" t="e">
        <f t="shared" ref="CD45" si="241">CD44+CD29</f>
        <v>#VALUE!</v>
      </c>
      <c r="CE45" s="904">
        <f t="shared" si="240"/>
        <v>250.74130044484446</v>
      </c>
      <c r="CF45" s="904">
        <f t="shared" si="240"/>
        <v>-398.20273739561139</v>
      </c>
      <c r="CG45" s="904">
        <f t="shared" si="240"/>
        <v>-415.46886263552801</v>
      </c>
      <c r="CH45" s="904">
        <f t="shared" si="240"/>
        <v>-111.82447789925561</v>
      </c>
      <c r="CI45" s="904" t="e">
        <f t="shared" ref="CI45" si="242">CI44+CI29</f>
        <v>#VALUE!</v>
      </c>
      <c r="CJ45" s="904">
        <f t="shared" si="240"/>
        <v>-94.581297262277872</v>
      </c>
      <c r="CK45" s="904">
        <f t="shared" si="240"/>
        <v>-122.61963059561106</v>
      </c>
      <c r="CL45" s="904" t="e">
        <f t="shared" si="240"/>
        <v>#VALUE!</v>
      </c>
      <c r="CM45" s="904">
        <f t="shared" si="240"/>
        <v>3023.1884404759999</v>
      </c>
      <c r="CN45" s="904">
        <f t="shared" si="240"/>
        <v>10262.036646764405</v>
      </c>
      <c r="CO45" s="904" t="e">
        <f t="shared" si="240"/>
        <v>#VALUE!</v>
      </c>
      <c r="CP45" s="904">
        <f t="shared" si="240"/>
        <v>2501.5671605248094</v>
      </c>
      <c r="CQ45" s="904">
        <f t="shared" si="240"/>
        <v>7914.0067110062146</v>
      </c>
      <c r="CR45" s="904">
        <f>CR44+CR29</f>
        <v>-547</v>
      </c>
      <c r="CS45" s="904">
        <f t="shared" si="240"/>
        <v>-41.91644243583346</v>
      </c>
      <c r="CT45" s="904">
        <f t="shared" si="240"/>
        <v>-4.3628383882501112</v>
      </c>
      <c r="CV45" s="945" t="s">
        <v>798</v>
      </c>
      <c r="CW45" s="915"/>
      <c r="CX45" s="904">
        <f>CX44+CX29</f>
        <v>-174.22671380771669</v>
      </c>
      <c r="CY45" s="904">
        <f>CY44+CY29</f>
        <v>-122.21010412271664</v>
      </c>
      <c r="CZ45" s="904">
        <f t="shared" ref="CZ45:DS45" si="243">CZ44+CZ29</f>
        <v>-172.65863047438347</v>
      </c>
      <c r="DA45" s="904">
        <f t="shared" si="243"/>
        <v>-3.4303207893833587</v>
      </c>
      <c r="DB45" s="904">
        <f t="shared" si="243"/>
        <v>35.44510992653818</v>
      </c>
      <c r="DC45" s="904">
        <f t="shared" si="243"/>
        <v>108.15108769450012</v>
      </c>
      <c r="DD45" s="904">
        <f t="shared" si="243"/>
        <v>192.51561369449973</v>
      </c>
      <c r="DE45" s="904" t="e">
        <f t="shared" si="243"/>
        <v>#N/A</v>
      </c>
      <c r="DF45" s="904">
        <f t="shared" si="243"/>
        <v>-204.70188746112353</v>
      </c>
      <c r="DG45" s="904">
        <f t="shared" si="243"/>
        <v>59.138279549809454</v>
      </c>
      <c r="DH45" s="904">
        <f>DH44+DH29</f>
        <v>-252.52830463717396</v>
      </c>
      <c r="DI45" s="904">
        <f t="shared" si="243"/>
        <v>-141.28402646184918</v>
      </c>
      <c r="DJ45" s="904">
        <f t="shared" si="243"/>
        <v>-15.872700764833098</v>
      </c>
      <c r="DK45" s="904">
        <f t="shared" si="243"/>
        <v>11.295311000333299</v>
      </c>
      <c r="DL45" s="904">
        <f t="shared" si="243"/>
        <v>2.081475593583491</v>
      </c>
      <c r="DM45" s="904">
        <f t="shared" si="243"/>
        <v>265.57793657122215</v>
      </c>
      <c r="DN45" s="904" t="e">
        <f t="shared" si="243"/>
        <v>#N/A</v>
      </c>
      <c r="DO45" s="904" t="e">
        <f t="shared" si="243"/>
        <v>#N/A</v>
      </c>
      <c r="DP45" s="904">
        <f t="shared" si="243"/>
        <v>1469.1490168740479</v>
      </c>
      <c r="DQ45" s="904">
        <f t="shared" ref="DQ45" si="244">DQ44+DQ29</f>
        <v>-88.920256918750056</v>
      </c>
      <c r="DR45" s="904">
        <f t="shared" si="243"/>
        <v>-754.96891041666663</v>
      </c>
      <c r="DS45" s="904">
        <f t="shared" si="243"/>
        <v>-1016.6629929715834</v>
      </c>
      <c r="DT45" s="893"/>
      <c r="DU45" s="904">
        <f>DU44+DU29</f>
        <v>77.314086192283412</v>
      </c>
      <c r="DV45" s="904">
        <f>DV44+DV29</f>
        <v>29.762462543950051</v>
      </c>
      <c r="DW45" s="904">
        <f>DW44+DW29</f>
        <v>36.958702858950005</v>
      </c>
      <c r="DX45" s="904">
        <f>DX44+DX29</f>
        <v>148.54224587728334</v>
      </c>
      <c r="DY45" s="902">
        <f t="shared" ref="DY45:EG45" si="245">DY44+DY29</f>
        <v>-62.74247755944441</v>
      </c>
      <c r="DZ45" s="904">
        <f t="shared" si="245"/>
        <v>421.9150428208556</v>
      </c>
      <c r="EA45" s="904">
        <f t="shared" si="245"/>
        <v>542.49441082085536</v>
      </c>
      <c r="EB45" s="904" t="e">
        <f t="shared" si="245"/>
        <v>#N/A</v>
      </c>
      <c r="EC45" s="904">
        <f t="shared" si="245"/>
        <v>-6.4799456069818007</v>
      </c>
      <c r="ED45" s="904">
        <f t="shared" si="245"/>
        <v>368.50876550429876</v>
      </c>
      <c r="EE45" s="904">
        <f>EE44+EE29</f>
        <v>-130.16589627364851</v>
      </c>
      <c r="EF45" s="904">
        <f t="shared" si="245"/>
        <v>556.96242364973602</v>
      </c>
      <c r="EG45" s="904">
        <f t="shared" si="245"/>
        <v>336.5369657131115</v>
      </c>
      <c r="EH45" s="904">
        <f t="shared" ref="EH45:EM45" si="246">EH44+EH29</f>
        <v>317.99735825436119</v>
      </c>
      <c r="EI45" s="904">
        <f t="shared" si="246"/>
        <v>295.12643951427793</v>
      </c>
      <c r="EJ45" s="904">
        <f t="shared" si="246"/>
        <v>617.25988937444413</v>
      </c>
      <c r="EK45" s="904" t="e">
        <f t="shared" si="246"/>
        <v>#N/A</v>
      </c>
      <c r="EL45" s="904" t="e">
        <f t="shared" si="246"/>
        <v>#N/A</v>
      </c>
      <c r="EM45" s="904">
        <f t="shared" si="246"/>
        <v>3982.8726814621441</v>
      </c>
      <c r="EN45" s="904">
        <f t="shared" ref="EN45" si="247">EN44+EN29</f>
        <v>170.61548921780559</v>
      </c>
      <c r="EO45" s="904">
        <f>EO44+EO29</f>
        <v>-754.96891041666663</v>
      </c>
      <c r="EP45" s="904">
        <f>EP44+EP29</f>
        <v>-1016.6629929715834</v>
      </c>
      <c r="EQ45" s="893"/>
      <c r="ER45" s="904">
        <f>ER44+ER29</f>
        <v>245.00795285895003</v>
      </c>
      <c r="ES45" s="904">
        <f>ES44+ES29</f>
        <v>181.73502921061674</v>
      </c>
      <c r="ET45" s="904">
        <f>ET44+ET29</f>
        <v>246.57603619228337</v>
      </c>
      <c r="EU45" s="904">
        <f>EU44+EU29</f>
        <v>224.52852921061663</v>
      </c>
      <c r="EV45" s="902">
        <f t="shared" ref="EV45:FD45" si="248">EV44+EV29</f>
        <v>831.64949617365369</v>
      </c>
      <c r="EW45" s="904">
        <f t="shared" si="248"/>
        <v>1049.4429530735672</v>
      </c>
      <c r="EX45" s="904">
        <f t="shared" si="248"/>
        <v>717.48380938403375</v>
      </c>
      <c r="EY45" s="904" t="e">
        <f t="shared" si="248"/>
        <v>#N/A</v>
      </c>
      <c r="EZ45" s="904">
        <f t="shared" si="248"/>
        <v>184.69560818604043</v>
      </c>
      <c r="FA45" s="904">
        <f t="shared" si="248"/>
        <v>670.84121111074307</v>
      </c>
      <c r="FB45" s="904">
        <f>FB44+FB29</f>
        <v>79.811586519373577</v>
      </c>
      <c r="FC45" s="904">
        <f t="shared" si="248"/>
        <v>528.72909031640233</v>
      </c>
      <c r="FD45" s="904">
        <f t="shared" si="248"/>
        <v>671.30079885772261</v>
      </c>
      <c r="FE45" s="904">
        <f t="shared" ref="FE45:FJ45" si="249">FE44+FE29</f>
        <v>624.69940550838874</v>
      </c>
      <c r="FF45" s="904">
        <f t="shared" si="249"/>
        <v>577.47323270747233</v>
      </c>
      <c r="FG45" s="904">
        <f t="shared" si="249"/>
        <v>924.97691937674972</v>
      </c>
      <c r="FH45" s="904" t="e">
        <f t="shared" si="249"/>
        <v>#N/A</v>
      </c>
      <c r="FI45" s="904" t="e">
        <f t="shared" si="249"/>
        <v>#N/A</v>
      </c>
      <c r="FJ45" s="904">
        <f t="shared" si="249"/>
        <v>6496.5963460502362</v>
      </c>
      <c r="FK45" s="904">
        <f t="shared" ref="FK45" si="250">FK44+FK29</f>
        <v>430.15123535436101</v>
      </c>
      <c r="FL45" s="904">
        <f>FL44+FL29</f>
        <v>-754.96891041666663</v>
      </c>
      <c r="FM45" s="904">
        <f>FM44+FM29</f>
        <v>-1016.6629929715834</v>
      </c>
    </row>
    <row r="46" spans="1:169" ht="16.2" customHeight="1">
      <c r="A46" s="899">
        <f>ROWS($A$1:A46)</f>
        <v>46</v>
      </c>
      <c r="B46" s="945" t="s">
        <v>797</v>
      </c>
      <c r="C46" s="915"/>
      <c r="D46" s="943">
        <f>D45+D28</f>
        <v>-64.438313936879013</v>
      </c>
      <c r="E46" s="943">
        <f t="shared" ref="E46:AH46" si="251">E45+E28</f>
        <v>14.080024363000121</v>
      </c>
      <c r="F46" s="943">
        <f t="shared" si="251"/>
        <v>38.095115890188026</v>
      </c>
      <c r="G46" s="943">
        <f t="shared" si="251"/>
        <v>108.75451279488448</v>
      </c>
      <c r="H46" s="943">
        <f t="shared" si="251"/>
        <v>-235.01468160160425</v>
      </c>
      <c r="I46" s="943">
        <f t="shared" si="251"/>
        <v>-75.148992742632345</v>
      </c>
      <c r="J46" s="943">
        <f t="shared" si="251"/>
        <v>-119.56812577980077</v>
      </c>
      <c r="K46" s="943">
        <f t="shared" si="251"/>
        <v>86.885006904215516</v>
      </c>
      <c r="L46" s="943">
        <f t="shared" si="251"/>
        <v>-48.341332006306743</v>
      </c>
      <c r="M46" s="943">
        <f t="shared" si="251"/>
        <v>-219.07233473903329</v>
      </c>
      <c r="N46" s="943">
        <f t="shared" si="251"/>
        <v>184.25842991610818</v>
      </c>
      <c r="O46" s="943">
        <f t="shared" si="251"/>
        <v>10.58425455922918</v>
      </c>
      <c r="P46" s="943">
        <f t="shared" si="251"/>
        <v>110.1527431815133</v>
      </c>
      <c r="Q46" s="943">
        <f t="shared" si="251"/>
        <v>10.42779241936671</v>
      </c>
      <c r="R46" s="943" t="e">
        <f t="shared" ref="R46" si="252">R45+R28</f>
        <v>#VALUE!</v>
      </c>
      <c r="S46" s="943">
        <f t="shared" si="251"/>
        <v>35.934504196833359</v>
      </c>
      <c r="T46" s="943">
        <f t="shared" si="251"/>
        <v>-331.39351500886687</v>
      </c>
      <c r="U46" s="943">
        <f t="shared" si="251"/>
        <v>-337.69205089358366</v>
      </c>
      <c r="V46" s="943">
        <f t="shared" si="251"/>
        <v>-239.09548074827808</v>
      </c>
      <c r="W46" s="943" t="e">
        <f t="shared" ref="W46" si="253">W45+W28</f>
        <v>#VALUE!</v>
      </c>
      <c r="X46" s="943">
        <f t="shared" si="251"/>
        <v>-327.65975741494458</v>
      </c>
      <c r="Y46" s="943">
        <f t="shared" si="251"/>
        <v>-339.86325741494466</v>
      </c>
      <c r="Z46" s="943" t="e">
        <f t="shared" si="251"/>
        <v>#VALUE!</v>
      </c>
      <c r="AA46" s="943">
        <f t="shared" si="251"/>
        <v>1128.3805206964996</v>
      </c>
      <c r="AB46" s="943">
        <f t="shared" si="251"/>
        <v>2475.9276645849773</v>
      </c>
      <c r="AC46" s="943" t="e">
        <f t="shared" si="251"/>
        <v>#VALUE!</v>
      </c>
      <c r="AD46" s="943">
        <f t="shared" si="251"/>
        <v>-98.219716490047745</v>
      </c>
      <c r="AE46" s="943">
        <f t="shared" si="251"/>
        <v>5495.946285414976</v>
      </c>
      <c r="AF46" s="943">
        <f t="shared" si="251"/>
        <v>-195</v>
      </c>
      <c r="AG46" s="943">
        <f t="shared" si="251"/>
        <v>310.08355756416654</v>
      </c>
      <c r="AH46" s="943">
        <f t="shared" si="251"/>
        <v>-4.3628383882499975</v>
      </c>
      <c r="AI46" s="901"/>
      <c r="AJ46" s="944">
        <f t="shared" ref="AJ46:BN46" si="254">AJ45+AJ28</f>
        <v>183.16618015741665</v>
      </c>
      <c r="AK46" s="943">
        <f t="shared" si="254"/>
        <v>267.53952000483321</v>
      </c>
      <c r="AL46" s="943">
        <f t="shared" si="254"/>
        <v>338.4331223228686</v>
      </c>
      <c r="AM46" s="943">
        <f t="shared" si="254"/>
        <v>448.45462930690877</v>
      </c>
      <c r="AN46" s="943">
        <f t="shared" si="254"/>
        <v>-72.172503794605404</v>
      </c>
      <c r="AO46" s="943">
        <f t="shared" si="254"/>
        <v>154.67297023957906</v>
      </c>
      <c r="AP46" s="943">
        <f t="shared" si="254"/>
        <v>112.00227196936578</v>
      </c>
      <c r="AQ46" s="943">
        <f t="shared" si="254"/>
        <v>377.77967172645407</v>
      </c>
      <c r="AR46" s="943">
        <f t="shared" si="254"/>
        <v>131.48397511570238</v>
      </c>
      <c r="AS46" s="943">
        <f t="shared" si="254"/>
        <v>-34.281659083489103</v>
      </c>
      <c r="AT46" s="943">
        <f t="shared" si="254"/>
        <v>404.17079027650271</v>
      </c>
      <c r="AU46" s="943">
        <f t="shared" si="254"/>
        <v>200.70378939330544</v>
      </c>
      <c r="AV46" s="943">
        <f t="shared" si="254"/>
        <v>441.09694686246223</v>
      </c>
      <c r="AW46" s="943">
        <f t="shared" si="254"/>
        <v>296.47135765515566</v>
      </c>
      <c r="AX46" s="943" t="e">
        <f t="shared" ref="AX46" si="255">AX45+AX28</f>
        <v>#VALUE!</v>
      </c>
      <c r="AY46" s="943">
        <f t="shared" si="254"/>
        <v>301.22315031848859</v>
      </c>
      <c r="AZ46" s="943">
        <f t="shared" si="254"/>
        <v>-206.86623981248886</v>
      </c>
      <c r="BA46" s="943">
        <f t="shared" si="254"/>
        <v>-200.58045676455572</v>
      </c>
      <c r="BB46" s="943">
        <f t="shared" si="254"/>
        <v>0.5400206762333255</v>
      </c>
      <c r="BC46" s="943" t="e">
        <f t="shared" ref="BC46" si="256">BC45+BC28</f>
        <v>#VALUE!</v>
      </c>
      <c r="BD46" s="943">
        <f t="shared" si="254"/>
        <v>-21.003860671944381</v>
      </c>
      <c r="BE46" s="943">
        <f t="shared" si="254"/>
        <v>-43.595194005277676</v>
      </c>
      <c r="BF46" s="943" t="e">
        <f t="shared" si="254"/>
        <v>#VALUE!</v>
      </c>
      <c r="BG46" s="943">
        <f t="shared" si="254"/>
        <v>2448.3421251965001</v>
      </c>
      <c r="BH46" s="943">
        <f t="shared" si="254"/>
        <v>6544.9821556746901</v>
      </c>
      <c r="BI46" s="943" t="e">
        <f t="shared" si="254"/>
        <v>#VALUE!</v>
      </c>
      <c r="BJ46" s="943">
        <f t="shared" si="254"/>
        <v>810.65534701738125</v>
      </c>
      <c r="BK46" s="943">
        <f t="shared" si="254"/>
        <v>6905.010328585643</v>
      </c>
      <c r="BL46" s="943">
        <f t="shared" si="254"/>
        <v>-195</v>
      </c>
      <c r="BM46" s="943">
        <f t="shared" si="254"/>
        <v>310.08355756416654</v>
      </c>
      <c r="BN46" s="943">
        <f t="shared" si="254"/>
        <v>-4.3628383882501112</v>
      </c>
      <c r="BO46" s="901"/>
      <c r="BP46" s="944">
        <f t="shared" ref="BP46:CT46" si="257">BP45+BP28</f>
        <v>278.46759524701258</v>
      </c>
      <c r="BQ46" s="943">
        <f t="shared" si="257"/>
        <v>535.02956773000028</v>
      </c>
      <c r="BR46" s="943">
        <f t="shared" si="257"/>
        <v>638.59980392928901</v>
      </c>
      <c r="BS46" s="943">
        <f t="shared" si="257"/>
        <v>783.53208765933891</v>
      </c>
      <c r="BT46" s="943">
        <f t="shared" si="257"/>
        <v>55.680509519426323</v>
      </c>
      <c r="BU46" s="943">
        <f t="shared" si="257"/>
        <v>374.95090606685733</v>
      </c>
      <c r="BV46" s="943">
        <f t="shared" si="257"/>
        <v>275.69594256359881</v>
      </c>
      <c r="BW46" s="943">
        <f t="shared" si="257"/>
        <v>699.12951370362555</v>
      </c>
      <c r="BX46" s="943">
        <f t="shared" si="257"/>
        <v>423.4157822377112</v>
      </c>
      <c r="BY46" s="943">
        <f t="shared" si="257"/>
        <v>150.50901657205554</v>
      </c>
      <c r="BZ46" s="943">
        <f t="shared" si="257"/>
        <v>624.08315063689724</v>
      </c>
      <c r="CA46" s="943">
        <f t="shared" si="257"/>
        <v>408.67363341804867</v>
      </c>
      <c r="CB46" s="943">
        <f t="shared" si="257"/>
        <v>772.04115054341094</v>
      </c>
      <c r="CC46" s="943">
        <f t="shared" si="257"/>
        <v>582.51492289094472</v>
      </c>
      <c r="CD46" s="943" t="e">
        <f t="shared" ref="CD46" si="258">CD45+CD28</f>
        <v>#VALUE!</v>
      </c>
      <c r="CE46" s="943">
        <f t="shared" si="257"/>
        <v>602.74130044484446</v>
      </c>
      <c r="CF46" s="943">
        <f t="shared" si="257"/>
        <v>-46.202737395611393</v>
      </c>
      <c r="CG46" s="943">
        <f t="shared" si="257"/>
        <v>-63.468862635528012</v>
      </c>
      <c r="CH46" s="943">
        <f t="shared" si="257"/>
        <v>240.17552210074439</v>
      </c>
      <c r="CI46" s="943" t="e">
        <f t="shared" ref="CI46" si="259">CI45+CI28</f>
        <v>#VALUE!</v>
      </c>
      <c r="CJ46" s="943">
        <f t="shared" si="257"/>
        <v>257.41870273772213</v>
      </c>
      <c r="CK46" s="943">
        <f t="shared" si="257"/>
        <v>229.38036940438894</v>
      </c>
      <c r="CL46" s="943" t="e">
        <f t="shared" si="257"/>
        <v>#VALUE!</v>
      </c>
      <c r="CM46" s="943">
        <f t="shared" si="257"/>
        <v>3375.1884404759999</v>
      </c>
      <c r="CN46" s="943">
        <f t="shared" si="257"/>
        <v>10614.036646764405</v>
      </c>
      <c r="CO46" s="943" t="e">
        <f t="shared" si="257"/>
        <v>#VALUE!</v>
      </c>
      <c r="CP46" s="943">
        <f t="shared" si="257"/>
        <v>2853.5671605248094</v>
      </c>
      <c r="CQ46" s="943">
        <f t="shared" si="257"/>
        <v>8266.0067110062155</v>
      </c>
      <c r="CR46" s="943">
        <f>CR45+CR28</f>
        <v>-195</v>
      </c>
      <c r="CS46" s="943">
        <f t="shared" si="257"/>
        <v>310.08355756416654</v>
      </c>
      <c r="CT46" s="943">
        <f t="shared" si="257"/>
        <v>-4.3628383882501112</v>
      </c>
      <c r="CV46" s="945" t="s">
        <v>797</v>
      </c>
      <c r="CW46" s="915"/>
      <c r="CX46" s="943">
        <f>CX45+CX28</f>
        <v>132.77328619228331</v>
      </c>
      <c r="CY46" s="943">
        <f t="shared" ref="CY46:DS46" si="260">CY45+CY28</f>
        <v>184.78989587728336</v>
      </c>
      <c r="CZ46" s="943">
        <f t="shared" si="260"/>
        <v>134.34136952561653</v>
      </c>
      <c r="DA46" s="943">
        <f t="shared" si="260"/>
        <v>303.56967921061664</v>
      </c>
      <c r="DB46" s="943">
        <f t="shared" si="260"/>
        <v>35.44510992653818</v>
      </c>
      <c r="DC46" s="943">
        <f t="shared" si="260"/>
        <v>415.15108769450012</v>
      </c>
      <c r="DD46" s="943">
        <f t="shared" si="260"/>
        <v>499.51561369449973</v>
      </c>
      <c r="DE46" s="943" t="e">
        <f t="shared" si="260"/>
        <v>#N/A</v>
      </c>
      <c r="DF46" s="943">
        <f t="shared" si="260"/>
        <v>102.29811253887647</v>
      </c>
      <c r="DG46" s="943">
        <f t="shared" si="260"/>
        <v>366.13827954980945</v>
      </c>
      <c r="DH46" s="943">
        <f>DH45+DH28</f>
        <v>54.47169536282604</v>
      </c>
      <c r="DI46" s="943">
        <f t="shared" si="260"/>
        <v>165.71597353815082</v>
      </c>
      <c r="DJ46" s="943">
        <f t="shared" si="260"/>
        <v>291.1272992351669</v>
      </c>
      <c r="DK46" s="943">
        <f t="shared" si="260"/>
        <v>318.2953110003333</v>
      </c>
      <c r="DL46" s="943">
        <f t="shared" si="260"/>
        <v>309.08147559358349</v>
      </c>
      <c r="DM46" s="943">
        <f t="shared" si="260"/>
        <v>572.57793657122215</v>
      </c>
      <c r="DN46" s="943" t="e">
        <f t="shared" si="260"/>
        <v>#N/A</v>
      </c>
      <c r="DO46" s="943" t="e">
        <f t="shared" si="260"/>
        <v>#N/A</v>
      </c>
      <c r="DP46" s="943">
        <f t="shared" si="260"/>
        <v>1776.1490168740479</v>
      </c>
      <c r="DQ46" s="943">
        <f t="shared" ref="DQ46" si="261">DQ45+DQ28</f>
        <v>218.07974308124994</v>
      </c>
      <c r="DR46" s="943">
        <f t="shared" si="260"/>
        <v>-447.96891041666663</v>
      </c>
      <c r="DS46" s="943">
        <f t="shared" si="260"/>
        <v>-709.66299297158344</v>
      </c>
      <c r="DT46" s="893"/>
      <c r="DU46" s="943">
        <f>DU45+DU28</f>
        <v>384.31408619228341</v>
      </c>
      <c r="DV46" s="943">
        <f>DV45+DV28</f>
        <v>336.76246254395005</v>
      </c>
      <c r="DW46" s="943">
        <f>DW45+DW28</f>
        <v>343.95870285895001</v>
      </c>
      <c r="DX46" s="943">
        <f>DX45+DX28</f>
        <v>455.54224587728334</v>
      </c>
      <c r="DY46" s="944">
        <f t="shared" ref="DY46:EG46" si="262">DY45+DY28</f>
        <v>244.25752244055559</v>
      </c>
      <c r="DZ46" s="943">
        <f t="shared" si="262"/>
        <v>728.91504282085566</v>
      </c>
      <c r="EA46" s="943">
        <f t="shared" si="262"/>
        <v>849.49441082085536</v>
      </c>
      <c r="EB46" s="943" t="e">
        <f t="shared" si="262"/>
        <v>#N/A</v>
      </c>
      <c r="EC46" s="943">
        <f t="shared" si="262"/>
        <v>300.5200543930182</v>
      </c>
      <c r="ED46" s="943">
        <f t="shared" si="262"/>
        <v>675.50876550429871</v>
      </c>
      <c r="EE46" s="943">
        <f>EE45+EE28</f>
        <v>176.83410372635149</v>
      </c>
      <c r="EF46" s="943">
        <f t="shared" si="262"/>
        <v>863.96242364973602</v>
      </c>
      <c r="EG46" s="943">
        <f t="shared" si="262"/>
        <v>643.5369657131115</v>
      </c>
      <c r="EH46" s="943">
        <f t="shared" ref="EH46:EM46" si="263">EH45+EH28</f>
        <v>624.99735825436119</v>
      </c>
      <c r="EI46" s="943">
        <f t="shared" si="263"/>
        <v>602.12643951427799</v>
      </c>
      <c r="EJ46" s="943">
        <f t="shared" si="263"/>
        <v>924.25988937444413</v>
      </c>
      <c r="EK46" s="943" t="e">
        <f t="shared" si="263"/>
        <v>#N/A</v>
      </c>
      <c r="EL46" s="943" t="e">
        <f t="shared" si="263"/>
        <v>#N/A</v>
      </c>
      <c r="EM46" s="943">
        <f t="shared" si="263"/>
        <v>4289.8726814621441</v>
      </c>
      <c r="EN46" s="943">
        <f t="shared" ref="EN46" si="264">EN45+EN28</f>
        <v>477.61548921780559</v>
      </c>
      <c r="EO46" s="943">
        <f>EO45+EO28</f>
        <v>-447.96891041666663</v>
      </c>
      <c r="EP46" s="943">
        <f>EP45+EP28</f>
        <v>-709.66299297158344</v>
      </c>
      <c r="EQ46" s="893"/>
      <c r="ER46" s="943">
        <f>ER45+ER28</f>
        <v>552.00795285895003</v>
      </c>
      <c r="ES46" s="943">
        <f>ES45+ES28</f>
        <v>488.73502921061674</v>
      </c>
      <c r="ET46" s="943">
        <f>ET45+ET28</f>
        <v>553.57603619228337</v>
      </c>
      <c r="EU46" s="943">
        <f>EU45+EU28</f>
        <v>531.52852921061663</v>
      </c>
      <c r="EV46" s="944">
        <f t="shared" ref="EV46:FD46" si="265">EV45+EV28</f>
        <v>831.64949617365369</v>
      </c>
      <c r="EW46" s="943">
        <f t="shared" si="265"/>
        <v>1356.4429530735672</v>
      </c>
      <c r="EX46" s="943">
        <f t="shared" si="265"/>
        <v>1024.4838093840337</v>
      </c>
      <c r="EY46" s="943" t="e">
        <f t="shared" si="265"/>
        <v>#N/A</v>
      </c>
      <c r="EZ46" s="943">
        <f t="shared" si="265"/>
        <v>491.69560818604043</v>
      </c>
      <c r="FA46" s="943">
        <f t="shared" si="265"/>
        <v>977.84121111074307</v>
      </c>
      <c r="FB46" s="943">
        <f>FB45+FB28</f>
        <v>386.81158651937358</v>
      </c>
      <c r="FC46" s="943">
        <f t="shared" si="265"/>
        <v>835.72909031640233</v>
      </c>
      <c r="FD46" s="943">
        <f t="shared" si="265"/>
        <v>978.30079885772261</v>
      </c>
      <c r="FE46" s="943">
        <f t="shared" ref="FE46:FJ46" si="266">FE45+FE28</f>
        <v>931.69940550838874</v>
      </c>
      <c r="FF46" s="943">
        <f t="shared" si="266"/>
        <v>884.47323270747233</v>
      </c>
      <c r="FG46" s="943">
        <f t="shared" si="266"/>
        <v>1231.9769193767497</v>
      </c>
      <c r="FH46" s="943" t="e">
        <f t="shared" si="266"/>
        <v>#N/A</v>
      </c>
      <c r="FI46" s="943" t="e">
        <f t="shared" si="266"/>
        <v>#N/A</v>
      </c>
      <c r="FJ46" s="943">
        <f t="shared" si="266"/>
        <v>6803.5963460502362</v>
      </c>
      <c r="FK46" s="943">
        <f t="shared" ref="FK46" si="267">FK45+FK28</f>
        <v>737.15123535436101</v>
      </c>
      <c r="FL46" s="943">
        <f>FL45+FL28</f>
        <v>-447.96891041666663</v>
      </c>
      <c r="FM46" s="943">
        <f>FM45+FM28</f>
        <v>-709.66299297158344</v>
      </c>
    </row>
    <row r="47" spans="1:169" ht="18" customHeight="1">
      <c r="A47" s="899">
        <f>ROWS($A$1:A47)</f>
        <v>47</v>
      </c>
      <c r="B47" s="942" t="s">
        <v>796</v>
      </c>
      <c r="C47" s="941" t="s">
        <v>163</v>
      </c>
      <c r="D47" s="939">
        <f t="shared" ref="D47:AH47" si="268">D15+D16+D17+D28+D32</f>
        <v>1037.2079532324999</v>
      </c>
      <c r="E47" s="939">
        <f t="shared" si="268"/>
        <v>1049.9606245999998</v>
      </c>
      <c r="F47" s="939">
        <f t="shared" si="268"/>
        <v>1061.2988989553332</v>
      </c>
      <c r="G47" s="939">
        <f t="shared" si="268"/>
        <v>1049.0126591813332</v>
      </c>
      <c r="H47" s="939">
        <f t="shared" si="268"/>
        <v>975.62985763749998</v>
      </c>
      <c r="I47" s="939">
        <f t="shared" si="268"/>
        <v>1034.46137090705</v>
      </c>
      <c r="J47" s="939">
        <f t="shared" si="268"/>
        <v>1009.4745987115</v>
      </c>
      <c r="K47" s="939">
        <f t="shared" si="268"/>
        <v>1010.9569564044</v>
      </c>
      <c r="L47" s="939">
        <f t="shared" si="268"/>
        <v>976.42118546079996</v>
      </c>
      <c r="M47" s="939">
        <f t="shared" si="268"/>
        <v>973.31716420399994</v>
      </c>
      <c r="N47" s="939">
        <f t="shared" si="268"/>
        <v>967.43791082699988</v>
      </c>
      <c r="O47" s="939">
        <f t="shared" si="268"/>
        <v>1001.7950677925</v>
      </c>
      <c r="P47" s="939">
        <f t="shared" si="268"/>
        <v>1015.0359707704</v>
      </c>
      <c r="Q47" s="939">
        <f t="shared" si="268"/>
        <v>850.17841495599987</v>
      </c>
      <c r="R47" s="939">
        <f t="shared" ref="R47" si="269">R15+R16+R17+R28+R32</f>
        <v>814.78211203333331</v>
      </c>
      <c r="S47" s="939">
        <f t="shared" si="268"/>
        <v>854.79035169999997</v>
      </c>
      <c r="T47" s="939">
        <f t="shared" si="268"/>
        <v>840.77604298400001</v>
      </c>
      <c r="U47" s="939">
        <f t="shared" si="268"/>
        <v>872.39883663000001</v>
      </c>
      <c r="V47" s="939">
        <f t="shared" si="268"/>
        <v>814.01985859333331</v>
      </c>
      <c r="W47" s="939">
        <f t="shared" ref="W47" si="270">W15+W16+W17+W28+W32</f>
        <v>850.14998298</v>
      </c>
      <c r="X47" s="939">
        <f t="shared" si="268"/>
        <v>814.01985859333331</v>
      </c>
      <c r="Y47" s="939">
        <f t="shared" si="268"/>
        <v>814.01985859333331</v>
      </c>
      <c r="Z47" s="939">
        <f t="shared" si="268"/>
        <v>810.67621456666666</v>
      </c>
      <c r="AA47" s="939">
        <f t="shared" si="268"/>
        <v>1188.1176940199998</v>
      </c>
      <c r="AB47" s="939">
        <f t="shared" si="268"/>
        <v>4765.350626031428</v>
      </c>
      <c r="AC47" s="939">
        <f t="shared" si="268"/>
        <v>7715.939322485714</v>
      </c>
      <c r="AD47" s="939">
        <f t="shared" si="268"/>
        <v>5328.6081072628567</v>
      </c>
      <c r="AE47" s="939">
        <f t="shared" si="268"/>
        <v>5702.9321384314289</v>
      </c>
      <c r="AF47" s="939">
        <f t="shared" si="268"/>
        <v>352</v>
      </c>
      <c r="AG47" s="939">
        <f t="shared" si="268"/>
        <v>595.56473630000005</v>
      </c>
      <c r="AH47" s="939">
        <f t="shared" si="268"/>
        <v>217.48959179000002</v>
      </c>
      <c r="AI47" s="948"/>
      <c r="AJ47" s="940">
        <f t="shared" ref="AJ47:BN47" si="271">AJ15+AJ16+AJ17+AJ28+AJ32</f>
        <v>1129.76667365</v>
      </c>
      <c r="AK47" s="939">
        <f t="shared" si="271"/>
        <v>1137.0615453</v>
      </c>
      <c r="AL47" s="939">
        <f t="shared" si="271"/>
        <v>1144.9346823826668</v>
      </c>
      <c r="AM47" s="939">
        <f t="shared" si="271"/>
        <v>1128.5530293506667</v>
      </c>
      <c r="AN47" s="939">
        <f t="shared" si="271"/>
        <v>1033.3078118233334</v>
      </c>
      <c r="AO47" s="939">
        <f t="shared" si="271"/>
        <v>1111.7498295160667</v>
      </c>
      <c r="AP47" s="939">
        <f t="shared" si="271"/>
        <v>1073.5797881686667</v>
      </c>
      <c r="AQ47" s="939">
        <f t="shared" si="271"/>
        <v>1085.0566543725333</v>
      </c>
      <c r="AR47" s="939">
        <f t="shared" si="271"/>
        <v>1034.3629155877334</v>
      </c>
      <c r="AS47" s="939">
        <f t="shared" si="271"/>
        <v>1030.2242205786667</v>
      </c>
      <c r="AT47" s="939">
        <f t="shared" si="271"/>
        <v>1004.0694476596666</v>
      </c>
      <c r="AU47" s="939">
        <f t="shared" si="271"/>
        <v>1080.8619444033334</v>
      </c>
      <c r="AV47" s="939">
        <f t="shared" si="271"/>
        <v>1069.8736796405333</v>
      </c>
      <c r="AW47" s="939">
        <f t="shared" si="271"/>
        <v>858.37034282133334</v>
      </c>
      <c r="AX47" s="939">
        <f t="shared" ref="AX47" si="272">AX15+AX16+AX17+AX28+AX32</f>
        <v>818.12575605999996</v>
      </c>
      <c r="AY47" s="939">
        <f t="shared" si="271"/>
        <v>872.69703098666662</v>
      </c>
      <c r="AZ47" s="939">
        <f t="shared" si="271"/>
        <v>857.17808245866661</v>
      </c>
      <c r="BA47" s="939">
        <f t="shared" si="271"/>
        <v>874.48861414666658</v>
      </c>
      <c r="BB47" s="939">
        <f t="shared" si="271"/>
        <v>816.36040941199997</v>
      </c>
      <c r="BC47" s="939">
        <f t="shared" ref="BC47" si="273">BC15+BC16+BC17+BC28+BC32</f>
        <v>851.82180499333333</v>
      </c>
      <c r="BD47" s="939">
        <f t="shared" si="271"/>
        <v>819.0353246333334</v>
      </c>
      <c r="BE47" s="939">
        <f t="shared" si="271"/>
        <v>819.0353246333334</v>
      </c>
      <c r="BF47" s="939">
        <f t="shared" si="271"/>
        <v>815.69168060666675</v>
      </c>
      <c r="BG47" s="939">
        <f t="shared" si="271"/>
        <v>1188.1176940199998</v>
      </c>
      <c r="BH47" s="939">
        <f t="shared" si="271"/>
        <v>4826.5203580085717</v>
      </c>
      <c r="BI47" s="939">
        <f t="shared" si="271"/>
        <v>7750.5453409400006</v>
      </c>
      <c r="BJ47" s="939">
        <f t="shared" si="271"/>
        <v>5399.8206310571431</v>
      </c>
      <c r="BK47" s="939">
        <f t="shared" si="271"/>
        <v>5741.2773435514282</v>
      </c>
      <c r="BL47" s="939">
        <f t="shared" si="271"/>
        <v>352</v>
      </c>
      <c r="BM47" s="939">
        <f t="shared" si="271"/>
        <v>595.56473630000005</v>
      </c>
      <c r="BN47" s="939">
        <f t="shared" si="271"/>
        <v>217.48959179000002</v>
      </c>
      <c r="BO47" s="948"/>
      <c r="BP47" s="940">
        <f t="shared" ref="BP47:CT47" si="274">BP15+BP16+BP17+BP28+BP32</f>
        <v>1236.8884293275</v>
      </c>
      <c r="BQ47" s="939">
        <f t="shared" si="274"/>
        <v>1224.162466</v>
      </c>
      <c r="BR47" s="939">
        <f t="shared" si="274"/>
        <v>1233.1679763466666</v>
      </c>
      <c r="BS47" s="939">
        <f t="shared" si="274"/>
        <v>1212.6909100566666</v>
      </c>
      <c r="BT47" s="939">
        <f t="shared" si="274"/>
        <v>1115.0491905491667</v>
      </c>
      <c r="BU47" s="939">
        <f t="shared" si="274"/>
        <v>1198.5386774050833</v>
      </c>
      <c r="BV47" s="939">
        <f t="shared" si="274"/>
        <v>1147.1853669058332</v>
      </c>
      <c r="BW47" s="939">
        <f t="shared" si="274"/>
        <v>1149.6559630606666</v>
      </c>
      <c r="BX47" s="939">
        <f t="shared" si="274"/>
        <v>1092.3046457146665</v>
      </c>
      <c r="BY47" s="939">
        <f t="shared" si="274"/>
        <v>1087.1312769533333</v>
      </c>
      <c r="BZ47" s="939">
        <f t="shared" si="274"/>
        <v>1040.7009844923332</v>
      </c>
      <c r="CA47" s="939">
        <f t="shared" si="274"/>
        <v>1150.4284317341667</v>
      </c>
      <c r="CB47" s="939">
        <f t="shared" si="274"/>
        <v>1124.7113885106667</v>
      </c>
      <c r="CC47" s="939">
        <f t="shared" si="274"/>
        <v>866.56227068666658</v>
      </c>
      <c r="CD47" s="939">
        <f t="shared" ref="CD47" si="275">CD15+CD16+CD17+CD28+CD32</f>
        <v>821.46940008666672</v>
      </c>
      <c r="CE47" s="939">
        <f t="shared" si="274"/>
        <v>876.04067501333327</v>
      </c>
      <c r="CF47" s="939">
        <f t="shared" si="274"/>
        <v>859.01708667333332</v>
      </c>
      <c r="CG47" s="939">
        <f t="shared" si="274"/>
        <v>876.57839166333326</v>
      </c>
      <c r="CH47" s="939">
        <f t="shared" si="274"/>
        <v>818.70096023066674</v>
      </c>
      <c r="CI47" s="939">
        <f t="shared" ref="CI47" si="276">CI15+CI16+CI17+CI28+CI32</f>
        <v>853.49362700666666</v>
      </c>
      <c r="CJ47" s="939">
        <f t="shared" si="274"/>
        <v>824.05079067333338</v>
      </c>
      <c r="CK47" s="939">
        <f t="shared" si="274"/>
        <v>824.05079067333338</v>
      </c>
      <c r="CL47" s="939">
        <f t="shared" si="274"/>
        <v>820.70714664666662</v>
      </c>
      <c r="CM47" s="939">
        <f t="shared" si="274"/>
        <v>1202.6807292799999</v>
      </c>
      <c r="CN47" s="939">
        <f t="shared" si="274"/>
        <v>4887.6900899857146</v>
      </c>
      <c r="CO47" s="939">
        <f t="shared" si="274"/>
        <v>7807.2374299142857</v>
      </c>
      <c r="CP47" s="939">
        <f t="shared" si="274"/>
        <v>5471.0331548514287</v>
      </c>
      <c r="CQ47" s="939">
        <f t="shared" si="274"/>
        <v>5778.7095675971432</v>
      </c>
      <c r="CR47" s="939">
        <f>CR15+CR16+CR17+CR28+CR32</f>
        <v>352</v>
      </c>
      <c r="CS47" s="939">
        <f t="shared" si="274"/>
        <v>595.56473630000005</v>
      </c>
      <c r="CT47" s="939">
        <f t="shared" si="274"/>
        <v>217.48959179000002</v>
      </c>
      <c r="CV47" s="942" t="s">
        <v>796</v>
      </c>
      <c r="CW47" s="941" t="s">
        <v>163</v>
      </c>
      <c r="CX47" s="939">
        <f>CX15+CX16+CX17+CX28+CX32</f>
        <v>711.83489009000004</v>
      </c>
      <c r="CY47" s="939">
        <f>CY15+CY16+CY17+CY28+CY32</f>
        <v>598.35031708999998</v>
      </c>
      <c r="CZ47" s="939">
        <f>CZ15+CZ16+CZ17+CZ28+CZ32</f>
        <v>711.83489009000004</v>
      </c>
      <c r="DA47" s="939">
        <f>DA15+DA16+DA17+DA28+DA32</f>
        <v>598.35031708999998</v>
      </c>
      <c r="DB47" s="939">
        <f t="shared" ref="DB47:DJ47" si="277">DB15+DB16+DB17+DB28+DB32</f>
        <v>556.46377503142855</v>
      </c>
      <c r="DC47" s="939">
        <f t="shared" si="277"/>
        <v>734.3638919</v>
      </c>
      <c r="DD47" s="939">
        <f>DD15+DD16+DD17+DD28+DD32</f>
        <v>734.3638919</v>
      </c>
      <c r="DE47" s="939" t="e">
        <f t="shared" si="277"/>
        <v>#N/A</v>
      </c>
      <c r="DF47" s="939">
        <f t="shared" si="277"/>
        <v>879.60126042285708</v>
      </c>
      <c r="DG47" s="939">
        <f t="shared" si="277"/>
        <v>879.60126042285708</v>
      </c>
      <c r="DH47" s="939">
        <f>DH15+DH16+DH17+DH28+DH32</f>
        <v>862.91935351285724</v>
      </c>
      <c r="DI47" s="939">
        <f t="shared" si="277"/>
        <v>846.34516022190473</v>
      </c>
      <c r="DJ47" s="939">
        <f t="shared" si="277"/>
        <v>910.59747017999985</v>
      </c>
      <c r="DK47" s="939">
        <f>DK15+DK16+DK17+DK28+DK32</f>
        <v>847.63147876000005</v>
      </c>
      <c r="DL47" s="939">
        <f t="shared" ref="DL47:DS47" si="278">DL15+DL16+DL17+DL28+DL32</f>
        <v>803.78065436999998</v>
      </c>
      <c r="DM47" s="939">
        <f t="shared" si="278"/>
        <v>940.40220505333332</v>
      </c>
      <c r="DN47" s="939" t="e">
        <f t="shared" si="278"/>
        <v>#N/A</v>
      </c>
      <c r="DO47" s="939" t="e">
        <f t="shared" si="278"/>
        <v>#N/A</v>
      </c>
      <c r="DP47" s="939">
        <f t="shared" si="278"/>
        <v>4788.8472642571423</v>
      </c>
      <c r="DQ47" s="939">
        <f t="shared" ref="DQ47" si="279">DQ15+DQ16+DQ17+DQ28+DQ32</f>
        <v>776.42480024999986</v>
      </c>
      <c r="DR47" s="939">
        <f t="shared" si="278"/>
        <v>449.37225000000001</v>
      </c>
      <c r="DS47" s="939">
        <f t="shared" si="278"/>
        <v>615.41514179000001</v>
      </c>
      <c r="DT47" s="893"/>
      <c r="DU47" s="939">
        <f>DU15+DU16+DU17+DU28+DU32</f>
        <v>711.83489009000004</v>
      </c>
      <c r="DV47" s="939">
        <f>DV15+DV16+DV17+DV28+DV32</f>
        <v>598.35031708999998</v>
      </c>
      <c r="DW47" s="939">
        <f>DW15+DW16+DW17+DW28+DW32</f>
        <v>711.83489009000004</v>
      </c>
      <c r="DX47" s="939">
        <f>DX15+DX16+DX17+DX28+DX32</f>
        <v>598.35031708999998</v>
      </c>
      <c r="DY47" s="940">
        <f t="shared" ref="DY47:EG47" si="280">DY15+DY16+DY17+DY28+DY32</f>
        <v>886.96993366666663</v>
      </c>
      <c r="DZ47" s="939">
        <f t="shared" si="280"/>
        <v>737.70753592666676</v>
      </c>
      <c r="EA47" s="939">
        <f t="shared" si="280"/>
        <v>737.70753592666676</v>
      </c>
      <c r="EB47" s="939" t="e">
        <f t="shared" si="280"/>
        <v>#N/A</v>
      </c>
      <c r="EC47" s="939">
        <f t="shared" si="280"/>
        <v>905.62773338416662</v>
      </c>
      <c r="ED47" s="939">
        <f t="shared" si="280"/>
        <v>905.62773338416662</v>
      </c>
      <c r="EE47" s="939">
        <f>EE15+EE16+EE17+EE28+EE32</f>
        <v>905.62773338416662</v>
      </c>
      <c r="EF47" s="939">
        <f t="shared" si="280"/>
        <v>907.75433423166669</v>
      </c>
      <c r="EG47" s="939">
        <f t="shared" si="280"/>
        <v>916.44884722666666</v>
      </c>
      <c r="EH47" s="939">
        <f t="shared" ref="EH47:EM47" si="281">EH15+EH16+EH17+EH28+EH32</f>
        <v>849.72125627666674</v>
      </c>
      <c r="EI47" s="939">
        <f t="shared" si="281"/>
        <v>805.87043188666667</v>
      </c>
      <c r="EJ47" s="939">
        <f t="shared" si="281"/>
        <v>942.07402706666664</v>
      </c>
      <c r="EK47" s="939" t="e">
        <f t="shared" si="281"/>
        <v>#N/A</v>
      </c>
      <c r="EL47" s="939" t="e">
        <f t="shared" si="281"/>
        <v>#N/A</v>
      </c>
      <c r="EM47" s="939">
        <f t="shared" si="281"/>
        <v>4850.4963179714287</v>
      </c>
      <c r="EN47" s="939">
        <f t="shared" ref="EN47" si="282">EN15+EN16+EN17+EN28+EN32</f>
        <v>778.09662226333319</v>
      </c>
      <c r="EO47" s="939">
        <f>EO15+EO16+EO17+EO28+EO32</f>
        <v>449.37225000000001</v>
      </c>
      <c r="EP47" s="939">
        <f>EP15+EP16+EP17+EP28+EP32</f>
        <v>615.41514179000001</v>
      </c>
      <c r="EQ47" s="893"/>
      <c r="ER47" s="939">
        <f>ER15+ER16+ER17+ER28+ER32</f>
        <v>711.83489009000004</v>
      </c>
      <c r="ES47" s="939">
        <f>ES15+ES16+ES17+ES28+ES32</f>
        <v>598.35031708999998</v>
      </c>
      <c r="ET47" s="939">
        <f>ET15+ET16+ET17+ET28+ET32</f>
        <v>711.83489009000004</v>
      </c>
      <c r="EU47" s="939">
        <f>EU15+EU16+EU17+EU28+EU32</f>
        <v>598.35031708999998</v>
      </c>
      <c r="EV47" s="940">
        <f t="shared" ref="EV47:FD47" si="283">EV15+EV16+EV17+EV28+EV32</f>
        <v>666.22650134399998</v>
      </c>
      <c r="EW47" s="939">
        <f t="shared" si="283"/>
        <v>744.39482397999996</v>
      </c>
      <c r="EX47" s="939">
        <f t="shared" si="283"/>
        <v>739.37935793999998</v>
      </c>
      <c r="EY47" s="939" t="e">
        <f t="shared" si="283"/>
        <v>#N/A</v>
      </c>
      <c r="EZ47" s="939">
        <f t="shared" si="283"/>
        <v>938.67137741083332</v>
      </c>
      <c r="FA47" s="939">
        <f t="shared" si="283"/>
        <v>938.67137741083332</v>
      </c>
      <c r="FB47" s="939">
        <f>FB15+FB16+FB17+FB28+FB32</f>
        <v>938.67137741083332</v>
      </c>
      <c r="FC47" s="939">
        <f t="shared" si="283"/>
        <v>907.75433423166669</v>
      </c>
      <c r="FD47" s="939">
        <f t="shared" si="283"/>
        <v>922.30022427333324</v>
      </c>
      <c r="FE47" s="939">
        <f t="shared" ref="FE47:FJ47" si="284">FE15+FE16+FE17+FE28+FE32</f>
        <v>851.81103379333342</v>
      </c>
      <c r="FF47" s="939">
        <f t="shared" si="284"/>
        <v>868.49294070333326</v>
      </c>
      <c r="FG47" s="939">
        <f t="shared" si="284"/>
        <v>960.42775598999992</v>
      </c>
      <c r="FH47" s="939" t="e">
        <f t="shared" si="284"/>
        <v>#N/A</v>
      </c>
      <c r="FI47" s="939" t="e">
        <f t="shared" si="284"/>
        <v>#N/A</v>
      </c>
      <c r="FJ47" s="939">
        <f t="shared" si="284"/>
        <v>4912.1453716857141</v>
      </c>
      <c r="FK47" s="939">
        <f t="shared" ref="FK47" si="285">FK15+FK16+FK17+FK28+FK32</f>
        <v>779.76844427666663</v>
      </c>
      <c r="FL47" s="939">
        <f>FL15+FL16+FL17+FL28+FL32</f>
        <v>449.37225000000001</v>
      </c>
      <c r="FM47" s="939">
        <f>FM15+FM16+FM17+FM28+FM32</f>
        <v>615.41514179000001</v>
      </c>
    </row>
    <row r="48" spans="1:169" s="909" customFormat="1" ht="18" customHeight="1">
      <c r="A48" s="899">
        <f>ROWS($A$1:A48)</f>
        <v>48</v>
      </c>
      <c r="B48" s="938" t="s">
        <v>795</v>
      </c>
      <c r="C48" s="917" t="s">
        <v>220</v>
      </c>
      <c r="D48" s="927">
        <f>IF(D6=0,0,(D8)/D6)</f>
        <v>16.5</v>
      </c>
      <c r="E48" s="927">
        <f t="shared" ref="E48:AH48" si="286">IF(E6=0,0,(E8)/E6)</f>
        <v>18</v>
      </c>
      <c r="F48" s="927">
        <f t="shared" si="286"/>
        <v>20.5</v>
      </c>
      <c r="G48" s="927">
        <f t="shared" si="286"/>
        <v>24</v>
      </c>
      <c r="H48" s="927">
        <f t="shared" si="286"/>
        <v>15.6</v>
      </c>
      <c r="I48" s="927">
        <f t="shared" si="286"/>
        <v>16.399999999999999</v>
      </c>
      <c r="J48" s="927">
        <f t="shared" si="286"/>
        <v>16.2</v>
      </c>
      <c r="K48" s="927">
        <f t="shared" si="286"/>
        <v>26</v>
      </c>
      <c r="L48" s="927">
        <f t="shared" si="286"/>
        <v>18.5</v>
      </c>
      <c r="M48" s="927">
        <f t="shared" si="286"/>
        <v>16.2</v>
      </c>
      <c r="N48" s="927">
        <f t="shared" si="286"/>
        <v>25.5</v>
      </c>
      <c r="O48" s="927">
        <f t="shared" si="286"/>
        <v>18.899999999999999</v>
      </c>
      <c r="P48" s="927">
        <f t="shared" si="286"/>
        <v>28.5</v>
      </c>
      <c r="Q48" s="927">
        <f t="shared" si="286"/>
        <v>18.7</v>
      </c>
      <c r="R48" s="927" t="e">
        <f t="shared" ref="R48" si="287">IF(R6=0,0,(R8)/R6)</f>
        <v>#VALUE!</v>
      </c>
      <c r="S48" s="927">
        <f t="shared" si="286"/>
        <v>41.5</v>
      </c>
      <c r="T48" s="927">
        <f t="shared" si="286"/>
        <v>41.5</v>
      </c>
      <c r="U48" s="927">
        <f t="shared" si="286"/>
        <v>36.5</v>
      </c>
      <c r="V48" s="927">
        <f t="shared" si="286"/>
        <v>41</v>
      </c>
      <c r="W48" s="927" t="e">
        <f t="shared" ref="W48" si="288">IF(W6=0,0,(W8)/W6)</f>
        <v>#VALUE!</v>
      </c>
      <c r="X48" s="927">
        <f t="shared" si="286"/>
        <v>24.2</v>
      </c>
      <c r="Y48" s="927">
        <f t="shared" si="286"/>
        <v>24.7</v>
      </c>
      <c r="Z48" s="927" t="e">
        <f t="shared" si="286"/>
        <v>#VALUE!</v>
      </c>
      <c r="AA48" s="927">
        <f t="shared" si="286"/>
        <v>6.38</v>
      </c>
      <c r="AB48" s="927">
        <f t="shared" si="286"/>
        <v>64</v>
      </c>
      <c r="AC48" s="927" t="e">
        <f t="shared" si="286"/>
        <v>#VALUE!</v>
      </c>
      <c r="AD48" s="927">
        <f t="shared" si="286"/>
        <v>36</v>
      </c>
      <c r="AE48" s="927">
        <f t="shared" si="286"/>
        <v>36</v>
      </c>
      <c r="AF48" s="927">
        <f t="shared" si="286"/>
        <v>0</v>
      </c>
      <c r="AG48" s="927">
        <f t="shared" si="286"/>
        <v>0</v>
      </c>
      <c r="AH48" s="927">
        <f t="shared" si="286"/>
        <v>0</v>
      </c>
      <c r="AI48" s="929"/>
      <c r="AJ48" s="928">
        <f t="shared" ref="AJ48:BN48" si="289">IF(AJ6=0,0,(AJ8)/AJ6)</f>
        <v>16.5</v>
      </c>
      <c r="AK48" s="927">
        <f t="shared" si="289"/>
        <v>18</v>
      </c>
      <c r="AL48" s="927">
        <f t="shared" si="289"/>
        <v>20.5</v>
      </c>
      <c r="AM48" s="927">
        <f t="shared" si="289"/>
        <v>24</v>
      </c>
      <c r="AN48" s="927">
        <f t="shared" si="289"/>
        <v>15.6</v>
      </c>
      <c r="AO48" s="927">
        <f t="shared" si="289"/>
        <v>16.399999999999999</v>
      </c>
      <c r="AP48" s="927">
        <f t="shared" si="289"/>
        <v>16.2</v>
      </c>
      <c r="AQ48" s="927">
        <f t="shared" si="289"/>
        <v>26</v>
      </c>
      <c r="AR48" s="927">
        <f t="shared" si="289"/>
        <v>18.5</v>
      </c>
      <c r="AS48" s="927">
        <f t="shared" si="289"/>
        <v>16.2</v>
      </c>
      <c r="AT48" s="927">
        <f t="shared" si="289"/>
        <v>25.5</v>
      </c>
      <c r="AU48" s="927">
        <f t="shared" si="289"/>
        <v>18.899999999999999</v>
      </c>
      <c r="AV48" s="927">
        <f t="shared" si="289"/>
        <v>28.5</v>
      </c>
      <c r="AW48" s="927">
        <f t="shared" si="289"/>
        <v>18.7</v>
      </c>
      <c r="AX48" s="927" t="e">
        <f t="shared" ref="AX48" si="290">IF(AX6=0,0,(AX8)/AX6)</f>
        <v>#VALUE!</v>
      </c>
      <c r="AY48" s="927">
        <f t="shared" si="289"/>
        <v>41.5</v>
      </c>
      <c r="AZ48" s="927">
        <f t="shared" si="289"/>
        <v>41.5</v>
      </c>
      <c r="BA48" s="927">
        <f t="shared" si="289"/>
        <v>36.5</v>
      </c>
      <c r="BB48" s="927">
        <f t="shared" si="289"/>
        <v>41</v>
      </c>
      <c r="BC48" s="927" t="e">
        <f t="shared" ref="BC48" si="291">IF(BC6=0,0,(BC8)/BC6)</f>
        <v>#VALUE!</v>
      </c>
      <c r="BD48" s="927">
        <f t="shared" si="289"/>
        <v>24.2</v>
      </c>
      <c r="BE48" s="927">
        <f t="shared" si="289"/>
        <v>24.7</v>
      </c>
      <c r="BF48" s="927" t="e">
        <f t="shared" si="289"/>
        <v>#VALUE!</v>
      </c>
      <c r="BG48" s="927">
        <f t="shared" si="289"/>
        <v>6.38</v>
      </c>
      <c r="BH48" s="927">
        <f t="shared" si="289"/>
        <v>64</v>
      </c>
      <c r="BI48" s="927" t="e">
        <f t="shared" si="289"/>
        <v>#VALUE!</v>
      </c>
      <c r="BJ48" s="927">
        <f t="shared" si="289"/>
        <v>36</v>
      </c>
      <c r="BK48" s="927">
        <f t="shared" si="289"/>
        <v>36</v>
      </c>
      <c r="BL48" s="927">
        <f t="shared" si="289"/>
        <v>0</v>
      </c>
      <c r="BM48" s="927">
        <f t="shared" si="289"/>
        <v>0</v>
      </c>
      <c r="BN48" s="927">
        <f t="shared" si="289"/>
        <v>0</v>
      </c>
      <c r="BO48" s="929"/>
      <c r="BP48" s="928">
        <f t="shared" ref="BP48:CT48" si="292">IF(BP6=0,0,(BP8)/BP6)</f>
        <v>16.5</v>
      </c>
      <c r="BQ48" s="927">
        <f t="shared" si="292"/>
        <v>18</v>
      </c>
      <c r="BR48" s="927">
        <f t="shared" si="292"/>
        <v>20.5</v>
      </c>
      <c r="BS48" s="927">
        <f t="shared" si="292"/>
        <v>24</v>
      </c>
      <c r="BT48" s="927">
        <f t="shared" si="292"/>
        <v>15.6</v>
      </c>
      <c r="BU48" s="927">
        <f t="shared" si="292"/>
        <v>16.399999999999999</v>
      </c>
      <c r="BV48" s="927">
        <f t="shared" si="292"/>
        <v>16.2</v>
      </c>
      <c r="BW48" s="927">
        <f t="shared" si="292"/>
        <v>26</v>
      </c>
      <c r="BX48" s="927">
        <f t="shared" si="292"/>
        <v>18.5</v>
      </c>
      <c r="BY48" s="927">
        <f t="shared" si="292"/>
        <v>16.2</v>
      </c>
      <c r="BZ48" s="927">
        <f t="shared" si="292"/>
        <v>25.5</v>
      </c>
      <c r="CA48" s="927">
        <f t="shared" si="292"/>
        <v>18.899999999999999</v>
      </c>
      <c r="CB48" s="927">
        <f t="shared" si="292"/>
        <v>28.5</v>
      </c>
      <c r="CC48" s="927">
        <f t="shared" si="292"/>
        <v>18.7</v>
      </c>
      <c r="CD48" s="927" t="e">
        <f t="shared" ref="CD48" si="293">IF(CD6=0,0,(CD8)/CD6)</f>
        <v>#VALUE!</v>
      </c>
      <c r="CE48" s="927">
        <f t="shared" si="292"/>
        <v>41.5</v>
      </c>
      <c r="CF48" s="927">
        <f t="shared" si="292"/>
        <v>41.5</v>
      </c>
      <c r="CG48" s="927">
        <f t="shared" si="292"/>
        <v>36.5</v>
      </c>
      <c r="CH48" s="927">
        <f t="shared" si="292"/>
        <v>41</v>
      </c>
      <c r="CI48" s="927" t="e">
        <f t="shared" ref="CI48" si="294">IF(CI6=0,0,(CI8)/CI6)</f>
        <v>#VALUE!</v>
      </c>
      <c r="CJ48" s="927">
        <f t="shared" si="292"/>
        <v>24.2</v>
      </c>
      <c r="CK48" s="927">
        <f t="shared" si="292"/>
        <v>24.7</v>
      </c>
      <c r="CL48" s="927" t="e">
        <f t="shared" si="292"/>
        <v>#VALUE!</v>
      </c>
      <c r="CM48" s="927">
        <f t="shared" si="292"/>
        <v>6.38</v>
      </c>
      <c r="CN48" s="927">
        <f t="shared" si="292"/>
        <v>64</v>
      </c>
      <c r="CO48" s="927" t="e">
        <f t="shared" si="292"/>
        <v>#VALUE!</v>
      </c>
      <c r="CP48" s="927">
        <f t="shared" si="292"/>
        <v>36</v>
      </c>
      <c r="CQ48" s="927">
        <f t="shared" si="292"/>
        <v>36</v>
      </c>
      <c r="CR48" s="927">
        <f>IF(CR6=0,0,(CR8)/CR6)</f>
        <v>0</v>
      </c>
      <c r="CS48" s="927">
        <f t="shared" si="292"/>
        <v>0</v>
      </c>
      <c r="CT48" s="927">
        <f t="shared" si="292"/>
        <v>0</v>
      </c>
      <c r="CV48" s="938" t="s">
        <v>795</v>
      </c>
      <c r="CW48" s="917" t="s">
        <v>220</v>
      </c>
      <c r="CX48" s="927">
        <f>IF(CX6=0,0,(CX8)/CX6)</f>
        <v>0</v>
      </c>
      <c r="CY48" s="927">
        <f>IF(CY6=0,0,(CY8)/CY6)</f>
        <v>0</v>
      </c>
      <c r="CZ48" s="927">
        <f>IF(CZ6=0,0,(CZ8)/CZ6)</f>
        <v>0</v>
      </c>
      <c r="DA48" s="927">
        <f>IF(DA6=0,0,(DA8)/DA6)</f>
        <v>0</v>
      </c>
      <c r="DB48" s="927">
        <f t="shared" ref="DB48:DJ48" si="295">IF(DB6=0,0,(DB8)/DB6)</f>
        <v>30.09</v>
      </c>
      <c r="DC48" s="927">
        <f t="shared" si="295"/>
        <v>41.13</v>
      </c>
      <c r="DD48" s="927">
        <f>IF(DD6=0,0,(DD8)/DD6)</f>
        <v>43.439999999999991</v>
      </c>
      <c r="DE48" s="927">
        <f t="shared" si="295"/>
        <v>0</v>
      </c>
      <c r="DF48" s="927">
        <f t="shared" si="295"/>
        <v>29.18</v>
      </c>
      <c r="DG48" s="927">
        <f t="shared" si="295"/>
        <v>41.08</v>
      </c>
      <c r="DH48" s="927">
        <f>IF(DH6=0,0,(DH8)/DH6)</f>
        <v>28.86</v>
      </c>
      <c r="DI48" s="927">
        <f t="shared" si="295"/>
        <v>47.42</v>
      </c>
      <c r="DJ48" s="927">
        <f t="shared" si="295"/>
        <v>33.56</v>
      </c>
      <c r="DK48" s="927">
        <f>IF(DK6=0,0,(DK8)/DK6)</f>
        <v>53.74</v>
      </c>
      <c r="DL48" s="927">
        <f t="shared" ref="DL48:DS48" si="296">IF(DL6=0,0,(DL8)/DL6)</f>
        <v>50.24</v>
      </c>
      <c r="DM48" s="927">
        <f t="shared" si="296"/>
        <v>78.67</v>
      </c>
      <c r="DN48" s="927">
        <f t="shared" si="296"/>
        <v>0</v>
      </c>
      <c r="DO48" s="927">
        <f t="shared" si="296"/>
        <v>76</v>
      </c>
      <c r="DP48" s="927">
        <f t="shared" si="296"/>
        <v>74.17</v>
      </c>
      <c r="DQ48" s="927">
        <f t="shared" ref="DQ48" si="297">IF(DQ6=0,0,(DQ8)/DQ6)</f>
        <v>58</v>
      </c>
      <c r="DR48" s="927">
        <f t="shared" si="296"/>
        <v>0</v>
      </c>
      <c r="DS48" s="927">
        <f t="shared" si="296"/>
        <v>0</v>
      </c>
      <c r="DU48" s="927">
        <f>IF(DU6=0,0,(DU8)/DU6)</f>
        <v>0</v>
      </c>
      <c r="DV48" s="927">
        <f>IF(DV6=0,0,(DV8)/DV6)</f>
        <v>0</v>
      </c>
      <c r="DW48" s="927">
        <f>IF(DW6=0,0,(DW8)/DW6)</f>
        <v>0</v>
      </c>
      <c r="DX48" s="927">
        <f>IF(DX6=0,0,(DX8)/DX6)</f>
        <v>0</v>
      </c>
      <c r="DY48" s="928">
        <f t="shared" ref="DY48:EG48" si="298">IF(DY6=0,0,(DY8)/DY6)</f>
        <v>30.089999999999996</v>
      </c>
      <c r="DZ48" s="927">
        <f t="shared" si="298"/>
        <v>41.13</v>
      </c>
      <c r="EA48" s="927">
        <f t="shared" si="298"/>
        <v>43.44</v>
      </c>
      <c r="EB48" s="927">
        <f t="shared" si="298"/>
        <v>0</v>
      </c>
      <c r="EC48" s="927">
        <f t="shared" si="298"/>
        <v>29.18</v>
      </c>
      <c r="ED48" s="927">
        <f t="shared" si="298"/>
        <v>41.08</v>
      </c>
      <c r="EE48" s="927">
        <f>IF(EE6=0,0,(EE8)/EE6)</f>
        <v>28.860000000000003</v>
      </c>
      <c r="EF48" s="927">
        <f t="shared" si="298"/>
        <v>47.42</v>
      </c>
      <c r="EG48" s="927">
        <f t="shared" si="298"/>
        <v>33.56</v>
      </c>
      <c r="EH48" s="927">
        <f t="shared" ref="EH48:EM48" si="299">IF(EH6=0,0,(EH8)/EH6)</f>
        <v>53.74</v>
      </c>
      <c r="EI48" s="927">
        <f t="shared" si="299"/>
        <v>50.24</v>
      </c>
      <c r="EJ48" s="927">
        <f t="shared" si="299"/>
        <v>78.67</v>
      </c>
      <c r="EK48" s="927">
        <f t="shared" si="299"/>
        <v>0</v>
      </c>
      <c r="EL48" s="927">
        <f t="shared" si="299"/>
        <v>76</v>
      </c>
      <c r="EM48" s="927">
        <f t="shared" si="299"/>
        <v>74.17</v>
      </c>
      <c r="EN48" s="927">
        <f t="shared" ref="EN48" si="300">IF(EN6=0,0,(EN8)/EN6)</f>
        <v>58</v>
      </c>
      <c r="EO48" s="927">
        <f>IF(EO6=0,0,(EO8)/EO6)</f>
        <v>0</v>
      </c>
      <c r="EP48" s="927">
        <f>IF(EP6=0,0,(EP8)/EP6)</f>
        <v>0</v>
      </c>
      <c r="ER48" s="927">
        <f>IF(ER6=0,0,(ER8)/ER6)</f>
        <v>0</v>
      </c>
      <c r="ES48" s="927">
        <f>IF(ES6=0,0,(ES8)/ES6)</f>
        <v>0</v>
      </c>
      <c r="ET48" s="927">
        <f>IF(ET6=0,0,(ET8)/ET6)</f>
        <v>0</v>
      </c>
      <c r="EU48" s="927">
        <f>IF(EU6=0,0,(EU8)/EU6)</f>
        <v>0</v>
      </c>
      <c r="EV48" s="928">
        <f t="shared" ref="EV48:FD48" si="301">IF(EV6=0,0,(EV8)/EV6)</f>
        <v>30.09</v>
      </c>
      <c r="EW48" s="927">
        <f t="shared" si="301"/>
        <v>41.13</v>
      </c>
      <c r="EX48" s="927">
        <f t="shared" si="301"/>
        <v>43.44</v>
      </c>
      <c r="EY48" s="927">
        <f t="shared" si="301"/>
        <v>0</v>
      </c>
      <c r="EZ48" s="927">
        <f t="shared" si="301"/>
        <v>29.18</v>
      </c>
      <c r="FA48" s="927">
        <f t="shared" si="301"/>
        <v>41.08</v>
      </c>
      <c r="FB48" s="927">
        <f>IF(FB6=0,0,(FB8)/FB6)</f>
        <v>28.86</v>
      </c>
      <c r="FC48" s="927">
        <f t="shared" si="301"/>
        <v>47.42</v>
      </c>
      <c r="FD48" s="927">
        <f t="shared" si="301"/>
        <v>33.56</v>
      </c>
      <c r="FE48" s="927">
        <f t="shared" ref="FE48:FJ48" si="302">IF(FE6=0,0,(FE8)/FE6)</f>
        <v>53.74</v>
      </c>
      <c r="FF48" s="927">
        <f t="shared" si="302"/>
        <v>50.24</v>
      </c>
      <c r="FG48" s="927">
        <f t="shared" si="302"/>
        <v>78.67</v>
      </c>
      <c r="FH48" s="927">
        <f t="shared" si="302"/>
        <v>0</v>
      </c>
      <c r="FI48" s="927">
        <f t="shared" si="302"/>
        <v>76</v>
      </c>
      <c r="FJ48" s="927">
        <f t="shared" si="302"/>
        <v>74.17</v>
      </c>
      <c r="FK48" s="927">
        <f t="shared" ref="FK48" si="303">IF(FK6=0,0,(FK8)/FK6)</f>
        <v>58</v>
      </c>
      <c r="FL48" s="927">
        <f>IF(FL6=0,0,(FL8)/FL6)</f>
        <v>0</v>
      </c>
      <c r="FM48" s="927">
        <f>IF(FM6=0,0,(FM8)/FM6)</f>
        <v>0</v>
      </c>
    </row>
    <row r="49" spans="1:171" ht="18" customHeight="1">
      <c r="A49" s="899">
        <f>ROWS($A$1:A49)</f>
        <v>49</v>
      </c>
      <c r="B49" s="937" t="s">
        <v>794</v>
      </c>
      <c r="C49" s="922" t="s">
        <v>163</v>
      </c>
      <c r="D49" s="930">
        <f>D21+D24+D34-D9-D10</f>
        <v>1655.5633139368792</v>
      </c>
      <c r="E49" s="930">
        <f t="shared" ref="E49:AH49" si="304">E21+E24+E34-E9-E10</f>
        <v>1838.4199756369999</v>
      </c>
      <c r="F49" s="930">
        <f t="shared" si="304"/>
        <v>1908.9048841098117</v>
      </c>
      <c r="G49" s="930">
        <f t="shared" si="304"/>
        <v>1955.2454872051153</v>
      </c>
      <c r="H49" s="930">
        <f t="shared" si="304"/>
        <v>1660.014681601604</v>
      </c>
      <c r="I49" s="930">
        <f t="shared" si="304"/>
        <v>1739.2489927426325</v>
      </c>
      <c r="J49" s="930">
        <f t="shared" si="304"/>
        <v>1810.068125779801</v>
      </c>
      <c r="K49" s="930">
        <f t="shared" si="304"/>
        <v>1845.1149930957845</v>
      </c>
      <c r="L49" s="930">
        <f t="shared" si="304"/>
        <v>1665.3413320063069</v>
      </c>
      <c r="M49" s="930">
        <f t="shared" si="304"/>
        <v>1727.3223347390335</v>
      </c>
      <c r="N49" s="930">
        <f t="shared" si="304"/>
        <v>1675.7415700838917</v>
      </c>
      <c r="O49" s="930">
        <f t="shared" si="304"/>
        <v>1538.1657454407709</v>
      </c>
      <c r="P49" s="930">
        <f t="shared" si="304"/>
        <v>1862.7222568184868</v>
      </c>
      <c r="Q49" s="930">
        <f t="shared" si="304"/>
        <v>2204.0222075806332</v>
      </c>
      <c r="R49" s="930" t="e">
        <f t="shared" ref="R49" si="305">R21+R24+R34-R9-R10</f>
        <v>#VALUE!</v>
      </c>
      <c r="S49" s="930">
        <f t="shared" si="304"/>
        <v>2049.0654958031664</v>
      </c>
      <c r="T49" s="930">
        <f t="shared" si="304"/>
        <v>1856.1435150088669</v>
      </c>
      <c r="U49" s="930">
        <f t="shared" si="304"/>
        <v>1862.0670508935837</v>
      </c>
      <c r="V49" s="930">
        <f t="shared" si="304"/>
        <v>1899.0954807482781</v>
      </c>
      <c r="W49" s="930" t="e">
        <f t="shared" ref="W49" si="306">W21+W24+W34-W9-W10</f>
        <v>#VALUE!</v>
      </c>
      <c r="X49" s="930">
        <f t="shared" si="304"/>
        <v>1651.6597574149446</v>
      </c>
      <c r="Y49" s="930">
        <f t="shared" si="304"/>
        <v>1673.8632574149447</v>
      </c>
      <c r="Z49" s="930" t="e">
        <f t="shared" si="304"/>
        <v>#VALUE!</v>
      </c>
      <c r="AA49" s="930">
        <f t="shared" si="304"/>
        <v>1118.4094793034999</v>
      </c>
      <c r="AB49" s="930">
        <f t="shared" si="304"/>
        <v>11228.072335415023</v>
      </c>
      <c r="AC49" s="930" t="e">
        <f t="shared" si="304"/>
        <v>#VALUE!</v>
      </c>
      <c r="AD49" s="930">
        <f t="shared" si="304"/>
        <v>8102.2197164900481</v>
      </c>
      <c r="AE49" s="930">
        <f t="shared" si="304"/>
        <v>9132.0537145850249</v>
      </c>
      <c r="AF49" s="930">
        <f t="shared" si="304"/>
        <v>858</v>
      </c>
      <c r="AG49" s="930">
        <f t="shared" si="304"/>
        <v>1259.9164424358332</v>
      </c>
      <c r="AH49" s="930">
        <f t="shared" si="304"/>
        <v>281.36283838825</v>
      </c>
      <c r="AI49" s="932"/>
      <c r="AJ49" s="931">
        <f t="shared" ref="AJ49:BN49" si="307">AJ21+AJ24+AJ34-AJ9-AJ10</f>
        <v>1757.3338198425836</v>
      </c>
      <c r="AK49" s="930">
        <f t="shared" si="307"/>
        <v>1962.4604799951667</v>
      </c>
      <c r="AL49" s="930">
        <f t="shared" si="307"/>
        <v>2017.5668776771311</v>
      </c>
      <c r="AM49" s="930">
        <f t="shared" si="307"/>
        <v>2063.5453706930912</v>
      </c>
      <c r="AN49" s="930">
        <f t="shared" si="307"/>
        <v>1732.1725037946053</v>
      </c>
      <c r="AO49" s="930">
        <f t="shared" si="307"/>
        <v>1824.127029760421</v>
      </c>
      <c r="AP49" s="930">
        <f t="shared" si="307"/>
        <v>1901.9977280306341</v>
      </c>
      <c r="AQ49" s="930">
        <f t="shared" si="307"/>
        <v>1958.2203282735461</v>
      </c>
      <c r="AR49" s="930">
        <f t="shared" si="307"/>
        <v>1784.5160248842976</v>
      </c>
      <c r="AS49" s="930">
        <f t="shared" si="307"/>
        <v>1805.2816590834893</v>
      </c>
      <c r="AT49" s="930">
        <f t="shared" si="307"/>
        <v>1725.3292097234976</v>
      </c>
      <c r="AU49" s="930">
        <f t="shared" si="307"/>
        <v>1624.2962106066943</v>
      </c>
      <c r="AV49" s="930">
        <f t="shared" si="307"/>
        <v>1949.4030531375377</v>
      </c>
      <c r="AW49" s="930">
        <f t="shared" si="307"/>
        <v>2416.1286423448441</v>
      </c>
      <c r="AX49" s="930" t="e">
        <f t="shared" ref="AX49" si="308">AX21+AX24+AX34-AX9-AX10</f>
        <v>#VALUE!</v>
      </c>
      <c r="AY49" s="930">
        <f t="shared" si="307"/>
        <v>2238.7768496815115</v>
      </c>
      <c r="AZ49" s="930">
        <f t="shared" si="307"/>
        <v>1999.8662398124891</v>
      </c>
      <c r="BA49" s="930">
        <f t="shared" si="307"/>
        <v>1993.0804567645555</v>
      </c>
      <c r="BB49" s="930">
        <f t="shared" si="307"/>
        <v>1986.4599793237667</v>
      </c>
      <c r="BC49" s="930" t="e">
        <f t="shared" ref="BC49" si="309">BC21+BC24+BC34-BC9-BC10</f>
        <v>#VALUE!</v>
      </c>
      <c r="BD49" s="930">
        <f t="shared" si="307"/>
        <v>1748.0038606719445</v>
      </c>
      <c r="BE49" s="930">
        <f t="shared" si="307"/>
        <v>1788.0951940052778</v>
      </c>
      <c r="BF49" s="930" t="e">
        <f t="shared" si="307"/>
        <v>#VALUE!</v>
      </c>
      <c r="BG49" s="930">
        <f t="shared" si="307"/>
        <v>2731.7778748034998</v>
      </c>
      <c r="BH49" s="930">
        <f t="shared" si="307"/>
        <v>11487.01784432531</v>
      </c>
      <c r="BI49" s="930" t="e">
        <f t="shared" si="307"/>
        <v>#VALUE!</v>
      </c>
      <c r="BJ49" s="930">
        <f t="shared" si="307"/>
        <v>8277.3446529826178</v>
      </c>
      <c r="BK49" s="930">
        <f t="shared" si="307"/>
        <v>9274.9896714143579</v>
      </c>
      <c r="BL49" s="930">
        <f t="shared" si="307"/>
        <v>898</v>
      </c>
      <c r="BM49" s="930">
        <f t="shared" si="307"/>
        <v>1299.9164424358332</v>
      </c>
      <c r="BN49" s="930">
        <f t="shared" si="307"/>
        <v>601.36283838825011</v>
      </c>
      <c r="BO49" s="2922"/>
      <c r="BP49" s="931">
        <f t="shared" ref="BP49:CT49" si="310">BP21+BP24+BP34-BP9-BP10</f>
        <v>2011.4074047529875</v>
      </c>
      <c r="BQ49" s="930">
        <f t="shared" si="310"/>
        <v>2072.4704322699999</v>
      </c>
      <c r="BR49" s="930">
        <f t="shared" si="310"/>
        <v>2126.400196070711</v>
      </c>
      <c r="BS49" s="930">
        <f t="shared" si="310"/>
        <v>2176.4679123406609</v>
      </c>
      <c r="BT49" s="930">
        <f t="shared" si="310"/>
        <v>1839.3194904805737</v>
      </c>
      <c r="BU49" s="930">
        <f t="shared" si="310"/>
        <v>1918.5490939331426</v>
      </c>
      <c r="BV49" s="930">
        <f t="shared" si="310"/>
        <v>2061.8040574364013</v>
      </c>
      <c r="BW49" s="930">
        <f t="shared" si="310"/>
        <v>2040.8704862963746</v>
      </c>
      <c r="BX49" s="930">
        <f t="shared" si="310"/>
        <v>1791.584217762289</v>
      </c>
      <c r="BY49" s="930">
        <f t="shared" si="310"/>
        <v>1883.2409834279442</v>
      </c>
      <c r="BZ49" s="930">
        <f t="shared" si="310"/>
        <v>1774.9168493631028</v>
      </c>
      <c r="CA49" s="930">
        <f t="shared" si="310"/>
        <v>1692.5763665819513</v>
      </c>
      <c r="CB49" s="930">
        <f t="shared" si="310"/>
        <v>2036.0838494565892</v>
      </c>
      <c r="CC49" s="930">
        <f t="shared" si="310"/>
        <v>2628.2350771090551</v>
      </c>
      <c r="CD49" s="930" t="e">
        <f t="shared" ref="CD49" si="311">CD21+CD24+CD34-CD9-CD10</f>
        <v>#VALUE!</v>
      </c>
      <c r="CE49" s="930">
        <f t="shared" si="310"/>
        <v>2392.2586995551555</v>
      </c>
      <c r="CF49" s="930">
        <f t="shared" si="310"/>
        <v>2107.4527373956116</v>
      </c>
      <c r="CG49" s="930">
        <f t="shared" si="310"/>
        <v>2124.0938626355282</v>
      </c>
      <c r="CH49" s="930">
        <f t="shared" si="310"/>
        <v>2073.8244778992557</v>
      </c>
      <c r="CI49" s="930" t="e">
        <f t="shared" ref="CI49" si="312">CI21+CI24+CI34-CI9-CI10</f>
        <v>#VALUE!</v>
      </c>
      <c r="CJ49" s="930">
        <f t="shared" si="310"/>
        <v>1872.581297262278</v>
      </c>
      <c r="CK49" s="930">
        <f t="shared" si="310"/>
        <v>1925.6196305956109</v>
      </c>
      <c r="CL49" s="930" t="e">
        <f t="shared" si="310"/>
        <v>#VALUE!</v>
      </c>
      <c r="CM49" s="930">
        <f t="shared" si="310"/>
        <v>3079.4615595240002</v>
      </c>
      <c r="CN49" s="930">
        <f t="shared" si="310"/>
        <v>11745.963353235595</v>
      </c>
      <c r="CO49" s="930" t="e">
        <f t="shared" si="310"/>
        <v>#VALUE!</v>
      </c>
      <c r="CP49" s="930">
        <f t="shared" si="310"/>
        <v>8506.4328394751901</v>
      </c>
      <c r="CQ49" s="930">
        <f t="shared" si="310"/>
        <v>9429.9932889937845</v>
      </c>
      <c r="CR49" s="930">
        <f>CR21+CR24+CR34-CR9-CR10</f>
        <v>938</v>
      </c>
      <c r="CS49" s="930">
        <f t="shared" si="310"/>
        <v>1339.9164424358335</v>
      </c>
      <c r="CT49" s="930">
        <f t="shared" si="310"/>
        <v>641.36283838825011</v>
      </c>
      <c r="CV49" s="937" t="s">
        <v>794</v>
      </c>
      <c r="CW49" s="922" t="s">
        <v>163</v>
      </c>
      <c r="CX49" s="930">
        <f>CX21+CX24+CX34-CX9-CX10</f>
        <v>902.22671380771669</v>
      </c>
      <c r="CY49" s="930">
        <f>CY21+CY24+CY34-CY9-CY10</f>
        <v>850.21010412271664</v>
      </c>
      <c r="CZ49" s="930">
        <f t="shared" ref="CZ49:DS49" si="313">CZ21+CZ24+CZ34-CZ9-CZ10</f>
        <v>900.65863047438336</v>
      </c>
      <c r="DA49" s="930">
        <f t="shared" si="313"/>
        <v>731.43032078938336</v>
      </c>
      <c r="DB49" s="930">
        <f t="shared" si="313"/>
        <v>1595.2548900734619</v>
      </c>
      <c r="DC49" s="930">
        <f t="shared" si="313"/>
        <v>1853.7489123055002</v>
      </c>
      <c r="DD49" s="930">
        <f t="shared" si="313"/>
        <v>1838.6843863055001</v>
      </c>
      <c r="DE49" s="930" t="e">
        <f t="shared" si="313"/>
        <v>#N/A</v>
      </c>
      <c r="DF49" s="930">
        <f t="shared" si="313"/>
        <v>1808.1018874611236</v>
      </c>
      <c r="DG49" s="930">
        <f t="shared" si="313"/>
        <v>1901.2617204501903</v>
      </c>
      <c r="DH49" s="930">
        <f>DH21+DH24+DH34-DH9-DH10</f>
        <v>1846.3283046371739</v>
      </c>
      <c r="DI49" s="930">
        <f t="shared" si="313"/>
        <v>1722.8440264618491</v>
      </c>
      <c r="DJ49" s="930">
        <f t="shared" si="313"/>
        <v>2505.7727007648332</v>
      </c>
      <c r="DK49" s="930">
        <f t="shared" si="313"/>
        <v>1724.3296889996668</v>
      </c>
      <c r="DL49" s="930">
        <f t="shared" si="313"/>
        <v>1667.9185244064165</v>
      </c>
      <c r="DM49" s="930">
        <f t="shared" si="313"/>
        <v>2035.8220634287779</v>
      </c>
      <c r="DN49" s="930" t="e">
        <f t="shared" si="313"/>
        <v>#N/A</v>
      </c>
      <c r="DO49" s="930" t="e">
        <f t="shared" si="313"/>
        <v>#N/A</v>
      </c>
      <c r="DP49" s="930">
        <f t="shared" si="313"/>
        <v>10384.350983125953</v>
      </c>
      <c r="DQ49" s="930">
        <f t="shared" ref="DQ49" si="314">DQ21+DQ24+DQ34-DQ9-DQ10</f>
        <v>1686.9202569187501</v>
      </c>
      <c r="DR49" s="930">
        <f t="shared" si="313"/>
        <v>1211.9689104166666</v>
      </c>
      <c r="DS49" s="930">
        <f t="shared" si="313"/>
        <v>1504.6629929715834</v>
      </c>
      <c r="DT49" s="893"/>
      <c r="DU49" s="930">
        <f>DU21+DU24+DU34-DU9-DU10</f>
        <v>690.68591380771659</v>
      </c>
      <c r="DV49" s="930">
        <f>DV21+DV24+DV34-DV9-DV10</f>
        <v>738.23753745604995</v>
      </c>
      <c r="DW49" s="930">
        <f>DW21+DW24+DW34-DW9-DW10</f>
        <v>731.04129714105011</v>
      </c>
      <c r="DX49" s="930">
        <f>DX21+DX24+DX34-DX9-DX10</f>
        <v>619.45775412271666</v>
      </c>
      <c r="DY49" s="931">
        <f t="shared" ref="DY49:EG49" si="315">DY21+DY24+DY34-DY9-DY10</f>
        <v>2034.3424775594444</v>
      </c>
      <c r="DZ49" s="930">
        <f t="shared" si="315"/>
        <v>1991.2849571791444</v>
      </c>
      <c r="EA49" s="930">
        <f t="shared" si="315"/>
        <v>1963.1055891791443</v>
      </c>
      <c r="EB49" s="930" t="e">
        <f t="shared" si="315"/>
        <v>#N/A</v>
      </c>
      <c r="EC49" s="930">
        <f t="shared" si="315"/>
        <v>1941.6799456069816</v>
      </c>
      <c r="ED49" s="930">
        <f t="shared" si="315"/>
        <v>2042.6912344957009</v>
      </c>
      <c r="EE49" s="930">
        <f>EE21+EE24+EE34-EE9-EE10</f>
        <v>2052.5658962736488</v>
      </c>
      <c r="EF49" s="930">
        <f t="shared" si="315"/>
        <v>1918.1575763502638</v>
      </c>
      <c r="EG49" s="930">
        <f t="shared" si="315"/>
        <v>2780.6630342868889</v>
      </c>
      <c r="EH49" s="930">
        <f t="shared" ref="EH49:EM49" si="316">EH21+EH24+EH34-EH9-EH10</f>
        <v>1793.5026417456388</v>
      </c>
      <c r="EI49" s="930">
        <f t="shared" si="316"/>
        <v>1728.873560485722</v>
      </c>
      <c r="EJ49" s="930">
        <f t="shared" si="316"/>
        <v>2117.4901106255556</v>
      </c>
      <c r="EK49" s="930" t="e">
        <f t="shared" si="316"/>
        <v>#N/A</v>
      </c>
      <c r="EL49" s="930" t="e">
        <f t="shared" si="316"/>
        <v>#N/A</v>
      </c>
      <c r="EM49" s="930">
        <f t="shared" si="316"/>
        <v>10692.002318537856</v>
      </c>
      <c r="EN49" s="930">
        <f t="shared" ref="EN49" si="317">EN21+EN24+EN34-EN9-EN10</f>
        <v>1757.3845107821944</v>
      </c>
      <c r="EO49" s="930">
        <f>EO21+EO24+EO34-EO9-EO10</f>
        <v>1282.9689104166666</v>
      </c>
      <c r="EP49" s="930">
        <f>EP21+EP24+EP34-EP9-EP10</f>
        <v>1544.6629929715834</v>
      </c>
      <c r="EQ49" s="893"/>
      <c r="ER49" s="930">
        <f>ER21+ER24+ER34-ER9-ER10</f>
        <v>552.99204714104997</v>
      </c>
      <c r="ES49" s="930">
        <f>ES21+ES24+ES34-ES9-ES10</f>
        <v>616.26497078938326</v>
      </c>
      <c r="ET49" s="930">
        <f>ET21+ET24+ET34-ET9-ET10</f>
        <v>551.42396380771663</v>
      </c>
      <c r="EU49" s="930">
        <f>EU21+EU24+EU34-EU9-EU10</f>
        <v>573.47147078938337</v>
      </c>
      <c r="EV49" s="931">
        <f t="shared" ref="EV49:FD49" si="318">EV21+EV24+EV34-EV9-EV10</f>
        <v>2042.5605038263461</v>
      </c>
      <c r="EW49" s="930">
        <f t="shared" si="318"/>
        <v>2216.3570469264332</v>
      </c>
      <c r="EX49" s="930">
        <f t="shared" si="318"/>
        <v>2035.3161906159667</v>
      </c>
      <c r="EY49" s="930" t="e">
        <f t="shared" si="318"/>
        <v>#N/A</v>
      </c>
      <c r="EZ49" s="930">
        <f t="shared" si="318"/>
        <v>2072.3043918139597</v>
      </c>
      <c r="FA49" s="930">
        <f t="shared" si="318"/>
        <v>2181.1587888892573</v>
      </c>
      <c r="FB49" s="930">
        <f>FB21+FB24+FB34-FB9-FB10</f>
        <v>2161.1884134806264</v>
      </c>
      <c r="FC49" s="930">
        <f t="shared" si="318"/>
        <v>1976.3909096835978</v>
      </c>
      <c r="FD49" s="930">
        <f t="shared" si="318"/>
        <v>3063.1992011422772</v>
      </c>
      <c r="FE49" s="930">
        <f t="shared" ref="FE49:FJ49" si="319">FE21+FE24+FE34-FE9-FE10</f>
        <v>1852.6755944916113</v>
      </c>
      <c r="FF49" s="930">
        <f t="shared" si="319"/>
        <v>1790.5267672925277</v>
      </c>
      <c r="FG49" s="930">
        <f t="shared" si="319"/>
        <v>2233.1230806232502</v>
      </c>
      <c r="FH49" s="930" t="e">
        <f t="shared" si="319"/>
        <v>#N/A</v>
      </c>
      <c r="FI49" s="930" t="e">
        <f t="shared" si="319"/>
        <v>#N/A</v>
      </c>
      <c r="FJ49" s="930">
        <f t="shared" si="319"/>
        <v>10989.653653949763</v>
      </c>
      <c r="FK49" s="930">
        <f t="shared" ref="FK49" si="320">FK21+FK24+FK34-FK9-FK10</f>
        <v>1817.848764645639</v>
      </c>
      <c r="FL49" s="930">
        <f>FL21+FL24+FL34-FL9-FL10</f>
        <v>1312.9689104166666</v>
      </c>
      <c r="FM49" s="930">
        <f>FM21+FM24+FM34-FM9-FM10</f>
        <v>1574.6629929715834</v>
      </c>
    </row>
    <row r="50" spans="1:171" s="909" customFormat="1" ht="16.2" customHeight="1">
      <c r="A50" s="899">
        <f>ROWS($A$1:A50)</f>
        <v>50</v>
      </c>
      <c r="B50" s="936" t="s">
        <v>793</v>
      </c>
      <c r="C50" s="913" t="s">
        <v>220</v>
      </c>
      <c r="D50" s="933">
        <f>IF(D6=0,0,D49/D6)</f>
        <v>29.432236692211188</v>
      </c>
      <c r="E50" s="933">
        <f t="shared" ref="E50:AH50" si="321">IF(E6=0,0,E49/E6)</f>
        <v>32.68302178910222</v>
      </c>
      <c r="F50" s="933">
        <f t="shared" si="321"/>
        <v>35.350090446477992</v>
      </c>
      <c r="G50" s="933">
        <f t="shared" si="321"/>
        <v>38.338146807943438</v>
      </c>
      <c r="H50" s="933">
        <f t="shared" si="321"/>
        <v>44.267058176042774</v>
      </c>
      <c r="I50" s="933">
        <f t="shared" si="321"/>
        <v>34.611920253584728</v>
      </c>
      <c r="J50" s="933">
        <f t="shared" si="321"/>
        <v>34.47748811009145</v>
      </c>
      <c r="K50" s="933">
        <f t="shared" si="321"/>
        <v>43.931309359423437</v>
      </c>
      <c r="L50" s="933">
        <f t="shared" si="321"/>
        <v>39.65098409538826</v>
      </c>
      <c r="M50" s="933">
        <f t="shared" si="321"/>
        <v>41.874480842158391</v>
      </c>
      <c r="N50" s="933">
        <f t="shared" si="321"/>
        <v>41.893539252097291</v>
      </c>
      <c r="O50" s="933">
        <f t="shared" si="321"/>
        <v>41.017753211753892</v>
      </c>
      <c r="P50" s="933">
        <f t="shared" si="321"/>
        <v>46.860937278452496</v>
      </c>
      <c r="Q50" s="933">
        <f t="shared" si="321"/>
        <v>29.986696701777323</v>
      </c>
      <c r="R50" s="933" t="e">
        <f t="shared" ref="R50" si="322">IF(R6=0,0,R49/R6)</f>
        <v>#VALUE!</v>
      </c>
      <c r="S50" s="933">
        <f t="shared" si="321"/>
        <v>68.302183193438879</v>
      </c>
      <c r="T50" s="933">
        <f t="shared" si="321"/>
        <v>112.49354636417375</v>
      </c>
      <c r="U50" s="933">
        <f t="shared" si="321"/>
        <v>99.31024271432446</v>
      </c>
      <c r="V50" s="933">
        <f t="shared" si="321"/>
        <v>94.954774037413898</v>
      </c>
      <c r="W50" s="933" t="e">
        <f t="shared" ref="W50" si="323">IF(W6=0,0,W49/W6)</f>
        <v>#VALUE!</v>
      </c>
      <c r="X50" s="933">
        <f t="shared" si="321"/>
        <v>82.582987870747232</v>
      </c>
      <c r="Y50" s="933">
        <f t="shared" si="321"/>
        <v>83.69316287074723</v>
      </c>
      <c r="Z50" s="933" t="e">
        <f t="shared" si="321"/>
        <v>#VALUE!</v>
      </c>
      <c r="AA50" s="933">
        <f t="shared" si="321"/>
        <v>5.0721518335759637</v>
      </c>
      <c r="AB50" s="933">
        <f t="shared" si="321"/>
        <v>55.861056395099617</v>
      </c>
      <c r="AC50" s="933" t="e">
        <f t="shared" si="321"/>
        <v>#VALUE!</v>
      </c>
      <c r="AD50" s="933">
        <f t="shared" si="321"/>
        <v>40.714671942161047</v>
      </c>
      <c r="AE50" s="933">
        <f t="shared" si="321"/>
        <v>23.843482283511815</v>
      </c>
      <c r="AF50" s="933">
        <f t="shared" si="321"/>
        <v>0</v>
      </c>
      <c r="AG50" s="933">
        <f t="shared" si="321"/>
        <v>1259.9164424358332</v>
      </c>
      <c r="AH50" s="933">
        <f t="shared" si="321"/>
        <v>281.36283838825</v>
      </c>
      <c r="AI50" s="935"/>
      <c r="AJ50" s="934">
        <f t="shared" ref="AJ50:BN50" si="324">IF(AJ6=0,0,AJ49/AJ6)</f>
        <v>23.431117597901114</v>
      </c>
      <c r="AK50" s="933">
        <f t="shared" si="324"/>
        <v>26.166139733268889</v>
      </c>
      <c r="AL50" s="933">
        <f t="shared" si="324"/>
        <v>28.021762189960153</v>
      </c>
      <c r="AM50" s="933">
        <f t="shared" si="324"/>
        <v>30.346255451368989</v>
      </c>
      <c r="AN50" s="933">
        <f t="shared" si="324"/>
        <v>34.643450075892105</v>
      </c>
      <c r="AO50" s="933">
        <f t="shared" si="324"/>
        <v>27.225776563588372</v>
      </c>
      <c r="AP50" s="933">
        <f t="shared" si="324"/>
        <v>27.171396114723343</v>
      </c>
      <c r="AQ50" s="933">
        <f t="shared" si="324"/>
        <v>34.968220147741896</v>
      </c>
      <c r="AR50" s="933">
        <f t="shared" si="324"/>
        <v>31.8663575872196</v>
      </c>
      <c r="AS50" s="933">
        <f t="shared" si="324"/>
        <v>32.82330289242708</v>
      </c>
      <c r="AT50" s="933">
        <f t="shared" si="324"/>
        <v>35.210800198438726</v>
      </c>
      <c r="AU50" s="933">
        <f t="shared" si="324"/>
        <v>32.485924212133888</v>
      </c>
      <c r="AV50" s="933">
        <f t="shared" si="324"/>
        <v>36.781189681840331</v>
      </c>
      <c r="AW50" s="933">
        <f t="shared" si="324"/>
        <v>24.654373901478003</v>
      </c>
      <c r="AX50" s="933" t="e">
        <f t="shared" ref="AX50" si="325">IF(AX6=0,0,AX49/AX6)</f>
        <v>#VALUE!</v>
      </c>
      <c r="AY50" s="933">
        <f t="shared" si="324"/>
        <v>55.969421242037789</v>
      </c>
      <c r="AZ50" s="933">
        <f t="shared" si="324"/>
        <v>90.903010900567679</v>
      </c>
      <c r="BA50" s="933">
        <f t="shared" si="324"/>
        <v>79.723218270582223</v>
      </c>
      <c r="BB50" s="933">
        <f t="shared" si="324"/>
        <v>73.572591826806175</v>
      </c>
      <c r="BC50" s="933" t="e">
        <f t="shared" ref="BC50" si="326">IF(BC6=0,0,BC49/BC6)</f>
        <v>#VALUE!</v>
      </c>
      <c r="BD50" s="933">
        <f t="shared" si="324"/>
        <v>49.942967447769846</v>
      </c>
      <c r="BE50" s="933">
        <f t="shared" si="324"/>
        <v>51.08843411443651</v>
      </c>
      <c r="BF50" s="933" t="e">
        <f t="shared" si="324"/>
        <v>#VALUE!</v>
      </c>
      <c r="BG50" s="933">
        <f t="shared" si="324"/>
        <v>4.0530829003019289</v>
      </c>
      <c r="BH50" s="933">
        <f t="shared" si="324"/>
        <v>42.862006881810856</v>
      </c>
      <c r="BI50" s="933" t="e">
        <f t="shared" si="324"/>
        <v>#VALUE!</v>
      </c>
      <c r="BJ50" s="933">
        <f t="shared" si="324"/>
        <v>36.304143214836046</v>
      </c>
      <c r="BK50" s="933">
        <f t="shared" si="324"/>
        <v>21.823505109210252</v>
      </c>
      <c r="BL50" s="933">
        <f t="shared" si="324"/>
        <v>0</v>
      </c>
      <c r="BM50" s="933">
        <f t="shared" si="324"/>
        <v>1299.9164424358332</v>
      </c>
      <c r="BN50" s="933">
        <f t="shared" si="324"/>
        <v>601.36283838825011</v>
      </c>
      <c r="BO50" s="929"/>
      <c r="BP50" s="934">
        <f t="shared" ref="BP50:CT50" si="327">IF(BP6=0,0,BP49/BP6)</f>
        <v>21.455012317365199</v>
      </c>
      <c r="BQ50" s="933">
        <f t="shared" si="327"/>
        <v>22.106351277546665</v>
      </c>
      <c r="BR50" s="933">
        <f t="shared" si="327"/>
        <v>23.626668845230121</v>
      </c>
      <c r="BS50" s="933">
        <f t="shared" si="327"/>
        <v>25.605504851066598</v>
      </c>
      <c r="BT50" s="933">
        <f t="shared" si="327"/>
        <v>29.429111847689178</v>
      </c>
      <c r="BU50" s="933">
        <f t="shared" si="327"/>
        <v>22.908048882783792</v>
      </c>
      <c r="BV50" s="933">
        <f t="shared" si="327"/>
        <v>23.563474942130302</v>
      </c>
      <c r="BW50" s="933">
        <f t="shared" si="327"/>
        <v>29.15529266137678</v>
      </c>
      <c r="BX50" s="933">
        <f t="shared" si="327"/>
        <v>25.594060253746985</v>
      </c>
      <c r="BY50" s="933">
        <f t="shared" si="327"/>
        <v>27.39259612258828</v>
      </c>
      <c r="BZ50" s="933">
        <f t="shared" si="327"/>
        <v>30.602014644191428</v>
      </c>
      <c r="CA50" s="933">
        <f t="shared" si="327"/>
        <v>27.081221865311221</v>
      </c>
      <c r="CB50" s="933">
        <f t="shared" si="327"/>
        <v>30.733341123873043</v>
      </c>
      <c r="CC50" s="933">
        <f t="shared" si="327"/>
        <v>21.45498022129841</v>
      </c>
      <c r="CD50" s="933" t="e">
        <f t="shared" ref="CD50" si="328">IF(CD6=0,0,CD49/CD6)</f>
        <v>#VALUE!</v>
      </c>
      <c r="CE50" s="933">
        <f t="shared" si="327"/>
        <v>47.84517399110311</v>
      </c>
      <c r="CF50" s="933">
        <f t="shared" si="327"/>
        <v>76.634644996204059</v>
      </c>
      <c r="CG50" s="933">
        <f t="shared" si="327"/>
        <v>67.9710036043369</v>
      </c>
      <c r="CH50" s="933">
        <f t="shared" si="327"/>
        <v>60.994837585272229</v>
      </c>
      <c r="CI50" s="933" t="e">
        <f t="shared" ref="CI50" si="329">IF(CI6=0,0,CI49/CI6)</f>
        <v>#VALUE!</v>
      </c>
      <c r="CJ50" s="933">
        <f t="shared" si="327"/>
        <v>37.45162594524556</v>
      </c>
      <c r="CK50" s="933">
        <f t="shared" si="327"/>
        <v>38.512392611912219</v>
      </c>
      <c r="CL50" s="933" t="e">
        <f t="shared" si="327"/>
        <v>#VALUE!</v>
      </c>
      <c r="CM50" s="933">
        <f t="shared" si="327"/>
        <v>3.5498115959930838</v>
      </c>
      <c r="CN50" s="933">
        <f t="shared" si="327"/>
        <v>35.062577173837596</v>
      </c>
      <c r="CO50" s="933" t="e">
        <f t="shared" si="327"/>
        <v>#VALUE!</v>
      </c>
      <c r="CP50" s="933">
        <f t="shared" si="327"/>
        <v>29.33252703267307</v>
      </c>
      <c r="CQ50" s="933">
        <f t="shared" si="327"/>
        <v>20.236037100845031</v>
      </c>
      <c r="CR50" s="933">
        <f>IF(CR6=0,0,CR49/CR6)</f>
        <v>0</v>
      </c>
      <c r="CS50" s="933">
        <f t="shared" si="327"/>
        <v>1339.9164424358335</v>
      </c>
      <c r="CT50" s="933">
        <f t="shared" si="327"/>
        <v>641.36283838825011</v>
      </c>
      <c r="CV50" s="936" t="s">
        <v>793</v>
      </c>
      <c r="CW50" s="913" t="s">
        <v>220</v>
      </c>
      <c r="CX50" s="933">
        <f t="shared" ref="CX50:DS50" si="330">IF(CX6=0,0,CX49/CX6)</f>
        <v>3.0074223793590558</v>
      </c>
      <c r="CY50" s="933">
        <f t="shared" si="330"/>
        <v>2.1255252603067918</v>
      </c>
      <c r="CZ50" s="933">
        <f t="shared" si="330"/>
        <v>3.0021954349146114</v>
      </c>
      <c r="DA50" s="933">
        <f t="shared" si="330"/>
        <v>1.6254007128652963</v>
      </c>
      <c r="DB50" s="933">
        <f t="shared" si="330"/>
        <v>53.175163002448727</v>
      </c>
      <c r="DC50" s="933">
        <f t="shared" si="330"/>
        <v>61.791630410183338</v>
      </c>
      <c r="DD50" s="933">
        <f t="shared" si="330"/>
        <v>61.28947954351667</v>
      </c>
      <c r="DE50" s="933" t="e">
        <f t="shared" si="330"/>
        <v>#N/A</v>
      </c>
      <c r="DF50" s="933">
        <f t="shared" si="330"/>
        <v>60.270062915370787</v>
      </c>
      <c r="DG50" s="933">
        <f t="shared" si="330"/>
        <v>63.375390681673011</v>
      </c>
      <c r="DH50" s="933">
        <f t="shared" si="330"/>
        <v>61.54427682123913</v>
      </c>
      <c r="DI50" s="933">
        <f t="shared" si="330"/>
        <v>95.713557025658289</v>
      </c>
      <c r="DJ50" s="933">
        <f t="shared" si="330"/>
        <v>47.729003824092061</v>
      </c>
      <c r="DK50" s="933">
        <f t="shared" si="330"/>
        <v>91.964250079982236</v>
      </c>
      <c r="DL50" s="933">
        <f t="shared" si="330"/>
        <v>88.955654635008884</v>
      </c>
      <c r="DM50" s="933">
        <f t="shared" si="330"/>
        <v>101.79110317143889</v>
      </c>
      <c r="DN50" s="933" t="e">
        <f t="shared" si="330"/>
        <v>#N/A</v>
      </c>
      <c r="DO50" s="933" t="e">
        <f t="shared" si="330"/>
        <v>#N/A</v>
      </c>
      <c r="DP50" s="933">
        <f t="shared" si="330"/>
        <v>69.229006554173012</v>
      </c>
      <c r="DQ50" s="933">
        <f t="shared" ref="DQ50" si="331">IF(DQ6=0,0,DQ49/DQ6)</f>
        <v>112.46135046125001</v>
      </c>
      <c r="DR50" s="933">
        <f t="shared" si="330"/>
        <v>1211.9689104166666</v>
      </c>
      <c r="DS50" s="933">
        <f t="shared" si="330"/>
        <v>1504.6629929715834</v>
      </c>
      <c r="DU50" s="933">
        <f>IF(DU6=0,0,DU49/DU6)</f>
        <v>1.6444902709707538</v>
      </c>
      <c r="DV50" s="933">
        <f>IF(DV6=0,0,DV49/DV6)</f>
        <v>1.4764750749120998</v>
      </c>
      <c r="DW50" s="933">
        <f>IF(DW6=0,0,DW49/DW6)</f>
        <v>1.8276032428526252</v>
      </c>
      <c r="DX50" s="933">
        <f>IF(DX6=0,0,DX49/DX6)</f>
        <v>1.1262868256776666</v>
      </c>
      <c r="DY50" s="934">
        <f t="shared" ref="DY50:EG50" si="332">IF(DY6=0,0,DY49/DY6)</f>
        <v>50.858561938986114</v>
      </c>
      <c r="DZ50" s="933">
        <f t="shared" si="332"/>
        <v>49.782123929478608</v>
      </c>
      <c r="EA50" s="933">
        <f t="shared" si="332"/>
        <v>49.077639729478605</v>
      </c>
      <c r="EB50" s="933" t="e">
        <f t="shared" si="332"/>
        <v>#N/A</v>
      </c>
      <c r="EC50" s="933">
        <f t="shared" si="332"/>
        <v>48.54199864017454</v>
      </c>
      <c r="ED50" s="933">
        <f t="shared" si="332"/>
        <v>51.067280862392522</v>
      </c>
      <c r="EE50" s="933">
        <f>IF(EE6=0,0,EE49/EE6)</f>
        <v>51.314147406841222</v>
      </c>
      <c r="EF50" s="933">
        <f t="shared" si="332"/>
        <v>53.282154898618437</v>
      </c>
      <c r="EG50" s="933">
        <f t="shared" si="332"/>
        <v>39.723757632669844</v>
      </c>
      <c r="EH50" s="933">
        <f t="shared" ref="EH50:EM50" si="333">IF(EH6=0,0,EH49/EH6)</f>
        <v>71.740105669825553</v>
      </c>
      <c r="EI50" s="933">
        <f t="shared" si="333"/>
        <v>69.154942419428878</v>
      </c>
      <c r="EJ50" s="933">
        <f t="shared" si="333"/>
        <v>84.69960442502223</v>
      </c>
      <c r="EK50" s="933" t="e">
        <f t="shared" si="333"/>
        <v>#N/A</v>
      </c>
      <c r="EL50" s="933" t="e">
        <f t="shared" si="333"/>
        <v>#N/A</v>
      </c>
      <c r="EM50" s="933">
        <f t="shared" si="333"/>
        <v>57.024012365535235</v>
      </c>
      <c r="EN50" s="933">
        <f t="shared" ref="EN50" si="334">IF(EN6=0,0,EN49/EN6)</f>
        <v>87.869225539109721</v>
      </c>
      <c r="EO50" s="933">
        <f>IF(EO6=0,0,EO49/EO6)</f>
        <v>1282.9689104166666</v>
      </c>
      <c r="EP50" s="933">
        <f>IF(EP6=0,0,EP49/EP6)</f>
        <v>1544.6629929715834</v>
      </c>
      <c r="ER50" s="933">
        <f>IF(ER6=0,0,ER49/ER6)</f>
        <v>1.1059840942821</v>
      </c>
      <c r="ES50" s="933">
        <f>IF(ES6=0,0,ES49/ES6)</f>
        <v>1.0271082846489721</v>
      </c>
      <c r="ET50" s="933">
        <f>IF(ET6=0,0,ET49/ET6)</f>
        <v>1.1028479276154333</v>
      </c>
      <c r="EU50" s="933">
        <f>IF(EU6=0,0,EU49/EU6)</f>
        <v>0.95578578464897224</v>
      </c>
      <c r="EV50" s="934">
        <f t="shared" ref="EV50:FD50" si="335">IF(EV6=0,0,EV49/EV6)</f>
        <v>29.602326142410814</v>
      </c>
      <c r="EW50" s="933">
        <f t="shared" si="335"/>
        <v>36.93928411544055</v>
      </c>
      <c r="EX50" s="933">
        <f t="shared" si="335"/>
        <v>45.229248680354814</v>
      </c>
      <c r="EY50" s="933" t="e">
        <f t="shared" si="335"/>
        <v>#N/A</v>
      </c>
      <c r="EZ50" s="933">
        <f t="shared" si="335"/>
        <v>41.44608783627919</v>
      </c>
      <c r="FA50" s="933">
        <f t="shared" si="335"/>
        <v>43.623175777785143</v>
      </c>
      <c r="FB50" s="933">
        <f>IF(FB6=0,0,FB49/FB6)</f>
        <v>43.223768269612528</v>
      </c>
      <c r="FC50" s="933">
        <f t="shared" si="335"/>
        <v>54.899747491211052</v>
      </c>
      <c r="FD50" s="933">
        <f t="shared" si="335"/>
        <v>35.007990870197453</v>
      </c>
      <c r="FE50" s="933">
        <f t="shared" ref="FE50:FJ50" si="336">IF(FE6=0,0,FE49/FE6)</f>
        <v>59.285619023731563</v>
      </c>
      <c r="FF50" s="933">
        <f t="shared" si="336"/>
        <v>57.296856553360882</v>
      </c>
      <c r="FG50" s="933">
        <f t="shared" si="336"/>
        <v>74.43743602077501</v>
      </c>
      <c r="FH50" s="933" t="e">
        <f t="shared" si="336"/>
        <v>#N/A</v>
      </c>
      <c r="FI50" s="933" t="e">
        <f t="shared" si="336"/>
        <v>#N/A</v>
      </c>
      <c r="FJ50" s="933">
        <f t="shared" si="336"/>
        <v>48.842905128665613</v>
      </c>
      <c r="FK50" s="933">
        <f t="shared" ref="FK50" si="337">IF(FK6=0,0,FK49/FK6)</f>
        <v>72.713950585825557</v>
      </c>
      <c r="FL50" s="933">
        <f>IF(FL6=0,0,FL49/FL6)</f>
        <v>1312.9689104166666</v>
      </c>
      <c r="FM50" s="933">
        <f>IF(FM6=0,0,FM49/FM6)</f>
        <v>1574.6629929715834</v>
      </c>
    </row>
    <row r="51" spans="1:171" ht="16.2" customHeight="1">
      <c r="A51" s="899">
        <f>ROWS($A$1:A51)</f>
        <v>51</v>
      </c>
      <c r="B51" s="923" t="s">
        <v>792</v>
      </c>
      <c r="C51" s="922" t="s">
        <v>163</v>
      </c>
      <c r="D51" s="930">
        <f>D23</f>
        <v>0</v>
      </c>
      <c r="E51" s="930">
        <f t="shared" ref="E51:AH51" si="338">E23</f>
        <v>177</v>
      </c>
      <c r="F51" s="930">
        <f t="shared" si="338"/>
        <v>177</v>
      </c>
      <c r="G51" s="930">
        <f t="shared" si="338"/>
        <v>177</v>
      </c>
      <c r="H51" s="930">
        <f t="shared" si="338"/>
        <v>177</v>
      </c>
      <c r="I51" s="930">
        <f t="shared" si="338"/>
        <v>177</v>
      </c>
      <c r="J51" s="930">
        <f t="shared" si="338"/>
        <v>177</v>
      </c>
      <c r="K51" s="930">
        <f t="shared" si="338"/>
        <v>177</v>
      </c>
      <c r="L51" s="930">
        <f t="shared" si="338"/>
        <v>177</v>
      </c>
      <c r="M51" s="930">
        <f t="shared" si="338"/>
        <v>177</v>
      </c>
      <c r="N51" s="930">
        <f t="shared" si="338"/>
        <v>177</v>
      </c>
      <c r="O51" s="930">
        <f t="shared" si="338"/>
        <v>177</v>
      </c>
      <c r="P51" s="930">
        <f t="shared" si="338"/>
        <v>177</v>
      </c>
      <c r="Q51" s="930">
        <f t="shared" si="338"/>
        <v>177</v>
      </c>
      <c r="R51" s="930">
        <f t="shared" ref="R51" si="339">R23</f>
        <v>177</v>
      </c>
      <c r="S51" s="930">
        <f t="shared" si="338"/>
        <v>177</v>
      </c>
      <c r="T51" s="930">
        <f t="shared" si="338"/>
        <v>177</v>
      </c>
      <c r="U51" s="930">
        <f t="shared" si="338"/>
        <v>177</v>
      </c>
      <c r="V51" s="930">
        <f t="shared" si="338"/>
        <v>177</v>
      </c>
      <c r="W51" s="930">
        <f t="shared" ref="W51" si="340">W23</f>
        <v>177</v>
      </c>
      <c r="X51" s="930">
        <f t="shared" si="338"/>
        <v>177</v>
      </c>
      <c r="Y51" s="930">
        <f t="shared" si="338"/>
        <v>177</v>
      </c>
      <c r="Z51" s="930">
        <f t="shared" si="338"/>
        <v>177</v>
      </c>
      <c r="AA51" s="930">
        <f t="shared" si="338"/>
        <v>177</v>
      </c>
      <c r="AB51" s="930">
        <f t="shared" si="338"/>
        <v>177</v>
      </c>
      <c r="AC51" s="930">
        <f t="shared" si="338"/>
        <v>177</v>
      </c>
      <c r="AD51" s="930">
        <f t="shared" si="338"/>
        <v>177</v>
      </c>
      <c r="AE51" s="930">
        <f t="shared" si="338"/>
        <v>177</v>
      </c>
      <c r="AF51" s="930">
        <f t="shared" si="338"/>
        <v>0</v>
      </c>
      <c r="AG51" s="930">
        <f t="shared" si="338"/>
        <v>907</v>
      </c>
      <c r="AH51" s="930">
        <f t="shared" si="338"/>
        <v>277</v>
      </c>
      <c r="AI51" s="932"/>
      <c r="AJ51" s="931">
        <f t="shared" ref="AJ51:BN51" si="341">AJ23</f>
        <v>0</v>
      </c>
      <c r="AK51" s="930">
        <f t="shared" si="341"/>
        <v>177</v>
      </c>
      <c r="AL51" s="930">
        <f t="shared" si="341"/>
        <v>177</v>
      </c>
      <c r="AM51" s="930">
        <f t="shared" si="341"/>
        <v>177</v>
      </c>
      <c r="AN51" s="930">
        <f t="shared" si="341"/>
        <v>177</v>
      </c>
      <c r="AO51" s="930">
        <f t="shared" si="341"/>
        <v>177</v>
      </c>
      <c r="AP51" s="930">
        <f t="shared" si="341"/>
        <v>177</v>
      </c>
      <c r="AQ51" s="930">
        <f t="shared" si="341"/>
        <v>177</v>
      </c>
      <c r="AR51" s="930">
        <f t="shared" si="341"/>
        <v>177</v>
      </c>
      <c r="AS51" s="930">
        <f t="shared" si="341"/>
        <v>177</v>
      </c>
      <c r="AT51" s="930">
        <f t="shared" si="341"/>
        <v>177</v>
      </c>
      <c r="AU51" s="930">
        <f t="shared" si="341"/>
        <v>177</v>
      </c>
      <c r="AV51" s="930">
        <f t="shared" si="341"/>
        <v>177</v>
      </c>
      <c r="AW51" s="930">
        <f t="shared" si="341"/>
        <v>177</v>
      </c>
      <c r="AX51" s="930">
        <f t="shared" ref="AX51" si="342">AX23</f>
        <v>177</v>
      </c>
      <c r="AY51" s="930">
        <f t="shared" si="341"/>
        <v>177</v>
      </c>
      <c r="AZ51" s="930">
        <f t="shared" si="341"/>
        <v>177</v>
      </c>
      <c r="BA51" s="930">
        <f t="shared" si="341"/>
        <v>177</v>
      </c>
      <c r="BB51" s="930">
        <f t="shared" si="341"/>
        <v>177</v>
      </c>
      <c r="BC51" s="930">
        <f t="shared" ref="BC51" si="343">BC23</f>
        <v>177</v>
      </c>
      <c r="BD51" s="930">
        <f t="shared" si="341"/>
        <v>177</v>
      </c>
      <c r="BE51" s="930">
        <f t="shared" si="341"/>
        <v>177</v>
      </c>
      <c r="BF51" s="930">
        <f t="shared" si="341"/>
        <v>177</v>
      </c>
      <c r="BG51" s="930">
        <f t="shared" si="341"/>
        <v>177</v>
      </c>
      <c r="BH51" s="930">
        <f t="shared" si="341"/>
        <v>177</v>
      </c>
      <c r="BI51" s="930">
        <f t="shared" si="341"/>
        <v>177</v>
      </c>
      <c r="BJ51" s="930">
        <f t="shared" si="341"/>
        <v>177</v>
      </c>
      <c r="BK51" s="930">
        <f t="shared" si="341"/>
        <v>177</v>
      </c>
      <c r="BL51" s="930">
        <f t="shared" si="341"/>
        <v>0</v>
      </c>
      <c r="BM51" s="930">
        <f t="shared" si="341"/>
        <v>907</v>
      </c>
      <c r="BN51" s="930">
        <f t="shared" si="341"/>
        <v>277</v>
      </c>
      <c r="BO51" s="2922"/>
      <c r="BP51" s="931">
        <f t="shared" ref="BP51:CT51" si="344">BP23</f>
        <v>0</v>
      </c>
      <c r="BQ51" s="930">
        <f t="shared" si="344"/>
        <v>177</v>
      </c>
      <c r="BR51" s="930">
        <f t="shared" si="344"/>
        <v>177</v>
      </c>
      <c r="BS51" s="930">
        <f t="shared" si="344"/>
        <v>177</v>
      </c>
      <c r="BT51" s="930">
        <f t="shared" si="344"/>
        <v>177</v>
      </c>
      <c r="BU51" s="930">
        <f t="shared" si="344"/>
        <v>177</v>
      </c>
      <c r="BV51" s="930">
        <f t="shared" si="344"/>
        <v>177</v>
      </c>
      <c r="BW51" s="930">
        <f t="shared" si="344"/>
        <v>177</v>
      </c>
      <c r="BX51" s="930">
        <f t="shared" si="344"/>
        <v>177</v>
      </c>
      <c r="BY51" s="930">
        <f t="shared" si="344"/>
        <v>177</v>
      </c>
      <c r="BZ51" s="930">
        <f t="shared" si="344"/>
        <v>177</v>
      </c>
      <c r="CA51" s="930">
        <f t="shared" si="344"/>
        <v>177</v>
      </c>
      <c r="CB51" s="930">
        <f t="shared" si="344"/>
        <v>177</v>
      </c>
      <c r="CC51" s="930">
        <f t="shared" si="344"/>
        <v>177</v>
      </c>
      <c r="CD51" s="930">
        <f t="shared" ref="CD51" si="345">CD23</f>
        <v>177</v>
      </c>
      <c r="CE51" s="930">
        <f t="shared" si="344"/>
        <v>177</v>
      </c>
      <c r="CF51" s="930">
        <f t="shared" si="344"/>
        <v>177</v>
      </c>
      <c r="CG51" s="930">
        <f t="shared" si="344"/>
        <v>177</v>
      </c>
      <c r="CH51" s="930">
        <f t="shared" si="344"/>
        <v>177</v>
      </c>
      <c r="CI51" s="930">
        <f t="shared" ref="CI51" si="346">CI23</f>
        <v>177</v>
      </c>
      <c r="CJ51" s="930">
        <f t="shared" si="344"/>
        <v>177</v>
      </c>
      <c r="CK51" s="930">
        <f t="shared" si="344"/>
        <v>177</v>
      </c>
      <c r="CL51" s="930">
        <f t="shared" si="344"/>
        <v>177</v>
      </c>
      <c r="CM51" s="930">
        <f t="shared" si="344"/>
        <v>177</v>
      </c>
      <c r="CN51" s="930">
        <f t="shared" si="344"/>
        <v>177</v>
      </c>
      <c r="CO51" s="930">
        <f t="shared" si="344"/>
        <v>177</v>
      </c>
      <c r="CP51" s="930">
        <f t="shared" si="344"/>
        <v>177</v>
      </c>
      <c r="CQ51" s="930">
        <f t="shared" si="344"/>
        <v>177</v>
      </c>
      <c r="CR51" s="930">
        <f>CR23</f>
        <v>0</v>
      </c>
      <c r="CS51" s="930">
        <f t="shared" si="344"/>
        <v>907</v>
      </c>
      <c r="CT51" s="930">
        <f t="shared" si="344"/>
        <v>277</v>
      </c>
      <c r="CV51" s="923" t="s">
        <v>792</v>
      </c>
      <c r="CW51" s="922" t="s">
        <v>163</v>
      </c>
      <c r="CX51" s="930">
        <f>CX23</f>
        <v>417</v>
      </c>
      <c r="CY51" s="930">
        <f>CY23</f>
        <v>417</v>
      </c>
      <c r="CZ51" s="930">
        <f>CZ23</f>
        <v>417</v>
      </c>
      <c r="DA51" s="930">
        <f>DA23</f>
        <v>417</v>
      </c>
      <c r="DB51" s="930">
        <f t="shared" ref="DB51:DJ51" si="347">DB23</f>
        <v>417</v>
      </c>
      <c r="DC51" s="930">
        <f t="shared" si="347"/>
        <v>417</v>
      </c>
      <c r="DD51" s="930">
        <f>DD23</f>
        <v>417</v>
      </c>
      <c r="DE51" s="930" t="e">
        <f t="shared" si="347"/>
        <v>#N/A</v>
      </c>
      <c r="DF51" s="930">
        <f t="shared" si="347"/>
        <v>417</v>
      </c>
      <c r="DG51" s="930">
        <f t="shared" si="347"/>
        <v>417</v>
      </c>
      <c r="DH51" s="930">
        <f>DH23</f>
        <v>417</v>
      </c>
      <c r="DI51" s="930">
        <f t="shared" si="347"/>
        <v>417</v>
      </c>
      <c r="DJ51" s="930">
        <f t="shared" si="347"/>
        <v>417</v>
      </c>
      <c r="DK51" s="930">
        <f>DK23</f>
        <v>417</v>
      </c>
      <c r="DL51" s="930">
        <f t="shared" ref="DL51:DS51" si="348">DL23</f>
        <v>417</v>
      </c>
      <c r="DM51" s="930">
        <f t="shared" si="348"/>
        <v>417</v>
      </c>
      <c r="DN51" s="930" t="e">
        <f t="shared" si="348"/>
        <v>#N/A</v>
      </c>
      <c r="DO51" s="930">
        <f t="shared" si="348"/>
        <v>417</v>
      </c>
      <c r="DP51" s="930">
        <f t="shared" si="348"/>
        <v>417</v>
      </c>
      <c r="DQ51" s="930">
        <f t="shared" ref="DQ51" si="349">DQ23</f>
        <v>417</v>
      </c>
      <c r="DR51" s="930">
        <f t="shared" si="348"/>
        <v>177</v>
      </c>
      <c r="DS51" s="930">
        <f t="shared" si="348"/>
        <v>177</v>
      </c>
      <c r="DT51" s="893"/>
      <c r="DU51" s="930">
        <f>DU23</f>
        <v>417</v>
      </c>
      <c r="DV51" s="930">
        <f>DV23</f>
        <v>417</v>
      </c>
      <c r="DW51" s="930">
        <f>DW23</f>
        <v>417</v>
      </c>
      <c r="DX51" s="930">
        <f>DX23</f>
        <v>417</v>
      </c>
      <c r="DY51" s="931">
        <f t="shared" ref="DY51:EG51" si="350">DY23</f>
        <v>417</v>
      </c>
      <c r="DZ51" s="930">
        <f t="shared" si="350"/>
        <v>417</v>
      </c>
      <c r="EA51" s="930">
        <f t="shared" si="350"/>
        <v>417</v>
      </c>
      <c r="EB51" s="930" t="e">
        <f t="shared" si="350"/>
        <v>#N/A</v>
      </c>
      <c r="EC51" s="930">
        <f t="shared" si="350"/>
        <v>417</v>
      </c>
      <c r="ED51" s="930">
        <f t="shared" si="350"/>
        <v>417</v>
      </c>
      <c r="EE51" s="930">
        <f>EE23</f>
        <v>417</v>
      </c>
      <c r="EF51" s="930">
        <f t="shared" si="350"/>
        <v>417</v>
      </c>
      <c r="EG51" s="930">
        <f t="shared" si="350"/>
        <v>417</v>
      </c>
      <c r="EH51" s="930">
        <f t="shared" ref="EH51:EM51" si="351">EH23</f>
        <v>417</v>
      </c>
      <c r="EI51" s="930">
        <f t="shared" si="351"/>
        <v>417</v>
      </c>
      <c r="EJ51" s="930">
        <f t="shared" si="351"/>
        <v>417</v>
      </c>
      <c r="EK51" s="930" t="e">
        <f t="shared" si="351"/>
        <v>#N/A</v>
      </c>
      <c r="EL51" s="930">
        <f t="shared" si="351"/>
        <v>417</v>
      </c>
      <c r="EM51" s="930">
        <f t="shared" si="351"/>
        <v>417</v>
      </c>
      <c r="EN51" s="930">
        <f t="shared" ref="EN51" si="352">EN23</f>
        <v>417</v>
      </c>
      <c r="EO51" s="930">
        <f>EO23</f>
        <v>177</v>
      </c>
      <c r="EP51" s="930">
        <f>EP23</f>
        <v>177</v>
      </c>
      <c r="EQ51" s="893"/>
      <c r="ER51" s="930">
        <f>ER23</f>
        <v>417</v>
      </c>
      <c r="ES51" s="930">
        <f>ES23</f>
        <v>417</v>
      </c>
      <c r="ET51" s="930">
        <f>ET23</f>
        <v>417</v>
      </c>
      <c r="EU51" s="930">
        <f>EU23</f>
        <v>417</v>
      </c>
      <c r="EV51" s="931">
        <f t="shared" ref="EV51:FD51" si="353">EV23</f>
        <v>417</v>
      </c>
      <c r="EW51" s="930">
        <f t="shared" si="353"/>
        <v>417</v>
      </c>
      <c r="EX51" s="930">
        <f t="shared" si="353"/>
        <v>417</v>
      </c>
      <c r="EY51" s="930" t="e">
        <f t="shared" si="353"/>
        <v>#N/A</v>
      </c>
      <c r="EZ51" s="930">
        <f t="shared" si="353"/>
        <v>417</v>
      </c>
      <c r="FA51" s="930">
        <f t="shared" si="353"/>
        <v>417</v>
      </c>
      <c r="FB51" s="930">
        <f>FB23</f>
        <v>417</v>
      </c>
      <c r="FC51" s="930">
        <f t="shared" si="353"/>
        <v>417</v>
      </c>
      <c r="FD51" s="930">
        <f t="shared" si="353"/>
        <v>417</v>
      </c>
      <c r="FE51" s="930">
        <f t="shared" ref="FE51:FJ51" si="354">FE23</f>
        <v>417</v>
      </c>
      <c r="FF51" s="930">
        <f t="shared" si="354"/>
        <v>417</v>
      </c>
      <c r="FG51" s="930">
        <f t="shared" si="354"/>
        <v>417</v>
      </c>
      <c r="FH51" s="930" t="e">
        <f t="shared" si="354"/>
        <v>#N/A</v>
      </c>
      <c r="FI51" s="930">
        <f t="shared" si="354"/>
        <v>417</v>
      </c>
      <c r="FJ51" s="930">
        <f t="shared" si="354"/>
        <v>417</v>
      </c>
      <c r="FK51" s="930">
        <f t="shared" ref="FK51" si="355">FK23</f>
        <v>417</v>
      </c>
      <c r="FL51" s="930">
        <f>FL23</f>
        <v>177</v>
      </c>
      <c r="FM51" s="930">
        <f>FM23</f>
        <v>177</v>
      </c>
    </row>
    <row r="52" spans="1:171" s="909" customFormat="1" ht="16.2" customHeight="1">
      <c r="A52" s="899">
        <f>ROWS($A$1:A52)</f>
        <v>52</v>
      </c>
      <c r="B52" s="918"/>
      <c r="C52" s="917" t="s">
        <v>220</v>
      </c>
      <c r="D52" s="927">
        <f>IF(D6=0,0,D51/D6)</f>
        <v>0</v>
      </c>
      <c r="E52" s="927">
        <f t="shared" ref="E52:AH52" si="356">IF(E6=0,0,E51/E6)</f>
        <v>3.1466666666666665</v>
      </c>
      <c r="F52" s="927">
        <f t="shared" si="356"/>
        <v>3.2777777777777777</v>
      </c>
      <c r="G52" s="927">
        <f t="shared" si="356"/>
        <v>3.4705882352941178</v>
      </c>
      <c r="H52" s="927">
        <f t="shared" si="356"/>
        <v>4.72</v>
      </c>
      <c r="I52" s="927">
        <f t="shared" si="356"/>
        <v>3.5223880597014925</v>
      </c>
      <c r="J52" s="927">
        <f t="shared" si="356"/>
        <v>3.3714285714285714</v>
      </c>
      <c r="K52" s="927">
        <f t="shared" si="356"/>
        <v>4.2142857142857144</v>
      </c>
      <c r="L52" s="927">
        <f t="shared" si="356"/>
        <v>4.2142857142857144</v>
      </c>
      <c r="M52" s="927">
        <f t="shared" si="356"/>
        <v>4.290909090909091</v>
      </c>
      <c r="N52" s="927">
        <f t="shared" si="356"/>
        <v>4.4249999999999998</v>
      </c>
      <c r="O52" s="927">
        <f t="shared" si="356"/>
        <v>4.72</v>
      </c>
      <c r="P52" s="927">
        <f t="shared" si="356"/>
        <v>4.4528301886792452</v>
      </c>
      <c r="Q52" s="927">
        <f t="shared" si="356"/>
        <v>2.4081632653061225</v>
      </c>
      <c r="R52" s="927">
        <f t="shared" ref="R52" si="357">IF(R6=0,0,R51/R6)</f>
        <v>2.2124999999999999</v>
      </c>
      <c r="S52" s="927">
        <f t="shared" si="356"/>
        <v>5.9</v>
      </c>
      <c r="T52" s="927">
        <f t="shared" si="356"/>
        <v>10.727272727272727</v>
      </c>
      <c r="U52" s="927">
        <f t="shared" si="356"/>
        <v>9.44</v>
      </c>
      <c r="V52" s="927">
        <f t="shared" si="356"/>
        <v>8.85</v>
      </c>
      <c r="W52" s="927">
        <f t="shared" ref="W52" si="358">IF(W6=0,0,W51/W6)</f>
        <v>11.8</v>
      </c>
      <c r="X52" s="927">
        <f t="shared" si="356"/>
        <v>8.85</v>
      </c>
      <c r="Y52" s="927">
        <f t="shared" si="356"/>
        <v>8.85</v>
      </c>
      <c r="Z52" s="927">
        <f t="shared" si="356"/>
        <v>17.7</v>
      </c>
      <c r="AA52" s="927">
        <f t="shared" si="356"/>
        <v>0.80272108843537415</v>
      </c>
      <c r="AB52" s="927">
        <f t="shared" si="356"/>
        <v>0.88059701492537312</v>
      </c>
      <c r="AC52" s="927">
        <f t="shared" si="356"/>
        <v>0.59</v>
      </c>
      <c r="AD52" s="927">
        <f t="shared" si="356"/>
        <v>0.88944723618090449</v>
      </c>
      <c r="AE52" s="927">
        <f t="shared" si="356"/>
        <v>0.46214099216710181</v>
      </c>
      <c r="AF52" s="927">
        <f t="shared" si="356"/>
        <v>0</v>
      </c>
      <c r="AG52" s="927">
        <f t="shared" si="356"/>
        <v>907</v>
      </c>
      <c r="AH52" s="927">
        <f t="shared" si="356"/>
        <v>277</v>
      </c>
      <c r="AI52" s="929"/>
      <c r="AJ52" s="928">
        <f t="shared" ref="AJ52:BN52" si="359">IF(AJ6=0,0,AJ51/AJ6)</f>
        <v>0</v>
      </c>
      <c r="AK52" s="927">
        <f t="shared" si="359"/>
        <v>2.36</v>
      </c>
      <c r="AL52" s="927">
        <f t="shared" si="359"/>
        <v>2.4583333333333335</v>
      </c>
      <c r="AM52" s="927">
        <f t="shared" si="359"/>
        <v>2.6029411764705883</v>
      </c>
      <c r="AN52" s="927">
        <f t="shared" si="359"/>
        <v>3.54</v>
      </c>
      <c r="AO52" s="927">
        <f t="shared" si="359"/>
        <v>2.6417910447761193</v>
      </c>
      <c r="AP52" s="927">
        <f t="shared" si="359"/>
        <v>2.5285714285714285</v>
      </c>
      <c r="AQ52" s="927">
        <f t="shared" si="359"/>
        <v>3.1607142857142856</v>
      </c>
      <c r="AR52" s="927">
        <f t="shared" si="359"/>
        <v>3.1607142857142856</v>
      </c>
      <c r="AS52" s="927">
        <f t="shared" si="359"/>
        <v>3.2181818181818183</v>
      </c>
      <c r="AT52" s="927">
        <f t="shared" si="359"/>
        <v>3.6122448979591835</v>
      </c>
      <c r="AU52" s="927">
        <f t="shared" si="359"/>
        <v>3.54</v>
      </c>
      <c r="AV52" s="927">
        <f t="shared" si="359"/>
        <v>3.3396226415094339</v>
      </c>
      <c r="AW52" s="927">
        <f t="shared" si="359"/>
        <v>1.8061224489795917</v>
      </c>
      <c r="AX52" s="927">
        <f t="shared" ref="AX52" si="360">IF(AX6=0,0,AX51/AX6)</f>
        <v>1.9666666666666666</v>
      </c>
      <c r="AY52" s="927">
        <f t="shared" si="359"/>
        <v>4.4249999999999998</v>
      </c>
      <c r="AZ52" s="927">
        <f t="shared" si="359"/>
        <v>8.045454545454545</v>
      </c>
      <c r="BA52" s="927">
        <f t="shared" si="359"/>
        <v>7.08</v>
      </c>
      <c r="BB52" s="927">
        <f t="shared" si="359"/>
        <v>6.5555555555555554</v>
      </c>
      <c r="BC52" s="927">
        <f t="shared" ref="BC52" si="361">IF(BC6=0,0,BC51/BC6)</f>
        <v>8.85</v>
      </c>
      <c r="BD52" s="927">
        <f t="shared" si="359"/>
        <v>5.0571428571428569</v>
      </c>
      <c r="BE52" s="927">
        <f t="shared" si="359"/>
        <v>5.0571428571428569</v>
      </c>
      <c r="BF52" s="927">
        <f t="shared" si="359"/>
        <v>7.08</v>
      </c>
      <c r="BG52" s="927">
        <f t="shared" si="359"/>
        <v>0.26261127596439171</v>
      </c>
      <c r="BH52" s="927">
        <f t="shared" si="359"/>
        <v>0.66044776119402981</v>
      </c>
      <c r="BI52" s="927">
        <f t="shared" si="359"/>
        <v>0.50571428571428567</v>
      </c>
      <c r="BJ52" s="927">
        <f t="shared" si="359"/>
        <v>0.77631578947368418</v>
      </c>
      <c r="BK52" s="927">
        <f t="shared" si="359"/>
        <v>0.41647058823529409</v>
      </c>
      <c r="BL52" s="927">
        <f t="shared" si="359"/>
        <v>0</v>
      </c>
      <c r="BM52" s="927">
        <f t="shared" si="359"/>
        <v>907</v>
      </c>
      <c r="BN52" s="927">
        <f t="shared" si="359"/>
        <v>277</v>
      </c>
      <c r="BO52" s="929"/>
      <c r="BP52" s="928">
        <f t="shared" ref="BP52:CT52" si="362">IF(BP6=0,0,BP51/BP6)</f>
        <v>0</v>
      </c>
      <c r="BQ52" s="927">
        <f t="shared" si="362"/>
        <v>1.8879999999999999</v>
      </c>
      <c r="BR52" s="927">
        <f t="shared" si="362"/>
        <v>1.9666666666666666</v>
      </c>
      <c r="BS52" s="927">
        <f t="shared" si="362"/>
        <v>2.0823529411764707</v>
      </c>
      <c r="BT52" s="927">
        <f t="shared" si="362"/>
        <v>2.8319999999999999</v>
      </c>
      <c r="BU52" s="927">
        <f t="shared" si="362"/>
        <v>2.1134328358208956</v>
      </c>
      <c r="BV52" s="927">
        <f t="shared" si="362"/>
        <v>2.0228571428571427</v>
      </c>
      <c r="BW52" s="927">
        <f t="shared" si="362"/>
        <v>2.5285714285714285</v>
      </c>
      <c r="BX52" s="927">
        <f t="shared" si="362"/>
        <v>2.5285714285714285</v>
      </c>
      <c r="BY52" s="927">
        <f t="shared" si="362"/>
        <v>2.5745454545454547</v>
      </c>
      <c r="BZ52" s="927">
        <f t="shared" si="362"/>
        <v>3.0517241379310347</v>
      </c>
      <c r="CA52" s="927">
        <f t="shared" si="362"/>
        <v>2.8319999999999999</v>
      </c>
      <c r="CB52" s="927">
        <f t="shared" si="362"/>
        <v>2.671698113207547</v>
      </c>
      <c r="CC52" s="927">
        <f t="shared" si="362"/>
        <v>1.4448979591836735</v>
      </c>
      <c r="CD52" s="927">
        <f>IF(CD6=0,0,CD51/CD6)</f>
        <v>1.77</v>
      </c>
      <c r="CE52" s="927">
        <f t="shared" si="362"/>
        <v>3.54</v>
      </c>
      <c r="CF52" s="927">
        <f t="shared" si="362"/>
        <v>6.4363636363636365</v>
      </c>
      <c r="CG52" s="927">
        <f t="shared" si="362"/>
        <v>5.6639999999999997</v>
      </c>
      <c r="CH52" s="927">
        <f t="shared" si="362"/>
        <v>5.2058823529411766</v>
      </c>
      <c r="CI52" s="927">
        <f t="shared" ref="CI52" si="363">IF(CI6=0,0,CI51/CI6)</f>
        <v>7.08</v>
      </c>
      <c r="CJ52" s="927">
        <f t="shared" si="362"/>
        <v>3.54</v>
      </c>
      <c r="CK52" s="927">
        <f t="shared" si="362"/>
        <v>3.54</v>
      </c>
      <c r="CL52" s="927">
        <f t="shared" si="362"/>
        <v>4.4249999999999998</v>
      </c>
      <c r="CM52" s="927">
        <f t="shared" si="362"/>
        <v>0.20403458213256484</v>
      </c>
      <c r="CN52" s="927">
        <f t="shared" si="362"/>
        <v>0.5283582089552239</v>
      </c>
      <c r="CO52" s="927">
        <f t="shared" si="362"/>
        <v>0.4425</v>
      </c>
      <c r="CP52" s="927">
        <f t="shared" si="362"/>
        <v>0.6103448275862069</v>
      </c>
      <c r="CQ52" s="927">
        <f t="shared" si="362"/>
        <v>0.37982832618025753</v>
      </c>
      <c r="CR52" s="927">
        <f>IF(CR6=0,0,CR51/CR6)</f>
        <v>0</v>
      </c>
      <c r="CS52" s="927">
        <f t="shared" si="362"/>
        <v>907</v>
      </c>
      <c r="CT52" s="927">
        <f t="shared" si="362"/>
        <v>277</v>
      </c>
      <c r="CV52" s="918"/>
      <c r="CW52" s="917" t="s">
        <v>220</v>
      </c>
      <c r="CX52" s="927">
        <f>IF(CX6=0,0,CX51/CX6)</f>
        <v>1.39</v>
      </c>
      <c r="CY52" s="927">
        <f>IF(CY6=0,0,CY51/CY6)</f>
        <v>1.0425</v>
      </c>
      <c r="CZ52" s="927">
        <f>IF(CZ6=0,0,CZ51/CZ6)</f>
        <v>1.39</v>
      </c>
      <c r="DA52" s="927">
        <f>IF(DA6=0,0,DA51/DA6)</f>
        <v>0.92666666666666664</v>
      </c>
      <c r="DB52" s="927">
        <f t="shared" ref="DB52:DJ52" si="364">IF(DB6=0,0,DB51/DB6)</f>
        <v>13.9</v>
      </c>
      <c r="DC52" s="927">
        <f t="shared" si="364"/>
        <v>13.9</v>
      </c>
      <c r="DD52" s="927">
        <f>IF(DD6=0,0,DD51/DD6)</f>
        <v>13.9</v>
      </c>
      <c r="DE52" s="927" t="e">
        <f t="shared" si="364"/>
        <v>#N/A</v>
      </c>
      <c r="DF52" s="927">
        <f t="shared" si="364"/>
        <v>13.9</v>
      </c>
      <c r="DG52" s="927">
        <f t="shared" si="364"/>
        <v>13.9</v>
      </c>
      <c r="DH52" s="927">
        <f>IF(DH6=0,0,DH51/DH6)</f>
        <v>13.9</v>
      </c>
      <c r="DI52" s="927">
        <f t="shared" si="364"/>
        <v>23.166666666666668</v>
      </c>
      <c r="DJ52" s="927">
        <f t="shared" si="364"/>
        <v>7.9428571428571431</v>
      </c>
      <c r="DK52" s="927">
        <f>IF(DK6=0,0,DK51/DK6)</f>
        <v>22.24</v>
      </c>
      <c r="DL52" s="927">
        <f t="shared" ref="DL52:DS52" si="365">IF(DL6=0,0,DL51/DL6)</f>
        <v>22.24</v>
      </c>
      <c r="DM52" s="927">
        <f t="shared" si="365"/>
        <v>20.85</v>
      </c>
      <c r="DN52" s="927" t="e">
        <f t="shared" si="365"/>
        <v>#N/A</v>
      </c>
      <c r="DO52" s="927">
        <f t="shared" si="365"/>
        <v>41.7</v>
      </c>
      <c r="DP52" s="927">
        <f t="shared" si="365"/>
        <v>2.78</v>
      </c>
      <c r="DQ52" s="927">
        <f t="shared" ref="DQ52" si="366">IF(DQ6=0,0,DQ51/DQ6)</f>
        <v>27.8</v>
      </c>
      <c r="DR52" s="927">
        <f t="shared" si="365"/>
        <v>177</v>
      </c>
      <c r="DS52" s="927">
        <f t="shared" si="365"/>
        <v>177</v>
      </c>
      <c r="DU52" s="927">
        <f>IF(DU6=0,0,DU51/DU6)</f>
        <v>0.99285714285714288</v>
      </c>
      <c r="DV52" s="927">
        <f>IF(DV6=0,0,DV51/DV6)</f>
        <v>0.83399999999999996</v>
      </c>
      <c r="DW52" s="927">
        <f>IF(DW6=0,0,DW51/DW6)</f>
        <v>1.0425</v>
      </c>
      <c r="DX52" s="927">
        <f>IF(DX6=0,0,DX51/DX6)</f>
        <v>0.75818181818181818</v>
      </c>
      <c r="DY52" s="928">
        <f t="shared" ref="DY52:EG52" si="367">IF(DY6=0,0,DY51/DY6)</f>
        <v>10.425000000000001</v>
      </c>
      <c r="DZ52" s="927">
        <f t="shared" si="367"/>
        <v>10.425000000000001</v>
      </c>
      <c r="EA52" s="927">
        <f t="shared" si="367"/>
        <v>10.425000000000001</v>
      </c>
      <c r="EB52" s="927" t="e">
        <f t="shared" si="367"/>
        <v>#N/A</v>
      </c>
      <c r="EC52" s="927">
        <f t="shared" si="367"/>
        <v>10.425000000000001</v>
      </c>
      <c r="ED52" s="927">
        <f t="shared" si="367"/>
        <v>10.425000000000001</v>
      </c>
      <c r="EE52" s="927">
        <f>IF(EE6=0,0,EE51/EE6)</f>
        <v>10.425000000000001</v>
      </c>
      <c r="EF52" s="927">
        <f t="shared" si="367"/>
        <v>11.583333333333334</v>
      </c>
      <c r="EG52" s="927">
        <f t="shared" si="367"/>
        <v>5.9571428571428573</v>
      </c>
      <c r="EH52" s="927">
        <f t="shared" ref="EH52:EM52" si="368">IF(EH6=0,0,EH51/EH6)</f>
        <v>16.68</v>
      </c>
      <c r="EI52" s="927">
        <f t="shared" si="368"/>
        <v>16.68</v>
      </c>
      <c r="EJ52" s="927">
        <f t="shared" si="368"/>
        <v>16.68</v>
      </c>
      <c r="EK52" s="927" t="e">
        <f t="shared" si="368"/>
        <v>#N/A</v>
      </c>
      <c r="EL52" s="927">
        <f t="shared" si="368"/>
        <v>23.166666666666668</v>
      </c>
      <c r="EM52" s="927">
        <f t="shared" si="368"/>
        <v>2.2240000000000002</v>
      </c>
      <c r="EN52" s="927">
        <f t="shared" ref="EN52" si="369">IF(EN6=0,0,EN51/EN6)</f>
        <v>20.85</v>
      </c>
      <c r="EO52" s="927">
        <f>IF(EO6=0,0,EO51/EO6)</f>
        <v>177</v>
      </c>
      <c r="EP52" s="927">
        <f>IF(EP6=0,0,EP51/EP6)</f>
        <v>177</v>
      </c>
      <c r="ER52" s="927">
        <f>IF(ER6=0,0,ER51/ER6)</f>
        <v>0.83399999999999996</v>
      </c>
      <c r="ES52" s="927">
        <f>IF(ES6=0,0,ES51/ES6)</f>
        <v>0.69499999999999995</v>
      </c>
      <c r="ET52" s="927">
        <f>IF(ET6=0,0,ET51/ET6)</f>
        <v>0.83399999999999996</v>
      </c>
      <c r="EU52" s="927">
        <f>IF(EU6=0,0,EU51/EU6)</f>
        <v>0.69499999999999995</v>
      </c>
      <c r="EV52" s="928">
        <f t="shared" ref="EV52:FD52" si="370">IF(EV6=0,0,EV51/EV6)</f>
        <v>6.0434782608695654</v>
      </c>
      <c r="EW52" s="927">
        <f t="shared" si="370"/>
        <v>6.95</v>
      </c>
      <c r="EX52" s="927">
        <f t="shared" si="370"/>
        <v>9.2666666666666675</v>
      </c>
      <c r="EY52" s="927" t="e">
        <f t="shared" si="370"/>
        <v>#N/A</v>
      </c>
      <c r="EZ52" s="927">
        <f t="shared" si="370"/>
        <v>8.34</v>
      </c>
      <c r="FA52" s="927">
        <f t="shared" si="370"/>
        <v>8.34</v>
      </c>
      <c r="FB52" s="927">
        <f>IF(FB6=0,0,FB51/FB6)</f>
        <v>8.34</v>
      </c>
      <c r="FC52" s="927">
        <f t="shared" si="370"/>
        <v>11.583333333333334</v>
      </c>
      <c r="FD52" s="927">
        <f t="shared" si="370"/>
        <v>4.765714285714286</v>
      </c>
      <c r="FE52" s="927">
        <f t="shared" ref="FE52:FJ52" si="371">IF(FE6=0,0,FE51/FE6)</f>
        <v>13.343999999999999</v>
      </c>
      <c r="FF52" s="927">
        <f t="shared" si="371"/>
        <v>13.343999999999999</v>
      </c>
      <c r="FG52" s="927">
        <f t="shared" si="371"/>
        <v>13.9</v>
      </c>
      <c r="FH52" s="927" t="e">
        <f t="shared" si="371"/>
        <v>#N/A</v>
      </c>
      <c r="FI52" s="927">
        <f t="shared" si="371"/>
        <v>16.03846153846154</v>
      </c>
      <c r="FJ52" s="927">
        <f t="shared" si="371"/>
        <v>1.8533333333333333</v>
      </c>
      <c r="FK52" s="927">
        <f t="shared" ref="FK52" si="372">IF(FK6=0,0,FK51/FK6)</f>
        <v>16.68</v>
      </c>
      <c r="FL52" s="927">
        <f>IF(FL6=0,0,FL51/FL6)</f>
        <v>177</v>
      </c>
      <c r="FM52" s="927">
        <f>IF(FM6=0,0,FM51/FM6)</f>
        <v>177</v>
      </c>
    </row>
    <row r="53" spans="1:171" ht="18" customHeight="1">
      <c r="A53" s="899">
        <f>ROWS($A$1:A53)</f>
        <v>53</v>
      </c>
      <c r="B53" s="916" t="s">
        <v>789</v>
      </c>
      <c r="C53" s="915" t="s">
        <v>163</v>
      </c>
      <c r="D53" s="904">
        <f>D49-D51</f>
        <v>1655.5633139368792</v>
      </c>
      <c r="E53" s="904">
        <f t="shared" ref="E53:AH53" si="373">E49-E51</f>
        <v>1661.4199756369999</v>
      </c>
      <c r="F53" s="904">
        <f t="shared" si="373"/>
        <v>1731.9048841098117</v>
      </c>
      <c r="G53" s="904">
        <f t="shared" si="373"/>
        <v>1778.2454872051153</v>
      </c>
      <c r="H53" s="904">
        <f t="shared" si="373"/>
        <v>1483.014681601604</v>
      </c>
      <c r="I53" s="904">
        <f t="shared" si="373"/>
        <v>1562.2489927426325</v>
      </c>
      <c r="J53" s="904">
        <f t="shared" si="373"/>
        <v>1633.068125779801</v>
      </c>
      <c r="K53" s="904">
        <f t="shared" si="373"/>
        <v>1668.1149930957845</v>
      </c>
      <c r="L53" s="904">
        <f t="shared" si="373"/>
        <v>1488.3413320063069</v>
      </c>
      <c r="M53" s="904">
        <f t="shared" si="373"/>
        <v>1550.3223347390335</v>
      </c>
      <c r="N53" s="904">
        <f t="shared" si="373"/>
        <v>1498.7415700838917</v>
      </c>
      <c r="O53" s="904">
        <f t="shared" si="373"/>
        <v>1361.1657454407709</v>
      </c>
      <c r="P53" s="904">
        <f t="shared" si="373"/>
        <v>1685.7222568184868</v>
      </c>
      <c r="Q53" s="904">
        <f t="shared" si="373"/>
        <v>2027.0222075806332</v>
      </c>
      <c r="R53" s="904" t="e">
        <f t="shared" ref="R53" si="374">R49-R51</f>
        <v>#VALUE!</v>
      </c>
      <c r="S53" s="904">
        <f t="shared" si="373"/>
        <v>1872.0654958031664</v>
      </c>
      <c r="T53" s="904">
        <f t="shared" si="373"/>
        <v>1679.1435150088669</v>
      </c>
      <c r="U53" s="904">
        <f t="shared" si="373"/>
        <v>1685.0670508935837</v>
      </c>
      <c r="V53" s="904">
        <f t="shared" si="373"/>
        <v>1722.0954807482781</v>
      </c>
      <c r="W53" s="904" t="e">
        <f t="shared" ref="W53" si="375">W49-W51</f>
        <v>#VALUE!</v>
      </c>
      <c r="X53" s="904">
        <f t="shared" si="373"/>
        <v>1474.6597574149446</v>
      </c>
      <c r="Y53" s="904">
        <f t="shared" si="373"/>
        <v>1496.8632574149447</v>
      </c>
      <c r="Z53" s="904" t="e">
        <f t="shared" si="373"/>
        <v>#VALUE!</v>
      </c>
      <c r="AA53" s="904">
        <f t="shared" si="373"/>
        <v>941.40947930349989</v>
      </c>
      <c r="AB53" s="904">
        <f t="shared" si="373"/>
        <v>11051.072335415023</v>
      </c>
      <c r="AC53" s="904" t="e">
        <f t="shared" si="373"/>
        <v>#VALUE!</v>
      </c>
      <c r="AD53" s="904">
        <f t="shared" si="373"/>
        <v>7925.2197164900481</v>
      </c>
      <c r="AE53" s="904">
        <f t="shared" si="373"/>
        <v>8955.0537145850249</v>
      </c>
      <c r="AF53" s="904">
        <f t="shared" si="373"/>
        <v>858</v>
      </c>
      <c r="AG53" s="904">
        <f t="shared" si="373"/>
        <v>352.91644243583323</v>
      </c>
      <c r="AH53" s="904">
        <f t="shared" si="373"/>
        <v>4.3628383882499975</v>
      </c>
      <c r="AI53" s="901"/>
      <c r="AJ53" s="902">
        <f t="shared" ref="AJ53:BN53" si="376">AJ49-AJ51</f>
        <v>1757.3338198425836</v>
      </c>
      <c r="AK53" s="904">
        <f t="shared" si="376"/>
        <v>1785.4604799951667</v>
      </c>
      <c r="AL53" s="904">
        <f t="shared" si="376"/>
        <v>1840.5668776771311</v>
      </c>
      <c r="AM53" s="904">
        <f t="shared" si="376"/>
        <v>1886.5453706930912</v>
      </c>
      <c r="AN53" s="904">
        <f t="shared" si="376"/>
        <v>1555.1725037946053</v>
      </c>
      <c r="AO53" s="904">
        <f t="shared" si="376"/>
        <v>1647.127029760421</v>
      </c>
      <c r="AP53" s="904">
        <f t="shared" si="376"/>
        <v>1724.9977280306341</v>
      </c>
      <c r="AQ53" s="904">
        <f t="shared" si="376"/>
        <v>1781.2203282735461</v>
      </c>
      <c r="AR53" s="904">
        <f t="shared" si="376"/>
        <v>1607.5160248842976</v>
      </c>
      <c r="AS53" s="904">
        <f t="shared" si="376"/>
        <v>1628.2816590834893</v>
      </c>
      <c r="AT53" s="904">
        <f t="shared" si="376"/>
        <v>1548.3292097234976</v>
      </c>
      <c r="AU53" s="904">
        <f t="shared" si="376"/>
        <v>1447.2962106066943</v>
      </c>
      <c r="AV53" s="904">
        <f t="shared" si="376"/>
        <v>1772.4030531375377</v>
      </c>
      <c r="AW53" s="904">
        <f t="shared" si="376"/>
        <v>2239.1286423448441</v>
      </c>
      <c r="AX53" s="904" t="e">
        <f t="shared" ref="AX53" si="377">AX49-AX51</f>
        <v>#VALUE!</v>
      </c>
      <c r="AY53" s="904">
        <f t="shared" si="376"/>
        <v>2061.7768496815115</v>
      </c>
      <c r="AZ53" s="904">
        <f t="shared" si="376"/>
        <v>1822.8662398124891</v>
      </c>
      <c r="BA53" s="904">
        <f t="shared" si="376"/>
        <v>1816.0804567645555</v>
      </c>
      <c r="BB53" s="904">
        <f t="shared" si="376"/>
        <v>1809.4599793237667</v>
      </c>
      <c r="BC53" s="904" t="e">
        <f t="shared" ref="BC53" si="378">BC49-BC51</f>
        <v>#VALUE!</v>
      </c>
      <c r="BD53" s="904">
        <f t="shared" si="376"/>
        <v>1571.0038606719445</v>
      </c>
      <c r="BE53" s="904">
        <f t="shared" si="376"/>
        <v>1611.0951940052778</v>
      </c>
      <c r="BF53" s="904" t="e">
        <f t="shared" si="376"/>
        <v>#VALUE!</v>
      </c>
      <c r="BG53" s="904">
        <f t="shared" si="376"/>
        <v>2554.7778748034998</v>
      </c>
      <c r="BH53" s="904">
        <f t="shared" si="376"/>
        <v>11310.01784432531</v>
      </c>
      <c r="BI53" s="904" t="e">
        <f t="shared" si="376"/>
        <v>#VALUE!</v>
      </c>
      <c r="BJ53" s="904">
        <f t="shared" si="376"/>
        <v>8100.3446529826178</v>
      </c>
      <c r="BK53" s="904">
        <f t="shared" si="376"/>
        <v>9097.9896714143579</v>
      </c>
      <c r="BL53" s="904">
        <f t="shared" si="376"/>
        <v>898</v>
      </c>
      <c r="BM53" s="904">
        <f t="shared" si="376"/>
        <v>392.91644243583323</v>
      </c>
      <c r="BN53" s="904">
        <f t="shared" si="376"/>
        <v>324.36283838825011</v>
      </c>
      <c r="BO53" s="901"/>
      <c r="BP53" s="902">
        <f t="shared" ref="BP53:CT53" si="379">BP49-BP51</f>
        <v>2011.4074047529875</v>
      </c>
      <c r="BQ53" s="904">
        <f t="shared" si="379"/>
        <v>1895.4704322699999</v>
      </c>
      <c r="BR53" s="904">
        <f t="shared" si="379"/>
        <v>1949.400196070711</v>
      </c>
      <c r="BS53" s="904">
        <f t="shared" si="379"/>
        <v>1999.4679123406609</v>
      </c>
      <c r="BT53" s="904">
        <f t="shared" si="379"/>
        <v>1662.3194904805737</v>
      </c>
      <c r="BU53" s="904">
        <f t="shared" si="379"/>
        <v>1741.5490939331426</v>
      </c>
      <c r="BV53" s="904">
        <f t="shared" si="379"/>
        <v>1884.8040574364013</v>
      </c>
      <c r="BW53" s="904">
        <f t="shared" si="379"/>
        <v>1863.8704862963746</v>
      </c>
      <c r="BX53" s="904">
        <f t="shared" si="379"/>
        <v>1614.584217762289</v>
      </c>
      <c r="BY53" s="904">
        <f t="shared" si="379"/>
        <v>1706.2409834279442</v>
      </c>
      <c r="BZ53" s="904">
        <f t="shared" si="379"/>
        <v>1597.9168493631028</v>
      </c>
      <c r="CA53" s="904">
        <f t="shared" si="379"/>
        <v>1515.5763665819513</v>
      </c>
      <c r="CB53" s="904">
        <f t="shared" si="379"/>
        <v>1859.0838494565892</v>
      </c>
      <c r="CC53" s="904">
        <f t="shared" si="379"/>
        <v>2451.2350771090551</v>
      </c>
      <c r="CD53" s="904" t="e">
        <f t="shared" ref="CD53" si="380">CD49-CD51</f>
        <v>#VALUE!</v>
      </c>
      <c r="CE53" s="904">
        <f t="shared" si="379"/>
        <v>2215.2586995551555</v>
      </c>
      <c r="CF53" s="904">
        <f t="shared" si="379"/>
        <v>1930.4527373956116</v>
      </c>
      <c r="CG53" s="904">
        <f t="shared" si="379"/>
        <v>1947.0938626355282</v>
      </c>
      <c r="CH53" s="904">
        <f t="shared" si="379"/>
        <v>1896.8244778992557</v>
      </c>
      <c r="CI53" s="904" t="e">
        <f t="shared" ref="CI53" si="381">CI49-CI51</f>
        <v>#VALUE!</v>
      </c>
      <c r="CJ53" s="904">
        <f t="shared" si="379"/>
        <v>1695.581297262278</v>
      </c>
      <c r="CK53" s="904">
        <f t="shared" si="379"/>
        <v>1748.6196305956109</v>
      </c>
      <c r="CL53" s="904" t="e">
        <f t="shared" si="379"/>
        <v>#VALUE!</v>
      </c>
      <c r="CM53" s="904">
        <f t="shared" si="379"/>
        <v>2902.4615595240002</v>
      </c>
      <c r="CN53" s="904">
        <f t="shared" si="379"/>
        <v>11568.963353235595</v>
      </c>
      <c r="CO53" s="904" t="e">
        <f t="shared" si="379"/>
        <v>#VALUE!</v>
      </c>
      <c r="CP53" s="904">
        <f t="shared" si="379"/>
        <v>8329.4328394751901</v>
      </c>
      <c r="CQ53" s="904">
        <f t="shared" si="379"/>
        <v>9252.9932889937845</v>
      </c>
      <c r="CR53" s="904">
        <f>CR49-CR51</f>
        <v>938</v>
      </c>
      <c r="CS53" s="904">
        <f t="shared" si="379"/>
        <v>432.91644243583346</v>
      </c>
      <c r="CT53" s="904">
        <f t="shared" si="379"/>
        <v>364.36283838825011</v>
      </c>
      <c r="CV53" s="916" t="s">
        <v>789</v>
      </c>
      <c r="CW53" s="915" t="s">
        <v>163</v>
      </c>
      <c r="CX53" s="904">
        <f>CX49-CX51</f>
        <v>485.22671380771669</v>
      </c>
      <c r="CY53" s="904">
        <f t="shared" ref="CY53:DS53" si="382">CY49-CY51</f>
        <v>433.21010412271664</v>
      </c>
      <c r="CZ53" s="904">
        <f t="shared" si="382"/>
        <v>483.65863047438336</v>
      </c>
      <c r="DA53" s="904">
        <f t="shared" si="382"/>
        <v>314.43032078938336</v>
      </c>
      <c r="DB53" s="904">
        <f t="shared" si="382"/>
        <v>1178.2548900734619</v>
      </c>
      <c r="DC53" s="904">
        <f t="shared" si="382"/>
        <v>1436.7489123055002</v>
      </c>
      <c r="DD53" s="904">
        <f t="shared" si="382"/>
        <v>1421.6843863055001</v>
      </c>
      <c r="DE53" s="904" t="e">
        <f t="shared" si="382"/>
        <v>#N/A</v>
      </c>
      <c r="DF53" s="904">
        <f t="shared" si="382"/>
        <v>1391.1018874611236</v>
      </c>
      <c r="DG53" s="904">
        <f t="shared" si="382"/>
        <v>1484.2617204501903</v>
      </c>
      <c r="DH53" s="904">
        <f>DH49-DH51</f>
        <v>1429.3283046371739</v>
      </c>
      <c r="DI53" s="904">
        <f t="shared" si="382"/>
        <v>1305.8440264618491</v>
      </c>
      <c r="DJ53" s="904">
        <f t="shared" si="382"/>
        <v>2088.7727007648332</v>
      </c>
      <c r="DK53" s="904">
        <f t="shared" si="382"/>
        <v>1307.3296889996668</v>
      </c>
      <c r="DL53" s="904">
        <f t="shared" si="382"/>
        <v>1250.9185244064165</v>
      </c>
      <c r="DM53" s="904">
        <f t="shared" si="382"/>
        <v>1618.8220634287779</v>
      </c>
      <c r="DN53" s="904" t="e">
        <f t="shared" si="382"/>
        <v>#N/A</v>
      </c>
      <c r="DO53" s="904" t="e">
        <f t="shared" si="382"/>
        <v>#N/A</v>
      </c>
      <c r="DP53" s="904">
        <f t="shared" si="382"/>
        <v>9967.3509831259526</v>
      </c>
      <c r="DQ53" s="904">
        <f t="shared" ref="DQ53" si="383">DQ49-DQ51</f>
        <v>1269.9202569187501</v>
      </c>
      <c r="DR53" s="904">
        <f t="shared" si="382"/>
        <v>1034.9689104166666</v>
      </c>
      <c r="DS53" s="904">
        <f t="shared" si="382"/>
        <v>1327.6629929715834</v>
      </c>
      <c r="DT53" s="893"/>
      <c r="DU53" s="904">
        <f>DU49-DU51</f>
        <v>273.68591380771659</v>
      </c>
      <c r="DV53" s="904">
        <f>DV49-DV51</f>
        <v>321.23753745604995</v>
      </c>
      <c r="DW53" s="904">
        <f>DW49-DW51</f>
        <v>314.04129714105011</v>
      </c>
      <c r="DX53" s="904">
        <f>DX49-DX51</f>
        <v>202.45775412271666</v>
      </c>
      <c r="DY53" s="902">
        <f t="shared" ref="DY53:EG53" si="384">DY49-DY51</f>
        <v>1617.3424775594444</v>
      </c>
      <c r="DZ53" s="904">
        <f t="shared" si="384"/>
        <v>1574.2849571791444</v>
      </c>
      <c r="EA53" s="904">
        <f t="shared" si="384"/>
        <v>1546.1055891791443</v>
      </c>
      <c r="EB53" s="904" t="e">
        <f t="shared" si="384"/>
        <v>#N/A</v>
      </c>
      <c r="EC53" s="904">
        <f t="shared" si="384"/>
        <v>1524.6799456069816</v>
      </c>
      <c r="ED53" s="904">
        <f t="shared" si="384"/>
        <v>1625.6912344957009</v>
      </c>
      <c r="EE53" s="904">
        <f>EE49-EE51</f>
        <v>1635.5658962736488</v>
      </c>
      <c r="EF53" s="904">
        <f t="shared" si="384"/>
        <v>1501.1575763502638</v>
      </c>
      <c r="EG53" s="904">
        <f t="shared" si="384"/>
        <v>2363.6630342868889</v>
      </c>
      <c r="EH53" s="904">
        <f t="shared" ref="EH53:EM53" si="385">EH49-EH51</f>
        <v>1376.5026417456388</v>
      </c>
      <c r="EI53" s="904">
        <f t="shared" si="385"/>
        <v>1311.873560485722</v>
      </c>
      <c r="EJ53" s="904">
        <f t="shared" si="385"/>
        <v>1700.4901106255556</v>
      </c>
      <c r="EK53" s="904" t="e">
        <f t="shared" si="385"/>
        <v>#N/A</v>
      </c>
      <c r="EL53" s="904" t="e">
        <f t="shared" si="385"/>
        <v>#N/A</v>
      </c>
      <c r="EM53" s="904">
        <f t="shared" si="385"/>
        <v>10275.002318537856</v>
      </c>
      <c r="EN53" s="904">
        <f t="shared" ref="EN53" si="386">EN49-EN51</f>
        <v>1340.3845107821944</v>
      </c>
      <c r="EO53" s="904">
        <f>EO49-EO51</f>
        <v>1105.9689104166666</v>
      </c>
      <c r="EP53" s="904">
        <f>EP49-EP51</f>
        <v>1367.6629929715834</v>
      </c>
      <c r="EQ53" s="893"/>
      <c r="ER53" s="904">
        <f>ER49-ER51</f>
        <v>135.99204714104997</v>
      </c>
      <c r="ES53" s="904">
        <f>ES49-ES51</f>
        <v>199.26497078938326</v>
      </c>
      <c r="ET53" s="904">
        <f>ET49-ET51</f>
        <v>134.42396380771663</v>
      </c>
      <c r="EU53" s="904">
        <f>EU49-EU51</f>
        <v>156.47147078938337</v>
      </c>
      <c r="EV53" s="902">
        <f t="shared" ref="EV53:FD53" si="387">EV49-EV51</f>
        <v>1625.5605038263461</v>
      </c>
      <c r="EW53" s="904">
        <f t="shared" si="387"/>
        <v>1799.3570469264332</v>
      </c>
      <c r="EX53" s="904">
        <f t="shared" si="387"/>
        <v>1618.3161906159667</v>
      </c>
      <c r="EY53" s="904" t="e">
        <f t="shared" si="387"/>
        <v>#N/A</v>
      </c>
      <c r="EZ53" s="904">
        <f t="shared" si="387"/>
        <v>1655.3043918139597</v>
      </c>
      <c r="FA53" s="904">
        <f t="shared" si="387"/>
        <v>1764.1587888892573</v>
      </c>
      <c r="FB53" s="904">
        <f>FB49-FB51</f>
        <v>1744.1884134806264</v>
      </c>
      <c r="FC53" s="904">
        <f t="shared" si="387"/>
        <v>1559.3909096835978</v>
      </c>
      <c r="FD53" s="904">
        <f t="shared" si="387"/>
        <v>2646.1992011422772</v>
      </c>
      <c r="FE53" s="904">
        <f t="shared" ref="FE53:FJ53" si="388">FE49-FE51</f>
        <v>1435.6755944916113</v>
      </c>
      <c r="FF53" s="904">
        <f t="shared" si="388"/>
        <v>1373.5267672925277</v>
      </c>
      <c r="FG53" s="904">
        <f t="shared" si="388"/>
        <v>1816.1230806232502</v>
      </c>
      <c r="FH53" s="904" t="e">
        <f t="shared" si="388"/>
        <v>#N/A</v>
      </c>
      <c r="FI53" s="904" t="e">
        <f t="shared" si="388"/>
        <v>#N/A</v>
      </c>
      <c r="FJ53" s="904">
        <f t="shared" si="388"/>
        <v>10572.653653949763</v>
      </c>
      <c r="FK53" s="904">
        <f t="shared" ref="FK53" si="389">FK49-FK51</f>
        <v>1400.848764645639</v>
      </c>
      <c r="FL53" s="904">
        <f>FL49-FL51</f>
        <v>1135.9689104166666</v>
      </c>
      <c r="FM53" s="904">
        <f>FM49-FM51</f>
        <v>1397.6629929715834</v>
      </c>
    </row>
    <row r="54" spans="1:171" s="909" customFormat="1" ht="16.2" customHeight="1">
      <c r="A54" s="899">
        <f>ROWS($A$1:A54)</f>
        <v>54</v>
      </c>
      <c r="B54" s="914" t="s">
        <v>791</v>
      </c>
      <c r="C54" s="913" t="s">
        <v>220</v>
      </c>
      <c r="D54" s="924">
        <f t="shared" ref="D54:AH54" si="390">IF(D6=0,0,D53/D6)</f>
        <v>29.432236692211188</v>
      </c>
      <c r="E54" s="924">
        <f t="shared" si="390"/>
        <v>29.536355122435552</v>
      </c>
      <c r="F54" s="924">
        <f t="shared" si="390"/>
        <v>32.072312668700221</v>
      </c>
      <c r="G54" s="924">
        <f t="shared" si="390"/>
        <v>34.867558572649322</v>
      </c>
      <c r="H54" s="924">
        <f t="shared" si="390"/>
        <v>39.547058176042775</v>
      </c>
      <c r="I54" s="924">
        <f t="shared" si="390"/>
        <v>31.089532193883233</v>
      </c>
      <c r="J54" s="924">
        <f t="shared" si="390"/>
        <v>31.106059538662876</v>
      </c>
      <c r="K54" s="924">
        <f t="shared" si="390"/>
        <v>39.717023645137729</v>
      </c>
      <c r="L54" s="924">
        <f t="shared" si="390"/>
        <v>35.436698381102545</v>
      </c>
      <c r="M54" s="924">
        <f t="shared" si="390"/>
        <v>37.583571751249295</v>
      </c>
      <c r="N54" s="924">
        <f t="shared" si="390"/>
        <v>37.468539252097294</v>
      </c>
      <c r="O54" s="924">
        <f t="shared" si="390"/>
        <v>36.297753211753893</v>
      </c>
      <c r="P54" s="924">
        <f t="shared" si="390"/>
        <v>42.408107089773253</v>
      </c>
      <c r="Q54" s="924">
        <f t="shared" si="390"/>
        <v>27.578533436471201</v>
      </c>
      <c r="R54" s="924" t="e">
        <f t="shared" ref="R54" si="391">IF(R6=0,0,R53/R6)</f>
        <v>#VALUE!</v>
      </c>
      <c r="S54" s="924">
        <f t="shared" si="390"/>
        <v>62.40218319343888</v>
      </c>
      <c r="T54" s="924">
        <f t="shared" si="390"/>
        <v>101.76627363690102</v>
      </c>
      <c r="U54" s="924">
        <f t="shared" si="390"/>
        <v>89.870242714324462</v>
      </c>
      <c r="V54" s="924">
        <f t="shared" si="390"/>
        <v>86.104774037413904</v>
      </c>
      <c r="W54" s="924" t="e">
        <f t="shared" ref="W54" si="392">IF(W6=0,0,W53/W6)</f>
        <v>#VALUE!</v>
      </c>
      <c r="X54" s="924">
        <f t="shared" si="390"/>
        <v>73.732987870747223</v>
      </c>
      <c r="Y54" s="924">
        <f t="shared" si="390"/>
        <v>74.843162870747236</v>
      </c>
      <c r="Z54" s="924" t="e">
        <f t="shared" si="390"/>
        <v>#VALUE!</v>
      </c>
      <c r="AA54" s="924">
        <f t="shared" si="390"/>
        <v>4.2694307451405891</v>
      </c>
      <c r="AB54" s="924">
        <f t="shared" si="390"/>
        <v>54.980459380174246</v>
      </c>
      <c r="AC54" s="924" t="e">
        <f t="shared" si="390"/>
        <v>#VALUE!</v>
      </c>
      <c r="AD54" s="924">
        <f t="shared" si="390"/>
        <v>39.825224705980141</v>
      </c>
      <c r="AE54" s="924">
        <f t="shared" si="390"/>
        <v>23.381341291344711</v>
      </c>
      <c r="AF54" s="924">
        <f t="shared" si="390"/>
        <v>0</v>
      </c>
      <c r="AG54" s="924">
        <f t="shared" si="390"/>
        <v>352.91644243583323</v>
      </c>
      <c r="AH54" s="924">
        <f t="shared" si="390"/>
        <v>4.3628383882499975</v>
      </c>
      <c r="AI54" s="926"/>
      <c r="AJ54" s="925">
        <f t="shared" ref="AJ54:BN54" si="393">IF(AJ6=0,0,AJ53/AJ6)</f>
        <v>23.431117597901114</v>
      </c>
      <c r="AK54" s="924">
        <f t="shared" si="393"/>
        <v>23.806139733268889</v>
      </c>
      <c r="AL54" s="924">
        <f t="shared" si="393"/>
        <v>25.563428856626821</v>
      </c>
      <c r="AM54" s="924">
        <f t="shared" si="393"/>
        <v>27.743314274898399</v>
      </c>
      <c r="AN54" s="924">
        <f t="shared" si="393"/>
        <v>31.103450075892106</v>
      </c>
      <c r="AO54" s="924">
        <f t="shared" si="393"/>
        <v>24.583985518812256</v>
      </c>
      <c r="AP54" s="924">
        <f t="shared" si="393"/>
        <v>24.642824686151915</v>
      </c>
      <c r="AQ54" s="924">
        <f t="shared" si="393"/>
        <v>31.807505862027607</v>
      </c>
      <c r="AR54" s="924">
        <f t="shared" si="393"/>
        <v>28.705643301505315</v>
      </c>
      <c r="AS54" s="924">
        <f t="shared" si="393"/>
        <v>29.605121074245261</v>
      </c>
      <c r="AT54" s="924">
        <f t="shared" si="393"/>
        <v>31.598555300479543</v>
      </c>
      <c r="AU54" s="924">
        <f t="shared" si="393"/>
        <v>28.945924212133885</v>
      </c>
      <c r="AV54" s="924">
        <f t="shared" si="393"/>
        <v>33.441567040330902</v>
      </c>
      <c r="AW54" s="924">
        <f t="shared" si="393"/>
        <v>22.84825145249841</v>
      </c>
      <c r="AX54" s="924" t="e">
        <f t="shared" ref="AX54" si="394">IF(AX6=0,0,AX53/AX6)</f>
        <v>#VALUE!</v>
      </c>
      <c r="AY54" s="924">
        <f t="shared" si="393"/>
        <v>51.544421242037785</v>
      </c>
      <c r="AZ54" s="924">
        <f t="shared" si="393"/>
        <v>82.857556355113147</v>
      </c>
      <c r="BA54" s="924">
        <f t="shared" si="393"/>
        <v>72.643218270582224</v>
      </c>
      <c r="BB54" s="924">
        <f t="shared" si="393"/>
        <v>67.017036271250618</v>
      </c>
      <c r="BC54" s="924" t="e">
        <f t="shared" ref="BC54" si="395">IF(BC6=0,0,BC53/BC6)</f>
        <v>#VALUE!</v>
      </c>
      <c r="BD54" s="924">
        <f t="shared" si="393"/>
        <v>44.885824590626989</v>
      </c>
      <c r="BE54" s="924">
        <f t="shared" si="393"/>
        <v>46.031291257293653</v>
      </c>
      <c r="BF54" s="924" t="e">
        <f t="shared" si="393"/>
        <v>#VALUE!</v>
      </c>
      <c r="BG54" s="924">
        <f t="shared" si="393"/>
        <v>3.7904716243375369</v>
      </c>
      <c r="BH54" s="924">
        <f t="shared" si="393"/>
        <v>42.201559120616828</v>
      </c>
      <c r="BI54" s="924" t="e">
        <f t="shared" si="393"/>
        <v>#VALUE!</v>
      </c>
      <c r="BJ54" s="924">
        <f t="shared" si="393"/>
        <v>35.527827425362361</v>
      </c>
      <c r="BK54" s="924">
        <f t="shared" si="393"/>
        <v>21.40703452097496</v>
      </c>
      <c r="BL54" s="924">
        <f t="shared" si="393"/>
        <v>0</v>
      </c>
      <c r="BM54" s="924">
        <f t="shared" si="393"/>
        <v>392.91644243583323</v>
      </c>
      <c r="BN54" s="924">
        <f t="shared" si="393"/>
        <v>324.36283838825011</v>
      </c>
      <c r="BO54" s="912"/>
      <c r="BP54" s="925">
        <f t="shared" ref="BP54:CT54" si="396">IF(BP6=0,0,BP53/BP6)</f>
        <v>21.455012317365199</v>
      </c>
      <c r="BQ54" s="924">
        <f t="shared" si="396"/>
        <v>20.218351277546667</v>
      </c>
      <c r="BR54" s="924">
        <f t="shared" si="396"/>
        <v>21.660002178563456</v>
      </c>
      <c r="BS54" s="924">
        <f t="shared" si="396"/>
        <v>23.523151909890128</v>
      </c>
      <c r="BT54" s="924">
        <f t="shared" si="396"/>
        <v>26.597111847689177</v>
      </c>
      <c r="BU54" s="924">
        <f t="shared" si="396"/>
        <v>20.794616046962897</v>
      </c>
      <c r="BV54" s="924">
        <f t="shared" si="396"/>
        <v>21.540617799273157</v>
      </c>
      <c r="BW54" s="924">
        <f t="shared" si="396"/>
        <v>26.626721232805352</v>
      </c>
      <c r="BX54" s="924">
        <f t="shared" si="396"/>
        <v>23.065488825175557</v>
      </c>
      <c r="BY54" s="924">
        <f t="shared" si="396"/>
        <v>24.818050668042826</v>
      </c>
      <c r="BZ54" s="924">
        <f t="shared" si="396"/>
        <v>27.550290506260392</v>
      </c>
      <c r="CA54" s="924">
        <f t="shared" si="396"/>
        <v>24.24922186531122</v>
      </c>
      <c r="CB54" s="924">
        <f t="shared" si="396"/>
        <v>28.061643010665495</v>
      </c>
      <c r="CC54" s="924">
        <f t="shared" si="396"/>
        <v>20.010082262114736</v>
      </c>
      <c r="CD54" s="924" t="e">
        <f t="shared" ref="CD54" si="397">IF(CD6=0,0,CD53/CD6)</f>
        <v>#VALUE!</v>
      </c>
      <c r="CE54" s="924">
        <f t="shared" si="396"/>
        <v>44.305173991103111</v>
      </c>
      <c r="CF54" s="924">
        <f t="shared" si="396"/>
        <v>70.198281359840422</v>
      </c>
      <c r="CG54" s="924">
        <f t="shared" si="396"/>
        <v>62.307003604336906</v>
      </c>
      <c r="CH54" s="924">
        <f t="shared" si="396"/>
        <v>55.788955232331048</v>
      </c>
      <c r="CI54" s="924" t="e">
        <f t="shared" ref="CI54" si="398">IF(CI6=0,0,CI53/CI6)</f>
        <v>#VALUE!</v>
      </c>
      <c r="CJ54" s="924">
        <f t="shared" si="396"/>
        <v>33.911625945245561</v>
      </c>
      <c r="CK54" s="924">
        <f t="shared" si="396"/>
        <v>34.97239261191222</v>
      </c>
      <c r="CL54" s="924" t="e">
        <f t="shared" si="396"/>
        <v>#VALUE!</v>
      </c>
      <c r="CM54" s="924">
        <f t="shared" si="396"/>
        <v>3.345777013860519</v>
      </c>
      <c r="CN54" s="924">
        <f t="shared" si="396"/>
        <v>34.534218964882371</v>
      </c>
      <c r="CO54" s="924" t="e">
        <f t="shared" si="396"/>
        <v>#VALUE!</v>
      </c>
      <c r="CP54" s="924">
        <f t="shared" si="396"/>
        <v>28.722182205086863</v>
      </c>
      <c r="CQ54" s="924">
        <f t="shared" si="396"/>
        <v>19.856208774664772</v>
      </c>
      <c r="CR54" s="924">
        <f>IF(CR6=0,0,CR53/CR6)</f>
        <v>0</v>
      </c>
      <c r="CS54" s="924">
        <f t="shared" si="396"/>
        <v>432.91644243583346</v>
      </c>
      <c r="CT54" s="924">
        <f t="shared" si="396"/>
        <v>364.36283838825011</v>
      </c>
      <c r="CV54" s="914" t="s">
        <v>791</v>
      </c>
      <c r="CW54" s="913" t="s">
        <v>220</v>
      </c>
      <c r="CX54" s="924">
        <f>IF(CX6=0,0,CX53/CX6)</f>
        <v>1.6174223793590556</v>
      </c>
      <c r="CY54" s="924">
        <f t="shared" ref="CY54:DS54" si="399">IF(CY6=0,0,CY53/CY6)</f>
        <v>1.0830252603067916</v>
      </c>
      <c r="CZ54" s="924">
        <f t="shared" si="399"/>
        <v>1.6121954349146113</v>
      </c>
      <c r="DA54" s="924">
        <f t="shared" si="399"/>
        <v>0.69873404619862967</v>
      </c>
      <c r="DB54" s="924">
        <f t="shared" si="399"/>
        <v>39.275163002448728</v>
      </c>
      <c r="DC54" s="924">
        <f t="shared" si="399"/>
        <v>47.891630410183339</v>
      </c>
      <c r="DD54" s="924">
        <f t="shared" si="399"/>
        <v>47.389479543516671</v>
      </c>
      <c r="DE54" s="924" t="e">
        <f t="shared" si="399"/>
        <v>#N/A</v>
      </c>
      <c r="DF54" s="924">
        <f t="shared" si="399"/>
        <v>46.370062915370788</v>
      </c>
      <c r="DG54" s="924">
        <f t="shared" si="399"/>
        <v>49.475390681673012</v>
      </c>
      <c r="DH54" s="924">
        <f>IF(DH6=0,0,DH53/DH6)</f>
        <v>47.644276821239131</v>
      </c>
      <c r="DI54" s="924">
        <f t="shared" si="399"/>
        <v>72.546890358991618</v>
      </c>
      <c r="DJ54" s="924">
        <f t="shared" si="399"/>
        <v>39.786146681234918</v>
      </c>
      <c r="DK54" s="924">
        <f t="shared" si="399"/>
        <v>69.724250079982227</v>
      </c>
      <c r="DL54" s="924">
        <f t="shared" si="399"/>
        <v>66.715654635008875</v>
      </c>
      <c r="DM54" s="924">
        <f t="shared" si="399"/>
        <v>80.941103171438897</v>
      </c>
      <c r="DN54" s="924" t="e">
        <f t="shared" si="399"/>
        <v>#N/A</v>
      </c>
      <c r="DO54" s="924" t="e">
        <f t="shared" si="399"/>
        <v>#N/A</v>
      </c>
      <c r="DP54" s="924">
        <f t="shared" si="399"/>
        <v>66.44900655417301</v>
      </c>
      <c r="DQ54" s="924">
        <f t="shared" ref="DQ54" si="400">IF(DQ6=0,0,DQ53/DQ6)</f>
        <v>84.661350461250009</v>
      </c>
      <c r="DR54" s="924">
        <f t="shared" si="399"/>
        <v>1034.9689104166666</v>
      </c>
      <c r="DS54" s="924">
        <f t="shared" si="399"/>
        <v>1327.6629929715834</v>
      </c>
      <c r="DU54" s="924">
        <f>IF(DU6=0,0,DU53/DU6)</f>
        <v>0.65163312811361096</v>
      </c>
      <c r="DV54" s="924">
        <f>IF(DV6=0,0,DV53/DV6)</f>
        <v>0.64247507491209987</v>
      </c>
      <c r="DW54" s="924">
        <f>IF(DW6=0,0,DW53/DW6)</f>
        <v>0.78510324285262523</v>
      </c>
      <c r="DX54" s="924">
        <f>IF(DX6=0,0,DX53/DX6)</f>
        <v>0.36810500749584846</v>
      </c>
      <c r="DY54" s="925">
        <f t="shared" ref="DY54:EG54" si="401">IF(DY6=0,0,DY53/DY6)</f>
        <v>40.433561938986109</v>
      </c>
      <c r="DZ54" s="924">
        <f t="shared" si="401"/>
        <v>39.357123929478611</v>
      </c>
      <c r="EA54" s="924">
        <f t="shared" si="401"/>
        <v>38.652639729478608</v>
      </c>
      <c r="EB54" s="924" t="e">
        <f t="shared" si="401"/>
        <v>#N/A</v>
      </c>
      <c r="EC54" s="924">
        <f t="shared" si="401"/>
        <v>38.116998640174543</v>
      </c>
      <c r="ED54" s="924">
        <f t="shared" si="401"/>
        <v>40.642280862392525</v>
      </c>
      <c r="EE54" s="924">
        <f>IF(EE6=0,0,EE53/EE6)</f>
        <v>40.889147406841218</v>
      </c>
      <c r="EF54" s="924">
        <f t="shared" si="401"/>
        <v>41.698821565285101</v>
      </c>
      <c r="EG54" s="924">
        <f t="shared" si="401"/>
        <v>33.766614775526982</v>
      </c>
      <c r="EH54" s="924">
        <f t="shared" ref="EH54:EM54" si="402">IF(EH6=0,0,EH53/EH6)</f>
        <v>55.060105669825553</v>
      </c>
      <c r="EI54" s="924">
        <f t="shared" si="402"/>
        <v>52.474942419428878</v>
      </c>
      <c r="EJ54" s="924">
        <f t="shared" si="402"/>
        <v>68.019604425022223</v>
      </c>
      <c r="EK54" s="924" t="e">
        <f t="shared" si="402"/>
        <v>#N/A</v>
      </c>
      <c r="EL54" s="924" t="e">
        <f t="shared" si="402"/>
        <v>#N/A</v>
      </c>
      <c r="EM54" s="924">
        <f t="shared" si="402"/>
        <v>54.800012365535231</v>
      </c>
      <c r="EN54" s="924">
        <f t="shared" ref="EN54" si="403">IF(EN6=0,0,EN53/EN6)</f>
        <v>67.019225539109726</v>
      </c>
      <c r="EO54" s="924">
        <f>IF(EO6=0,0,EO53/EO6)</f>
        <v>1105.9689104166666</v>
      </c>
      <c r="EP54" s="924">
        <f>IF(EP6=0,0,EP53/EP6)</f>
        <v>1367.6629929715834</v>
      </c>
      <c r="ER54" s="924">
        <f>IF(ER6=0,0,ER53/ER6)</f>
        <v>0.27198409428209991</v>
      </c>
      <c r="ES54" s="924">
        <f>IF(ES6=0,0,ES53/ES6)</f>
        <v>0.33210828464897207</v>
      </c>
      <c r="ET54" s="924">
        <f>IF(ET6=0,0,ET53/ET6)</f>
        <v>0.26884792761543325</v>
      </c>
      <c r="EU54" s="924">
        <f>IF(EU6=0,0,EU53/EU6)</f>
        <v>0.26078578464897229</v>
      </c>
      <c r="EV54" s="925">
        <f t="shared" ref="EV54:FD54" si="404">IF(EV6=0,0,EV53/EV6)</f>
        <v>23.558847881541247</v>
      </c>
      <c r="EW54" s="924">
        <f t="shared" si="404"/>
        <v>29.989284115440555</v>
      </c>
      <c r="EX54" s="924">
        <f t="shared" si="404"/>
        <v>35.962582013688149</v>
      </c>
      <c r="EY54" s="924" t="e">
        <f t="shared" si="404"/>
        <v>#N/A</v>
      </c>
      <c r="EZ54" s="924">
        <f t="shared" si="404"/>
        <v>33.106087836279194</v>
      </c>
      <c r="FA54" s="924">
        <f t="shared" si="404"/>
        <v>35.283175777785146</v>
      </c>
      <c r="FB54" s="924">
        <f>IF(FB6=0,0,FB53/FB6)</f>
        <v>34.883768269612531</v>
      </c>
      <c r="FC54" s="924">
        <f t="shared" si="404"/>
        <v>43.316414157877716</v>
      </c>
      <c r="FD54" s="924">
        <f t="shared" si="404"/>
        <v>30.242276584483168</v>
      </c>
      <c r="FE54" s="924">
        <f t="shared" ref="FE54:FJ54" si="405">IF(FE6=0,0,FE53/FE6)</f>
        <v>45.941619023731562</v>
      </c>
      <c r="FF54" s="924">
        <f t="shared" si="405"/>
        <v>43.952856553360888</v>
      </c>
      <c r="FG54" s="924">
        <f t="shared" si="405"/>
        <v>60.537436020775004</v>
      </c>
      <c r="FH54" s="924" t="e">
        <f t="shared" si="405"/>
        <v>#N/A</v>
      </c>
      <c r="FI54" s="924" t="e">
        <f t="shared" si="405"/>
        <v>#N/A</v>
      </c>
      <c r="FJ54" s="924">
        <f t="shared" si="405"/>
        <v>46.989571795332282</v>
      </c>
      <c r="FK54" s="924">
        <f t="shared" ref="FK54" si="406">IF(FK6=0,0,FK53/FK6)</f>
        <v>56.033950585825558</v>
      </c>
      <c r="FL54" s="924">
        <f>IF(FL6=0,0,FL53/FL6)</f>
        <v>1135.9689104166666</v>
      </c>
      <c r="FM54" s="924">
        <f>IF(FM6=0,0,FM53/FM6)</f>
        <v>1397.6629929715834</v>
      </c>
    </row>
    <row r="55" spans="1:171" s="909" customFormat="1" ht="16.2" customHeight="1">
      <c r="A55" s="899">
        <f>ROWS($A$1:A55)</f>
        <v>55</v>
      </c>
      <c r="B55" s="923" t="s">
        <v>790</v>
      </c>
      <c r="C55" s="922" t="s">
        <v>163</v>
      </c>
      <c r="D55" s="919">
        <f t="shared" ref="D55:AH55" si="407">D37</f>
        <v>0</v>
      </c>
      <c r="E55" s="919">
        <f t="shared" si="407"/>
        <v>177</v>
      </c>
      <c r="F55" s="919">
        <f t="shared" si="407"/>
        <v>177</v>
      </c>
      <c r="G55" s="919">
        <f t="shared" si="407"/>
        <v>177</v>
      </c>
      <c r="H55" s="919">
        <f t="shared" si="407"/>
        <v>177</v>
      </c>
      <c r="I55" s="919">
        <f t="shared" si="407"/>
        <v>177</v>
      </c>
      <c r="J55" s="919">
        <f t="shared" si="407"/>
        <v>177</v>
      </c>
      <c r="K55" s="919">
        <f t="shared" si="407"/>
        <v>177</v>
      </c>
      <c r="L55" s="919">
        <f t="shared" si="407"/>
        <v>177</v>
      </c>
      <c r="M55" s="919">
        <f t="shared" si="407"/>
        <v>177</v>
      </c>
      <c r="N55" s="919">
        <f t="shared" si="407"/>
        <v>177</v>
      </c>
      <c r="O55" s="919">
        <f t="shared" si="407"/>
        <v>177</v>
      </c>
      <c r="P55" s="919">
        <f t="shared" si="407"/>
        <v>177</v>
      </c>
      <c r="Q55" s="919">
        <f t="shared" si="407"/>
        <v>177</v>
      </c>
      <c r="R55" s="919">
        <f t="shared" ref="R55" si="408">R37</f>
        <v>177</v>
      </c>
      <c r="S55" s="919">
        <f t="shared" si="407"/>
        <v>177</v>
      </c>
      <c r="T55" s="919">
        <f t="shared" si="407"/>
        <v>177</v>
      </c>
      <c r="U55" s="919">
        <f t="shared" si="407"/>
        <v>177</v>
      </c>
      <c r="V55" s="919">
        <f t="shared" si="407"/>
        <v>177</v>
      </c>
      <c r="W55" s="919">
        <f t="shared" ref="W55" si="409">W37</f>
        <v>177</v>
      </c>
      <c r="X55" s="919">
        <f t="shared" si="407"/>
        <v>177</v>
      </c>
      <c r="Y55" s="919">
        <f t="shared" si="407"/>
        <v>177</v>
      </c>
      <c r="Z55" s="919">
        <f t="shared" si="407"/>
        <v>177</v>
      </c>
      <c r="AA55" s="919">
        <f t="shared" si="407"/>
        <v>177</v>
      </c>
      <c r="AB55" s="919">
        <f t="shared" si="407"/>
        <v>177</v>
      </c>
      <c r="AC55" s="919">
        <f t="shared" si="407"/>
        <v>177</v>
      </c>
      <c r="AD55" s="919">
        <f t="shared" si="407"/>
        <v>177</v>
      </c>
      <c r="AE55" s="919">
        <f t="shared" si="407"/>
        <v>177</v>
      </c>
      <c r="AF55" s="919">
        <f t="shared" si="407"/>
        <v>0</v>
      </c>
      <c r="AG55" s="919">
        <f t="shared" si="407"/>
        <v>907</v>
      </c>
      <c r="AH55" s="919">
        <f t="shared" si="407"/>
        <v>277</v>
      </c>
      <c r="AI55" s="921"/>
      <c r="AJ55" s="920">
        <f t="shared" ref="AJ55:BN55" si="410">AJ37</f>
        <v>0</v>
      </c>
      <c r="AK55" s="919">
        <f t="shared" si="410"/>
        <v>177</v>
      </c>
      <c r="AL55" s="919">
        <f t="shared" si="410"/>
        <v>177</v>
      </c>
      <c r="AM55" s="919">
        <f t="shared" si="410"/>
        <v>177</v>
      </c>
      <c r="AN55" s="919">
        <f t="shared" si="410"/>
        <v>177</v>
      </c>
      <c r="AO55" s="919">
        <f t="shared" si="410"/>
        <v>177</v>
      </c>
      <c r="AP55" s="919">
        <f t="shared" si="410"/>
        <v>177</v>
      </c>
      <c r="AQ55" s="919">
        <f t="shared" si="410"/>
        <v>177</v>
      </c>
      <c r="AR55" s="919">
        <f t="shared" si="410"/>
        <v>177</v>
      </c>
      <c r="AS55" s="919">
        <f t="shared" si="410"/>
        <v>177</v>
      </c>
      <c r="AT55" s="919">
        <f t="shared" si="410"/>
        <v>177</v>
      </c>
      <c r="AU55" s="919">
        <f t="shared" si="410"/>
        <v>177</v>
      </c>
      <c r="AV55" s="919">
        <f t="shared" si="410"/>
        <v>177</v>
      </c>
      <c r="AW55" s="919">
        <f t="shared" si="410"/>
        <v>177</v>
      </c>
      <c r="AX55" s="919">
        <f t="shared" ref="AX55" si="411">AX37</f>
        <v>177</v>
      </c>
      <c r="AY55" s="919">
        <f t="shared" si="410"/>
        <v>177</v>
      </c>
      <c r="AZ55" s="919">
        <f t="shared" si="410"/>
        <v>177</v>
      </c>
      <c r="BA55" s="919">
        <f t="shared" si="410"/>
        <v>177</v>
      </c>
      <c r="BB55" s="919">
        <f t="shared" si="410"/>
        <v>177</v>
      </c>
      <c r="BC55" s="919">
        <f t="shared" ref="BC55" si="412">BC37</f>
        <v>177</v>
      </c>
      <c r="BD55" s="919">
        <f t="shared" si="410"/>
        <v>177</v>
      </c>
      <c r="BE55" s="919">
        <f t="shared" si="410"/>
        <v>177</v>
      </c>
      <c r="BF55" s="919">
        <f t="shared" si="410"/>
        <v>177</v>
      </c>
      <c r="BG55" s="919">
        <f t="shared" si="410"/>
        <v>177</v>
      </c>
      <c r="BH55" s="919">
        <f t="shared" si="410"/>
        <v>177</v>
      </c>
      <c r="BI55" s="919">
        <f t="shared" si="410"/>
        <v>177</v>
      </c>
      <c r="BJ55" s="919">
        <f t="shared" si="410"/>
        <v>177</v>
      </c>
      <c r="BK55" s="919">
        <f t="shared" si="410"/>
        <v>177</v>
      </c>
      <c r="BL55" s="919">
        <f t="shared" si="410"/>
        <v>0</v>
      </c>
      <c r="BM55" s="919">
        <f t="shared" si="410"/>
        <v>907</v>
      </c>
      <c r="BN55" s="919">
        <f t="shared" si="410"/>
        <v>277</v>
      </c>
      <c r="BO55" s="921"/>
      <c r="BP55" s="920">
        <f t="shared" ref="BP55:CT55" si="413">BP37</f>
        <v>0</v>
      </c>
      <c r="BQ55" s="919">
        <f t="shared" si="413"/>
        <v>177</v>
      </c>
      <c r="BR55" s="919">
        <f t="shared" si="413"/>
        <v>177</v>
      </c>
      <c r="BS55" s="919">
        <f t="shared" si="413"/>
        <v>177</v>
      </c>
      <c r="BT55" s="919">
        <f t="shared" si="413"/>
        <v>177</v>
      </c>
      <c r="BU55" s="919">
        <f t="shared" si="413"/>
        <v>177</v>
      </c>
      <c r="BV55" s="919">
        <f t="shared" si="413"/>
        <v>177</v>
      </c>
      <c r="BW55" s="919">
        <f t="shared" si="413"/>
        <v>177</v>
      </c>
      <c r="BX55" s="919">
        <f t="shared" si="413"/>
        <v>177</v>
      </c>
      <c r="BY55" s="919">
        <f t="shared" si="413"/>
        <v>177</v>
      </c>
      <c r="BZ55" s="919">
        <f t="shared" si="413"/>
        <v>177</v>
      </c>
      <c r="CA55" s="919">
        <f t="shared" si="413"/>
        <v>177</v>
      </c>
      <c r="CB55" s="919">
        <f t="shared" si="413"/>
        <v>177</v>
      </c>
      <c r="CC55" s="919">
        <f t="shared" si="413"/>
        <v>177</v>
      </c>
      <c r="CD55" s="919">
        <f t="shared" ref="CD55" si="414">CD37</f>
        <v>177</v>
      </c>
      <c r="CE55" s="919">
        <f t="shared" si="413"/>
        <v>177</v>
      </c>
      <c r="CF55" s="919">
        <f t="shared" si="413"/>
        <v>177</v>
      </c>
      <c r="CG55" s="919">
        <f t="shared" si="413"/>
        <v>177</v>
      </c>
      <c r="CH55" s="919">
        <f t="shared" si="413"/>
        <v>177</v>
      </c>
      <c r="CI55" s="919">
        <f t="shared" ref="CI55" si="415">CI37</f>
        <v>177</v>
      </c>
      <c r="CJ55" s="919">
        <f t="shared" si="413"/>
        <v>177</v>
      </c>
      <c r="CK55" s="919">
        <f t="shared" si="413"/>
        <v>177</v>
      </c>
      <c r="CL55" s="919">
        <f t="shared" si="413"/>
        <v>177</v>
      </c>
      <c r="CM55" s="919">
        <f t="shared" si="413"/>
        <v>177</v>
      </c>
      <c r="CN55" s="919">
        <f t="shared" si="413"/>
        <v>177</v>
      </c>
      <c r="CO55" s="919">
        <f t="shared" si="413"/>
        <v>177</v>
      </c>
      <c r="CP55" s="919">
        <f t="shared" si="413"/>
        <v>177</v>
      </c>
      <c r="CQ55" s="919">
        <f t="shared" si="413"/>
        <v>177</v>
      </c>
      <c r="CR55" s="919">
        <f>CR37</f>
        <v>0</v>
      </c>
      <c r="CS55" s="919">
        <f t="shared" si="413"/>
        <v>907</v>
      </c>
      <c r="CT55" s="919">
        <f t="shared" si="413"/>
        <v>277</v>
      </c>
      <c r="CV55" s="923" t="s">
        <v>790</v>
      </c>
      <c r="CW55" s="922" t="s">
        <v>163</v>
      </c>
      <c r="CX55" s="919">
        <f>CX37</f>
        <v>417</v>
      </c>
      <c r="CY55" s="919">
        <f>CY37</f>
        <v>417</v>
      </c>
      <c r="CZ55" s="919">
        <f>CZ37</f>
        <v>417</v>
      </c>
      <c r="DA55" s="919">
        <f>DA37</f>
        <v>417</v>
      </c>
      <c r="DB55" s="919">
        <f t="shared" ref="DB55:DJ55" si="416">DB37</f>
        <v>417</v>
      </c>
      <c r="DC55" s="919">
        <f t="shared" si="416"/>
        <v>417</v>
      </c>
      <c r="DD55" s="919">
        <f>DD37</f>
        <v>417</v>
      </c>
      <c r="DE55" s="919" t="e">
        <f t="shared" si="416"/>
        <v>#N/A</v>
      </c>
      <c r="DF55" s="919">
        <f t="shared" si="416"/>
        <v>417</v>
      </c>
      <c r="DG55" s="919">
        <f t="shared" si="416"/>
        <v>417</v>
      </c>
      <c r="DH55" s="919">
        <f>DH37</f>
        <v>417</v>
      </c>
      <c r="DI55" s="919">
        <f t="shared" si="416"/>
        <v>417</v>
      </c>
      <c r="DJ55" s="919">
        <f t="shared" si="416"/>
        <v>417</v>
      </c>
      <c r="DK55" s="919">
        <f>DK37</f>
        <v>417</v>
      </c>
      <c r="DL55" s="919">
        <f t="shared" ref="DL55:DS55" si="417">DL37</f>
        <v>417</v>
      </c>
      <c r="DM55" s="919">
        <f t="shared" si="417"/>
        <v>417</v>
      </c>
      <c r="DN55" s="919" t="e">
        <f t="shared" si="417"/>
        <v>#N/A</v>
      </c>
      <c r="DO55" s="919">
        <f t="shared" si="417"/>
        <v>417</v>
      </c>
      <c r="DP55" s="919">
        <f t="shared" si="417"/>
        <v>417</v>
      </c>
      <c r="DQ55" s="919">
        <f t="shared" ref="DQ55" si="418">DQ37</f>
        <v>417</v>
      </c>
      <c r="DR55" s="919">
        <f t="shared" si="417"/>
        <v>177</v>
      </c>
      <c r="DS55" s="919">
        <f t="shared" si="417"/>
        <v>177</v>
      </c>
      <c r="DU55" s="919">
        <f>DU37</f>
        <v>417</v>
      </c>
      <c r="DV55" s="919">
        <f>DV37</f>
        <v>417</v>
      </c>
      <c r="DW55" s="919">
        <f>DW37</f>
        <v>417</v>
      </c>
      <c r="DX55" s="919">
        <f>DX37</f>
        <v>417</v>
      </c>
      <c r="DY55" s="920">
        <f t="shared" ref="DY55:EG55" si="419">DY37</f>
        <v>417</v>
      </c>
      <c r="DZ55" s="919">
        <f t="shared" si="419"/>
        <v>417</v>
      </c>
      <c r="EA55" s="919">
        <f t="shared" si="419"/>
        <v>417</v>
      </c>
      <c r="EB55" s="919" t="e">
        <f t="shared" si="419"/>
        <v>#N/A</v>
      </c>
      <c r="EC55" s="919">
        <f t="shared" si="419"/>
        <v>417</v>
      </c>
      <c r="ED55" s="919">
        <f t="shared" si="419"/>
        <v>417</v>
      </c>
      <c r="EE55" s="919">
        <f>EE37</f>
        <v>417</v>
      </c>
      <c r="EF55" s="919">
        <f t="shared" si="419"/>
        <v>417</v>
      </c>
      <c r="EG55" s="919">
        <f t="shared" si="419"/>
        <v>417</v>
      </c>
      <c r="EH55" s="919">
        <f t="shared" ref="EH55:EM55" si="420">EH37</f>
        <v>417</v>
      </c>
      <c r="EI55" s="919">
        <f t="shared" si="420"/>
        <v>417</v>
      </c>
      <c r="EJ55" s="919">
        <f t="shared" si="420"/>
        <v>417</v>
      </c>
      <c r="EK55" s="919" t="e">
        <f t="shared" si="420"/>
        <v>#N/A</v>
      </c>
      <c r="EL55" s="919">
        <f t="shared" si="420"/>
        <v>417</v>
      </c>
      <c r="EM55" s="919">
        <f t="shared" si="420"/>
        <v>417</v>
      </c>
      <c r="EN55" s="919">
        <f t="shared" ref="EN55" si="421">EN37</f>
        <v>417</v>
      </c>
      <c r="EO55" s="919">
        <f>EO37</f>
        <v>177</v>
      </c>
      <c r="EP55" s="919">
        <f>EP37</f>
        <v>177</v>
      </c>
      <c r="ER55" s="919">
        <f>ER37</f>
        <v>417</v>
      </c>
      <c r="ES55" s="919">
        <f>ES37</f>
        <v>417</v>
      </c>
      <c r="ET55" s="919">
        <f>ET37</f>
        <v>417</v>
      </c>
      <c r="EU55" s="919">
        <f>EU37</f>
        <v>417</v>
      </c>
      <c r="EV55" s="920">
        <f t="shared" ref="EV55:FD55" si="422">EV37</f>
        <v>417</v>
      </c>
      <c r="EW55" s="919">
        <f t="shared" si="422"/>
        <v>417</v>
      </c>
      <c r="EX55" s="919">
        <f t="shared" si="422"/>
        <v>417</v>
      </c>
      <c r="EY55" s="919" t="e">
        <f t="shared" si="422"/>
        <v>#N/A</v>
      </c>
      <c r="EZ55" s="919">
        <f t="shared" si="422"/>
        <v>417</v>
      </c>
      <c r="FA55" s="919">
        <f t="shared" si="422"/>
        <v>417</v>
      </c>
      <c r="FB55" s="919">
        <f>FB37</f>
        <v>417</v>
      </c>
      <c r="FC55" s="919">
        <f t="shared" si="422"/>
        <v>417</v>
      </c>
      <c r="FD55" s="919">
        <f t="shared" si="422"/>
        <v>417</v>
      </c>
      <c r="FE55" s="919">
        <f t="shared" ref="FE55:FJ55" si="423">FE37</f>
        <v>417</v>
      </c>
      <c r="FF55" s="919">
        <f t="shared" si="423"/>
        <v>417</v>
      </c>
      <c r="FG55" s="919">
        <f t="shared" si="423"/>
        <v>417</v>
      </c>
      <c r="FH55" s="919" t="e">
        <f t="shared" si="423"/>
        <v>#N/A</v>
      </c>
      <c r="FI55" s="919">
        <f t="shared" si="423"/>
        <v>417</v>
      </c>
      <c r="FJ55" s="919">
        <f t="shared" si="423"/>
        <v>417</v>
      </c>
      <c r="FK55" s="919">
        <f t="shared" ref="FK55" si="424">FK37</f>
        <v>417</v>
      </c>
      <c r="FL55" s="919">
        <f>FL37</f>
        <v>177</v>
      </c>
      <c r="FM55" s="919">
        <f>FM37</f>
        <v>177</v>
      </c>
    </row>
    <row r="56" spans="1:171" s="909" customFormat="1" ht="16.2" customHeight="1">
      <c r="A56" s="899">
        <f>ROWS($A$1:A56)</f>
        <v>56</v>
      </c>
      <c r="B56" s="918"/>
      <c r="C56" s="917" t="s">
        <v>220</v>
      </c>
      <c r="D56" s="910">
        <f t="shared" ref="D56:AH56" si="425">IF(D6=0,0,D55/D6)</f>
        <v>0</v>
      </c>
      <c r="E56" s="910">
        <f t="shared" si="425"/>
        <v>3.1466666666666665</v>
      </c>
      <c r="F56" s="910">
        <f t="shared" si="425"/>
        <v>3.2777777777777777</v>
      </c>
      <c r="G56" s="910">
        <f t="shared" si="425"/>
        <v>3.4705882352941178</v>
      </c>
      <c r="H56" s="910">
        <f t="shared" si="425"/>
        <v>4.72</v>
      </c>
      <c r="I56" s="910">
        <f t="shared" si="425"/>
        <v>3.5223880597014925</v>
      </c>
      <c r="J56" s="910">
        <f t="shared" si="425"/>
        <v>3.3714285714285714</v>
      </c>
      <c r="K56" s="910">
        <f t="shared" si="425"/>
        <v>4.2142857142857144</v>
      </c>
      <c r="L56" s="910">
        <f t="shared" si="425"/>
        <v>4.2142857142857144</v>
      </c>
      <c r="M56" s="910">
        <f t="shared" si="425"/>
        <v>4.290909090909091</v>
      </c>
      <c r="N56" s="910">
        <f t="shared" si="425"/>
        <v>4.4249999999999998</v>
      </c>
      <c r="O56" s="910">
        <f t="shared" si="425"/>
        <v>4.72</v>
      </c>
      <c r="P56" s="910">
        <f t="shared" si="425"/>
        <v>4.4528301886792452</v>
      </c>
      <c r="Q56" s="910">
        <f t="shared" si="425"/>
        <v>2.4081632653061225</v>
      </c>
      <c r="R56" s="910">
        <f t="shared" ref="R56" si="426">IF(R6=0,0,R55/R6)</f>
        <v>2.2124999999999999</v>
      </c>
      <c r="S56" s="910">
        <f t="shared" si="425"/>
        <v>5.9</v>
      </c>
      <c r="T56" s="910">
        <f t="shared" si="425"/>
        <v>10.727272727272727</v>
      </c>
      <c r="U56" s="910">
        <f t="shared" si="425"/>
        <v>9.44</v>
      </c>
      <c r="V56" s="910">
        <f t="shared" si="425"/>
        <v>8.85</v>
      </c>
      <c r="W56" s="910">
        <f t="shared" ref="W56" si="427">IF(W6=0,0,W55/W6)</f>
        <v>11.8</v>
      </c>
      <c r="X56" s="910">
        <f t="shared" si="425"/>
        <v>8.85</v>
      </c>
      <c r="Y56" s="910">
        <f t="shared" si="425"/>
        <v>8.85</v>
      </c>
      <c r="Z56" s="910">
        <f t="shared" si="425"/>
        <v>17.7</v>
      </c>
      <c r="AA56" s="910">
        <f t="shared" si="425"/>
        <v>0.80272108843537415</v>
      </c>
      <c r="AB56" s="910">
        <f t="shared" si="425"/>
        <v>0.88059701492537312</v>
      </c>
      <c r="AC56" s="910">
        <f t="shared" si="425"/>
        <v>0.59</v>
      </c>
      <c r="AD56" s="910">
        <f t="shared" si="425"/>
        <v>0.88944723618090449</v>
      </c>
      <c r="AE56" s="910">
        <f t="shared" si="425"/>
        <v>0.46214099216710181</v>
      </c>
      <c r="AF56" s="910">
        <f t="shared" si="425"/>
        <v>0</v>
      </c>
      <c r="AG56" s="910">
        <f t="shared" si="425"/>
        <v>907</v>
      </c>
      <c r="AH56" s="910">
        <f t="shared" si="425"/>
        <v>277</v>
      </c>
      <c r="AI56" s="912"/>
      <c r="AJ56" s="911">
        <f t="shared" ref="AJ56:BN56" si="428">IF(AJ6=0,0,AJ55/AJ6)</f>
        <v>0</v>
      </c>
      <c r="AK56" s="910">
        <f t="shared" si="428"/>
        <v>2.36</v>
      </c>
      <c r="AL56" s="910">
        <f t="shared" si="428"/>
        <v>2.4583333333333335</v>
      </c>
      <c r="AM56" s="910">
        <f t="shared" si="428"/>
        <v>2.6029411764705883</v>
      </c>
      <c r="AN56" s="910">
        <f t="shared" si="428"/>
        <v>3.54</v>
      </c>
      <c r="AO56" s="910">
        <f t="shared" si="428"/>
        <v>2.6417910447761193</v>
      </c>
      <c r="AP56" s="910">
        <f t="shared" si="428"/>
        <v>2.5285714285714285</v>
      </c>
      <c r="AQ56" s="910">
        <f t="shared" si="428"/>
        <v>3.1607142857142856</v>
      </c>
      <c r="AR56" s="910">
        <f t="shared" si="428"/>
        <v>3.1607142857142856</v>
      </c>
      <c r="AS56" s="910">
        <f t="shared" si="428"/>
        <v>3.2181818181818183</v>
      </c>
      <c r="AT56" s="910">
        <f t="shared" si="428"/>
        <v>3.6122448979591835</v>
      </c>
      <c r="AU56" s="910">
        <f t="shared" si="428"/>
        <v>3.54</v>
      </c>
      <c r="AV56" s="910">
        <f t="shared" si="428"/>
        <v>3.3396226415094339</v>
      </c>
      <c r="AW56" s="910">
        <f t="shared" si="428"/>
        <v>1.8061224489795917</v>
      </c>
      <c r="AX56" s="910">
        <f t="shared" ref="AX56" si="429">IF(AX6=0,0,AX55/AX6)</f>
        <v>1.9666666666666666</v>
      </c>
      <c r="AY56" s="910">
        <f t="shared" si="428"/>
        <v>4.4249999999999998</v>
      </c>
      <c r="AZ56" s="910">
        <f t="shared" si="428"/>
        <v>8.045454545454545</v>
      </c>
      <c r="BA56" s="910">
        <f t="shared" si="428"/>
        <v>7.08</v>
      </c>
      <c r="BB56" s="910">
        <f t="shared" si="428"/>
        <v>6.5555555555555554</v>
      </c>
      <c r="BC56" s="910">
        <f t="shared" ref="BC56" si="430">IF(BC6=0,0,BC55/BC6)</f>
        <v>8.85</v>
      </c>
      <c r="BD56" s="910">
        <f t="shared" si="428"/>
        <v>5.0571428571428569</v>
      </c>
      <c r="BE56" s="910">
        <f t="shared" si="428"/>
        <v>5.0571428571428569</v>
      </c>
      <c r="BF56" s="910">
        <f t="shared" si="428"/>
        <v>7.08</v>
      </c>
      <c r="BG56" s="910">
        <f t="shared" si="428"/>
        <v>0.26261127596439171</v>
      </c>
      <c r="BH56" s="910">
        <f t="shared" si="428"/>
        <v>0.66044776119402981</v>
      </c>
      <c r="BI56" s="910">
        <f t="shared" si="428"/>
        <v>0.50571428571428567</v>
      </c>
      <c r="BJ56" s="910">
        <f t="shared" si="428"/>
        <v>0.77631578947368418</v>
      </c>
      <c r="BK56" s="910">
        <f t="shared" si="428"/>
        <v>0.41647058823529409</v>
      </c>
      <c r="BL56" s="910">
        <f t="shared" si="428"/>
        <v>0</v>
      </c>
      <c r="BM56" s="910">
        <f t="shared" si="428"/>
        <v>907</v>
      </c>
      <c r="BN56" s="910">
        <f t="shared" si="428"/>
        <v>277</v>
      </c>
      <c r="BO56" s="912"/>
      <c r="BP56" s="911">
        <f t="shared" ref="BP56:CT56" si="431">IF(BP6=0,0,BP55/BP6)</f>
        <v>0</v>
      </c>
      <c r="BQ56" s="910">
        <f t="shared" si="431"/>
        <v>1.8879999999999999</v>
      </c>
      <c r="BR56" s="910">
        <f t="shared" si="431"/>
        <v>1.9666666666666666</v>
      </c>
      <c r="BS56" s="910">
        <f t="shared" si="431"/>
        <v>2.0823529411764707</v>
      </c>
      <c r="BT56" s="910">
        <f t="shared" si="431"/>
        <v>2.8319999999999999</v>
      </c>
      <c r="BU56" s="910">
        <f t="shared" si="431"/>
        <v>2.1134328358208956</v>
      </c>
      <c r="BV56" s="910">
        <f t="shared" si="431"/>
        <v>2.0228571428571427</v>
      </c>
      <c r="BW56" s="910">
        <f t="shared" si="431"/>
        <v>2.5285714285714285</v>
      </c>
      <c r="BX56" s="910">
        <f t="shared" si="431"/>
        <v>2.5285714285714285</v>
      </c>
      <c r="BY56" s="910">
        <f t="shared" si="431"/>
        <v>2.5745454545454547</v>
      </c>
      <c r="BZ56" s="910">
        <f t="shared" si="431"/>
        <v>3.0517241379310347</v>
      </c>
      <c r="CA56" s="910">
        <f t="shared" si="431"/>
        <v>2.8319999999999999</v>
      </c>
      <c r="CB56" s="910">
        <f t="shared" si="431"/>
        <v>2.671698113207547</v>
      </c>
      <c r="CC56" s="910">
        <f t="shared" si="431"/>
        <v>1.4448979591836735</v>
      </c>
      <c r="CD56" s="910">
        <f t="shared" ref="CD56" si="432">IF(CD6=0,0,CD55/CD6)</f>
        <v>1.77</v>
      </c>
      <c r="CE56" s="910">
        <f t="shared" si="431"/>
        <v>3.54</v>
      </c>
      <c r="CF56" s="910">
        <f t="shared" si="431"/>
        <v>6.4363636363636365</v>
      </c>
      <c r="CG56" s="910">
        <f t="shared" si="431"/>
        <v>5.6639999999999997</v>
      </c>
      <c r="CH56" s="910">
        <f t="shared" si="431"/>
        <v>5.2058823529411766</v>
      </c>
      <c r="CI56" s="910">
        <f t="shared" ref="CI56" si="433">IF(CI6=0,0,CI55/CI6)</f>
        <v>7.08</v>
      </c>
      <c r="CJ56" s="910">
        <f t="shared" si="431"/>
        <v>3.54</v>
      </c>
      <c r="CK56" s="910">
        <f t="shared" si="431"/>
        <v>3.54</v>
      </c>
      <c r="CL56" s="910">
        <f t="shared" si="431"/>
        <v>4.4249999999999998</v>
      </c>
      <c r="CM56" s="910">
        <f t="shared" si="431"/>
        <v>0.20403458213256484</v>
      </c>
      <c r="CN56" s="910">
        <f t="shared" si="431"/>
        <v>0.5283582089552239</v>
      </c>
      <c r="CO56" s="910">
        <f t="shared" si="431"/>
        <v>0.4425</v>
      </c>
      <c r="CP56" s="910">
        <f t="shared" si="431"/>
        <v>0.6103448275862069</v>
      </c>
      <c r="CQ56" s="910">
        <f t="shared" si="431"/>
        <v>0.37982832618025753</v>
      </c>
      <c r="CR56" s="910">
        <f>IF(CR6=0,0,CR55/CR6)</f>
        <v>0</v>
      </c>
      <c r="CS56" s="910">
        <f t="shared" si="431"/>
        <v>907</v>
      </c>
      <c r="CT56" s="910">
        <f t="shared" si="431"/>
        <v>277</v>
      </c>
      <c r="CV56" s="918"/>
      <c r="CW56" s="917" t="s">
        <v>220</v>
      </c>
      <c r="CX56" s="910">
        <f>IF(CX6=0,0,CX55/CX6)</f>
        <v>1.39</v>
      </c>
      <c r="CY56" s="910">
        <f>IF(CY6=0,0,CY55/CY6)</f>
        <v>1.0425</v>
      </c>
      <c r="CZ56" s="910">
        <f>IF(CZ6=0,0,CZ55/CZ6)</f>
        <v>1.39</v>
      </c>
      <c r="DA56" s="910">
        <f>IF(DA6=0,0,DA55/DA6)</f>
        <v>0.92666666666666664</v>
      </c>
      <c r="DB56" s="910">
        <f t="shared" ref="DB56:DJ56" si="434">IF(DB6=0,0,DB55/DB6)</f>
        <v>13.9</v>
      </c>
      <c r="DC56" s="910">
        <f t="shared" si="434"/>
        <v>13.9</v>
      </c>
      <c r="DD56" s="910">
        <f>IF(DD6=0,0,DD55/DD6)</f>
        <v>13.9</v>
      </c>
      <c r="DE56" s="910" t="e">
        <f t="shared" si="434"/>
        <v>#N/A</v>
      </c>
      <c r="DF56" s="910">
        <f t="shared" si="434"/>
        <v>13.9</v>
      </c>
      <c r="DG56" s="910">
        <f t="shared" si="434"/>
        <v>13.9</v>
      </c>
      <c r="DH56" s="910">
        <f>IF(DH6=0,0,DH55/DH6)</f>
        <v>13.9</v>
      </c>
      <c r="DI56" s="910">
        <f t="shared" si="434"/>
        <v>23.166666666666668</v>
      </c>
      <c r="DJ56" s="910">
        <f t="shared" si="434"/>
        <v>7.9428571428571431</v>
      </c>
      <c r="DK56" s="910">
        <f>IF(DK6=0,0,DK55/DK6)</f>
        <v>22.24</v>
      </c>
      <c r="DL56" s="910">
        <f t="shared" ref="DL56:DS56" si="435">IF(DL6=0,0,DL55/DL6)</f>
        <v>22.24</v>
      </c>
      <c r="DM56" s="910">
        <f t="shared" si="435"/>
        <v>20.85</v>
      </c>
      <c r="DN56" s="910" t="e">
        <f t="shared" si="435"/>
        <v>#N/A</v>
      </c>
      <c r="DO56" s="910">
        <f t="shared" si="435"/>
        <v>41.7</v>
      </c>
      <c r="DP56" s="910">
        <f t="shared" si="435"/>
        <v>2.78</v>
      </c>
      <c r="DQ56" s="910">
        <f t="shared" ref="DQ56" si="436">IF(DQ6=0,0,DQ55/DQ6)</f>
        <v>27.8</v>
      </c>
      <c r="DR56" s="910">
        <f t="shared" si="435"/>
        <v>177</v>
      </c>
      <c r="DS56" s="910">
        <f t="shared" si="435"/>
        <v>177</v>
      </c>
      <c r="DU56" s="910">
        <f>IF(DU6=0,0,DU55/DU6)</f>
        <v>0.99285714285714288</v>
      </c>
      <c r="DV56" s="910">
        <f>IF(DV6=0,0,DV55/DV6)</f>
        <v>0.83399999999999996</v>
      </c>
      <c r="DW56" s="910">
        <f>IF(DW6=0,0,DW55/DW6)</f>
        <v>1.0425</v>
      </c>
      <c r="DX56" s="910">
        <f>IF(DX6=0,0,DX55/DX6)</f>
        <v>0.75818181818181818</v>
      </c>
      <c r="DY56" s="911">
        <f t="shared" ref="DY56:EG56" si="437">IF(DY6=0,0,DY55/DY6)</f>
        <v>10.425000000000001</v>
      </c>
      <c r="DZ56" s="910">
        <f t="shared" si="437"/>
        <v>10.425000000000001</v>
      </c>
      <c r="EA56" s="910">
        <f t="shared" si="437"/>
        <v>10.425000000000001</v>
      </c>
      <c r="EB56" s="910" t="e">
        <f t="shared" si="437"/>
        <v>#N/A</v>
      </c>
      <c r="EC56" s="910">
        <f t="shared" si="437"/>
        <v>10.425000000000001</v>
      </c>
      <c r="ED56" s="910">
        <f t="shared" si="437"/>
        <v>10.425000000000001</v>
      </c>
      <c r="EE56" s="910">
        <f>IF(EE6=0,0,EE55/EE6)</f>
        <v>10.425000000000001</v>
      </c>
      <c r="EF56" s="910">
        <f t="shared" si="437"/>
        <v>11.583333333333334</v>
      </c>
      <c r="EG56" s="910">
        <f t="shared" si="437"/>
        <v>5.9571428571428573</v>
      </c>
      <c r="EH56" s="910">
        <f t="shared" ref="EH56:EM56" si="438">IF(EH6=0,0,EH55/EH6)</f>
        <v>16.68</v>
      </c>
      <c r="EI56" s="910">
        <f t="shared" si="438"/>
        <v>16.68</v>
      </c>
      <c r="EJ56" s="910">
        <f t="shared" si="438"/>
        <v>16.68</v>
      </c>
      <c r="EK56" s="910" t="e">
        <f t="shared" si="438"/>
        <v>#N/A</v>
      </c>
      <c r="EL56" s="910">
        <f t="shared" si="438"/>
        <v>23.166666666666668</v>
      </c>
      <c r="EM56" s="910">
        <f t="shared" si="438"/>
        <v>2.2240000000000002</v>
      </c>
      <c r="EN56" s="910">
        <f t="shared" ref="EN56" si="439">IF(EN6=0,0,EN55/EN6)</f>
        <v>20.85</v>
      </c>
      <c r="EO56" s="910">
        <f>IF(EO6=0,0,EO55/EO6)</f>
        <v>177</v>
      </c>
      <c r="EP56" s="910">
        <f>IF(EP6=0,0,EP55/EP6)</f>
        <v>177</v>
      </c>
      <c r="ER56" s="910">
        <f>IF(ER6=0,0,ER55/ER6)</f>
        <v>0.83399999999999996</v>
      </c>
      <c r="ES56" s="910">
        <f>IF(ES6=0,0,ES55/ES6)</f>
        <v>0.69499999999999995</v>
      </c>
      <c r="ET56" s="910">
        <f>IF(ET6=0,0,ET55/ET6)</f>
        <v>0.83399999999999996</v>
      </c>
      <c r="EU56" s="910">
        <f>IF(EU6=0,0,EU55/EU6)</f>
        <v>0.69499999999999995</v>
      </c>
      <c r="EV56" s="911">
        <f t="shared" ref="EV56:FD56" si="440">IF(EV6=0,0,EV55/EV6)</f>
        <v>6.0434782608695654</v>
      </c>
      <c r="EW56" s="910">
        <f t="shared" si="440"/>
        <v>6.95</v>
      </c>
      <c r="EX56" s="910">
        <f t="shared" si="440"/>
        <v>9.2666666666666675</v>
      </c>
      <c r="EY56" s="910" t="e">
        <f t="shared" si="440"/>
        <v>#N/A</v>
      </c>
      <c r="EZ56" s="910">
        <f t="shared" si="440"/>
        <v>8.34</v>
      </c>
      <c r="FA56" s="910">
        <f t="shared" si="440"/>
        <v>8.34</v>
      </c>
      <c r="FB56" s="910">
        <f>IF(FB6=0,0,FB55/FB6)</f>
        <v>8.34</v>
      </c>
      <c r="FC56" s="910">
        <f t="shared" si="440"/>
        <v>11.583333333333334</v>
      </c>
      <c r="FD56" s="910">
        <f t="shared" si="440"/>
        <v>4.765714285714286</v>
      </c>
      <c r="FE56" s="910">
        <f t="shared" ref="FE56:FJ56" si="441">IF(FE6=0,0,FE55/FE6)</f>
        <v>13.343999999999999</v>
      </c>
      <c r="FF56" s="910">
        <f t="shared" si="441"/>
        <v>13.343999999999999</v>
      </c>
      <c r="FG56" s="910">
        <f t="shared" si="441"/>
        <v>13.9</v>
      </c>
      <c r="FH56" s="910" t="e">
        <f t="shared" si="441"/>
        <v>#N/A</v>
      </c>
      <c r="FI56" s="910">
        <f t="shared" si="441"/>
        <v>16.03846153846154</v>
      </c>
      <c r="FJ56" s="910">
        <f t="shared" si="441"/>
        <v>1.8533333333333333</v>
      </c>
      <c r="FK56" s="910">
        <f t="shared" ref="FK56" si="442">IF(FK6=0,0,FK55/FK6)</f>
        <v>16.68</v>
      </c>
      <c r="FL56" s="910">
        <f>IF(FL6=0,0,FL55/FL6)</f>
        <v>177</v>
      </c>
      <c r="FM56" s="910">
        <f>IF(FM6=0,0,FM55/FM6)</f>
        <v>177</v>
      </c>
    </row>
    <row r="57" spans="1:171" s="909" customFormat="1" ht="16.2" customHeight="1">
      <c r="A57" s="899">
        <f>ROWS($A$1:A57)</f>
        <v>57</v>
      </c>
      <c r="B57" s="916" t="s">
        <v>789</v>
      </c>
      <c r="C57" s="915" t="s">
        <v>163</v>
      </c>
      <c r="D57" s="904">
        <f t="shared" ref="D57:AH57" si="443">D53-D55</f>
        <v>1655.5633139368792</v>
      </c>
      <c r="E57" s="904">
        <f t="shared" si="443"/>
        <v>1484.4199756369999</v>
      </c>
      <c r="F57" s="904">
        <f t="shared" si="443"/>
        <v>1554.9048841098117</v>
      </c>
      <c r="G57" s="904">
        <f t="shared" si="443"/>
        <v>1601.2454872051153</v>
      </c>
      <c r="H57" s="904">
        <f t="shared" si="443"/>
        <v>1306.014681601604</v>
      </c>
      <c r="I57" s="904">
        <f t="shared" si="443"/>
        <v>1385.2489927426325</v>
      </c>
      <c r="J57" s="904">
        <f t="shared" si="443"/>
        <v>1456.068125779801</v>
      </c>
      <c r="K57" s="904">
        <f t="shared" si="443"/>
        <v>1491.1149930957845</v>
      </c>
      <c r="L57" s="904">
        <f t="shared" si="443"/>
        <v>1311.3413320063069</v>
      </c>
      <c r="M57" s="904">
        <f t="shared" si="443"/>
        <v>1373.3223347390335</v>
      </c>
      <c r="N57" s="904">
        <f t="shared" si="443"/>
        <v>1321.7415700838917</v>
      </c>
      <c r="O57" s="904">
        <f t="shared" si="443"/>
        <v>1184.1657454407709</v>
      </c>
      <c r="P57" s="904">
        <f t="shared" si="443"/>
        <v>1508.7222568184868</v>
      </c>
      <c r="Q57" s="904">
        <f t="shared" si="443"/>
        <v>1850.0222075806332</v>
      </c>
      <c r="R57" s="904" t="e">
        <f t="shared" ref="R57" si="444">R53-R55</f>
        <v>#VALUE!</v>
      </c>
      <c r="S57" s="904">
        <f t="shared" si="443"/>
        <v>1695.0654958031664</v>
      </c>
      <c r="T57" s="904">
        <f t="shared" si="443"/>
        <v>1502.1435150088669</v>
      </c>
      <c r="U57" s="904">
        <f t="shared" si="443"/>
        <v>1508.0670508935837</v>
      </c>
      <c r="V57" s="904">
        <f t="shared" si="443"/>
        <v>1545.0954807482781</v>
      </c>
      <c r="W57" s="904" t="e">
        <f t="shared" ref="W57" si="445">W53-W55</f>
        <v>#VALUE!</v>
      </c>
      <c r="X57" s="904">
        <f t="shared" si="443"/>
        <v>1297.6597574149446</v>
      </c>
      <c r="Y57" s="904">
        <f t="shared" si="443"/>
        <v>1319.8632574149447</v>
      </c>
      <c r="Z57" s="904" t="e">
        <f t="shared" si="443"/>
        <v>#VALUE!</v>
      </c>
      <c r="AA57" s="904">
        <f t="shared" si="443"/>
        <v>764.40947930349989</v>
      </c>
      <c r="AB57" s="904">
        <f t="shared" si="443"/>
        <v>10874.072335415023</v>
      </c>
      <c r="AC57" s="904" t="e">
        <f t="shared" si="443"/>
        <v>#VALUE!</v>
      </c>
      <c r="AD57" s="904">
        <f t="shared" si="443"/>
        <v>7748.2197164900481</v>
      </c>
      <c r="AE57" s="904">
        <f t="shared" si="443"/>
        <v>8778.0537145850249</v>
      </c>
      <c r="AF57" s="904">
        <f t="shared" si="443"/>
        <v>858</v>
      </c>
      <c r="AG57" s="904">
        <f t="shared" si="443"/>
        <v>-554.08355756416677</v>
      </c>
      <c r="AH57" s="904">
        <f t="shared" si="443"/>
        <v>-272.63716161175</v>
      </c>
      <c r="AI57" s="901"/>
      <c r="AJ57" s="902">
        <f t="shared" ref="AJ57:BN57" si="446">AJ53-AJ55</f>
        <v>1757.3338198425836</v>
      </c>
      <c r="AK57" s="904">
        <f t="shared" si="446"/>
        <v>1608.4604799951667</v>
      </c>
      <c r="AL57" s="904">
        <f t="shared" si="446"/>
        <v>1663.5668776771311</v>
      </c>
      <c r="AM57" s="904">
        <f t="shared" si="446"/>
        <v>1709.5453706930912</v>
      </c>
      <c r="AN57" s="904">
        <f t="shared" si="446"/>
        <v>1378.1725037946053</v>
      </c>
      <c r="AO57" s="904">
        <f t="shared" si="446"/>
        <v>1470.127029760421</v>
      </c>
      <c r="AP57" s="904">
        <f t="shared" si="446"/>
        <v>1547.9977280306341</v>
      </c>
      <c r="AQ57" s="904">
        <f t="shared" si="446"/>
        <v>1604.2203282735461</v>
      </c>
      <c r="AR57" s="904">
        <f t="shared" si="446"/>
        <v>1430.5160248842976</v>
      </c>
      <c r="AS57" s="904">
        <f t="shared" si="446"/>
        <v>1451.2816590834893</v>
      </c>
      <c r="AT57" s="904">
        <f t="shared" si="446"/>
        <v>1371.3292097234976</v>
      </c>
      <c r="AU57" s="904">
        <f t="shared" si="446"/>
        <v>1270.2962106066943</v>
      </c>
      <c r="AV57" s="904">
        <f t="shared" si="446"/>
        <v>1595.4030531375377</v>
      </c>
      <c r="AW57" s="904">
        <f t="shared" si="446"/>
        <v>2062.1286423448441</v>
      </c>
      <c r="AX57" s="904" t="e">
        <f t="shared" ref="AX57" si="447">AX53-AX55</f>
        <v>#VALUE!</v>
      </c>
      <c r="AY57" s="904">
        <f t="shared" si="446"/>
        <v>1884.7768496815115</v>
      </c>
      <c r="AZ57" s="904">
        <f t="shared" si="446"/>
        <v>1645.8662398124891</v>
      </c>
      <c r="BA57" s="904">
        <f t="shared" si="446"/>
        <v>1639.0804567645555</v>
      </c>
      <c r="BB57" s="904">
        <f t="shared" si="446"/>
        <v>1632.4599793237667</v>
      </c>
      <c r="BC57" s="904" t="e">
        <f t="shared" ref="BC57" si="448">BC53-BC55</f>
        <v>#VALUE!</v>
      </c>
      <c r="BD57" s="904">
        <f t="shared" si="446"/>
        <v>1394.0038606719445</v>
      </c>
      <c r="BE57" s="904">
        <f t="shared" si="446"/>
        <v>1434.0951940052778</v>
      </c>
      <c r="BF57" s="904" t="e">
        <f t="shared" si="446"/>
        <v>#VALUE!</v>
      </c>
      <c r="BG57" s="904">
        <f t="shared" si="446"/>
        <v>2377.7778748034998</v>
      </c>
      <c r="BH57" s="904">
        <f t="shared" si="446"/>
        <v>11133.01784432531</v>
      </c>
      <c r="BI57" s="904" t="e">
        <f t="shared" si="446"/>
        <v>#VALUE!</v>
      </c>
      <c r="BJ57" s="904">
        <f t="shared" si="446"/>
        <v>7923.3446529826178</v>
      </c>
      <c r="BK57" s="904">
        <f t="shared" si="446"/>
        <v>8920.9896714143579</v>
      </c>
      <c r="BL57" s="904">
        <f t="shared" si="446"/>
        <v>898</v>
      </c>
      <c r="BM57" s="904">
        <f t="shared" si="446"/>
        <v>-514.08355756416677</v>
      </c>
      <c r="BN57" s="904">
        <f t="shared" si="446"/>
        <v>47.362838388250111</v>
      </c>
      <c r="BO57" s="901"/>
      <c r="BP57" s="902">
        <f t="shared" ref="BP57:CT57" si="449">BP53-BP55</f>
        <v>2011.4074047529875</v>
      </c>
      <c r="BQ57" s="904">
        <f t="shared" si="449"/>
        <v>1718.4704322699999</v>
      </c>
      <c r="BR57" s="904">
        <f t="shared" si="449"/>
        <v>1772.400196070711</v>
      </c>
      <c r="BS57" s="904">
        <f t="shared" si="449"/>
        <v>1822.4679123406609</v>
      </c>
      <c r="BT57" s="904">
        <f t="shared" si="449"/>
        <v>1485.3194904805737</v>
      </c>
      <c r="BU57" s="904">
        <f t="shared" si="449"/>
        <v>1564.5490939331426</v>
      </c>
      <c r="BV57" s="904">
        <f t="shared" si="449"/>
        <v>1707.8040574364013</v>
      </c>
      <c r="BW57" s="904">
        <f t="shared" si="449"/>
        <v>1686.8704862963746</v>
      </c>
      <c r="BX57" s="904">
        <f t="shared" si="449"/>
        <v>1437.584217762289</v>
      </c>
      <c r="BY57" s="904">
        <f t="shared" si="449"/>
        <v>1529.2409834279442</v>
      </c>
      <c r="BZ57" s="904">
        <f t="shared" si="449"/>
        <v>1420.9168493631028</v>
      </c>
      <c r="CA57" s="904">
        <f t="shared" si="449"/>
        <v>1338.5763665819513</v>
      </c>
      <c r="CB57" s="904">
        <f t="shared" si="449"/>
        <v>1682.0838494565892</v>
      </c>
      <c r="CC57" s="904">
        <f t="shared" si="449"/>
        <v>2274.2350771090551</v>
      </c>
      <c r="CD57" s="904" t="e">
        <f t="shared" ref="CD57" si="450">CD53-CD55</f>
        <v>#VALUE!</v>
      </c>
      <c r="CE57" s="904">
        <f t="shared" si="449"/>
        <v>2038.2586995551555</v>
      </c>
      <c r="CF57" s="904">
        <f t="shared" si="449"/>
        <v>1753.4527373956116</v>
      </c>
      <c r="CG57" s="904">
        <f t="shared" si="449"/>
        <v>1770.0938626355282</v>
      </c>
      <c r="CH57" s="904">
        <f t="shared" si="449"/>
        <v>1719.8244778992557</v>
      </c>
      <c r="CI57" s="904" t="e">
        <f t="shared" ref="CI57" si="451">CI53-CI55</f>
        <v>#VALUE!</v>
      </c>
      <c r="CJ57" s="904">
        <f t="shared" si="449"/>
        <v>1518.581297262278</v>
      </c>
      <c r="CK57" s="904">
        <f t="shared" si="449"/>
        <v>1571.6196305956109</v>
      </c>
      <c r="CL57" s="904" t="e">
        <f t="shared" si="449"/>
        <v>#VALUE!</v>
      </c>
      <c r="CM57" s="904">
        <f t="shared" si="449"/>
        <v>2725.4615595240002</v>
      </c>
      <c r="CN57" s="904">
        <f t="shared" si="449"/>
        <v>11391.963353235595</v>
      </c>
      <c r="CO57" s="904" t="e">
        <f t="shared" si="449"/>
        <v>#VALUE!</v>
      </c>
      <c r="CP57" s="904">
        <f t="shared" si="449"/>
        <v>8152.4328394751901</v>
      </c>
      <c r="CQ57" s="904">
        <f t="shared" si="449"/>
        <v>9075.9932889937845</v>
      </c>
      <c r="CR57" s="904">
        <f>CR53-CR55</f>
        <v>938</v>
      </c>
      <c r="CS57" s="904">
        <f t="shared" si="449"/>
        <v>-474.08355756416654</v>
      </c>
      <c r="CT57" s="904">
        <f t="shared" si="449"/>
        <v>87.362838388250111</v>
      </c>
      <c r="CV57" s="916" t="s">
        <v>789</v>
      </c>
      <c r="CW57" s="915" t="s">
        <v>163</v>
      </c>
      <c r="CX57" s="904">
        <f>CX53-CX55</f>
        <v>68.226713807716692</v>
      </c>
      <c r="CY57" s="904">
        <f>CY53-CY55</f>
        <v>16.210104122716643</v>
      </c>
      <c r="CZ57" s="904">
        <f>CZ53-CZ55</f>
        <v>66.658630474383358</v>
      </c>
      <c r="DA57" s="904">
        <f>DA53-DA55</f>
        <v>-102.56967921061664</v>
      </c>
      <c r="DB57" s="904">
        <f t="shared" ref="DB57:DJ57" si="452">DB53-DB55</f>
        <v>761.25489007346187</v>
      </c>
      <c r="DC57" s="904">
        <f t="shared" si="452"/>
        <v>1019.7489123055002</v>
      </c>
      <c r="DD57" s="904">
        <f>DD53-DD55</f>
        <v>1004.6843863055001</v>
      </c>
      <c r="DE57" s="904" t="e">
        <f t="shared" si="452"/>
        <v>#N/A</v>
      </c>
      <c r="DF57" s="904">
        <f t="shared" si="452"/>
        <v>974.10188746112362</v>
      </c>
      <c r="DG57" s="904">
        <f t="shared" si="452"/>
        <v>1067.2617204501903</v>
      </c>
      <c r="DH57" s="904">
        <f>DH53-DH55</f>
        <v>1012.3283046371739</v>
      </c>
      <c r="DI57" s="904">
        <f t="shared" si="452"/>
        <v>888.84402646184913</v>
      </c>
      <c r="DJ57" s="904">
        <f t="shared" si="452"/>
        <v>1671.7727007648332</v>
      </c>
      <c r="DK57" s="904">
        <f>DK53-DK55</f>
        <v>890.32968899966681</v>
      </c>
      <c r="DL57" s="904">
        <f t="shared" ref="DL57:DS57" si="453">DL53-DL55</f>
        <v>833.91852440641651</v>
      </c>
      <c r="DM57" s="904">
        <f t="shared" si="453"/>
        <v>1201.8220634287779</v>
      </c>
      <c r="DN57" s="904" t="e">
        <f t="shared" si="453"/>
        <v>#N/A</v>
      </c>
      <c r="DO57" s="904" t="e">
        <f t="shared" si="453"/>
        <v>#N/A</v>
      </c>
      <c r="DP57" s="904">
        <f t="shared" si="453"/>
        <v>9550.3509831259526</v>
      </c>
      <c r="DQ57" s="904">
        <f t="shared" ref="DQ57" si="454">DQ53-DQ55</f>
        <v>852.92025691875006</v>
      </c>
      <c r="DR57" s="904">
        <f t="shared" si="453"/>
        <v>857.96891041666663</v>
      </c>
      <c r="DS57" s="904">
        <f t="shared" si="453"/>
        <v>1150.6629929715834</v>
      </c>
      <c r="DU57" s="904">
        <f>DU53-DU55</f>
        <v>-143.31408619228341</v>
      </c>
      <c r="DV57" s="904">
        <f>DV53-DV55</f>
        <v>-95.762462543950051</v>
      </c>
      <c r="DW57" s="904">
        <f>DW53-DW55</f>
        <v>-102.95870285894989</v>
      </c>
      <c r="DX57" s="904">
        <f>DX53-DX55</f>
        <v>-214.54224587728334</v>
      </c>
      <c r="DY57" s="902">
        <f t="shared" ref="DY57:EG57" si="455">DY53-DY55</f>
        <v>1200.3424775594444</v>
      </c>
      <c r="DZ57" s="904">
        <f t="shared" si="455"/>
        <v>1157.2849571791444</v>
      </c>
      <c r="EA57" s="904">
        <f t="shared" si="455"/>
        <v>1129.1055891791443</v>
      </c>
      <c r="EB57" s="904" t="e">
        <f t="shared" si="455"/>
        <v>#N/A</v>
      </c>
      <c r="EC57" s="904">
        <f t="shared" si="455"/>
        <v>1107.6799456069816</v>
      </c>
      <c r="ED57" s="904">
        <f t="shared" si="455"/>
        <v>1208.6912344957009</v>
      </c>
      <c r="EE57" s="904">
        <f>EE53-EE55</f>
        <v>1218.5658962736488</v>
      </c>
      <c r="EF57" s="904">
        <f t="shared" si="455"/>
        <v>1084.1575763502638</v>
      </c>
      <c r="EG57" s="904">
        <f t="shared" si="455"/>
        <v>1946.6630342868889</v>
      </c>
      <c r="EH57" s="904">
        <f t="shared" ref="EH57:EM57" si="456">EH53-EH55</f>
        <v>959.50264174563881</v>
      </c>
      <c r="EI57" s="904">
        <f t="shared" si="456"/>
        <v>894.87356048572201</v>
      </c>
      <c r="EJ57" s="904">
        <f t="shared" si="456"/>
        <v>1283.4901106255556</v>
      </c>
      <c r="EK57" s="904" t="e">
        <f t="shared" si="456"/>
        <v>#N/A</v>
      </c>
      <c r="EL57" s="904" t="e">
        <f t="shared" si="456"/>
        <v>#N/A</v>
      </c>
      <c r="EM57" s="904">
        <f t="shared" si="456"/>
        <v>9858.0023185378559</v>
      </c>
      <c r="EN57" s="904">
        <f t="shared" ref="EN57" si="457">EN53-EN55</f>
        <v>923.38451078219441</v>
      </c>
      <c r="EO57" s="904">
        <f>EO53-EO55</f>
        <v>928.96891041666663</v>
      </c>
      <c r="EP57" s="904">
        <f>EP53-EP55</f>
        <v>1190.6629929715834</v>
      </c>
      <c r="ER57" s="904">
        <f>ER53-ER55</f>
        <v>-281.00795285895003</v>
      </c>
      <c r="ES57" s="904">
        <f>ES53-ES55</f>
        <v>-217.73502921061674</v>
      </c>
      <c r="ET57" s="904">
        <f>ET53-ET55</f>
        <v>-282.57603619228337</v>
      </c>
      <c r="EU57" s="904">
        <f>EU53-EU55</f>
        <v>-260.52852921061663</v>
      </c>
      <c r="EV57" s="902">
        <f t="shared" ref="EV57:FD57" si="458">EV53-EV55</f>
        <v>1208.5605038263461</v>
      </c>
      <c r="EW57" s="904">
        <f t="shared" si="458"/>
        <v>1382.3570469264332</v>
      </c>
      <c r="EX57" s="904">
        <f t="shared" si="458"/>
        <v>1201.3161906159667</v>
      </c>
      <c r="EY57" s="904" t="e">
        <f t="shared" si="458"/>
        <v>#N/A</v>
      </c>
      <c r="EZ57" s="904">
        <f t="shared" si="458"/>
        <v>1238.3043918139597</v>
      </c>
      <c r="FA57" s="904">
        <f t="shared" si="458"/>
        <v>1347.1587888892573</v>
      </c>
      <c r="FB57" s="904">
        <f>FB53-FB55</f>
        <v>1327.1884134806264</v>
      </c>
      <c r="FC57" s="904">
        <f t="shared" si="458"/>
        <v>1142.3909096835978</v>
      </c>
      <c r="FD57" s="904">
        <f t="shared" si="458"/>
        <v>2229.1992011422772</v>
      </c>
      <c r="FE57" s="904">
        <f t="shared" ref="FE57:FJ57" si="459">FE53-FE55</f>
        <v>1018.6755944916113</v>
      </c>
      <c r="FF57" s="904">
        <f t="shared" si="459"/>
        <v>956.52676729252767</v>
      </c>
      <c r="FG57" s="904">
        <f t="shared" si="459"/>
        <v>1399.1230806232502</v>
      </c>
      <c r="FH57" s="904" t="e">
        <f t="shared" si="459"/>
        <v>#N/A</v>
      </c>
      <c r="FI57" s="904" t="e">
        <f t="shared" si="459"/>
        <v>#N/A</v>
      </c>
      <c r="FJ57" s="904">
        <f t="shared" si="459"/>
        <v>10155.653653949763</v>
      </c>
      <c r="FK57" s="904">
        <f t="shared" ref="FK57" si="460">FK53-FK55</f>
        <v>983.84876464563899</v>
      </c>
      <c r="FL57" s="904">
        <f>FL53-FL55</f>
        <v>958.96891041666663</v>
      </c>
      <c r="FM57" s="904">
        <f>FM53-FM55</f>
        <v>1220.6629929715834</v>
      </c>
    </row>
    <row r="58" spans="1:171" s="909" customFormat="1" ht="16.2" customHeight="1" thickBot="1">
      <c r="A58" s="899">
        <f>ROWS($A$1:A58)</f>
        <v>58</v>
      </c>
      <c r="B58" s="914" t="s">
        <v>788</v>
      </c>
      <c r="C58" s="913" t="s">
        <v>220</v>
      </c>
      <c r="D58" s="910">
        <f t="shared" ref="D58:AH58" si="461">IF(D6=0,0,D57/D6)</f>
        <v>29.432236692211188</v>
      </c>
      <c r="E58" s="910">
        <f t="shared" si="461"/>
        <v>26.389688455768887</v>
      </c>
      <c r="F58" s="910">
        <f t="shared" si="461"/>
        <v>28.794534890922439</v>
      </c>
      <c r="G58" s="910">
        <f t="shared" si="461"/>
        <v>31.396970337355203</v>
      </c>
      <c r="H58" s="910">
        <f t="shared" si="461"/>
        <v>34.827058176042776</v>
      </c>
      <c r="I58" s="910">
        <f t="shared" si="461"/>
        <v>27.567144134181742</v>
      </c>
      <c r="J58" s="910">
        <f t="shared" si="461"/>
        <v>27.734630967234306</v>
      </c>
      <c r="K58" s="910">
        <f t="shared" si="461"/>
        <v>35.502737930852014</v>
      </c>
      <c r="L58" s="910">
        <f t="shared" si="461"/>
        <v>31.22241266681683</v>
      </c>
      <c r="M58" s="910">
        <f t="shared" si="461"/>
        <v>33.292662660340206</v>
      </c>
      <c r="N58" s="910">
        <f t="shared" si="461"/>
        <v>33.04353925209729</v>
      </c>
      <c r="O58" s="910">
        <f t="shared" si="461"/>
        <v>31.57775321175389</v>
      </c>
      <c r="P58" s="910">
        <f t="shared" si="461"/>
        <v>37.95527690109401</v>
      </c>
      <c r="Q58" s="910">
        <f t="shared" si="461"/>
        <v>25.170370171165079</v>
      </c>
      <c r="R58" s="910" t="e">
        <f t="shared" ref="R58" si="462">IF(R6=0,0,R57/R6)</f>
        <v>#VALUE!</v>
      </c>
      <c r="S58" s="910">
        <f t="shared" si="461"/>
        <v>56.502183193438881</v>
      </c>
      <c r="T58" s="910">
        <f t="shared" si="461"/>
        <v>91.039000909628299</v>
      </c>
      <c r="U58" s="910">
        <f t="shared" si="461"/>
        <v>80.430242714324464</v>
      </c>
      <c r="V58" s="910">
        <f t="shared" si="461"/>
        <v>77.25477403741391</v>
      </c>
      <c r="W58" s="910" t="e">
        <f t="shared" ref="W58" si="463">IF(W6=0,0,W57/W6)</f>
        <v>#VALUE!</v>
      </c>
      <c r="X58" s="910">
        <f t="shared" si="461"/>
        <v>64.882987870747229</v>
      </c>
      <c r="Y58" s="910">
        <f t="shared" si="461"/>
        <v>65.993162870747227</v>
      </c>
      <c r="Z58" s="910" t="e">
        <f t="shared" si="461"/>
        <v>#VALUE!</v>
      </c>
      <c r="AA58" s="910">
        <f t="shared" si="461"/>
        <v>3.4667096567052149</v>
      </c>
      <c r="AB58" s="910">
        <f t="shared" si="461"/>
        <v>54.099862365248875</v>
      </c>
      <c r="AC58" s="910" t="e">
        <f t="shared" si="461"/>
        <v>#VALUE!</v>
      </c>
      <c r="AD58" s="910">
        <f t="shared" si="461"/>
        <v>38.935777469799234</v>
      </c>
      <c r="AE58" s="910">
        <f t="shared" si="461"/>
        <v>22.919200299177611</v>
      </c>
      <c r="AF58" s="910">
        <f t="shared" si="461"/>
        <v>0</v>
      </c>
      <c r="AG58" s="910">
        <f t="shared" si="461"/>
        <v>-554.08355756416677</v>
      </c>
      <c r="AH58" s="910">
        <f t="shared" si="461"/>
        <v>-272.63716161175</v>
      </c>
      <c r="AI58" s="912"/>
      <c r="AJ58" s="911">
        <f t="shared" ref="AJ58:BN58" si="464">IF(AJ6=0,0,AJ57/AJ6)</f>
        <v>23.431117597901114</v>
      </c>
      <c r="AK58" s="910">
        <f t="shared" si="464"/>
        <v>21.44613973326889</v>
      </c>
      <c r="AL58" s="910">
        <f t="shared" si="464"/>
        <v>23.105095523293485</v>
      </c>
      <c r="AM58" s="910">
        <f t="shared" si="464"/>
        <v>25.140373098427812</v>
      </c>
      <c r="AN58" s="910">
        <f t="shared" si="464"/>
        <v>27.563450075892106</v>
      </c>
      <c r="AO58" s="910">
        <f t="shared" si="464"/>
        <v>21.942194474036135</v>
      </c>
      <c r="AP58" s="910">
        <f t="shared" si="464"/>
        <v>22.114253257580486</v>
      </c>
      <c r="AQ58" s="910">
        <f t="shared" si="464"/>
        <v>28.646791576313323</v>
      </c>
      <c r="AR58" s="910">
        <f t="shared" si="464"/>
        <v>25.54492901579103</v>
      </c>
      <c r="AS58" s="910">
        <f t="shared" si="464"/>
        <v>26.386939256063442</v>
      </c>
      <c r="AT58" s="910">
        <f t="shared" si="464"/>
        <v>27.98631040252036</v>
      </c>
      <c r="AU58" s="910">
        <f t="shared" si="464"/>
        <v>25.405924212133886</v>
      </c>
      <c r="AV58" s="910">
        <f t="shared" si="464"/>
        <v>30.101944398821466</v>
      </c>
      <c r="AW58" s="910">
        <f t="shared" si="464"/>
        <v>21.042129003518816</v>
      </c>
      <c r="AX58" s="910" t="e">
        <f t="shared" ref="AX58" si="465">IF(AX6=0,0,AX57/AX6)</f>
        <v>#VALUE!</v>
      </c>
      <c r="AY58" s="910">
        <f t="shared" si="464"/>
        <v>47.119421242037788</v>
      </c>
      <c r="AZ58" s="910">
        <f t="shared" si="464"/>
        <v>74.8121018096586</v>
      </c>
      <c r="BA58" s="910">
        <f t="shared" si="464"/>
        <v>65.563218270582226</v>
      </c>
      <c r="BB58" s="910">
        <f t="shared" si="464"/>
        <v>60.46148071569506</v>
      </c>
      <c r="BC58" s="910" t="e">
        <f t="shared" ref="BC58" si="466">IF(BC6=0,0,BC57/BC6)</f>
        <v>#VALUE!</v>
      </c>
      <c r="BD58" s="910">
        <f t="shared" si="464"/>
        <v>39.828681733484132</v>
      </c>
      <c r="BE58" s="910">
        <f t="shared" si="464"/>
        <v>40.974148400150796</v>
      </c>
      <c r="BF58" s="910" t="e">
        <f t="shared" si="464"/>
        <v>#VALUE!</v>
      </c>
      <c r="BG58" s="910">
        <f t="shared" si="464"/>
        <v>3.527860348373145</v>
      </c>
      <c r="BH58" s="910">
        <f t="shared" si="464"/>
        <v>41.5411113594228</v>
      </c>
      <c r="BI58" s="910" t="e">
        <f t="shared" si="464"/>
        <v>#VALUE!</v>
      </c>
      <c r="BJ58" s="910">
        <f t="shared" si="464"/>
        <v>34.751511635888676</v>
      </c>
      <c r="BK58" s="910">
        <f t="shared" si="464"/>
        <v>20.990563932739665</v>
      </c>
      <c r="BL58" s="910">
        <f t="shared" si="464"/>
        <v>0</v>
      </c>
      <c r="BM58" s="910">
        <f t="shared" si="464"/>
        <v>-514.08355756416677</v>
      </c>
      <c r="BN58" s="910">
        <f t="shared" si="464"/>
        <v>47.362838388250111</v>
      </c>
      <c r="BO58" s="912"/>
      <c r="BP58" s="911">
        <f t="shared" ref="BP58:CT58" si="467">IF(BP6=0,0,BP57/BP6)</f>
        <v>21.455012317365199</v>
      </c>
      <c r="BQ58" s="910">
        <f t="shared" si="467"/>
        <v>18.330351277546665</v>
      </c>
      <c r="BR58" s="910">
        <f t="shared" si="467"/>
        <v>19.693335511896787</v>
      </c>
      <c r="BS58" s="910">
        <f t="shared" si="467"/>
        <v>21.440798968713658</v>
      </c>
      <c r="BT58" s="910">
        <f t="shared" si="467"/>
        <v>23.76511184768918</v>
      </c>
      <c r="BU58" s="910">
        <f t="shared" si="467"/>
        <v>18.681183211142002</v>
      </c>
      <c r="BV58" s="910">
        <f t="shared" si="467"/>
        <v>19.517760656416016</v>
      </c>
      <c r="BW58" s="910">
        <f t="shared" si="467"/>
        <v>24.098149804233923</v>
      </c>
      <c r="BX58" s="910">
        <f t="shared" si="467"/>
        <v>20.536917396604128</v>
      </c>
      <c r="BY58" s="910">
        <f t="shared" si="467"/>
        <v>22.243505213497372</v>
      </c>
      <c r="BZ58" s="910">
        <f t="shared" si="467"/>
        <v>24.498566368329357</v>
      </c>
      <c r="CA58" s="910">
        <f t="shared" si="467"/>
        <v>21.41722186531122</v>
      </c>
      <c r="CB58" s="910">
        <f t="shared" si="467"/>
        <v>25.389944897457951</v>
      </c>
      <c r="CC58" s="910">
        <f t="shared" si="467"/>
        <v>18.565184302931062</v>
      </c>
      <c r="CD58" s="910" t="e">
        <f t="shared" ref="CD58" si="468">IF(CD6=0,0,CD57/CD6)</f>
        <v>#VALUE!</v>
      </c>
      <c r="CE58" s="910">
        <f t="shared" si="467"/>
        <v>40.765173991103111</v>
      </c>
      <c r="CF58" s="910">
        <f t="shared" si="467"/>
        <v>63.761917723476785</v>
      </c>
      <c r="CG58" s="910">
        <f t="shared" si="467"/>
        <v>56.643003604336904</v>
      </c>
      <c r="CH58" s="910">
        <f t="shared" si="467"/>
        <v>50.583072879389874</v>
      </c>
      <c r="CI58" s="910" t="e">
        <f t="shared" ref="CI58" si="469">IF(CI6=0,0,CI57/CI6)</f>
        <v>#VALUE!</v>
      </c>
      <c r="CJ58" s="910">
        <f t="shared" si="467"/>
        <v>30.371625945245558</v>
      </c>
      <c r="CK58" s="910">
        <f t="shared" si="467"/>
        <v>31.432392611912221</v>
      </c>
      <c r="CL58" s="910" t="e">
        <f t="shared" si="467"/>
        <v>#VALUE!</v>
      </c>
      <c r="CM58" s="910">
        <f t="shared" si="467"/>
        <v>3.1417424317279541</v>
      </c>
      <c r="CN58" s="910">
        <f t="shared" si="467"/>
        <v>34.005860755927145</v>
      </c>
      <c r="CO58" s="910" t="e">
        <f t="shared" si="467"/>
        <v>#VALUE!</v>
      </c>
      <c r="CP58" s="910">
        <f t="shared" si="467"/>
        <v>28.111837377500656</v>
      </c>
      <c r="CQ58" s="910">
        <f t="shared" si="467"/>
        <v>19.476380448484516</v>
      </c>
      <c r="CR58" s="910">
        <f>IF(CR6=0,0,CR57/CR6)</f>
        <v>0</v>
      </c>
      <c r="CS58" s="910">
        <f t="shared" si="467"/>
        <v>-474.08355756416654</v>
      </c>
      <c r="CT58" s="910">
        <f t="shared" si="467"/>
        <v>87.362838388250111</v>
      </c>
      <c r="CV58" s="914" t="s">
        <v>788</v>
      </c>
      <c r="CW58" s="913" t="s">
        <v>220</v>
      </c>
      <c r="CX58" s="910">
        <f>IF(CX6=0,0,CX57/CX6)</f>
        <v>0.22742237935905563</v>
      </c>
      <c r="CY58" s="910">
        <f>IF(CY6=0,0,CY57/CY6)</f>
        <v>4.0525260306791606E-2</v>
      </c>
      <c r="CZ58" s="910">
        <f>IF(CZ6=0,0,CZ57/CZ6)</f>
        <v>0.22219543491461119</v>
      </c>
      <c r="DA58" s="910">
        <f>IF(DA6=0,0,DA57/DA6)</f>
        <v>-0.22793262046803697</v>
      </c>
      <c r="DB58" s="910">
        <f t="shared" ref="DB58:DJ58" si="470">IF(DB6=0,0,DB57/DB6)</f>
        <v>25.37516300244873</v>
      </c>
      <c r="DC58" s="910">
        <f t="shared" si="470"/>
        <v>33.99163041018334</v>
      </c>
      <c r="DD58" s="910">
        <f>IF(DD6=0,0,DD57/DD6)</f>
        <v>33.489479543516673</v>
      </c>
      <c r="DE58" s="910" t="e">
        <f t="shared" si="470"/>
        <v>#N/A</v>
      </c>
      <c r="DF58" s="910">
        <f t="shared" si="470"/>
        <v>32.470062915370789</v>
      </c>
      <c r="DG58" s="910">
        <f t="shared" si="470"/>
        <v>35.575390681673007</v>
      </c>
      <c r="DH58" s="910">
        <f>IF(DH6=0,0,DH57/DH6)</f>
        <v>33.744276821239133</v>
      </c>
      <c r="DI58" s="910">
        <f t="shared" si="470"/>
        <v>49.380223692324954</v>
      </c>
      <c r="DJ58" s="910">
        <f t="shared" si="470"/>
        <v>31.843289538377775</v>
      </c>
      <c r="DK58" s="910">
        <f>IF(DK6=0,0,DK57/DK6)</f>
        <v>47.484250079982232</v>
      </c>
      <c r="DL58" s="910">
        <f t="shared" ref="DL58:DS58" si="471">IF(DL6=0,0,DL57/DL6)</f>
        <v>44.47565463500888</v>
      </c>
      <c r="DM58" s="910">
        <f t="shared" si="471"/>
        <v>60.091103171438895</v>
      </c>
      <c r="DN58" s="910" t="e">
        <f t="shared" si="471"/>
        <v>#N/A</v>
      </c>
      <c r="DO58" s="910" t="e">
        <f t="shared" si="471"/>
        <v>#N/A</v>
      </c>
      <c r="DP58" s="910">
        <f t="shared" si="471"/>
        <v>63.669006554173016</v>
      </c>
      <c r="DQ58" s="910">
        <f t="shared" ref="DQ58" si="472">IF(DQ6=0,0,DQ57/DQ6)</f>
        <v>56.861350461250005</v>
      </c>
      <c r="DR58" s="910">
        <f t="shared" si="471"/>
        <v>857.96891041666663</v>
      </c>
      <c r="DS58" s="910">
        <f t="shared" si="471"/>
        <v>1150.6629929715834</v>
      </c>
      <c r="DU58" s="910">
        <f>IF(DU6=0,0,DU57/DU6)</f>
        <v>-0.34122401474353192</v>
      </c>
      <c r="DV58" s="910">
        <f>IF(DV6=0,0,DV57/DV6)</f>
        <v>-0.19152492508790009</v>
      </c>
      <c r="DW58" s="910">
        <f>IF(DW6=0,0,DW57/DW6)</f>
        <v>-0.25739675714737476</v>
      </c>
      <c r="DX58" s="910">
        <f>IF(DX6=0,0,DX57/DX6)</f>
        <v>-0.39007681068596972</v>
      </c>
      <c r="DY58" s="911">
        <f t="shared" ref="DY58:EG58" si="473">IF(DY6=0,0,DY57/DY6)</f>
        <v>30.008561938986112</v>
      </c>
      <c r="DZ58" s="910">
        <f t="shared" si="473"/>
        <v>28.93212392947861</v>
      </c>
      <c r="EA58" s="910">
        <f t="shared" si="473"/>
        <v>28.227639729478607</v>
      </c>
      <c r="EB58" s="910" t="e">
        <f t="shared" si="473"/>
        <v>#N/A</v>
      </c>
      <c r="EC58" s="910">
        <f t="shared" si="473"/>
        <v>27.691998640174539</v>
      </c>
      <c r="ED58" s="910">
        <f t="shared" si="473"/>
        <v>30.217280862392521</v>
      </c>
      <c r="EE58" s="910">
        <f>IF(EE6=0,0,EE57/EE6)</f>
        <v>30.464147406841221</v>
      </c>
      <c r="EF58" s="910">
        <f t="shared" si="473"/>
        <v>30.115488231951772</v>
      </c>
      <c r="EG58" s="910">
        <f t="shared" si="473"/>
        <v>27.809471918384126</v>
      </c>
      <c r="EH58" s="910">
        <f t="shared" ref="EH58:EM58" si="474">IF(EH6=0,0,EH57/EH6)</f>
        <v>38.380105669825554</v>
      </c>
      <c r="EI58" s="910">
        <f t="shared" si="474"/>
        <v>35.794942419428878</v>
      </c>
      <c r="EJ58" s="910">
        <f t="shared" si="474"/>
        <v>51.339604425022223</v>
      </c>
      <c r="EK58" s="910" t="e">
        <f t="shared" si="474"/>
        <v>#N/A</v>
      </c>
      <c r="EL58" s="910" t="e">
        <f t="shared" si="474"/>
        <v>#N/A</v>
      </c>
      <c r="EM58" s="910">
        <f t="shared" si="474"/>
        <v>52.576012365535234</v>
      </c>
      <c r="EN58" s="910">
        <f t="shared" ref="EN58" si="475">IF(EN6=0,0,EN57/EN6)</f>
        <v>46.169225539109718</v>
      </c>
      <c r="EO58" s="910">
        <f>IF(EO6=0,0,EO57/EO6)</f>
        <v>928.96891041666663</v>
      </c>
      <c r="EP58" s="910">
        <f>IF(EP6=0,0,EP57/EP6)</f>
        <v>1190.6629929715834</v>
      </c>
      <c r="ER58" s="910">
        <f>IF(ER6=0,0,ER57/ER6)</f>
        <v>-0.56201590571790006</v>
      </c>
      <c r="ES58" s="910">
        <f>IF(ES6=0,0,ES57/ES6)</f>
        <v>-0.36289171535102793</v>
      </c>
      <c r="ET58" s="910">
        <f>IF(ET6=0,0,ET57/ET6)</f>
        <v>-0.56515207238456677</v>
      </c>
      <c r="EU58" s="910">
        <f>IF(EU6=0,0,EU57/EU6)</f>
        <v>-0.43421421535102772</v>
      </c>
      <c r="EV58" s="911">
        <f t="shared" ref="EV58:FD58" si="476">IF(EV6=0,0,EV57/EV6)</f>
        <v>17.515369620671684</v>
      </c>
      <c r="EW58" s="910">
        <f t="shared" si="476"/>
        <v>23.039284115440555</v>
      </c>
      <c r="EX58" s="910">
        <f t="shared" si="476"/>
        <v>26.695915347021483</v>
      </c>
      <c r="EY58" s="910" t="e">
        <f t="shared" si="476"/>
        <v>#N/A</v>
      </c>
      <c r="EZ58" s="910">
        <f t="shared" si="476"/>
        <v>24.766087836279194</v>
      </c>
      <c r="FA58" s="910">
        <f t="shared" si="476"/>
        <v>26.943175777785147</v>
      </c>
      <c r="FB58" s="910">
        <f>IF(FB6=0,0,FB57/FB6)</f>
        <v>26.543768269612528</v>
      </c>
      <c r="FC58" s="910">
        <f t="shared" si="476"/>
        <v>31.733080824544384</v>
      </c>
      <c r="FD58" s="910">
        <f t="shared" si="476"/>
        <v>25.476562298768883</v>
      </c>
      <c r="FE58" s="910">
        <f t="shared" ref="FE58:FJ58" si="477">IF(FE6=0,0,FE57/FE6)</f>
        <v>32.597619023731561</v>
      </c>
      <c r="FF58" s="910">
        <f t="shared" si="477"/>
        <v>30.608856553360884</v>
      </c>
      <c r="FG58" s="910">
        <f t="shared" si="477"/>
        <v>46.637436020775006</v>
      </c>
      <c r="FH58" s="910" t="e">
        <f t="shared" si="477"/>
        <v>#N/A</v>
      </c>
      <c r="FI58" s="910" t="e">
        <f t="shared" si="477"/>
        <v>#N/A</v>
      </c>
      <c r="FJ58" s="910">
        <f t="shared" si="477"/>
        <v>45.136238461998943</v>
      </c>
      <c r="FK58" s="910">
        <f t="shared" ref="FK58" si="478">IF(FK6=0,0,FK57/FK6)</f>
        <v>39.353950585825558</v>
      </c>
      <c r="FL58" s="910">
        <f>IF(FL6=0,0,FL57/FL6)</f>
        <v>958.96891041666663</v>
      </c>
      <c r="FM58" s="910">
        <f>IF(FM6=0,0,FM57/FM6)</f>
        <v>1220.6629929715834</v>
      </c>
    </row>
    <row r="59" spans="1:171" ht="16.2" customHeight="1">
      <c r="A59" s="899">
        <f>ROWS($A$1:A59)</f>
        <v>59</v>
      </c>
      <c r="B59" s="908" t="s">
        <v>787</v>
      </c>
      <c r="C59" s="907"/>
      <c r="D59" s="906">
        <f t="shared" ref="D59:AH59" si="479">SUM(D17,D18,D19,D20,D24)</f>
        <v>102.12998570437915</v>
      </c>
      <c r="E59" s="906">
        <f t="shared" si="479"/>
        <v>95.512726036999993</v>
      </c>
      <c r="F59" s="906">
        <f t="shared" si="479"/>
        <v>111.91642515447887</v>
      </c>
      <c r="G59" s="906">
        <f t="shared" si="479"/>
        <v>109.66568802378221</v>
      </c>
      <c r="H59" s="906">
        <f t="shared" si="479"/>
        <v>76.380448964104161</v>
      </c>
      <c r="I59" s="906">
        <f t="shared" si="479"/>
        <v>101.27590183558223</v>
      </c>
      <c r="J59" s="906">
        <f t="shared" si="479"/>
        <v>103.00072706830082</v>
      </c>
      <c r="K59" s="906">
        <f t="shared" si="479"/>
        <v>93.649636691384657</v>
      </c>
      <c r="L59" s="906">
        <f t="shared" si="479"/>
        <v>26.423266545506664</v>
      </c>
      <c r="M59" s="906">
        <f t="shared" si="479"/>
        <v>79.804845535033309</v>
      </c>
      <c r="N59" s="906">
        <f t="shared" si="479"/>
        <v>91.566759256891658</v>
      </c>
      <c r="O59" s="906">
        <f t="shared" si="479"/>
        <v>76.042677648270825</v>
      </c>
      <c r="P59" s="906">
        <f t="shared" si="479"/>
        <v>85.840416048086652</v>
      </c>
      <c r="Q59" s="906">
        <f t="shared" si="479"/>
        <v>269.84959262463337</v>
      </c>
      <c r="R59" s="906" t="e">
        <f t="shared" ref="R59" si="480">SUM(R17,R18,R19,R20,R24)</f>
        <v>#VALUE!</v>
      </c>
      <c r="S59" s="906">
        <f t="shared" si="479"/>
        <v>124.46014410316673</v>
      </c>
      <c r="T59" s="906">
        <f t="shared" si="479"/>
        <v>84.915222024866708</v>
      </c>
      <c r="U59" s="906">
        <f t="shared" si="479"/>
        <v>126.03883926358344</v>
      </c>
      <c r="V59" s="906">
        <f t="shared" si="479"/>
        <v>112.24282215494448</v>
      </c>
      <c r="W59" s="906" t="e">
        <f t="shared" ref="W59" si="481">SUM(W17,W18,W19,W20,W24)</f>
        <v>#VALUE!</v>
      </c>
      <c r="X59" s="906">
        <f t="shared" si="479"/>
        <v>61.659898821611137</v>
      </c>
      <c r="Y59" s="906">
        <f t="shared" si="479"/>
        <v>62.143398821611129</v>
      </c>
      <c r="Z59" s="906" t="e">
        <f t="shared" si="479"/>
        <v>#VALUE!</v>
      </c>
      <c r="AA59" s="906">
        <f t="shared" si="479"/>
        <v>123.8369352835</v>
      </c>
      <c r="AB59" s="906">
        <f t="shared" si="479"/>
        <v>811.83920938359529</v>
      </c>
      <c r="AC59" s="906" t="e">
        <f t="shared" si="479"/>
        <v>#VALUE!</v>
      </c>
      <c r="AD59" s="906">
        <f t="shared" si="479"/>
        <v>1184.1286092271903</v>
      </c>
      <c r="AE59" s="906">
        <f t="shared" si="479"/>
        <v>1782.1345761535952</v>
      </c>
      <c r="AF59" s="906">
        <f t="shared" si="479"/>
        <v>0</v>
      </c>
      <c r="AG59" s="906">
        <f t="shared" si="479"/>
        <v>2.3517061358333331</v>
      </c>
      <c r="AH59" s="906">
        <f t="shared" si="479"/>
        <v>1.37324659825</v>
      </c>
      <c r="AI59" s="901"/>
      <c r="AJ59" s="907">
        <f t="shared" ref="AJ59:BN59" si="482">SUM(AJ17,AJ18,AJ19,AJ20,AJ24)</f>
        <v>134.2266461925833</v>
      </c>
      <c r="AK59" s="907">
        <f t="shared" si="482"/>
        <v>148.64343469516663</v>
      </c>
      <c r="AL59" s="907">
        <f t="shared" si="482"/>
        <v>146.48611529446441</v>
      </c>
      <c r="AM59" s="907">
        <f t="shared" si="482"/>
        <v>143.30282134242444</v>
      </c>
      <c r="AN59" s="907">
        <f t="shared" si="482"/>
        <v>99.632191971272206</v>
      </c>
      <c r="AO59" s="907">
        <f t="shared" si="482"/>
        <v>132.66824024435411</v>
      </c>
      <c r="AP59" s="907">
        <f t="shared" si="482"/>
        <v>134.80753986196777</v>
      </c>
      <c r="AQ59" s="907">
        <f t="shared" si="482"/>
        <v>122.38247390101286</v>
      </c>
      <c r="AR59" s="907">
        <f t="shared" si="482"/>
        <v>108.36226929656442</v>
      </c>
      <c r="AS59" s="907">
        <f t="shared" si="482"/>
        <v>104.6863385048222</v>
      </c>
      <c r="AT59" s="907">
        <f t="shared" si="482"/>
        <v>110.73466206383056</v>
      </c>
      <c r="AU59" s="907">
        <f t="shared" si="482"/>
        <v>100.1952662033611</v>
      </c>
      <c r="AV59" s="907">
        <f t="shared" si="482"/>
        <v>112.50821349700443</v>
      </c>
      <c r="AW59" s="907">
        <f t="shared" si="482"/>
        <v>357.88269952351118</v>
      </c>
      <c r="AX59" s="907" t="e">
        <f t="shared" ref="AX59" si="483">SUM(AX17,AX18,AX19,AX20,AX24)</f>
        <v>#VALUE!</v>
      </c>
      <c r="AY59" s="907">
        <f t="shared" si="482"/>
        <v>163.55981869484452</v>
      </c>
      <c r="AZ59" s="907">
        <f t="shared" si="482"/>
        <v>111.64515735382227</v>
      </c>
      <c r="BA59" s="907">
        <f t="shared" si="482"/>
        <v>166.46934261788903</v>
      </c>
      <c r="BB59" s="907">
        <f t="shared" si="482"/>
        <v>138.7472899117667</v>
      </c>
      <c r="BC59" s="907" t="e">
        <f t="shared" ref="BC59" si="484">SUM(BC17,BC18,BC19,BC20,BC24)</f>
        <v>#VALUE!</v>
      </c>
      <c r="BD59" s="907">
        <f t="shared" si="482"/>
        <v>104.17853603861114</v>
      </c>
      <c r="BE59" s="907">
        <f t="shared" si="482"/>
        <v>105.03486937194448</v>
      </c>
      <c r="BF59" s="907" t="e">
        <f t="shared" si="482"/>
        <v>#VALUE!</v>
      </c>
      <c r="BG59" s="907">
        <f t="shared" si="482"/>
        <v>167.16038078350002</v>
      </c>
      <c r="BH59" s="907">
        <f t="shared" si="482"/>
        <v>890.65548631673812</v>
      </c>
      <c r="BI59" s="907" t="e">
        <f t="shared" si="482"/>
        <v>#VALUE!</v>
      </c>
      <c r="BJ59" s="907">
        <f t="shared" si="482"/>
        <v>1205.1180219254763</v>
      </c>
      <c r="BK59" s="907">
        <f t="shared" si="482"/>
        <v>1810.3003278629285</v>
      </c>
      <c r="BL59" s="906">
        <f t="shared" si="482"/>
        <v>0</v>
      </c>
      <c r="BM59" s="906">
        <f t="shared" si="482"/>
        <v>2.3517061358333331</v>
      </c>
      <c r="BN59" s="906">
        <f t="shared" si="482"/>
        <v>1.37324659825</v>
      </c>
      <c r="BO59" s="901"/>
      <c r="BP59" s="907">
        <f t="shared" ref="BP59:CT59" si="485">SUM(BP17,BP18,BP19,BP20,BP24)</f>
        <v>233.61335042548762</v>
      </c>
      <c r="BQ59" s="907">
        <f t="shared" si="485"/>
        <v>183.89359126999997</v>
      </c>
      <c r="BR59" s="907">
        <f t="shared" si="485"/>
        <v>181.02961972404444</v>
      </c>
      <c r="BS59" s="907">
        <f t="shared" si="485"/>
        <v>176.96510228399441</v>
      </c>
      <c r="BT59" s="907">
        <f t="shared" si="485"/>
        <v>123.12967493140694</v>
      </c>
      <c r="BU59" s="907">
        <f t="shared" si="485"/>
        <v>164.10421652805928</v>
      </c>
      <c r="BV59" s="907">
        <f t="shared" si="485"/>
        <v>167.33069053056803</v>
      </c>
      <c r="BW59" s="907">
        <f t="shared" si="485"/>
        <v>150.83052323570774</v>
      </c>
      <c r="BX59" s="907">
        <f t="shared" si="485"/>
        <v>40.694772047622223</v>
      </c>
      <c r="BY59" s="907">
        <f t="shared" si="485"/>
        <v>129.5678314746111</v>
      </c>
      <c r="BZ59" s="907">
        <f t="shared" si="485"/>
        <v>129.90256487076942</v>
      </c>
      <c r="CA59" s="907">
        <f t="shared" si="485"/>
        <v>124.24793484778471</v>
      </c>
      <c r="CB59" s="907">
        <f t="shared" si="485"/>
        <v>139.1760109459222</v>
      </c>
      <c r="CC59" s="907">
        <f t="shared" si="485"/>
        <v>445.91580642238887</v>
      </c>
      <c r="CD59" s="907" t="e">
        <f t="shared" ref="CD59" si="486">SUM(CD17,CD18,CD19,CD20,CD24)</f>
        <v>#VALUE!</v>
      </c>
      <c r="CE59" s="907">
        <f t="shared" si="485"/>
        <v>202.33302454182231</v>
      </c>
      <c r="CF59" s="907">
        <f t="shared" si="485"/>
        <v>138.14190072227785</v>
      </c>
      <c r="CG59" s="907">
        <f t="shared" si="485"/>
        <v>206.89984597219461</v>
      </c>
      <c r="CH59" s="907">
        <f t="shared" si="485"/>
        <v>165.25175766858894</v>
      </c>
      <c r="CI59" s="907" t="e">
        <f t="shared" ref="CI59" si="487">SUM(CI17,CI18,CI19,CI20,CI24)</f>
        <v>#VALUE!</v>
      </c>
      <c r="CJ59" s="907">
        <f t="shared" si="485"/>
        <v>146.9305065889445</v>
      </c>
      <c r="CK59" s="907">
        <f t="shared" si="485"/>
        <v>148.11883992227783</v>
      </c>
      <c r="CL59" s="907" t="e">
        <f t="shared" si="485"/>
        <v>#VALUE!</v>
      </c>
      <c r="CM59" s="907">
        <f t="shared" si="485"/>
        <v>207.27608024399998</v>
      </c>
      <c r="CN59" s="907">
        <f t="shared" si="485"/>
        <v>969.47176324988106</v>
      </c>
      <c r="CO59" s="907" t="e">
        <f t="shared" si="485"/>
        <v>#VALUE!</v>
      </c>
      <c r="CP59" s="907">
        <f t="shared" si="485"/>
        <v>1247.070684623762</v>
      </c>
      <c r="CQ59" s="907">
        <f t="shared" si="485"/>
        <v>1837.9467213966429</v>
      </c>
      <c r="CR59" s="907">
        <f>SUM(CR17,CR18,CR19,CR20,CR24)</f>
        <v>0</v>
      </c>
      <c r="CS59" s="906">
        <f t="shared" si="485"/>
        <v>2.3517061358333331</v>
      </c>
      <c r="CT59" s="906">
        <f t="shared" si="485"/>
        <v>1.37324659825</v>
      </c>
      <c r="CV59" s="908" t="s">
        <v>787</v>
      </c>
      <c r="CW59" s="907"/>
      <c r="CX59" s="906">
        <f t="shared" ref="CX59:EM59" si="488">SUM(CX17,CX18,CX19,CX20,CX24)</f>
        <v>-1.3581762822833336</v>
      </c>
      <c r="CY59" s="906">
        <f t="shared" si="488"/>
        <v>-1.360212967283333</v>
      </c>
      <c r="CZ59" s="906">
        <f t="shared" si="488"/>
        <v>-1.3762596156166664</v>
      </c>
      <c r="DA59" s="906">
        <f t="shared" si="488"/>
        <v>-2.7299963006166661</v>
      </c>
      <c r="DB59" s="906">
        <f t="shared" si="488"/>
        <v>72.907515042033324</v>
      </c>
      <c r="DC59" s="906">
        <f t="shared" si="488"/>
        <v>78.01742040549999</v>
      </c>
      <c r="DD59" s="906">
        <f>SUM(DD17,DD18,DD19,DD20,DD24)</f>
        <v>78.952494405499991</v>
      </c>
      <c r="DE59" s="906" t="e">
        <f t="shared" si="488"/>
        <v>#REF!</v>
      </c>
      <c r="DF59" s="906">
        <f t="shared" si="488"/>
        <v>72.329827038266643</v>
      </c>
      <c r="DG59" s="906">
        <f t="shared" si="488"/>
        <v>75.039060027333321</v>
      </c>
      <c r="DH59" s="906">
        <f>SUM(DH17,DH18,DH19,DH20,DH24)</f>
        <v>72.729151124316658</v>
      </c>
      <c r="DI59" s="906">
        <f t="shared" si="488"/>
        <v>51.721666239944433</v>
      </c>
      <c r="DJ59" s="906">
        <f t="shared" si="488"/>
        <v>211.91923058483334</v>
      </c>
      <c r="DK59" s="906">
        <f t="shared" si="488"/>
        <v>95.43571023966669</v>
      </c>
      <c r="DL59" s="906">
        <f t="shared" ref="DL59:DQ59" si="489">SUM(DL17,DL18,DL19,DL20,DL24)</f>
        <v>63.725370036416678</v>
      </c>
      <c r="DM59" s="906">
        <f t="shared" si="489"/>
        <v>148.57825837544462</v>
      </c>
      <c r="DN59" s="906" t="e">
        <f t="shared" si="489"/>
        <v>#REF!</v>
      </c>
      <c r="DO59" s="906" t="e">
        <f t="shared" si="489"/>
        <v>#REF!</v>
      </c>
      <c r="DP59" s="906">
        <f t="shared" si="489"/>
        <v>269.44371886880953</v>
      </c>
      <c r="DQ59" s="906">
        <f t="shared" si="489"/>
        <v>66.001456668750038</v>
      </c>
      <c r="DR59" s="906">
        <f t="shared" si="488"/>
        <v>2.8096604166666665</v>
      </c>
      <c r="DS59" s="906">
        <f t="shared" si="488"/>
        <v>3.9608511815833332</v>
      </c>
      <c r="DT59" s="893"/>
      <c r="DU59" s="906">
        <f t="shared" si="488"/>
        <v>-4.2589762822833332</v>
      </c>
      <c r="DV59" s="906">
        <f t="shared" si="488"/>
        <v>-3.1127796339499998</v>
      </c>
      <c r="DW59" s="906">
        <f t="shared" si="488"/>
        <v>-3.7935929489499993</v>
      </c>
      <c r="DX59" s="906">
        <f t="shared" si="488"/>
        <v>-4.4825629672833331</v>
      </c>
      <c r="DY59" s="907">
        <f t="shared" si="488"/>
        <v>94.727743892777767</v>
      </c>
      <c r="DZ59" s="906">
        <f t="shared" si="488"/>
        <v>101.62062125247776</v>
      </c>
      <c r="EA59" s="906">
        <f t="shared" si="488"/>
        <v>102.77405325247776</v>
      </c>
      <c r="EB59" s="906" t="e">
        <f t="shared" si="488"/>
        <v>#REF!</v>
      </c>
      <c r="EC59" s="906">
        <f t="shared" si="488"/>
        <v>94.357812222815269</v>
      </c>
      <c r="ED59" s="906">
        <f t="shared" si="488"/>
        <v>98.368301111534691</v>
      </c>
      <c r="EE59" s="906">
        <f>SUM(EE17,EE18,EE19,EE20,EE24)</f>
        <v>151.43176288948212</v>
      </c>
      <c r="EF59" s="906">
        <f t="shared" si="488"/>
        <v>98.448842118597213</v>
      </c>
      <c r="EG59" s="906">
        <f t="shared" si="488"/>
        <v>280.40618706022224</v>
      </c>
      <c r="EH59" s="906">
        <f t="shared" si="488"/>
        <v>125.43138546897225</v>
      </c>
      <c r="EI59" s="906">
        <f t="shared" si="488"/>
        <v>83.153128599055563</v>
      </c>
      <c r="EJ59" s="906">
        <f t="shared" si="488"/>
        <v>184.00408355888908</v>
      </c>
      <c r="EK59" s="906" t="e">
        <f t="shared" si="488"/>
        <v>#REF!</v>
      </c>
      <c r="EL59" s="906" t="e">
        <f t="shared" si="488"/>
        <v>#REF!</v>
      </c>
      <c r="EM59" s="906">
        <f t="shared" si="488"/>
        <v>321.45600056642854</v>
      </c>
      <c r="EN59" s="906">
        <f t="shared" ref="EN59" si="490">SUM(EN17,EN18,EN19,EN20,EN24)</f>
        <v>86.245888518861165</v>
      </c>
      <c r="EO59" s="906">
        <f>SUM(EO17,EO18,EO19,EO20,EO24)</f>
        <v>2.8096604166666665</v>
      </c>
      <c r="EP59" s="906">
        <f>SUM(EP17,EP18,EP19,EP20,EP24)</f>
        <v>3.9608511815833332</v>
      </c>
      <c r="EQ59" s="893"/>
      <c r="ER59" s="906">
        <f t="shared" ref="ER59:FO59" si="491">SUM(ER17,ER18,ER19,ER20,ER24)</f>
        <v>-6.192842948950001</v>
      </c>
      <c r="ES59" s="906">
        <f t="shared" si="491"/>
        <v>-4.8653463006166655</v>
      </c>
      <c r="ET59" s="906">
        <f t="shared" si="491"/>
        <v>-6.2109262822833342</v>
      </c>
      <c r="EU59" s="906">
        <f t="shared" si="491"/>
        <v>-5.3588463006166656</v>
      </c>
      <c r="EV59" s="907">
        <f t="shared" si="491"/>
        <v>158.08172248234666</v>
      </c>
      <c r="EW59" s="906">
        <f t="shared" si="491"/>
        <v>148.82702294643332</v>
      </c>
      <c r="EX59" s="906">
        <f t="shared" si="491"/>
        <v>114.68483267596665</v>
      </c>
      <c r="EY59" s="906" t="e">
        <f t="shared" si="491"/>
        <v>#REF!</v>
      </c>
      <c r="EZ59" s="906">
        <f t="shared" si="491"/>
        <v>116.41501440312636</v>
      </c>
      <c r="FA59" s="906">
        <f t="shared" si="491"/>
        <v>121.7184114784236</v>
      </c>
      <c r="FB59" s="906">
        <f>SUM(FB17,FB18,FB19,FB20,FB24)</f>
        <v>152.18403606979311</v>
      </c>
      <c r="FC59" s="906">
        <f t="shared" si="491"/>
        <v>126.68217545193062</v>
      </c>
      <c r="FD59" s="906">
        <f t="shared" si="491"/>
        <v>366.53897686894442</v>
      </c>
      <c r="FE59" s="906">
        <f t="shared" si="491"/>
        <v>155.42706069827784</v>
      </c>
      <c r="FF59" s="906">
        <f t="shared" si="491"/>
        <v>102.74632658919447</v>
      </c>
      <c r="FG59" s="906">
        <f t="shared" si="491"/>
        <v>246.7129246332504</v>
      </c>
      <c r="FH59" s="906" t="e">
        <f t="shared" si="491"/>
        <v>#REF!</v>
      </c>
      <c r="FI59" s="906" t="e">
        <f t="shared" si="491"/>
        <v>#REF!</v>
      </c>
      <c r="FJ59" s="906">
        <f t="shared" si="491"/>
        <v>373.46828226404767</v>
      </c>
      <c r="FK59" s="906">
        <f t="shared" ref="FK59" si="492">SUM(FK17,FK18,FK19,FK20,FK24)</f>
        <v>106.49032036897229</v>
      </c>
      <c r="FL59" s="906">
        <f t="shared" si="491"/>
        <v>2.8096604166666665</v>
      </c>
      <c r="FM59" s="906">
        <f>SUM(FM17,FM18,FM19,FM20,FM24)</f>
        <v>3.9608511815833332</v>
      </c>
      <c r="FO59" s="892">
        <f t="shared" si="491"/>
        <v>0</v>
      </c>
    </row>
    <row r="60" spans="1:171" ht="16.2" customHeight="1">
      <c r="A60" s="899">
        <f>ROWS($A$1:A60)</f>
        <v>60</v>
      </c>
      <c r="B60" s="905" t="s">
        <v>786</v>
      </c>
      <c r="C60" s="902"/>
      <c r="D60" s="904">
        <f t="shared" ref="D60:AH60" si="493">SUM(D15:D16)</f>
        <v>499.44795323249997</v>
      </c>
      <c r="E60" s="904">
        <f t="shared" si="493"/>
        <v>506.89062459999997</v>
      </c>
      <c r="F60" s="904">
        <f t="shared" si="493"/>
        <v>507.5848989553333</v>
      </c>
      <c r="G60" s="904">
        <f t="shared" si="493"/>
        <v>498.10665918133327</v>
      </c>
      <c r="H60" s="904">
        <f t="shared" si="493"/>
        <v>454.33985763750002</v>
      </c>
      <c r="I60" s="904">
        <f t="shared" si="493"/>
        <v>500.16637090705001</v>
      </c>
      <c r="J60" s="904">
        <f t="shared" si="493"/>
        <v>474.79259871149998</v>
      </c>
      <c r="K60" s="904">
        <f t="shared" si="493"/>
        <v>477.15695640439998</v>
      </c>
      <c r="L60" s="904">
        <f t="shared" si="493"/>
        <v>454.47238546079996</v>
      </c>
      <c r="M60" s="904">
        <f t="shared" si="493"/>
        <v>452.06316420399997</v>
      </c>
      <c r="N60" s="904">
        <f t="shared" si="493"/>
        <v>446.92191082699998</v>
      </c>
      <c r="O60" s="904">
        <f t="shared" si="493"/>
        <v>479.24506779249998</v>
      </c>
      <c r="P60" s="904">
        <f t="shared" si="493"/>
        <v>467.81157077039995</v>
      </c>
      <c r="Q60" s="904">
        <f t="shared" si="493"/>
        <v>351.20481495599995</v>
      </c>
      <c r="R60" s="904">
        <f t="shared" ref="R60" si="494">SUM(R15:R16)</f>
        <v>325.45411203333333</v>
      </c>
      <c r="S60" s="904">
        <f t="shared" si="493"/>
        <v>352.74235169999997</v>
      </c>
      <c r="T60" s="904">
        <f t="shared" si="493"/>
        <v>346.88564298400001</v>
      </c>
      <c r="U60" s="904">
        <f t="shared" si="493"/>
        <v>360.46883662999994</v>
      </c>
      <c r="V60" s="904">
        <f t="shared" si="493"/>
        <v>341.10785859333333</v>
      </c>
      <c r="W60" s="904">
        <f t="shared" ref="W60" si="495">SUM(W15:W16)</f>
        <v>349.32598297999999</v>
      </c>
      <c r="X60" s="904">
        <f t="shared" si="493"/>
        <v>341.10785859333333</v>
      </c>
      <c r="Y60" s="904">
        <f t="shared" si="493"/>
        <v>341.10785859333333</v>
      </c>
      <c r="Z60" s="904">
        <f t="shared" si="493"/>
        <v>339.54021456666669</v>
      </c>
      <c r="AA60" s="904">
        <f t="shared" si="493"/>
        <v>671.23769401999994</v>
      </c>
      <c r="AB60" s="904">
        <f t="shared" si="493"/>
        <v>3258.0306260314283</v>
      </c>
      <c r="AC60" s="904">
        <f t="shared" si="493"/>
        <v>3514.7393224857142</v>
      </c>
      <c r="AD60" s="904">
        <f t="shared" si="493"/>
        <v>3297.5281072628572</v>
      </c>
      <c r="AE60" s="904">
        <f t="shared" si="493"/>
        <v>3401.9721384314284</v>
      </c>
      <c r="AF60" s="904">
        <f t="shared" si="493"/>
        <v>0</v>
      </c>
      <c r="AG60" s="904">
        <f t="shared" si="493"/>
        <v>126.20473629999998</v>
      </c>
      <c r="AH60" s="904">
        <f t="shared" si="493"/>
        <v>102.28959179</v>
      </c>
      <c r="AI60" s="901"/>
      <c r="AJ60" s="902">
        <f t="shared" ref="AJ60:BN60" si="496">SUM(AJ15:AJ16)</f>
        <v>565.36667364999994</v>
      </c>
      <c r="AK60" s="904">
        <f t="shared" si="496"/>
        <v>570.86154529999999</v>
      </c>
      <c r="AL60" s="904">
        <f t="shared" si="496"/>
        <v>568.39068238266668</v>
      </c>
      <c r="AM60" s="904">
        <f t="shared" si="496"/>
        <v>555.75302935066668</v>
      </c>
      <c r="AN60" s="904">
        <f t="shared" si="496"/>
        <v>499.26781182333332</v>
      </c>
      <c r="AO60" s="904">
        <f t="shared" si="496"/>
        <v>560.3698295160666</v>
      </c>
      <c r="AP60" s="904">
        <f t="shared" si="496"/>
        <v>524.32378816866662</v>
      </c>
      <c r="AQ60" s="904">
        <f t="shared" si="496"/>
        <v>531.2166543725333</v>
      </c>
      <c r="AR60" s="904">
        <f t="shared" si="496"/>
        <v>499.44451558773335</v>
      </c>
      <c r="AS60" s="904">
        <f t="shared" si="496"/>
        <v>496.23222057866667</v>
      </c>
      <c r="AT60" s="904">
        <f t="shared" si="496"/>
        <v>475.22544765966666</v>
      </c>
      <c r="AU60" s="904">
        <f t="shared" si="496"/>
        <v>537.46194440333329</v>
      </c>
      <c r="AV60" s="904">
        <f t="shared" si="496"/>
        <v>510.37447964053331</v>
      </c>
      <c r="AW60" s="904">
        <f t="shared" si="496"/>
        <v>355.04554282133336</v>
      </c>
      <c r="AX60" s="904">
        <f t="shared" ref="AX60" si="497">SUM(AX15:AX16)</f>
        <v>327.02175606000003</v>
      </c>
      <c r="AY60" s="904">
        <f t="shared" si="496"/>
        <v>360.95303098666659</v>
      </c>
      <c r="AZ60" s="904">
        <f t="shared" si="496"/>
        <v>354.39088245866662</v>
      </c>
      <c r="BA60" s="904">
        <f t="shared" si="496"/>
        <v>361.44861414666661</v>
      </c>
      <c r="BB60" s="904">
        <f t="shared" si="496"/>
        <v>342.20520941199999</v>
      </c>
      <c r="BC60" s="904">
        <f t="shared" ref="BC60" si="498">SUM(BC15:BC16)</f>
        <v>350.10980499333334</v>
      </c>
      <c r="BD60" s="904">
        <f t="shared" si="496"/>
        <v>343.45932463333332</v>
      </c>
      <c r="BE60" s="904">
        <f t="shared" si="496"/>
        <v>343.45932463333332</v>
      </c>
      <c r="BF60" s="904">
        <f t="shared" si="496"/>
        <v>341.89168060666668</v>
      </c>
      <c r="BG60" s="904">
        <f t="shared" si="496"/>
        <v>671.23769401999994</v>
      </c>
      <c r="BH60" s="904">
        <f t="shared" si="496"/>
        <v>3297.7603580085715</v>
      </c>
      <c r="BI60" s="904">
        <f t="shared" si="496"/>
        <v>3537.74534094</v>
      </c>
      <c r="BJ60" s="904">
        <f t="shared" si="496"/>
        <v>3343.7806310571427</v>
      </c>
      <c r="BK60" s="904">
        <f t="shared" si="496"/>
        <v>3426.8773435514286</v>
      </c>
      <c r="BL60" s="904">
        <f t="shared" si="496"/>
        <v>0</v>
      </c>
      <c r="BM60" s="904">
        <f t="shared" si="496"/>
        <v>126.20473629999998</v>
      </c>
      <c r="BN60" s="904">
        <f t="shared" si="496"/>
        <v>102.28959179</v>
      </c>
      <c r="BO60" s="901"/>
      <c r="BP60" s="902">
        <f t="shared" ref="BP60:CT60" si="499">SUM(BP15:BP16)</f>
        <v>637.9284293275</v>
      </c>
      <c r="BQ60" s="904">
        <f t="shared" si="499"/>
        <v>634.83246599999995</v>
      </c>
      <c r="BR60" s="904">
        <f t="shared" si="499"/>
        <v>631.35197634666656</v>
      </c>
      <c r="BS60" s="904">
        <f t="shared" si="499"/>
        <v>615.55491005666659</v>
      </c>
      <c r="BT60" s="904">
        <f t="shared" si="499"/>
        <v>554.5791905491667</v>
      </c>
      <c r="BU60" s="904">
        <f t="shared" si="499"/>
        <v>624.31367740508324</v>
      </c>
      <c r="BV60" s="904">
        <f t="shared" si="499"/>
        <v>577.59536690583332</v>
      </c>
      <c r="BW60" s="904">
        <f t="shared" si="499"/>
        <v>581.53596306066663</v>
      </c>
      <c r="BX60" s="904">
        <f t="shared" si="499"/>
        <v>544.41664571466663</v>
      </c>
      <c r="BY60" s="904">
        <f t="shared" si="499"/>
        <v>540.40127695333331</v>
      </c>
      <c r="BZ60" s="904">
        <f t="shared" si="499"/>
        <v>503.52898449233328</v>
      </c>
      <c r="CA60" s="904">
        <f t="shared" si="499"/>
        <v>591.93843173416667</v>
      </c>
      <c r="CB60" s="904">
        <f t="shared" si="499"/>
        <v>552.93738851066655</v>
      </c>
      <c r="CC60" s="904">
        <f t="shared" si="499"/>
        <v>358.88627068666665</v>
      </c>
      <c r="CD60" s="904">
        <f t="shared" ref="CD60" si="500">SUM(CD15:CD16)</f>
        <v>328.58940008666667</v>
      </c>
      <c r="CE60" s="904">
        <f t="shared" si="499"/>
        <v>362.52067501333329</v>
      </c>
      <c r="CF60" s="904">
        <f t="shared" si="499"/>
        <v>355.25308667333331</v>
      </c>
      <c r="CG60" s="904">
        <f t="shared" si="499"/>
        <v>362.42839166333329</v>
      </c>
      <c r="CH60" s="904">
        <f t="shared" si="499"/>
        <v>343.3025602306667</v>
      </c>
      <c r="CI60" s="904">
        <f t="shared" ref="CI60" si="501">SUM(CI15:CI16)</f>
        <v>350.89362700666663</v>
      </c>
      <c r="CJ60" s="904">
        <f t="shared" si="499"/>
        <v>345.81079067333337</v>
      </c>
      <c r="CK60" s="904">
        <f t="shared" si="499"/>
        <v>345.81079067333337</v>
      </c>
      <c r="CL60" s="904">
        <f t="shared" si="499"/>
        <v>344.24314664666667</v>
      </c>
      <c r="CM60" s="904">
        <f t="shared" si="499"/>
        <v>677.88072927999997</v>
      </c>
      <c r="CN60" s="904">
        <f t="shared" si="499"/>
        <v>3337.4900899857143</v>
      </c>
      <c r="CO60" s="904">
        <f t="shared" si="499"/>
        <v>3574.0374299142859</v>
      </c>
      <c r="CP60" s="904">
        <f t="shared" si="499"/>
        <v>3390.0331548514287</v>
      </c>
      <c r="CQ60" s="904">
        <f t="shared" si="499"/>
        <v>3451.1895675971427</v>
      </c>
      <c r="CR60" s="904">
        <f>SUM(CR15:CR16)</f>
        <v>0</v>
      </c>
      <c r="CS60" s="902">
        <f t="shared" si="499"/>
        <v>126.20473629999998</v>
      </c>
      <c r="CT60" s="902">
        <f t="shared" si="499"/>
        <v>102.28959179</v>
      </c>
      <c r="CV60" s="905" t="s">
        <v>786</v>
      </c>
      <c r="CW60" s="902"/>
      <c r="CX60" s="904">
        <f>SUM(CX15:CX16)</f>
        <v>197.83489008999999</v>
      </c>
      <c r="CY60" s="904">
        <f>SUM(CY15:CY16)</f>
        <v>136.19031709000001</v>
      </c>
      <c r="CZ60" s="904">
        <f>SUM(CZ15:CZ16)</f>
        <v>197.83489008999999</v>
      </c>
      <c r="DA60" s="904">
        <f>SUM(DA15:DA16)</f>
        <v>136.19031709000001</v>
      </c>
      <c r="DB60" s="904">
        <f t="shared" ref="DB60:DJ60" si="502">SUM(DB15:DB16)</f>
        <v>395.92434645999998</v>
      </c>
      <c r="DC60" s="904">
        <f t="shared" si="502"/>
        <v>298.91589190000002</v>
      </c>
      <c r="DD60" s="904">
        <f>SUM(DD15:DD16)</f>
        <v>298.91589190000002</v>
      </c>
      <c r="DE60" s="904" t="e">
        <f t="shared" si="502"/>
        <v>#N/A</v>
      </c>
      <c r="DF60" s="904">
        <f t="shared" si="502"/>
        <v>408.05040327999995</v>
      </c>
      <c r="DG60" s="904">
        <f t="shared" si="502"/>
        <v>408.05040327999995</v>
      </c>
      <c r="DH60" s="904">
        <f>SUM(DH15:DH16)</f>
        <v>401.08849636999997</v>
      </c>
      <c r="DI60" s="904">
        <f t="shared" si="502"/>
        <v>388.60458879333333</v>
      </c>
      <c r="DJ60" s="904">
        <f t="shared" si="502"/>
        <v>387.63347017999996</v>
      </c>
      <c r="DK60" s="904">
        <f>SUM(DK15:DK16)</f>
        <v>372.78147876000003</v>
      </c>
      <c r="DL60" s="904">
        <f t="shared" ref="DL60:DS60" si="503">SUM(DL15:DL16)</f>
        <v>359.89065436999999</v>
      </c>
      <c r="DM60" s="904">
        <f t="shared" si="503"/>
        <v>405.57020505333332</v>
      </c>
      <c r="DN60" s="904" t="e">
        <f t="shared" si="503"/>
        <v>#N/A</v>
      </c>
      <c r="DO60" s="904" t="e">
        <f t="shared" si="503"/>
        <v>#N/A</v>
      </c>
      <c r="DP60" s="904">
        <f t="shared" si="503"/>
        <v>3281.8472642571428</v>
      </c>
      <c r="DQ60" s="904">
        <f t="shared" ref="DQ60" si="504">SUM(DQ15:DQ16)</f>
        <v>321.68080025</v>
      </c>
      <c r="DR60" s="904">
        <f t="shared" si="503"/>
        <v>52.372249999999994</v>
      </c>
      <c r="DS60" s="904">
        <f t="shared" si="503"/>
        <v>96.015141790000001</v>
      </c>
      <c r="DT60" s="893"/>
      <c r="DU60" s="904">
        <f>SUM(DU15:DU16)</f>
        <v>197.83489008999999</v>
      </c>
      <c r="DV60" s="904">
        <f>SUM(DV15:DV16)</f>
        <v>136.19031709000001</v>
      </c>
      <c r="DW60" s="904">
        <f>SUM(DW15:DW16)</f>
        <v>197.83489008999999</v>
      </c>
      <c r="DX60" s="904">
        <f>SUM(DX15:DX16)</f>
        <v>136.19031709000001</v>
      </c>
      <c r="DY60" s="902">
        <f t="shared" ref="DY60:EG60" si="505">SUM(DY15:DY16)</f>
        <v>421.66593366666666</v>
      </c>
      <c r="DZ60" s="904">
        <f t="shared" si="505"/>
        <v>300.48353592666666</v>
      </c>
      <c r="EA60" s="904">
        <f t="shared" si="505"/>
        <v>300.48353592666666</v>
      </c>
      <c r="EB60" s="904" t="e">
        <f t="shared" si="505"/>
        <v>#N/A</v>
      </c>
      <c r="EC60" s="904">
        <f t="shared" si="505"/>
        <v>436.81373338416665</v>
      </c>
      <c r="ED60" s="904">
        <f t="shared" si="505"/>
        <v>436.81373338416665</v>
      </c>
      <c r="EE60" s="904">
        <f>SUM(EE15:EE16)</f>
        <v>436.81373338416665</v>
      </c>
      <c r="EF60" s="904">
        <f t="shared" si="505"/>
        <v>449.4703342316667</v>
      </c>
      <c r="EG60" s="904">
        <f t="shared" si="505"/>
        <v>390.37684722666665</v>
      </c>
      <c r="EH60" s="904">
        <f t="shared" ref="EH60:EM60" si="506">SUM(EH15:EH16)</f>
        <v>373.76125627666664</v>
      </c>
      <c r="EI60" s="904">
        <f t="shared" si="506"/>
        <v>360.87043188666667</v>
      </c>
      <c r="EJ60" s="904">
        <f t="shared" si="506"/>
        <v>406.35402706666662</v>
      </c>
      <c r="EK60" s="904" t="e">
        <f t="shared" si="506"/>
        <v>#N/A</v>
      </c>
      <c r="EL60" s="904" t="e">
        <f t="shared" si="506"/>
        <v>#N/A</v>
      </c>
      <c r="EM60" s="904">
        <f t="shared" si="506"/>
        <v>3311.4963179714287</v>
      </c>
      <c r="EN60" s="904">
        <f t="shared" ref="EN60" si="507">SUM(EN15:EN16)</f>
        <v>322.4646222633333</v>
      </c>
      <c r="EO60" s="904">
        <f>SUM(EO15:EO16)</f>
        <v>52.372249999999994</v>
      </c>
      <c r="EP60" s="904">
        <f>SUM(EP15:EP16)</f>
        <v>96.015141790000001</v>
      </c>
      <c r="EQ60" s="893"/>
      <c r="ER60" s="904">
        <f>SUM(ER15:ER16)</f>
        <v>197.83489008999999</v>
      </c>
      <c r="ES60" s="904">
        <f>SUM(ES15:ES16)</f>
        <v>136.19031709000001</v>
      </c>
      <c r="ET60" s="904">
        <f>SUM(ET15:ET16)</f>
        <v>197.83489008999999</v>
      </c>
      <c r="EU60" s="904">
        <f>SUM(EU15:EU16)</f>
        <v>136.19031709000001</v>
      </c>
      <c r="EV60" s="902">
        <f t="shared" ref="EV60:FD60" si="508">SUM(EV15:EV16)</f>
        <v>502.77210134399996</v>
      </c>
      <c r="EW60" s="904">
        <f t="shared" si="508"/>
        <v>303.61882398</v>
      </c>
      <c r="EX60" s="904">
        <f t="shared" si="508"/>
        <v>301.26735794000001</v>
      </c>
      <c r="EY60" s="904" t="e">
        <f t="shared" si="508"/>
        <v>#N/A</v>
      </c>
      <c r="EZ60" s="904">
        <f t="shared" si="508"/>
        <v>468.08137741083328</v>
      </c>
      <c r="FA60" s="904">
        <f t="shared" si="508"/>
        <v>468.08137741083334</v>
      </c>
      <c r="FB60" s="904">
        <f>SUM(FB15:FB16)</f>
        <v>468.08137741083334</v>
      </c>
      <c r="FC60" s="904">
        <f t="shared" si="508"/>
        <v>449.4703342316667</v>
      </c>
      <c r="FD60" s="904">
        <f t="shared" si="508"/>
        <v>393.12022427333329</v>
      </c>
      <c r="FE60" s="904">
        <f t="shared" ref="FE60:FJ60" si="509">SUM(FE15:FE16)</f>
        <v>374.74103379333332</v>
      </c>
      <c r="FF60" s="904">
        <f t="shared" si="509"/>
        <v>381.7029407033333</v>
      </c>
      <c r="FG60" s="904">
        <f t="shared" si="509"/>
        <v>414.09975599000001</v>
      </c>
      <c r="FH60" s="904" t="e">
        <f t="shared" si="509"/>
        <v>#N/A</v>
      </c>
      <c r="FI60" s="904" t="e">
        <f t="shared" si="509"/>
        <v>#N/A</v>
      </c>
      <c r="FJ60" s="904">
        <f t="shared" si="509"/>
        <v>3341.1453716857141</v>
      </c>
      <c r="FK60" s="904">
        <f t="shared" ref="FK60" si="510">SUM(FK15:FK16)</f>
        <v>323.24844427666665</v>
      </c>
      <c r="FL60" s="904">
        <f>SUM(FL15:FL16)</f>
        <v>52.372249999999994</v>
      </c>
      <c r="FM60" s="904">
        <f>SUM(FM15:FM16)</f>
        <v>96.015141790000001</v>
      </c>
    </row>
    <row r="61" spans="1:171" ht="16.2" customHeight="1">
      <c r="A61" s="899">
        <f>ROWS($A$1:A61)</f>
        <v>61</v>
      </c>
      <c r="B61" s="903" t="s">
        <v>785</v>
      </c>
      <c r="C61" s="902"/>
      <c r="D61" s="2620" t="str">
        <f>'WW1'!$E$10</f>
        <v>Stroh</v>
      </c>
      <c r="E61" s="904">
        <f>'WW2'!$E$10</f>
        <v>0</v>
      </c>
      <c r="F61" s="904">
        <f>'WW-A'!$E$10</f>
        <v>0</v>
      </c>
      <c r="G61" s="904">
        <f>'WW-E'!$E$10</f>
        <v>0</v>
      </c>
      <c r="H61" s="904">
        <f>WRo!$E$10</f>
        <v>0</v>
      </c>
      <c r="I61" s="904">
        <f>Tr!$E$10</f>
        <v>0</v>
      </c>
      <c r="J61" s="904">
        <f>WG!$E$10</f>
        <v>0</v>
      </c>
      <c r="K61" s="904">
        <f>Di!$E$10</f>
        <v>0</v>
      </c>
      <c r="L61" s="904">
        <f>SW!$E$10</f>
        <v>0</v>
      </c>
      <c r="M61" s="904">
        <f>'SG-Fu'!$E$10</f>
        <v>0</v>
      </c>
      <c r="N61" s="904" t="str">
        <f>BG!$E$10</f>
        <v>Sortiergerste</v>
      </c>
      <c r="O61" s="904">
        <f>Ha!$E$10</f>
        <v>0</v>
      </c>
      <c r="P61" s="904">
        <f>Du!$E$10</f>
        <v>0</v>
      </c>
      <c r="Q61" s="904">
        <f>KH!$E$10</f>
        <v>0</v>
      </c>
      <c r="R61" s="904">
        <f>KöM!$E$10</f>
        <v>0</v>
      </c>
      <c r="S61" s="904">
        <f>WR!E10</f>
        <v>0</v>
      </c>
      <c r="T61" s="904">
        <f>SR!$E$10</f>
        <v>0</v>
      </c>
      <c r="U61" s="904">
        <f>SoBl!$E$10</f>
        <v>0</v>
      </c>
      <c r="V61" s="904">
        <f>Soja!$E$10</f>
        <v>0</v>
      </c>
      <c r="W61" s="904">
        <f>Öl!$E$10</f>
        <v>0</v>
      </c>
      <c r="X61" s="904">
        <f>FE!$E$10</f>
        <v>0</v>
      </c>
      <c r="Y61" s="904">
        <f>AB!$E$10</f>
        <v>0</v>
      </c>
      <c r="Z61" s="904">
        <f>Lu!$E$10</f>
        <v>0</v>
      </c>
      <c r="AA61" s="904">
        <f>ZR!$E$10</f>
        <v>0</v>
      </c>
      <c r="AB61" s="904">
        <f>FrühKa!$E$10</f>
        <v>0</v>
      </c>
      <c r="AC61" s="904">
        <f>FrühKaFolieBer!$E$10</f>
        <v>0</v>
      </c>
      <c r="AD61" s="904">
        <f>SpKa!$E$10</f>
        <v>0</v>
      </c>
      <c r="AE61" s="904">
        <f>SpKaBer!$E$10</f>
        <v>0</v>
      </c>
      <c r="AF61" s="904">
        <f>Vorlage!$E$10</f>
        <v>0</v>
      </c>
      <c r="AG61" s="904">
        <f>'FAKT-Brachebegrünung'!$E$10</f>
        <v>0</v>
      </c>
      <c r="AH61" s="904">
        <f>Begr!$E$10</f>
        <v>0</v>
      </c>
      <c r="AI61" s="901"/>
      <c r="AJ61" s="902"/>
      <c r="AK61" s="904"/>
      <c r="AL61" s="904"/>
      <c r="AM61" s="904"/>
      <c r="AN61" s="904"/>
      <c r="AO61" s="904"/>
      <c r="AP61" s="904"/>
      <c r="AQ61" s="904"/>
      <c r="AR61" s="904"/>
      <c r="AS61" s="904"/>
      <c r="AT61" s="904"/>
      <c r="AU61" s="904"/>
      <c r="AV61" s="904"/>
      <c r="AW61" s="904"/>
      <c r="AX61" s="904"/>
      <c r="AY61" s="904"/>
      <c r="AZ61" s="904"/>
      <c r="BA61" s="904"/>
      <c r="BB61" s="904"/>
      <c r="BC61" s="904"/>
      <c r="BD61" s="904"/>
      <c r="BE61" s="904"/>
      <c r="BF61" s="904"/>
      <c r="BG61" s="904"/>
      <c r="BH61" s="904"/>
      <c r="BI61" s="904"/>
      <c r="BJ61" s="904"/>
      <c r="BK61" s="904"/>
      <c r="BL61" s="904"/>
      <c r="BM61" s="904"/>
      <c r="BN61" s="904"/>
      <c r="BO61" s="901"/>
      <c r="BP61" s="902"/>
      <c r="BQ61" s="904"/>
      <c r="BR61" s="904"/>
      <c r="BS61" s="904"/>
      <c r="BT61" s="904"/>
      <c r="BU61" s="904"/>
      <c r="BV61" s="904"/>
      <c r="BW61" s="904"/>
      <c r="BX61" s="904"/>
      <c r="BY61" s="904"/>
      <c r="BZ61" s="904"/>
      <c r="CA61" s="904"/>
      <c r="CB61" s="904"/>
      <c r="CC61" s="904"/>
      <c r="CD61" s="904"/>
      <c r="CE61" s="904"/>
      <c r="CF61" s="904"/>
      <c r="CG61" s="904"/>
      <c r="CH61" s="904"/>
      <c r="CI61" s="904"/>
      <c r="CJ61" s="904"/>
      <c r="CK61" s="904"/>
      <c r="CL61" s="904"/>
      <c r="CM61" s="904"/>
      <c r="CN61" s="904"/>
      <c r="CO61" s="904"/>
      <c r="CP61" s="904"/>
      <c r="CQ61" s="904"/>
      <c r="CR61" s="904"/>
      <c r="CS61" s="902"/>
      <c r="CT61" s="902"/>
      <c r="CV61" s="903" t="s">
        <v>785</v>
      </c>
      <c r="CW61" s="902"/>
      <c r="CX61" s="2620">
        <f>'Öko-KG1'!$E$10</f>
        <v>0</v>
      </c>
      <c r="CY61" s="904">
        <f>'Öko-KG2'!$E$10</f>
        <v>0</v>
      </c>
      <c r="CZ61" s="904">
        <f>'Öko-LU1'!$E$10</f>
        <v>0</v>
      </c>
      <c r="DA61" s="904">
        <f>'Öko-LU2'!$E$10</f>
        <v>0</v>
      </c>
      <c r="DB61" s="904">
        <f>'Öko-WW-Futter'!$E$10</f>
        <v>0</v>
      </c>
      <c r="DC61" s="904">
        <f>'Öko-WW-Brot'!$E$10</f>
        <v>0</v>
      </c>
      <c r="DD61" s="904">
        <f>'Öko-Di'!$E$10</f>
        <v>0</v>
      </c>
      <c r="DE61" s="904">
        <f>'Öko-Dinkel,gegerbt'!$E$10</f>
        <v>0</v>
      </c>
      <c r="DF61" s="904">
        <f>'Öko-Ro'!$E$10</f>
        <v>0</v>
      </c>
      <c r="DG61" s="904">
        <f>'Öko-Ha'!$E$10</f>
        <v>0</v>
      </c>
      <c r="DH61" s="904">
        <f>'Öko-Wg'!$E$10</f>
        <v>0</v>
      </c>
      <c r="DI61" s="904" t="str">
        <f>'Öko-Bg'!$E$10</f>
        <v>Sortiergerste</v>
      </c>
      <c r="DJ61" s="904">
        <f>'Öko-KöM'!$E$10</f>
        <v>0</v>
      </c>
      <c r="DK61" s="904">
        <f>'Öko-Ab'!$E$10</f>
        <v>0</v>
      </c>
      <c r="DL61" s="904">
        <f>'Öko-FE'!$E$10</f>
        <v>0</v>
      </c>
      <c r="DM61" s="904">
        <f>'Öko-Soja'!$E$10</f>
        <v>0</v>
      </c>
      <c r="DN61" s="904">
        <f>'Öko-Soblu'!$E$10</f>
        <v>0</v>
      </c>
      <c r="DO61" s="904">
        <f>'Öko-Raps'!$E$10</f>
        <v>0</v>
      </c>
      <c r="DP61" s="904" t="str">
        <f>'Öko-Ka'!$E$10</f>
        <v>Futterkartoffeln</v>
      </c>
      <c r="DQ61" s="904">
        <f>'Öko-Lu'!$E$10</f>
        <v>0</v>
      </c>
      <c r="DR61" s="904">
        <f>Begrün.!$E$10</f>
        <v>0</v>
      </c>
      <c r="DS61" s="904">
        <f>Blühm.!$E$10</f>
        <v>0</v>
      </c>
      <c r="DT61" s="893"/>
      <c r="DU61" s="904">
        <f>'Öko-KG1'!$E$10</f>
        <v>0</v>
      </c>
      <c r="DV61" s="904">
        <f>'Öko-KG2'!$E$10</f>
        <v>0</v>
      </c>
      <c r="DW61" s="904">
        <f>'Öko-LU1'!$E$10</f>
        <v>0</v>
      </c>
      <c r="DX61" s="904">
        <f>'Öko-LU2'!$E$10</f>
        <v>0</v>
      </c>
      <c r="DY61" s="902">
        <f>'Öko-WW-Futter'!$E$10</f>
        <v>0</v>
      </c>
      <c r="DZ61" s="904">
        <f>'Öko-WW-Brot'!$E$10</f>
        <v>0</v>
      </c>
      <c r="EA61" s="904">
        <f>'Öko-Di'!$E$10</f>
        <v>0</v>
      </c>
      <c r="EB61" s="904">
        <f>'Öko-Dinkel,gegerbt'!$E$10</f>
        <v>0</v>
      </c>
      <c r="EC61" s="904">
        <f>'Öko-Ro'!$E$10</f>
        <v>0</v>
      </c>
      <c r="ED61" s="904">
        <f>'Öko-Ha'!$E$10</f>
        <v>0</v>
      </c>
      <c r="EE61" s="904">
        <f>'Öko-Wg'!$E$10</f>
        <v>0</v>
      </c>
      <c r="EF61" s="904" t="str">
        <f>'Öko-Bg'!$E$10</f>
        <v>Sortiergerste</v>
      </c>
      <c r="EG61" s="904">
        <f>'Öko-KöM'!$E$10</f>
        <v>0</v>
      </c>
      <c r="EH61" s="904">
        <f>'Öko-Ab'!$E$10</f>
        <v>0</v>
      </c>
      <c r="EI61" s="904">
        <f>'Öko-FE'!$E$10</f>
        <v>0</v>
      </c>
      <c r="EJ61" s="904">
        <f>'Öko-Soja'!$E$10</f>
        <v>0</v>
      </c>
      <c r="EK61" s="904">
        <f>'Öko-Soblu'!$E$10</f>
        <v>0</v>
      </c>
      <c r="EL61" s="904">
        <f>'Öko-Raps'!$E$10</f>
        <v>0</v>
      </c>
      <c r="EM61" s="904" t="str">
        <f>'Öko-Ka'!$E$10</f>
        <v>Futterkartoffeln</v>
      </c>
      <c r="EN61" s="904">
        <f>'Öko-Lu'!$E$10</f>
        <v>0</v>
      </c>
      <c r="EO61" s="904">
        <f>Begrün.!$E$10</f>
        <v>0</v>
      </c>
      <c r="EP61" s="904">
        <f>Blühm.!$E$10</f>
        <v>0</v>
      </c>
      <c r="EQ61" s="893"/>
      <c r="ER61" s="904">
        <f>'Öko-KG1'!$E$10</f>
        <v>0</v>
      </c>
      <c r="ES61" s="904">
        <f>'Öko-KG2'!$E$10</f>
        <v>0</v>
      </c>
      <c r="ET61" s="904">
        <f>'Öko-LU1'!$E$10</f>
        <v>0</v>
      </c>
      <c r="EU61" s="904">
        <f>'Öko-LU2'!$E$10</f>
        <v>0</v>
      </c>
      <c r="EV61" s="902">
        <f>'Öko-WW-Futter'!$E$10</f>
        <v>0</v>
      </c>
      <c r="EW61" s="904">
        <f>'Öko-WW-Brot'!$E$10</f>
        <v>0</v>
      </c>
      <c r="EX61" s="904">
        <f>'Öko-Di'!$E$10</f>
        <v>0</v>
      </c>
      <c r="EY61" s="904">
        <f>'Öko-Dinkel,gegerbt'!$E$10</f>
        <v>0</v>
      </c>
      <c r="EZ61" s="904">
        <f>'Öko-Ro'!$E$10</f>
        <v>0</v>
      </c>
      <c r="FA61" s="904">
        <f>'Öko-Ha'!$E$10</f>
        <v>0</v>
      </c>
      <c r="FB61" s="904">
        <f>'Öko-Wg'!$E$10</f>
        <v>0</v>
      </c>
      <c r="FC61" s="904" t="str">
        <f>'Öko-Bg'!$E$10</f>
        <v>Sortiergerste</v>
      </c>
      <c r="FD61" s="904">
        <f>'Öko-KöM'!$E$10</f>
        <v>0</v>
      </c>
      <c r="FE61" s="904">
        <f>'Öko-Ab'!$E$10</f>
        <v>0</v>
      </c>
      <c r="FF61" s="904">
        <f>'Öko-FE'!$E$10</f>
        <v>0</v>
      </c>
      <c r="FG61" s="904">
        <f>'Öko-Soja'!$E$10</f>
        <v>0</v>
      </c>
      <c r="FH61" s="904">
        <f>'Öko-Soblu'!$E$10</f>
        <v>0</v>
      </c>
      <c r="FI61" s="904">
        <f>'Öko-Raps'!$E$10</f>
        <v>0</v>
      </c>
      <c r="FJ61" s="904" t="str">
        <f>'Öko-Ka'!$E$10</f>
        <v>Futterkartoffeln</v>
      </c>
      <c r="FK61" s="904">
        <f>'Öko-Lu'!$E$10</f>
        <v>0</v>
      </c>
      <c r="FL61" s="904">
        <f>Begrün.!$E$10</f>
        <v>0</v>
      </c>
      <c r="FM61" s="904">
        <f>Blühm.!$E$10</f>
        <v>0</v>
      </c>
    </row>
    <row r="62" spans="1:171" s="2635" customFormat="1" ht="16.2" customHeight="1">
      <c r="A62" s="2629">
        <f>ROWS($A$1:A62)</f>
        <v>62</v>
      </c>
      <c r="B62" s="2630" t="s">
        <v>784</v>
      </c>
      <c r="C62" s="2631"/>
      <c r="D62" s="2632" t="str">
        <f>'WW1'!$E$4</f>
        <v>Lohndrusch, 2 ha-Schlag</v>
      </c>
      <c r="E62" s="2633" t="str">
        <f>'WW2'!$E$4</f>
        <v>Lohndrusch, 2 ha-Schlag</v>
      </c>
      <c r="F62" s="2633" t="str">
        <f>'WW-A'!$E$4</f>
        <v>Lohndrusch, 2 ha-Schlag</v>
      </c>
      <c r="G62" s="2633" t="str">
        <f>'WW-E'!$E$4</f>
        <v>Lohndrusch, 2 ha-Schlag</v>
      </c>
      <c r="H62" s="2633" t="str">
        <f>WRo!$E$4</f>
        <v>Lohndrusch, 2 ha-Schlag</v>
      </c>
      <c r="I62" s="2633" t="str">
        <f>Tr!$E$4</f>
        <v>Lohndrusch, 2 ha-Schlag</v>
      </c>
      <c r="J62" s="2633" t="str">
        <f>WG!$E$4</f>
        <v>Lohndrusch, 2 ha-Schlag</v>
      </c>
      <c r="K62" s="2633" t="str">
        <f>Di!$E$4</f>
        <v>Lohndrusch, 2 ha-Schlag</v>
      </c>
      <c r="L62" s="2633" t="str">
        <f>SW!$E$4</f>
        <v>Lohndrusch, 2 ha-Schlag</v>
      </c>
      <c r="M62" s="2633" t="str">
        <f>'SG-Fu'!$E$4</f>
        <v>Lohndrusch, 2 ha-Schlag</v>
      </c>
      <c r="N62" s="2633" t="str">
        <f>BG!$E$4</f>
        <v>Lohndrusch, 2 ha-Schlag</v>
      </c>
      <c r="O62" s="2633" t="str">
        <f>Ha!$E$4</f>
        <v>Lohndrusch, 2 ha-Schlag</v>
      </c>
      <c r="P62" s="2633" t="str">
        <f>Du!$E$4</f>
        <v>Lohndrusch, 2 ha-Schlag</v>
      </c>
      <c r="Q62" s="2633" t="str">
        <f>KöM!$E$4</f>
        <v>Lohndrusch, 2 ha-Schlag</v>
      </c>
      <c r="R62" s="2633"/>
      <c r="S62" s="2633" t="str">
        <f>WR!$E$4</f>
        <v>Lohndrusch, 2 ha-Schlag</v>
      </c>
      <c r="T62" s="2633" t="str">
        <f>SR!$E$4</f>
        <v>Lohndrusch, 2 ha-Schlag</v>
      </c>
      <c r="U62" s="2633" t="str">
        <f>SoBl!$E$4</f>
        <v>Lohndrusch, 2 ha-Schlag</v>
      </c>
      <c r="V62" s="2633" t="str">
        <f>Soja!$E$4</f>
        <v>Lohndrusch, 2 ha-Schlag</v>
      </c>
      <c r="W62" s="2633"/>
      <c r="X62" s="2633" t="str">
        <f>FE!$E$4</f>
        <v>Lohndrusch, 2 ha-Schlag</v>
      </c>
      <c r="Y62" s="2633" t="str">
        <f>AB!$E$4</f>
        <v>Lohndrusch, 2 ha-Schlag</v>
      </c>
      <c r="Z62" s="2633" t="str">
        <f>Lu!$E$4</f>
        <v>Lohndrusch, 2 ha-Schlag</v>
      </c>
      <c r="AA62" s="2633" t="str">
        <f>ZR!$E$4</f>
        <v>Ernte im Lohn</v>
      </c>
      <c r="AB62" s="2633" t="str">
        <f>FrühKa!$E$4</f>
        <v>Frühkartoffeln, Verkauf ab Feld</v>
      </c>
      <c r="AC62" s="2633" t="str">
        <f>FrühKaFolieBer!$E$4</f>
        <v>Frühkartoffeln ab Feld / Folie</v>
      </c>
      <c r="AD62" s="2633" t="str">
        <f>SpKa!$E$4</f>
        <v>Speisekartoffeln ab Feld</v>
      </c>
      <c r="AE62" s="2633" t="str">
        <f>SpKaBer!$E$4</f>
        <v>Speisekartoffeln ab Feld</v>
      </c>
      <c r="AF62" s="2633" t="str">
        <f>Vorlage!$E$4</f>
        <v>Lohndrusch, 2 ha-Schlag</v>
      </c>
      <c r="AG62" s="2633" t="str">
        <f>'FAKT-Brachebegrünung'!$E$4</f>
        <v xml:space="preserve">FAKT - Brachebegrünung mit Blühmischung </v>
      </c>
      <c r="AH62" s="2633" t="str">
        <f>Begr!$E$4</f>
        <v>Zwischenfrucht (bei ÖVF 2 Arten (ohne FAKT-Teilnahme))</v>
      </c>
      <c r="AI62" s="2634"/>
      <c r="AJ62" s="2633" t="str">
        <f>'WW1'!$E$4</f>
        <v>Lohndrusch, 2 ha-Schlag</v>
      </c>
      <c r="AK62" s="2633" t="str">
        <f>'WW2'!$E$4</f>
        <v>Lohndrusch, 2 ha-Schlag</v>
      </c>
      <c r="AL62" s="2633" t="str">
        <f>'WW-A'!$E$4</f>
        <v>Lohndrusch, 2 ha-Schlag</v>
      </c>
      <c r="AM62" s="2633" t="str">
        <f>'WW-E'!$E$4</f>
        <v>Lohndrusch, 2 ha-Schlag</v>
      </c>
      <c r="AN62" s="2633" t="str">
        <f>WRo!$E$4</f>
        <v>Lohndrusch, 2 ha-Schlag</v>
      </c>
      <c r="AO62" s="2633" t="str">
        <f>Tr!$E$4</f>
        <v>Lohndrusch, 2 ha-Schlag</v>
      </c>
      <c r="AP62" s="2633" t="str">
        <f>WG!$E$4</f>
        <v>Lohndrusch, 2 ha-Schlag</v>
      </c>
      <c r="AQ62" s="2633" t="str">
        <f>Di!$E$4</f>
        <v>Lohndrusch, 2 ha-Schlag</v>
      </c>
      <c r="AR62" s="2633" t="str">
        <f>SW!$E$4</f>
        <v>Lohndrusch, 2 ha-Schlag</v>
      </c>
      <c r="AS62" s="2633" t="str">
        <f>'SG-Fu'!$E$4</f>
        <v>Lohndrusch, 2 ha-Schlag</v>
      </c>
      <c r="AT62" s="2633" t="str">
        <f>BG!$E$4</f>
        <v>Lohndrusch, 2 ha-Schlag</v>
      </c>
      <c r="AU62" s="2633" t="str">
        <f>Ha!$E$4</f>
        <v>Lohndrusch, 2 ha-Schlag</v>
      </c>
      <c r="AV62" s="2633" t="str">
        <f>Du!$E$4</f>
        <v>Lohndrusch, 2 ha-Schlag</v>
      </c>
      <c r="AW62" s="2633" t="str">
        <f>KöM!$E$4</f>
        <v>Lohndrusch, 2 ha-Schlag</v>
      </c>
      <c r="AX62" s="2633" t="str">
        <f>KH!$E$4</f>
        <v>Lohndrusch, 2 ha-Schlag</v>
      </c>
      <c r="AY62" s="2633" t="str">
        <f>WR!$E$4</f>
        <v>Lohndrusch, 2 ha-Schlag</v>
      </c>
      <c r="AZ62" s="2633" t="str">
        <f>SR!$E$4</f>
        <v>Lohndrusch, 2 ha-Schlag</v>
      </c>
      <c r="BA62" s="2633" t="str">
        <f>SoBl!$E$4</f>
        <v>Lohndrusch, 2 ha-Schlag</v>
      </c>
      <c r="BB62" s="2633" t="str">
        <f>Soja!$E$4</f>
        <v>Lohndrusch, 2 ha-Schlag</v>
      </c>
      <c r="BC62" s="2633" t="str">
        <f>Öl!$E$4</f>
        <v>Lohndrusch, 2 ha-Schlag</v>
      </c>
      <c r="BD62" s="2633" t="str">
        <f>FE!$E$4</f>
        <v>Lohndrusch, 2 ha-Schlag</v>
      </c>
      <c r="BE62" s="2633" t="str">
        <f>AB!$E$4</f>
        <v>Lohndrusch, 2 ha-Schlag</v>
      </c>
      <c r="BF62" s="2633" t="str">
        <f>Lu!$E$4</f>
        <v>Lohndrusch, 2 ha-Schlag</v>
      </c>
      <c r="BG62" s="2633" t="str">
        <f>ZR!$E$4</f>
        <v>Ernte im Lohn</v>
      </c>
      <c r="BH62" s="2633" t="str">
        <f>FrühKa!$E$4</f>
        <v>Frühkartoffeln, Verkauf ab Feld</v>
      </c>
      <c r="BI62" s="2633" t="str">
        <f>FrühKaFolieBer!$E$4</f>
        <v>Frühkartoffeln ab Feld / Folie</v>
      </c>
      <c r="BJ62" s="2633" t="str">
        <f>SpKa!$E$4</f>
        <v>Speisekartoffeln ab Feld</v>
      </c>
      <c r="BK62" s="2633" t="str">
        <f>SpKaBer!$E$4</f>
        <v>Speisekartoffeln ab Feld</v>
      </c>
      <c r="BL62" s="2633" t="s">
        <v>890</v>
      </c>
      <c r="BM62" s="2633" t="str">
        <f>'FAKT-Brachebegrünung'!$E$4</f>
        <v xml:space="preserve">FAKT - Brachebegrünung mit Blühmischung </v>
      </c>
      <c r="BN62" s="2633" t="str">
        <f>Begr!$E$4</f>
        <v>Zwischenfrucht (bei ÖVF 2 Arten (ohne FAKT-Teilnahme))</v>
      </c>
      <c r="BO62" s="2634"/>
      <c r="BP62" s="2633" t="str">
        <f>'WW1'!$E$4</f>
        <v>Lohndrusch, 2 ha-Schlag</v>
      </c>
      <c r="BQ62" s="2633" t="str">
        <f>'WW2'!$E$4</f>
        <v>Lohndrusch, 2 ha-Schlag</v>
      </c>
      <c r="BR62" s="2633" t="str">
        <f>'WW-A'!$E$4</f>
        <v>Lohndrusch, 2 ha-Schlag</v>
      </c>
      <c r="BS62" s="2633" t="str">
        <f>'WW-E'!$E$4</f>
        <v>Lohndrusch, 2 ha-Schlag</v>
      </c>
      <c r="BT62" s="2633" t="str">
        <f>WRo!$E$4</f>
        <v>Lohndrusch, 2 ha-Schlag</v>
      </c>
      <c r="BU62" s="2633" t="str">
        <f>Tr!$E$4</f>
        <v>Lohndrusch, 2 ha-Schlag</v>
      </c>
      <c r="BV62" s="2633" t="str">
        <f>WG!$E$4</f>
        <v>Lohndrusch, 2 ha-Schlag</v>
      </c>
      <c r="BW62" s="2633" t="str">
        <f>Di!$E$4</f>
        <v>Lohndrusch, 2 ha-Schlag</v>
      </c>
      <c r="BX62" s="2633" t="str">
        <f>SW!$E$4</f>
        <v>Lohndrusch, 2 ha-Schlag</v>
      </c>
      <c r="BY62" s="2633" t="str">
        <f>'SG-Fu'!$E$4</f>
        <v>Lohndrusch, 2 ha-Schlag</v>
      </c>
      <c r="BZ62" s="2633" t="str">
        <f>BG!$E$4</f>
        <v>Lohndrusch, 2 ha-Schlag</v>
      </c>
      <c r="CA62" s="2633" t="str">
        <f>Ha!$E$4</f>
        <v>Lohndrusch, 2 ha-Schlag</v>
      </c>
      <c r="CB62" s="2633" t="str">
        <f>Du!$E$4</f>
        <v>Lohndrusch, 2 ha-Schlag</v>
      </c>
      <c r="CC62" s="2633" t="str">
        <f>KöM!$E$4</f>
        <v>Lohndrusch, 2 ha-Schlag</v>
      </c>
      <c r="CD62" s="2633" t="str">
        <f>KH!$E$4</f>
        <v>Lohndrusch, 2 ha-Schlag</v>
      </c>
      <c r="CE62" s="2633" t="str">
        <f>KH!$E$4</f>
        <v>Lohndrusch, 2 ha-Schlag</v>
      </c>
      <c r="CF62" s="2633" t="str">
        <f>SR!$E$4</f>
        <v>Lohndrusch, 2 ha-Schlag</v>
      </c>
      <c r="CG62" s="2633" t="str">
        <f>SoBl!$E$4</f>
        <v>Lohndrusch, 2 ha-Schlag</v>
      </c>
      <c r="CH62" s="2633" t="str">
        <f>Soja!$E$4</f>
        <v>Lohndrusch, 2 ha-Schlag</v>
      </c>
      <c r="CI62" s="2633" t="str">
        <f>Öl!$E$4</f>
        <v>Lohndrusch, 2 ha-Schlag</v>
      </c>
      <c r="CJ62" s="2633" t="str">
        <f>FE!$E$4</f>
        <v>Lohndrusch, 2 ha-Schlag</v>
      </c>
      <c r="CK62" s="2633" t="str">
        <f>AB!$E$4</f>
        <v>Lohndrusch, 2 ha-Schlag</v>
      </c>
      <c r="CL62" s="2633" t="str">
        <f>Lu!$E$4</f>
        <v>Lohndrusch, 2 ha-Schlag</v>
      </c>
      <c r="CM62" s="2633" t="str">
        <f>ZR!$E$4</f>
        <v>Ernte im Lohn</v>
      </c>
      <c r="CN62" s="2633" t="str">
        <f>FrühKa!$E$4</f>
        <v>Frühkartoffeln, Verkauf ab Feld</v>
      </c>
      <c r="CO62" s="2633" t="str">
        <f>FrühKaFolieBer!$E$4</f>
        <v>Frühkartoffeln ab Feld / Folie</v>
      </c>
      <c r="CP62" s="2633" t="str">
        <f>SpKa!$E$4</f>
        <v>Speisekartoffeln ab Feld</v>
      </c>
      <c r="CQ62" s="2633" t="str">
        <f>SpKaBer!$E$4</f>
        <v>Speisekartoffeln ab Feld</v>
      </c>
      <c r="CR62" s="2633" t="str">
        <f>Vorlage!$E$4</f>
        <v>Lohndrusch, 2 ha-Schlag</v>
      </c>
      <c r="CS62" s="2633" t="str">
        <f>'FAKT-Brachebegrünung'!$E$4</f>
        <v xml:space="preserve">FAKT - Brachebegrünung mit Blühmischung </v>
      </c>
      <c r="CT62" s="2633" t="str">
        <f>Begr!$E$4</f>
        <v>Zwischenfrucht (bei ÖVF 2 Arten (ohne FAKT-Teilnahme))</v>
      </c>
      <c r="CV62" s="2630" t="s">
        <v>784</v>
      </c>
      <c r="CW62" s="2631"/>
      <c r="CX62" s="2632" t="str">
        <f>'Öko-KG1'!$E$4</f>
        <v>Kleegras 1jährig, 2mal mulchen</v>
      </c>
      <c r="CY62" s="2633" t="str">
        <f>'Öko-KG2'!$E$4</f>
        <v>Kleegras 2jährig, 2mal mulchen /Jahr</v>
      </c>
      <c r="CZ62" s="2633" t="str">
        <f>'Öko-LU1'!$E$4</f>
        <v>Luzernegras 1jährig, 2mal mulchen</v>
      </c>
      <c r="DA62" s="2633" t="str">
        <f>'Öko-LU2'!$E$4</f>
        <v>Luzernegras 2jährig, 2mal mulchen/Jahr</v>
      </c>
      <c r="DB62" s="2633" t="str">
        <f>'Öko-WW-Futter'!$E$4</f>
        <v>Lohndrusch, 2 ha-Schlag</v>
      </c>
      <c r="DC62" s="2633" t="str">
        <f>'Öko-WW-Brot'!$E$4</f>
        <v>Lohndrusch, 2 ha-Schlag</v>
      </c>
      <c r="DD62" s="2633" t="str">
        <f>'Öko-Di'!$E$4</f>
        <v>Lohndrusch, 2 ha-Schlag</v>
      </c>
      <c r="DE62" s="2633" t="str">
        <f>'Öko-Dinkel,gegerbt'!$E$4</f>
        <v>Lohndrusch, 2 ha, inkl Entspelzung</v>
      </c>
      <c r="DF62" s="2633" t="str">
        <f>'Öko-Ro'!$E$4</f>
        <v>Lohndrusch, 2 ha-Schlag</v>
      </c>
      <c r="DG62" s="2633" t="str">
        <f>'Öko-Ha'!$E$4</f>
        <v>Lohndrusch, 2 ha-Schlag</v>
      </c>
      <c r="DH62" s="2633" t="str">
        <f>'Öko-Wg'!$E$4</f>
        <v>Lohndrusch, 2 ha-Schlag</v>
      </c>
      <c r="DI62" s="2633" t="str">
        <f>'Öko-Bg'!$E$4</f>
        <v>Lohndrusch, 2 ha-Schlag</v>
      </c>
      <c r="DJ62" s="2633" t="str">
        <f>'Öko-KöM'!$E$4</f>
        <v>Lohnsaat,Lohndrusch, 2 ha-Schlag</v>
      </c>
      <c r="DK62" s="2633" t="str">
        <f>'Öko-Ab'!$E$4</f>
        <v>Lohndrusch,  2 ha-Schlag</v>
      </c>
      <c r="DL62" s="2633" t="str">
        <f>'Öko-FE'!$E$4</f>
        <v>Lohndrusch, 2 ha-Schlag</v>
      </c>
      <c r="DM62" s="2633" t="str">
        <f>'Öko-Soja'!$E$4</f>
        <v>Lohndrusch, 2 ha-Schlag</v>
      </c>
      <c r="DN62" s="2633" t="str">
        <f>'Öko-Soblu'!$E$4</f>
        <v xml:space="preserve">2 ha-Schlag, ohne Einlagerung </v>
      </c>
      <c r="DO62" s="2633" t="str">
        <f>'Öko-Raps'!$E$4</f>
        <v xml:space="preserve">2 ha-Schlag, ohne Einlagerung </v>
      </c>
      <c r="DP62" s="2633" t="str">
        <f>'Öko-Ka'!$E$4</f>
        <v>2 ha-Schlag, Lohnernte, ab Feld</v>
      </c>
      <c r="DQ62" s="2633" t="str">
        <f>'Öko-Lu'!$E$4</f>
        <v>Lohndrusch, 2 ha-Schlag</v>
      </c>
      <c r="DR62" s="2633" t="str">
        <f>Begrün.!$E$4</f>
        <v>Zwischenfrucht mit Leguminosen</v>
      </c>
      <c r="DS62" s="2633" t="str">
        <f>Blühm.!$E$4</f>
        <v>Saat: Bis 15. Mai (1jährig) bzw. 15. Sept. (überj.), Mulchen ab Sept. bei Anbau einer Winterkultur</v>
      </c>
      <c r="DU62" s="2633" t="str">
        <f>'Öko-KG1'!$E$4</f>
        <v>Kleegras 1jährig, 2mal mulchen</v>
      </c>
      <c r="DV62" s="2633" t="str">
        <f>'Öko-KG2'!$E$4</f>
        <v>Kleegras 2jährig, 2mal mulchen /Jahr</v>
      </c>
      <c r="DW62" s="2633" t="str">
        <f>'Öko-LU2'!$E$4</f>
        <v>Luzernegras 2jährig, 2mal mulchen/Jahr</v>
      </c>
      <c r="DX62" s="2633" t="str">
        <f>'Öko-LU2'!$E$4</f>
        <v>Luzernegras 2jährig, 2mal mulchen/Jahr</v>
      </c>
      <c r="DY62" s="2631" t="str">
        <f>'Öko-WW-Futter'!$E$4</f>
        <v>Lohndrusch, 2 ha-Schlag</v>
      </c>
      <c r="DZ62" s="2633" t="str">
        <f>'Öko-WW-Brot'!$E$4</f>
        <v>Lohndrusch, 2 ha-Schlag</v>
      </c>
      <c r="EA62" s="2633" t="str">
        <f>'Öko-Di'!$E$4</f>
        <v>Lohndrusch, 2 ha-Schlag</v>
      </c>
      <c r="EB62" s="2633" t="str">
        <f>'Öko-Dinkel,gegerbt'!$E$4</f>
        <v>Lohndrusch, 2 ha, inkl Entspelzung</v>
      </c>
      <c r="EC62" s="2633" t="str">
        <f>'Öko-Ro'!$E$4</f>
        <v>Lohndrusch, 2 ha-Schlag</v>
      </c>
      <c r="ED62" s="2633" t="str">
        <f>'Öko-Ha'!$E$4</f>
        <v>Lohndrusch, 2 ha-Schlag</v>
      </c>
      <c r="EE62" s="2633" t="str">
        <f>'Öko-Wg'!$E$4</f>
        <v>Lohndrusch, 2 ha-Schlag</v>
      </c>
      <c r="EF62" s="2633" t="str">
        <f>'Öko-Bg'!$E$4</f>
        <v>Lohndrusch, 2 ha-Schlag</v>
      </c>
      <c r="EG62" s="2633" t="str">
        <f>'Öko-KöM'!$E$4</f>
        <v>Lohnsaat,Lohndrusch, 2 ha-Schlag</v>
      </c>
      <c r="EH62" s="2633" t="str">
        <f>'Öko-Ab'!$E$4</f>
        <v>Lohndrusch,  2 ha-Schlag</v>
      </c>
      <c r="EI62" s="2633" t="str">
        <f>'Öko-FE'!$E$4</f>
        <v>Lohndrusch, 2 ha-Schlag</v>
      </c>
      <c r="EJ62" s="2633" t="str">
        <f>'Öko-Soja'!$E$4</f>
        <v>Lohndrusch, 2 ha-Schlag</v>
      </c>
      <c r="EK62" s="2633" t="str">
        <f>'Öko-Soblu'!$E$4</f>
        <v xml:space="preserve">2 ha-Schlag, ohne Einlagerung </v>
      </c>
      <c r="EL62" s="2633" t="str">
        <f>'Öko-Raps'!$E$4</f>
        <v xml:space="preserve">2 ha-Schlag, ohne Einlagerung </v>
      </c>
      <c r="EM62" s="2633" t="str">
        <f>'Öko-Ka'!$E$4</f>
        <v>2 ha-Schlag, Lohnernte, ab Feld</v>
      </c>
      <c r="EN62" s="2633" t="str">
        <f>'Öko-Lu'!$E$4</f>
        <v>Lohndrusch, 2 ha-Schlag</v>
      </c>
      <c r="EO62" s="2633">
        <f>Begrün.!E68</f>
        <v>0</v>
      </c>
      <c r="EP62" s="2633" t="str">
        <f>Blühm.!$E$4</f>
        <v>Saat: Bis 15. Mai (1jährig) bzw. 15. Sept. (überj.), Mulchen ab Sept. bei Anbau einer Winterkultur</v>
      </c>
      <c r="ER62" s="2633" t="str">
        <f>'Öko-KG1'!$E$4</f>
        <v>Kleegras 1jährig, 2mal mulchen</v>
      </c>
      <c r="ES62" s="2633" t="str">
        <f>'Öko-KG2'!$E$4</f>
        <v>Kleegras 2jährig, 2mal mulchen /Jahr</v>
      </c>
      <c r="ET62" s="2633" t="str">
        <f>'Öko-LU2'!$E$4</f>
        <v>Luzernegras 2jährig, 2mal mulchen/Jahr</v>
      </c>
      <c r="EU62" s="2633" t="str">
        <f>'Öko-LU2'!$E$4</f>
        <v>Luzernegras 2jährig, 2mal mulchen/Jahr</v>
      </c>
      <c r="EV62" s="2631" t="str">
        <f>'Öko-WW-Futter'!$E$4</f>
        <v>Lohndrusch, 2 ha-Schlag</v>
      </c>
      <c r="EW62" s="2633" t="str">
        <f>'Öko-WW-Brot'!$E$4</f>
        <v>Lohndrusch, 2 ha-Schlag</v>
      </c>
      <c r="EX62" s="2633" t="str">
        <f>'Öko-Di'!$E$4</f>
        <v>Lohndrusch, 2 ha-Schlag</v>
      </c>
      <c r="EY62" s="2633" t="str">
        <f>'Öko-Dinkel,gegerbt'!$E$4</f>
        <v>Lohndrusch, 2 ha, inkl Entspelzung</v>
      </c>
      <c r="EZ62" s="2633" t="str">
        <f>'Öko-Ro'!$E$4</f>
        <v>Lohndrusch, 2 ha-Schlag</v>
      </c>
      <c r="FA62" s="2633" t="str">
        <f>'Öko-Ha'!$E$4</f>
        <v>Lohndrusch, 2 ha-Schlag</v>
      </c>
      <c r="FB62" s="2633" t="str">
        <f>'Öko-Wg'!$E$4</f>
        <v>Lohndrusch, 2 ha-Schlag</v>
      </c>
      <c r="FC62" s="2633" t="str">
        <f>'Öko-Bg'!$E$4</f>
        <v>Lohndrusch, 2 ha-Schlag</v>
      </c>
      <c r="FD62" s="2633" t="str">
        <f>'Öko-KöM'!$E$4</f>
        <v>Lohnsaat,Lohndrusch, 2 ha-Schlag</v>
      </c>
      <c r="FE62" s="2633" t="str">
        <f>'Öko-Ab'!$E$4</f>
        <v>Lohndrusch,  2 ha-Schlag</v>
      </c>
      <c r="FF62" s="2633" t="str">
        <f>'Öko-FE'!$E$4</f>
        <v>Lohndrusch, 2 ha-Schlag</v>
      </c>
      <c r="FG62" s="2633" t="str">
        <f>'Öko-Soja'!$E$4</f>
        <v>Lohndrusch, 2 ha-Schlag</v>
      </c>
      <c r="FH62" s="2633" t="str">
        <f>'Öko-Soblu'!$E$4</f>
        <v xml:space="preserve">2 ha-Schlag, ohne Einlagerung </v>
      </c>
      <c r="FI62" s="2633" t="str">
        <f>'Öko-Raps'!$E$4</f>
        <v xml:space="preserve">2 ha-Schlag, ohne Einlagerung </v>
      </c>
      <c r="FJ62" s="2633" t="str">
        <f>'Öko-Ka'!$E$4</f>
        <v>2 ha-Schlag, Lohnernte, ab Feld</v>
      </c>
      <c r="FK62" s="2633" t="str">
        <f>'Öko-Lu'!$E$4</f>
        <v>Lohndrusch, 2 ha-Schlag</v>
      </c>
      <c r="FL62" s="2633">
        <f>Begrün.!AN72</f>
        <v>0</v>
      </c>
      <c r="FM62" s="2633" t="str">
        <f>Blühm.!$E$4</f>
        <v>Saat: Bis 15. Mai (1jährig) bzw. 15. Sept. (überj.), Mulchen ab Sept. bei Anbau einer Winterkultur</v>
      </c>
    </row>
    <row r="63" spans="1:171" ht="18" customHeight="1" thickBot="1">
      <c r="A63" s="899">
        <f>ROWS($A$1:A63)</f>
        <v>63</v>
      </c>
      <c r="B63" s="898" t="s">
        <v>783</v>
      </c>
      <c r="C63" s="900"/>
      <c r="D63" s="2619">
        <f>'WW1'!J18</f>
        <v>177</v>
      </c>
      <c r="E63" s="895">
        <f>'WW2'!J18</f>
        <v>177</v>
      </c>
      <c r="F63" s="895">
        <f>'WW-A'!J18</f>
        <v>177</v>
      </c>
      <c r="G63" s="895">
        <f>'WW-E'!J18</f>
        <v>177</v>
      </c>
      <c r="H63" s="895">
        <f>WRo!J18</f>
        <v>177</v>
      </c>
      <c r="I63" s="895">
        <f>Tr!J18</f>
        <v>177</v>
      </c>
      <c r="J63" s="895">
        <f>WG!J18</f>
        <v>177</v>
      </c>
      <c r="K63" s="895">
        <f>Di!J18</f>
        <v>177</v>
      </c>
      <c r="L63" s="895">
        <f>SW!J18</f>
        <v>177</v>
      </c>
      <c r="M63" s="895">
        <f>'SG-Fu'!J18</f>
        <v>177</v>
      </c>
      <c r="N63" s="895">
        <f>BG!J18</f>
        <v>177</v>
      </c>
      <c r="O63" s="895">
        <f>Ha!J18</f>
        <v>177</v>
      </c>
      <c r="P63" s="895">
        <f>Du!J18</f>
        <v>177</v>
      </c>
      <c r="Q63" s="895">
        <f>KöM!J18</f>
        <v>177</v>
      </c>
      <c r="R63" s="895">
        <f>KH!J18</f>
        <v>177</v>
      </c>
      <c r="S63" s="895">
        <f>WR!J18</f>
        <v>177</v>
      </c>
      <c r="T63" s="895">
        <f>SR!J18</f>
        <v>177</v>
      </c>
      <c r="U63" s="895">
        <f>SoBl!J18</f>
        <v>177</v>
      </c>
      <c r="V63" s="895">
        <f>Soja!J18</f>
        <v>177</v>
      </c>
      <c r="W63" s="895">
        <f>Öl!J18</f>
        <v>177</v>
      </c>
      <c r="X63" s="895">
        <f>FE!J18</f>
        <v>177</v>
      </c>
      <c r="Y63" s="895">
        <f>AB!J18</f>
        <v>177</v>
      </c>
      <c r="Z63" s="895">
        <f>Lu!J18</f>
        <v>177</v>
      </c>
      <c r="AA63" s="895">
        <f>ZR!J18</f>
        <v>177</v>
      </c>
      <c r="AB63" s="895">
        <f>FrühKa!J18</f>
        <v>177</v>
      </c>
      <c r="AC63" s="895">
        <f>FrühKaFolieBer!J18</f>
        <v>177</v>
      </c>
      <c r="AD63" s="895">
        <f>SpKa!J18</f>
        <v>177</v>
      </c>
      <c r="AE63" s="895">
        <f>SpKaBer!J18</f>
        <v>177</v>
      </c>
      <c r="AF63" s="895">
        <f>Vorlage!J18</f>
        <v>0</v>
      </c>
      <c r="AG63" s="895">
        <f>'FAKT-Brachebegrünung'!J18</f>
        <v>177</v>
      </c>
      <c r="AH63" s="895">
        <f>Begr!J18</f>
        <v>177</v>
      </c>
      <c r="AI63" s="948"/>
      <c r="AJ63" s="896">
        <f>'WW1'!M18</f>
        <v>177</v>
      </c>
      <c r="AK63" s="895">
        <f>'WW2'!M18</f>
        <v>177</v>
      </c>
      <c r="AL63" s="895">
        <f>'WW-A'!M18</f>
        <v>177</v>
      </c>
      <c r="AM63" s="895">
        <f>'WW-E'!M18</f>
        <v>177</v>
      </c>
      <c r="AN63" s="895">
        <f>WRo!M18</f>
        <v>177</v>
      </c>
      <c r="AO63" s="895">
        <f>Tr!M18</f>
        <v>177</v>
      </c>
      <c r="AP63" s="895">
        <f>WG!M18</f>
        <v>177</v>
      </c>
      <c r="AQ63" s="895">
        <f>Di!M18</f>
        <v>177</v>
      </c>
      <c r="AR63" s="895">
        <f>SW!M18</f>
        <v>177</v>
      </c>
      <c r="AS63" s="895">
        <f>'SG-Fu'!M18</f>
        <v>177</v>
      </c>
      <c r="AT63" s="895">
        <f>BG!M18</f>
        <v>177</v>
      </c>
      <c r="AU63" s="895">
        <f>Ha!M18</f>
        <v>177</v>
      </c>
      <c r="AV63" s="895">
        <f>Du!M18</f>
        <v>177</v>
      </c>
      <c r="AW63" s="895">
        <f>KöM!M18</f>
        <v>177</v>
      </c>
      <c r="AX63" s="895">
        <f>KH!M18</f>
        <v>177</v>
      </c>
      <c r="AY63" s="895">
        <f>WR!M18</f>
        <v>177</v>
      </c>
      <c r="AZ63" s="895">
        <f>SR!M18</f>
        <v>177</v>
      </c>
      <c r="BA63" s="895">
        <f>SoBl!M18</f>
        <v>177</v>
      </c>
      <c r="BB63" s="895">
        <f>Soja!M18</f>
        <v>177</v>
      </c>
      <c r="BC63" s="895">
        <f>Öl!M18</f>
        <v>177</v>
      </c>
      <c r="BD63" s="895">
        <f>FE!M18</f>
        <v>177</v>
      </c>
      <c r="BE63" s="895">
        <f>AB!M18</f>
        <v>177</v>
      </c>
      <c r="BF63" s="895">
        <f>Lu!M18</f>
        <v>177</v>
      </c>
      <c r="BG63" s="895">
        <f>ZR!M18</f>
        <v>177</v>
      </c>
      <c r="BH63" s="895">
        <f>FrühKa!M18</f>
        <v>177</v>
      </c>
      <c r="BI63" s="895">
        <f>FrühKaFolieBer!M18</f>
        <v>177</v>
      </c>
      <c r="BJ63" s="895">
        <f>SpKa!M18</f>
        <v>177</v>
      </c>
      <c r="BK63" s="895">
        <f>SpKaBer!M18</f>
        <v>177</v>
      </c>
      <c r="BL63" s="895">
        <f>Vorlage!M18</f>
        <v>0</v>
      </c>
      <c r="BM63" s="895">
        <f>'FAKT-Brachebegrünung'!M18</f>
        <v>177</v>
      </c>
      <c r="BN63" s="895">
        <f>Begr!M18</f>
        <v>177</v>
      </c>
      <c r="BO63" s="948"/>
      <c r="BP63" s="896">
        <f>'WW1'!P18</f>
        <v>177</v>
      </c>
      <c r="BQ63" s="895">
        <f>'WW2'!P18</f>
        <v>177</v>
      </c>
      <c r="BR63" s="895">
        <f>'WW-A'!P18</f>
        <v>177</v>
      </c>
      <c r="BS63" s="895">
        <f>'WW-E'!P18</f>
        <v>177</v>
      </c>
      <c r="BT63" s="895">
        <f>WRo!P18</f>
        <v>177</v>
      </c>
      <c r="BU63" s="895">
        <f>Tr!P18</f>
        <v>177</v>
      </c>
      <c r="BV63" s="895">
        <f>WG!P18</f>
        <v>177</v>
      </c>
      <c r="BW63" s="895">
        <f>Di!P18</f>
        <v>177</v>
      </c>
      <c r="BX63" s="895">
        <f>SW!P18</f>
        <v>177</v>
      </c>
      <c r="BY63" s="895">
        <f>'SG-Fu'!P18</f>
        <v>177</v>
      </c>
      <c r="BZ63" s="895">
        <f>BG!P18</f>
        <v>177</v>
      </c>
      <c r="CA63" s="895">
        <f>Ha!P18</f>
        <v>177</v>
      </c>
      <c r="CB63" s="895">
        <f>Du!P18</f>
        <v>177</v>
      </c>
      <c r="CC63" s="895">
        <f>KöM!P18</f>
        <v>177</v>
      </c>
      <c r="CD63" s="895">
        <f>KH!P18</f>
        <v>177</v>
      </c>
      <c r="CE63" s="895">
        <f>WR!P18</f>
        <v>177</v>
      </c>
      <c r="CF63" s="895">
        <f>SR!P18</f>
        <v>177</v>
      </c>
      <c r="CG63" s="895">
        <f>SoBl!P18</f>
        <v>177</v>
      </c>
      <c r="CH63" s="895">
        <f>Soja!P18</f>
        <v>177</v>
      </c>
      <c r="CI63" s="895">
        <f>Öl!P18</f>
        <v>177</v>
      </c>
      <c r="CJ63" s="895">
        <f>FE!P18</f>
        <v>177</v>
      </c>
      <c r="CK63" s="895">
        <f>AB!P18</f>
        <v>177</v>
      </c>
      <c r="CL63" s="895">
        <f>Lu!P18</f>
        <v>177</v>
      </c>
      <c r="CM63" s="895">
        <f>ZR!P18</f>
        <v>177</v>
      </c>
      <c r="CN63" s="895">
        <f>FrühKa!P18</f>
        <v>177</v>
      </c>
      <c r="CO63" s="895">
        <f>FrühKaFolieBer!P18</f>
        <v>177</v>
      </c>
      <c r="CP63" s="895">
        <f>SpKa!P18</f>
        <v>177</v>
      </c>
      <c r="CQ63" s="895">
        <f>SpKaBer!P18</f>
        <v>177</v>
      </c>
      <c r="CR63" s="895">
        <f>Vorlage!P18</f>
        <v>0</v>
      </c>
      <c r="CS63" s="895">
        <f>'FAKT-Brachebegrünung'!P18</f>
        <v>177</v>
      </c>
      <c r="CT63" s="895">
        <f>Begr!P18</f>
        <v>177</v>
      </c>
      <c r="CV63" s="898" t="s">
        <v>783</v>
      </c>
      <c r="CW63" s="900"/>
      <c r="CX63" s="2619">
        <f>'Öko-KG1'!$J$18</f>
        <v>177</v>
      </c>
      <c r="CY63" s="895">
        <f>'Öko-KG2'!$J$18</f>
        <v>177</v>
      </c>
      <c r="CZ63" s="895">
        <f>'Öko-LU1'!$J$18</f>
        <v>177</v>
      </c>
      <c r="DA63" s="895">
        <f>'Öko-LU2'!$J$18</f>
        <v>177</v>
      </c>
      <c r="DB63" s="895">
        <f>'Öko-WW-Futter'!$J$18</f>
        <v>177</v>
      </c>
      <c r="DC63" s="895">
        <f>'Öko-WW-Brot'!$J$18</f>
        <v>177</v>
      </c>
      <c r="DD63" s="895">
        <f>'Öko-Di'!$J$18</f>
        <v>177</v>
      </c>
      <c r="DE63" s="895" t="e">
        <f>'Öko-Dinkel,gegerbt'!$J$18</f>
        <v>#N/A</v>
      </c>
      <c r="DF63" s="895">
        <f>'Öko-Ro'!$J$18</f>
        <v>177</v>
      </c>
      <c r="DG63" s="895">
        <f>'Öko-Ha'!$J$18</f>
        <v>177</v>
      </c>
      <c r="DH63" s="895">
        <f>'Öko-Wg'!$J$18</f>
        <v>177</v>
      </c>
      <c r="DI63" s="895">
        <f>'Öko-Bg'!$J$18</f>
        <v>177</v>
      </c>
      <c r="DJ63" s="895">
        <f>'Öko-KöM'!$J$18</f>
        <v>177</v>
      </c>
      <c r="DK63" s="895">
        <f>'Öko-Ab'!$J$18</f>
        <v>177</v>
      </c>
      <c r="DL63" s="895">
        <f>'Öko-FE'!$J$18</f>
        <v>177</v>
      </c>
      <c r="DM63" s="895">
        <f>'Öko-Soja'!$J$18</f>
        <v>177</v>
      </c>
      <c r="DN63" s="895" t="e">
        <f>'Öko-Soblu'!$J$18</f>
        <v>#N/A</v>
      </c>
      <c r="DO63" s="895">
        <f>'Öko-Raps'!$J$18</f>
        <v>177</v>
      </c>
      <c r="DP63" s="895">
        <f>'Öko-Ka'!$J$18</f>
        <v>177</v>
      </c>
      <c r="DQ63" s="895">
        <f>'Öko-Lu'!$J$18</f>
        <v>177</v>
      </c>
      <c r="DR63" s="895">
        <f>Begrün.!$J$18</f>
        <v>177</v>
      </c>
      <c r="DS63" s="895">
        <f>Blühm.!$J$18</f>
        <v>177</v>
      </c>
      <c r="DT63" s="893"/>
      <c r="DU63" s="895">
        <f>'Öko-KG1'!M18</f>
        <v>177</v>
      </c>
      <c r="DV63" s="895">
        <f>'Öko-KG2'!M18</f>
        <v>177</v>
      </c>
      <c r="DW63" s="895">
        <f>'Öko-LU1'!M18</f>
        <v>177</v>
      </c>
      <c r="DX63" s="895">
        <f>'Öko-LU2'!M18</f>
        <v>177</v>
      </c>
      <c r="DY63" s="896">
        <f>'Öko-WW-Futter'!$M$18</f>
        <v>177</v>
      </c>
      <c r="DZ63" s="895">
        <f>'Öko-WW-Brot'!$M$18</f>
        <v>177</v>
      </c>
      <c r="EA63" s="895">
        <f>'Öko-Di'!$M$18</f>
        <v>177</v>
      </c>
      <c r="EB63" s="895" t="e">
        <f>'Öko-Dinkel,gegerbt'!$M$18</f>
        <v>#N/A</v>
      </c>
      <c r="EC63" s="895">
        <f>'Öko-Ro'!$M$18</f>
        <v>177</v>
      </c>
      <c r="ED63" s="895">
        <f>'Öko-Ha'!$M$18</f>
        <v>177</v>
      </c>
      <c r="EE63" s="895">
        <f>'Öko-Wg'!$M$18</f>
        <v>177</v>
      </c>
      <c r="EF63" s="895">
        <f>'Öko-Bg'!$M$18</f>
        <v>177</v>
      </c>
      <c r="EG63" s="895">
        <f>'Öko-KöM'!$M$18</f>
        <v>177</v>
      </c>
      <c r="EH63" s="895">
        <f>'Öko-Ab'!$M$18</f>
        <v>177</v>
      </c>
      <c r="EI63" s="895">
        <f>'Öko-FE'!$M$18</f>
        <v>177</v>
      </c>
      <c r="EJ63" s="895">
        <f>'Öko-Soja'!$M$18</f>
        <v>177</v>
      </c>
      <c r="EK63" s="895" t="e">
        <f>'Öko-Soblu'!$M$18</f>
        <v>#N/A</v>
      </c>
      <c r="EL63" s="895">
        <f>'Öko-Raps'!$M$18</f>
        <v>177</v>
      </c>
      <c r="EM63" s="895">
        <f>'Öko-Ka'!$M$18</f>
        <v>177</v>
      </c>
      <c r="EN63" s="895">
        <f>'Öko-Lu'!$M$18</f>
        <v>177</v>
      </c>
      <c r="EO63" s="895">
        <f>Begrün.!$M$18</f>
        <v>177</v>
      </c>
      <c r="EP63" s="895">
        <f>Blühm.!$M$18</f>
        <v>177</v>
      </c>
      <c r="EQ63" s="893"/>
      <c r="ER63" s="895">
        <f>'Öko-KG1'!$P$18</f>
        <v>177</v>
      </c>
      <c r="ES63" s="895">
        <f>'Öko-KG2'!$P$18</f>
        <v>177</v>
      </c>
      <c r="ET63" s="895">
        <f>'Öko-LU1'!$P$18</f>
        <v>177</v>
      </c>
      <c r="EU63" s="895">
        <f>'Öko-LU2'!$P$18</f>
        <v>177</v>
      </c>
      <c r="EV63" s="895">
        <f>'Öko-WW-Futter'!$P$18</f>
        <v>177</v>
      </c>
      <c r="EW63" s="895">
        <f>'Öko-WW-Brot'!$P$18</f>
        <v>177</v>
      </c>
      <c r="EX63" s="895">
        <f>'Öko-Di'!$P$18</f>
        <v>177</v>
      </c>
      <c r="EY63" s="895" t="e">
        <f>'Öko-Dinkel,gegerbt'!$P$18</f>
        <v>#N/A</v>
      </c>
      <c r="EZ63" s="895">
        <f>'Öko-Ro'!$P$18</f>
        <v>177</v>
      </c>
      <c r="FA63" s="895">
        <f>'Öko-Ha'!$P$18</f>
        <v>177</v>
      </c>
      <c r="FB63" s="895">
        <f>'Öko-Wg'!$P$18</f>
        <v>177</v>
      </c>
      <c r="FC63" s="895">
        <f>'Öko-Bg'!$P$18</f>
        <v>177</v>
      </c>
      <c r="FD63" s="895">
        <f>'Öko-KöM'!$P$18</f>
        <v>177</v>
      </c>
      <c r="FE63" s="895">
        <f>'Öko-Ab'!$P$18</f>
        <v>177</v>
      </c>
      <c r="FF63" s="895">
        <f>'Öko-FE'!$P$18</f>
        <v>177</v>
      </c>
      <c r="FG63" s="895">
        <f>'Öko-Soja'!$P$18</f>
        <v>177</v>
      </c>
      <c r="FH63" s="895" t="e">
        <f>'Öko-Soblu'!$P$18</f>
        <v>#N/A</v>
      </c>
      <c r="FI63" s="895">
        <f>'Öko-Raps'!$P$18</f>
        <v>177</v>
      </c>
      <c r="FJ63" s="895">
        <f>'Öko-Ka'!$P$18</f>
        <v>177</v>
      </c>
      <c r="FK63" s="895">
        <f>'Öko-Lu'!$P$18</f>
        <v>177</v>
      </c>
      <c r="FL63" s="895">
        <f>Begrün.!$P$18</f>
        <v>177</v>
      </c>
      <c r="FM63" s="895">
        <f>Blühm.!$P$18</f>
        <v>177</v>
      </c>
    </row>
    <row r="64" spans="1:171" ht="16.2" customHeight="1" thickBot="1">
      <c r="A64" s="899">
        <f>ROWS($A$1:A64)</f>
        <v>64</v>
      </c>
      <c r="B64" s="898" t="s">
        <v>782</v>
      </c>
      <c r="C64" s="897"/>
      <c r="D64" s="2619">
        <f>'WW1'!J13</f>
        <v>0</v>
      </c>
      <c r="E64" s="895">
        <f>'WW2'!J13</f>
        <v>0</v>
      </c>
      <c r="F64" s="895">
        <f>'WW-A'!J13</f>
        <v>0</v>
      </c>
      <c r="G64" s="895">
        <f>'WW-E'!J13</f>
        <v>0</v>
      </c>
      <c r="H64" s="895">
        <f>WRo!J13</f>
        <v>0</v>
      </c>
      <c r="I64" s="895">
        <f>Tr!J13</f>
        <v>0</v>
      </c>
      <c r="J64" s="895">
        <f>WG!J13</f>
        <v>0</v>
      </c>
      <c r="K64" s="895">
        <f>Di!J13</f>
        <v>0</v>
      </c>
      <c r="L64" s="895">
        <f>SW!J13</f>
        <v>0</v>
      </c>
      <c r="M64" s="895">
        <f>'SG-Fu'!J13</f>
        <v>0</v>
      </c>
      <c r="N64" s="895">
        <f>BG!J13</f>
        <v>0</v>
      </c>
      <c r="O64" s="895">
        <f>Ha!J13</f>
        <v>0</v>
      </c>
      <c r="P64" s="895">
        <f>Du!J13</f>
        <v>0</v>
      </c>
      <c r="Q64" s="895">
        <f>KöM!J13</f>
        <v>0</v>
      </c>
      <c r="R64" s="895">
        <f>KH!K13</f>
        <v>0</v>
      </c>
      <c r="S64" s="895">
        <f>WR!J13</f>
        <v>0</v>
      </c>
      <c r="T64" s="895">
        <f>SR!J13</f>
        <v>0</v>
      </c>
      <c r="U64" s="895">
        <f>SoBl!J13</f>
        <v>0</v>
      </c>
      <c r="V64" s="895">
        <f>Soja!J13</f>
        <v>0</v>
      </c>
      <c r="W64" s="895">
        <f>Öl!K13</f>
        <v>0</v>
      </c>
      <c r="X64" s="895">
        <f>FE!J13</f>
        <v>0</v>
      </c>
      <c r="Y64" s="895">
        <f>AB!J13</f>
        <v>0</v>
      </c>
      <c r="Z64" s="895">
        <f>Lu!J13</f>
        <v>0</v>
      </c>
      <c r="AA64" s="895">
        <f>ZR!J13</f>
        <v>0</v>
      </c>
      <c r="AB64" s="895">
        <f>FrühKa!J13</f>
        <v>0</v>
      </c>
      <c r="AC64" s="895">
        <f>FrühKaFolieBer!J13</f>
        <v>0</v>
      </c>
      <c r="AD64" s="895">
        <f>SpKa!J13</f>
        <v>0</v>
      </c>
      <c r="AE64" s="895">
        <f>SpKaBer!J13</f>
        <v>0</v>
      </c>
      <c r="AF64" s="895">
        <f>Vorlage!J13</f>
        <v>0</v>
      </c>
      <c r="AG64" s="895">
        <f>'FAKT-Brachebegrünung'!J13</f>
        <v>730</v>
      </c>
      <c r="AH64" s="895">
        <f>Begr!J13</f>
        <v>100</v>
      </c>
      <c r="AI64" s="948"/>
      <c r="AJ64" s="896">
        <f>'WW1'!M13</f>
        <v>0</v>
      </c>
      <c r="AK64" s="895">
        <f>'WW2'!M13</f>
        <v>0</v>
      </c>
      <c r="AL64" s="895">
        <f>'WW-A'!M13</f>
        <v>0</v>
      </c>
      <c r="AM64" s="895">
        <f>'WW-E'!M13</f>
        <v>0</v>
      </c>
      <c r="AN64" s="895">
        <f>WRo!M13</f>
        <v>0</v>
      </c>
      <c r="AO64" s="895">
        <f>Tr!M13</f>
        <v>0</v>
      </c>
      <c r="AP64" s="895">
        <f>WG!M13</f>
        <v>0</v>
      </c>
      <c r="AQ64" s="895">
        <f>Di!M13</f>
        <v>0</v>
      </c>
      <c r="AR64" s="895">
        <f>SW!M13</f>
        <v>0</v>
      </c>
      <c r="AS64" s="895">
        <f>'SG-Fu'!M13</f>
        <v>0</v>
      </c>
      <c r="AT64" s="895">
        <f>BG!M13</f>
        <v>0</v>
      </c>
      <c r="AU64" s="895">
        <f>Ha!M13</f>
        <v>0</v>
      </c>
      <c r="AV64" s="895">
        <f>Du!M13</f>
        <v>0</v>
      </c>
      <c r="AW64" s="895">
        <f>KöM!M13</f>
        <v>0</v>
      </c>
      <c r="AX64" s="895">
        <f>KH!N13</f>
        <v>0</v>
      </c>
      <c r="AY64" s="895">
        <f>WR!M13</f>
        <v>0</v>
      </c>
      <c r="AZ64" s="895">
        <f>SR!M13</f>
        <v>0</v>
      </c>
      <c r="BA64" s="895">
        <f>SoBl!M13</f>
        <v>0</v>
      </c>
      <c r="BB64" s="895">
        <f>Soja!M13</f>
        <v>0</v>
      </c>
      <c r="BC64" s="895">
        <f>Öl!N13</f>
        <v>0</v>
      </c>
      <c r="BD64" s="895">
        <f>FE!M13</f>
        <v>0</v>
      </c>
      <c r="BE64" s="895">
        <f>AB!M13</f>
        <v>0</v>
      </c>
      <c r="BF64" s="895">
        <f>Lu!M13</f>
        <v>0</v>
      </c>
      <c r="BG64" s="895">
        <f>ZR!M13</f>
        <v>0</v>
      </c>
      <c r="BH64" s="895">
        <f>FrühKa!M13</f>
        <v>0</v>
      </c>
      <c r="BI64" s="895">
        <f>FrühKaFolieBer!M13</f>
        <v>0</v>
      </c>
      <c r="BJ64" s="895">
        <f>SpKa!M13</f>
        <v>0</v>
      </c>
      <c r="BK64" s="895">
        <f>SpKaBer!M13</f>
        <v>0</v>
      </c>
      <c r="BL64" s="895">
        <f>Vorlage!M13</f>
        <v>0</v>
      </c>
      <c r="BM64" s="895">
        <f>'FAKT-Brachebegrünung'!M13</f>
        <v>730</v>
      </c>
      <c r="BN64" s="895">
        <f>Begr!M13</f>
        <v>100</v>
      </c>
      <c r="BO64" s="948"/>
      <c r="BP64" s="896">
        <f>'WW1'!P13</f>
        <v>0</v>
      </c>
      <c r="BQ64" s="895">
        <f>'WW2'!P13</f>
        <v>0</v>
      </c>
      <c r="BR64" s="895">
        <f>'WW-A'!P13</f>
        <v>0</v>
      </c>
      <c r="BS64" s="895">
        <f>'WW-E'!P13</f>
        <v>0</v>
      </c>
      <c r="BT64" s="895">
        <f>WRo!P13</f>
        <v>0</v>
      </c>
      <c r="BU64" s="895">
        <f>Tr!P13</f>
        <v>0</v>
      </c>
      <c r="BV64" s="895">
        <f>WG!P13</f>
        <v>0</v>
      </c>
      <c r="BW64" s="895">
        <f>Di!P13</f>
        <v>0</v>
      </c>
      <c r="BX64" s="895">
        <f>SW!P13</f>
        <v>0</v>
      </c>
      <c r="BY64" s="895">
        <f>'SG-Fu'!P13</f>
        <v>0</v>
      </c>
      <c r="BZ64" s="895">
        <f>BG!P13</f>
        <v>0</v>
      </c>
      <c r="CA64" s="895">
        <f>Ha!P13</f>
        <v>0</v>
      </c>
      <c r="CB64" s="895">
        <f>Du!P13</f>
        <v>0</v>
      </c>
      <c r="CC64" s="895">
        <f>KöM!P13</f>
        <v>0</v>
      </c>
      <c r="CD64" s="895">
        <f>KH!Q13</f>
        <v>0</v>
      </c>
      <c r="CE64" s="895">
        <f>WR!P13</f>
        <v>0</v>
      </c>
      <c r="CF64" s="895">
        <f>SR!P13</f>
        <v>0</v>
      </c>
      <c r="CG64" s="895">
        <f>SoBl!P13</f>
        <v>0</v>
      </c>
      <c r="CH64" s="895">
        <f>Soja!P13</f>
        <v>0</v>
      </c>
      <c r="CI64" s="895">
        <f>Öl!Q13</f>
        <v>0</v>
      </c>
      <c r="CJ64" s="895">
        <f>FE!P13</f>
        <v>0</v>
      </c>
      <c r="CK64" s="895">
        <f>AB!P13</f>
        <v>0</v>
      </c>
      <c r="CL64" s="895">
        <f>Lu!P13</f>
        <v>0</v>
      </c>
      <c r="CM64" s="895">
        <f>ZR!P13</f>
        <v>0</v>
      </c>
      <c r="CN64" s="895">
        <f>FrühKa!P13</f>
        <v>0</v>
      </c>
      <c r="CO64" s="895">
        <f>FrühKaFolieBer!P13</f>
        <v>0</v>
      </c>
      <c r="CP64" s="895">
        <f>SpKa!P13</f>
        <v>0</v>
      </c>
      <c r="CQ64" s="895">
        <f>SpKaBer!P13</f>
        <v>0</v>
      </c>
      <c r="CR64" s="895">
        <f>Vorlage!P13</f>
        <v>0</v>
      </c>
      <c r="CS64" s="895">
        <f>'FAKT-Brachebegrünung'!P13</f>
        <v>730</v>
      </c>
      <c r="CT64" s="895">
        <f>Begr!P13</f>
        <v>100</v>
      </c>
      <c r="CV64" s="898" t="s">
        <v>782</v>
      </c>
      <c r="CW64" s="897"/>
      <c r="CX64" s="2619">
        <f>'Öko-KG1'!$J$13</f>
        <v>240</v>
      </c>
      <c r="CY64" s="895">
        <f>'Öko-KG2'!$J$13</f>
        <v>240</v>
      </c>
      <c r="CZ64" s="895">
        <f>'Öko-LU1'!$J$13</f>
        <v>240</v>
      </c>
      <c r="DA64" s="895">
        <f>'Öko-LU2'!$J$13</f>
        <v>240</v>
      </c>
      <c r="DB64" s="895">
        <f>'Öko-WW-Futter'!$J$13</f>
        <v>240</v>
      </c>
      <c r="DC64" s="895">
        <f>'Öko-WW-Brot'!$J$13</f>
        <v>240</v>
      </c>
      <c r="DD64" s="895">
        <f>'Öko-Di'!$J$13</f>
        <v>240</v>
      </c>
      <c r="DE64" s="895">
        <f>'Öko-Dinkel,gegerbt'!$J$13</f>
        <v>240</v>
      </c>
      <c r="DF64" s="895">
        <f>'Öko-Ro'!$J$13</f>
        <v>240</v>
      </c>
      <c r="DG64" s="895">
        <f>'Öko-Ha'!$J$13</f>
        <v>240</v>
      </c>
      <c r="DH64" s="895">
        <f>'Öko-Wg'!$J$13</f>
        <v>240</v>
      </c>
      <c r="DI64" s="895">
        <f>'Öko-Bg'!$J$13</f>
        <v>240</v>
      </c>
      <c r="DJ64" s="895">
        <f>'Öko-KöM'!$J$13</f>
        <v>240</v>
      </c>
      <c r="DK64" s="895">
        <f>'Öko-Ab'!$J$13</f>
        <v>240</v>
      </c>
      <c r="DL64" s="895">
        <f>'Öko-FE'!$J$13</f>
        <v>240</v>
      </c>
      <c r="DM64" s="895">
        <f>'Öko-Soja'!$J$13</f>
        <v>240</v>
      </c>
      <c r="DN64" s="895">
        <f>'Öko-Soblu'!$J$13</f>
        <v>240</v>
      </c>
      <c r="DO64" s="895">
        <f>'Öko-Raps'!$J$13</f>
        <v>240</v>
      </c>
      <c r="DP64" s="895">
        <f>'Öko-Ka'!$J$13</f>
        <v>240</v>
      </c>
      <c r="DQ64" s="895">
        <f>'Öko-Lu'!$J$13</f>
        <v>240</v>
      </c>
      <c r="DR64" s="895">
        <f>Begrün.!$J$13</f>
        <v>0</v>
      </c>
      <c r="DS64" s="895">
        <f>Blühm.!$J$13</f>
        <v>0</v>
      </c>
      <c r="DT64" s="893"/>
      <c r="DU64" s="895">
        <f>'Öko-KG1'!$M$13</f>
        <v>240</v>
      </c>
      <c r="DV64" s="895">
        <f>'Öko-KG2'!$M$13</f>
        <v>240</v>
      </c>
      <c r="DW64" s="895">
        <f>'Öko-LU1'!$M$13</f>
        <v>240</v>
      </c>
      <c r="DX64" s="895">
        <f>'Öko-LU2'!$M$13</f>
        <v>240</v>
      </c>
      <c r="DY64" s="896">
        <f>'Öko-WW-Futter'!$M$13</f>
        <v>240</v>
      </c>
      <c r="DZ64" s="895">
        <f>'Öko-WW-Brot'!$M$13</f>
        <v>240</v>
      </c>
      <c r="EA64" s="895">
        <f>'Öko-Di'!$M$13</f>
        <v>240</v>
      </c>
      <c r="EB64" s="895">
        <f>'Öko-Dinkel,gegerbt'!$M$13</f>
        <v>240</v>
      </c>
      <c r="EC64" s="895">
        <f>'Öko-Ro'!$M$13</f>
        <v>240</v>
      </c>
      <c r="ED64" s="895">
        <f>'Öko-Ha'!$M$13</f>
        <v>240</v>
      </c>
      <c r="EE64" s="895">
        <f>'Öko-Wg'!$M$13</f>
        <v>240</v>
      </c>
      <c r="EF64" s="895">
        <f>'Öko-Bg'!$M$13</f>
        <v>240</v>
      </c>
      <c r="EG64" s="895">
        <f>'Öko-KöM'!$M$13</f>
        <v>240</v>
      </c>
      <c r="EH64" s="895">
        <f>'Öko-Ab'!$M$13</f>
        <v>240</v>
      </c>
      <c r="EI64" s="895">
        <f>'Öko-FE'!$M$13</f>
        <v>240</v>
      </c>
      <c r="EJ64" s="895">
        <f>'Öko-Soja'!$M$13</f>
        <v>240</v>
      </c>
      <c r="EK64" s="895">
        <f>'Öko-Soblu'!$M$13</f>
        <v>240</v>
      </c>
      <c r="EL64" s="895">
        <f>'Öko-Raps'!$M$13</f>
        <v>240</v>
      </c>
      <c r="EM64" s="895">
        <f>'Öko-Ka'!$M$13</f>
        <v>240</v>
      </c>
      <c r="EN64" s="895">
        <f>'Öko-Ka'!$M$13</f>
        <v>240</v>
      </c>
      <c r="EO64" s="895">
        <f>Begrün.!$M$13</f>
        <v>0</v>
      </c>
      <c r="EP64" s="895">
        <f>Blühm.!$M$13</f>
        <v>0</v>
      </c>
      <c r="EQ64" s="893"/>
      <c r="ER64" s="895">
        <f>'Öko-KG1'!$P$13</f>
        <v>240</v>
      </c>
      <c r="ES64" s="895">
        <f>'Öko-KG2'!$P$13</f>
        <v>240</v>
      </c>
      <c r="ET64" s="895">
        <f>'Öko-LU1'!$P$13</f>
        <v>240</v>
      </c>
      <c r="EU64" s="895">
        <f>'Öko-LU2'!$P$13</f>
        <v>240</v>
      </c>
      <c r="EV64" s="895">
        <f>'Öko-WW-Futter'!$P$13</f>
        <v>240</v>
      </c>
      <c r="EW64" s="895">
        <f>'Öko-WW-Brot'!$P$13</f>
        <v>240</v>
      </c>
      <c r="EX64" s="895">
        <f>'Öko-Di'!$P$13</f>
        <v>240</v>
      </c>
      <c r="EY64" s="895">
        <f>'Öko-Dinkel,gegerbt'!$P$13</f>
        <v>240</v>
      </c>
      <c r="EZ64" s="895">
        <f>'Öko-Ro'!$P$13</f>
        <v>240</v>
      </c>
      <c r="FA64" s="895">
        <f>'Öko-Ha'!$P$13</f>
        <v>240</v>
      </c>
      <c r="FB64" s="895">
        <f>'Öko-Wg'!$P$13</f>
        <v>240</v>
      </c>
      <c r="FC64" s="895">
        <f>'Öko-Bg'!$P$13</f>
        <v>240</v>
      </c>
      <c r="FD64" s="895">
        <f>'Öko-KöM'!$P$13</f>
        <v>240</v>
      </c>
      <c r="FE64" s="895">
        <f>'Öko-Ab'!$P$13</f>
        <v>240</v>
      </c>
      <c r="FF64" s="895">
        <f>'Öko-FE'!$P$13</f>
        <v>240</v>
      </c>
      <c r="FG64" s="895">
        <f>'Öko-Soja'!$P$13</f>
        <v>240</v>
      </c>
      <c r="FH64" s="895">
        <f>'Öko-Soblu'!$P$13</f>
        <v>240</v>
      </c>
      <c r="FI64" s="895">
        <f>'Öko-Raps'!$P$13</f>
        <v>240</v>
      </c>
      <c r="FJ64" s="895">
        <f>'Öko-Ka'!$P$13</f>
        <v>240</v>
      </c>
      <c r="FK64" s="895">
        <f>'Öko-Lu'!$P$13</f>
        <v>240</v>
      </c>
      <c r="FL64" s="895">
        <f>Begrün.!$P$13</f>
        <v>0</v>
      </c>
      <c r="FM64" s="895">
        <f>Blühm.!$P$13</f>
        <v>0</v>
      </c>
    </row>
    <row r="65" spans="2:169" s="2447" customFormat="1" ht="16.2" customHeight="1" thickBot="1">
      <c r="B65" s="2442" t="s">
        <v>781</v>
      </c>
      <c r="C65" s="2443"/>
      <c r="D65" s="2444" t="s">
        <v>96</v>
      </c>
      <c r="E65" s="2444" t="s">
        <v>94</v>
      </c>
      <c r="F65" s="2444" t="s">
        <v>1703</v>
      </c>
      <c r="G65" s="2444" t="s">
        <v>1704</v>
      </c>
      <c r="H65" s="2444" t="s">
        <v>780</v>
      </c>
      <c r="I65" s="2445" t="s">
        <v>86</v>
      </c>
      <c r="J65" s="2445" t="s">
        <v>84</v>
      </c>
      <c r="K65" s="2445" t="s">
        <v>82</v>
      </c>
      <c r="L65" s="2445" t="s">
        <v>79</v>
      </c>
      <c r="M65" s="2444" t="s">
        <v>77</v>
      </c>
      <c r="N65" s="2445" t="s">
        <v>75</v>
      </c>
      <c r="O65" s="2445" t="s">
        <v>73</v>
      </c>
      <c r="P65" s="2445" t="s">
        <v>71</v>
      </c>
      <c r="Q65" s="2445" t="s">
        <v>68</v>
      </c>
      <c r="R65" s="2445" t="s">
        <v>65</v>
      </c>
      <c r="S65" s="2445" t="s">
        <v>62</v>
      </c>
      <c r="T65" s="2445" t="s">
        <v>60</v>
      </c>
      <c r="U65" s="2445" t="s">
        <v>58</v>
      </c>
      <c r="V65" s="2445" t="s">
        <v>57</v>
      </c>
      <c r="W65" s="2445" t="s">
        <v>55</v>
      </c>
      <c r="X65" s="2445" t="s">
        <v>52</v>
      </c>
      <c r="Y65" s="2445" t="s">
        <v>50</v>
      </c>
      <c r="Z65" s="2445" t="s">
        <v>48</v>
      </c>
      <c r="AA65" s="2445" t="s">
        <v>43</v>
      </c>
      <c r="AB65" s="2445" t="s">
        <v>41</v>
      </c>
      <c r="AC65" s="2445" t="s">
        <v>39</v>
      </c>
      <c r="AD65" s="2445" t="s">
        <v>37</v>
      </c>
      <c r="AE65" s="2445" t="s">
        <v>35</v>
      </c>
      <c r="AF65" s="2444" t="s">
        <v>1701</v>
      </c>
      <c r="AG65" s="2444" t="s">
        <v>1576</v>
      </c>
      <c r="AH65" s="2445" t="s">
        <v>674</v>
      </c>
      <c r="AI65" s="2923"/>
      <c r="AJ65" s="2446" t="s">
        <v>96</v>
      </c>
      <c r="AK65" s="2444" t="s">
        <v>94</v>
      </c>
      <c r="AL65" s="2444" t="s">
        <v>1703</v>
      </c>
      <c r="AM65" s="2444" t="s">
        <v>1704</v>
      </c>
      <c r="AN65" s="2445" t="s">
        <v>780</v>
      </c>
      <c r="AO65" s="2445" t="s">
        <v>86</v>
      </c>
      <c r="AP65" s="2445" t="s">
        <v>84</v>
      </c>
      <c r="AQ65" s="2445" t="s">
        <v>82</v>
      </c>
      <c r="AR65" s="2445" t="s">
        <v>79</v>
      </c>
      <c r="AS65" s="2444" t="s">
        <v>77</v>
      </c>
      <c r="AT65" s="2445" t="s">
        <v>75</v>
      </c>
      <c r="AU65" s="2445" t="s">
        <v>73</v>
      </c>
      <c r="AV65" s="2445" t="s">
        <v>71</v>
      </c>
      <c r="AW65" s="2445" t="s">
        <v>68</v>
      </c>
      <c r="AX65" s="2445" t="s">
        <v>65</v>
      </c>
      <c r="AY65" s="2445" t="s">
        <v>62</v>
      </c>
      <c r="AZ65" s="2445" t="s">
        <v>60</v>
      </c>
      <c r="BA65" s="2445" t="s">
        <v>58</v>
      </c>
      <c r="BB65" s="2445" t="s">
        <v>57</v>
      </c>
      <c r="BC65" s="2445" t="s">
        <v>55</v>
      </c>
      <c r="BD65" s="2445" t="s">
        <v>52</v>
      </c>
      <c r="BE65" s="2445" t="s">
        <v>50</v>
      </c>
      <c r="BF65" s="2445" t="s">
        <v>48</v>
      </c>
      <c r="BG65" s="2445" t="s">
        <v>43</v>
      </c>
      <c r="BH65" s="2445" t="s">
        <v>41</v>
      </c>
      <c r="BI65" s="2445" t="s">
        <v>39</v>
      </c>
      <c r="BJ65" s="2445" t="s">
        <v>37</v>
      </c>
      <c r="BK65" s="2445" t="s">
        <v>35</v>
      </c>
      <c r="BL65" s="2444" t="s">
        <v>1701</v>
      </c>
      <c r="BM65" s="2444" t="s">
        <v>1576</v>
      </c>
      <c r="BN65" s="2445" t="s">
        <v>674</v>
      </c>
      <c r="BO65" s="2923"/>
      <c r="BP65" s="2446" t="s">
        <v>96</v>
      </c>
      <c r="BQ65" s="2444" t="s">
        <v>94</v>
      </c>
      <c r="BR65" s="2444" t="s">
        <v>1703</v>
      </c>
      <c r="BS65" s="2444" t="s">
        <v>1704</v>
      </c>
      <c r="BT65" s="2445" t="s">
        <v>780</v>
      </c>
      <c r="BU65" s="2445" t="s">
        <v>86</v>
      </c>
      <c r="BV65" s="2445" t="s">
        <v>84</v>
      </c>
      <c r="BW65" s="2445" t="s">
        <v>82</v>
      </c>
      <c r="BX65" s="2445" t="s">
        <v>79</v>
      </c>
      <c r="BY65" s="2444" t="s">
        <v>77</v>
      </c>
      <c r="BZ65" s="2445" t="s">
        <v>75</v>
      </c>
      <c r="CA65" s="2445" t="s">
        <v>73</v>
      </c>
      <c r="CB65" s="2445" t="s">
        <v>71</v>
      </c>
      <c r="CC65" s="2445" t="s">
        <v>68</v>
      </c>
      <c r="CD65" s="2445" t="s">
        <v>65</v>
      </c>
      <c r="CE65" s="2445" t="s">
        <v>62</v>
      </c>
      <c r="CF65" s="2445" t="s">
        <v>60</v>
      </c>
      <c r="CG65" s="2445" t="s">
        <v>58</v>
      </c>
      <c r="CH65" s="2445" t="s">
        <v>57</v>
      </c>
      <c r="CI65" s="2445" t="s">
        <v>55</v>
      </c>
      <c r="CJ65" s="2445" t="s">
        <v>52</v>
      </c>
      <c r="CK65" s="2445" t="s">
        <v>50</v>
      </c>
      <c r="CL65" s="2445" t="s">
        <v>48</v>
      </c>
      <c r="CM65" s="2445" t="s">
        <v>43</v>
      </c>
      <c r="CN65" s="2445" t="s">
        <v>41</v>
      </c>
      <c r="CO65" s="2445" t="s">
        <v>39</v>
      </c>
      <c r="CP65" s="2445" t="s">
        <v>37</v>
      </c>
      <c r="CQ65" s="2445" t="s">
        <v>35</v>
      </c>
      <c r="CR65" s="2444" t="s">
        <v>1701</v>
      </c>
      <c r="CS65" s="2444" t="s">
        <v>1576</v>
      </c>
      <c r="CT65" s="2445" t="s">
        <v>674</v>
      </c>
      <c r="CV65" s="2448"/>
      <c r="CW65" s="2449"/>
      <c r="CX65" s="2444" t="str">
        <f>"'Öko-KG1'"</f>
        <v>'Öko-KG1'</v>
      </c>
      <c r="CY65" s="2451" t="str">
        <f>"'Öko-KG2'"</f>
        <v>'Öko-KG2'</v>
      </c>
      <c r="CZ65" s="2451" t="str">
        <f>"'Öko-LU1'"</f>
        <v>'Öko-LU1'</v>
      </c>
      <c r="DA65" s="2451" t="str">
        <f>"'Öko-LU2'"</f>
        <v>'Öko-LU2'</v>
      </c>
      <c r="DB65" s="2452" t="str">
        <f>"'Öko-WW-Futter'"</f>
        <v>'Öko-WW-Futter'</v>
      </c>
      <c r="DC65" s="2452" t="str">
        <f>"'Öko-WW-Brot'"</f>
        <v>'Öko-WW-Brot'</v>
      </c>
      <c r="DD65" s="2452" t="str">
        <f>"'Öko-Di'"</f>
        <v>'Öko-Di'</v>
      </c>
      <c r="DE65" s="2452" t="str">
        <f>"'Öko-Dinkel,gegerbt'"</f>
        <v>'Öko-Dinkel,gegerbt'</v>
      </c>
      <c r="DF65" s="2452" t="str">
        <f>"'Öko-Ro'"</f>
        <v>'Öko-Ro'</v>
      </c>
      <c r="DG65" s="2451" t="str">
        <f>"'Öko-Ha'"</f>
        <v>'Öko-Ha'</v>
      </c>
      <c r="DH65" s="2451" t="str">
        <f>"'Öko-WG'"</f>
        <v>'Öko-WG'</v>
      </c>
      <c r="DI65" s="2452" t="str">
        <f>"'Öko-Bg'"</f>
        <v>'Öko-Bg'</v>
      </c>
      <c r="DJ65" s="2452" t="str">
        <f>"'Öko-KöM'"</f>
        <v>'Öko-KöM'</v>
      </c>
      <c r="DK65" s="2452" t="str">
        <f>"'Öko-Ab'"</f>
        <v>'Öko-Ab'</v>
      </c>
      <c r="DL65" s="2452" t="str">
        <f>"'Öko-FE'"</f>
        <v>'Öko-FE'</v>
      </c>
      <c r="DM65" s="2452" t="str">
        <f>"'Öko-Soja'"</f>
        <v>'Öko-Soja'</v>
      </c>
      <c r="DN65" s="2452" t="str">
        <f>"'Öko-Soblu'"</f>
        <v>'Öko-Soblu'</v>
      </c>
      <c r="DO65" s="2452" t="str">
        <f>"'Öko-Raps'"</f>
        <v>'Öko-Raps'</v>
      </c>
      <c r="DP65" s="2452" t="str">
        <f>"'Öko-Ka'"</f>
        <v>'Öko-Ka'</v>
      </c>
      <c r="DQ65" s="2452" t="str">
        <f>"'Öko-Lu'"</f>
        <v>'Öko-Lu'</v>
      </c>
      <c r="DR65" s="2452" t="str">
        <f>"'Begrün.'"</f>
        <v>'Begrün.'</v>
      </c>
      <c r="DS65" s="2453" t="str">
        <f>"'Blühm.'"</f>
        <v>'Blühm.'</v>
      </c>
      <c r="DU65" s="2454" t="str">
        <f>"'Öko-KG1'"</f>
        <v>'Öko-KG1'</v>
      </c>
      <c r="DV65" s="2455" t="str">
        <f>"'Öko-KG2'"</f>
        <v>'Öko-KG2'</v>
      </c>
      <c r="DW65" s="2450" t="str">
        <f>"'Öko-LU1'"</f>
        <v>'Öko-LU1'</v>
      </c>
      <c r="DX65" s="2451" t="str">
        <f>"'Öko-LU2'"</f>
        <v>'Öko-LU2'</v>
      </c>
      <c r="DY65" s="2451" t="str">
        <f>"'Öko-WW-Futter'"</f>
        <v>'Öko-WW-Futter'</v>
      </c>
      <c r="DZ65" s="2451" t="str">
        <f>"'Öko-WW-Brot'"</f>
        <v>'Öko-WW-Brot'</v>
      </c>
      <c r="EA65" s="2452" t="str">
        <f>"'Öko-Di'"</f>
        <v>'Öko-Di'</v>
      </c>
      <c r="EB65" s="2452" t="str">
        <f>"'Öko-Dinkel,gegerbt'"</f>
        <v>'Öko-Dinkel,gegerbt'</v>
      </c>
      <c r="EC65" s="2452" t="str">
        <f>"'Öko-Ro'"</f>
        <v>'Öko-Ro'</v>
      </c>
      <c r="ED65" s="2451" t="str">
        <f>"'Öko-Ha'"</f>
        <v>'Öko-Ha'</v>
      </c>
      <c r="EE65" s="2451" t="str">
        <f>"'Öko-WG'"</f>
        <v>'Öko-WG'</v>
      </c>
      <c r="EF65" s="2452" t="str">
        <f>"'Öko-Bg'"</f>
        <v>'Öko-Bg'</v>
      </c>
      <c r="EG65" s="2452" t="str">
        <f>"'Öko-KöM'"</f>
        <v>'Öko-KöM'</v>
      </c>
      <c r="EH65" s="2452" t="str">
        <f>"'Öko-Ab'"</f>
        <v>'Öko-Ab'</v>
      </c>
      <c r="EI65" s="2452" t="str">
        <f>"'Öko-FE'"</f>
        <v>'Öko-FE'</v>
      </c>
      <c r="EJ65" s="2452" t="str">
        <f>"'Öko-Soja'"</f>
        <v>'Öko-Soja'</v>
      </c>
      <c r="EK65" s="2452" t="str">
        <f>"'Öko-Soblu'"</f>
        <v>'Öko-Soblu'</v>
      </c>
      <c r="EL65" s="2452" t="str">
        <f>"'Öko-Raps'"</f>
        <v>'Öko-Raps'</v>
      </c>
      <c r="EM65" s="2452" t="str">
        <f>"'Öko-Ka'"</f>
        <v>'Öko-Ka'</v>
      </c>
      <c r="EN65" s="2452" t="str">
        <f>"'Öko-Lu'"</f>
        <v>'Öko-Lu'</v>
      </c>
      <c r="EO65" s="2452" t="str">
        <f>"'Begrün.'"</f>
        <v>'Begrün.'</v>
      </c>
      <c r="EP65" s="2452" t="str">
        <f>"'Blühm.'"</f>
        <v>'Blühm.'</v>
      </c>
      <c r="ER65" s="2456" t="str">
        <f>"'Öko-KG1'"</f>
        <v>'Öko-KG1'</v>
      </c>
      <c r="ES65" s="2452" t="str">
        <f>"'Öko-KG2'"</f>
        <v>'Öko-KG2'</v>
      </c>
      <c r="ET65" s="2450" t="str">
        <f>"'Öko-LU1'"</f>
        <v>'Öko-LU1'</v>
      </c>
      <c r="EU65" s="2451" t="str">
        <f>"'Öko-LU2'"</f>
        <v>'Öko-LU2'</v>
      </c>
      <c r="EV65" s="2451" t="str">
        <f>"'Öko-WW-Futter'"</f>
        <v>'Öko-WW-Futter'</v>
      </c>
      <c r="EW65" s="2451" t="str">
        <f>"'Öko-WW-Brot'"</f>
        <v>'Öko-WW-Brot'</v>
      </c>
      <c r="EX65" s="2452" t="str">
        <f>"'Öko-Di'"</f>
        <v>'Öko-Di'</v>
      </c>
      <c r="EY65" s="2452" t="str">
        <f>"'Öko-Dinkel,gegerbt'"</f>
        <v>'Öko-Dinkel,gegerbt'</v>
      </c>
      <c r="EZ65" s="2452" t="str">
        <f>"'Öko-Ro'"</f>
        <v>'Öko-Ro'</v>
      </c>
      <c r="FA65" s="2452" t="str">
        <f>"'Öko-Ha'"</f>
        <v>'Öko-Ha'</v>
      </c>
      <c r="FB65" s="2452" t="str">
        <f>"'Öko-WG'"</f>
        <v>'Öko-WG'</v>
      </c>
      <c r="FC65" s="2452" t="str">
        <f>"'Öko-Bg'"</f>
        <v>'Öko-Bg'</v>
      </c>
      <c r="FD65" s="2451" t="str">
        <f>"'Öko-KöM'"</f>
        <v>'Öko-KöM'</v>
      </c>
      <c r="FE65" s="2452" t="str">
        <f>"'Öko-AB'"</f>
        <v>'Öko-AB'</v>
      </c>
      <c r="FF65" s="2452" t="str">
        <f>"'Öko-FE'"</f>
        <v>'Öko-FE'</v>
      </c>
      <c r="FG65" s="2452" t="str">
        <f>"'Öko-Soja'"</f>
        <v>'Öko-Soja'</v>
      </c>
      <c r="FH65" s="2452" t="str">
        <f>"'Öko-Soblu'"</f>
        <v>'Öko-Soblu'</v>
      </c>
      <c r="FI65" s="2452" t="str">
        <f>"'Öko-Raps'"</f>
        <v>'Öko-Raps'</v>
      </c>
      <c r="FJ65" s="2452" t="str">
        <f>"'Öko-Ka'"</f>
        <v>'Öko-Ka'</v>
      </c>
      <c r="FK65" s="2452" t="str">
        <f>"'Öko-Lu'"</f>
        <v>'Öko-Lu'</v>
      </c>
      <c r="FL65" s="2452" t="str">
        <f>"'Begrün.'"</f>
        <v>'Begrün.'</v>
      </c>
      <c r="FM65" s="2452" t="str">
        <f>"'Blühm.'"</f>
        <v>'Blühm.'</v>
      </c>
    </row>
    <row r="66" spans="2:169" ht="16.2" customHeight="1">
      <c r="D66" s="893" t="str">
        <f ca="1">CELL("filename",Daten!A1)</f>
        <v>L:\Abteilung2\PRODUKTE\Kalkulationsdaten\Pflanzenbau\Marktfrüchte\2025\Infodienst Version\[Kalkulationsdaten_Marktfrüchte_2025.xlsx]Daten</v>
      </c>
      <c r="AJ66" s="893"/>
      <c r="AK66" s="893"/>
      <c r="AL66" s="893"/>
      <c r="AM66" s="893"/>
      <c r="AN66" s="893"/>
      <c r="AO66" s="893"/>
      <c r="AP66" s="893"/>
      <c r="AQ66" s="893"/>
      <c r="AR66" s="893"/>
      <c r="AS66" s="893"/>
      <c r="AT66" s="893"/>
      <c r="AU66" s="893"/>
      <c r="AV66" s="893"/>
      <c r="AW66" s="893"/>
      <c r="AX66" s="893"/>
      <c r="AY66" s="893"/>
      <c r="AZ66" s="893"/>
      <c r="BA66" s="893"/>
      <c r="BB66" s="893"/>
      <c r="BC66" s="893"/>
      <c r="BD66" s="893"/>
      <c r="BE66" s="893"/>
      <c r="BF66" s="893"/>
      <c r="BG66" s="893"/>
      <c r="BH66" s="893"/>
      <c r="BI66" s="893"/>
      <c r="BJ66" s="893"/>
      <c r="BK66" s="893"/>
      <c r="BL66" s="893"/>
      <c r="BM66" s="893"/>
      <c r="BN66" s="893"/>
      <c r="BO66" s="893"/>
      <c r="BP66" s="893"/>
      <c r="BQ66" s="893"/>
      <c r="BR66" s="893"/>
      <c r="BS66" s="893"/>
      <c r="BT66" s="893"/>
      <c r="BU66" s="893"/>
      <c r="BV66" s="893"/>
      <c r="BW66" s="893"/>
      <c r="BX66" s="893"/>
      <c r="BY66" s="893"/>
      <c r="BZ66" s="893"/>
      <c r="CA66" s="893"/>
      <c r="CB66" s="893"/>
      <c r="CC66" s="893"/>
      <c r="CD66" s="893"/>
      <c r="CE66" s="893"/>
      <c r="CF66" s="893"/>
      <c r="CG66" s="893"/>
      <c r="CH66" s="893"/>
      <c r="CI66" s="893"/>
      <c r="CJ66" s="893"/>
      <c r="CK66" s="893"/>
      <c r="CL66" s="893"/>
      <c r="CM66" s="893"/>
      <c r="CN66" s="893"/>
      <c r="CO66" s="893"/>
      <c r="CP66" s="893"/>
      <c r="CQ66" s="893"/>
      <c r="CR66" s="893"/>
      <c r="CS66" s="893"/>
      <c r="CT66" s="893"/>
      <c r="EP66" s="2618" t="s">
        <v>1472</v>
      </c>
    </row>
    <row r="67" spans="2:169" ht="16.2" customHeight="1">
      <c r="EP67" s="2618">
        <f ca="1">INDIRECT(EP65&amp;"!$M$13")</f>
        <v>0</v>
      </c>
    </row>
    <row r="68" spans="2:169" ht="16.2" customHeight="1"/>
    <row r="69" spans="2:169" ht="16.2" customHeight="1"/>
    <row r="70" spans="2:169" ht="16.2" customHeight="1"/>
    <row r="71" spans="2:169" ht="16.2" customHeight="1"/>
    <row r="72" spans="2:169" ht="16.2" customHeight="1"/>
    <row r="73" spans="2:169" ht="16.2" customHeight="1"/>
    <row r="74" spans="2:169" ht="16.2" customHeight="1"/>
    <row r="75" spans="2:169" ht="16.2" customHeight="1"/>
    <row r="76" spans="2:169" ht="16.2" customHeight="1"/>
    <row r="77" spans="2:169" ht="16.2" customHeight="1"/>
    <row r="78" spans="2:169" ht="16.2" customHeight="1"/>
    <row r="79" spans="2:169" ht="16.2" customHeight="1"/>
    <row r="80" spans="2:169" ht="16.2" customHeight="1"/>
    <row r="81" ht="16.2" customHeight="1"/>
    <row r="82" ht="16.2" customHeight="1"/>
    <row r="83" ht="16.2" customHeight="1"/>
    <row r="84" ht="16.2" customHeight="1"/>
    <row r="85" ht="16.2" customHeight="1"/>
    <row r="86" ht="16.2" customHeight="1"/>
    <row r="87" ht="16.2" customHeight="1"/>
  </sheetData>
  <customSheetViews>
    <customSheetView guid="{8063F48F-80B5-4ECD-B18A-51CBF126E780}" fitToPage="1" state="hidden" topLeftCell="A46">
      <colBreaks count="2" manualBreakCount="2">
        <brk id="35" min="1" max="54" man="1"/>
        <brk id="67" min="1" max="54" man="1"/>
      </colBreaks>
      <pageMargins left="0.59055118110236227" right="0.57999999999999996" top="0.59055118110236227" bottom="0.59055118110236227" header="0.39370078740157483" footer="0.39370078740157483"/>
      <printOptions horizontalCentered="1"/>
      <pageSetup paperSize="9" scale="11" fitToHeight="0" orientation="portrait" r:id="rId1"/>
      <headerFooter alignWithMargins="0">
        <oddFooter>&amp;L&amp;11LEL Schwäbisch Gmünd&amp;C&amp;P&amp;R&amp;11Kalkulationsdaten Marktfrüchte 2009</oddFooter>
      </headerFooter>
    </customSheetView>
    <customSheetView guid="{5D5C9B61-9ABD-4513-AAEB-8333A9D6196C}" fitToPage="1" state="hidden" topLeftCell="A46">
      <colBreaks count="2" manualBreakCount="2">
        <brk id="35" min="1" max="54" man="1"/>
        <brk id="67" min="1" max="54" man="1"/>
      </colBreaks>
      <pageMargins left="0.59055118110236227" right="0.57999999999999996" top="0.59055118110236227" bottom="0.59055118110236227" header="0.39370078740157483" footer="0.39370078740157483"/>
      <printOptions horizontalCentered="1"/>
      <pageSetup paperSize="9" scale="11" fitToHeight="0" orientation="portrait" r:id="rId2"/>
      <headerFooter alignWithMargins="0">
        <oddFooter>&amp;L&amp;11LEL Schwäbisch Gmünd&amp;C&amp;P&amp;R&amp;11Kalkulationsdaten Marktfrüchte 2009</oddFooter>
      </headerFooter>
    </customSheetView>
    <customSheetView guid="{22A73C4F-9004-4CEF-8499-B1F91BE1B569}" fitToPage="1" state="hidden" topLeftCell="A46">
      <colBreaks count="2" manualBreakCount="2">
        <brk id="35" min="1" max="54" man="1"/>
        <brk id="67" min="1" max="54" man="1"/>
      </colBreaks>
      <pageMargins left="0.59055118110236227" right="0.57999999999999996" top="0.59055118110236227" bottom="0.59055118110236227" header="0.39370078740157483" footer="0.39370078740157483"/>
      <printOptions horizontalCentered="1"/>
      <pageSetup paperSize="9" scale="11" fitToHeight="0" orientation="portrait" r:id="rId3"/>
      <headerFooter alignWithMargins="0">
        <oddFooter>&amp;L&amp;11LEL Schwäbisch Gmünd&amp;C&amp;P&amp;R&amp;11Kalkulationsdaten Marktfrüchte 2009</oddFooter>
      </headerFooter>
    </customSheetView>
  </customSheetViews>
  <mergeCells count="1">
    <mergeCell ref="CV31:CW31"/>
  </mergeCells>
  <printOptions horizontalCentered="1"/>
  <pageMargins left="0.59055118110236227" right="0.57999999999999996" top="0.59055118110236227" bottom="0.59055118110236227" header="0.39370078740157483" footer="0.39370078740157483"/>
  <pageSetup paperSize="9" scale="11" fitToHeight="0" orientation="portrait" r:id="rId4"/>
  <headerFooter alignWithMargins="0">
    <oddFooter>&amp;L&amp;11LEL Schwäbisch Gmünd&amp;C&amp;P&amp;R&amp;11Kalkulationsdaten Marktfrüchte 2009</oddFooter>
  </headerFooter>
  <colBreaks count="2" manualBreakCount="2">
    <brk id="35" min="1" max="54" man="1"/>
    <brk id="67" min="1" max="54" man="1"/>
  </colBreaks>
  <ignoredErrors>
    <ignoredError sqref="EF18:EM19 DV18:ED19 EO18:EP19" formula="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88</vt:i4>
      </vt:variant>
      <vt:variant>
        <vt:lpstr>Benannte Bereiche</vt:lpstr>
      </vt:variant>
      <vt:variant>
        <vt:i4>92</vt:i4>
      </vt:variant>
    </vt:vector>
  </HeadingPairs>
  <TitlesOfParts>
    <vt:vector size="180" baseType="lpstr">
      <vt:lpstr>Inhalt</vt:lpstr>
      <vt:lpstr>Erträge_2-J</vt:lpstr>
      <vt:lpstr>Erträge_3-J</vt:lpstr>
      <vt:lpstr>Erträge_4-J</vt:lpstr>
      <vt:lpstr>Erträge_5-J</vt:lpstr>
      <vt:lpstr>Preiskalkulation_Biomasse</vt:lpstr>
      <vt:lpstr>Maschinenauslastung</vt:lpstr>
      <vt:lpstr>Betriebsübersicht</vt:lpstr>
      <vt:lpstr>Daten</vt:lpstr>
      <vt:lpstr>Hinw</vt:lpstr>
      <vt:lpstr>E1</vt:lpstr>
      <vt:lpstr>E2</vt:lpstr>
      <vt:lpstr>EK1</vt:lpstr>
      <vt:lpstr>EÖ1</vt:lpstr>
      <vt:lpstr>SDK1</vt:lpstr>
      <vt:lpstr>SDÖ1</vt:lpstr>
      <vt:lpstr>SD2</vt:lpstr>
      <vt:lpstr>SD3</vt:lpstr>
      <vt:lpstr>SDK4</vt:lpstr>
      <vt:lpstr>SDÖ4</vt:lpstr>
      <vt:lpstr>SDK5</vt:lpstr>
      <vt:lpstr>SDÖ5</vt:lpstr>
      <vt:lpstr>SD6</vt:lpstr>
      <vt:lpstr>SDK7</vt:lpstr>
      <vt:lpstr>SDÖ7</vt:lpstr>
      <vt:lpstr>SD8</vt:lpstr>
      <vt:lpstr>Kostenrechnung</vt:lpstr>
      <vt:lpstr>WW1</vt:lpstr>
      <vt:lpstr>WW2</vt:lpstr>
      <vt:lpstr>WRo</vt:lpstr>
      <vt:lpstr>Tr</vt:lpstr>
      <vt:lpstr>WG</vt:lpstr>
      <vt:lpstr>SW</vt:lpstr>
      <vt:lpstr>Di</vt:lpstr>
      <vt:lpstr>SG-Fu</vt:lpstr>
      <vt:lpstr>BG</vt:lpstr>
      <vt:lpstr>Ha</vt:lpstr>
      <vt:lpstr>Du</vt:lpstr>
      <vt:lpstr>KöM</vt:lpstr>
      <vt:lpstr>KH</vt:lpstr>
      <vt:lpstr>WR</vt:lpstr>
      <vt:lpstr>SR</vt:lpstr>
      <vt:lpstr>Soja</vt:lpstr>
      <vt:lpstr>Öl</vt:lpstr>
      <vt:lpstr>FE</vt:lpstr>
      <vt:lpstr>AB</vt:lpstr>
      <vt:lpstr>Lu</vt:lpstr>
      <vt:lpstr>FrühKa</vt:lpstr>
      <vt:lpstr>FrühKaFolieBer</vt:lpstr>
      <vt:lpstr>SpKa</vt:lpstr>
      <vt:lpstr>SpKaBer</vt:lpstr>
      <vt:lpstr>ZR</vt:lpstr>
      <vt:lpstr>WW-A</vt:lpstr>
      <vt:lpstr>WW-E</vt:lpstr>
      <vt:lpstr>SoBl</vt:lpstr>
      <vt:lpstr>FAKT-Brachebegrünung</vt:lpstr>
      <vt:lpstr>Begr</vt:lpstr>
      <vt:lpstr>Vorlage</vt:lpstr>
      <vt:lpstr>Öko-KG1</vt:lpstr>
      <vt:lpstr>Öko-KG2</vt:lpstr>
      <vt:lpstr>Öko-LU1</vt:lpstr>
      <vt:lpstr>Öko-LU2</vt:lpstr>
      <vt:lpstr>Öko-WW-Brot</vt:lpstr>
      <vt:lpstr>Öko-WW-Futter</vt:lpstr>
      <vt:lpstr>Öko-Di</vt:lpstr>
      <vt:lpstr>Öko-Ro</vt:lpstr>
      <vt:lpstr>Öko-Ha</vt:lpstr>
      <vt:lpstr>Öko-Wg</vt:lpstr>
      <vt:lpstr>Öko-Bg</vt:lpstr>
      <vt:lpstr>Öko-KöM</vt:lpstr>
      <vt:lpstr>Öko-Ab</vt:lpstr>
      <vt:lpstr>Öko-Lu</vt:lpstr>
      <vt:lpstr>Öko-FE</vt:lpstr>
      <vt:lpstr>Öko-Soja</vt:lpstr>
      <vt:lpstr>Öko-Ka</vt:lpstr>
      <vt:lpstr>Blühm.</vt:lpstr>
      <vt:lpstr>Begrün.</vt:lpstr>
      <vt:lpstr>Vorlage I</vt:lpstr>
      <vt:lpstr>Grafik1-DB</vt:lpstr>
      <vt:lpstr>Öko-Dinkel,gegerbt</vt:lpstr>
      <vt:lpstr>Öko-Soblu</vt:lpstr>
      <vt:lpstr>Linsen</vt:lpstr>
      <vt:lpstr>Öko-Raps</vt:lpstr>
      <vt:lpstr>Leerblatt II</vt:lpstr>
      <vt:lpstr>TE6</vt:lpstr>
      <vt:lpstr>TE7</vt:lpstr>
      <vt:lpstr>TE8</vt:lpstr>
      <vt:lpstr>TE9</vt:lpstr>
      <vt:lpstr>AB!Druckbereich</vt:lpstr>
      <vt:lpstr>Begr!Druckbereich</vt:lpstr>
      <vt:lpstr>Begrün.!Druckbereich</vt:lpstr>
      <vt:lpstr>BG!Druckbereich</vt:lpstr>
      <vt:lpstr>Blühm.!Druckbereich</vt:lpstr>
      <vt:lpstr>Daten!Druckbereich</vt:lpstr>
      <vt:lpstr>Di!Druckbereich</vt:lpstr>
      <vt:lpstr>Du!Druckbereich</vt:lpstr>
      <vt:lpstr>'E1'!Druckbereich</vt:lpstr>
      <vt:lpstr>'E2'!Druckbereich</vt:lpstr>
      <vt:lpstr>'EK1'!Druckbereich</vt:lpstr>
      <vt:lpstr>'FAKT-Brachebegrünung'!Druckbereich</vt:lpstr>
      <vt:lpstr>FE!Druckbereich</vt:lpstr>
      <vt:lpstr>FrühKa!Druckbereich</vt:lpstr>
      <vt:lpstr>FrühKaFolieBer!Druckbereich</vt:lpstr>
      <vt:lpstr>'Grafik1-DB'!Druckbereich</vt:lpstr>
      <vt:lpstr>Ha!Druckbereich</vt:lpstr>
      <vt:lpstr>Hinw!Druckbereich</vt:lpstr>
      <vt:lpstr>Inhalt!Druckbereich</vt:lpstr>
      <vt:lpstr>KH!Druckbereich</vt:lpstr>
      <vt:lpstr>KöM!Druckbereich</vt:lpstr>
      <vt:lpstr>Kostenrechnung!Druckbereich</vt:lpstr>
      <vt:lpstr>'Leerblatt II'!Druckbereich</vt:lpstr>
      <vt:lpstr>Linsen!Druckbereich</vt:lpstr>
      <vt:lpstr>Lu!Druckbereich</vt:lpstr>
      <vt:lpstr>'Öko-Ab'!Druckbereich</vt:lpstr>
      <vt:lpstr>'Öko-Bg'!Druckbereich</vt:lpstr>
      <vt:lpstr>'Öko-Di'!Druckbereich</vt:lpstr>
      <vt:lpstr>'Öko-Dinkel,gegerbt'!Druckbereich</vt:lpstr>
      <vt:lpstr>'Öko-FE'!Druckbereich</vt:lpstr>
      <vt:lpstr>'Öko-Ha'!Druckbereich</vt:lpstr>
      <vt:lpstr>'Öko-Ka'!Druckbereich</vt:lpstr>
      <vt:lpstr>'Öko-KG1'!Druckbereich</vt:lpstr>
      <vt:lpstr>'Öko-KG2'!Druckbereich</vt:lpstr>
      <vt:lpstr>'Öko-KöM'!Druckbereich</vt:lpstr>
      <vt:lpstr>'Öko-Lu'!Druckbereich</vt:lpstr>
      <vt:lpstr>'Öko-LU1'!Druckbereich</vt:lpstr>
      <vt:lpstr>'Öko-LU2'!Druckbereich</vt:lpstr>
      <vt:lpstr>'Öko-Raps'!Druckbereich</vt:lpstr>
      <vt:lpstr>'Öko-Ro'!Druckbereich</vt:lpstr>
      <vt:lpstr>'Öko-Soblu'!Druckbereich</vt:lpstr>
      <vt:lpstr>'Öko-Soja'!Druckbereich</vt:lpstr>
      <vt:lpstr>'Öko-Wg'!Druckbereich</vt:lpstr>
      <vt:lpstr>'Öko-WW-Brot'!Druckbereich</vt:lpstr>
      <vt:lpstr>'Öko-WW-Futter'!Druckbereich</vt:lpstr>
      <vt:lpstr>Öl!Druckbereich</vt:lpstr>
      <vt:lpstr>Preiskalkulation_Biomasse!Druckbereich</vt:lpstr>
      <vt:lpstr>'SD2'!Druckbereich</vt:lpstr>
      <vt:lpstr>'SD3'!Druckbereich</vt:lpstr>
      <vt:lpstr>'SD6'!Druckbereich</vt:lpstr>
      <vt:lpstr>'SD8'!Druckbereich</vt:lpstr>
      <vt:lpstr>'SDK1'!Druckbereich</vt:lpstr>
      <vt:lpstr>'SDK4'!Druckbereich</vt:lpstr>
      <vt:lpstr>'SDK5'!Druckbereich</vt:lpstr>
      <vt:lpstr>'SDK7'!Druckbereich</vt:lpstr>
      <vt:lpstr>SDÖ1!Druckbereich</vt:lpstr>
      <vt:lpstr>SDÖ4!Druckbereich</vt:lpstr>
      <vt:lpstr>SDÖ5!Druckbereich</vt:lpstr>
      <vt:lpstr>SDÖ7!Druckbereich</vt:lpstr>
      <vt:lpstr>'SG-Fu'!Druckbereich</vt:lpstr>
      <vt:lpstr>SoBl!Druckbereich</vt:lpstr>
      <vt:lpstr>Soja!Druckbereich</vt:lpstr>
      <vt:lpstr>SpKa!Druckbereich</vt:lpstr>
      <vt:lpstr>SpKaBer!Druckbereich</vt:lpstr>
      <vt:lpstr>SR!Druckbereich</vt:lpstr>
      <vt:lpstr>SW!Druckbereich</vt:lpstr>
      <vt:lpstr>'TE6'!Druckbereich</vt:lpstr>
      <vt:lpstr>'TE7'!Druckbereich</vt:lpstr>
      <vt:lpstr>'TE8'!Druckbereich</vt:lpstr>
      <vt:lpstr>'TE9'!Druckbereich</vt:lpstr>
      <vt:lpstr>Tr!Druckbereich</vt:lpstr>
      <vt:lpstr>Vorlage!Druckbereich</vt:lpstr>
      <vt:lpstr>'Vorlage I'!Druckbereich</vt:lpstr>
      <vt:lpstr>WG!Druckbereich</vt:lpstr>
      <vt:lpstr>WR!Druckbereich</vt:lpstr>
      <vt:lpstr>WRo!Druckbereich</vt:lpstr>
      <vt:lpstr>'WW1'!Druckbereich</vt:lpstr>
      <vt:lpstr>'WW2'!Druckbereich</vt:lpstr>
      <vt:lpstr>'WW-A'!Druckbereich</vt:lpstr>
      <vt:lpstr>'WW-E'!Druckbereich</vt:lpstr>
      <vt:lpstr>ZR!Druckbereich</vt:lpstr>
      <vt:lpstr>Daten!Drucktitel</vt:lpstr>
      <vt:lpstr>Preiskalkulation_Biomasse!Drucktitel</vt:lpstr>
      <vt:lpstr>'SD2'!Drucktitel</vt:lpstr>
      <vt:lpstr>'SD3'!Drucktitel</vt:lpstr>
      <vt:lpstr>'SD6'!Drucktitel</vt:lpstr>
      <vt:lpstr>'SDK7'!Drucktitel</vt:lpstr>
      <vt:lpstr>SDÖ7!Drucktitel</vt:lpstr>
      <vt:lpstr>Öko__Lupine</vt:lpstr>
      <vt:lpstr>Saatbettkombination_4_5_m</vt:lpstr>
      <vt:lpstr>SDÖ1!Wintergetreide</vt:lpstr>
      <vt:lpstr>Winterroggen___Brot</vt:lpstr>
    </vt:vector>
  </TitlesOfParts>
  <Company>LGL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Hinderer, Axel (LEL)</dc:creator>
  <dc:description>Basiert auf 202105Ba</dc:description>
  <cp:lastModifiedBy>Dörr, Johanna (LEL-SG)</cp:lastModifiedBy>
  <cp:lastPrinted>2025-04-24T09:28:27Z</cp:lastPrinted>
  <dcterms:created xsi:type="dcterms:W3CDTF">2019-09-04T10:23:21Z</dcterms:created>
  <dcterms:modified xsi:type="dcterms:W3CDTF">2025-09-18T13:13:14Z</dcterms:modified>
</cp:coreProperties>
</file>